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ECD10612-313E-44D3-8BAC-6D2A4C864752}" xr6:coauthVersionLast="47" xr6:coauthVersionMax="47" xr10:uidLastSave="{00000000-0000-0000-0000-000000000000}"/>
  <bookViews>
    <workbookView xWindow="-57720" yWindow="-120" windowWidth="29040" windowHeight="15840" firstSheet="3" activeTab="7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Log'!$A$1:$G$1163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7" i="8" l="1"/>
  <c r="B8" i="8"/>
  <c r="B9" i="8"/>
  <c r="B10" i="8"/>
  <c r="B11" i="8"/>
  <c r="B12" i="8"/>
  <c r="B13" i="8"/>
  <c r="B21" i="8"/>
  <c r="B20" i="8"/>
  <c r="B19" i="8"/>
  <c r="B18" i="8"/>
  <c r="B17" i="8"/>
  <c r="B16" i="8"/>
  <c r="B15" i="8"/>
  <c r="B14" i="8"/>
  <c r="G1" i="7"/>
  <c r="J34" i="5" l="1"/>
  <c r="E34" i="5"/>
  <c r="O16" i="5"/>
  <c r="J16" i="5"/>
  <c r="E16" i="5"/>
  <c r="B24" i="8"/>
  <c r="A96" i="11"/>
  <c r="B23" i="8"/>
  <c r="B25" i="8"/>
  <c r="B26" i="8"/>
  <c r="B27" i="8"/>
  <c r="B28" i="8"/>
  <c r="B29" i="8"/>
  <c r="B22" i="8"/>
  <c r="B30" i="8"/>
  <c r="B31" i="8"/>
  <c r="B32" i="8"/>
  <c r="B33" i="8"/>
  <c r="N18" i="3"/>
  <c r="H26" i="3"/>
  <c r="M18" i="3"/>
  <c r="H16" i="3"/>
  <c r="G16" i="3"/>
  <c r="N14" i="3"/>
  <c r="N12" i="3"/>
  <c r="M12" i="3"/>
  <c r="H15" i="3"/>
  <c r="H10" i="3"/>
  <c r="N10" i="3"/>
  <c r="G10" i="3"/>
  <c r="H5" i="3"/>
  <c r="N5" i="3"/>
  <c r="G5" i="3"/>
  <c r="B36" i="8"/>
  <c r="B35" i="8"/>
  <c r="B38" i="8"/>
  <c r="B37" i="8"/>
  <c r="B41" i="8"/>
  <c r="B40" i="8"/>
  <c r="B34" i="8"/>
  <c r="F14" i="2"/>
  <c r="F2" i="2" s="1"/>
  <c r="B39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E32" i="12"/>
  <c r="E29" i="12"/>
  <c r="C24" i="12"/>
  <c r="C22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C791" i="10"/>
  <c r="B791" i="10"/>
  <c r="H791" i="10" s="1"/>
  <c r="N790" i="10"/>
  <c r="H790" i="10"/>
  <c r="C790" i="10"/>
  <c r="B790" i="10"/>
  <c r="N789" i="10"/>
  <c r="I789" i="10"/>
  <c r="H789" i="10"/>
  <c r="E789" i="10"/>
  <c r="C789" i="10"/>
  <c r="B789" i="10"/>
  <c r="N788" i="10"/>
  <c r="C788" i="10"/>
  <c r="I788" i="10" s="1"/>
  <c r="B788" i="10"/>
  <c r="H788" i="10" s="1"/>
  <c r="C787" i="10"/>
  <c r="B787" i="10"/>
  <c r="H787" i="10" s="1"/>
  <c r="H786" i="10"/>
  <c r="C786" i="10"/>
  <c r="B786" i="10"/>
  <c r="I785" i="10"/>
  <c r="H785" i="10"/>
  <c r="E785" i="10"/>
  <c r="C785" i="10"/>
  <c r="B785" i="10"/>
  <c r="C784" i="10"/>
  <c r="I784" i="10" s="1"/>
  <c r="B784" i="10"/>
  <c r="H784" i="10" s="1"/>
  <c r="C783" i="10"/>
  <c r="B783" i="10"/>
  <c r="H783" i="10" s="1"/>
  <c r="H782" i="10"/>
  <c r="C782" i="10"/>
  <c r="B782" i="10"/>
  <c r="N781" i="10"/>
  <c r="I781" i="10"/>
  <c r="E781" i="10"/>
  <c r="C781" i="10"/>
  <c r="B781" i="10"/>
  <c r="H781" i="10" s="1"/>
  <c r="N780" i="10"/>
  <c r="C780" i="10"/>
  <c r="I780" i="10" s="1"/>
  <c r="B780" i="10"/>
  <c r="H780" i="10" s="1"/>
  <c r="N779" i="10"/>
  <c r="C779" i="10"/>
  <c r="B779" i="10"/>
  <c r="H779" i="10" s="1"/>
  <c r="N778" i="10"/>
  <c r="H778" i="10"/>
  <c r="C778" i="10"/>
  <c r="B778" i="10"/>
  <c r="N777" i="10"/>
  <c r="I777" i="10"/>
  <c r="E777" i="10"/>
  <c r="C777" i="10"/>
  <c r="B777" i="10"/>
  <c r="H777" i="10" s="1"/>
  <c r="N776" i="10"/>
  <c r="C776" i="10"/>
  <c r="I776" i="10" s="1"/>
  <c r="B776" i="10"/>
  <c r="H776" i="10" s="1"/>
  <c r="N775" i="10"/>
  <c r="C775" i="10"/>
  <c r="B775" i="10"/>
  <c r="H775" i="10" s="1"/>
  <c r="N774" i="10"/>
  <c r="H774" i="10"/>
  <c r="C774" i="10"/>
  <c r="B774" i="10"/>
  <c r="N773" i="10"/>
  <c r="I773" i="10"/>
  <c r="E773" i="10"/>
  <c r="C773" i="10"/>
  <c r="B773" i="10"/>
  <c r="H773" i="10" s="1"/>
  <c r="N772" i="10"/>
  <c r="C772" i="10"/>
  <c r="I772" i="10" s="1"/>
  <c r="B772" i="10"/>
  <c r="H772" i="10" s="1"/>
  <c r="N771" i="10"/>
  <c r="C771" i="10"/>
  <c r="B771" i="10"/>
  <c r="H771" i="10" s="1"/>
  <c r="N770" i="10"/>
  <c r="H770" i="10"/>
  <c r="C770" i="10"/>
  <c r="B770" i="10"/>
  <c r="N769" i="10"/>
  <c r="I769" i="10"/>
  <c r="E769" i="10"/>
  <c r="C769" i="10"/>
  <c r="B769" i="10"/>
  <c r="H769" i="10" s="1"/>
  <c r="N768" i="10"/>
  <c r="C768" i="10"/>
  <c r="I768" i="10" s="1"/>
  <c r="B768" i="10"/>
  <c r="H768" i="10" s="1"/>
  <c r="N767" i="10"/>
  <c r="C767" i="10"/>
  <c r="B767" i="10"/>
  <c r="H767" i="10" s="1"/>
  <c r="N766" i="10"/>
  <c r="H766" i="10"/>
  <c r="C766" i="10"/>
  <c r="B766" i="10"/>
  <c r="N765" i="10"/>
  <c r="I765" i="10"/>
  <c r="E765" i="10"/>
  <c r="C765" i="10"/>
  <c r="B765" i="10"/>
  <c r="H765" i="10" s="1"/>
  <c r="N764" i="10"/>
  <c r="C764" i="10"/>
  <c r="I764" i="10" s="1"/>
  <c r="B764" i="10"/>
  <c r="H764" i="10" s="1"/>
  <c r="N763" i="10"/>
  <c r="C763" i="10"/>
  <c r="B763" i="10"/>
  <c r="H763" i="10" s="1"/>
  <c r="N762" i="10"/>
  <c r="H762" i="10"/>
  <c r="C762" i="10"/>
  <c r="B762" i="10"/>
  <c r="N761" i="10"/>
  <c r="I761" i="10"/>
  <c r="E761" i="10"/>
  <c r="C761" i="10"/>
  <c r="B761" i="10"/>
  <c r="H761" i="10" s="1"/>
  <c r="N760" i="10"/>
  <c r="C760" i="10"/>
  <c r="I760" i="10" s="1"/>
  <c r="B760" i="10"/>
  <c r="H760" i="10" s="1"/>
  <c r="N759" i="10"/>
  <c r="C759" i="10"/>
  <c r="B759" i="10"/>
  <c r="H759" i="10" s="1"/>
  <c r="N758" i="10"/>
  <c r="H758" i="10"/>
  <c r="C758" i="10"/>
  <c r="B758" i="10"/>
  <c r="N757" i="10"/>
  <c r="I757" i="10"/>
  <c r="E757" i="10"/>
  <c r="C757" i="10"/>
  <c r="B757" i="10"/>
  <c r="H757" i="10" s="1"/>
  <c r="N756" i="10"/>
  <c r="C756" i="10"/>
  <c r="I756" i="10" s="1"/>
  <c r="B756" i="10"/>
  <c r="H756" i="10" s="1"/>
  <c r="N755" i="10"/>
  <c r="C755" i="10"/>
  <c r="B755" i="10"/>
  <c r="H755" i="10" s="1"/>
  <c r="N754" i="10"/>
  <c r="H754" i="10"/>
  <c r="C754" i="10"/>
  <c r="B754" i="10"/>
  <c r="N753" i="10"/>
  <c r="I753" i="10"/>
  <c r="E753" i="10"/>
  <c r="C753" i="10"/>
  <c r="B753" i="10"/>
  <c r="H753" i="10" s="1"/>
  <c r="N752" i="10"/>
  <c r="C752" i="10"/>
  <c r="I752" i="10" s="1"/>
  <c r="B752" i="10"/>
  <c r="H752" i="10" s="1"/>
  <c r="N751" i="10"/>
  <c r="C751" i="10"/>
  <c r="B751" i="10"/>
  <c r="H751" i="10" s="1"/>
  <c r="N750" i="10"/>
  <c r="H750" i="10"/>
  <c r="C750" i="10"/>
  <c r="B750" i="10"/>
  <c r="N749" i="10"/>
  <c r="I749" i="10"/>
  <c r="E749" i="10"/>
  <c r="C749" i="10"/>
  <c r="B749" i="10"/>
  <c r="H749" i="10" s="1"/>
  <c r="N748" i="10"/>
  <c r="C748" i="10"/>
  <c r="I748" i="10" s="1"/>
  <c r="B748" i="10"/>
  <c r="H748" i="10" s="1"/>
  <c r="N747" i="10"/>
  <c r="C747" i="10"/>
  <c r="B747" i="10"/>
  <c r="H747" i="10" s="1"/>
  <c r="N746" i="10"/>
  <c r="H746" i="10"/>
  <c r="C746" i="10"/>
  <c r="B746" i="10"/>
  <c r="N745" i="10"/>
  <c r="I745" i="10"/>
  <c r="E745" i="10"/>
  <c r="C745" i="10"/>
  <c r="B745" i="10"/>
  <c r="H745" i="10" s="1"/>
  <c r="N744" i="10"/>
  <c r="C744" i="10"/>
  <c r="I744" i="10" s="1"/>
  <c r="B744" i="10"/>
  <c r="H744" i="10" s="1"/>
  <c r="N743" i="10"/>
  <c r="C743" i="10"/>
  <c r="B743" i="10"/>
  <c r="H743" i="10" s="1"/>
  <c r="N742" i="10"/>
  <c r="H742" i="10"/>
  <c r="C742" i="10"/>
  <c r="B742" i="10"/>
  <c r="N741" i="10"/>
  <c r="I741" i="10"/>
  <c r="E741" i="10"/>
  <c r="C741" i="10"/>
  <c r="B741" i="10"/>
  <c r="H741" i="10" s="1"/>
  <c r="N740" i="10"/>
  <c r="C740" i="10"/>
  <c r="I740" i="10" s="1"/>
  <c r="B740" i="10"/>
  <c r="H740" i="10" s="1"/>
  <c r="N739" i="10"/>
  <c r="C739" i="10"/>
  <c r="B739" i="10"/>
  <c r="H739" i="10" s="1"/>
  <c r="N738" i="10"/>
  <c r="H738" i="10"/>
  <c r="C738" i="10"/>
  <c r="B738" i="10"/>
  <c r="N737" i="10"/>
  <c r="I737" i="10"/>
  <c r="E737" i="10"/>
  <c r="C737" i="10"/>
  <c r="B737" i="10"/>
  <c r="H737" i="10" s="1"/>
  <c r="N736" i="10"/>
  <c r="C736" i="10"/>
  <c r="I736" i="10" s="1"/>
  <c r="B736" i="10"/>
  <c r="H736" i="10" s="1"/>
  <c r="N735" i="10"/>
  <c r="C735" i="10"/>
  <c r="B735" i="10"/>
  <c r="H735" i="10" s="1"/>
  <c r="N734" i="10"/>
  <c r="H734" i="10"/>
  <c r="C734" i="10"/>
  <c r="B734" i="10"/>
  <c r="N733" i="10"/>
  <c r="I733" i="10"/>
  <c r="E733" i="10"/>
  <c r="C733" i="10"/>
  <c r="B733" i="10"/>
  <c r="H733" i="10" s="1"/>
  <c r="N732" i="10"/>
  <c r="C732" i="10"/>
  <c r="I732" i="10" s="1"/>
  <c r="B732" i="10"/>
  <c r="H732" i="10" s="1"/>
  <c r="N731" i="10"/>
  <c r="C731" i="10"/>
  <c r="B731" i="10"/>
  <c r="H731" i="10" s="1"/>
  <c r="N730" i="10"/>
  <c r="H730" i="10"/>
  <c r="C730" i="10"/>
  <c r="B730" i="10"/>
  <c r="N729" i="10"/>
  <c r="I729" i="10"/>
  <c r="E729" i="10"/>
  <c r="C729" i="10"/>
  <c r="B729" i="10"/>
  <c r="H729" i="10" s="1"/>
  <c r="N728" i="10"/>
  <c r="C728" i="10"/>
  <c r="I728" i="10" s="1"/>
  <c r="B728" i="10"/>
  <c r="H728" i="10" s="1"/>
  <c r="N727" i="10"/>
  <c r="C727" i="10"/>
  <c r="B727" i="10"/>
  <c r="H727" i="10" s="1"/>
  <c r="N726" i="10"/>
  <c r="H726" i="10"/>
  <c r="C726" i="10"/>
  <c r="B726" i="10"/>
  <c r="N725" i="10"/>
  <c r="I725" i="10"/>
  <c r="E725" i="10"/>
  <c r="C725" i="10"/>
  <c r="B725" i="10"/>
  <c r="H725" i="10" s="1"/>
  <c r="N724" i="10"/>
  <c r="C724" i="10"/>
  <c r="I724" i="10" s="1"/>
  <c r="B724" i="10"/>
  <c r="H724" i="10" s="1"/>
  <c r="N723" i="10"/>
  <c r="C723" i="10"/>
  <c r="B723" i="10"/>
  <c r="H723" i="10" s="1"/>
  <c r="N722" i="10"/>
  <c r="H722" i="10"/>
  <c r="C722" i="10"/>
  <c r="B722" i="10"/>
  <c r="N721" i="10"/>
  <c r="I721" i="10"/>
  <c r="E721" i="10"/>
  <c r="C721" i="10"/>
  <c r="B721" i="10"/>
  <c r="H721" i="10" s="1"/>
  <c r="N720" i="10"/>
  <c r="C720" i="10"/>
  <c r="I720" i="10" s="1"/>
  <c r="B720" i="10"/>
  <c r="H720" i="10" s="1"/>
  <c r="N719" i="10"/>
  <c r="C719" i="10"/>
  <c r="B719" i="10"/>
  <c r="H719" i="10" s="1"/>
  <c r="N718" i="10"/>
  <c r="H718" i="10"/>
  <c r="C718" i="10"/>
  <c r="B718" i="10"/>
  <c r="N717" i="10"/>
  <c r="I717" i="10"/>
  <c r="E717" i="10"/>
  <c r="C717" i="10"/>
  <c r="B717" i="10"/>
  <c r="H717" i="10" s="1"/>
  <c r="N716" i="10"/>
  <c r="C716" i="10"/>
  <c r="I716" i="10" s="1"/>
  <c r="B716" i="10"/>
  <c r="H716" i="10" s="1"/>
  <c r="N715" i="10"/>
  <c r="C715" i="10"/>
  <c r="B715" i="10"/>
  <c r="H715" i="10" s="1"/>
  <c r="N714" i="10"/>
  <c r="H714" i="10"/>
  <c r="C714" i="10"/>
  <c r="B714" i="10"/>
  <c r="N713" i="10"/>
  <c r="I713" i="10"/>
  <c r="E713" i="10"/>
  <c r="C713" i="10"/>
  <c r="B713" i="10"/>
  <c r="H713" i="10" s="1"/>
  <c r="N712" i="10"/>
  <c r="C712" i="10"/>
  <c r="I712" i="10" s="1"/>
  <c r="B712" i="10"/>
  <c r="H712" i="10" s="1"/>
  <c r="N711" i="10"/>
  <c r="C711" i="10"/>
  <c r="B711" i="10"/>
  <c r="H711" i="10" s="1"/>
  <c r="N710" i="10"/>
  <c r="H710" i="10"/>
  <c r="C710" i="10"/>
  <c r="B710" i="10"/>
  <c r="N709" i="10"/>
  <c r="I709" i="10"/>
  <c r="E709" i="10"/>
  <c r="C709" i="10"/>
  <c r="B709" i="10"/>
  <c r="H709" i="10" s="1"/>
  <c r="N708" i="10"/>
  <c r="C708" i="10"/>
  <c r="I708" i="10" s="1"/>
  <c r="B708" i="10"/>
  <c r="H708" i="10" s="1"/>
  <c r="N707" i="10"/>
  <c r="C707" i="10"/>
  <c r="B707" i="10"/>
  <c r="H707" i="10" s="1"/>
  <c r="N706" i="10"/>
  <c r="H706" i="10"/>
  <c r="C706" i="10"/>
  <c r="B706" i="10"/>
  <c r="N705" i="10"/>
  <c r="I705" i="10"/>
  <c r="E705" i="10"/>
  <c r="C705" i="10"/>
  <c r="B705" i="10"/>
  <c r="H705" i="10" s="1"/>
  <c r="N704" i="10"/>
  <c r="C704" i="10"/>
  <c r="I704" i="10" s="1"/>
  <c r="B704" i="10"/>
  <c r="H704" i="10" s="1"/>
  <c r="N703" i="10"/>
  <c r="C703" i="10"/>
  <c r="B703" i="10"/>
  <c r="H703" i="10" s="1"/>
  <c r="N702" i="10"/>
  <c r="H702" i="10"/>
  <c r="C702" i="10"/>
  <c r="B702" i="10"/>
  <c r="N701" i="10"/>
  <c r="I701" i="10"/>
  <c r="E701" i="10"/>
  <c r="C701" i="10"/>
  <c r="B701" i="10"/>
  <c r="H701" i="10" s="1"/>
  <c r="N700" i="10"/>
  <c r="C700" i="10"/>
  <c r="I700" i="10" s="1"/>
  <c r="B700" i="10"/>
  <c r="H700" i="10" s="1"/>
  <c r="N699" i="10"/>
  <c r="C699" i="10"/>
  <c r="B699" i="10"/>
  <c r="H699" i="10" s="1"/>
  <c r="N698" i="10"/>
  <c r="H698" i="10"/>
  <c r="C698" i="10"/>
  <c r="B698" i="10"/>
  <c r="N697" i="10"/>
  <c r="I697" i="10"/>
  <c r="E697" i="10"/>
  <c r="C697" i="10"/>
  <c r="B697" i="10"/>
  <c r="H697" i="10" s="1"/>
  <c r="N696" i="10"/>
  <c r="C696" i="10"/>
  <c r="I696" i="10" s="1"/>
  <c r="B696" i="10"/>
  <c r="H696" i="10" s="1"/>
  <c r="N695" i="10"/>
  <c r="C695" i="10"/>
  <c r="B695" i="10"/>
  <c r="H695" i="10" s="1"/>
  <c r="N694" i="10"/>
  <c r="H694" i="10"/>
  <c r="C694" i="10"/>
  <c r="B694" i="10"/>
  <c r="N693" i="10"/>
  <c r="I693" i="10"/>
  <c r="E693" i="10"/>
  <c r="C693" i="10"/>
  <c r="B693" i="10"/>
  <c r="H693" i="10" s="1"/>
  <c r="N692" i="10"/>
  <c r="C692" i="10"/>
  <c r="I692" i="10" s="1"/>
  <c r="B692" i="10"/>
  <c r="H692" i="10" s="1"/>
  <c r="N691" i="10"/>
  <c r="C691" i="10"/>
  <c r="B691" i="10"/>
  <c r="H691" i="10" s="1"/>
  <c r="N690" i="10"/>
  <c r="H690" i="10"/>
  <c r="C690" i="10"/>
  <c r="B690" i="10"/>
  <c r="N689" i="10"/>
  <c r="I689" i="10"/>
  <c r="E689" i="10"/>
  <c r="C689" i="10"/>
  <c r="B689" i="10"/>
  <c r="H689" i="10" s="1"/>
  <c r="N688" i="10"/>
  <c r="C688" i="10"/>
  <c r="I688" i="10" s="1"/>
  <c r="B688" i="10"/>
  <c r="H688" i="10" s="1"/>
  <c r="N687" i="10"/>
  <c r="C687" i="10"/>
  <c r="B687" i="10"/>
  <c r="H687" i="10" s="1"/>
  <c r="N686" i="10"/>
  <c r="H686" i="10"/>
  <c r="C686" i="10"/>
  <c r="B686" i="10"/>
  <c r="N685" i="10"/>
  <c r="I685" i="10"/>
  <c r="E685" i="10"/>
  <c r="C685" i="10"/>
  <c r="B685" i="10"/>
  <c r="H685" i="10" s="1"/>
  <c r="N684" i="10"/>
  <c r="C684" i="10"/>
  <c r="I684" i="10" s="1"/>
  <c r="B684" i="10"/>
  <c r="H684" i="10" s="1"/>
  <c r="N683" i="10"/>
  <c r="C683" i="10"/>
  <c r="B683" i="10"/>
  <c r="H683" i="10" s="1"/>
  <c r="N682" i="10"/>
  <c r="H682" i="10"/>
  <c r="C682" i="10"/>
  <c r="B682" i="10"/>
  <c r="N681" i="10"/>
  <c r="I681" i="10"/>
  <c r="E681" i="10"/>
  <c r="C681" i="10"/>
  <c r="B681" i="10"/>
  <c r="H681" i="10" s="1"/>
  <c r="N680" i="10"/>
  <c r="C680" i="10"/>
  <c r="I680" i="10" s="1"/>
  <c r="B680" i="10"/>
  <c r="H680" i="10" s="1"/>
  <c r="N679" i="10"/>
  <c r="C679" i="10"/>
  <c r="B679" i="10"/>
  <c r="H679" i="10" s="1"/>
  <c r="N678" i="10"/>
  <c r="H678" i="10"/>
  <c r="C678" i="10"/>
  <c r="B678" i="10"/>
  <c r="N677" i="10"/>
  <c r="I677" i="10"/>
  <c r="E677" i="10"/>
  <c r="C677" i="10"/>
  <c r="B677" i="10"/>
  <c r="H677" i="10" s="1"/>
  <c r="N676" i="10"/>
  <c r="C676" i="10"/>
  <c r="I676" i="10" s="1"/>
  <c r="B676" i="10"/>
  <c r="H676" i="10" s="1"/>
  <c r="N675" i="10"/>
  <c r="C675" i="10"/>
  <c r="B675" i="10"/>
  <c r="H675" i="10" s="1"/>
  <c r="N674" i="10"/>
  <c r="H674" i="10"/>
  <c r="C674" i="10"/>
  <c r="B674" i="10"/>
  <c r="N673" i="10"/>
  <c r="I673" i="10"/>
  <c r="E673" i="10"/>
  <c r="C673" i="10"/>
  <c r="B673" i="10"/>
  <c r="H673" i="10" s="1"/>
  <c r="N672" i="10"/>
  <c r="C672" i="10"/>
  <c r="I672" i="10" s="1"/>
  <c r="B672" i="10"/>
  <c r="H672" i="10" s="1"/>
  <c r="N671" i="10"/>
  <c r="C671" i="10"/>
  <c r="B671" i="10"/>
  <c r="H671" i="10" s="1"/>
  <c r="N670" i="10"/>
  <c r="H670" i="10"/>
  <c r="C670" i="10"/>
  <c r="B670" i="10"/>
  <c r="N669" i="10"/>
  <c r="I669" i="10"/>
  <c r="E669" i="10"/>
  <c r="C669" i="10"/>
  <c r="B669" i="10"/>
  <c r="H669" i="10" s="1"/>
  <c r="N668" i="10"/>
  <c r="C668" i="10"/>
  <c r="I668" i="10" s="1"/>
  <c r="B668" i="10"/>
  <c r="H668" i="10" s="1"/>
  <c r="N667" i="10"/>
  <c r="C667" i="10"/>
  <c r="B667" i="10"/>
  <c r="H667" i="10" s="1"/>
  <c r="N666" i="10"/>
  <c r="H666" i="10"/>
  <c r="C666" i="10"/>
  <c r="B666" i="10"/>
  <c r="N665" i="10"/>
  <c r="I665" i="10"/>
  <c r="E665" i="10"/>
  <c r="C665" i="10"/>
  <c r="B665" i="10"/>
  <c r="H665" i="10" s="1"/>
  <c r="N664" i="10"/>
  <c r="C664" i="10"/>
  <c r="I664" i="10" s="1"/>
  <c r="B664" i="10"/>
  <c r="H664" i="10" s="1"/>
  <c r="N663" i="10"/>
  <c r="C663" i="10"/>
  <c r="B663" i="10"/>
  <c r="H663" i="10" s="1"/>
  <c r="N662" i="10"/>
  <c r="H662" i="10"/>
  <c r="C662" i="10"/>
  <c r="B662" i="10"/>
  <c r="N661" i="10"/>
  <c r="I661" i="10"/>
  <c r="E661" i="10"/>
  <c r="C661" i="10"/>
  <c r="B661" i="10"/>
  <c r="H661" i="10" s="1"/>
  <c r="N660" i="10"/>
  <c r="C660" i="10"/>
  <c r="I660" i="10" s="1"/>
  <c r="B660" i="10"/>
  <c r="H660" i="10" s="1"/>
  <c r="N659" i="10"/>
  <c r="C659" i="10"/>
  <c r="B659" i="10"/>
  <c r="H659" i="10" s="1"/>
  <c r="N658" i="10"/>
  <c r="H658" i="10"/>
  <c r="C658" i="10"/>
  <c r="B658" i="10"/>
  <c r="N657" i="10"/>
  <c r="I657" i="10"/>
  <c r="E657" i="10"/>
  <c r="C657" i="10"/>
  <c r="B657" i="10"/>
  <c r="H657" i="10" s="1"/>
  <c r="N656" i="10"/>
  <c r="C656" i="10"/>
  <c r="I656" i="10" s="1"/>
  <c r="B656" i="10"/>
  <c r="H656" i="10" s="1"/>
  <c r="N655" i="10"/>
  <c r="C655" i="10"/>
  <c r="B655" i="10"/>
  <c r="H655" i="10" s="1"/>
  <c r="N654" i="10"/>
  <c r="H654" i="10"/>
  <c r="C654" i="10"/>
  <c r="B654" i="10"/>
  <c r="N653" i="10"/>
  <c r="I653" i="10"/>
  <c r="E653" i="10"/>
  <c r="C653" i="10"/>
  <c r="B653" i="10"/>
  <c r="H653" i="10" s="1"/>
  <c r="N652" i="10"/>
  <c r="C652" i="10"/>
  <c r="I652" i="10" s="1"/>
  <c r="B652" i="10"/>
  <c r="H652" i="10" s="1"/>
  <c r="N651" i="10"/>
  <c r="C651" i="10"/>
  <c r="B651" i="10"/>
  <c r="H651" i="10" s="1"/>
  <c r="N650" i="10"/>
  <c r="H650" i="10"/>
  <c r="C650" i="10"/>
  <c r="B650" i="10"/>
  <c r="N649" i="10"/>
  <c r="I649" i="10"/>
  <c r="E649" i="10"/>
  <c r="C649" i="10"/>
  <c r="B649" i="10"/>
  <c r="H649" i="10" s="1"/>
  <c r="N648" i="10"/>
  <c r="C648" i="10"/>
  <c r="I648" i="10" s="1"/>
  <c r="B648" i="10"/>
  <c r="H648" i="10" s="1"/>
  <c r="N647" i="10"/>
  <c r="C647" i="10"/>
  <c r="B647" i="10"/>
  <c r="H647" i="10" s="1"/>
  <c r="N646" i="10"/>
  <c r="H646" i="10"/>
  <c r="C646" i="10"/>
  <c r="B646" i="10"/>
  <c r="N645" i="10"/>
  <c r="I645" i="10"/>
  <c r="E645" i="10"/>
  <c r="C645" i="10"/>
  <c r="B645" i="10"/>
  <c r="H645" i="10" s="1"/>
  <c r="N644" i="10"/>
  <c r="C644" i="10"/>
  <c r="I644" i="10" s="1"/>
  <c r="B644" i="10"/>
  <c r="H644" i="10" s="1"/>
  <c r="N643" i="10"/>
  <c r="C643" i="10"/>
  <c r="B643" i="10"/>
  <c r="H643" i="10" s="1"/>
  <c r="N642" i="10"/>
  <c r="H642" i="10"/>
  <c r="C642" i="10"/>
  <c r="B642" i="10"/>
  <c r="N641" i="10"/>
  <c r="I641" i="10"/>
  <c r="E641" i="10"/>
  <c r="C641" i="10"/>
  <c r="B641" i="10"/>
  <c r="H641" i="10" s="1"/>
  <c r="N640" i="10"/>
  <c r="C640" i="10"/>
  <c r="I640" i="10" s="1"/>
  <c r="B640" i="10"/>
  <c r="H640" i="10" s="1"/>
  <c r="N639" i="10"/>
  <c r="C639" i="10"/>
  <c r="B639" i="10"/>
  <c r="H639" i="10" s="1"/>
  <c r="N638" i="10"/>
  <c r="H638" i="10"/>
  <c r="C638" i="10"/>
  <c r="B638" i="10"/>
  <c r="N637" i="10"/>
  <c r="I637" i="10"/>
  <c r="E637" i="10"/>
  <c r="C637" i="10"/>
  <c r="B637" i="10"/>
  <c r="H637" i="10" s="1"/>
  <c r="N636" i="10"/>
  <c r="C636" i="10"/>
  <c r="I636" i="10" s="1"/>
  <c r="B636" i="10"/>
  <c r="H636" i="10" s="1"/>
  <c r="N635" i="10"/>
  <c r="C635" i="10"/>
  <c r="B635" i="10"/>
  <c r="H635" i="10" s="1"/>
  <c r="N634" i="10"/>
  <c r="H634" i="10"/>
  <c r="C634" i="10"/>
  <c r="B634" i="10"/>
  <c r="N633" i="10"/>
  <c r="I633" i="10"/>
  <c r="E633" i="10"/>
  <c r="C633" i="10"/>
  <c r="B633" i="10"/>
  <c r="H633" i="10" s="1"/>
  <c r="N632" i="10"/>
  <c r="C632" i="10"/>
  <c r="I632" i="10" s="1"/>
  <c r="B632" i="10"/>
  <c r="H632" i="10" s="1"/>
  <c r="N631" i="10"/>
  <c r="C631" i="10"/>
  <c r="B631" i="10"/>
  <c r="H631" i="10" s="1"/>
  <c r="N630" i="10"/>
  <c r="H630" i="10"/>
  <c r="C630" i="10"/>
  <c r="B630" i="10"/>
  <c r="N629" i="10"/>
  <c r="I629" i="10"/>
  <c r="E629" i="10"/>
  <c r="C629" i="10"/>
  <c r="B629" i="10"/>
  <c r="H629" i="10" s="1"/>
  <c r="N628" i="10"/>
  <c r="C628" i="10"/>
  <c r="I628" i="10" s="1"/>
  <c r="B628" i="10"/>
  <c r="H628" i="10" s="1"/>
  <c r="N627" i="10"/>
  <c r="C627" i="10"/>
  <c r="B627" i="10"/>
  <c r="H627" i="10" s="1"/>
  <c r="N626" i="10"/>
  <c r="H626" i="10"/>
  <c r="C626" i="10"/>
  <c r="B626" i="10"/>
  <c r="N625" i="10"/>
  <c r="I625" i="10"/>
  <c r="E625" i="10"/>
  <c r="C625" i="10"/>
  <c r="B625" i="10"/>
  <c r="H625" i="10" s="1"/>
  <c r="N624" i="10"/>
  <c r="C624" i="10"/>
  <c r="I624" i="10" s="1"/>
  <c r="B624" i="10"/>
  <c r="H624" i="10" s="1"/>
  <c r="N623" i="10"/>
  <c r="C623" i="10"/>
  <c r="B623" i="10"/>
  <c r="H623" i="10" s="1"/>
  <c r="N622" i="10"/>
  <c r="H622" i="10"/>
  <c r="C622" i="10"/>
  <c r="B622" i="10"/>
  <c r="N621" i="10"/>
  <c r="I621" i="10"/>
  <c r="E621" i="10"/>
  <c r="C621" i="10"/>
  <c r="B621" i="10"/>
  <c r="H621" i="10" s="1"/>
  <c r="N620" i="10"/>
  <c r="C620" i="10"/>
  <c r="I620" i="10" s="1"/>
  <c r="B620" i="10"/>
  <c r="H620" i="10" s="1"/>
  <c r="N619" i="10"/>
  <c r="C619" i="10"/>
  <c r="B619" i="10"/>
  <c r="H619" i="10" s="1"/>
  <c r="N618" i="10"/>
  <c r="H618" i="10"/>
  <c r="C618" i="10"/>
  <c r="B618" i="10"/>
  <c r="N617" i="10"/>
  <c r="I617" i="10"/>
  <c r="E617" i="10"/>
  <c r="C617" i="10"/>
  <c r="B617" i="10"/>
  <c r="H617" i="10" s="1"/>
  <c r="N616" i="10"/>
  <c r="C616" i="10"/>
  <c r="I616" i="10" s="1"/>
  <c r="B616" i="10"/>
  <c r="H616" i="10" s="1"/>
  <c r="N615" i="10"/>
  <c r="C615" i="10"/>
  <c r="B615" i="10"/>
  <c r="H615" i="10" s="1"/>
  <c r="N614" i="10"/>
  <c r="H614" i="10"/>
  <c r="C614" i="10"/>
  <c r="B614" i="10"/>
  <c r="N613" i="10"/>
  <c r="I613" i="10"/>
  <c r="E613" i="10"/>
  <c r="C613" i="10"/>
  <c r="B613" i="10"/>
  <c r="H613" i="10" s="1"/>
  <c r="N612" i="10"/>
  <c r="C612" i="10"/>
  <c r="I612" i="10" s="1"/>
  <c r="B612" i="10"/>
  <c r="H612" i="10" s="1"/>
  <c r="N611" i="10"/>
  <c r="C611" i="10"/>
  <c r="B611" i="10"/>
  <c r="H611" i="10" s="1"/>
  <c r="N610" i="10"/>
  <c r="H610" i="10"/>
  <c r="C610" i="10"/>
  <c r="B610" i="10"/>
  <c r="N609" i="10"/>
  <c r="I609" i="10"/>
  <c r="E609" i="10"/>
  <c r="C609" i="10"/>
  <c r="B609" i="10"/>
  <c r="H609" i="10" s="1"/>
  <c r="N608" i="10"/>
  <c r="C608" i="10"/>
  <c r="I608" i="10" s="1"/>
  <c r="B608" i="10"/>
  <c r="H608" i="10" s="1"/>
  <c r="N607" i="10"/>
  <c r="C607" i="10"/>
  <c r="B607" i="10"/>
  <c r="H607" i="10" s="1"/>
  <c r="N606" i="10"/>
  <c r="H606" i="10"/>
  <c r="C606" i="10"/>
  <c r="B606" i="10"/>
  <c r="N605" i="10"/>
  <c r="I605" i="10"/>
  <c r="E605" i="10"/>
  <c r="C605" i="10"/>
  <c r="B605" i="10"/>
  <c r="H605" i="10" s="1"/>
  <c r="N604" i="10"/>
  <c r="C604" i="10"/>
  <c r="I604" i="10" s="1"/>
  <c r="B604" i="10"/>
  <c r="H604" i="10" s="1"/>
  <c r="N603" i="10"/>
  <c r="C603" i="10"/>
  <c r="B603" i="10"/>
  <c r="H603" i="10" s="1"/>
  <c r="N602" i="10"/>
  <c r="H602" i="10"/>
  <c r="C602" i="10"/>
  <c r="B602" i="10"/>
  <c r="N601" i="10"/>
  <c r="I601" i="10"/>
  <c r="E601" i="10"/>
  <c r="C601" i="10"/>
  <c r="B601" i="10"/>
  <c r="H601" i="10" s="1"/>
  <c r="N600" i="10"/>
  <c r="C600" i="10"/>
  <c r="I600" i="10" s="1"/>
  <c r="B600" i="10"/>
  <c r="H600" i="10" s="1"/>
  <c r="N599" i="10"/>
  <c r="C599" i="10"/>
  <c r="B599" i="10"/>
  <c r="H599" i="10" s="1"/>
  <c r="N598" i="10"/>
  <c r="H598" i="10"/>
  <c r="C598" i="10"/>
  <c r="B598" i="10"/>
  <c r="N597" i="10"/>
  <c r="I597" i="10"/>
  <c r="E597" i="10"/>
  <c r="C597" i="10"/>
  <c r="B597" i="10"/>
  <c r="H597" i="10" s="1"/>
  <c r="N596" i="10"/>
  <c r="C596" i="10"/>
  <c r="I596" i="10" s="1"/>
  <c r="B596" i="10"/>
  <c r="H596" i="10" s="1"/>
  <c r="N595" i="10"/>
  <c r="C595" i="10"/>
  <c r="B595" i="10"/>
  <c r="H595" i="10" s="1"/>
  <c r="N594" i="10"/>
  <c r="H594" i="10"/>
  <c r="C594" i="10"/>
  <c r="B594" i="10"/>
  <c r="N593" i="10"/>
  <c r="I593" i="10"/>
  <c r="E593" i="10"/>
  <c r="C593" i="10"/>
  <c r="B593" i="10"/>
  <c r="H593" i="10" s="1"/>
  <c r="N592" i="10"/>
  <c r="C592" i="10"/>
  <c r="I592" i="10" s="1"/>
  <c r="B592" i="10"/>
  <c r="H592" i="10" s="1"/>
  <c r="N591" i="10"/>
  <c r="C591" i="10"/>
  <c r="B591" i="10"/>
  <c r="H591" i="10" s="1"/>
  <c r="N590" i="10"/>
  <c r="H590" i="10"/>
  <c r="C590" i="10"/>
  <c r="B590" i="10"/>
  <c r="N589" i="10"/>
  <c r="I589" i="10"/>
  <c r="E589" i="10"/>
  <c r="C589" i="10"/>
  <c r="B589" i="10"/>
  <c r="H589" i="10" s="1"/>
  <c r="N588" i="10"/>
  <c r="C588" i="10"/>
  <c r="I588" i="10" s="1"/>
  <c r="B588" i="10"/>
  <c r="H588" i="10" s="1"/>
  <c r="N587" i="10"/>
  <c r="C587" i="10"/>
  <c r="B587" i="10"/>
  <c r="H587" i="10" s="1"/>
  <c r="N586" i="10"/>
  <c r="H586" i="10"/>
  <c r="C586" i="10"/>
  <c r="B586" i="10"/>
  <c r="N585" i="10"/>
  <c r="I585" i="10"/>
  <c r="E585" i="10"/>
  <c r="C585" i="10"/>
  <c r="B585" i="10"/>
  <c r="H585" i="10" s="1"/>
  <c r="N584" i="10"/>
  <c r="C584" i="10"/>
  <c r="I584" i="10" s="1"/>
  <c r="B584" i="10"/>
  <c r="H584" i="10" s="1"/>
  <c r="N583" i="10"/>
  <c r="C583" i="10"/>
  <c r="B583" i="10"/>
  <c r="H583" i="10" s="1"/>
  <c r="N582" i="10"/>
  <c r="H582" i="10"/>
  <c r="C582" i="10"/>
  <c r="B582" i="10"/>
  <c r="N581" i="10"/>
  <c r="I581" i="10"/>
  <c r="E581" i="10"/>
  <c r="C581" i="10"/>
  <c r="B581" i="10"/>
  <c r="H581" i="10" s="1"/>
  <c r="N580" i="10"/>
  <c r="C580" i="10"/>
  <c r="I580" i="10" s="1"/>
  <c r="B580" i="10"/>
  <c r="H580" i="10" s="1"/>
  <c r="N579" i="10"/>
  <c r="C579" i="10"/>
  <c r="B579" i="10"/>
  <c r="H579" i="10" s="1"/>
  <c r="N578" i="10"/>
  <c r="H578" i="10"/>
  <c r="C578" i="10"/>
  <c r="B578" i="10"/>
  <c r="N577" i="10"/>
  <c r="I577" i="10"/>
  <c r="E577" i="10"/>
  <c r="C577" i="10"/>
  <c r="B577" i="10"/>
  <c r="H577" i="10" s="1"/>
  <c r="N576" i="10"/>
  <c r="C576" i="10"/>
  <c r="I576" i="10" s="1"/>
  <c r="B576" i="10"/>
  <c r="H576" i="10" s="1"/>
  <c r="N575" i="10"/>
  <c r="C575" i="10"/>
  <c r="B575" i="10"/>
  <c r="H575" i="10" s="1"/>
  <c r="N574" i="10"/>
  <c r="H574" i="10"/>
  <c r="C574" i="10"/>
  <c r="B574" i="10"/>
  <c r="N573" i="10"/>
  <c r="I573" i="10"/>
  <c r="E573" i="10"/>
  <c r="C573" i="10"/>
  <c r="B573" i="10"/>
  <c r="H573" i="10" s="1"/>
  <c r="N572" i="10"/>
  <c r="C572" i="10"/>
  <c r="I572" i="10" s="1"/>
  <c r="B572" i="10"/>
  <c r="H572" i="10" s="1"/>
  <c r="N571" i="10"/>
  <c r="C571" i="10"/>
  <c r="B571" i="10"/>
  <c r="H571" i="10" s="1"/>
  <c r="N570" i="10"/>
  <c r="H570" i="10"/>
  <c r="C570" i="10"/>
  <c r="B570" i="10"/>
  <c r="N569" i="10"/>
  <c r="I569" i="10"/>
  <c r="E569" i="10"/>
  <c r="C569" i="10"/>
  <c r="B569" i="10"/>
  <c r="H569" i="10" s="1"/>
  <c r="N568" i="10"/>
  <c r="C568" i="10"/>
  <c r="I568" i="10" s="1"/>
  <c r="B568" i="10"/>
  <c r="H568" i="10" s="1"/>
  <c r="N567" i="10"/>
  <c r="C567" i="10"/>
  <c r="B567" i="10"/>
  <c r="H567" i="10" s="1"/>
  <c r="N566" i="10"/>
  <c r="H566" i="10"/>
  <c r="C566" i="10"/>
  <c r="B566" i="10"/>
  <c r="N565" i="10"/>
  <c r="I565" i="10"/>
  <c r="E565" i="10"/>
  <c r="C565" i="10"/>
  <c r="B565" i="10"/>
  <c r="H565" i="10" s="1"/>
  <c r="N564" i="10"/>
  <c r="C564" i="10"/>
  <c r="I564" i="10" s="1"/>
  <c r="B564" i="10"/>
  <c r="H564" i="10" s="1"/>
  <c r="N563" i="10"/>
  <c r="C563" i="10"/>
  <c r="B563" i="10"/>
  <c r="H563" i="10" s="1"/>
  <c r="N562" i="10"/>
  <c r="H562" i="10"/>
  <c r="C562" i="10"/>
  <c r="B562" i="10"/>
  <c r="N561" i="10"/>
  <c r="I561" i="10"/>
  <c r="E561" i="10"/>
  <c r="C561" i="10"/>
  <c r="B561" i="10"/>
  <c r="H561" i="10" s="1"/>
  <c r="N560" i="10"/>
  <c r="C560" i="10"/>
  <c r="I560" i="10" s="1"/>
  <c r="B560" i="10"/>
  <c r="H560" i="10" s="1"/>
  <c r="N559" i="10"/>
  <c r="C559" i="10"/>
  <c r="B559" i="10"/>
  <c r="H559" i="10" s="1"/>
  <c r="N558" i="10"/>
  <c r="H558" i="10"/>
  <c r="C558" i="10"/>
  <c r="B558" i="10"/>
  <c r="N557" i="10"/>
  <c r="I557" i="10"/>
  <c r="E557" i="10"/>
  <c r="C557" i="10"/>
  <c r="B557" i="10"/>
  <c r="H557" i="10" s="1"/>
  <c r="N556" i="10"/>
  <c r="C556" i="10"/>
  <c r="I556" i="10" s="1"/>
  <c r="B556" i="10"/>
  <c r="H556" i="10" s="1"/>
  <c r="N555" i="10"/>
  <c r="C555" i="10"/>
  <c r="B555" i="10"/>
  <c r="H555" i="10" s="1"/>
  <c r="N554" i="10"/>
  <c r="H554" i="10"/>
  <c r="C554" i="10"/>
  <c r="B554" i="10"/>
  <c r="N553" i="10"/>
  <c r="I553" i="10"/>
  <c r="E553" i="10"/>
  <c r="C553" i="10"/>
  <c r="B553" i="10"/>
  <c r="H553" i="10" s="1"/>
  <c r="N552" i="10"/>
  <c r="C552" i="10"/>
  <c r="I552" i="10" s="1"/>
  <c r="B552" i="10"/>
  <c r="H552" i="10" s="1"/>
  <c r="N551" i="10"/>
  <c r="C551" i="10"/>
  <c r="B551" i="10"/>
  <c r="H551" i="10" s="1"/>
  <c r="N550" i="10"/>
  <c r="H550" i="10"/>
  <c r="C550" i="10"/>
  <c r="B550" i="10"/>
  <c r="N549" i="10"/>
  <c r="I549" i="10"/>
  <c r="E549" i="10"/>
  <c r="C549" i="10"/>
  <c r="B549" i="10"/>
  <c r="H549" i="10" s="1"/>
  <c r="N548" i="10"/>
  <c r="C548" i="10"/>
  <c r="I548" i="10" s="1"/>
  <c r="B548" i="10"/>
  <c r="H548" i="10" s="1"/>
  <c r="N547" i="10"/>
  <c r="C547" i="10"/>
  <c r="B547" i="10"/>
  <c r="H547" i="10" s="1"/>
  <c r="N546" i="10"/>
  <c r="H546" i="10"/>
  <c r="C546" i="10"/>
  <c r="B546" i="10"/>
  <c r="N545" i="10"/>
  <c r="I545" i="10"/>
  <c r="E545" i="10"/>
  <c r="C545" i="10"/>
  <c r="B545" i="10"/>
  <c r="H545" i="10" s="1"/>
  <c r="N544" i="10"/>
  <c r="C544" i="10"/>
  <c r="I544" i="10" s="1"/>
  <c r="B544" i="10"/>
  <c r="H544" i="10" s="1"/>
  <c r="N543" i="10"/>
  <c r="C543" i="10"/>
  <c r="B543" i="10"/>
  <c r="H543" i="10" s="1"/>
  <c r="N542" i="10"/>
  <c r="H542" i="10"/>
  <c r="C542" i="10"/>
  <c r="B542" i="10"/>
  <c r="N541" i="10"/>
  <c r="I541" i="10"/>
  <c r="E541" i="10"/>
  <c r="C541" i="10"/>
  <c r="B541" i="10"/>
  <c r="H541" i="10" s="1"/>
  <c r="N540" i="10"/>
  <c r="C540" i="10"/>
  <c r="I540" i="10" s="1"/>
  <c r="B540" i="10"/>
  <c r="H540" i="10" s="1"/>
  <c r="N539" i="10"/>
  <c r="C539" i="10"/>
  <c r="B539" i="10"/>
  <c r="H539" i="10" s="1"/>
  <c r="N538" i="10"/>
  <c r="H538" i="10"/>
  <c r="C538" i="10"/>
  <c r="B538" i="10"/>
  <c r="N537" i="10"/>
  <c r="I537" i="10"/>
  <c r="E537" i="10"/>
  <c r="C537" i="10"/>
  <c r="B537" i="10"/>
  <c r="H537" i="10" s="1"/>
  <c r="N536" i="10"/>
  <c r="C536" i="10"/>
  <c r="I536" i="10" s="1"/>
  <c r="B536" i="10"/>
  <c r="H536" i="10" s="1"/>
  <c r="N535" i="10"/>
  <c r="C535" i="10"/>
  <c r="B535" i="10"/>
  <c r="H535" i="10" s="1"/>
  <c r="N534" i="10"/>
  <c r="H534" i="10"/>
  <c r="C534" i="10"/>
  <c r="B534" i="10"/>
  <c r="N533" i="10"/>
  <c r="I533" i="10"/>
  <c r="H533" i="10"/>
  <c r="E533" i="10"/>
  <c r="C533" i="10"/>
  <c r="B533" i="10"/>
  <c r="N532" i="10"/>
  <c r="C532" i="10"/>
  <c r="I532" i="10" s="1"/>
  <c r="B532" i="10"/>
  <c r="H532" i="10" s="1"/>
  <c r="N531" i="10"/>
  <c r="C531" i="10"/>
  <c r="B531" i="10"/>
  <c r="H531" i="10" s="1"/>
  <c r="N530" i="10"/>
  <c r="H530" i="10"/>
  <c r="C530" i="10"/>
  <c r="B530" i="10"/>
  <c r="N529" i="10"/>
  <c r="I529" i="10"/>
  <c r="H529" i="10"/>
  <c r="E529" i="10"/>
  <c r="C529" i="10"/>
  <c r="B529" i="10"/>
  <c r="N528" i="10"/>
  <c r="C528" i="10"/>
  <c r="I528" i="10" s="1"/>
  <c r="B528" i="10"/>
  <c r="H528" i="10" s="1"/>
  <c r="N527" i="10"/>
  <c r="C527" i="10"/>
  <c r="B527" i="10"/>
  <c r="H527" i="10" s="1"/>
  <c r="N526" i="10"/>
  <c r="H526" i="10"/>
  <c r="C526" i="10"/>
  <c r="B526" i="10"/>
  <c r="N525" i="10"/>
  <c r="I525" i="10"/>
  <c r="H525" i="10"/>
  <c r="E525" i="10"/>
  <c r="C525" i="10"/>
  <c r="B525" i="10"/>
  <c r="N524" i="10"/>
  <c r="C524" i="10"/>
  <c r="I524" i="10" s="1"/>
  <c r="B524" i="10"/>
  <c r="H524" i="10" s="1"/>
  <c r="N523" i="10"/>
  <c r="C523" i="10"/>
  <c r="B523" i="10"/>
  <c r="H523" i="10" s="1"/>
  <c r="N522" i="10"/>
  <c r="H522" i="10"/>
  <c r="C522" i="10"/>
  <c r="B522" i="10"/>
  <c r="N521" i="10"/>
  <c r="I521" i="10"/>
  <c r="E521" i="10"/>
  <c r="C521" i="10"/>
  <c r="B521" i="10"/>
  <c r="H521" i="10" s="1"/>
  <c r="N520" i="10"/>
  <c r="C520" i="10"/>
  <c r="I520" i="10" s="1"/>
  <c r="B520" i="10"/>
  <c r="H520" i="10" s="1"/>
  <c r="N519" i="10"/>
  <c r="C519" i="10"/>
  <c r="B519" i="10"/>
  <c r="H519" i="10" s="1"/>
  <c r="N518" i="10"/>
  <c r="H518" i="10"/>
  <c r="C518" i="10"/>
  <c r="B518" i="10"/>
  <c r="N517" i="10"/>
  <c r="I517" i="10"/>
  <c r="H517" i="10"/>
  <c r="E517" i="10"/>
  <c r="C517" i="10"/>
  <c r="B517" i="10"/>
  <c r="N516" i="10"/>
  <c r="C516" i="10"/>
  <c r="I516" i="10" s="1"/>
  <c r="B516" i="10"/>
  <c r="H516" i="10" s="1"/>
  <c r="N515" i="10"/>
  <c r="C515" i="10"/>
  <c r="B515" i="10"/>
  <c r="H515" i="10" s="1"/>
  <c r="N514" i="10"/>
  <c r="H514" i="10"/>
  <c r="C514" i="10"/>
  <c r="B514" i="10"/>
  <c r="N513" i="10"/>
  <c r="I513" i="10"/>
  <c r="H513" i="10"/>
  <c r="E513" i="10"/>
  <c r="C513" i="10"/>
  <c r="B513" i="10"/>
  <c r="N512" i="10"/>
  <c r="C512" i="10"/>
  <c r="I512" i="10" s="1"/>
  <c r="B512" i="10"/>
  <c r="H512" i="10" s="1"/>
  <c r="N511" i="10"/>
  <c r="C511" i="10"/>
  <c r="B511" i="10"/>
  <c r="H511" i="10" s="1"/>
  <c r="N510" i="10"/>
  <c r="H510" i="10"/>
  <c r="C510" i="10"/>
  <c r="B510" i="10"/>
  <c r="N509" i="10"/>
  <c r="I509" i="10"/>
  <c r="H509" i="10"/>
  <c r="E509" i="10"/>
  <c r="C509" i="10"/>
  <c r="B509" i="10"/>
  <c r="N508" i="10"/>
  <c r="I508" i="10"/>
  <c r="E508" i="10"/>
  <c r="C508" i="10"/>
  <c r="B508" i="10"/>
  <c r="H508" i="10" s="1"/>
  <c r="N507" i="10"/>
  <c r="C507" i="10"/>
  <c r="B507" i="10"/>
  <c r="H507" i="10" s="1"/>
  <c r="N506" i="10"/>
  <c r="H506" i="10"/>
  <c r="C506" i="10"/>
  <c r="B506" i="10"/>
  <c r="N505" i="10"/>
  <c r="I505" i="10"/>
  <c r="H505" i="10"/>
  <c r="E505" i="10"/>
  <c r="C505" i="10"/>
  <c r="B505" i="10"/>
  <c r="N504" i="10"/>
  <c r="I504" i="10"/>
  <c r="E504" i="10"/>
  <c r="C504" i="10"/>
  <c r="B504" i="10"/>
  <c r="H504" i="10" s="1"/>
  <c r="N503" i="10"/>
  <c r="C503" i="10"/>
  <c r="B503" i="10"/>
  <c r="H503" i="10" s="1"/>
  <c r="N502" i="10"/>
  <c r="H502" i="10"/>
  <c r="C502" i="10"/>
  <c r="B502" i="10"/>
  <c r="N501" i="10"/>
  <c r="I501" i="10"/>
  <c r="H501" i="10"/>
  <c r="E501" i="10"/>
  <c r="C501" i="10"/>
  <c r="B501" i="10"/>
  <c r="N500" i="10"/>
  <c r="I500" i="10"/>
  <c r="E500" i="10"/>
  <c r="C500" i="10"/>
  <c r="B500" i="10"/>
  <c r="H500" i="10" s="1"/>
  <c r="N499" i="10"/>
  <c r="C499" i="10"/>
  <c r="B499" i="10"/>
  <c r="H499" i="10" s="1"/>
  <c r="N498" i="10"/>
  <c r="H498" i="10"/>
  <c r="C498" i="10"/>
  <c r="B498" i="10"/>
  <c r="N497" i="10"/>
  <c r="I497" i="10"/>
  <c r="H497" i="10"/>
  <c r="E497" i="10"/>
  <c r="C497" i="10"/>
  <c r="B497" i="10"/>
  <c r="N496" i="10"/>
  <c r="I496" i="10"/>
  <c r="E496" i="10"/>
  <c r="C496" i="10"/>
  <c r="B496" i="10"/>
  <c r="H496" i="10" s="1"/>
  <c r="N495" i="10"/>
  <c r="C495" i="10"/>
  <c r="B495" i="10"/>
  <c r="H495" i="10" s="1"/>
  <c r="N494" i="10"/>
  <c r="H494" i="10"/>
  <c r="C494" i="10"/>
  <c r="B494" i="10"/>
  <c r="N493" i="10"/>
  <c r="I493" i="10"/>
  <c r="H493" i="10"/>
  <c r="E493" i="10"/>
  <c r="C493" i="10"/>
  <c r="B493" i="10"/>
  <c r="N492" i="10"/>
  <c r="I492" i="10"/>
  <c r="E492" i="10"/>
  <c r="C492" i="10"/>
  <c r="B492" i="10"/>
  <c r="H492" i="10" s="1"/>
  <c r="N491" i="10"/>
  <c r="C491" i="10"/>
  <c r="B491" i="10"/>
  <c r="H491" i="10" s="1"/>
  <c r="N490" i="10"/>
  <c r="H490" i="10"/>
  <c r="C490" i="10"/>
  <c r="B490" i="10"/>
  <c r="N489" i="10"/>
  <c r="I489" i="10"/>
  <c r="H489" i="10"/>
  <c r="E489" i="10"/>
  <c r="C489" i="10"/>
  <c r="B489" i="10"/>
  <c r="N488" i="10"/>
  <c r="I488" i="10"/>
  <c r="E488" i="10"/>
  <c r="C488" i="10"/>
  <c r="B488" i="10"/>
  <c r="H488" i="10" s="1"/>
  <c r="N487" i="10"/>
  <c r="C487" i="10"/>
  <c r="B487" i="10"/>
  <c r="H487" i="10" s="1"/>
  <c r="N486" i="10"/>
  <c r="H486" i="10"/>
  <c r="C486" i="10"/>
  <c r="B486" i="10"/>
  <c r="N485" i="10"/>
  <c r="I485" i="10"/>
  <c r="H485" i="10"/>
  <c r="E485" i="10"/>
  <c r="C485" i="10"/>
  <c r="B485" i="10"/>
  <c r="N484" i="10"/>
  <c r="I484" i="10"/>
  <c r="E484" i="10"/>
  <c r="C484" i="10"/>
  <c r="B484" i="10"/>
  <c r="H484" i="10" s="1"/>
  <c r="N483" i="10"/>
  <c r="C483" i="10"/>
  <c r="B483" i="10"/>
  <c r="H483" i="10" s="1"/>
  <c r="N482" i="10"/>
  <c r="H482" i="10"/>
  <c r="C482" i="10"/>
  <c r="B482" i="10"/>
  <c r="N481" i="10"/>
  <c r="I481" i="10"/>
  <c r="H481" i="10"/>
  <c r="E481" i="10"/>
  <c r="C481" i="10"/>
  <c r="B481" i="10"/>
  <c r="N480" i="10"/>
  <c r="I480" i="10"/>
  <c r="E480" i="10"/>
  <c r="C480" i="10"/>
  <c r="B480" i="10"/>
  <c r="H480" i="10" s="1"/>
  <c r="N479" i="10"/>
  <c r="C479" i="10"/>
  <c r="B479" i="10"/>
  <c r="H479" i="10" s="1"/>
  <c r="N478" i="10"/>
  <c r="H478" i="10"/>
  <c r="C478" i="10"/>
  <c r="B478" i="10"/>
  <c r="N477" i="10"/>
  <c r="I477" i="10"/>
  <c r="H477" i="10"/>
  <c r="E477" i="10"/>
  <c r="C477" i="10"/>
  <c r="B477" i="10"/>
  <c r="N476" i="10"/>
  <c r="I476" i="10"/>
  <c r="E476" i="10"/>
  <c r="C476" i="10"/>
  <c r="B476" i="10"/>
  <c r="H476" i="10" s="1"/>
  <c r="N475" i="10"/>
  <c r="C475" i="10"/>
  <c r="B475" i="10"/>
  <c r="H475" i="10" s="1"/>
  <c r="N474" i="10"/>
  <c r="H474" i="10"/>
  <c r="C474" i="10"/>
  <c r="B474" i="10"/>
  <c r="N473" i="10"/>
  <c r="I473" i="10"/>
  <c r="H473" i="10"/>
  <c r="E473" i="10"/>
  <c r="C473" i="10"/>
  <c r="B473" i="10"/>
  <c r="N472" i="10"/>
  <c r="I472" i="10"/>
  <c r="E472" i="10"/>
  <c r="C472" i="10"/>
  <c r="B472" i="10"/>
  <c r="H472" i="10" s="1"/>
  <c r="N471" i="10"/>
  <c r="C471" i="10"/>
  <c r="B471" i="10"/>
  <c r="H471" i="10" s="1"/>
  <c r="N470" i="10"/>
  <c r="H470" i="10"/>
  <c r="C470" i="10"/>
  <c r="B470" i="10"/>
  <c r="N469" i="10"/>
  <c r="I469" i="10"/>
  <c r="H469" i="10"/>
  <c r="E469" i="10"/>
  <c r="C469" i="10"/>
  <c r="B469" i="10"/>
  <c r="N468" i="10"/>
  <c r="I468" i="10"/>
  <c r="E468" i="10"/>
  <c r="C468" i="10"/>
  <c r="B468" i="10"/>
  <c r="H468" i="10" s="1"/>
  <c r="N467" i="10"/>
  <c r="C467" i="10"/>
  <c r="B467" i="10"/>
  <c r="H467" i="10" s="1"/>
  <c r="N466" i="10"/>
  <c r="H466" i="10"/>
  <c r="C466" i="10"/>
  <c r="B466" i="10"/>
  <c r="N465" i="10"/>
  <c r="I465" i="10"/>
  <c r="H465" i="10"/>
  <c r="E465" i="10"/>
  <c r="C465" i="10"/>
  <c r="B465" i="10"/>
  <c r="N464" i="10"/>
  <c r="I464" i="10"/>
  <c r="E464" i="10"/>
  <c r="C464" i="10"/>
  <c r="B464" i="10"/>
  <c r="H464" i="10" s="1"/>
  <c r="N463" i="10"/>
  <c r="C463" i="10"/>
  <c r="B463" i="10"/>
  <c r="H463" i="10" s="1"/>
  <c r="N462" i="10"/>
  <c r="H462" i="10"/>
  <c r="C462" i="10"/>
  <c r="B462" i="10"/>
  <c r="N461" i="10"/>
  <c r="I461" i="10"/>
  <c r="H461" i="10"/>
  <c r="E461" i="10"/>
  <c r="C461" i="10"/>
  <c r="B461" i="10"/>
  <c r="N460" i="10"/>
  <c r="I460" i="10"/>
  <c r="E460" i="10"/>
  <c r="C460" i="10"/>
  <c r="B460" i="10"/>
  <c r="H460" i="10" s="1"/>
  <c r="N459" i="10"/>
  <c r="C459" i="10"/>
  <c r="B459" i="10"/>
  <c r="H459" i="10" s="1"/>
  <c r="N458" i="10"/>
  <c r="H458" i="10"/>
  <c r="C458" i="10"/>
  <c r="B458" i="10"/>
  <c r="N457" i="10"/>
  <c r="I457" i="10"/>
  <c r="H457" i="10"/>
  <c r="E457" i="10"/>
  <c r="C457" i="10"/>
  <c r="B457" i="10"/>
  <c r="N456" i="10"/>
  <c r="I456" i="10"/>
  <c r="E456" i="10"/>
  <c r="C456" i="10"/>
  <c r="B456" i="10"/>
  <c r="H456" i="10" s="1"/>
  <c r="N455" i="10"/>
  <c r="C455" i="10"/>
  <c r="B455" i="10"/>
  <c r="H455" i="10" s="1"/>
  <c r="N454" i="10"/>
  <c r="H454" i="10"/>
  <c r="C454" i="10"/>
  <c r="B454" i="10"/>
  <c r="N453" i="10"/>
  <c r="I453" i="10"/>
  <c r="H453" i="10"/>
  <c r="E453" i="10"/>
  <c r="C453" i="10"/>
  <c r="B453" i="10"/>
  <c r="N452" i="10"/>
  <c r="I452" i="10"/>
  <c r="E452" i="10"/>
  <c r="C452" i="10"/>
  <c r="B452" i="10"/>
  <c r="H452" i="10" s="1"/>
  <c r="N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E353" i="10"/>
  <c r="C353" i="10"/>
  <c r="B353" i="10"/>
  <c r="H353" i="10" s="1"/>
  <c r="N352" i="10"/>
  <c r="H352" i="10"/>
  <c r="C352" i="10"/>
  <c r="I352" i="10" s="1"/>
  <c r="B352" i="10"/>
  <c r="N351" i="10"/>
  <c r="I351" i="10"/>
  <c r="E351" i="10"/>
  <c r="C351" i="10"/>
  <c r="B351" i="10"/>
  <c r="H351" i="10" s="1"/>
  <c r="N350" i="10"/>
  <c r="H350" i="10"/>
  <c r="C350" i="10"/>
  <c r="B350" i="10"/>
  <c r="N349" i="10"/>
  <c r="I349" i="10"/>
  <c r="E349" i="10"/>
  <c r="C349" i="10"/>
  <c r="B349" i="10"/>
  <c r="H349" i="10" s="1"/>
  <c r="N348" i="10"/>
  <c r="H348" i="10"/>
  <c r="C348" i="10"/>
  <c r="I348" i="10" s="1"/>
  <c r="B348" i="10"/>
  <c r="N347" i="10"/>
  <c r="I347" i="10"/>
  <c r="E347" i="10"/>
  <c r="C347" i="10"/>
  <c r="B347" i="10"/>
  <c r="H347" i="10" s="1"/>
  <c r="H346" i="10"/>
  <c r="C346" i="10"/>
  <c r="B346" i="10"/>
  <c r="I345" i="10"/>
  <c r="E345" i="10"/>
  <c r="C345" i="10"/>
  <c r="B345" i="10"/>
  <c r="H345" i="10" s="1"/>
  <c r="H344" i="10"/>
  <c r="C344" i="10"/>
  <c r="I344" i="10" s="1"/>
  <c r="B344" i="10"/>
  <c r="I343" i="10"/>
  <c r="E343" i="10"/>
  <c r="C343" i="10"/>
  <c r="B343" i="10"/>
  <c r="H343" i="10" s="1"/>
  <c r="H342" i="10"/>
  <c r="C342" i="10"/>
  <c r="B342" i="10"/>
  <c r="I341" i="10"/>
  <c r="E341" i="10"/>
  <c r="C341" i="10"/>
  <c r="B341" i="10"/>
  <c r="H341" i="10" s="1"/>
  <c r="H340" i="10"/>
  <c r="C340" i="10"/>
  <c r="I340" i="10" s="1"/>
  <c r="B340" i="10"/>
  <c r="I339" i="10"/>
  <c r="E339" i="10"/>
  <c r="C339" i="10"/>
  <c r="B339" i="10"/>
  <c r="H339" i="10" s="1"/>
  <c r="H338" i="10"/>
  <c r="C338" i="10"/>
  <c r="B338" i="10"/>
  <c r="I337" i="10"/>
  <c r="E337" i="10"/>
  <c r="C337" i="10"/>
  <c r="B337" i="10"/>
  <c r="H337" i="10" s="1"/>
  <c r="H336" i="10"/>
  <c r="C336" i="10"/>
  <c r="I336" i="10" s="1"/>
  <c r="B336" i="10"/>
  <c r="I335" i="10"/>
  <c r="E335" i="10"/>
  <c r="C335" i="10"/>
  <c r="B335" i="10"/>
  <c r="H335" i="10" s="1"/>
  <c r="H334" i="10"/>
  <c r="C334" i="10"/>
  <c r="B334" i="10"/>
  <c r="I333" i="10"/>
  <c r="E333" i="10"/>
  <c r="C333" i="10"/>
  <c r="B333" i="10"/>
  <c r="H333" i="10" s="1"/>
  <c r="H332" i="10"/>
  <c r="C332" i="10"/>
  <c r="I332" i="10" s="1"/>
  <c r="B332" i="10"/>
  <c r="I331" i="10"/>
  <c r="E331" i="10"/>
  <c r="C331" i="10"/>
  <c r="B331" i="10"/>
  <c r="H331" i="10" s="1"/>
  <c r="H330" i="10"/>
  <c r="C330" i="10"/>
  <c r="B330" i="10"/>
  <c r="I329" i="10"/>
  <c r="E329" i="10"/>
  <c r="C329" i="10"/>
  <c r="B329" i="10"/>
  <c r="H329" i="10" s="1"/>
  <c r="H328" i="10"/>
  <c r="C328" i="10"/>
  <c r="I328" i="10" s="1"/>
  <c r="B328" i="10"/>
  <c r="I327" i="10"/>
  <c r="E327" i="10"/>
  <c r="C327" i="10"/>
  <c r="B327" i="10"/>
  <c r="H327" i="10" s="1"/>
  <c r="H326" i="10"/>
  <c r="C326" i="10"/>
  <c r="B326" i="10"/>
  <c r="I325" i="10"/>
  <c r="E325" i="10"/>
  <c r="C325" i="10"/>
  <c r="B325" i="10"/>
  <c r="H325" i="10" s="1"/>
  <c r="H324" i="10"/>
  <c r="C324" i="10"/>
  <c r="I324" i="10" s="1"/>
  <c r="B324" i="10"/>
  <c r="I323" i="10"/>
  <c r="E323" i="10"/>
  <c r="C323" i="10"/>
  <c r="B323" i="10"/>
  <c r="H323" i="10" s="1"/>
  <c r="H322" i="10"/>
  <c r="C322" i="10"/>
  <c r="B322" i="10"/>
  <c r="I321" i="10"/>
  <c r="E321" i="10"/>
  <c r="C321" i="10"/>
  <c r="B321" i="10"/>
  <c r="H321" i="10" s="1"/>
  <c r="H320" i="10"/>
  <c r="C320" i="10"/>
  <c r="I320" i="10" s="1"/>
  <c r="B320" i="10"/>
  <c r="I319" i="10"/>
  <c r="E319" i="10"/>
  <c r="C319" i="10"/>
  <c r="B319" i="10"/>
  <c r="H319" i="10" s="1"/>
  <c r="H318" i="10"/>
  <c r="C318" i="10"/>
  <c r="B318" i="10"/>
  <c r="I317" i="10"/>
  <c r="E317" i="10"/>
  <c r="C317" i="10"/>
  <c r="B317" i="10"/>
  <c r="H317" i="10" s="1"/>
  <c r="H316" i="10"/>
  <c r="C316" i="10"/>
  <c r="I316" i="10" s="1"/>
  <c r="B316" i="10"/>
  <c r="I315" i="10"/>
  <c r="E315" i="10"/>
  <c r="C315" i="10"/>
  <c r="B315" i="10"/>
  <c r="H315" i="10" s="1"/>
  <c r="H314" i="10"/>
  <c r="C314" i="10"/>
  <c r="B314" i="10"/>
  <c r="I313" i="10"/>
  <c r="E313" i="10"/>
  <c r="C313" i="10"/>
  <c r="B313" i="10"/>
  <c r="H313" i="10" s="1"/>
  <c r="H312" i="10"/>
  <c r="C312" i="10"/>
  <c r="I312" i="10" s="1"/>
  <c r="B312" i="10"/>
  <c r="I311" i="10"/>
  <c r="E311" i="10"/>
  <c r="C311" i="10"/>
  <c r="B311" i="10"/>
  <c r="H311" i="10" s="1"/>
  <c r="H310" i="10"/>
  <c r="C310" i="10"/>
  <c r="B310" i="10"/>
  <c r="I309" i="10"/>
  <c r="E309" i="10"/>
  <c r="C309" i="10"/>
  <c r="B309" i="10"/>
  <c r="H309" i="10" s="1"/>
  <c r="H308" i="10"/>
  <c r="C308" i="10"/>
  <c r="I308" i="10" s="1"/>
  <c r="B308" i="10"/>
  <c r="I307" i="10"/>
  <c r="E307" i="10"/>
  <c r="C307" i="10"/>
  <c r="B307" i="10"/>
  <c r="H307" i="10" s="1"/>
  <c r="H306" i="10"/>
  <c r="C306" i="10"/>
  <c r="B306" i="10"/>
  <c r="I305" i="10"/>
  <c r="E305" i="10"/>
  <c r="C305" i="10"/>
  <c r="B305" i="10"/>
  <c r="H305" i="10" s="1"/>
  <c r="H304" i="10"/>
  <c r="C304" i="10"/>
  <c r="I304" i="10" s="1"/>
  <c r="B304" i="10"/>
  <c r="I303" i="10"/>
  <c r="E303" i="10"/>
  <c r="C303" i="10"/>
  <c r="B303" i="10"/>
  <c r="H303" i="10" s="1"/>
  <c r="H302" i="10"/>
  <c r="C302" i="10"/>
  <c r="B302" i="10"/>
  <c r="I301" i="10"/>
  <c r="E301" i="10"/>
  <c r="C301" i="10"/>
  <c r="B301" i="10"/>
  <c r="H301" i="10" s="1"/>
  <c r="H300" i="10"/>
  <c r="C300" i="10"/>
  <c r="I300" i="10" s="1"/>
  <c r="B300" i="10"/>
  <c r="N299" i="10"/>
  <c r="I299" i="10"/>
  <c r="E299" i="10"/>
  <c r="C299" i="10"/>
  <c r="B299" i="10"/>
  <c r="H299" i="10" s="1"/>
  <c r="N298" i="10"/>
  <c r="H298" i="10"/>
  <c r="C298" i="10"/>
  <c r="B298" i="10"/>
  <c r="N297" i="10"/>
  <c r="I297" i="10"/>
  <c r="E297" i="10"/>
  <c r="C297" i="10"/>
  <c r="B297" i="10"/>
  <c r="H297" i="10" s="1"/>
  <c r="N296" i="10"/>
  <c r="H296" i="10"/>
  <c r="C296" i="10"/>
  <c r="I296" i="10" s="1"/>
  <c r="B296" i="10"/>
  <c r="N295" i="10"/>
  <c r="I295" i="10"/>
  <c r="E295" i="10"/>
  <c r="C295" i="10"/>
  <c r="B295" i="10"/>
  <c r="H295" i="10" s="1"/>
  <c r="N294" i="10"/>
  <c r="H294" i="10"/>
  <c r="C294" i="10"/>
  <c r="B294" i="10"/>
  <c r="N293" i="10"/>
  <c r="I293" i="10"/>
  <c r="E293" i="10"/>
  <c r="C293" i="10"/>
  <c r="B293" i="10"/>
  <c r="H293" i="10" s="1"/>
  <c r="N292" i="10"/>
  <c r="H292" i="10"/>
  <c r="C292" i="10"/>
  <c r="I292" i="10" s="1"/>
  <c r="B292" i="10"/>
  <c r="N291" i="10"/>
  <c r="I291" i="10"/>
  <c r="E291" i="10"/>
  <c r="C291" i="10"/>
  <c r="B291" i="10"/>
  <c r="H291" i="10" s="1"/>
  <c r="N290" i="10"/>
  <c r="H290" i="10"/>
  <c r="C290" i="10"/>
  <c r="B290" i="10"/>
  <c r="N289" i="10"/>
  <c r="I289" i="10"/>
  <c r="E289" i="10"/>
  <c r="C289" i="10"/>
  <c r="B289" i="10"/>
  <c r="H289" i="10" s="1"/>
  <c r="N288" i="10"/>
  <c r="H288" i="10"/>
  <c r="C288" i="10"/>
  <c r="I288" i="10" s="1"/>
  <c r="B288" i="10"/>
  <c r="N287" i="10"/>
  <c r="I287" i="10"/>
  <c r="E287" i="10"/>
  <c r="C287" i="10"/>
  <c r="B287" i="10"/>
  <c r="H287" i="10" s="1"/>
  <c r="N286" i="10"/>
  <c r="H286" i="10"/>
  <c r="C286" i="10"/>
  <c r="B286" i="10"/>
  <c r="N285" i="10"/>
  <c r="I285" i="10"/>
  <c r="E285" i="10"/>
  <c r="C285" i="10"/>
  <c r="B285" i="10"/>
  <c r="H285" i="10" s="1"/>
  <c r="N284" i="10"/>
  <c r="H284" i="10"/>
  <c r="C284" i="10"/>
  <c r="I284" i="10" s="1"/>
  <c r="B284" i="10"/>
  <c r="N283" i="10"/>
  <c r="I283" i="10"/>
  <c r="E283" i="10"/>
  <c r="C283" i="10"/>
  <c r="B283" i="10"/>
  <c r="H283" i="10" s="1"/>
  <c r="N282" i="10"/>
  <c r="H282" i="10"/>
  <c r="C282" i="10"/>
  <c r="B282" i="10"/>
  <c r="N281" i="10"/>
  <c r="I281" i="10"/>
  <c r="E281" i="10"/>
  <c r="C281" i="10"/>
  <c r="B281" i="10"/>
  <c r="H281" i="10" s="1"/>
  <c r="N280" i="10"/>
  <c r="H280" i="10"/>
  <c r="C280" i="10"/>
  <c r="I280" i="10" s="1"/>
  <c r="B280" i="10"/>
  <c r="N279" i="10"/>
  <c r="I279" i="10"/>
  <c r="E279" i="10"/>
  <c r="C279" i="10"/>
  <c r="B279" i="10"/>
  <c r="H279" i="10" s="1"/>
  <c r="N278" i="10"/>
  <c r="H278" i="10"/>
  <c r="C278" i="10"/>
  <c r="B278" i="10"/>
  <c r="N277" i="10"/>
  <c r="I277" i="10"/>
  <c r="E277" i="10"/>
  <c r="C277" i="10"/>
  <c r="B277" i="10"/>
  <c r="H277" i="10" s="1"/>
  <c r="N276" i="10"/>
  <c r="H276" i="10"/>
  <c r="C276" i="10"/>
  <c r="I276" i="10" s="1"/>
  <c r="B276" i="10"/>
  <c r="N275" i="10"/>
  <c r="I275" i="10"/>
  <c r="E275" i="10"/>
  <c r="C275" i="10"/>
  <c r="B275" i="10"/>
  <c r="H275" i="10" s="1"/>
  <c r="N274" i="10"/>
  <c r="H274" i="10"/>
  <c r="C274" i="10"/>
  <c r="B274" i="10"/>
  <c r="N273" i="10"/>
  <c r="I273" i="10"/>
  <c r="E273" i="10"/>
  <c r="C273" i="10"/>
  <c r="B273" i="10"/>
  <c r="H273" i="10" s="1"/>
  <c r="N272" i="10"/>
  <c r="H272" i="10"/>
  <c r="C272" i="10"/>
  <c r="I272" i="10" s="1"/>
  <c r="B272" i="10"/>
  <c r="N271" i="10"/>
  <c r="I271" i="10"/>
  <c r="E271" i="10"/>
  <c r="C271" i="10"/>
  <c r="B271" i="10"/>
  <c r="H271" i="10" s="1"/>
  <c r="N270" i="10"/>
  <c r="H270" i="10"/>
  <c r="C270" i="10"/>
  <c r="B270" i="10"/>
  <c r="N269" i="10"/>
  <c r="I269" i="10"/>
  <c r="E269" i="10"/>
  <c r="C269" i="10"/>
  <c r="B269" i="10"/>
  <c r="H269" i="10" s="1"/>
  <c r="N268" i="10"/>
  <c r="H268" i="10"/>
  <c r="C268" i="10"/>
  <c r="I268" i="10" s="1"/>
  <c r="B268" i="10"/>
  <c r="N267" i="10"/>
  <c r="I267" i="10"/>
  <c r="E267" i="10"/>
  <c r="C267" i="10"/>
  <c r="B267" i="10"/>
  <c r="H267" i="10" s="1"/>
  <c r="N266" i="10"/>
  <c r="H266" i="10"/>
  <c r="C266" i="10"/>
  <c r="B266" i="10"/>
  <c r="N265" i="10"/>
  <c r="I265" i="10"/>
  <c r="E265" i="10"/>
  <c r="C265" i="10"/>
  <c r="B265" i="10"/>
  <c r="H265" i="10" s="1"/>
  <c r="N264" i="10"/>
  <c r="H264" i="10"/>
  <c r="C264" i="10"/>
  <c r="I264" i="10" s="1"/>
  <c r="B264" i="10"/>
  <c r="N263" i="10"/>
  <c r="I263" i="10"/>
  <c r="E263" i="10"/>
  <c r="C263" i="10"/>
  <c r="B263" i="10"/>
  <c r="H263" i="10" s="1"/>
  <c r="N262" i="10"/>
  <c r="H262" i="10"/>
  <c r="C262" i="10"/>
  <c r="B262" i="10"/>
  <c r="N261" i="10"/>
  <c r="I261" i="10"/>
  <c r="E261" i="10"/>
  <c r="C261" i="10"/>
  <c r="B261" i="10"/>
  <c r="H261" i="10" s="1"/>
  <c r="N260" i="10"/>
  <c r="H260" i="10"/>
  <c r="C260" i="10"/>
  <c r="I260" i="10" s="1"/>
  <c r="B260" i="10"/>
  <c r="N259" i="10"/>
  <c r="I259" i="10"/>
  <c r="E259" i="10"/>
  <c r="C259" i="10"/>
  <c r="B259" i="10"/>
  <c r="H259" i="10" s="1"/>
  <c r="N258" i="10"/>
  <c r="H258" i="10"/>
  <c r="C258" i="10"/>
  <c r="B258" i="10"/>
  <c r="N257" i="10"/>
  <c r="I257" i="10"/>
  <c r="E257" i="10"/>
  <c r="C257" i="10"/>
  <c r="B257" i="10"/>
  <c r="H257" i="10" s="1"/>
  <c r="N256" i="10"/>
  <c r="H256" i="10"/>
  <c r="C256" i="10"/>
  <c r="I256" i="10" s="1"/>
  <c r="B256" i="10"/>
  <c r="N255" i="10"/>
  <c r="I255" i="10"/>
  <c r="E255" i="10"/>
  <c r="C255" i="10"/>
  <c r="B255" i="10"/>
  <c r="H255" i="10" s="1"/>
  <c r="N254" i="10"/>
  <c r="H254" i="10"/>
  <c r="C254" i="10"/>
  <c r="B254" i="10"/>
  <c r="N253" i="10"/>
  <c r="I253" i="10"/>
  <c r="E253" i="10"/>
  <c r="C253" i="10"/>
  <c r="B253" i="10"/>
  <c r="H253" i="10" s="1"/>
  <c r="N252" i="10"/>
  <c r="H252" i="10"/>
  <c r="C252" i="10"/>
  <c r="I252" i="10" s="1"/>
  <c r="B252" i="10"/>
  <c r="N251" i="10"/>
  <c r="I251" i="10"/>
  <c r="E251" i="10"/>
  <c r="C251" i="10"/>
  <c r="B251" i="10"/>
  <c r="H251" i="10" s="1"/>
  <c r="N250" i="10"/>
  <c r="H250" i="10"/>
  <c r="C250" i="10"/>
  <c r="B250" i="10"/>
  <c r="N249" i="10"/>
  <c r="I249" i="10"/>
  <c r="E249" i="10"/>
  <c r="C249" i="10"/>
  <c r="B249" i="10"/>
  <c r="H249" i="10" s="1"/>
  <c r="N248" i="10"/>
  <c r="H248" i="10"/>
  <c r="C248" i="10"/>
  <c r="I248" i="10" s="1"/>
  <c r="B248" i="10"/>
  <c r="N247" i="10"/>
  <c r="I247" i="10"/>
  <c r="E247" i="10"/>
  <c r="C247" i="10"/>
  <c r="B247" i="10"/>
  <c r="H247" i="10" s="1"/>
  <c r="N246" i="10"/>
  <c r="H246" i="10"/>
  <c r="C246" i="10"/>
  <c r="B246" i="10"/>
  <c r="N245" i="10"/>
  <c r="I245" i="10"/>
  <c r="E245" i="10"/>
  <c r="C245" i="10"/>
  <c r="B245" i="10"/>
  <c r="H245" i="10" s="1"/>
  <c r="N244" i="10"/>
  <c r="H244" i="10"/>
  <c r="C244" i="10"/>
  <c r="I244" i="10" s="1"/>
  <c r="B244" i="10"/>
  <c r="N243" i="10"/>
  <c r="I243" i="10"/>
  <c r="E243" i="10"/>
  <c r="C243" i="10"/>
  <c r="B243" i="10"/>
  <c r="H243" i="10" s="1"/>
  <c r="N242" i="10"/>
  <c r="H242" i="10"/>
  <c r="C242" i="10"/>
  <c r="B242" i="10"/>
  <c r="N241" i="10"/>
  <c r="I241" i="10"/>
  <c r="E241" i="10"/>
  <c r="C241" i="10"/>
  <c r="B241" i="10"/>
  <c r="H241" i="10" s="1"/>
  <c r="N240" i="10"/>
  <c r="H240" i="10"/>
  <c r="C240" i="10"/>
  <c r="I240" i="10" s="1"/>
  <c r="B240" i="10"/>
  <c r="N239" i="10"/>
  <c r="I239" i="10"/>
  <c r="E239" i="10"/>
  <c r="C239" i="10"/>
  <c r="B239" i="10"/>
  <c r="H239" i="10" s="1"/>
  <c r="N238" i="10"/>
  <c r="H238" i="10"/>
  <c r="C238" i="10"/>
  <c r="B238" i="10"/>
  <c r="N237" i="10"/>
  <c r="I237" i="10"/>
  <c r="E237" i="10"/>
  <c r="C237" i="10"/>
  <c r="B237" i="10"/>
  <c r="H237" i="10" s="1"/>
  <c r="N236" i="10"/>
  <c r="H236" i="10"/>
  <c r="C236" i="10"/>
  <c r="I236" i="10" s="1"/>
  <c r="B236" i="10"/>
  <c r="N235" i="10"/>
  <c r="I235" i="10"/>
  <c r="E235" i="10"/>
  <c r="C235" i="10"/>
  <c r="B235" i="10"/>
  <c r="H235" i="10" s="1"/>
  <c r="N234" i="10"/>
  <c r="H234" i="10"/>
  <c r="C234" i="10"/>
  <c r="B234" i="10"/>
  <c r="N233" i="10"/>
  <c r="I233" i="10"/>
  <c r="E233" i="10"/>
  <c r="C233" i="10"/>
  <c r="B233" i="10"/>
  <c r="H233" i="10" s="1"/>
  <c r="N232" i="10"/>
  <c r="H232" i="10"/>
  <c r="C232" i="10"/>
  <c r="I232" i="10" s="1"/>
  <c r="B232" i="10"/>
  <c r="N231" i="10"/>
  <c r="I231" i="10"/>
  <c r="E231" i="10"/>
  <c r="C231" i="10"/>
  <c r="B231" i="10"/>
  <c r="H231" i="10" s="1"/>
  <c r="N230" i="10"/>
  <c r="H230" i="10"/>
  <c r="C230" i="10"/>
  <c r="B230" i="10"/>
  <c r="N229" i="10"/>
  <c r="I229" i="10"/>
  <c r="E229" i="10"/>
  <c r="C229" i="10"/>
  <c r="B229" i="10"/>
  <c r="H229" i="10" s="1"/>
  <c r="N228" i="10"/>
  <c r="H228" i="10"/>
  <c r="C228" i="10"/>
  <c r="I228" i="10" s="1"/>
  <c r="B228" i="10"/>
  <c r="N227" i="10"/>
  <c r="I227" i="10"/>
  <c r="E227" i="10"/>
  <c r="C227" i="10"/>
  <c r="B227" i="10"/>
  <c r="H227" i="10" s="1"/>
  <c r="N226" i="10"/>
  <c r="H226" i="10"/>
  <c r="C226" i="10"/>
  <c r="B226" i="10"/>
  <c r="N225" i="10"/>
  <c r="I225" i="10"/>
  <c r="E225" i="10"/>
  <c r="C225" i="10"/>
  <c r="B225" i="10"/>
  <c r="H225" i="10" s="1"/>
  <c r="N224" i="10"/>
  <c r="H224" i="10"/>
  <c r="C224" i="10"/>
  <c r="I224" i="10" s="1"/>
  <c r="B224" i="10"/>
  <c r="N223" i="10"/>
  <c r="I223" i="10"/>
  <c r="E223" i="10"/>
  <c r="C223" i="10"/>
  <c r="B223" i="10"/>
  <c r="H223" i="10" s="1"/>
  <c r="N222" i="10"/>
  <c r="H222" i="10"/>
  <c r="C222" i="10"/>
  <c r="B222" i="10"/>
  <c r="N221" i="10"/>
  <c r="I221" i="10"/>
  <c r="E221" i="10"/>
  <c r="C221" i="10"/>
  <c r="B221" i="10"/>
  <c r="H221" i="10" s="1"/>
  <c r="N220" i="10"/>
  <c r="H220" i="10"/>
  <c r="C220" i="10"/>
  <c r="I220" i="10" s="1"/>
  <c r="B220" i="10"/>
  <c r="N219" i="10"/>
  <c r="I219" i="10"/>
  <c r="E219" i="10"/>
  <c r="C219" i="10"/>
  <c r="B219" i="10"/>
  <c r="H219" i="10" s="1"/>
  <c r="N218" i="10"/>
  <c r="H218" i="10"/>
  <c r="C218" i="10"/>
  <c r="B218" i="10"/>
  <c r="N217" i="10"/>
  <c r="I217" i="10"/>
  <c r="E217" i="10"/>
  <c r="C217" i="10"/>
  <c r="B217" i="10"/>
  <c r="H217" i="10" s="1"/>
  <c r="N216" i="10"/>
  <c r="H216" i="10"/>
  <c r="C216" i="10"/>
  <c r="I216" i="10" s="1"/>
  <c r="B216" i="10"/>
  <c r="N215" i="10"/>
  <c r="I215" i="10"/>
  <c r="E215" i="10"/>
  <c r="C215" i="10"/>
  <c r="B215" i="10"/>
  <c r="H215" i="10" s="1"/>
  <c r="N214" i="10"/>
  <c r="H214" i="10"/>
  <c r="C214" i="10"/>
  <c r="B214" i="10"/>
  <c r="N213" i="10"/>
  <c r="I213" i="10"/>
  <c r="E213" i="10"/>
  <c r="C213" i="10"/>
  <c r="B213" i="10"/>
  <c r="H213" i="10" s="1"/>
  <c r="N212" i="10"/>
  <c r="H212" i="10"/>
  <c r="C212" i="10"/>
  <c r="I212" i="10" s="1"/>
  <c r="B212" i="10"/>
  <c r="N211" i="10"/>
  <c r="I211" i="10"/>
  <c r="E211" i="10"/>
  <c r="C211" i="10"/>
  <c r="B211" i="10"/>
  <c r="H211" i="10" s="1"/>
  <c r="N210" i="10"/>
  <c r="H210" i="10"/>
  <c r="C210" i="10"/>
  <c r="B210" i="10"/>
  <c r="N209" i="10"/>
  <c r="I209" i="10"/>
  <c r="E209" i="10"/>
  <c r="C209" i="10"/>
  <c r="B209" i="10"/>
  <c r="H209" i="10" s="1"/>
  <c r="N208" i="10"/>
  <c r="H208" i="10"/>
  <c r="C208" i="10"/>
  <c r="I208" i="10" s="1"/>
  <c r="B208" i="10"/>
  <c r="N207" i="10"/>
  <c r="I207" i="10"/>
  <c r="E207" i="10"/>
  <c r="C207" i="10"/>
  <c r="B207" i="10"/>
  <c r="H207" i="10" s="1"/>
  <c r="N206" i="10"/>
  <c r="H206" i="10"/>
  <c r="C206" i="10"/>
  <c r="B206" i="10"/>
  <c r="N205" i="10"/>
  <c r="I205" i="10"/>
  <c r="E205" i="10"/>
  <c r="C205" i="10"/>
  <c r="B205" i="10"/>
  <c r="H205" i="10" s="1"/>
  <c r="N204" i="10"/>
  <c r="H204" i="10"/>
  <c r="C204" i="10"/>
  <c r="I204" i="10" s="1"/>
  <c r="B204" i="10"/>
  <c r="N203" i="10"/>
  <c r="I203" i="10"/>
  <c r="E203" i="10"/>
  <c r="C203" i="10"/>
  <c r="B203" i="10"/>
  <c r="H203" i="10" s="1"/>
  <c r="N202" i="10"/>
  <c r="H202" i="10"/>
  <c r="C202" i="10"/>
  <c r="B202" i="10"/>
  <c r="N201" i="10"/>
  <c r="I201" i="10"/>
  <c r="E201" i="10"/>
  <c r="C201" i="10"/>
  <c r="B201" i="10"/>
  <c r="H201" i="10" s="1"/>
  <c r="N200" i="10"/>
  <c r="H200" i="10"/>
  <c r="C200" i="10"/>
  <c r="I200" i="10" s="1"/>
  <c r="B200" i="10"/>
  <c r="N199" i="10"/>
  <c r="I199" i="10"/>
  <c r="E199" i="10"/>
  <c r="C199" i="10"/>
  <c r="B199" i="10"/>
  <c r="H199" i="10" s="1"/>
  <c r="N198" i="10"/>
  <c r="H198" i="10"/>
  <c r="C198" i="10"/>
  <c r="B198" i="10"/>
  <c r="N197" i="10"/>
  <c r="I197" i="10"/>
  <c r="E197" i="10"/>
  <c r="C197" i="10"/>
  <c r="B197" i="10"/>
  <c r="H197" i="10" s="1"/>
  <c r="N196" i="10"/>
  <c r="H196" i="10"/>
  <c r="C196" i="10"/>
  <c r="I196" i="10" s="1"/>
  <c r="B196" i="10"/>
  <c r="N195" i="10"/>
  <c r="I195" i="10"/>
  <c r="E195" i="10"/>
  <c r="C195" i="10"/>
  <c r="B195" i="10"/>
  <c r="H195" i="10" s="1"/>
  <c r="N194" i="10"/>
  <c r="H194" i="10"/>
  <c r="C194" i="10"/>
  <c r="B194" i="10"/>
  <c r="N193" i="10"/>
  <c r="I193" i="10"/>
  <c r="E193" i="10"/>
  <c r="C193" i="10"/>
  <c r="B193" i="10"/>
  <c r="H193" i="10" s="1"/>
  <c r="N192" i="10"/>
  <c r="H192" i="10"/>
  <c r="C192" i="10"/>
  <c r="I192" i="10" s="1"/>
  <c r="B192" i="10"/>
  <c r="N191" i="10"/>
  <c r="I191" i="10"/>
  <c r="E191" i="10"/>
  <c r="C191" i="10"/>
  <c r="B191" i="10"/>
  <c r="H191" i="10" s="1"/>
  <c r="N190" i="10"/>
  <c r="H190" i="10"/>
  <c r="C190" i="10"/>
  <c r="B190" i="10"/>
  <c r="N189" i="10"/>
  <c r="I189" i="10"/>
  <c r="E189" i="10"/>
  <c r="C189" i="10"/>
  <c r="B189" i="10"/>
  <c r="H189" i="10" s="1"/>
  <c r="N188" i="10"/>
  <c r="H188" i="10"/>
  <c r="C188" i="10"/>
  <c r="I188" i="10" s="1"/>
  <c r="B188" i="10"/>
  <c r="N187" i="10"/>
  <c r="I187" i="10"/>
  <c r="E187" i="10"/>
  <c r="C187" i="10"/>
  <c r="B187" i="10"/>
  <c r="H187" i="10" s="1"/>
  <c r="N186" i="10"/>
  <c r="H186" i="10"/>
  <c r="C186" i="10"/>
  <c r="B186" i="10"/>
  <c r="N185" i="10"/>
  <c r="I185" i="10"/>
  <c r="E185" i="10"/>
  <c r="C185" i="10"/>
  <c r="B185" i="10"/>
  <c r="H185" i="10" s="1"/>
  <c r="N184" i="10"/>
  <c r="H184" i="10"/>
  <c r="C184" i="10"/>
  <c r="I184" i="10" s="1"/>
  <c r="B184" i="10"/>
  <c r="N183" i="10"/>
  <c r="I183" i="10"/>
  <c r="E183" i="10"/>
  <c r="C183" i="10"/>
  <c r="B183" i="10"/>
  <c r="H183" i="10" s="1"/>
  <c r="N182" i="10"/>
  <c r="H182" i="10"/>
  <c r="C182" i="10"/>
  <c r="B182" i="10"/>
  <c r="N181" i="10"/>
  <c r="I181" i="10"/>
  <c r="E181" i="10"/>
  <c r="C181" i="10"/>
  <c r="B181" i="10"/>
  <c r="H181" i="10" s="1"/>
  <c r="N180" i="10"/>
  <c r="H180" i="10"/>
  <c r="C180" i="10"/>
  <c r="I180" i="10" s="1"/>
  <c r="B180" i="10"/>
  <c r="N179" i="10"/>
  <c r="I179" i="10"/>
  <c r="E179" i="10"/>
  <c r="C179" i="10"/>
  <c r="B179" i="10"/>
  <c r="H179" i="10" s="1"/>
  <c r="N178" i="10"/>
  <c r="H178" i="10"/>
  <c r="C178" i="10"/>
  <c r="B178" i="10"/>
  <c r="N177" i="10"/>
  <c r="I177" i="10"/>
  <c r="E177" i="10"/>
  <c r="C177" i="10"/>
  <c r="B177" i="10"/>
  <c r="H177" i="10" s="1"/>
  <c r="N176" i="10"/>
  <c r="H176" i="10"/>
  <c r="C176" i="10"/>
  <c r="I176" i="10" s="1"/>
  <c r="B176" i="10"/>
  <c r="N175" i="10"/>
  <c r="I175" i="10"/>
  <c r="E175" i="10"/>
  <c r="C175" i="10"/>
  <c r="B175" i="10"/>
  <c r="H175" i="10" s="1"/>
  <c r="N174" i="10"/>
  <c r="H174" i="10"/>
  <c r="C174" i="10"/>
  <c r="B174" i="10"/>
  <c r="N173" i="10"/>
  <c r="I173" i="10"/>
  <c r="E173" i="10"/>
  <c r="C173" i="10"/>
  <c r="B173" i="10"/>
  <c r="H173" i="10" s="1"/>
  <c r="N172" i="10"/>
  <c r="H172" i="10"/>
  <c r="C172" i="10"/>
  <c r="I172" i="10" s="1"/>
  <c r="B172" i="10"/>
  <c r="N171" i="10"/>
  <c r="I171" i="10"/>
  <c r="E171" i="10"/>
  <c r="C171" i="10"/>
  <c r="B171" i="10"/>
  <c r="H171" i="10" s="1"/>
  <c r="N170" i="10"/>
  <c r="H170" i="10"/>
  <c r="C170" i="10"/>
  <c r="B170" i="10"/>
  <c r="N169" i="10"/>
  <c r="I169" i="10"/>
  <c r="E169" i="10"/>
  <c r="C169" i="10"/>
  <c r="B169" i="10"/>
  <c r="H169" i="10" s="1"/>
  <c r="N168" i="10"/>
  <c r="H168" i="10"/>
  <c r="C168" i="10"/>
  <c r="I168" i="10" s="1"/>
  <c r="B168" i="10"/>
  <c r="N167" i="10"/>
  <c r="I167" i="10"/>
  <c r="E167" i="10"/>
  <c r="C167" i="10"/>
  <c r="B167" i="10"/>
  <c r="H167" i="10" s="1"/>
  <c r="N166" i="10"/>
  <c r="H166" i="10"/>
  <c r="C166" i="10"/>
  <c r="B166" i="10"/>
  <c r="N165" i="10"/>
  <c r="I165" i="10"/>
  <c r="E165" i="10"/>
  <c r="C165" i="10"/>
  <c r="B165" i="10"/>
  <c r="H165" i="10" s="1"/>
  <c r="N164" i="10"/>
  <c r="H164" i="10"/>
  <c r="C164" i="10"/>
  <c r="I164" i="10" s="1"/>
  <c r="B164" i="10"/>
  <c r="N163" i="10"/>
  <c r="I163" i="10"/>
  <c r="E163" i="10"/>
  <c r="C163" i="10"/>
  <c r="B163" i="10"/>
  <c r="H163" i="10" s="1"/>
  <c r="N162" i="10"/>
  <c r="H162" i="10"/>
  <c r="C162" i="10"/>
  <c r="B162" i="10"/>
  <c r="N161" i="10"/>
  <c r="I161" i="10"/>
  <c r="E161" i="10"/>
  <c r="C161" i="10"/>
  <c r="B161" i="10"/>
  <c r="H161" i="10" s="1"/>
  <c r="N160" i="10"/>
  <c r="H160" i="10"/>
  <c r="C160" i="10"/>
  <c r="I160" i="10" s="1"/>
  <c r="B160" i="10"/>
  <c r="N159" i="10"/>
  <c r="I159" i="10"/>
  <c r="E159" i="10"/>
  <c r="C159" i="10"/>
  <c r="B159" i="10"/>
  <c r="H159" i="10" s="1"/>
  <c r="N158" i="10"/>
  <c r="H158" i="10"/>
  <c r="C158" i="10"/>
  <c r="B158" i="10"/>
  <c r="N157" i="10"/>
  <c r="I157" i="10"/>
  <c r="E157" i="10"/>
  <c r="C157" i="10"/>
  <c r="B157" i="10"/>
  <c r="H157" i="10" s="1"/>
  <c r="N156" i="10"/>
  <c r="H156" i="10"/>
  <c r="C156" i="10"/>
  <c r="I156" i="10" s="1"/>
  <c r="B156" i="10"/>
  <c r="N155" i="10"/>
  <c r="I155" i="10"/>
  <c r="E155" i="10"/>
  <c r="C155" i="10"/>
  <c r="B155" i="10"/>
  <c r="H155" i="10" s="1"/>
  <c r="N154" i="10"/>
  <c r="H154" i="10"/>
  <c r="C154" i="10"/>
  <c r="B154" i="10"/>
  <c r="N153" i="10"/>
  <c r="I153" i="10"/>
  <c r="E153" i="10"/>
  <c r="C153" i="10"/>
  <c r="B153" i="10"/>
  <c r="H153" i="10" s="1"/>
  <c r="N152" i="10"/>
  <c r="H152" i="10"/>
  <c r="C152" i="10"/>
  <c r="I152" i="10" s="1"/>
  <c r="B152" i="10"/>
  <c r="N151" i="10"/>
  <c r="I151" i="10"/>
  <c r="E151" i="10"/>
  <c r="C151" i="10"/>
  <c r="B151" i="10"/>
  <c r="H151" i="10" s="1"/>
  <c r="N150" i="10"/>
  <c r="H150" i="10"/>
  <c r="C150" i="10"/>
  <c r="B150" i="10"/>
  <c r="N149" i="10"/>
  <c r="I149" i="10"/>
  <c r="E149" i="10"/>
  <c r="C149" i="10"/>
  <c r="B149" i="10"/>
  <c r="H149" i="10" s="1"/>
  <c r="N148" i="10"/>
  <c r="H148" i="10"/>
  <c r="C148" i="10"/>
  <c r="I148" i="10" s="1"/>
  <c r="B148" i="10"/>
  <c r="N147" i="10"/>
  <c r="I147" i="10"/>
  <c r="E147" i="10"/>
  <c r="C147" i="10"/>
  <c r="B147" i="10"/>
  <c r="H147" i="10" s="1"/>
  <c r="N146" i="10"/>
  <c r="H146" i="10"/>
  <c r="C146" i="10"/>
  <c r="B146" i="10"/>
  <c r="N145" i="10"/>
  <c r="I145" i="10"/>
  <c r="E145" i="10"/>
  <c r="C145" i="10"/>
  <c r="B145" i="10"/>
  <c r="H145" i="10" s="1"/>
  <c r="N144" i="10"/>
  <c r="H144" i="10"/>
  <c r="C144" i="10"/>
  <c r="I144" i="10" s="1"/>
  <c r="B144" i="10"/>
  <c r="N143" i="10"/>
  <c r="I143" i="10"/>
  <c r="E143" i="10"/>
  <c r="C143" i="10"/>
  <c r="B143" i="10"/>
  <c r="H143" i="10" s="1"/>
  <c r="N142" i="10"/>
  <c r="H142" i="10"/>
  <c r="C142" i="10"/>
  <c r="B142" i="10"/>
  <c r="N141" i="10"/>
  <c r="I141" i="10"/>
  <c r="E141" i="10"/>
  <c r="C141" i="10"/>
  <c r="B141" i="10"/>
  <c r="H141" i="10" s="1"/>
  <c r="N140" i="10"/>
  <c r="H140" i="10"/>
  <c r="C140" i="10"/>
  <c r="I140" i="10" s="1"/>
  <c r="B140" i="10"/>
  <c r="N139" i="10"/>
  <c r="I139" i="10"/>
  <c r="E139" i="10"/>
  <c r="C139" i="10"/>
  <c r="B139" i="10"/>
  <c r="H139" i="10" s="1"/>
  <c r="N138" i="10"/>
  <c r="H138" i="10"/>
  <c r="C138" i="10"/>
  <c r="B138" i="10"/>
  <c r="N137" i="10"/>
  <c r="I137" i="10"/>
  <c r="E137" i="10"/>
  <c r="C137" i="10"/>
  <c r="B137" i="10"/>
  <c r="H137" i="10" s="1"/>
  <c r="N136" i="10"/>
  <c r="H136" i="10"/>
  <c r="C136" i="10"/>
  <c r="I136" i="10" s="1"/>
  <c r="B136" i="10"/>
  <c r="N135" i="10"/>
  <c r="I135" i="10"/>
  <c r="E135" i="10"/>
  <c r="C135" i="10"/>
  <c r="B135" i="10"/>
  <c r="H135" i="10" s="1"/>
  <c r="N134" i="10"/>
  <c r="H134" i="10"/>
  <c r="C134" i="10"/>
  <c r="B134" i="10"/>
  <c r="N133" i="10"/>
  <c r="I133" i="10"/>
  <c r="E133" i="10"/>
  <c r="C133" i="10"/>
  <c r="B133" i="10"/>
  <c r="H133" i="10" s="1"/>
  <c r="N132" i="10"/>
  <c r="H132" i="10"/>
  <c r="C132" i="10"/>
  <c r="I132" i="10" s="1"/>
  <c r="B132" i="10"/>
  <c r="N131" i="10"/>
  <c r="I131" i="10"/>
  <c r="E131" i="10"/>
  <c r="C131" i="10"/>
  <c r="B131" i="10"/>
  <c r="H131" i="10" s="1"/>
  <c r="N130" i="10"/>
  <c r="H130" i="10"/>
  <c r="C130" i="10"/>
  <c r="B130" i="10"/>
  <c r="N129" i="10"/>
  <c r="I129" i="10"/>
  <c r="E129" i="10"/>
  <c r="C129" i="10"/>
  <c r="B129" i="10"/>
  <c r="H129" i="10" s="1"/>
  <c r="N128" i="10"/>
  <c r="H128" i="10"/>
  <c r="C128" i="10"/>
  <c r="I128" i="10" s="1"/>
  <c r="B128" i="10"/>
  <c r="N127" i="10"/>
  <c r="I127" i="10"/>
  <c r="E127" i="10"/>
  <c r="C127" i="10"/>
  <c r="B127" i="10"/>
  <c r="H127" i="10" s="1"/>
  <c r="N126" i="10"/>
  <c r="H126" i="10"/>
  <c r="C126" i="10"/>
  <c r="B126" i="10"/>
  <c r="N125" i="10"/>
  <c r="I125" i="10"/>
  <c r="E125" i="10"/>
  <c r="C125" i="10"/>
  <c r="B125" i="10"/>
  <c r="H125" i="10" s="1"/>
  <c r="N124" i="10"/>
  <c r="H124" i="10"/>
  <c r="C124" i="10"/>
  <c r="I124" i="10" s="1"/>
  <c r="B124" i="10"/>
  <c r="N123" i="10"/>
  <c r="I123" i="10"/>
  <c r="E123" i="10"/>
  <c r="C123" i="10"/>
  <c r="B123" i="10"/>
  <c r="H123" i="10" s="1"/>
  <c r="N122" i="10"/>
  <c r="H122" i="10"/>
  <c r="C122" i="10"/>
  <c r="B122" i="10"/>
  <c r="N121" i="10"/>
  <c r="I121" i="10"/>
  <c r="E121" i="10"/>
  <c r="C121" i="10"/>
  <c r="B121" i="10"/>
  <c r="H121" i="10" s="1"/>
  <c r="N120" i="10"/>
  <c r="H120" i="10"/>
  <c r="C120" i="10"/>
  <c r="I120" i="10" s="1"/>
  <c r="B120" i="10"/>
  <c r="N119" i="10"/>
  <c r="I119" i="10"/>
  <c r="E119" i="10"/>
  <c r="C119" i="10"/>
  <c r="B119" i="10"/>
  <c r="H119" i="10" s="1"/>
  <c r="N118" i="10"/>
  <c r="H118" i="10"/>
  <c r="C118" i="10"/>
  <c r="B118" i="10"/>
  <c r="N117" i="10"/>
  <c r="I117" i="10"/>
  <c r="E117" i="10"/>
  <c r="C117" i="10"/>
  <c r="B117" i="10"/>
  <c r="H117" i="10" s="1"/>
  <c r="N116" i="10"/>
  <c r="H116" i="10"/>
  <c r="C116" i="10"/>
  <c r="I116" i="10" s="1"/>
  <c r="B116" i="10"/>
  <c r="N115" i="10"/>
  <c r="I115" i="10"/>
  <c r="E115" i="10"/>
  <c r="C115" i="10"/>
  <c r="B115" i="10"/>
  <c r="H115" i="10" s="1"/>
  <c r="N114" i="10"/>
  <c r="H114" i="10"/>
  <c r="C114" i="10"/>
  <c r="B114" i="10"/>
  <c r="N113" i="10"/>
  <c r="I113" i="10"/>
  <c r="E113" i="10"/>
  <c r="C113" i="10"/>
  <c r="B113" i="10"/>
  <c r="H113" i="10" s="1"/>
  <c r="N112" i="10"/>
  <c r="H112" i="10"/>
  <c r="C112" i="10"/>
  <c r="I112" i="10" s="1"/>
  <c r="B112" i="10"/>
  <c r="N111" i="10"/>
  <c r="I111" i="10"/>
  <c r="E111" i="10"/>
  <c r="C111" i="10"/>
  <c r="B111" i="10"/>
  <c r="H111" i="10" s="1"/>
  <c r="N110" i="10"/>
  <c r="H110" i="10"/>
  <c r="C110" i="10"/>
  <c r="B110" i="10"/>
  <c r="N109" i="10"/>
  <c r="I109" i="10"/>
  <c r="E109" i="10"/>
  <c r="C109" i="10"/>
  <c r="B109" i="10"/>
  <c r="H109" i="10" s="1"/>
  <c r="N108" i="10"/>
  <c r="H108" i="10"/>
  <c r="C108" i="10"/>
  <c r="I108" i="10" s="1"/>
  <c r="B108" i="10"/>
  <c r="N107" i="10"/>
  <c r="I107" i="10"/>
  <c r="E107" i="10"/>
  <c r="C107" i="10"/>
  <c r="B107" i="10"/>
  <c r="H107" i="10" s="1"/>
  <c r="N106" i="10"/>
  <c r="H106" i="10"/>
  <c r="C106" i="10"/>
  <c r="B106" i="10"/>
  <c r="N105" i="10"/>
  <c r="I105" i="10"/>
  <c r="E105" i="10"/>
  <c r="C105" i="10"/>
  <c r="B105" i="10"/>
  <c r="H105" i="10" s="1"/>
  <c r="N104" i="10"/>
  <c r="H104" i="10"/>
  <c r="C104" i="10"/>
  <c r="I104" i="10" s="1"/>
  <c r="B104" i="10"/>
  <c r="N103" i="10"/>
  <c r="I103" i="10"/>
  <c r="E103" i="10"/>
  <c r="C103" i="10"/>
  <c r="B103" i="10"/>
  <c r="H103" i="10" s="1"/>
  <c r="N102" i="10"/>
  <c r="H102" i="10"/>
  <c r="C102" i="10"/>
  <c r="B102" i="10"/>
  <c r="N101" i="10"/>
  <c r="I101" i="10"/>
  <c r="E101" i="10"/>
  <c r="C101" i="10"/>
  <c r="B101" i="10"/>
  <c r="H101" i="10" s="1"/>
  <c r="N100" i="10"/>
  <c r="H100" i="10"/>
  <c r="C100" i="10"/>
  <c r="I100" i="10" s="1"/>
  <c r="B100" i="10"/>
  <c r="N99" i="10"/>
  <c r="I99" i="10"/>
  <c r="E99" i="10"/>
  <c r="C99" i="10"/>
  <c r="B99" i="10"/>
  <c r="H99" i="10" s="1"/>
  <c r="N98" i="10"/>
  <c r="H98" i="10"/>
  <c r="C98" i="10"/>
  <c r="B98" i="10"/>
  <c r="N97" i="10"/>
  <c r="I97" i="10"/>
  <c r="E97" i="10"/>
  <c r="C97" i="10"/>
  <c r="B97" i="10"/>
  <c r="H97" i="10" s="1"/>
  <c r="N96" i="10"/>
  <c r="H96" i="10"/>
  <c r="C96" i="10"/>
  <c r="I96" i="10" s="1"/>
  <c r="B96" i="10"/>
  <c r="N95" i="10"/>
  <c r="I95" i="10"/>
  <c r="E95" i="10"/>
  <c r="C95" i="10"/>
  <c r="B95" i="10"/>
  <c r="H95" i="10" s="1"/>
  <c r="N94" i="10"/>
  <c r="H94" i="10"/>
  <c r="C94" i="10"/>
  <c r="B94" i="10"/>
  <c r="N93" i="10"/>
  <c r="I93" i="10"/>
  <c r="E93" i="10"/>
  <c r="C93" i="10"/>
  <c r="B93" i="10"/>
  <c r="H93" i="10" s="1"/>
  <c r="N92" i="10"/>
  <c r="H92" i="10"/>
  <c r="C92" i="10"/>
  <c r="I92" i="10" s="1"/>
  <c r="B92" i="10"/>
  <c r="N91" i="10"/>
  <c r="I91" i="10"/>
  <c r="E91" i="10"/>
  <c r="C91" i="10"/>
  <c r="B91" i="10"/>
  <c r="H91" i="10" s="1"/>
  <c r="N90" i="10"/>
  <c r="H90" i="10"/>
  <c r="C90" i="10"/>
  <c r="B90" i="10"/>
  <c r="N89" i="10"/>
  <c r="I89" i="10"/>
  <c r="E89" i="10"/>
  <c r="C89" i="10"/>
  <c r="B89" i="10"/>
  <c r="H89" i="10" s="1"/>
  <c r="N88" i="10"/>
  <c r="H88" i="10"/>
  <c r="C88" i="10"/>
  <c r="I88" i="10" s="1"/>
  <c r="B88" i="10"/>
  <c r="N87" i="10"/>
  <c r="I87" i="10"/>
  <c r="E87" i="10"/>
  <c r="C87" i="10"/>
  <c r="B87" i="10"/>
  <c r="H87" i="10" s="1"/>
  <c r="N86" i="10"/>
  <c r="H86" i="10"/>
  <c r="C86" i="10"/>
  <c r="B86" i="10"/>
  <c r="N85" i="10"/>
  <c r="I85" i="10"/>
  <c r="E85" i="10"/>
  <c r="C85" i="10"/>
  <c r="B85" i="10"/>
  <c r="H85" i="10" s="1"/>
  <c r="N84" i="10"/>
  <c r="H84" i="10"/>
  <c r="C84" i="10"/>
  <c r="I84" i="10" s="1"/>
  <c r="B84" i="10"/>
  <c r="N83" i="10"/>
  <c r="I83" i="10"/>
  <c r="E83" i="10"/>
  <c r="C83" i="10"/>
  <c r="B83" i="10"/>
  <c r="H83" i="10" s="1"/>
  <c r="N82" i="10"/>
  <c r="H82" i="10"/>
  <c r="C82" i="10"/>
  <c r="B82" i="10"/>
  <c r="N81" i="10"/>
  <c r="I81" i="10"/>
  <c r="E81" i="10"/>
  <c r="C81" i="10"/>
  <c r="B81" i="10"/>
  <c r="H81" i="10" s="1"/>
  <c r="N80" i="10"/>
  <c r="H80" i="10"/>
  <c r="C80" i="10"/>
  <c r="I80" i="10" s="1"/>
  <c r="B80" i="10"/>
  <c r="N79" i="10"/>
  <c r="I79" i="10"/>
  <c r="E79" i="10"/>
  <c r="C79" i="10"/>
  <c r="B79" i="10"/>
  <c r="H79" i="10" s="1"/>
  <c r="N78" i="10"/>
  <c r="H78" i="10"/>
  <c r="C78" i="10"/>
  <c r="B78" i="10"/>
  <c r="N77" i="10"/>
  <c r="K77" i="10"/>
  <c r="I77" i="10"/>
  <c r="E77" i="10"/>
  <c r="C77" i="10"/>
  <c r="B77" i="10"/>
  <c r="H77" i="10" s="1"/>
  <c r="N76" i="10"/>
  <c r="H76" i="10"/>
  <c r="C76" i="10"/>
  <c r="I76" i="10" s="1"/>
  <c r="B76" i="10"/>
  <c r="N75" i="10"/>
  <c r="K75" i="10"/>
  <c r="I75" i="10"/>
  <c r="E75" i="10"/>
  <c r="C75" i="10"/>
  <c r="B75" i="10"/>
  <c r="H75" i="10" s="1"/>
  <c r="N74" i="10"/>
  <c r="H74" i="10"/>
  <c r="C74" i="10"/>
  <c r="K74" i="10" s="1"/>
  <c r="B74" i="10"/>
  <c r="N73" i="10"/>
  <c r="K73" i="10"/>
  <c r="I73" i="10"/>
  <c r="E73" i="10"/>
  <c r="C73" i="10"/>
  <c r="B73" i="10"/>
  <c r="H73" i="10" s="1"/>
  <c r="N72" i="10"/>
  <c r="H72" i="10"/>
  <c r="C72" i="10"/>
  <c r="I72" i="10" s="1"/>
  <c r="B72" i="10"/>
  <c r="N71" i="10"/>
  <c r="K71" i="10"/>
  <c r="I71" i="10"/>
  <c r="E71" i="10"/>
  <c r="C71" i="10"/>
  <c r="B71" i="10"/>
  <c r="H71" i="10" s="1"/>
  <c r="N70" i="10"/>
  <c r="H70" i="10"/>
  <c r="C70" i="10"/>
  <c r="K70" i="10" s="1"/>
  <c r="B70" i="10"/>
  <c r="N69" i="10"/>
  <c r="K69" i="10"/>
  <c r="I69" i="10"/>
  <c r="E69" i="10"/>
  <c r="C69" i="10"/>
  <c r="B69" i="10"/>
  <c r="H69" i="10" s="1"/>
  <c r="N68" i="10"/>
  <c r="H68" i="10"/>
  <c r="C68" i="10"/>
  <c r="I68" i="10" s="1"/>
  <c r="B68" i="10"/>
  <c r="N67" i="10"/>
  <c r="K67" i="10"/>
  <c r="I67" i="10"/>
  <c r="E67" i="10"/>
  <c r="C67" i="10"/>
  <c r="B67" i="10"/>
  <c r="H67" i="10" s="1"/>
  <c r="N66" i="10"/>
  <c r="H66" i="10"/>
  <c r="C66" i="10"/>
  <c r="K66" i="10" s="1"/>
  <c r="B66" i="10"/>
  <c r="N65" i="10"/>
  <c r="K65" i="10"/>
  <c r="I65" i="10"/>
  <c r="E65" i="10"/>
  <c r="C65" i="10"/>
  <c r="B65" i="10"/>
  <c r="H65" i="10" s="1"/>
  <c r="N64" i="10"/>
  <c r="H64" i="10"/>
  <c r="C64" i="10"/>
  <c r="I64" i="10" s="1"/>
  <c r="B64" i="10"/>
  <c r="N63" i="10"/>
  <c r="K63" i="10"/>
  <c r="I63" i="10"/>
  <c r="E63" i="10"/>
  <c r="C63" i="10"/>
  <c r="B63" i="10"/>
  <c r="H63" i="10" s="1"/>
  <c r="N62" i="10"/>
  <c r="H62" i="10"/>
  <c r="C62" i="10"/>
  <c r="K62" i="10" s="1"/>
  <c r="B62" i="10"/>
  <c r="N61" i="10"/>
  <c r="K61" i="10"/>
  <c r="I61" i="10"/>
  <c r="E61" i="10"/>
  <c r="C61" i="10"/>
  <c r="B61" i="10"/>
  <c r="H61" i="10" s="1"/>
  <c r="N60" i="10"/>
  <c r="H60" i="10"/>
  <c r="C60" i="10"/>
  <c r="I60" i="10" s="1"/>
  <c r="B60" i="10"/>
  <c r="N59" i="10"/>
  <c r="K59" i="10"/>
  <c r="I59" i="10"/>
  <c r="E59" i="10"/>
  <c r="C59" i="10"/>
  <c r="B59" i="10"/>
  <c r="H59" i="10" s="1"/>
  <c r="N58" i="10"/>
  <c r="H58" i="10"/>
  <c r="C58" i="10"/>
  <c r="K58" i="10" s="1"/>
  <c r="B58" i="10"/>
  <c r="N57" i="10"/>
  <c r="K57" i="10"/>
  <c r="I57" i="10"/>
  <c r="E57" i="10"/>
  <c r="C57" i="10"/>
  <c r="B57" i="10"/>
  <c r="H57" i="10" s="1"/>
  <c r="N56" i="10"/>
  <c r="H56" i="10"/>
  <c r="C56" i="10"/>
  <c r="I56" i="10" s="1"/>
  <c r="B56" i="10"/>
  <c r="N55" i="10"/>
  <c r="K55" i="10"/>
  <c r="I55" i="10"/>
  <c r="E55" i="10"/>
  <c r="C55" i="10"/>
  <c r="B55" i="10"/>
  <c r="H55" i="10" s="1"/>
  <c r="N54" i="10"/>
  <c r="H54" i="10"/>
  <c r="C54" i="10"/>
  <c r="K54" i="10" s="1"/>
  <c r="B54" i="10"/>
  <c r="N53" i="10"/>
  <c r="K53" i="10"/>
  <c r="I53" i="10"/>
  <c r="E53" i="10"/>
  <c r="C53" i="10"/>
  <c r="B53" i="10"/>
  <c r="H53" i="10" s="1"/>
  <c r="N52" i="10"/>
  <c r="H52" i="10"/>
  <c r="C52" i="10"/>
  <c r="I52" i="10" s="1"/>
  <c r="B52" i="10"/>
  <c r="N51" i="10"/>
  <c r="K51" i="10"/>
  <c r="I51" i="10"/>
  <c r="E51" i="10"/>
  <c r="C51" i="10"/>
  <c r="B51" i="10"/>
  <c r="H51" i="10" s="1"/>
  <c r="N50" i="10"/>
  <c r="H50" i="10"/>
  <c r="C50" i="10"/>
  <c r="K50" i="10" s="1"/>
  <c r="B50" i="10"/>
  <c r="N49" i="10"/>
  <c r="K49" i="10"/>
  <c r="I49" i="10"/>
  <c r="E49" i="10"/>
  <c r="C49" i="10"/>
  <c r="B49" i="10"/>
  <c r="H49" i="10" s="1"/>
  <c r="N48" i="10"/>
  <c r="H48" i="10"/>
  <c r="C48" i="10"/>
  <c r="I48" i="10" s="1"/>
  <c r="B48" i="10"/>
  <c r="N47" i="10"/>
  <c r="K47" i="10"/>
  <c r="I47" i="10"/>
  <c r="E47" i="10"/>
  <c r="C47" i="10"/>
  <c r="B47" i="10"/>
  <c r="H47" i="10" s="1"/>
  <c r="N46" i="10"/>
  <c r="H46" i="10"/>
  <c r="C46" i="10"/>
  <c r="K46" i="10" s="1"/>
  <c r="B46" i="10"/>
  <c r="N45" i="10"/>
  <c r="K45" i="10"/>
  <c r="I45" i="10"/>
  <c r="E45" i="10"/>
  <c r="C45" i="10"/>
  <c r="B45" i="10"/>
  <c r="H45" i="10" s="1"/>
  <c r="N44" i="10"/>
  <c r="H44" i="10"/>
  <c r="C44" i="10"/>
  <c r="I44" i="10" s="1"/>
  <c r="B44" i="10"/>
  <c r="N43" i="10"/>
  <c r="K43" i="10"/>
  <c r="I43" i="10"/>
  <c r="E43" i="10"/>
  <c r="C43" i="10"/>
  <c r="B43" i="10"/>
  <c r="H43" i="10" s="1"/>
  <c r="N42" i="10"/>
  <c r="H42" i="10"/>
  <c r="C42" i="10"/>
  <c r="K42" i="10" s="1"/>
  <c r="B42" i="10"/>
  <c r="N41" i="10"/>
  <c r="K41" i="10"/>
  <c r="I41" i="10"/>
  <c r="E41" i="10"/>
  <c r="C41" i="10"/>
  <c r="B41" i="10"/>
  <c r="H41" i="10" s="1"/>
  <c r="N40" i="10"/>
  <c r="H40" i="10"/>
  <c r="C40" i="10"/>
  <c r="I40" i="10" s="1"/>
  <c r="B40" i="10"/>
  <c r="N39" i="10"/>
  <c r="K39" i="10"/>
  <c r="I39" i="10"/>
  <c r="E39" i="10"/>
  <c r="C39" i="10"/>
  <c r="B39" i="10"/>
  <c r="H39" i="10" s="1"/>
  <c r="N38" i="10"/>
  <c r="H38" i="10"/>
  <c r="C38" i="10"/>
  <c r="K38" i="10" s="1"/>
  <c r="B38" i="10"/>
  <c r="N37" i="10"/>
  <c r="K37" i="10"/>
  <c r="I37" i="10"/>
  <c r="E37" i="10"/>
  <c r="C37" i="10"/>
  <c r="B37" i="10"/>
  <c r="H37" i="10" s="1"/>
  <c r="N36" i="10"/>
  <c r="H36" i="10"/>
  <c r="C36" i="10"/>
  <c r="I36" i="10" s="1"/>
  <c r="B36" i="10"/>
  <c r="N35" i="10"/>
  <c r="K35" i="10"/>
  <c r="I35" i="10"/>
  <c r="E35" i="10"/>
  <c r="C35" i="10"/>
  <c r="B35" i="10"/>
  <c r="H35" i="10" s="1"/>
  <c r="N34" i="10"/>
  <c r="H34" i="10"/>
  <c r="C34" i="10"/>
  <c r="K34" i="10" s="1"/>
  <c r="B34" i="10"/>
  <c r="N33" i="10"/>
  <c r="K33" i="10"/>
  <c r="I33" i="10"/>
  <c r="E33" i="10"/>
  <c r="C33" i="10"/>
  <c r="B33" i="10"/>
  <c r="H33" i="10" s="1"/>
  <c r="N32" i="10"/>
  <c r="H32" i="10"/>
  <c r="C32" i="10"/>
  <c r="I32" i="10" s="1"/>
  <c r="B32" i="10"/>
  <c r="N31" i="10"/>
  <c r="K31" i="10"/>
  <c r="I31" i="10"/>
  <c r="E31" i="10"/>
  <c r="C31" i="10"/>
  <c r="B31" i="10"/>
  <c r="H31" i="10" s="1"/>
  <c r="N30" i="10"/>
  <c r="H30" i="10"/>
  <c r="C30" i="10"/>
  <c r="K30" i="10" s="1"/>
  <c r="B30" i="10"/>
  <c r="N29" i="10"/>
  <c r="K29" i="10"/>
  <c r="I29" i="10"/>
  <c r="E29" i="10"/>
  <c r="C29" i="10"/>
  <c r="B29" i="10"/>
  <c r="H29" i="10" s="1"/>
  <c r="N28" i="10"/>
  <c r="H28" i="10"/>
  <c r="C28" i="10"/>
  <c r="I28" i="10" s="1"/>
  <c r="B28" i="10"/>
  <c r="N27" i="10"/>
  <c r="K27" i="10"/>
  <c r="I27" i="10"/>
  <c r="E27" i="10"/>
  <c r="C27" i="10"/>
  <c r="B27" i="10"/>
  <c r="H27" i="10" s="1"/>
  <c r="N26" i="10"/>
  <c r="H26" i="10"/>
  <c r="C26" i="10"/>
  <c r="K26" i="10" s="1"/>
  <c r="B26" i="10"/>
  <c r="N25" i="10"/>
  <c r="K25" i="10"/>
  <c r="I25" i="10"/>
  <c r="E25" i="10"/>
  <c r="C25" i="10"/>
  <c r="B25" i="10"/>
  <c r="H25" i="10" s="1"/>
  <c r="N24" i="10"/>
  <c r="H24" i="10"/>
  <c r="C24" i="10"/>
  <c r="I24" i="10" s="1"/>
  <c r="B24" i="10"/>
  <c r="N23" i="10"/>
  <c r="K23" i="10"/>
  <c r="I23" i="10"/>
  <c r="E23" i="10"/>
  <c r="C23" i="10"/>
  <c r="B23" i="10"/>
  <c r="H23" i="10" s="1"/>
  <c r="N22" i="10"/>
  <c r="H22" i="10"/>
  <c r="C22" i="10"/>
  <c r="K22" i="10" s="1"/>
  <c r="B22" i="10"/>
  <c r="N21" i="10"/>
  <c r="K21" i="10"/>
  <c r="I21" i="10"/>
  <c r="E21" i="10"/>
  <c r="C21" i="10"/>
  <c r="B21" i="10"/>
  <c r="H21" i="10" s="1"/>
  <c r="N20" i="10"/>
  <c r="H20" i="10"/>
  <c r="C20" i="10"/>
  <c r="I20" i="10" s="1"/>
  <c r="B20" i="10"/>
  <c r="N19" i="10"/>
  <c r="K19" i="10"/>
  <c r="I19" i="10"/>
  <c r="E19" i="10"/>
  <c r="C19" i="10"/>
  <c r="B19" i="10"/>
  <c r="H19" i="10" s="1"/>
  <c r="N18" i="10"/>
  <c r="H18" i="10"/>
  <c r="C18" i="10"/>
  <c r="K18" i="10" s="1"/>
  <c r="B18" i="10"/>
  <c r="N17" i="10"/>
  <c r="K17" i="10"/>
  <c r="I17" i="10"/>
  <c r="E17" i="10"/>
  <c r="C17" i="10"/>
  <c r="B17" i="10"/>
  <c r="H17" i="10" s="1"/>
  <c r="N16" i="10"/>
  <c r="H16" i="10"/>
  <c r="C16" i="10"/>
  <c r="I16" i="10" s="1"/>
  <c r="B16" i="10"/>
  <c r="N15" i="10"/>
  <c r="K15" i="10"/>
  <c r="I15" i="10"/>
  <c r="E15" i="10"/>
  <c r="C15" i="10"/>
  <c r="B15" i="10"/>
  <c r="H15" i="10" s="1"/>
  <c r="N14" i="10"/>
  <c r="H14" i="10"/>
  <c r="C14" i="10"/>
  <c r="K14" i="10" s="1"/>
  <c r="B14" i="10"/>
  <c r="N13" i="10"/>
  <c r="K13" i="10"/>
  <c r="I13" i="10"/>
  <c r="E13" i="10"/>
  <c r="C13" i="10"/>
  <c r="B13" i="10"/>
  <c r="H13" i="10" s="1"/>
  <c r="N12" i="10"/>
  <c r="H12" i="10"/>
  <c r="C12" i="10"/>
  <c r="I12" i="10" s="1"/>
  <c r="B12" i="10"/>
  <c r="N11" i="10"/>
  <c r="K11" i="10"/>
  <c r="I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93" i="8"/>
  <c r="B92" i="8"/>
  <c r="B91" i="8"/>
  <c r="B90" i="8"/>
  <c r="B89" i="8"/>
  <c r="B88" i="8"/>
  <c r="B87" i="8"/>
  <c r="B86" i="8"/>
  <c r="B85" i="8"/>
  <c r="B84" i="8"/>
  <c r="B83" i="8"/>
  <c r="B82" i="8"/>
  <c r="B81" i="8"/>
  <c r="B80" i="8"/>
  <c r="B79" i="8"/>
  <c r="B78" i="8"/>
  <c r="B77" i="8"/>
  <c r="B76" i="8"/>
  <c r="B75" i="8"/>
  <c r="B74" i="8"/>
  <c r="B73" i="8"/>
  <c r="B72" i="8"/>
  <c r="B71" i="8"/>
  <c r="B70" i="8"/>
  <c r="B69" i="8"/>
  <c r="B68" i="8"/>
  <c r="B67" i="8"/>
  <c r="B66" i="8"/>
  <c r="B65" i="8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AC5" i="8"/>
  <c r="AB5" i="8"/>
  <c r="J30" i="3" s="1"/>
  <c r="AA5" i="8"/>
  <c r="Z5" i="8"/>
  <c r="J29" i="3" s="1"/>
  <c r="Y5" i="8"/>
  <c r="X5" i="8"/>
  <c r="J28" i="3" s="1"/>
  <c r="W5" i="8"/>
  <c r="V5" i="8"/>
  <c r="J27" i="3" s="1"/>
  <c r="U5" i="8"/>
  <c r="T5" i="8"/>
  <c r="S5" i="8"/>
  <c r="R5" i="8"/>
  <c r="P17" i="3" s="1"/>
  <c r="Q5" i="8"/>
  <c r="P5" i="8"/>
  <c r="J25" i="3" s="1"/>
  <c r="O5" i="8"/>
  <c r="N5" i="8"/>
  <c r="J24" i="3" s="1"/>
  <c r="M5" i="8"/>
  <c r="L5" i="8"/>
  <c r="J23" i="3" s="1"/>
  <c r="K5" i="8"/>
  <c r="J5" i="8"/>
  <c r="J22" i="3" s="1"/>
  <c r="I5" i="8"/>
  <c r="H5" i="8"/>
  <c r="J21" i="3" s="1"/>
  <c r="G5" i="8"/>
  <c r="F5" i="8"/>
  <c r="E5" i="8"/>
  <c r="D5" i="8"/>
  <c r="AC3" i="8"/>
  <c r="AC2" i="8" s="1"/>
  <c r="AA3" i="8"/>
  <c r="AA2" i="8" s="1"/>
  <c r="Y3" i="8"/>
  <c r="Y2" i="8" s="1"/>
  <c r="W3" i="8"/>
  <c r="W2" i="8" s="1"/>
  <c r="U3" i="8"/>
  <c r="U2" i="8" s="1"/>
  <c r="S3" i="8"/>
  <c r="S2" i="8" s="1"/>
  <c r="Q3" i="8"/>
  <c r="O3" i="8"/>
  <c r="O2" i="8" s="1"/>
  <c r="M3" i="8"/>
  <c r="M2" i="8" s="1"/>
  <c r="K3" i="8"/>
  <c r="K2" i="8" s="1"/>
  <c r="I3" i="8"/>
  <c r="I2" i="8" s="1"/>
  <c r="G3" i="8"/>
  <c r="G2" i="8" s="1"/>
  <c r="E3" i="8"/>
  <c r="E2" i="8" s="1"/>
  <c r="AB1" i="8"/>
  <c r="Z1" i="8"/>
  <c r="X1" i="8"/>
  <c r="V1" i="8"/>
  <c r="T1" i="8"/>
  <c r="R1" i="8"/>
  <c r="N1" i="8"/>
  <c r="L1" i="8"/>
  <c r="J1" i="8"/>
  <c r="H1" i="8"/>
  <c r="G1162" i="7"/>
  <c r="G1161" i="7" s="1"/>
  <c r="G1160" i="7" s="1"/>
  <c r="G1159" i="7" s="1"/>
  <c r="G1158" i="7" s="1"/>
  <c r="G1157" i="7" s="1"/>
  <c r="G1156" i="7" s="1"/>
  <c r="G1155" i="7" s="1"/>
  <c r="G1154" i="7" s="1"/>
  <c r="G1153" i="7" s="1"/>
  <c r="G1152" i="7" s="1"/>
  <c r="G1151" i="7" s="1"/>
  <c r="G1150" i="7" s="1"/>
  <c r="G1149" i="7" s="1"/>
  <c r="G1148" i="7" s="1"/>
  <c r="G1147" i="7" s="1"/>
  <c r="G1146" i="7" s="1"/>
  <c r="G1145" i="7" s="1"/>
  <c r="G1144" i="7" s="1"/>
  <c r="G1143" i="7" s="1"/>
  <c r="G1142" i="7" s="1"/>
  <c r="G1141" i="7" s="1"/>
  <c r="G1140" i="7" s="1"/>
  <c r="G1139" i="7" s="1"/>
  <c r="G1138" i="7" s="1"/>
  <c r="G1137" i="7" s="1"/>
  <c r="G1136" i="7" s="1"/>
  <c r="G1135" i="7" s="1"/>
  <c r="G1134" i="7" s="1"/>
  <c r="G1133" i="7" s="1"/>
  <c r="G1132" i="7" s="1"/>
  <c r="G1131" i="7" s="1"/>
  <c r="G1130" i="7" s="1"/>
  <c r="G1129" i="7" s="1"/>
  <c r="G1128" i="7" s="1"/>
  <c r="G1127" i="7" s="1"/>
  <c r="G1126" i="7" s="1"/>
  <c r="G1125" i="7" s="1"/>
  <c r="G1124" i="7" s="1"/>
  <c r="G1123" i="7" s="1"/>
  <c r="G1122" i="7" s="1"/>
  <c r="G1121" i="7" s="1"/>
  <c r="G1120" i="7" s="1"/>
  <c r="G1119" i="7" s="1"/>
  <c r="G1118" i="7" s="1"/>
  <c r="G1117" i="7" s="1"/>
  <c r="G1116" i="7" s="1"/>
  <c r="G1115" i="7" s="1"/>
  <c r="G1114" i="7" s="1"/>
  <c r="G1113" i="7" s="1"/>
  <c r="G1112" i="7" s="1"/>
  <c r="G1111" i="7" s="1"/>
  <c r="G1110" i="7" s="1"/>
  <c r="G1109" i="7" s="1"/>
  <c r="G1108" i="7" s="1"/>
  <c r="G1107" i="7" s="1"/>
  <c r="G1106" i="7" s="1"/>
  <c r="G1105" i="7" s="1"/>
  <c r="G1104" i="7" s="1"/>
  <c r="G1103" i="7" s="1"/>
  <c r="G1102" i="7" s="1"/>
  <c r="G1101" i="7" s="1"/>
  <c r="G1100" i="7" s="1"/>
  <c r="G1099" i="7" s="1"/>
  <c r="G1098" i="7" s="1"/>
  <c r="G1097" i="7" s="1"/>
  <c r="G1096" i="7" s="1"/>
  <c r="G1095" i="7" s="1"/>
  <c r="G1094" i="7" s="1"/>
  <c r="G1093" i="7" s="1"/>
  <c r="G1092" i="7" s="1"/>
  <c r="G1091" i="7" s="1"/>
  <c r="G1090" i="7" s="1"/>
  <c r="G1089" i="7" s="1"/>
  <c r="G1088" i="7" s="1"/>
  <c r="G1087" i="7" s="1"/>
  <c r="G1086" i="7" s="1"/>
  <c r="G1085" i="7" s="1"/>
  <c r="G1084" i="7" s="1"/>
  <c r="G1083" i="7" s="1"/>
  <c r="G1082" i="7" s="1"/>
  <c r="G1081" i="7" s="1"/>
  <c r="G1080" i="7" s="1"/>
  <c r="G1079" i="7" s="1"/>
  <c r="G1078" i="7" s="1"/>
  <c r="G1077" i="7" s="1"/>
  <c r="G1076" i="7" s="1"/>
  <c r="G1075" i="7" s="1"/>
  <c r="G1074" i="7" s="1"/>
  <c r="G1073" i="7" s="1"/>
  <c r="G1072" i="7" s="1"/>
  <c r="G1071" i="7" s="1"/>
  <c r="G1070" i="7" s="1"/>
  <c r="G1069" i="7" s="1"/>
  <c r="G1068" i="7" s="1"/>
  <c r="G1067" i="7" s="1"/>
  <c r="G1066" i="7" s="1"/>
  <c r="G1065" i="7" s="1"/>
  <c r="G1064" i="7" s="1"/>
  <c r="G1063" i="7" s="1"/>
  <c r="G1062" i="7" s="1"/>
  <c r="G1061" i="7" s="1"/>
  <c r="G1060" i="7" s="1"/>
  <c r="G1059" i="7" s="1"/>
  <c r="G1058" i="7" s="1"/>
  <c r="G1057" i="7" s="1"/>
  <c r="G1056" i="7" s="1"/>
  <c r="G1055" i="7" s="1"/>
  <c r="G1054" i="7" s="1"/>
  <c r="G1053" i="7" s="1"/>
  <c r="G1052" i="7" s="1"/>
  <c r="G1051" i="7" s="1"/>
  <c r="G1050" i="7" s="1"/>
  <c r="G1049" i="7" s="1"/>
  <c r="G1048" i="7" s="1"/>
  <c r="G1047" i="7" s="1"/>
  <c r="G1046" i="7" s="1"/>
  <c r="G1045" i="7" s="1"/>
  <c r="G1044" i="7" s="1"/>
  <c r="G1043" i="7" s="1"/>
  <c r="G1042" i="7" s="1"/>
  <c r="G1041" i="7" s="1"/>
  <c r="G1040" i="7" s="1"/>
  <c r="G1039" i="7" s="1"/>
  <c r="G1038" i="7" s="1"/>
  <c r="G1037" i="7" s="1"/>
  <c r="G1036" i="7" s="1"/>
  <c r="G1035" i="7" s="1"/>
  <c r="G1034" i="7" s="1"/>
  <c r="G1033" i="7" s="1"/>
  <c r="G1032" i="7" s="1"/>
  <c r="G1031" i="7" s="1"/>
  <c r="G1030" i="7" s="1"/>
  <c r="G1029" i="7" s="1"/>
  <c r="G1028" i="7" s="1"/>
  <c r="G1027" i="7" s="1"/>
  <c r="G1026" i="7" s="1"/>
  <c r="G1025" i="7" s="1"/>
  <c r="G1024" i="7" s="1"/>
  <c r="G1023" i="7" s="1"/>
  <c r="G1022" i="7" s="1"/>
  <c r="G1021" i="7" s="1"/>
  <c r="G1020" i="7" s="1"/>
  <c r="G1019" i="7" s="1"/>
  <c r="G1018" i="7" s="1"/>
  <c r="G1017" i="7" s="1"/>
  <c r="G1016" i="7" s="1"/>
  <c r="G1015" i="7" s="1"/>
  <c r="G1014" i="7" s="1"/>
  <c r="G1013" i="7" s="1"/>
  <c r="G1012" i="7" s="1"/>
  <c r="G1011" i="7" s="1"/>
  <c r="G1010" i="7" s="1"/>
  <c r="G1009" i="7" s="1"/>
  <c r="G1008" i="7" s="1"/>
  <c r="G1007" i="7" s="1"/>
  <c r="G1006" i="7" s="1"/>
  <c r="G1005" i="7" s="1"/>
  <c r="G1004" i="7" s="1"/>
  <c r="G1003" i="7" s="1"/>
  <c r="G1002" i="7" s="1"/>
  <c r="G1001" i="7" s="1"/>
  <c r="G1000" i="7" s="1"/>
  <c r="G999" i="7" s="1"/>
  <c r="G998" i="7" s="1"/>
  <c r="G997" i="7" s="1"/>
  <c r="G996" i="7" s="1"/>
  <c r="G995" i="7" s="1"/>
  <c r="G994" i="7" s="1"/>
  <c r="G993" i="7" s="1"/>
  <c r="G992" i="7" s="1"/>
  <c r="G991" i="7" s="1"/>
  <c r="G990" i="7" s="1"/>
  <c r="G989" i="7" s="1"/>
  <c r="G988" i="7" s="1"/>
  <c r="G987" i="7" s="1"/>
  <c r="G986" i="7" s="1"/>
  <c r="G985" i="7" s="1"/>
  <c r="G984" i="7" s="1"/>
  <c r="G983" i="7" s="1"/>
  <c r="G982" i="7" s="1"/>
  <c r="G981" i="7" s="1"/>
  <c r="G980" i="7" s="1"/>
  <c r="G979" i="7" s="1"/>
  <c r="G978" i="7" s="1"/>
  <c r="G977" i="7" s="1"/>
  <c r="G976" i="7" s="1"/>
  <c r="G975" i="7" s="1"/>
  <c r="G974" i="7" s="1"/>
  <c r="G973" i="7" s="1"/>
  <c r="G972" i="7" s="1"/>
  <c r="G971" i="7" s="1"/>
  <c r="G970" i="7" s="1"/>
  <c r="G969" i="7" s="1"/>
  <c r="G968" i="7" s="1"/>
  <c r="G967" i="7" s="1"/>
  <c r="G966" i="7" s="1"/>
  <c r="G965" i="7" s="1"/>
  <c r="G964" i="7" s="1"/>
  <c r="G963" i="7" s="1"/>
  <c r="G962" i="7" s="1"/>
  <c r="G961" i="7" s="1"/>
  <c r="G960" i="7" s="1"/>
  <c r="G959" i="7" s="1"/>
  <c r="G958" i="7" s="1"/>
  <c r="G957" i="7" s="1"/>
  <c r="G956" i="7" s="1"/>
  <c r="G955" i="7" s="1"/>
  <c r="G954" i="7" s="1"/>
  <c r="G953" i="7" s="1"/>
  <c r="G952" i="7" s="1"/>
  <c r="G951" i="7" s="1"/>
  <c r="G950" i="7" s="1"/>
  <c r="G949" i="7" s="1"/>
  <c r="G948" i="7" s="1"/>
  <c r="G947" i="7" s="1"/>
  <c r="G946" i="7" s="1"/>
  <c r="G945" i="7" s="1"/>
  <c r="G944" i="7" s="1"/>
  <c r="G943" i="7" s="1"/>
  <c r="G942" i="7" s="1"/>
  <c r="G941" i="7" s="1"/>
  <c r="G940" i="7" s="1"/>
  <c r="G939" i="7" s="1"/>
  <c r="G938" i="7" s="1"/>
  <c r="G937" i="7" s="1"/>
  <c r="G936" i="7" s="1"/>
  <c r="G935" i="7" s="1"/>
  <c r="G934" i="7" s="1"/>
  <c r="G933" i="7" s="1"/>
  <c r="G932" i="7" s="1"/>
  <c r="G931" i="7" s="1"/>
  <c r="G930" i="7" s="1"/>
  <c r="G929" i="7" s="1"/>
  <c r="G928" i="7" s="1"/>
  <c r="G927" i="7" s="1"/>
  <c r="G926" i="7" s="1"/>
  <c r="G925" i="7" s="1"/>
  <c r="G924" i="7" s="1"/>
  <c r="G923" i="7" s="1"/>
  <c r="G922" i="7" s="1"/>
  <c r="G921" i="7" s="1"/>
  <c r="G920" i="7" s="1"/>
  <c r="G919" i="7" s="1"/>
  <c r="G918" i="7" s="1"/>
  <c r="G917" i="7" s="1"/>
  <c r="G916" i="7" s="1"/>
  <c r="G915" i="7" s="1"/>
  <c r="G914" i="7" s="1"/>
  <c r="G913" i="7" s="1"/>
  <c r="G912" i="7" s="1"/>
  <c r="G911" i="7" s="1"/>
  <c r="G910" i="7" s="1"/>
  <c r="G909" i="7" s="1"/>
  <c r="G908" i="7" s="1"/>
  <c r="G907" i="7" s="1"/>
  <c r="G906" i="7" s="1"/>
  <c r="G905" i="7" s="1"/>
  <c r="G904" i="7" s="1"/>
  <c r="G903" i="7" s="1"/>
  <c r="G902" i="7" s="1"/>
  <c r="G901" i="7" s="1"/>
  <c r="G900" i="7" s="1"/>
  <c r="G899" i="7" s="1"/>
  <c r="G898" i="7" s="1"/>
  <c r="G897" i="7" s="1"/>
  <c r="G896" i="7" s="1"/>
  <c r="G895" i="7" s="1"/>
  <c r="G894" i="7" s="1"/>
  <c r="G893" i="7" s="1"/>
  <c r="G892" i="7" s="1"/>
  <c r="G891" i="7" s="1"/>
  <c r="G890" i="7" s="1"/>
  <c r="G889" i="7" s="1"/>
  <c r="G888" i="7" s="1"/>
  <c r="G887" i="7" s="1"/>
  <c r="G886" i="7" s="1"/>
  <c r="G885" i="7" s="1"/>
  <c r="G884" i="7" s="1"/>
  <c r="G883" i="7" s="1"/>
  <c r="G882" i="7" s="1"/>
  <c r="G881" i="7" s="1"/>
  <c r="G880" i="7" s="1"/>
  <c r="G879" i="7" s="1"/>
  <c r="G878" i="7" s="1"/>
  <c r="G877" i="7" s="1"/>
  <c r="G876" i="7" s="1"/>
  <c r="G875" i="7" s="1"/>
  <c r="G874" i="7" s="1"/>
  <c r="G873" i="7" s="1"/>
  <c r="G872" i="7" s="1"/>
  <c r="G871" i="7" s="1"/>
  <c r="G870" i="7" s="1"/>
  <c r="G869" i="7" s="1"/>
  <c r="G868" i="7" s="1"/>
  <c r="G867" i="7" s="1"/>
  <c r="G866" i="7" s="1"/>
  <c r="G865" i="7" s="1"/>
  <c r="G864" i="7" s="1"/>
  <c r="G863" i="7" s="1"/>
  <c r="G862" i="7" s="1"/>
  <c r="G861" i="7" s="1"/>
  <c r="G860" i="7" s="1"/>
  <c r="G859" i="7" s="1"/>
  <c r="G858" i="7" s="1"/>
  <c r="G857" i="7" s="1"/>
  <c r="G856" i="7" s="1"/>
  <c r="G855" i="7" s="1"/>
  <c r="G854" i="7" s="1"/>
  <c r="G853" i="7" s="1"/>
  <c r="G852" i="7" s="1"/>
  <c r="G851" i="7" s="1"/>
  <c r="G850" i="7" s="1"/>
  <c r="G849" i="7" s="1"/>
  <c r="G848" i="7" s="1"/>
  <c r="G847" i="7" s="1"/>
  <c r="G846" i="7" s="1"/>
  <c r="G845" i="7" s="1"/>
  <c r="G844" i="7" s="1"/>
  <c r="G843" i="7" s="1"/>
  <c r="G842" i="7" s="1"/>
  <c r="G841" i="7" s="1"/>
  <c r="G840" i="7" s="1"/>
  <c r="G839" i="7" s="1"/>
  <c r="G838" i="7" s="1"/>
  <c r="G837" i="7" s="1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30" i="3" s="1"/>
  <c r="F42" i="4"/>
  <c r="G42" i="4" s="1"/>
  <c r="J41" i="4"/>
  <c r="L41" i="4" s="1"/>
  <c r="F41" i="4"/>
  <c r="H28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1" i="3" s="1"/>
  <c r="L21" i="4"/>
  <c r="F21" i="4"/>
  <c r="H14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H8" i="3" s="1"/>
  <c r="G14" i="4"/>
  <c r="F14" i="4"/>
  <c r="J12" i="4"/>
  <c r="F12" i="4"/>
  <c r="N9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3" i="3"/>
  <c r="G23" i="3"/>
  <c r="G30" i="3"/>
  <c r="G20" i="3"/>
  <c r="G28" i="3"/>
  <c r="H27" i="3"/>
  <c r="G27" i="3"/>
  <c r="M14" i="3"/>
  <c r="G29" i="3"/>
  <c r="G14" i="3"/>
  <c r="H24" i="3"/>
  <c r="G24" i="3"/>
  <c r="G8" i="3"/>
  <c r="H25" i="3"/>
  <c r="G25" i="3"/>
  <c r="M11" i="3"/>
  <c r="H19" i="3"/>
  <c r="G19" i="3"/>
  <c r="M15" i="3"/>
  <c r="H13" i="3"/>
  <c r="G13" i="3"/>
  <c r="N16" i="3"/>
  <c r="M16" i="3"/>
  <c r="H18" i="3"/>
  <c r="G18" i="3"/>
  <c r="G12" i="3"/>
  <c r="H11" i="3"/>
  <c r="G11" i="3"/>
  <c r="M5" i="3"/>
  <c r="H22" i="3"/>
  <c r="G22" i="3"/>
  <c r="N13" i="3"/>
  <c r="M13" i="3"/>
  <c r="H21" i="3"/>
  <c r="G21" i="3"/>
  <c r="M10" i="3"/>
  <c r="G26" i="3"/>
  <c r="H9" i="3"/>
  <c r="G9" i="3"/>
  <c r="G15" i="3"/>
  <c r="M8" i="3"/>
  <c r="H6" i="3"/>
  <c r="G6" i="3"/>
  <c r="M17" i="3"/>
  <c r="N7" i="3"/>
  <c r="M7" i="3"/>
  <c r="B7" i="3"/>
  <c r="M9" i="3"/>
  <c r="H17" i="3"/>
  <c r="G17" i="3"/>
  <c r="B6" i="3"/>
  <c r="T5" i="3"/>
  <c r="S5" i="3"/>
  <c r="M6" i="3"/>
  <c r="H4" i="3"/>
  <c r="G4" i="3"/>
  <c r="S4" i="3"/>
  <c r="M4" i="3"/>
  <c r="H7" i="3"/>
  <c r="G7" i="3"/>
  <c r="B39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A86" i="11" l="1"/>
  <c r="AF23" i="6"/>
  <c r="AF7" i="6"/>
  <c r="AF22" i="6"/>
  <c r="G791" i="10"/>
  <c r="G790" i="10"/>
  <c r="G789" i="10"/>
  <c r="G788" i="10"/>
  <c r="G787" i="10"/>
  <c r="G786" i="10"/>
  <c r="G785" i="10"/>
  <c r="G784" i="10"/>
  <c r="G783" i="10"/>
  <c r="G782" i="10"/>
  <c r="G781" i="10"/>
  <c r="G780" i="10"/>
  <c r="G779" i="10"/>
  <c r="G778" i="10"/>
  <c r="G777" i="10"/>
  <c r="G776" i="10"/>
  <c r="G775" i="10"/>
  <c r="G774" i="10"/>
  <c r="G773" i="10"/>
  <c r="G772" i="10"/>
  <c r="G771" i="10"/>
  <c r="G770" i="10"/>
  <c r="G769" i="10"/>
  <c r="G768" i="10"/>
  <c r="G767" i="10"/>
  <c r="G766" i="10"/>
  <c r="G765" i="10"/>
  <c r="G764" i="10"/>
  <c r="G763" i="10"/>
  <c r="G762" i="10"/>
  <c r="G761" i="10"/>
  <c r="G760" i="10"/>
  <c r="G759" i="10"/>
  <c r="G758" i="10"/>
  <c r="G757" i="10"/>
  <c r="G756" i="10"/>
  <c r="G755" i="10"/>
  <c r="G754" i="10"/>
  <c r="G753" i="10"/>
  <c r="G752" i="10"/>
  <c r="G751" i="10"/>
  <c r="G750" i="10"/>
  <c r="G749" i="10"/>
  <c r="G748" i="10"/>
  <c r="G747" i="10"/>
  <c r="G746" i="10"/>
  <c r="G745" i="10"/>
  <c r="G744" i="10"/>
  <c r="G743" i="10"/>
  <c r="G742" i="10"/>
  <c r="G741" i="10"/>
  <c r="G740" i="10"/>
  <c r="G739" i="10"/>
  <c r="G738" i="10"/>
  <c r="G737" i="10"/>
  <c r="G736" i="10"/>
  <c r="G735" i="10"/>
  <c r="G734" i="10"/>
  <c r="G733" i="10"/>
  <c r="G732" i="10"/>
  <c r="G731" i="10"/>
  <c r="G730" i="10"/>
  <c r="G729" i="10"/>
  <c r="G728" i="10"/>
  <c r="G727" i="10"/>
  <c r="G726" i="10"/>
  <c r="G725" i="10"/>
  <c r="G724" i="10"/>
  <c r="G723" i="10"/>
  <c r="G722" i="10"/>
  <c r="G721" i="10"/>
  <c r="G720" i="10"/>
  <c r="G719" i="10"/>
  <c r="G718" i="10"/>
  <c r="G717" i="10"/>
  <c r="G716" i="10"/>
  <c r="G715" i="10"/>
  <c r="G714" i="10"/>
  <c r="G713" i="10"/>
  <c r="G712" i="10"/>
  <c r="G711" i="10"/>
  <c r="G710" i="10"/>
  <c r="G709" i="10"/>
  <c r="G708" i="10"/>
  <c r="G707" i="10"/>
  <c r="G706" i="10"/>
  <c r="G705" i="10"/>
  <c r="G704" i="10"/>
  <c r="G703" i="10"/>
  <c r="G702" i="10"/>
  <c r="G701" i="10"/>
  <c r="G700" i="10"/>
  <c r="G699" i="10"/>
  <c r="G698" i="10"/>
  <c r="G697" i="10"/>
  <c r="G696" i="10"/>
  <c r="G695" i="10"/>
  <c r="G694" i="10"/>
  <c r="G693" i="10"/>
  <c r="G692" i="10"/>
  <c r="G691" i="10"/>
  <c r="G690" i="10"/>
  <c r="G689" i="10"/>
  <c r="G688" i="10"/>
  <c r="G687" i="10"/>
  <c r="G686" i="10"/>
  <c r="G685" i="10"/>
  <c r="G684" i="10"/>
  <c r="G683" i="10"/>
  <c r="G682" i="10"/>
  <c r="G681" i="10"/>
  <c r="G680" i="10"/>
  <c r="G679" i="10"/>
  <c r="G678" i="10"/>
  <c r="G677" i="10"/>
  <c r="G676" i="10"/>
  <c r="G675" i="10"/>
  <c r="G674" i="10"/>
  <c r="G673" i="10"/>
  <c r="G672" i="10"/>
  <c r="G671" i="10"/>
  <c r="G670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624" i="10"/>
  <c r="G623" i="10"/>
  <c r="G622" i="10"/>
  <c r="G621" i="10"/>
  <c r="G620" i="10"/>
  <c r="G619" i="10"/>
  <c r="G618" i="10"/>
  <c r="G617" i="10"/>
  <c r="G616" i="10"/>
  <c r="G615" i="10"/>
  <c r="G614" i="10"/>
  <c r="G613" i="10"/>
  <c r="G612" i="10"/>
  <c r="G611" i="10"/>
  <c r="G610" i="10"/>
  <c r="G609" i="10"/>
  <c r="G608" i="10"/>
  <c r="G607" i="10"/>
  <c r="G606" i="10"/>
  <c r="G605" i="10"/>
  <c r="G604" i="10"/>
  <c r="G603" i="10"/>
  <c r="G602" i="10"/>
  <c r="G601" i="10"/>
  <c r="G600" i="10"/>
  <c r="G599" i="10"/>
  <c r="G598" i="10"/>
  <c r="G597" i="10"/>
  <c r="G596" i="10"/>
  <c r="G595" i="10"/>
  <c r="G594" i="10"/>
  <c r="G593" i="10"/>
  <c r="G592" i="10"/>
  <c r="G591" i="10"/>
  <c r="G590" i="10"/>
  <c r="G589" i="10"/>
  <c r="G588" i="10"/>
  <c r="G587" i="10"/>
  <c r="G586" i="10"/>
  <c r="G585" i="10"/>
  <c r="G584" i="10"/>
  <c r="G583" i="10"/>
  <c r="G582" i="10"/>
  <c r="G581" i="10"/>
  <c r="G580" i="10"/>
  <c r="G579" i="10"/>
  <c r="G578" i="10"/>
  <c r="G577" i="10"/>
  <c r="G576" i="10"/>
  <c r="G575" i="10"/>
  <c r="G574" i="10"/>
  <c r="G573" i="10"/>
  <c r="G572" i="10"/>
  <c r="G571" i="10"/>
  <c r="G570" i="10"/>
  <c r="G569" i="10"/>
  <c r="G568" i="10"/>
  <c r="G567" i="10"/>
  <c r="G566" i="10"/>
  <c r="G565" i="10"/>
  <c r="G564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236" i="10"/>
  <c r="G235" i="10"/>
  <c r="G234" i="10"/>
  <c r="G233" i="10"/>
  <c r="G232" i="10"/>
  <c r="G231" i="10"/>
  <c r="G230" i="10"/>
  <c r="G229" i="10"/>
  <c r="G228" i="10"/>
  <c r="G227" i="10"/>
  <c r="G226" i="10"/>
  <c r="G225" i="10"/>
  <c r="G224" i="10"/>
  <c r="G223" i="10"/>
  <c r="G222" i="10"/>
  <c r="G221" i="10"/>
  <c r="G220" i="10"/>
  <c r="G219" i="10"/>
  <c r="G218" i="10"/>
  <c r="G217" i="10"/>
  <c r="G216" i="10"/>
  <c r="G215" i="10"/>
  <c r="G214" i="10"/>
  <c r="G213" i="10"/>
  <c r="G212" i="10"/>
  <c r="G211" i="10"/>
  <c r="G210" i="10"/>
  <c r="G209" i="10"/>
  <c r="G208" i="10"/>
  <c r="G207" i="10"/>
  <c r="G206" i="10"/>
  <c r="G205" i="10"/>
  <c r="G204" i="10"/>
  <c r="G203" i="10"/>
  <c r="G202" i="10"/>
  <c r="G201" i="10"/>
  <c r="G200" i="10"/>
  <c r="G199" i="10"/>
  <c r="G198" i="10"/>
  <c r="G197" i="10"/>
  <c r="G196" i="10"/>
  <c r="G195" i="10"/>
  <c r="G194" i="10"/>
  <c r="G193" i="10"/>
  <c r="G192" i="10"/>
  <c r="G191" i="10"/>
  <c r="G190" i="10"/>
  <c r="G189" i="10"/>
  <c r="G188" i="10"/>
  <c r="G187" i="10"/>
  <c r="G186" i="10"/>
  <c r="G185" i="10"/>
  <c r="G184" i="10"/>
  <c r="G183" i="10"/>
  <c r="G182" i="10"/>
  <c r="G181" i="10"/>
  <c r="G180" i="10"/>
  <c r="G179" i="10"/>
  <c r="G178" i="10"/>
  <c r="G177" i="10"/>
  <c r="G176" i="10"/>
  <c r="G175" i="10"/>
  <c r="G174" i="10"/>
  <c r="G173" i="10"/>
  <c r="G172" i="10"/>
  <c r="G171" i="10"/>
  <c r="G170" i="10"/>
  <c r="G169" i="10"/>
  <c r="G168" i="10"/>
  <c r="G167" i="10"/>
  <c r="G166" i="10"/>
  <c r="G165" i="10"/>
  <c r="G164" i="10"/>
  <c r="G163" i="10"/>
  <c r="G162" i="10"/>
  <c r="G161" i="10"/>
  <c r="G160" i="10"/>
  <c r="G159" i="10"/>
  <c r="G158" i="10"/>
  <c r="G157" i="10"/>
  <c r="G156" i="10"/>
  <c r="G155" i="10"/>
  <c r="G154" i="10"/>
  <c r="G153" i="10"/>
  <c r="G152" i="10"/>
  <c r="G151" i="10"/>
  <c r="G150" i="10"/>
  <c r="G149" i="10"/>
  <c r="G148" i="10"/>
  <c r="G147" i="10"/>
  <c r="G146" i="10"/>
  <c r="G145" i="10"/>
  <c r="G144" i="10"/>
  <c r="G143" i="10"/>
  <c r="G142" i="10"/>
  <c r="G141" i="10"/>
  <c r="G140" i="10"/>
  <c r="G139" i="10"/>
  <c r="G138" i="10"/>
  <c r="G137" i="10"/>
  <c r="G136" i="10"/>
  <c r="G135" i="10"/>
  <c r="G134" i="10"/>
  <c r="G133" i="10"/>
  <c r="G132" i="10"/>
  <c r="G131" i="10"/>
  <c r="G130" i="10"/>
  <c r="G129" i="10"/>
  <c r="G128" i="10"/>
  <c r="G127" i="10"/>
  <c r="G126" i="10"/>
  <c r="G125" i="10"/>
  <c r="G124" i="10"/>
  <c r="G123" i="10"/>
  <c r="G122" i="10"/>
  <c r="G121" i="10"/>
  <c r="G120" i="10"/>
  <c r="G119" i="10"/>
  <c r="G118" i="10"/>
  <c r="G117" i="10"/>
  <c r="G116" i="10"/>
  <c r="G115" i="10"/>
  <c r="G114" i="10"/>
  <c r="G113" i="10"/>
  <c r="G112" i="10"/>
  <c r="G111" i="10"/>
  <c r="G110" i="10"/>
  <c r="G109" i="10"/>
  <c r="G108" i="10"/>
  <c r="G107" i="10"/>
  <c r="G106" i="10"/>
  <c r="G105" i="10"/>
  <c r="G104" i="10"/>
  <c r="G103" i="10"/>
  <c r="G102" i="10"/>
  <c r="G101" i="10"/>
  <c r="G100" i="10"/>
  <c r="G99" i="10"/>
  <c r="G98" i="10"/>
  <c r="G97" i="10"/>
  <c r="G96" i="10"/>
  <c r="G95" i="10"/>
  <c r="G94" i="10"/>
  <c r="G93" i="10"/>
  <c r="G92" i="10"/>
  <c r="G91" i="10"/>
  <c r="G90" i="10"/>
  <c r="G89" i="10"/>
  <c r="G88" i="10"/>
  <c r="G87" i="10"/>
  <c r="G86" i="10"/>
  <c r="G85" i="10"/>
  <c r="G84" i="10"/>
  <c r="G83" i="10"/>
  <c r="G82" i="10"/>
  <c r="G81" i="10"/>
  <c r="G80" i="10"/>
  <c r="G79" i="10"/>
  <c r="G78" i="10"/>
  <c r="G77" i="10"/>
  <c r="G76" i="10"/>
  <c r="G75" i="10"/>
  <c r="G74" i="10"/>
  <c r="G73" i="10"/>
  <c r="G72" i="10"/>
  <c r="G71" i="10"/>
  <c r="G70" i="10"/>
  <c r="G69" i="10"/>
  <c r="G68" i="10"/>
  <c r="G67" i="10"/>
  <c r="G66" i="10"/>
  <c r="G65" i="10"/>
  <c r="G64" i="10"/>
  <c r="G63" i="10"/>
  <c r="G62" i="10"/>
  <c r="G61" i="10"/>
  <c r="G60" i="10"/>
  <c r="G59" i="10"/>
  <c r="G58" i="10"/>
  <c r="G57" i="10"/>
  <c r="G56" i="10"/>
  <c r="G55" i="10"/>
  <c r="G54" i="10"/>
  <c r="G53" i="10"/>
  <c r="G52" i="10"/>
  <c r="G51" i="10"/>
  <c r="G50" i="10"/>
  <c r="G49" i="10"/>
  <c r="G48" i="10"/>
  <c r="G47" i="10"/>
  <c r="G46" i="10"/>
  <c r="G45" i="10"/>
  <c r="G44" i="10"/>
  <c r="G43" i="10"/>
  <c r="G42" i="10"/>
  <c r="G41" i="10"/>
  <c r="G40" i="10"/>
  <c r="G39" i="10"/>
  <c r="G38" i="10"/>
  <c r="G37" i="10"/>
  <c r="G36" i="10"/>
  <c r="G35" i="10"/>
  <c r="G34" i="10"/>
  <c r="G33" i="10"/>
  <c r="G32" i="10"/>
  <c r="G31" i="10"/>
  <c r="G30" i="10"/>
  <c r="G29" i="10"/>
  <c r="G28" i="10"/>
  <c r="G27" i="10"/>
  <c r="G26" i="10"/>
  <c r="G25" i="10"/>
  <c r="G24" i="10"/>
  <c r="G23" i="10"/>
  <c r="G22" i="10"/>
  <c r="G21" i="10"/>
  <c r="G20" i="10"/>
  <c r="G19" i="10"/>
  <c r="G18" i="10"/>
  <c r="G17" i="10"/>
  <c r="G16" i="10"/>
  <c r="G15" i="10"/>
  <c r="G14" i="10"/>
  <c r="G13" i="10"/>
  <c r="G12" i="10"/>
  <c r="G11" i="10"/>
  <c r="L3" i="10"/>
  <c r="K3" i="10"/>
  <c r="AF26" i="6"/>
  <c r="P18" i="3"/>
  <c r="J26" i="3"/>
  <c r="AF5" i="6"/>
  <c r="J32" i="12"/>
  <c r="J31" i="12"/>
  <c r="J29" i="12"/>
  <c r="J28" i="12"/>
  <c r="J26" i="12"/>
  <c r="J24" i="12"/>
  <c r="J23" i="12"/>
  <c r="J21" i="12"/>
  <c r="J19" i="12"/>
  <c r="I33" i="12"/>
  <c r="I27" i="12"/>
  <c r="I20" i="12"/>
  <c r="AF14" i="6"/>
  <c r="AF36" i="6"/>
  <c r="AF15" i="6"/>
  <c r="AF20" i="6"/>
  <c r="AF29" i="6"/>
  <c r="N787" i="10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407" i="7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K68" i="4"/>
  <c r="L68" i="4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E9" i="9"/>
  <c r="D13" i="9"/>
  <c r="E13" i="9" s="1"/>
  <c r="K22" i="5"/>
  <c r="I3" i="6"/>
  <c r="E8" i="6"/>
  <c r="E11" i="6"/>
  <c r="E18" i="6"/>
  <c r="E19" i="6"/>
  <c r="E20" i="6"/>
  <c r="E21" i="6"/>
  <c r="E23" i="6"/>
  <c r="H20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6" i="3"/>
  <c r="H29" i="3"/>
  <c r="L12" i="4"/>
  <c r="J59" i="4"/>
  <c r="K64" i="4"/>
  <c r="F20" i="5"/>
  <c r="K20" i="5"/>
  <c r="K28" i="5"/>
  <c r="M28" i="5" s="1"/>
  <c r="U3" i="6"/>
  <c r="H12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1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F43" i="6" l="1"/>
  <c r="F39" i="6"/>
  <c r="F35" i="6"/>
  <c r="F30" i="6"/>
  <c r="F26" i="6"/>
  <c r="F22" i="6"/>
  <c r="F18" i="6"/>
  <c r="F14" i="6"/>
  <c r="F9" i="6"/>
  <c r="F5" i="6"/>
  <c r="F42" i="6"/>
  <c r="F34" i="6"/>
  <c r="F25" i="6"/>
  <c r="F21" i="6"/>
  <c r="F17" i="6"/>
  <c r="F12" i="6"/>
  <c r="F8" i="6"/>
  <c r="F41" i="6"/>
  <c r="F37" i="6"/>
  <c r="F33" i="6"/>
  <c r="F28" i="6"/>
  <c r="F24" i="6"/>
  <c r="F20" i="6"/>
  <c r="F16" i="6"/>
  <c r="F11" i="6"/>
  <c r="F7" i="6"/>
  <c r="F38" i="6"/>
  <c r="F29" i="6"/>
  <c r="F40" i="6"/>
  <c r="F31" i="6"/>
  <c r="F27" i="6"/>
  <c r="F23" i="6"/>
  <c r="F19" i="6"/>
  <c r="F15" i="6"/>
  <c r="F10" i="6"/>
  <c r="F6" i="6"/>
  <c r="F45" i="6"/>
  <c r="F36" i="6"/>
  <c r="F34" i="5"/>
  <c r="H34" i="5" s="1"/>
  <c r="K34" i="5"/>
  <c r="M34" i="5" s="1"/>
  <c r="P16" i="5"/>
  <c r="F16" i="5"/>
  <c r="V7" i="3"/>
  <c r="A2" i="8"/>
  <c r="H23" i="5"/>
  <c r="G23" i="5"/>
  <c r="G31" i="5"/>
  <c r="H31" i="5"/>
  <c r="P12" i="3"/>
  <c r="J15" i="3"/>
  <c r="J5" i="3"/>
  <c r="P5" i="3"/>
  <c r="J10" i="3"/>
  <c r="P10" i="3"/>
  <c r="J16" i="3"/>
  <c r="P14" i="3"/>
  <c r="H2" i="3"/>
  <c r="N2" i="3"/>
  <c r="G21" i="5"/>
  <c r="G20" i="5"/>
  <c r="L20" i="5"/>
  <c r="G379" i="7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K5" i="5"/>
  <c r="L5" i="5" s="1"/>
  <c r="D52" i="6"/>
  <c r="D51" i="6"/>
  <c r="G29" i="5"/>
  <c r="D49" i="6"/>
  <c r="J18" i="3"/>
  <c r="H30" i="5"/>
  <c r="K4" i="5"/>
  <c r="M4" i="5" s="1"/>
  <c r="H22" i="5"/>
  <c r="D50" i="6"/>
  <c r="D4" i="3"/>
  <c r="D2" i="3" s="1"/>
  <c r="Q18" i="3" s="1"/>
  <c r="M26" i="5"/>
  <c r="H27" i="5"/>
  <c r="P34" i="5"/>
  <c r="G25" i="5"/>
  <c r="D45" i="6"/>
  <c r="K8" i="5"/>
  <c r="M8" i="5" s="1"/>
  <c r="V4" i="3"/>
  <c r="J20" i="3"/>
  <c r="H26" i="5"/>
  <c r="Q34" i="5"/>
  <c r="D28" i="6"/>
  <c r="J17" i="3"/>
  <c r="M30" i="5"/>
  <c r="D30" i="6"/>
  <c r="J19" i="3"/>
  <c r="K12" i="5"/>
  <c r="M12" i="5" s="1"/>
  <c r="K2" i="5"/>
  <c r="E54" i="6"/>
  <c r="G59" i="14"/>
  <c r="M12" i="14"/>
  <c r="K3" i="5"/>
  <c r="M21" i="5"/>
  <c r="J8" i="3"/>
  <c r="D15" i="6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4" i="3"/>
  <c r="D6" i="6"/>
  <c r="J12" i="3"/>
  <c r="D19" i="6"/>
  <c r="G24" i="5"/>
  <c r="L28" i="5"/>
  <c r="K37" i="4"/>
  <c r="J39" i="4"/>
  <c r="K35" i="4"/>
  <c r="J40" i="4"/>
  <c r="L40" i="4" s="1"/>
  <c r="K38" i="4"/>
  <c r="L35" i="4"/>
  <c r="L21" i="5"/>
  <c r="D18" i="9"/>
  <c r="E18" i="9" s="1"/>
  <c r="D27" i="6"/>
  <c r="P16" i="3"/>
  <c r="D12" i="6"/>
  <c r="P9" i="3"/>
  <c r="Z20" i="11"/>
  <c r="Y20" i="11"/>
  <c r="M27" i="5"/>
  <c r="L27" i="5"/>
  <c r="H20" i="5"/>
  <c r="D25" i="6"/>
  <c r="J7" i="3"/>
  <c r="D14" i="6"/>
  <c r="U22" i="11"/>
  <c r="T22" i="11"/>
  <c r="D23" i="6"/>
  <c r="D18" i="6"/>
  <c r="J11" i="3"/>
  <c r="L22" i="5"/>
  <c r="M22" i="5"/>
  <c r="Q4" i="12"/>
  <c r="K6" i="5"/>
  <c r="M32" i="4"/>
  <c r="J6" i="4"/>
  <c r="J12" i="11"/>
  <c r="K12" i="11"/>
  <c r="F11" i="11"/>
  <c r="G12" i="11" s="1"/>
  <c r="K11" i="5"/>
  <c r="M29" i="5"/>
  <c r="P15" i="3"/>
  <c r="D26" i="6"/>
  <c r="D9" i="6"/>
  <c r="P6" i="3"/>
  <c r="M23" i="5"/>
  <c r="L23" i="5"/>
  <c r="P13" i="3"/>
  <c r="D24" i="6"/>
  <c r="D10" i="6"/>
  <c r="P7" i="3"/>
  <c r="N8" i="14"/>
  <c r="C4" i="12"/>
  <c r="C5" i="12" s="1"/>
  <c r="D21" i="6"/>
  <c r="J14" i="3"/>
  <c r="D11" i="6"/>
  <c r="P8" i="3"/>
  <c r="N9" i="13"/>
  <c r="K10" i="5"/>
  <c r="G28" i="5"/>
  <c r="M11" i="13"/>
  <c r="K7" i="5"/>
  <c r="M25" i="5"/>
  <c r="J9" i="3"/>
  <c r="D16" i="6"/>
  <c r="D5" i="6"/>
  <c r="J4" i="3"/>
  <c r="E3" i="6"/>
  <c r="P12" i="11"/>
  <c r="O12" i="11"/>
  <c r="D22" i="6"/>
  <c r="P11" i="3"/>
  <c r="D7" i="6"/>
  <c r="D20" i="6"/>
  <c r="J13" i="3"/>
  <c r="D8" i="6"/>
  <c r="J6" i="3"/>
  <c r="K13" i="5"/>
  <c r="L29" i="5"/>
  <c r="C3" i="12"/>
  <c r="B17" i="12"/>
  <c r="B22" i="12" s="1"/>
  <c r="L15" i="4"/>
  <c r="K15" i="4"/>
  <c r="L24" i="5"/>
  <c r="K9" i="5"/>
  <c r="L25" i="5"/>
  <c r="M68" i="4"/>
  <c r="N68" i="4"/>
  <c r="K16" i="5" l="1"/>
  <c r="M16" i="5" s="1"/>
  <c r="G34" i="5"/>
  <c r="L34" i="5"/>
  <c r="G36" i="6"/>
  <c r="G15" i="6"/>
  <c r="G42" i="6"/>
  <c r="G17" i="6"/>
  <c r="G19" i="6"/>
  <c r="G38" i="6"/>
  <c r="G34" i="6"/>
  <c r="G20" i="6"/>
  <c r="G16" i="6"/>
  <c r="G21" i="6"/>
  <c r="G12" i="6"/>
  <c r="G40" i="6"/>
  <c r="G31" i="6"/>
  <c r="G27" i="6"/>
  <c r="G23" i="6"/>
  <c r="G10" i="6"/>
  <c r="G6" i="6"/>
  <c r="G43" i="6"/>
  <c r="G39" i="6"/>
  <c r="G35" i="6"/>
  <c r="G30" i="6"/>
  <c r="G26" i="6"/>
  <c r="G22" i="6"/>
  <c r="G18" i="6"/>
  <c r="G14" i="6"/>
  <c r="G9" i="6"/>
  <c r="G5" i="6"/>
  <c r="G29" i="6"/>
  <c r="G25" i="6"/>
  <c r="G28" i="6"/>
  <c r="G24" i="6"/>
  <c r="G11" i="6"/>
  <c r="G7" i="6"/>
  <c r="G8" i="6"/>
  <c r="G41" i="6"/>
  <c r="G37" i="6"/>
  <c r="G33" i="6"/>
  <c r="G45" i="6"/>
  <c r="Q12" i="3"/>
  <c r="K16" i="3"/>
  <c r="K5" i="3"/>
  <c r="K10" i="3"/>
  <c r="J2" i="3"/>
  <c r="T2" i="5"/>
  <c r="G367" i="7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T5" i="5"/>
  <c r="M5" i="5"/>
  <c r="T8" i="5"/>
  <c r="L4" i="5"/>
  <c r="L8" i="5"/>
  <c r="E4" i="3"/>
  <c r="E7" i="3"/>
  <c r="K6" i="3"/>
  <c r="Q13" i="3"/>
  <c r="Q7" i="3"/>
  <c r="K11" i="3"/>
  <c r="Q8" i="3"/>
  <c r="Q15" i="3"/>
  <c r="Q6" i="3"/>
  <c r="T4" i="5"/>
  <c r="L12" i="5"/>
  <c r="L2" i="5"/>
  <c r="T12" i="5"/>
  <c r="M2" i="5"/>
  <c r="Q11" i="3"/>
  <c r="Q14" i="3"/>
  <c r="K13" i="3"/>
  <c r="Q5" i="3"/>
  <c r="K4" i="3"/>
  <c r="K9" i="3"/>
  <c r="K14" i="3"/>
  <c r="K15" i="3"/>
  <c r="B4" i="3"/>
  <c r="O68" i="4"/>
  <c r="P13" i="11"/>
  <c r="O13" i="11"/>
  <c r="K13" i="11"/>
  <c r="F12" i="11"/>
  <c r="G13" i="11" s="1"/>
  <c r="J13" i="11"/>
  <c r="K7" i="3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K8" i="3"/>
  <c r="N10" i="13"/>
  <c r="J8" i="14" a="1"/>
  <c r="J8" i="14" s="1"/>
  <c r="N9" i="14"/>
  <c r="W7" i="3"/>
  <c r="Q16" i="3"/>
  <c r="M35" i="4"/>
  <c r="J9" i="4"/>
  <c r="L39" i="4"/>
  <c r="J42" i="4"/>
  <c r="K12" i="3"/>
  <c r="M9" i="5"/>
  <c r="T9" i="5"/>
  <c r="L9" i="5"/>
  <c r="M6" i="5"/>
  <c r="T6" i="5"/>
  <c r="L6" i="5"/>
  <c r="U23" i="11"/>
  <c r="T23" i="11"/>
  <c r="K28" i="3"/>
  <c r="W5" i="3"/>
  <c r="K30" i="3"/>
  <c r="E6" i="3"/>
  <c r="K23" i="3"/>
  <c r="K21" i="3"/>
  <c r="K17" i="3"/>
  <c r="K18" i="3"/>
  <c r="K24" i="3"/>
  <c r="K27" i="3"/>
  <c r="E5" i="3"/>
  <c r="K26" i="3"/>
  <c r="K29" i="3"/>
  <c r="K22" i="3"/>
  <c r="K19" i="3"/>
  <c r="K20" i="3"/>
  <c r="W4" i="3"/>
  <c r="K25" i="3"/>
  <c r="Q17" i="3"/>
  <c r="Q9" i="3"/>
  <c r="P2" i="3"/>
  <c r="Q2" i="3" s="1"/>
  <c r="Q4" i="3"/>
  <c r="M3" i="5"/>
  <c r="T3" i="5"/>
  <c r="L3" i="5"/>
  <c r="G60" i="14"/>
  <c r="L16" i="5" l="1"/>
  <c r="K2" i="3"/>
  <c r="G333" i="7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G176" i="7" l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W6" i="3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G126" i="7" l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G82" i="7" s="1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J9" i="10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G55" i="7" l="1"/>
  <c r="G54" i="7" s="1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G42" i="7" s="1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Z25" i="1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B5" i="2" l="1"/>
  <c r="B7" i="2" s="1"/>
  <c r="F25" i="2" s="1"/>
  <c r="G65" i="14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O18" i="3" s="1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F16" i="2" l="1"/>
  <c r="O12" i="3"/>
  <c r="I16" i="3"/>
  <c r="I5" i="3"/>
  <c r="I10" i="3"/>
  <c r="O13" i="3"/>
  <c r="C7" i="3"/>
  <c r="U5" i="3"/>
  <c r="I9" i="3"/>
  <c r="I4" i="3"/>
  <c r="O14" i="3"/>
  <c r="C6" i="3"/>
  <c r="O16" i="3"/>
  <c r="O5" i="3"/>
  <c r="O10" i="3"/>
  <c r="I30" i="3"/>
  <c r="I25" i="3"/>
  <c r="O11" i="3"/>
  <c r="I22" i="3"/>
  <c r="I24" i="3"/>
  <c r="O7" i="3"/>
  <c r="I13" i="3"/>
  <c r="I14" i="3"/>
  <c r="O4" i="3"/>
  <c r="I28" i="3"/>
  <c r="I17" i="3"/>
  <c r="I18" i="3"/>
  <c r="I26" i="3"/>
  <c r="O9" i="3"/>
  <c r="I21" i="3"/>
  <c r="I8" i="3"/>
  <c r="I6" i="3"/>
  <c r="I19" i="3"/>
  <c r="I27" i="3"/>
  <c r="I11" i="3"/>
  <c r="I23" i="3"/>
  <c r="I7" i="3"/>
  <c r="O2" i="3"/>
  <c r="I15" i="3"/>
  <c r="O17" i="3"/>
  <c r="O15" i="3"/>
  <c r="O8" i="3"/>
  <c r="I29" i="3"/>
  <c r="I12" i="3"/>
  <c r="O6" i="3"/>
  <c r="I20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F46" i="6" l="1"/>
  <c r="T32" i="11"/>
  <c r="U32" i="11"/>
  <c r="J18" i="13" a="1"/>
  <c r="J18" i="13" s="1"/>
  <c r="N19" i="13"/>
  <c r="M22" i="14"/>
  <c r="O22" i="11"/>
  <c r="P22" i="11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A98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74" i="11" l="1"/>
  <c r="A80" i="11"/>
  <c r="N79" i="13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M82" i="14"/>
  <c r="G8" i="12" l="1"/>
  <c r="M83" i="14"/>
  <c r="M82" i="13"/>
  <c r="B6" i="11"/>
  <c r="N79" i="14"/>
  <c r="J78" i="14" a="1"/>
  <c r="J78" i="14" s="1"/>
  <c r="E6" i="12"/>
  <c r="C6" i="12" s="1"/>
  <c r="J4" i="11"/>
  <c r="E3" i="12" s="1"/>
  <c r="E2" i="11"/>
  <c r="B22" i="2"/>
  <c r="K11" i="14"/>
  <c r="L11" i="14" s="1"/>
  <c r="N80" i="13"/>
  <c r="J79" i="13" a="1"/>
  <c r="J79" i="13" s="1"/>
  <c r="E8" i="12" l="1"/>
  <c r="I12" i="14"/>
  <c r="R14" i="10" a="1"/>
  <c r="R14" i="10" s="1"/>
  <c r="M83" i="13"/>
  <c r="O26" i="2"/>
  <c r="B26" i="2"/>
  <c r="F1" i="2" s="1"/>
  <c r="O22" i="2"/>
  <c r="O19" i="2"/>
  <c r="N81" i="13"/>
  <c r="J80" i="13" a="1"/>
  <c r="J80" i="13" s="1"/>
  <c r="N80" i="14"/>
  <c r="J79" i="14" a="1"/>
  <c r="J79" i="14" s="1"/>
  <c r="M84" i="14"/>
  <c r="B1" i="13" l="1"/>
  <c r="C8" i="12"/>
  <c r="F29" i="2"/>
  <c r="O18" i="2"/>
  <c r="P26" i="2" s="1"/>
  <c r="F3" i="2"/>
  <c r="O35" i="2"/>
  <c r="M84" i="13"/>
  <c r="M85" i="14"/>
  <c r="N82" i="13"/>
  <c r="J81" i="13" a="1"/>
  <c r="J81" i="13" s="1"/>
  <c r="O37" i="2"/>
  <c r="N81" i="14"/>
  <c r="J80" i="14" a="1"/>
  <c r="J80" i="14" s="1"/>
  <c r="O36" i="2"/>
  <c r="K12" i="14"/>
  <c r="L12" i="14" s="1"/>
  <c r="B8" i="13" l="1"/>
  <c r="I8" i="13"/>
  <c r="P22" i="2"/>
  <c r="P36" i="2"/>
  <c r="P37" i="2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9" i="2"/>
  <c r="L5" i="2"/>
  <c r="C31" i="2"/>
  <c r="C19" i="2"/>
  <c r="L15" i="2"/>
  <c r="L6" i="2"/>
  <c r="L8" i="2"/>
  <c r="C7" i="2"/>
  <c r="L12" i="2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K8" i="13" l="1"/>
  <c r="L8" i="13" s="1"/>
  <c r="P40" i="2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Q11" i="10" l="1" a="1"/>
  <c r="Q11" i="10" s="1"/>
  <c r="S11" i="10" s="1"/>
  <c r="I9" i="13"/>
  <c r="M88" i="14"/>
  <c r="I14" i="14"/>
  <c r="R16" i="10" a="1"/>
  <c r="R16" i="10" s="1"/>
  <c r="M87" i="13"/>
  <c r="N85" i="13"/>
  <c r="J84" i="13" a="1"/>
  <c r="J84" i="13" s="1"/>
  <c r="N84" i="14"/>
  <c r="J83" i="14" a="1"/>
  <c r="J83" i="14" s="1"/>
  <c r="K9" i="13" l="1"/>
  <c r="N86" i="13"/>
  <c r="J85" i="13" a="1"/>
  <c r="J85" i="13" s="1"/>
  <c r="K14" i="14"/>
  <c r="L14" i="14" s="1"/>
  <c r="I15" i="14" s="1"/>
  <c r="M88" i="13"/>
  <c r="M89" i="14"/>
  <c r="N85" i="14"/>
  <c r="J84" i="14" a="1"/>
  <c r="J84" i="14" s="1"/>
  <c r="L9" i="13" l="1"/>
  <c r="K15" i="14"/>
  <c r="L15" i="14" s="1"/>
  <c r="I16" i="14" s="1"/>
  <c r="M90" i="14"/>
  <c r="N86" i="14"/>
  <c r="J85" i="14" a="1"/>
  <c r="J85" i="14" s="1"/>
  <c r="M89" i="13"/>
  <c r="N87" i="13"/>
  <c r="J86" i="13" a="1"/>
  <c r="J86" i="13" s="1"/>
  <c r="I10" i="13" l="1"/>
  <c r="Q12" i="10" a="1"/>
  <c r="Q12" i="10" s="1"/>
  <c r="S12" i="10" s="1"/>
  <c r="K16" i="14"/>
  <c r="L16" i="14" s="1"/>
  <c r="I17" i="14" s="1"/>
  <c r="M90" i="13"/>
  <c r="M91" i="14"/>
  <c r="N88" i="13"/>
  <c r="J87" i="13" a="1"/>
  <c r="J87" i="13" s="1"/>
  <c r="N87" i="14"/>
  <c r="J86" i="14" a="1"/>
  <c r="J86" i="14" s="1"/>
  <c r="K10" i="13" l="1"/>
  <c r="K17" i="14"/>
  <c r="L17" i="14" s="1"/>
  <c r="I18" i="14" s="1"/>
  <c r="M91" i="13"/>
  <c r="N89" i="13"/>
  <c r="J88" i="13" a="1"/>
  <c r="J88" i="13" s="1"/>
  <c r="N88" i="14"/>
  <c r="J87" i="14" a="1"/>
  <c r="J87" i="14" s="1"/>
  <c r="M92" i="14"/>
  <c r="L10" i="13" l="1"/>
  <c r="K18" i="14"/>
  <c r="L18" i="14" s="1"/>
  <c r="I19" i="14" s="1"/>
  <c r="M92" i="13"/>
  <c r="M93" i="14"/>
  <c r="N89" i="14"/>
  <c r="J88" i="14" a="1"/>
  <c r="J88" i="14" s="1"/>
  <c r="N90" i="13"/>
  <c r="J89" i="13" a="1"/>
  <c r="J89" i="13" s="1"/>
  <c r="I11" i="13" l="1"/>
  <c r="Q13" i="10" a="1"/>
  <c r="Q13" i="10" s="1"/>
  <c r="S13" i="10" s="1"/>
  <c r="K19" i="14"/>
  <c r="L19" i="14" s="1"/>
  <c r="I20" i="14" s="1"/>
  <c r="M93" i="13"/>
  <c r="N90" i="14"/>
  <c r="J89" i="14" a="1"/>
  <c r="J89" i="14" s="1"/>
  <c r="M94" i="14"/>
  <c r="N91" i="13"/>
  <c r="J90" i="13" a="1"/>
  <c r="J90" i="13" s="1"/>
  <c r="K11" i="13" l="1"/>
  <c r="L11" i="13" s="1"/>
  <c r="K20" i="14"/>
  <c r="M95" i="14"/>
  <c r="M94" i="13"/>
  <c r="N92" i="13"/>
  <c r="J91" i="13" a="1"/>
  <c r="J91" i="13" s="1"/>
  <c r="N91" i="14"/>
  <c r="J90" i="14" a="1"/>
  <c r="J90" i="14" s="1"/>
  <c r="I12" i="13" l="1"/>
  <c r="Q14" i="10" a="1"/>
  <c r="Q14" i="10" s="1"/>
  <c r="S14" i="10" s="1"/>
  <c r="M96" i="14"/>
  <c r="N93" i="13"/>
  <c r="J92" i="13" a="1"/>
  <c r="J92" i="13" s="1"/>
  <c r="M95" i="13"/>
  <c r="N92" i="14"/>
  <c r="J91" i="14" a="1"/>
  <c r="J91" i="14" s="1"/>
  <c r="L20" i="14"/>
  <c r="I21" i="14" s="1"/>
  <c r="K12" i="13" l="1"/>
  <c r="L12" i="13" s="1"/>
  <c r="N94" i="13"/>
  <c r="J93" i="13" a="1"/>
  <c r="J93" i="13" s="1"/>
  <c r="N93" i="14"/>
  <c r="J92" i="14" a="1"/>
  <c r="J92" i="14" s="1"/>
  <c r="M96" i="13"/>
  <c r="K21" i="14"/>
  <c r="M97" i="14"/>
  <c r="Q15" i="10" l="1" a="1"/>
  <c r="Q15" i="10" s="1"/>
  <c r="S15" i="10" s="1"/>
  <c r="I13" i="13"/>
  <c r="N95" i="13"/>
  <c r="J94" i="13" a="1"/>
  <c r="J94" i="13" s="1"/>
  <c r="L21" i="14"/>
  <c r="I22" i="14" s="1"/>
  <c r="N94" i="14"/>
  <c r="J93" i="14" a="1"/>
  <c r="J93" i="14" s="1"/>
  <c r="M98" i="14"/>
  <c r="M97" i="13"/>
  <c r="K13" i="13" l="1"/>
  <c r="L13" i="13" s="1"/>
  <c r="I14" i="13" s="1"/>
  <c r="M98" i="13"/>
  <c r="N95" i="14"/>
  <c r="J94" i="14" a="1"/>
  <c r="J94" i="14" s="1"/>
  <c r="N96" i="13"/>
  <c r="J95" i="13" a="1"/>
  <c r="J95" i="13" s="1"/>
  <c r="M99" i="14"/>
  <c r="K22" i="14"/>
  <c r="K14" i="13" l="1"/>
  <c r="L14" i="13" s="1"/>
  <c r="M100" i="14"/>
  <c r="N96" i="14"/>
  <c r="J95" i="14" a="1"/>
  <c r="J95" i="14" s="1"/>
  <c r="M99" i="13"/>
  <c r="L22" i="14"/>
  <c r="I23" i="14" s="1"/>
  <c r="N97" i="13"/>
  <c r="J96" i="13" a="1"/>
  <c r="J96" i="13" s="1"/>
  <c r="Q17" i="10" l="1" a="1"/>
  <c r="Q17" i="10" s="1"/>
  <c r="I15" i="13"/>
  <c r="M100" i="13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 l="1"/>
  <c r="L15" i="13" s="1"/>
  <c r="I16" i="13" s="1"/>
  <c r="K24" i="14"/>
  <c r="L24" i="14" s="1"/>
  <c r="I25" i="14" s="1"/>
  <c r="N98" i="14"/>
  <c r="J97" i="14" a="1"/>
  <c r="J97" i="14" s="1"/>
  <c r="M101" i="13"/>
  <c r="M102" i="14"/>
  <c r="N99" i="13"/>
  <c r="J98" i="13" a="1"/>
  <c r="J98" i="13" s="1"/>
  <c r="K16" i="13" l="1"/>
  <c r="L16" i="13" s="1"/>
  <c r="I17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17" i="13" l="1"/>
  <c r="L17" i="13" s="1"/>
  <c r="I18" i="13" s="1"/>
  <c r="K26" i="14"/>
  <c r="L26" i="14" s="1"/>
  <c r="I27" i="14" s="1"/>
  <c r="M103" i="13"/>
  <c r="N100" i="14"/>
  <c r="J99" i="14" a="1"/>
  <c r="J99" i="14" s="1"/>
  <c r="M104" i="14"/>
  <c r="N101" i="13"/>
  <c r="J100" i="13" a="1"/>
  <c r="J100" i="13" s="1"/>
  <c r="K18" i="13" l="1"/>
  <c r="L18" i="13" s="1"/>
  <c r="I19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19" i="13" l="1"/>
  <c r="L19" i="13" s="1"/>
  <c r="I20" i="13" s="1"/>
  <c r="K28" i="14"/>
  <c r="L28" i="14" s="1"/>
  <c r="I29" i="14" s="1"/>
  <c r="M105" i="13"/>
  <c r="M106" i="14"/>
  <c r="N103" i="13"/>
  <c r="J102" i="13" a="1"/>
  <c r="J102" i="13" s="1"/>
  <c r="N102" i="14"/>
  <c r="J101" i="14" a="1"/>
  <c r="J101" i="14" s="1"/>
  <c r="K20" i="13" l="1"/>
  <c r="K29" i="14"/>
  <c r="L29" i="14" s="1"/>
  <c r="I30" i="14" s="1"/>
  <c r="N103" i="14"/>
  <c r="J102" i="14" a="1"/>
  <c r="J102" i="14" s="1"/>
  <c r="M106" i="13"/>
  <c r="M107" i="14"/>
  <c r="N104" i="13"/>
  <c r="J103" i="13" a="1"/>
  <c r="J103" i="13" s="1"/>
  <c r="L20" i="13" l="1"/>
  <c r="I21" i="13" s="1"/>
  <c r="K30" i="14"/>
  <c r="L30" i="14" s="1"/>
  <c r="I31" i="14" s="1"/>
  <c r="M107" i="13"/>
  <c r="N104" i="14"/>
  <c r="J103" i="14" a="1"/>
  <c r="J103" i="14" s="1"/>
  <c r="M108" i="14"/>
  <c r="N105" i="13"/>
  <c r="J104" i="13" a="1"/>
  <c r="J104" i="13" s="1"/>
  <c r="K21" i="13" l="1"/>
  <c r="K31" i="14"/>
  <c r="L31" i="14" s="1"/>
  <c r="I32" i="14" s="1"/>
  <c r="M109" i="14"/>
  <c r="M108" i="13"/>
  <c r="N106" i="13"/>
  <c r="J105" i="13" a="1"/>
  <c r="J105" i="13" s="1"/>
  <c r="N105" i="14"/>
  <c r="J104" i="14" a="1"/>
  <c r="J104" i="14" s="1"/>
  <c r="L21" i="13" l="1"/>
  <c r="I22" i="13" s="1"/>
  <c r="K32" i="14"/>
  <c r="N107" i="13"/>
  <c r="J106" i="13" a="1"/>
  <c r="J106" i="13" s="1"/>
  <c r="M109" i="13"/>
  <c r="N106" i="14"/>
  <c r="J105" i="14" a="1"/>
  <c r="J105" i="14" s="1"/>
  <c r="M110" i="14"/>
  <c r="K22" i="13" l="1"/>
  <c r="N108" i="13"/>
  <c r="J107" i="13" a="1"/>
  <c r="J107" i="13" s="1"/>
  <c r="M110" i="13"/>
  <c r="M111" i="14"/>
  <c r="N107" i="14"/>
  <c r="J106" i="14" a="1"/>
  <c r="J106" i="14" s="1"/>
  <c r="L32" i="14"/>
  <c r="I33" i="14" s="1"/>
  <c r="L22" i="13" l="1"/>
  <c r="I23" i="13" s="1"/>
  <c r="N108" i="14"/>
  <c r="J107" i="14" a="1"/>
  <c r="J107" i="14" s="1"/>
  <c r="M111" i="13"/>
  <c r="N109" i="13"/>
  <c r="J108" i="13" a="1"/>
  <c r="J108" i="13" s="1"/>
  <c r="K33" i="14"/>
  <c r="M112" i="14"/>
  <c r="K23" i="13" l="1"/>
  <c r="L23" i="13" s="1"/>
  <c r="I24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4" i="13" l="1"/>
  <c r="L24" i="13" s="1"/>
  <c r="I25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25" i="13" l="1"/>
  <c r="L25" i="13" s="1"/>
  <c r="I26" i="13" s="1"/>
  <c r="K35" i="14"/>
  <c r="L35" i="14" s="1"/>
  <c r="I36" i="14" s="1"/>
  <c r="M114" i="13"/>
  <c r="N112" i="13"/>
  <c r="J111" i="13" a="1"/>
  <c r="J111" i="13" s="1"/>
  <c r="M115" i="14"/>
  <c r="N111" i="14"/>
  <c r="J110" i="14" a="1"/>
  <c r="J110" i="14" s="1"/>
  <c r="K26" i="13" l="1"/>
  <c r="L26" i="13" s="1"/>
  <c r="I27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27" i="13" l="1"/>
  <c r="L27" i="13" s="1"/>
  <c r="I28" i="13" s="1"/>
  <c r="K37" i="14"/>
  <c r="L37" i="14" s="1"/>
  <c r="I38" i="14" s="1"/>
  <c r="M116" i="13"/>
  <c r="N113" i="14"/>
  <c r="J112" i="14" a="1"/>
  <c r="J112" i="14" s="1"/>
  <c r="M117" i="14"/>
  <c r="N114" i="13"/>
  <c r="J113" i="13" a="1"/>
  <c r="J113" i="13" s="1"/>
  <c r="K28" i="13" l="1"/>
  <c r="L28" i="13" s="1"/>
  <c r="I29" i="13" s="1"/>
  <c r="K38" i="14"/>
  <c r="L38" i="14" s="1"/>
  <c r="I39" i="14" s="1"/>
  <c r="N114" i="14"/>
  <c r="J113" i="14" a="1"/>
  <c r="J113" i="14" s="1"/>
  <c r="M118" i="14"/>
  <c r="N115" i="13"/>
  <c r="J114" i="13" a="1"/>
  <c r="J114" i="13" s="1"/>
  <c r="M117" i="13"/>
  <c r="K29" i="13" l="1"/>
  <c r="L29" i="13" s="1"/>
  <c r="I30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30" i="13" l="1"/>
  <c r="L30" i="13" s="1"/>
  <c r="I31" i="13" s="1"/>
  <c r="K40" i="14"/>
  <c r="L40" i="14" s="1"/>
  <c r="I41" i="14" s="1"/>
  <c r="N116" i="14"/>
  <c r="J115" i="14" a="1"/>
  <c r="J115" i="14" s="1"/>
  <c r="M119" i="13"/>
  <c r="M120" i="14"/>
  <c r="N117" i="13"/>
  <c r="J116" i="13" a="1"/>
  <c r="J116" i="13" s="1"/>
  <c r="K31" i="13" l="1"/>
  <c r="L31" i="13" s="1"/>
  <c r="I32" i="13" s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32" i="13" l="1"/>
  <c r="K42" i="14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 l="1"/>
  <c r="I33" i="13" s="1"/>
  <c r="K43" i="14"/>
  <c r="L43" i="14" s="1"/>
  <c r="I44" i="14" s="1"/>
  <c r="N119" i="14"/>
  <c r="J118" i="14" a="1"/>
  <c r="J118" i="14" s="1"/>
  <c r="M122" i="13"/>
  <c r="N120" i="13"/>
  <c r="J119" i="13" a="1"/>
  <c r="J119" i="13" s="1"/>
  <c r="M123" i="14"/>
  <c r="K33" i="13" l="1"/>
  <c r="K44" i="14"/>
  <c r="N120" i="14"/>
  <c r="J119" i="14" a="1"/>
  <c r="J119" i="14" s="1"/>
  <c r="N121" i="13"/>
  <c r="J120" i="13" a="1"/>
  <c r="J120" i="13" s="1"/>
  <c r="M123" i="13"/>
  <c r="M124" i="14"/>
  <c r="L33" i="13" l="1"/>
  <c r="I34" i="13" s="1"/>
  <c r="M124" i="13"/>
  <c r="N121" i="14"/>
  <c r="J120" i="14" a="1"/>
  <c r="J120" i="14" s="1"/>
  <c r="N122" i="13"/>
  <c r="J121" i="13" a="1"/>
  <c r="J121" i="13" s="1"/>
  <c r="M125" i="14"/>
  <c r="L44" i="14"/>
  <c r="I45" i="14" s="1"/>
  <c r="K34" i="13" l="1"/>
  <c r="N122" i="14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 l="1"/>
  <c r="I35" i="13" s="1"/>
  <c r="K46" i="14"/>
  <c r="L46" i="14" s="1"/>
  <c r="I47" i="14" s="1"/>
  <c r="M126" i="13"/>
  <c r="M127" i="14"/>
  <c r="N124" i="13"/>
  <c r="J123" i="13" a="1"/>
  <c r="J123" i="13" s="1"/>
  <c r="N123" i="14"/>
  <c r="J122" i="14" a="1"/>
  <c r="J122" i="14" s="1"/>
  <c r="K35" i="13" l="1"/>
  <c r="L35" i="13" s="1"/>
  <c r="I36" i="13" s="1"/>
  <c r="K47" i="14"/>
  <c r="N125" i="13"/>
  <c r="J124" i="13" a="1"/>
  <c r="J124" i="13" s="1"/>
  <c r="M127" i="13"/>
  <c r="N124" i="14"/>
  <c r="J123" i="14" a="1"/>
  <c r="J123" i="14" s="1"/>
  <c r="M128" i="14"/>
  <c r="K36" i="13" l="1"/>
  <c r="L36" i="13" s="1"/>
  <c r="I37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7" i="13" l="1"/>
  <c r="L37" i="13" s="1"/>
  <c r="I38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38" i="13" l="1"/>
  <c r="L38" i="13" s="1"/>
  <c r="I39" i="13" s="1"/>
  <c r="K49" i="14"/>
  <c r="L49" i="14" s="1"/>
  <c r="I50" i="14" s="1"/>
  <c r="M130" i="13"/>
  <c r="M131" i="14"/>
  <c r="N127" i="14"/>
  <c r="J126" i="14" a="1"/>
  <c r="J126" i="14" s="1"/>
  <c r="N128" i="13"/>
  <c r="J127" i="13" a="1"/>
  <c r="J127" i="13" s="1"/>
  <c r="K39" i="13" l="1"/>
  <c r="L39" i="13" s="1"/>
  <c r="I40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40" i="13" l="1"/>
  <c r="L40" i="13" s="1"/>
  <c r="I41" i="13" s="1"/>
  <c r="K51" i="14"/>
  <c r="L51" i="14" s="1"/>
  <c r="I52" i="14" s="1"/>
  <c r="M132" i="13"/>
  <c r="N129" i="14"/>
  <c r="J128" i="14" a="1"/>
  <c r="J128" i="14" s="1"/>
  <c r="M133" i="14"/>
  <c r="N130" i="13"/>
  <c r="J129" i="13" a="1"/>
  <c r="J129" i="13" s="1"/>
  <c r="K41" i="13" l="1"/>
  <c r="L41" i="13" s="1"/>
  <c r="I42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42" i="13" l="1"/>
  <c r="L42" i="13" s="1"/>
  <c r="I43" i="13" s="1"/>
  <c r="K53" i="14"/>
  <c r="L53" i="14" s="1"/>
  <c r="I54" i="14" s="1"/>
  <c r="M135" i="14"/>
  <c r="N132" i="13"/>
  <c r="J131" i="13" a="1"/>
  <c r="J131" i="13" s="1"/>
  <c r="M134" i="13"/>
  <c r="N131" i="14"/>
  <c r="J130" i="14" a="1"/>
  <c r="J130" i="14" s="1"/>
  <c r="K43" i="13" l="1"/>
  <c r="L43" i="13" s="1"/>
  <c r="I44" i="13" s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K44" i="13" l="1"/>
  <c r="M137" i="14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 l="1"/>
  <c r="I45" i="13" s="1"/>
  <c r="K56" i="14"/>
  <c r="M137" i="13"/>
  <c r="N135" i="13"/>
  <c r="J134" i="13" a="1"/>
  <c r="J134" i="13" s="1"/>
  <c r="N134" i="14"/>
  <c r="J133" i="14" a="1"/>
  <c r="J133" i="14" s="1"/>
  <c r="M138" i="14"/>
  <c r="K45" i="13" l="1"/>
  <c r="N136" i="13"/>
  <c r="J135" i="13" a="1"/>
  <c r="J135" i="13" s="1"/>
  <c r="M139" i="14"/>
  <c r="M138" i="13"/>
  <c r="N135" i="14"/>
  <c r="J134" i="14" a="1"/>
  <c r="J134" i="14" s="1"/>
  <c r="L56" i="14"/>
  <c r="I57" i="14" s="1"/>
  <c r="L45" i="13" l="1"/>
  <c r="I46" i="13" s="1"/>
  <c r="M140" i="14"/>
  <c r="M139" i="13"/>
  <c r="K57" i="14"/>
  <c r="N136" i="14"/>
  <c r="J135" i="14" a="1"/>
  <c r="J135" i="14" s="1"/>
  <c r="N137" i="13"/>
  <c r="J136" i="13" a="1"/>
  <c r="J136" i="13" s="1"/>
  <c r="K46" i="13" l="1"/>
  <c r="M140" i="13"/>
  <c r="N138" i="13"/>
  <c r="J137" i="13" a="1"/>
  <c r="J137" i="13" s="1"/>
  <c r="M141" i="14"/>
  <c r="N137" i="14"/>
  <c r="J136" i="14" a="1"/>
  <c r="J136" i="14" s="1"/>
  <c r="L57" i="14"/>
  <c r="I58" i="14" s="1"/>
  <c r="L46" i="13" l="1"/>
  <c r="I47" i="13" s="1"/>
  <c r="K58" i="14"/>
  <c r="N139" i="13"/>
  <c r="J138" i="13" a="1"/>
  <c r="J138" i="13" s="1"/>
  <c r="M141" i="13"/>
  <c r="M142" i="14"/>
  <c r="N138" i="14"/>
  <c r="J137" i="14" a="1"/>
  <c r="J137" i="14" s="1"/>
  <c r="K47" i="13" l="1"/>
  <c r="L47" i="13" s="1"/>
  <c r="I48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8" i="13" l="1"/>
  <c r="L48" i="13" s="1"/>
  <c r="I49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49" i="13" l="1"/>
  <c r="L49" i="13" s="1"/>
  <c r="I50" i="13" s="1"/>
  <c r="K60" i="14"/>
  <c r="L60" i="14" s="1"/>
  <c r="I61" i="14" s="1"/>
  <c r="N141" i="14"/>
  <c r="J140" i="14" a="1"/>
  <c r="J140" i="14" s="1"/>
  <c r="N142" i="13"/>
  <c r="J141" i="13" a="1"/>
  <c r="J141" i="13" s="1"/>
  <c r="M144" i="13"/>
  <c r="M145" i="14"/>
  <c r="K50" i="13" l="1"/>
  <c r="L50" i="13" s="1"/>
  <c r="I51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51" i="13" l="1"/>
  <c r="L51" i="13" s="1"/>
  <c r="I52" i="13" s="1"/>
  <c r="K62" i="14"/>
  <c r="L62" i="14" s="1"/>
  <c r="I63" i="14" s="1"/>
  <c r="M146" i="13"/>
  <c r="N143" i="14"/>
  <c r="J142" i="14" a="1"/>
  <c r="J142" i="14" s="1"/>
  <c r="M147" i="14"/>
  <c r="N144" i="13"/>
  <c r="J143" i="13" a="1"/>
  <c r="J143" i="13" s="1"/>
  <c r="K52" i="13" l="1"/>
  <c r="L52" i="13" s="1"/>
  <c r="I53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53" i="13" l="1"/>
  <c r="L53" i="13" s="1"/>
  <c r="I54" i="13" s="1"/>
  <c r="K64" i="14"/>
  <c r="L64" i="14" s="1"/>
  <c r="I65" i="14" s="1"/>
  <c r="M149" i="14"/>
  <c r="M148" i="13"/>
  <c r="N146" i="13"/>
  <c r="J145" i="13" a="1"/>
  <c r="J145" i="13" s="1"/>
  <c r="N145" i="14"/>
  <c r="J144" i="14" a="1"/>
  <c r="J144" i="14" s="1"/>
  <c r="K54" i="13" l="1"/>
  <c r="L54" i="13" s="1"/>
  <c r="I55" i="13" s="1"/>
  <c r="K65" i="14"/>
  <c r="L65" i="14" s="1"/>
  <c r="I66" i="14" s="1"/>
  <c r="M149" i="13"/>
  <c r="M150" i="14"/>
  <c r="N146" i="14"/>
  <c r="J145" i="14" a="1"/>
  <c r="J145" i="14" s="1"/>
  <c r="N147" i="13"/>
  <c r="J146" i="13" a="1"/>
  <c r="J146" i="13" s="1"/>
  <c r="K55" i="13" l="1"/>
  <c r="L55" i="13" s="1"/>
  <c r="I56" i="13" s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56" i="13" l="1"/>
  <c r="K67" i="14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 l="1"/>
  <c r="I57" i="13" s="1"/>
  <c r="K68" i="14"/>
  <c r="M152" i="13"/>
  <c r="N150" i="13"/>
  <c r="J149" i="13" a="1"/>
  <c r="J149" i="13" s="1"/>
  <c r="M153" i="14"/>
  <c r="N149" i="14"/>
  <c r="J148" i="14" a="1"/>
  <c r="J148" i="14" s="1"/>
  <c r="K57" i="13" l="1"/>
  <c r="N150" i="14"/>
  <c r="J149" i="14" a="1"/>
  <c r="J149" i="14" s="1"/>
  <c r="N151" i="13"/>
  <c r="J150" i="13" a="1"/>
  <c r="J150" i="13" s="1"/>
  <c r="M154" i="14"/>
  <c r="M153" i="13"/>
  <c r="L68" i="14"/>
  <c r="I69" i="14" s="1"/>
  <c r="L57" i="13" l="1"/>
  <c r="I58" i="13" s="1"/>
  <c r="K69" i="14"/>
  <c r="M155" i="14"/>
  <c r="N152" i="13"/>
  <c r="J151" i="13" a="1"/>
  <c r="J151" i="13" s="1"/>
  <c r="M154" i="13"/>
  <c r="N151" i="14"/>
  <c r="J150" i="14" a="1"/>
  <c r="J150" i="14" s="1"/>
  <c r="K58" i="13" l="1"/>
  <c r="M155" i="13"/>
  <c r="M156" i="14"/>
  <c r="N152" i="14"/>
  <c r="J151" i="14" a="1"/>
  <c r="J151" i="14" s="1"/>
  <c r="N153" i="13"/>
  <c r="J152" i="13" a="1"/>
  <c r="J152" i="13" s="1"/>
  <c r="L69" i="14"/>
  <c r="I70" i="14" s="1"/>
  <c r="L58" i="13" l="1"/>
  <c r="I59" i="13" s="1"/>
  <c r="M157" i="14"/>
  <c r="M156" i="13"/>
  <c r="K70" i="14"/>
  <c r="L70" i="14" s="1"/>
  <c r="I71" i="14" s="1"/>
  <c r="N154" i="13"/>
  <c r="J153" i="13" a="1"/>
  <c r="J153" i="13" s="1"/>
  <c r="N153" i="14"/>
  <c r="J152" i="14" a="1"/>
  <c r="J152" i="14" s="1"/>
  <c r="K59" i="13" l="1"/>
  <c r="L59" i="13" s="1"/>
  <c r="I60" i="13" s="1"/>
  <c r="K71" i="14"/>
  <c r="L71" i="14" s="1"/>
  <c r="I72" i="14" s="1"/>
  <c r="N154" i="14"/>
  <c r="J153" i="14" a="1"/>
  <c r="J153" i="14" s="1"/>
  <c r="N155" i="13"/>
  <c r="J154" i="13" a="1"/>
  <c r="J154" i="13" s="1"/>
  <c r="M157" i="13"/>
  <c r="M158" i="14"/>
  <c r="K60" i="13" l="1"/>
  <c r="L60" i="13" s="1"/>
  <c r="I61" i="13" s="1"/>
  <c r="K72" i="14"/>
  <c r="L72" i="14" s="1"/>
  <c r="I73" i="14" s="1"/>
  <c r="N156" i="13"/>
  <c r="J155" i="13" a="1"/>
  <c r="J155" i="13" s="1"/>
  <c r="M159" i="14"/>
  <c r="M158" i="13"/>
  <c r="N155" i="14"/>
  <c r="J154" i="14" a="1"/>
  <c r="J154" i="14" s="1"/>
  <c r="K61" i="13" l="1"/>
  <c r="L61" i="13" s="1"/>
  <c r="I62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62" i="13" l="1"/>
  <c r="L62" i="13" s="1"/>
  <c r="I63" i="13" s="1"/>
  <c r="K74" i="14"/>
  <c r="L74" i="14" s="1"/>
  <c r="I75" i="14" s="1"/>
  <c r="N157" i="14"/>
  <c r="J156" i="14" a="1"/>
  <c r="J156" i="14" s="1"/>
  <c r="M160" i="13"/>
  <c r="M161" i="14"/>
  <c r="N158" i="13"/>
  <c r="J157" i="13" a="1"/>
  <c r="J157" i="13" s="1"/>
  <c r="K63" i="13" l="1"/>
  <c r="L63" i="13" s="1"/>
  <c r="I64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64" i="13" l="1"/>
  <c r="L64" i="13" s="1"/>
  <c r="I65" i="13" s="1"/>
  <c r="K76" i="14"/>
  <c r="L76" i="14" s="1"/>
  <c r="I77" i="14" s="1"/>
  <c r="M162" i="13"/>
  <c r="N159" i="14"/>
  <c r="J158" i="14" a="1"/>
  <c r="J158" i="14" s="1"/>
  <c r="M163" i="14"/>
  <c r="N160" i="13"/>
  <c r="J159" i="13" a="1"/>
  <c r="J159" i="13" s="1"/>
  <c r="K65" i="13" l="1"/>
  <c r="L65" i="13" s="1"/>
  <c r="I66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66" i="13" l="1"/>
  <c r="L66" i="13" s="1"/>
  <c r="I67" i="13" s="1"/>
  <c r="K78" i="14"/>
  <c r="L78" i="14" s="1"/>
  <c r="I79" i="14" s="1"/>
  <c r="N161" i="14"/>
  <c r="J160" i="14" a="1"/>
  <c r="J160" i="14" s="1"/>
  <c r="M164" i="13"/>
  <c r="M165" i="14"/>
  <c r="N162" i="13"/>
  <c r="J161" i="13" a="1"/>
  <c r="J161" i="13" s="1"/>
  <c r="K67" i="13" l="1"/>
  <c r="L67" i="13" s="1"/>
  <c r="I68" i="13" s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68" i="13" l="1"/>
  <c r="K80" i="14"/>
  <c r="M166" i="13"/>
  <c r="N163" i="14"/>
  <c r="J162" i="14" a="1"/>
  <c r="J162" i="14" s="1"/>
  <c r="M167" i="14"/>
  <c r="N164" i="13"/>
  <c r="J163" i="13" a="1"/>
  <c r="J163" i="13" s="1"/>
  <c r="L68" i="13" l="1"/>
  <c r="I69" i="13" s="1"/>
  <c r="N165" i="13"/>
  <c r="J164" i="13" a="1"/>
  <c r="J164" i="13" s="1"/>
  <c r="N164" i="14"/>
  <c r="J163" i="14" a="1"/>
  <c r="J163" i="14" s="1"/>
  <c r="M168" i="14"/>
  <c r="M167" i="13"/>
  <c r="L80" i="14"/>
  <c r="I81" i="14" s="1"/>
  <c r="K69" i="13" l="1"/>
  <c r="M168" i="13"/>
  <c r="M169" i="14"/>
  <c r="K81" i="14"/>
  <c r="N165" i="14"/>
  <c r="J164" i="14" a="1"/>
  <c r="J164" i="14" s="1"/>
  <c r="N166" i="13"/>
  <c r="J165" i="13" a="1"/>
  <c r="J165" i="13" s="1"/>
  <c r="L69" i="13" l="1"/>
  <c r="I70" i="13" s="1"/>
  <c r="N166" i="14"/>
  <c r="J165" i="14" a="1"/>
  <c r="J165" i="14" s="1"/>
  <c r="M170" i="14"/>
  <c r="N167" i="13"/>
  <c r="J166" i="13" a="1"/>
  <c r="J166" i="13" s="1"/>
  <c r="M169" i="13"/>
  <c r="L81" i="14"/>
  <c r="I82" i="14" s="1"/>
  <c r="K70" i="13" l="1"/>
  <c r="L70" i="13" s="1"/>
  <c r="I71" i="13" s="1"/>
  <c r="M171" i="14"/>
  <c r="K82" i="14"/>
  <c r="L82" i="14" s="1"/>
  <c r="I83" i="14" s="1"/>
  <c r="M170" i="13"/>
  <c r="N168" i="13"/>
  <c r="J167" i="13" a="1"/>
  <c r="J167" i="13" s="1"/>
  <c r="N167" i="14"/>
  <c r="J166" i="14" a="1"/>
  <c r="J166" i="14" s="1"/>
  <c r="K71" i="13" l="1"/>
  <c r="L71" i="13" s="1"/>
  <c r="I72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72" i="13" l="1"/>
  <c r="L72" i="13" s="1"/>
  <c r="I73" i="13" s="1"/>
  <c r="K84" i="14"/>
  <c r="L84" i="14" s="1"/>
  <c r="I85" i="14" s="1"/>
  <c r="M172" i="13"/>
  <c r="M173" i="14"/>
  <c r="N170" i="13"/>
  <c r="J169" i="13" a="1"/>
  <c r="J169" i="13" s="1"/>
  <c r="N169" i="14"/>
  <c r="J168" i="14" a="1"/>
  <c r="J168" i="14" s="1"/>
  <c r="K73" i="13" l="1"/>
  <c r="L73" i="13" s="1"/>
  <c r="I74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74" i="13" l="1"/>
  <c r="L74" i="13" s="1"/>
  <c r="I75" i="13" s="1"/>
  <c r="K86" i="14"/>
  <c r="L86" i="14" s="1"/>
  <c r="I87" i="14" s="1"/>
  <c r="N171" i="14"/>
  <c r="J170" i="14" a="1"/>
  <c r="J170" i="14" s="1"/>
  <c r="N172" i="13"/>
  <c r="J171" i="13" a="1"/>
  <c r="J171" i="13" s="1"/>
  <c r="M174" i="13"/>
  <c r="M175" i="14"/>
  <c r="K75" i="13" l="1"/>
  <c r="L75" i="13" s="1"/>
  <c r="I76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76" i="13" l="1"/>
  <c r="L76" i="13" s="1"/>
  <c r="I77" i="13" s="1"/>
  <c r="K88" i="14"/>
  <c r="L88" i="14" s="1"/>
  <c r="I89" i="14" s="1"/>
  <c r="N173" i="14"/>
  <c r="J172" i="14" a="1"/>
  <c r="J172" i="14" s="1"/>
  <c r="M177" i="14"/>
  <c r="M176" i="13"/>
  <c r="N174" i="13"/>
  <c r="J173" i="13" a="1"/>
  <c r="J173" i="13" s="1"/>
  <c r="K77" i="13" l="1"/>
  <c r="L77" i="13" s="1"/>
  <c r="I78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78" i="13" l="1"/>
  <c r="L78" i="13" s="1"/>
  <c r="I79" i="13" s="1"/>
  <c r="K90" i="14"/>
  <c r="L90" i="14" s="1"/>
  <c r="I91" i="14" s="1"/>
  <c r="N175" i="14"/>
  <c r="J174" i="14" a="1"/>
  <c r="J174" i="14" s="1"/>
  <c r="M179" i="14"/>
  <c r="M178" i="13"/>
  <c r="N176" i="13"/>
  <c r="J175" i="13" a="1"/>
  <c r="J175" i="13" s="1"/>
  <c r="K79" i="13" l="1"/>
  <c r="L79" i="13" s="1"/>
  <c r="I80" i="13" s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80" i="13" l="1"/>
  <c r="K92" i="14"/>
  <c r="N178" i="13"/>
  <c r="J177" i="13" a="1"/>
  <c r="J177" i="13" s="1"/>
  <c r="N177" i="14"/>
  <c r="J176" i="14" a="1"/>
  <c r="J176" i="14" s="1"/>
  <c r="M180" i="13"/>
  <c r="M181" i="14"/>
  <c r="L80" i="13" l="1"/>
  <c r="I81" i="13" s="1"/>
  <c r="N178" i="14"/>
  <c r="J177" i="14" a="1"/>
  <c r="J177" i="14" s="1"/>
  <c r="M181" i="13"/>
  <c r="M182" i="14"/>
  <c r="N179" i="13"/>
  <c r="J178" i="13" a="1"/>
  <c r="J178" i="13" s="1"/>
  <c r="L92" i="14"/>
  <c r="I93" i="14" s="1"/>
  <c r="K81" i="13" l="1"/>
  <c r="L81" i="13" s="1"/>
  <c r="I82" i="13" s="1"/>
  <c r="M182" i="13"/>
  <c r="N180" i="13"/>
  <c r="J179" i="13" a="1"/>
  <c r="J179" i="13" s="1"/>
  <c r="K93" i="14"/>
  <c r="M183" i="14"/>
  <c r="N179" i="14"/>
  <c r="J178" i="14" a="1"/>
  <c r="J178" i="14" s="1"/>
  <c r="K82" i="13" l="1"/>
  <c r="L82" i="13" s="1"/>
  <c r="I83" i="13" s="1"/>
  <c r="N180" i="14"/>
  <c r="J179" i="14" a="1"/>
  <c r="J179" i="14" s="1"/>
  <c r="M184" i="14"/>
  <c r="L93" i="14"/>
  <c r="I94" i="14" s="1"/>
  <c r="M183" i="13"/>
  <c r="N181" i="13"/>
  <c r="J180" i="13" a="1"/>
  <c r="J180" i="13" s="1"/>
  <c r="K83" i="13" l="1"/>
  <c r="L83" i="13" s="1"/>
  <c r="I84" i="13" s="1"/>
  <c r="K94" i="14"/>
  <c r="L94" i="14" s="1"/>
  <c r="I95" i="14" s="1"/>
  <c r="N182" i="13"/>
  <c r="J181" i="13" a="1"/>
  <c r="J181" i="13" s="1"/>
  <c r="M184" i="13"/>
  <c r="M185" i="14"/>
  <c r="N181" i="14"/>
  <c r="J180" i="14" a="1"/>
  <c r="J180" i="14" s="1"/>
  <c r="K84" i="13" l="1"/>
  <c r="L84" i="13" s="1"/>
  <c r="I85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85" i="13" l="1"/>
  <c r="L85" i="13" s="1"/>
  <c r="I86" i="13" s="1"/>
  <c r="K96" i="14"/>
  <c r="L96" i="14" s="1"/>
  <c r="I97" i="14" s="1"/>
  <c r="N183" i="14"/>
  <c r="J182" i="14" a="1"/>
  <c r="J182" i="14" s="1"/>
  <c r="N184" i="13"/>
  <c r="J183" i="13" a="1"/>
  <c r="J183" i="13" s="1"/>
  <c r="M187" i="14"/>
  <c r="M186" i="13"/>
  <c r="K86" i="13" l="1"/>
  <c r="L86" i="13" s="1"/>
  <c r="I87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7" i="13" l="1"/>
  <c r="L87" i="13" s="1"/>
  <c r="I88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88" i="13" l="1"/>
  <c r="L88" i="13" s="1"/>
  <c r="I89" i="13" s="1"/>
  <c r="K99" i="14"/>
  <c r="L99" i="14" s="1"/>
  <c r="I100" i="14" s="1"/>
  <c r="N187" i="13"/>
  <c r="J186" i="13" a="1"/>
  <c r="J186" i="13" s="1"/>
  <c r="M189" i="13"/>
  <c r="M190" i="14"/>
  <c r="N186" i="14"/>
  <c r="J185" i="14" a="1"/>
  <c r="J185" i="14" s="1"/>
  <c r="K89" i="13" l="1"/>
  <c r="L89" i="13" s="1"/>
  <c r="I90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90" i="13" l="1"/>
  <c r="L90" i="13" s="1"/>
  <c r="I91" i="13" s="1"/>
  <c r="K101" i="14"/>
  <c r="L101" i="14" s="1"/>
  <c r="I102" i="14" s="1"/>
  <c r="N189" i="13"/>
  <c r="J188" i="13" a="1"/>
  <c r="J188" i="13" s="1"/>
  <c r="N188" i="14"/>
  <c r="J187" i="14" a="1"/>
  <c r="J187" i="14" s="1"/>
  <c r="M192" i="14"/>
  <c r="M191" i="13"/>
  <c r="K91" i="13" l="1"/>
  <c r="L91" i="13" s="1"/>
  <c r="I92" i="13" s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92" i="13" l="1"/>
  <c r="K103" i="14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 l="1"/>
  <c r="I93" i="13" s="1"/>
  <c r="K104" i="14"/>
  <c r="M195" i="14"/>
  <c r="N192" i="13"/>
  <c r="J191" i="13" a="1"/>
  <c r="J191" i="13" s="1"/>
  <c r="N191" i="14"/>
  <c r="J190" i="14" a="1"/>
  <c r="J190" i="14" s="1"/>
  <c r="M194" i="13"/>
  <c r="K93" i="13" l="1"/>
  <c r="N193" i="13"/>
  <c r="J192" i="13" a="1"/>
  <c r="J192" i="13" s="1"/>
  <c r="M196" i="14"/>
  <c r="M195" i="13"/>
  <c r="N192" i="14"/>
  <c r="J191" i="14" a="1"/>
  <c r="J191" i="14" s="1"/>
  <c r="L104" i="14"/>
  <c r="I105" i="14" s="1"/>
  <c r="L93" i="13" l="1"/>
  <c r="I94" i="13" s="1"/>
  <c r="N193" i="14"/>
  <c r="J192" i="14" a="1"/>
  <c r="J192" i="14" s="1"/>
  <c r="M197" i="14"/>
  <c r="N194" i="13"/>
  <c r="J193" i="13" a="1"/>
  <c r="J193" i="13" s="1"/>
  <c r="M196" i="13"/>
  <c r="K105" i="14"/>
  <c r="K94" i="13" l="1"/>
  <c r="L94" i="13" s="1"/>
  <c r="I95" i="13" s="1"/>
  <c r="L105" i="14"/>
  <c r="I106" i="14" s="1"/>
  <c r="M197" i="13"/>
  <c r="M198" i="14"/>
  <c r="N195" i="13"/>
  <c r="J194" i="13" a="1"/>
  <c r="J194" i="13" s="1"/>
  <c r="N194" i="14"/>
  <c r="J193" i="14" a="1"/>
  <c r="J193" i="14" s="1"/>
  <c r="K95" i="13" l="1"/>
  <c r="L95" i="13" s="1"/>
  <c r="I96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96" i="13" l="1"/>
  <c r="L96" i="13" s="1"/>
  <c r="I97" i="13" s="1"/>
  <c r="K107" i="14"/>
  <c r="L107" i="14" s="1"/>
  <c r="I108" i="14" s="1"/>
  <c r="M199" i="13"/>
  <c r="N197" i="13"/>
  <c r="J196" i="13" a="1"/>
  <c r="J196" i="13" s="1"/>
  <c r="M200" i="14"/>
  <c r="N196" i="14"/>
  <c r="J195" i="14" a="1"/>
  <c r="J195" i="14" s="1"/>
  <c r="K97" i="13" l="1"/>
  <c r="L97" i="13" s="1"/>
  <c r="I98" i="13" s="1"/>
  <c r="K108" i="14"/>
  <c r="L108" i="14" s="1"/>
  <c r="I109" i="14" s="1"/>
  <c r="N198" i="13"/>
  <c r="J197" i="13" a="1"/>
  <c r="J197" i="13" s="1"/>
  <c r="M201" i="14"/>
  <c r="N197" i="14"/>
  <c r="J196" i="14" a="1"/>
  <c r="J196" i="14" s="1"/>
  <c r="M200" i="13"/>
  <c r="K98" i="13" l="1"/>
  <c r="L98" i="13" s="1"/>
  <c r="I99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99" i="13" l="1"/>
  <c r="L99" i="13" s="1"/>
  <c r="I100" i="13" s="1"/>
  <c r="K110" i="14"/>
  <c r="L110" i="14" s="1"/>
  <c r="I111" i="14" s="1"/>
  <c r="M203" i="14"/>
  <c r="N200" i="13"/>
  <c r="J199" i="13" a="1"/>
  <c r="J199" i="13" s="1"/>
  <c r="M202" i="13"/>
  <c r="N199" i="14"/>
  <c r="J198" i="14" a="1"/>
  <c r="J198" i="14" s="1"/>
  <c r="K100" i="13" l="1"/>
  <c r="L100" i="13" s="1"/>
  <c r="I101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1" i="13" l="1"/>
  <c r="L101" i="13" s="1"/>
  <c r="I102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02" i="13" l="1"/>
  <c r="L102" i="13" s="1"/>
  <c r="I103" i="13" s="1"/>
  <c r="K113" i="14"/>
  <c r="L113" i="14" s="1"/>
  <c r="I114" i="14" s="1"/>
  <c r="M205" i="13"/>
  <c r="N202" i="14"/>
  <c r="J201" i="14" a="1"/>
  <c r="J201" i="14" s="1"/>
  <c r="N203" i="13"/>
  <c r="J202" i="13" a="1"/>
  <c r="J202" i="13" s="1"/>
  <c r="M206" i="14"/>
  <c r="K103" i="13" l="1"/>
  <c r="L103" i="13" s="1"/>
  <c r="I104" i="13" s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04" i="13" l="1"/>
  <c r="K115" i="14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 l="1"/>
  <c r="I105" i="13" s="1"/>
  <c r="K116" i="14"/>
  <c r="N205" i="14"/>
  <c r="J204" i="14" a="1"/>
  <c r="J204" i="14" s="1"/>
  <c r="M208" i="13"/>
  <c r="M209" i="14"/>
  <c r="N206" i="13"/>
  <c r="J205" i="13" a="1"/>
  <c r="J205" i="13" s="1"/>
  <c r="K105" i="13" l="1"/>
  <c r="N207" i="13"/>
  <c r="J206" i="13" a="1"/>
  <c r="J206" i="13" s="1"/>
  <c r="N206" i="14"/>
  <c r="J205" i="14" a="1"/>
  <c r="J205" i="14" s="1"/>
  <c r="M210" i="14"/>
  <c r="M209" i="13"/>
  <c r="L116" i="14"/>
  <c r="I117" i="14" s="1"/>
  <c r="L105" i="13" l="1"/>
  <c r="I106" i="13" s="1"/>
  <c r="K117" i="14"/>
  <c r="M211" i="14"/>
  <c r="M210" i="13"/>
  <c r="N207" i="14"/>
  <c r="J206" i="14" a="1"/>
  <c r="J206" i="14" s="1"/>
  <c r="N208" i="13"/>
  <c r="J207" i="13" a="1"/>
  <c r="J207" i="13" s="1"/>
  <c r="K106" i="13" l="1"/>
  <c r="L106" i="13" s="1"/>
  <c r="I107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7" i="13" l="1"/>
  <c r="L107" i="13" s="1"/>
  <c r="I108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08" i="13" l="1"/>
  <c r="L108" i="13" s="1"/>
  <c r="I109" i="13" s="1"/>
  <c r="K119" i="14"/>
  <c r="L119" i="14" s="1"/>
  <c r="I120" i="14" s="1"/>
  <c r="N210" i="14"/>
  <c r="J209" i="14" a="1"/>
  <c r="J209" i="14" s="1"/>
  <c r="N211" i="13"/>
  <c r="J210" i="13" a="1"/>
  <c r="J210" i="13" s="1"/>
  <c r="M213" i="13"/>
  <c r="M214" i="14"/>
  <c r="K109" i="13" l="1"/>
  <c r="L109" i="13" s="1"/>
  <c r="I110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10" i="13" l="1"/>
  <c r="L110" i="13" s="1"/>
  <c r="I111" i="13" s="1"/>
  <c r="K121" i="14"/>
  <c r="L121" i="14" s="1"/>
  <c r="I122" i="14" s="1"/>
  <c r="M216" i="14"/>
  <c r="N212" i="14"/>
  <c r="J211" i="14" a="1"/>
  <c r="J211" i="14" s="1"/>
  <c r="M215" i="13"/>
  <c r="N213" i="13"/>
  <c r="J212" i="13" a="1"/>
  <c r="J212" i="13" s="1"/>
  <c r="K111" i="13" l="1"/>
  <c r="L111" i="13" s="1"/>
  <c r="I112" i="13" s="1"/>
  <c r="K122" i="14"/>
  <c r="L122" i="14" s="1"/>
  <c r="I123" i="14" s="1"/>
  <c r="N213" i="14"/>
  <c r="J212" i="14" a="1"/>
  <c r="J212" i="14" s="1"/>
  <c r="N214" i="13"/>
  <c r="J213" i="13" a="1"/>
  <c r="J213" i="13" s="1"/>
  <c r="M216" i="13"/>
  <c r="M217" i="14"/>
  <c r="K112" i="13" l="1"/>
  <c r="L112" i="13" s="1"/>
  <c r="I113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3" i="13" l="1"/>
  <c r="L113" i="13" s="1"/>
  <c r="I114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4" i="13" l="1"/>
  <c r="L114" i="13" s="1"/>
  <c r="I115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15" i="13" l="1"/>
  <c r="L115" i="13" s="1"/>
  <c r="I116" i="13" s="1"/>
  <c r="K126" i="14"/>
  <c r="L126" i="14" s="1"/>
  <c r="I127" i="14" s="1"/>
  <c r="N217" i="14"/>
  <c r="J216" i="14" a="1"/>
  <c r="J216" i="14" s="1"/>
  <c r="M220" i="13"/>
  <c r="N218" i="13"/>
  <c r="J217" i="13" a="1"/>
  <c r="J217" i="13" s="1"/>
  <c r="M221" i="14"/>
  <c r="K116" i="13" l="1"/>
  <c r="N219" i="13"/>
  <c r="J218" i="13" a="1"/>
  <c r="J218" i="13" s="1"/>
  <c r="M222" i="14"/>
  <c r="M221" i="13"/>
  <c r="N218" i="14"/>
  <c r="J217" i="14" a="1"/>
  <c r="J217" i="14" s="1"/>
  <c r="K127" i="14"/>
  <c r="L127" i="14" s="1"/>
  <c r="I128" i="14" s="1"/>
  <c r="L116" i="13" l="1"/>
  <c r="I117" i="13" s="1"/>
  <c r="K128" i="14"/>
  <c r="M223" i="14"/>
  <c r="M222" i="13"/>
  <c r="N219" i="14"/>
  <c r="J218" i="14" a="1"/>
  <c r="J218" i="14" s="1"/>
  <c r="N220" i="13"/>
  <c r="J219" i="13" a="1"/>
  <c r="J219" i="13" s="1"/>
  <c r="K117" i="13" l="1"/>
  <c r="M223" i="13"/>
  <c r="N221" i="13"/>
  <c r="J220" i="13" a="1"/>
  <c r="J220" i="13" s="1"/>
  <c r="M224" i="14"/>
  <c r="N220" i="14"/>
  <c r="J219" i="14" a="1"/>
  <c r="J219" i="14" s="1"/>
  <c r="L128" i="14"/>
  <c r="I129" i="14" s="1"/>
  <c r="L117" i="13" l="1"/>
  <c r="I118" i="13" s="1"/>
  <c r="M224" i="13"/>
  <c r="K129" i="14"/>
  <c r="N221" i="14"/>
  <c r="J220" i="14" a="1"/>
  <c r="J220" i="14" s="1"/>
  <c r="M225" i="14"/>
  <c r="N222" i="13"/>
  <c r="J221" i="13" a="1"/>
  <c r="J221" i="13" s="1"/>
  <c r="K118" i="13" l="1"/>
  <c r="L118" i="13" s="1"/>
  <c r="I119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19" i="13" l="1"/>
  <c r="L119" i="13" s="1"/>
  <c r="I120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20" i="13" l="1"/>
  <c r="L120" i="13" s="1"/>
  <c r="I121" i="13" s="1"/>
  <c r="K131" i="14"/>
  <c r="L131" i="14" s="1"/>
  <c r="I132" i="14" s="1"/>
  <c r="N225" i="13"/>
  <c r="J224" i="13" a="1"/>
  <c r="J224" i="13" s="1"/>
  <c r="N224" i="14"/>
  <c r="J223" i="14" a="1"/>
  <c r="J223" i="14" s="1"/>
  <c r="M228" i="14"/>
  <c r="M227" i="13"/>
  <c r="K121" i="13" l="1"/>
  <c r="L121" i="13" s="1"/>
  <c r="I122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22" i="13" l="1"/>
  <c r="L122" i="13" s="1"/>
  <c r="I123" i="13" s="1"/>
  <c r="K133" i="14"/>
  <c r="L133" i="14" s="1"/>
  <c r="I134" i="14" s="1"/>
  <c r="N226" i="14"/>
  <c r="J225" i="14" a="1"/>
  <c r="J225" i="14" s="1"/>
  <c r="N227" i="13"/>
  <c r="J226" i="13" a="1"/>
  <c r="J226" i="13" s="1"/>
  <c r="M230" i="14"/>
  <c r="M229" i="13"/>
  <c r="K123" i="13" l="1"/>
  <c r="L123" i="13" s="1"/>
  <c r="I124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4" i="13" l="1"/>
  <c r="L124" i="13" s="1"/>
  <c r="I125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25" i="13" l="1"/>
  <c r="L125" i="13" s="1"/>
  <c r="I126" i="13" s="1"/>
  <c r="K136" i="14"/>
  <c r="L136" i="14" s="1"/>
  <c r="I137" i="14" s="1"/>
  <c r="M232" i="13"/>
  <c r="M233" i="14"/>
  <c r="N230" i="13"/>
  <c r="J229" i="13" a="1"/>
  <c r="J229" i="13" s="1"/>
  <c r="N229" i="14"/>
  <c r="J228" i="14" a="1"/>
  <c r="J228" i="14" s="1"/>
  <c r="K126" i="13" l="1"/>
  <c r="L126" i="13" s="1"/>
  <c r="I127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27" i="13" l="1"/>
  <c r="L127" i="13" s="1"/>
  <c r="I128" i="13" s="1"/>
  <c r="K138" i="14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 l="1"/>
  <c r="K139" i="14"/>
  <c r="L139" i="14" s="1"/>
  <c r="I140" i="14" s="1"/>
  <c r="M235" i="13"/>
  <c r="N233" i="13"/>
  <c r="J232" i="13" a="1"/>
  <c r="J232" i="13" s="1"/>
  <c r="M236" i="14"/>
  <c r="N232" i="14"/>
  <c r="J231" i="14" a="1"/>
  <c r="J231" i="14" s="1"/>
  <c r="L128" i="13" l="1"/>
  <c r="I129" i="13" s="1"/>
  <c r="K140" i="14"/>
  <c r="L140" i="14" s="1"/>
  <c r="I141" i="14" s="1"/>
  <c r="N233" i="14"/>
  <c r="J232" i="14" a="1"/>
  <c r="J232" i="14" s="1"/>
  <c r="M237" i="14"/>
  <c r="N234" i="13"/>
  <c r="J233" i="13" a="1"/>
  <c r="J233" i="13" s="1"/>
  <c r="M236" i="13"/>
  <c r="K129" i="13" l="1"/>
  <c r="K141" i="14"/>
  <c r="L141" i="14" s="1"/>
  <c r="I142" i="14" s="1"/>
  <c r="M237" i="13"/>
  <c r="M238" i="14"/>
  <c r="N235" i="13"/>
  <c r="J234" i="13" a="1"/>
  <c r="J234" i="13" s="1"/>
  <c r="N234" i="14"/>
  <c r="J233" i="14" a="1"/>
  <c r="J233" i="14" s="1"/>
  <c r="L129" i="13" l="1"/>
  <c r="I130" i="13" s="1"/>
  <c r="K142" i="14"/>
  <c r="L142" i="14" s="1"/>
  <c r="I143" i="14" s="1"/>
  <c r="N235" i="14"/>
  <c r="J234" i="14" a="1"/>
  <c r="J234" i="14" s="1"/>
  <c r="M239" i="14"/>
  <c r="N236" i="13"/>
  <c r="J235" i="13" a="1"/>
  <c r="J235" i="13" s="1"/>
  <c r="M238" i="13"/>
  <c r="K130" i="13" l="1"/>
  <c r="L130" i="13" s="1"/>
  <c r="I131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31" i="13" l="1"/>
  <c r="L131" i="13" s="1"/>
  <c r="I132" i="13" s="1"/>
  <c r="K144" i="14"/>
  <c r="L144" i="14" s="1"/>
  <c r="I145" i="14" s="1"/>
  <c r="M241" i="14"/>
  <c r="N237" i="14"/>
  <c r="J236" i="14" a="1"/>
  <c r="J236" i="14" s="1"/>
  <c r="M240" i="13"/>
  <c r="N238" i="13"/>
  <c r="J237" i="13" a="1"/>
  <c r="J237" i="13" s="1"/>
  <c r="K132" i="13" l="1"/>
  <c r="L132" i="13" s="1"/>
  <c r="I133" i="13" s="1"/>
  <c r="K145" i="14"/>
  <c r="L145" i="14" s="1"/>
  <c r="I146" i="14" s="1"/>
  <c r="N239" i="13"/>
  <c r="J238" i="13" a="1"/>
  <c r="J238" i="13" s="1"/>
  <c r="M241" i="13"/>
  <c r="N238" i="14"/>
  <c r="J237" i="14" a="1"/>
  <c r="J237" i="14" s="1"/>
  <c r="M242" i="14"/>
  <c r="K133" i="13" l="1"/>
  <c r="L133" i="13" s="1"/>
  <c r="I134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34" i="13" l="1"/>
  <c r="L134" i="13" s="1"/>
  <c r="I135" i="13" s="1"/>
  <c r="K147" i="14"/>
  <c r="L147" i="14" s="1"/>
  <c r="I148" i="14" s="1"/>
  <c r="M244" i="14"/>
  <c r="M243" i="13"/>
  <c r="N241" i="13"/>
  <c r="J240" i="13" a="1"/>
  <c r="J240" i="13" s="1"/>
  <c r="N240" i="14"/>
  <c r="J239" i="14" a="1"/>
  <c r="J239" i="14" s="1"/>
  <c r="K135" i="13" l="1"/>
  <c r="L135" i="13" s="1"/>
  <c r="I136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36" i="13" l="1"/>
  <c r="L136" i="13" s="1"/>
  <c r="I137" i="13" s="1"/>
  <c r="K149" i="14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 l="1"/>
  <c r="L137" i="13" s="1"/>
  <c r="I138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38" i="13" l="1"/>
  <c r="L138" i="13" s="1"/>
  <c r="I139" i="13" s="1"/>
  <c r="K151" i="14"/>
  <c r="L151" i="14" s="1"/>
  <c r="I152" i="14" s="1"/>
  <c r="M248" i="14"/>
  <c r="M247" i="13"/>
  <c r="N245" i="13"/>
  <c r="J244" i="13" a="1"/>
  <c r="J244" i="13" s="1"/>
  <c r="N244" i="14"/>
  <c r="J243" i="14" a="1"/>
  <c r="J243" i="14" s="1"/>
  <c r="K139" i="13" l="1"/>
  <c r="L139" i="13" s="1"/>
  <c r="I140" i="13" s="1"/>
  <c r="K152" i="14"/>
  <c r="M248" i="13"/>
  <c r="N245" i="14"/>
  <c r="J244" i="14" a="1"/>
  <c r="J244" i="14" s="1"/>
  <c r="M249" i="14"/>
  <c r="N246" i="13"/>
  <c r="J245" i="13" a="1"/>
  <c r="J245" i="13" s="1"/>
  <c r="K140" i="13" l="1"/>
  <c r="N247" i="13"/>
  <c r="J246" i="13" a="1"/>
  <c r="J246" i="13" s="1"/>
  <c r="N246" i="14"/>
  <c r="J245" i="14" a="1"/>
  <c r="J245" i="14" s="1"/>
  <c r="L152" i="14"/>
  <c r="I153" i="14" s="1"/>
  <c r="M250" i="14"/>
  <c r="M249" i="13"/>
  <c r="L140" i="13" l="1"/>
  <c r="I141" i="13" s="1"/>
  <c r="M251" i="14"/>
  <c r="N247" i="14"/>
  <c r="J246" i="14" a="1"/>
  <c r="J246" i="14" s="1"/>
  <c r="M250" i="13"/>
  <c r="K153" i="14"/>
  <c r="N248" i="13"/>
  <c r="J247" i="13" a="1"/>
  <c r="J247" i="13" s="1"/>
  <c r="K141" i="13" l="1"/>
  <c r="M251" i="13"/>
  <c r="M252" i="14"/>
  <c r="N249" i="13"/>
  <c r="J248" i="13" a="1"/>
  <c r="J248" i="13" s="1"/>
  <c r="L153" i="14"/>
  <c r="I154" i="14" s="1"/>
  <c r="N248" i="14"/>
  <c r="J247" i="14" a="1"/>
  <c r="J247" i="14" s="1"/>
  <c r="L141" i="13" l="1"/>
  <c r="I142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42" i="13" l="1"/>
  <c r="L142" i="13" s="1"/>
  <c r="I143" i="13" s="1"/>
  <c r="K155" i="14"/>
  <c r="L155" i="14" s="1"/>
  <c r="I156" i="14" s="1"/>
  <c r="N251" i="13"/>
  <c r="J250" i="13" a="1"/>
  <c r="J250" i="13" s="1"/>
  <c r="N250" i="14"/>
  <c r="J249" i="14" a="1"/>
  <c r="J249" i="14" s="1"/>
  <c r="M254" i="14"/>
  <c r="M253" i="13"/>
  <c r="K143" i="13" l="1"/>
  <c r="L143" i="13" s="1"/>
  <c r="I144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4" i="13" l="1"/>
  <c r="L144" i="13" s="1"/>
  <c r="I145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45" i="13" l="1"/>
  <c r="L145" i="13" s="1"/>
  <c r="I146" i="13" s="1"/>
  <c r="K158" i="14"/>
  <c r="L158" i="14" s="1"/>
  <c r="I159" i="14" s="1"/>
  <c r="M256" i="13"/>
  <c r="M257" i="14"/>
  <c r="N254" i="13"/>
  <c r="J253" i="13" a="1"/>
  <c r="J253" i="13" s="1"/>
  <c r="N253" i="14"/>
  <c r="J252" i="14" a="1"/>
  <c r="J252" i="14" s="1"/>
  <c r="K146" i="13" l="1"/>
  <c r="L146" i="13" s="1"/>
  <c r="I147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47" i="13" l="1"/>
  <c r="L147" i="13" s="1"/>
  <c r="I148" i="13" s="1"/>
  <c r="K160" i="14"/>
  <c r="L160" i="14" s="1"/>
  <c r="I161" i="14" s="1"/>
  <c r="M259" i="14"/>
  <c r="M258" i="13"/>
  <c r="N256" i="13"/>
  <c r="J255" i="13" a="1"/>
  <c r="J255" i="13" s="1"/>
  <c r="N255" i="14"/>
  <c r="J254" i="14" a="1"/>
  <c r="J254" i="14" s="1"/>
  <c r="K148" i="13" l="1"/>
  <c r="L148" i="13" s="1"/>
  <c r="I149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49" i="13" l="1"/>
  <c r="L149" i="13" s="1"/>
  <c r="I150" i="13" s="1"/>
  <c r="K162" i="14"/>
  <c r="L162" i="14" s="1"/>
  <c r="I163" i="14" s="1"/>
  <c r="N258" i="13"/>
  <c r="J257" i="13" a="1"/>
  <c r="J257" i="13" s="1"/>
  <c r="N257" i="14"/>
  <c r="J256" i="14" a="1"/>
  <c r="J256" i="14" s="1"/>
  <c r="M261" i="14"/>
  <c r="M260" i="13"/>
  <c r="K150" i="13" l="1"/>
  <c r="L150" i="13" s="1"/>
  <c r="I151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51" i="13" l="1"/>
  <c r="L151" i="13" s="1"/>
  <c r="I152" i="13" s="1"/>
  <c r="K164" i="14"/>
  <c r="M262" i="13"/>
  <c r="N260" i="13"/>
  <c r="J259" i="13" a="1"/>
  <c r="J259" i="13" s="1"/>
  <c r="M263" i="14"/>
  <c r="N259" i="14"/>
  <c r="J258" i="14" a="1"/>
  <c r="J258" i="14" s="1"/>
  <c r="K152" i="13" l="1"/>
  <c r="N261" i="13"/>
  <c r="J260" i="13" a="1"/>
  <c r="J260" i="13" s="1"/>
  <c r="N260" i="14"/>
  <c r="J259" i="14" a="1"/>
  <c r="J259" i="14" s="1"/>
  <c r="M264" i="14"/>
  <c r="M263" i="13"/>
  <c r="L164" i="14"/>
  <c r="I165" i="14" s="1"/>
  <c r="L152" i="13" l="1"/>
  <c r="I153" i="13" s="1"/>
  <c r="M264" i="13"/>
  <c r="M265" i="14"/>
  <c r="K165" i="14"/>
  <c r="N261" i="14"/>
  <c r="J260" i="14" a="1"/>
  <c r="J260" i="14" s="1"/>
  <c r="N262" i="13"/>
  <c r="J261" i="13" a="1"/>
  <c r="J261" i="13" s="1"/>
  <c r="K153" i="13" l="1"/>
  <c r="M266" i="14"/>
  <c r="N263" i="13"/>
  <c r="J262" i="13" a="1"/>
  <c r="J262" i="13" s="1"/>
  <c r="N262" i="14"/>
  <c r="J261" i="14" a="1"/>
  <c r="J261" i="14" s="1"/>
  <c r="M265" i="13"/>
  <c r="L165" i="14"/>
  <c r="I166" i="14" s="1"/>
  <c r="L153" i="13" l="1"/>
  <c r="I154" i="13" s="1"/>
  <c r="K166" i="14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 l="1"/>
  <c r="L154" i="13" s="1"/>
  <c r="I155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55" i="13" l="1"/>
  <c r="L155" i="13" s="1"/>
  <c r="I156" i="13" s="1"/>
  <c r="K168" i="14"/>
  <c r="L168" i="14" s="1"/>
  <c r="I169" i="14" s="1"/>
  <c r="N265" i="14"/>
  <c r="J264" i="14" a="1"/>
  <c r="J264" i="14" s="1"/>
  <c r="M269" i="14"/>
  <c r="M268" i="13"/>
  <c r="N266" i="13"/>
  <c r="J265" i="13" a="1"/>
  <c r="J265" i="13" s="1"/>
  <c r="K156" i="13" l="1"/>
  <c r="L156" i="13" s="1"/>
  <c r="I157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57" i="13" l="1"/>
  <c r="L157" i="13" s="1"/>
  <c r="I158" i="13" s="1"/>
  <c r="K170" i="14"/>
  <c r="L170" i="14" s="1"/>
  <c r="I171" i="14" s="1"/>
  <c r="N268" i="13"/>
  <c r="J267" i="13" a="1"/>
  <c r="J267" i="13" s="1"/>
  <c r="N267" i="14"/>
  <c r="J266" i="14" a="1"/>
  <c r="J266" i="14" s="1"/>
  <c r="M270" i="13"/>
  <c r="M271" i="14"/>
  <c r="K158" i="13" l="1"/>
  <c r="L158" i="13" s="1"/>
  <c r="I159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59" i="13" l="1"/>
  <c r="L159" i="13" s="1"/>
  <c r="I160" i="13" s="1"/>
  <c r="K172" i="14"/>
  <c r="L172" i="14" s="1"/>
  <c r="I173" i="14" s="1"/>
  <c r="N269" i="14"/>
  <c r="J268" i="14" a="1"/>
  <c r="J268" i="14" s="1"/>
  <c r="M273" i="14"/>
  <c r="N270" i="13"/>
  <c r="J269" i="13" a="1"/>
  <c r="J269" i="13" s="1"/>
  <c r="M272" i="13"/>
  <c r="K160" i="13" l="1"/>
  <c r="L160" i="13" s="1"/>
  <c r="I161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61" i="13" l="1"/>
  <c r="L161" i="13" s="1"/>
  <c r="I162" i="13" s="1"/>
  <c r="K174" i="14"/>
  <c r="L174" i="14" s="1"/>
  <c r="I175" i="14" s="1"/>
  <c r="M275" i="14"/>
  <c r="M274" i="13"/>
  <c r="N271" i="14"/>
  <c r="J270" i="14" a="1"/>
  <c r="J270" i="14" s="1"/>
  <c r="N272" i="13"/>
  <c r="J271" i="13" a="1"/>
  <c r="J271" i="13" s="1"/>
  <c r="K162" i="13" l="1"/>
  <c r="L162" i="13" s="1"/>
  <c r="I163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63" i="13" l="1"/>
  <c r="L163" i="13" s="1"/>
  <c r="I164" i="13" s="1"/>
  <c r="K176" i="14"/>
  <c r="N273" i="14"/>
  <c r="J272" i="14" a="1"/>
  <c r="J272" i="14" s="1"/>
  <c r="M277" i="14"/>
  <c r="M276" i="13"/>
  <c r="N274" i="13"/>
  <c r="J273" i="13" a="1"/>
  <c r="J273" i="13" s="1"/>
  <c r="K164" i="13" l="1"/>
  <c r="N275" i="13"/>
  <c r="J274" i="13" a="1"/>
  <c r="J274" i="13" s="1"/>
  <c r="M278" i="14"/>
  <c r="M277" i="13"/>
  <c r="N274" i="14"/>
  <c r="J273" i="14" a="1"/>
  <c r="J273" i="14" s="1"/>
  <c r="L176" i="14"/>
  <c r="I177" i="14" s="1"/>
  <c r="L164" i="13" l="1"/>
  <c r="I165" i="13" s="1"/>
  <c r="N276" i="13"/>
  <c r="J275" i="13" a="1"/>
  <c r="J275" i="13" s="1"/>
  <c r="N275" i="14"/>
  <c r="J274" i="14" a="1"/>
  <c r="J274" i="14" s="1"/>
  <c r="M278" i="13"/>
  <c r="K177" i="14"/>
  <c r="L177" i="14" s="1"/>
  <c r="I178" i="14" s="1"/>
  <c r="M279" i="14"/>
  <c r="K165" i="13" l="1"/>
  <c r="K178" i="14"/>
  <c r="L178" i="14" s="1"/>
  <c r="I179" i="14" s="1"/>
  <c r="N276" i="14"/>
  <c r="J275" i="14" a="1"/>
  <c r="J275" i="14" s="1"/>
  <c r="M280" i="14"/>
  <c r="M279" i="13"/>
  <c r="N277" i="13"/>
  <c r="J276" i="13" a="1"/>
  <c r="J276" i="13" s="1"/>
  <c r="L165" i="13" l="1"/>
  <c r="I166" i="13" s="1"/>
  <c r="K179" i="14"/>
  <c r="L179" i="14" s="1"/>
  <c r="I180" i="14" s="1"/>
  <c r="M281" i="14"/>
  <c r="N277" i="14"/>
  <c r="J276" i="14" a="1"/>
  <c r="J276" i="14" s="1"/>
  <c r="M280" i="13"/>
  <c r="N278" i="13"/>
  <c r="J277" i="13" a="1"/>
  <c r="J277" i="13" s="1"/>
  <c r="K166" i="13" l="1"/>
  <c r="L166" i="13" s="1"/>
  <c r="I167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67" i="13" l="1"/>
  <c r="L167" i="13" s="1"/>
  <c r="I168" i="13" s="1"/>
  <c r="K181" i="14"/>
  <c r="L181" i="14" s="1"/>
  <c r="I182" i="14" s="1"/>
  <c r="M283" i="14"/>
  <c r="M282" i="13"/>
  <c r="N280" i="13"/>
  <c r="J279" i="13" a="1"/>
  <c r="J279" i="13" s="1"/>
  <c r="N279" i="14"/>
  <c r="J278" i="14" a="1"/>
  <c r="J278" i="14" s="1"/>
  <c r="K168" i="13" l="1"/>
  <c r="L168" i="13" s="1"/>
  <c r="I169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69" i="13" l="1"/>
  <c r="L169" i="13" s="1"/>
  <c r="I170" i="13" s="1"/>
  <c r="K183" i="14"/>
  <c r="L183" i="14" s="1"/>
  <c r="I184" i="14" s="1"/>
  <c r="N282" i="13"/>
  <c r="J281" i="13" a="1"/>
  <c r="J281" i="13" s="1"/>
  <c r="M285" i="14"/>
  <c r="N281" i="14"/>
  <c r="J280" i="14" a="1"/>
  <c r="J280" i="14" s="1"/>
  <c r="M284" i="13"/>
  <c r="K170" i="13" l="1"/>
  <c r="L170" i="13" s="1"/>
  <c r="I171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71" i="13" l="1"/>
  <c r="L171" i="13" s="1"/>
  <c r="I172" i="13" s="1"/>
  <c r="K185" i="14"/>
  <c r="L185" i="14" s="1"/>
  <c r="I186" i="14" s="1"/>
  <c r="M287" i="14"/>
  <c r="M286" i="13"/>
  <c r="N284" i="13"/>
  <c r="J283" i="13" a="1"/>
  <c r="J283" i="13" s="1"/>
  <c r="N283" i="14"/>
  <c r="J282" i="14" a="1"/>
  <c r="J282" i="14" s="1"/>
  <c r="K172" i="13" l="1"/>
  <c r="L172" i="13" s="1"/>
  <c r="I173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K173" i="13" l="1"/>
  <c r="L173" i="13" s="1"/>
  <c r="I174" i="13" s="1"/>
  <c r="N286" i="13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 l="1"/>
  <c r="L174" i="13" s="1"/>
  <c r="I175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5" i="13" l="1"/>
  <c r="L175" i="13" s="1"/>
  <c r="I176" i="13" s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76" i="13" l="1"/>
  <c r="K190" i="14"/>
  <c r="M292" i="14"/>
  <c r="N289" i="13"/>
  <c r="J288" i="13" a="1"/>
  <c r="J288" i="13" s="1"/>
  <c r="N288" i="14"/>
  <c r="J287" i="14" a="1"/>
  <c r="J287" i="14" s="1"/>
  <c r="M291" i="13"/>
  <c r="L176" i="13" l="1"/>
  <c r="I177" i="13" s="1"/>
  <c r="M292" i="13"/>
  <c r="M293" i="14"/>
  <c r="N290" i="13"/>
  <c r="J289" i="13" a="1"/>
  <c r="J289" i="13" s="1"/>
  <c r="N289" i="14"/>
  <c r="J288" i="14" a="1"/>
  <c r="J288" i="14" s="1"/>
  <c r="L190" i="14"/>
  <c r="I191" i="14" s="1"/>
  <c r="K177" i="13" l="1"/>
  <c r="L177" i="13" s="1"/>
  <c r="I178" i="13" s="1"/>
  <c r="K191" i="14"/>
  <c r="L191" i="14" s="1"/>
  <c r="I192" i="14" s="1"/>
  <c r="N290" i="14"/>
  <c r="J289" i="14" a="1"/>
  <c r="J289" i="14" s="1"/>
  <c r="N291" i="13"/>
  <c r="J290" i="13" a="1"/>
  <c r="J290" i="13" s="1"/>
  <c r="M293" i="13"/>
  <c r="M294" i="14"/>
  <c r="K178" i="13" l="1"/>
  <c r="L178" i="13" s="1"/>
  <c r="I179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79" i="13" l="1"/>
  <c r="L179" i="13" s="1"/>
  <c r="I180" i="13" s="1"/>
  <c r="K193" i="14"/>
  <c r="L193" i="14" s="1"/>
  <c r="I194" i="14" s="1"/>
  <c r="M295" i="13"/>
  <c r="N292" i="14"/>
  <c r="J291" i="14" a="1"/>
  <c r="J291" i="14" s="1"/>
  <c r="M296" i="14"/>
  <c r="N293" i="13"/>
  <c r="J292" i="13" a="1"/>
  <c r="J292" i="13" s="1"/>
  <c r="K180" i="13" l="1"/>
  <c r="L180" i="13" s="1"/>
  <c r="I181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81" i="13" l="1"/>
  <c r="L181" i="13" s="1"/>
  <c r="I182" i="13" s="1"/>
  <c r="K195" i="14"/>
  <c r="L195" i="14" s="1"/>
  <c r="I196" i="14" s="1"/>
  <c r="M297" i="13"/>
  <c r="N295" i="13"/>
  <c r="J294" i="13" a="1"/>
  <c r="J294" i="13" s="1"/>
  <c r="M298" i="14"/>
  <c r="N294" i="14"/>
  <c r="J293" i="14" a="1"/>
  <c r="J293" i="14" s="1"/>
  <c r="K182" i="13" l="1"/>
  <c r="L182" i="13" s="1"/>
  <c r="I183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83" i="13" l="1"/>
  <c r="L183" i="13" s="1"/>
  <c r="I184" i="13" s="1"/>
  <c r="K197" i="14"/>
  <c r="L197" i="14" s="1"/>
  <c r="I198" i="14" s="1"/>
  <c r="N296" i="14"/>
  <c r="J295" i="14" a="1"/>
  <c r="J295" i="14" s="1"/>
  <c r="M300" i="14"/>
  <c r="M299" i="13"/>
  <c r="N297" i="13"/>
  <c r="J296" i="13" a="1"/>
  <c r="J296" i="13" s="1"/>
  <c r="K184" i="13" l="1"/>
  <c r="L184" i="13" s="1"/>
  <c r="I185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85" i="13" l="1"/>
  <c r="L185" i="13" s="1"/>
  <c r="I186" i="13" s="1"/>
  <c r="K199" i="14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 l="1"/>
  <c r="L186" i="13" s="1"/>
  <c r="I187" i="13" s="1"/>
  <c r="K200" i="14"/>
  <c r="N299" i="14"/>
  <c r="J298" i="14" a="1"/>
  <c r="J298" i="14" s="1"/>
  <c r="N300" i="13"/>
  <c r="J299" i="13" a="1"/>
  <c r="J299" i="13" s="1"/>
  <c r="M302" i="13"/>
  <c r="M303" i="14"/>
  <c r="K187" i="13" l="1"/>
  <c r="L187" i="13" s="1"/>
  <c r="I188" i="13" s="1"/>
  <c r="M303" i="13"/>
  <c r="M304" i="14"/>
  <c r="N300" i="14"/>
  <c r="J299" i="14" a="1"/>
  <c r="J299" i="14" s="1"/>
  <c r="L200" i="14"/>
  <c r="I201" i="14" s="1"/>
  <c r="N301" i="13"/>
  <c r="J300" i="13" a="1"/>
  <c r="J300" i="13" s="1"/>
  <c r="K188" i="13" l="1"/>
  <c r="L188" i="13" s="1"/>
  <c r="I189" i="13" s="1"/>
  <c r="N301" i="14"/>
  <c r="J300" i="14" a="1"/>
  <c r="J300" i="14" s="1"/>
  <c r="N302" i="13"/>
  <c r="J301" i="13" a="1"/>
  <c r="J301" i="13" s="1"/>
  <c r="M305" i="14"/>
  <c r="K201" i="14"/>
  <c r="M304" i="13"/>
  <c r="K189" i="13" l="1"/>
  <c r="L189" i="13" s="1"/>
  <c r="I190" i="13" s="1"/>
  <c r="N302" i="14"/>
  <c r="J301" i="14" a="1"/>
  <c r="J301" i="14" s="1"/>
  <c r="L201" i="14"/>
  <c r="I202" i="14" s="1"/>
  <c r="M306" i="14"/>
  <c r="M305" i="13"/>
  <c r="N303" i="13"/>
  <c r="J302" i="13" a="1"/>
  <c r="J302" i="13" s="1"/>
  <c r="K190" i="13" l="1"/>
  <c r="K202" i="14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 l="1"/>
  <c r="I191" i="13" s="1"/>
  <c r="K203" i="14"/>
  <c r="L203" i="14" s="1"/>
  <c r="I204" i="14" s="1"/>
  <c r="N304" i="14"/>
  <c r="J303" i="14" a="1"/>
  <c r="J303" i="14" s="1"/>
  <c r="N305" i="13"/>
  <c r="J304" i="13" a="1"/>
  <c r="J304" i="13" s="1"/>
  <c r="M307" i="13"/>
  <c r="M308" i="14"/>
  <c r="K191" i="13" l="1"/>
  <c r="L191" i="13" s="1"/>
  <c r="I192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192" i="13" l="1"/>
  <c r="L192" i="13" s="1"/>
  <c r="I193" i="13" s="1"/>
  <c r="K205" i="14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 l="1"/>
  <c r="L193" i="13" s="1"/>
  <c r="I194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194" i="13" l="1"/>
  <c r="L194" i="13" s="1"/>
  <c r="I195" i="13" s="1"/>
  <c r="K207" i="14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 l="1"/>
  <c r="L195" i="13" s="1"/>
  <c r="I196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196" i="13" l="1"/>
  <c r="L196" i="13" s="1"/>
  <c r="I197" i="13" s="1"/>
  <c r="K209" i="14"/>
  <c r="L209" i="14" s="1"/>
  <c r="I210" i="14" s="1"/>
  <c r="N310" i="14"/>
  <c r="J309" i="14" a="1"/>
  <c r="J309" i="14" s="1"/>
  <c r="M313" i="13"/>
  <c r="M314" i="14"/>
  <c r="N311" i="13"/>
  <c r="J310" i="13" a="1"/>
  <c r="J310" i="13" s="1"/>
  <c r="K197" i="13" l="1"/>
  <c r="L197" i="13" s="1"/>
  <c r="I198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8" i="13" l="1"/>
  <c r="L198" i="13" s="1"/>
  <c r="I199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199" i="13" l="1"/>
  <c r="L199" i="13" s="1"/>
  <c r="I200" i="13" s="1"/>
  <c r="K212" i="14"/>
  <c r="N314" i="13"/>
  <c r="J313" i="13" a="1"/>
  <c r="J313" i="13" s="1"/>
  <c r="M316" i="13"/>
  <c r="M317" i="14"/>
  <c r="N313" i="14"/>
  <c r="J312" i="14" a="1"/>
  <c r="J312" i="14" s="1"/>
  <c r="K200" i="13" l="1"/>
  <c r="N314" i="14"/>
  <c r="J313" i="14" a="1"/>
  <c r="J313" i="14" s="1"/>
  <c r="M317" i="13"/>
  <c r="M318" i="14"/>
  <c r="N315" i="13"/>
  <c r="J314" i="13" a="1"/>
  <c r="J314" i="13" s="1"/>
  <c r="L212" i="14"/>
  <c r="I213" i="14" s="1"/>
  <c r="L200" i="13" l="1"/>
  <c r="I201" i="13" s="1"/>
  <c r="M318" i="13"/>
  <c r="N316" i="13"/>
  <c r="J315" i="13" a="1"/>
  <c r="J315" i="13" s="1"/>
  <c r="N315" i="14"/>
  <c r="J314" i="14" a="1"/>
  <c r="J314" i="14" s="1"/>
  <c r="K213" i="14"/>
  <c r="M319" i="14"/>
  <c r="K201" i="13" l="1"/>
  <c r="L213" i="14"/>
  <c r="I214" i="14" s="1"/>
  <c r="N317" i="13"/>
  <c r="J316" i="13" a="1"/>
  <c r="J316" i="13" s="1"/>
  <c r="M320" i="14"/>
  <c r="M319" i="13"/>
  <c r="N316" i="14"/>
  <c r="J315" i="14" a="1"/>
  <c r="J315" i="14" s="1"/>
  <c r="L201" i="13" l="1"/>
  <c r="I202" i="13" s="1"/>
  <c r="N317" i="14"/>
  <c r="J316" i="14" a="1"/>
  <c r="J316" i="14" s="1"/>
  <c r="N318" i="13"/>
  <c r="J317" i="13" a="1"/>
  <c r="J317" i="13" s="1"/>
  <c r="M320" i="13"/>
  <c r="M321" i="14"/>
  <c r="K214" i="14"/>
  <c r="L214" i="14" s="1"/>
  <c r="I215" i="14" s="1"/>
  <c r="K202" i="13" l="1"/>
  <c r="L202" i="13" s="1"/>
  <c r="I203" i="13" s="1"/>
  <c r="K215" i="14"/>
  <c r="L215" i="14" s="1"/>
  <c r="I216" i="14" s="1"/>
  <c r="N319" i="13"/>
  <c r="J318" i="13" a="1"/>
  <c r="J318" i="13" s="1"/>
  <c r="M322" i="14"/>
  <c r="M321" i="13"/>
  <c r="N318" i="14"/>
  <c r="J317" i="14" a="1"/>
  <c r="J317" i="14" s="1"/>
  <c r="K203" i="13" l="1"/>
  <c r="L203" i="13" s="1"/>
  <c r="I204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04" i="13" l="1"/>
  <c r="L204" i="13" s="1"/>
  <c r="I205" i="13" s="1"/>
  <c r="K217" i="14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 l="1"/>
  <c r="L205" i="13" s="1"/>
  <c r="I206" i="13" s="1"/>
  <c r="K218" i="14"/>
  <c r="L218" i="14" s="1"/>
  <c r="I219" i="14" s="1"/>
  <c r="M324" i="13"/>
  <c r="N322" i="13"/>
  <c r="J321" i="13" a="1"/>
  <c r="J321" i="13" s="1"/>
  <c r="M325" i="14"/>
  <c r="N321" i="14"/>
  <c r="J320" i="14" a="1"/>
  <c r="J320" i="14" s="1"/>
  <c r="K206" i="13" l="1"/>
  <c r="L206" i="13" s="1"/>
  <c r="I207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7" i="13" l="1"/>
  <c r="L207" i="13" s="1"/>
  <c r="I208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08" i="13" l="1"/>
  <c r="L208" i="13" s="1"/>
  <c r="I209" i="13" s="1"/>
  <c r="K221" i="14"/>
  <c r="L221" i="14" s="1"/>
  <c r="I222" i="14" s="1"/>
  <c r="N324" i="14"/>
  <c r="J323" i="14" a="1"/>
  <c r="J323" i="14" s="1"/>
  <c r="M328" i="14"/>
  <c r="M327" i="13"/>
  <c r="N325" i="13"/>
  <c r="J324" i="13" a="1"/>
  <c r="J324" i="13" s="1"/>
  <c r="K209" i="13" l="1"/>
  <c r="L209" i="13" s="1"/>
  <c r="I210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10" i="13" l="1"/>
  <c r="L210" i="13" s="1"/>
  <c r="I211" i="13" s="1"/>
  <c r="K223" i="14"/>
  <c r="L223" i="14" s="1"/>
  <c r="I224" i="14" s="1"/>
  <c r="N327" i="13"/>
  <c r="J326" i="13" a="1"/>
  <c r="J326" i="13" s="1"/>
  <c r="M330" i="14"/>
  <c r="N326" i="14"/>
  <c r="J325" i="14" a="1"/>
  <c r="J325" i="14" s="1"/>
  <c r="M329" i="13"/>
  <c r="K211" i="13" l="1"/>
  <c r="L211" i="13" s="1"/>
  <c r="I212" i="13" s="1"/>
  <c r="K224" i="14"/>
  <c r="M331" i="14"/>
  <c r="M330" i="13"/>
  <c r="N327" i="14"/>
  <c r="J326" i="14" a="1"/>
  <c r="J326" i="14" s="1"/>
  <c r="N328" i="13"/>
  <c r="J327" i="13" a="1"/>
  <c r="J327" i="13" s="1"/>
  <c r="K212" i="13" l="1"/>
  <c r="M332" i="14"/>
  <c r="M331" i="13"/>
  <c r="N329" i="13"/>
  <c r="J328" i="13" a="1"/>
  <c r="J328" i="13" s="1"/>
  <c r="L224" i="14"/>
  <c r="I225" i="14" s="1"/>
  <c r="N328" i="14"/>
  <c r="J327" i="14" a="1"/>
  <c r="J327" i="14" s="1"/>
  <c r="L212" i="13" l="1"/>
  <c r="I213" i="13" s="1"/>
  <c r="M333" i="14"/>
  <c r="K225" i="14"/>
  <c r="N329" i="14"/>
  <c r="J328" i="14" a="1"/>
  <c r="J328" i="14" s="1"/>
  <c r="N330" i="13"/>
  <c r="J329" i="13" a="1"/>
  <c r="J329" i="13" s="1"/>
  <c r="M332" i="13"/>
  <c r="K213" i="13" l="1"/>
  <c r="M334" i="14"/>
  <c r="M333" i="13"/>
  <c r="N330" i="14"/>
  <c r="J329" i="14" a="1"/>
  <c r="J329" i="14" s="1"/>
  <c r="N331" i="13"/>
  <c r="J330" i="13" a="1"/>
  <c r="J330" i="13" s="1"/>
  <c r="L225" i="14"/>
  <c r="I226" i="14" s="1"/>
  <c r="L213" i="13" l="1"/>
  <c r="I214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14" i="13" l="1"/>
  <c r="L214" i="13" s="1"/>
  <c r="I215" i="13" s="1"/>
  <c r="K227" i="14"/>
  <c r="L227" i="14" s="1"/>
  <c r="I228" i="14" s="1"/>
  <c r="N332" i="14"/>
  <c r="J331" i="14" a="1"/>
  <c r="J331" i="14" s="1"/>
  <c r="M336" i="14"/>
  <c r="M335" i="13"/>
  <c r="N333" i="13"/>
  <c r="J332" i="13" a="1"/>
  <c r="J332" i="13" s="1"/>
  <c r="K215" i="13" l="1"/>
  <c r="L215" i="13" s="1"/>
  <c r="I216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16" i="13" l="1"/>
  <c r="L216" i="13" s="1"/>
  <c r="I217" i="13" s="1"/>
  <c r="K229" i="14"/>
  <c r="L229" i="14" s="1"/>
  <c r="I230" i="14" s="1"/>
  <c r="M337" i="13"/>
  <c r="N335" i="13"/>
  <c r="J334" i="13" a="1"/>
  <c r="J334" i="13" s="1"/>
  <c r="N334" i="14"/>
  <c r="J333" i="14" a="1"/>
  <c r="J333" i="14" s="1"/>
  <c r="M338" i="14"/>
  <c r="K217" i="13" l="1"/>
  <c r="L217" i="13" s="1"/>
  <c r="I218" i="13" s="1"/>
  <c r="K230" i="14"/>
  <c r="L230" i="14" s="1"/>
  <c r="I231" i="14" s="1"/>
  <c r="N336" i="13"/>
  <c r="J335" i="13" a="1"/>
  <c r="J335" i="13" s="1"/>
  <c r="N335" i="14"/>
  <c r="J334" i="14" a="1"/>
  <c r="J334" i="14" s="1"/>
  <c r="M338" i="13"/>
  <c r="M339" i="14"/>
  <c r="K218" i="13" l="1"/>
  <c r="L218" i="13" s="1"/>
  <c r="I219" i="13" s="1"/>
  <c r="K231" i="14"/>
  <c r="L231" i="14" s="1"/>
  <c r="I232" i="14" s="1"/>
  <c r="M340" i="14"/>
  <c r="N336" i="14"/>
  <c r="J335" i="14" a="1"/>
  <c r="J335" i="14" s="1"/>
  <c r="M339" i="13"/>
  <c r="N337" i="13"/>
  <c r="J336" i="13" a="1"/>
  <c r="J336" i="13" s="1"/>
  <c r="K219" i="13" l="1"/>
  <c r="L219" i="13" s="1"/>
  <c r="I220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20" i="13" l="1"/>
  <c r="L220" i="13" s="1"/>
  <c r="I221" i="13" s="1"/>
  <c r="K233" i="14"/>
  <c r="L233" i="14" s="1"/>
  <c r="I234" i="14" s="1"/>
  <c r="N338" i="14"/>
  <c r="J337" i="14" a="1"/>
  <c r="J337" i="14" s="1"/>
  <c r="N339" i="13"/>
  <c r="J338" i="13" a="1"/>
  <c r="J338" i="13" s="1"/>
  <c r="M341" i="13"/>
  <c r="M342" i="14"/>
  <c r="K221" i="13" l="1"/>
  <c r="L221" i="13" s="1"/>
  <c r="I222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2" i="13" l="1"/>
  <c r="L222" i="13" s="1"/>
  <c r="I223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3" i="13" l="1"/>
  <c r="L223" i="13" s="1"/>
  <c r="I224" i="13" s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24" i="13" l="1"/>
  <c r="K237" i="14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 l="1"/>
  <c r="I225" i="13" s="1"/>
  <c r="N344" i="13"/>
  <c r="J343" i="13" a="1"/>
  <c r="J343" i="13" s="1"/>
  <c r="M347" i="14"/>
  <c r="M346" i="13"/>
  <c r="N343" i="14"/>
  <c r="J342" i="14" a="1"/>
  <c r="J342" i="14" s="1"/>
  <c r="K238" i="14"/>
  <c r="L238" i="14" s="1"/>
  <c r="I239" i="14" s="1"/>
  <c r="K225" i="13" l="1"/>
  <c r="K239" i="14"/>
  <c r="L239" i="14" s="1"/>
  <c r="I240" i="14" s="1"/>
  <c r="M347" i="13"/>
  <c r="M348" i="14"/>
  <c r="N344" i="14"/>
  <c r="J343" i="14" a="1"/>
  <c r="J343" i="14" s="1"/>
  <c r="N345" i="13"/>
  <c r="J344" i="13" a="1"/>
  <c r="J344" i="13" s="1"/>
  <c r="L225" i="13" l="1"/>
  <c r="I226" i="13" s="1"/>
  <c r="K240" i="14"/>
  <c r="L240" i="14" s="1"/>
  <c r="I241" i="14" s="1"/>
  <c r="N345" i="14"/>
  <c r="J344" i="14" a="1"/>
  <c r="J344" i="14" s="1"/>
  <c r="M348" i="13"/>
  <c r="N346" i="13"/>
  <c r="J345" i="13" a="1"/>
  <c r="J345" i="13" s="1"/>
  <c r="M349" i="14"/>
  <c r="K226" i="13" l="1"/>
  <c r="L226" i="13" s="1"/>
  <c r="I227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27" i="13" l="1"/>
  <c r="L227" i="13" s="1"/>
  <c r="I228" i="13" s="1"/>
  <c r="K242" i="14"/>
  <c r="L242" i="14" s="1"/>
  <c r="I243" i="14" s="1"/>
  <c r="M350" i="13"/>
  <c r="M351" i="14"/>
  <c r="N347" i="14"/>
  <c r="J346" i="14" a="1"/>
  <c r="J346" i="14" s="1"/>
  <c r="N348" i="13"/>
  <c r="J347" i="13" a="1"/>
  <c r="J347" i="13" s="1"/>
  <c r="K228" i="13" l="1"/>
  <c r="L228" i="13" s="1"/>
  <c r="I229" i="13" s="1"/>
  <c r="K243" i="14"/>
  <c r="L243" i="14" s="1"/>
  <c r="I244" i="14" s="1"/>
  <c r="M351" i="13"/>
  <c r="M352" i="14"/>
  <c r="N349" i="13"/>
  <c r="J348" i="13" a="1"/>
  <c r="J348" i="13" s="1"/>
  <c r="N348" i="14"/>
  <c r="J347" i="14" a="1"/>
  <c r="J347" i="14" s="1"/>
  <c r="K229" i="13" l="1"/>
  <c r="L229" i="13" s="1"/>
  <c r="I230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30" i="13" l="1"/>
  <c r="L230" i="13" s="1"/>
  <c r="I231" i="13" s="1"/>
  <c r="K245" i="14"/>
  <c r="L245" i="14" s="1"/>
  <c r="I246" i="14" s="1"/>
  <c r="M354" i="14"/>
  <c r="M353" i="13"/>
  <c r="N351" i="13"/>
  <c r="J350" i="13" a="1"/>
  <c r="J350" i="13" s="1"/>
  <c r="N350" i="14"/>
  <c r="J349" i="14" a="1"/>
  <c r="J349" i="14" s="1"/>
  <c r="K231" i="13" l="1"/>
  <c r="L231" i="13" s="1"/>
  <c r="I232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32" i="13" l="1"/>
  <c r="L232" i="13" s="1"/>
  <c r="I233" i="13" s="1"/>
  <c r="K247" i="14"/>
  <c r="L247" i="14" s="1"/>
  <c r="I248" i="14" s="1"/>
  <c r="M356" i="14"/>
  <c r="M355" i="13"/>
  <c r="N353" i="13"/>
  <c r="J352" i="13" a="1"/>
  <c r="J352" i="13" s="1"/>
  <c r="N352" i="14"/>
  <c r="J351" i="14" a="1"/>
  <c r="J351" i="14" s="1"/>
  <c r="K233" i="13" l="1"/>
  <c r="L233" i="13" s="1"/>
  <c r="I234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34" i="13" l="1"/>
  <c r="L234" i="13" s="1"/>
  <c r="I235" i="13" s="1"/>
  <c r="K249" i="14"/>
  <c r="L249" i="14" s="1"/>
  <c r="I250" i="14" s="1"/>
  <c r="M357" i="13"/>
  <c r="N355" i="13"/>
  <c r="J354" i="13" a="1"/>
  <c r="J354" i="13" s="1"/>
  <c r="M358" i="14"/>
  <c r="N354" i="14"/>
  <c r="J353" i="14" a="1"/>
  <c r="J353" i="14" s="1"/>
  <c r="K235" i="13" l="1"/>
  <c r="L235" i="13" s="1"/>
  <c r="I236" i="13" s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36" i="13" l="1"/>
  <c r="K251" i="14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 l="1"/>
  <c r="I237" i="13" s="1"/>
  <c r="K252" i="14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 l="1"/>
  <c r="K253" i="14"/>
  <c r="L253" i="14" s="1"/>
  <c r="I254" i="14" s="1"/>
  <c r="M361" i="13"/>
  <c r="N359" i="13"/>
  <c r="J358" i="13" a="1"/>
  <c r="J358" i="13" s="1"/>
  <c r="N358" i="14"/>
  <c r="J357" i="14" a="1"/>
  <c r="J357" i="14" s="1"/>
  <c r="M362" i="14"/>
  <c r="L237" i="13" l="1"/>
  <c r="I238" i="13" s="1"/>
  <c r="K254" i="14"/>
  <c r="L254" i="14" s="1"/>
  <c r="I255" i="14" s="1"/>
  <c r="N360" i="13"/>
  <c r="J359" i="13" a="1"/>
  <c r="J359" i="13" s="1"/>
  <c r="N359" i="14"/>
  <c r="J358" i="14" a="1"/>
  <c r="J358" i="14" s="1"/>
  <c r="M363" i="14"/>
  <c r="M362" i="13"/>
  <c r="K238" i="13" l="1"/>
  <c r="L238" i="13" s="1"/>
  <c r="I239" i="13" s="1"/>
  <c r="K255" i="14"/>
  <c r="L255" i="14" s="1"/>
  <c r="I256" i="14" s="1"/>
  <c r="N360" i="14"/>
  <c r="J359" i="14" a="1"/>
  <c r="J359" i="14" s="1"/>
  <c r="M363" i="13"/>
  <c r="M364" i="14"/>
  <c r="N361" i="13"/>
  <c r="J360" i="13" a="1"/>
  <c r="J360" i="13" s="1"/>
  <c r="K239" i="13" l="1"/>
  <c r="L239" i="13" s="1"/>
  <c r="I240" i="13" s="1"/>
  <c r="K256" i="14"/>
  <c r="L256" i="14" s="1"/>
  <c r="I257" i="14" s="1"/>
  <c r="N362" i="13"/>
  <c r="J361" i="13" a="1"/>
  <c r="J361" i="13" s="1"/>
  <c r="M364" i="13"/>
  <c r="M365" i="14"/>
  <c r="N361" i="14"/>
  <c r="J360" i="14" a="1"/>
  <c r="J360" i="14" s="1"/>
  <c r="K240" i="13" l="1"/>
  <c r="L240" i="13" s="1"/>
  <c r="I241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41" i="13" l="1"/>
  <c r="L241" i="13" s="1"/>
  <c r="I242" i="13" s="1"/>
  <c r="K258" i="14"/>
  <c r="L258" i="14" s="1"/>
  <c r="I259" i="14" s="1"/>
  <c r="M366" i="13"/>
  <c r="N364" i="13"/>
  <c r="J363" i="13" a="1"/>
  <c r="J363" i="13" s="1"/>
  <c r="M367" i="14"/>
  <c r="N363" i="14"/>
  <c r="J362" i="14" a="1"/>
  <c r="J362" i="14" s="1"/>
  <c r="K242" i="13" l="1"/>
  <c r="L242" i="13" s="1"/>
  <c r="I243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43" i="13" l="1"/>
  <c r="L243" i="13" s="1"/>
  <c r="I244" i="13" s="1"/>
  <c r="K260" i="14"/>
  <c r="L260" i="14" s="1"/>
  <c r="I261" i="14" s="1"/>
  <c r="M368" i="13"/>
  <c r="N366" i="13"/>
  <c r="J365" i="13" a="1"/>
  <c r="J365" i="13" s="1"/>
  <c r="M369" i="14"/>
  <c r="N365" i="14"/>
  <c r="J364" i="14" a="1"/>
  <c r="J364" i="14" s="1"/>
  <c r="K244" i="13" l="1"/>
  <c r="L244" i="13" s="1"/>
  <c r="I245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5" i="13" l="1"/>
  <c r="L245" i="13" s="1"/>
  <c r="I246" i="13" s="1"/>
  <c r="K262" i="14"/>
  <c r="M371" i="14"/>
  <c r="N367" i="14"/>
  <c r="J366" i="14" a="1"/>
  <c r="J366" i="14" s="1"/>
  <c r="M370" i="13"/>
  <c r="N368" i="13"/>
  <c r="J367" i="13" a="1"/>
  <c r="J367" i="13" s="1"/>
  <c r="K246" i="13" l="1"/>
  <c r="L246" i="13" s="1"/>
  <c r="I247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7" i="13" l="1"/>
  <c r="L247" i="13" s="1"/>
  <c r="I248" i="13" s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K248" i="13" l="1"/>
  <c r="N371" i="13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 l="1"/>
  <c r="I249" i="13" s="1"/>
  <c r="K265" i="14"/>
  <c r="L265" i="14" s="1"/>
  <c r="I266" i="14" s="1"/>
  <c r="N371" i="14"/>
  <c r="J370" i="14" a="1"/>
  <c r="J370" i="14" s="1"/>
  <c r="M375" i="14"/>
  <c r="M374" i="13"/>
  <c r="N372" i="13"/>
  <c r="J371" i="13" a="1"/>
  <c r="J371" i="13" s="1"/>
  <c r="K249" i="13" l="1"/>
  <c r="K266" i="14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 l="1"/>
  <c r="I250" i="13" s="1"/>
  <c r="K267" i="14"/>
  <c r="L267" i="14" s="1"/>
  <c r="I268" i="14" s="1"/>
  <c r="M376" i="13"/>
  <c r="M377" i="14"/>
  <c r="N373" i="14"/>
  <c r="J372" i="14" a="1"/>
  <c r="J372" i="14" s="1"/>
  <c r="N374" i="13"/>
  <c r="J373" i="13" a="1"/>
  <c r="J373" i="13" s="1"/>
  <c r="K250" i="13" l="1"/>
  <c r="L250" i="13" s="1"/>
  <c r="I251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51" i="13" l="1"/>
  <c r="L251" i="13" s="1"/>
  <c r="I252" i="13" s="1"/>
  <c r="K269" i="14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 l="1"/>
  <c r="L252" i="13" s="1"/>
  <c r="I253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53" i="13" l="1"/>
  <c r="L253" i="13" s="1"/>
  <c r="I254" i="13" s="1"/>
  <c r="K271" i="14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 l="1"/>
  <c r="L254" i="13" s="1"/>
  <c r="I255" i="13" s="1"/>
  <c r="K272" i="14"/>
  <c r="N378" i="14"/>
  <c r="J377" i="14" a="1"/>
  <c r="J377" i="14" s="1"/>
  <c r="M382" i="14"/>
  <c r="N379" i="13"/>
  <c r="J378" i="13" a="1"/>
  <c r="J378" i="13" s="1"/>
  <c r="M381" i="13"/>
  <c r="K255" i="13" l="1"/>
  <c r="L255" i="13" s="1"/>
  <c r="I256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6" i="13" l="1"/>
  <c r="L256" i="13" s="1"/>
  <c r="I257" i="13" s="1"/>
  <c r="N380" i="14"/>
  <c r="J379" i="14" a="1"/>
  <c r="J379" i="14" s="1"/>
  <c r="M384" i="14"/>
  <c r="K273" i="14"/>
  <c r="M383" i="13"/>
  <c r="N381" i="13"/>
  <c r="J380" i="13" a="1"/>
  <c r="J380" i="13" s="1"/>
  <c r="K257" i="13" l="1"/>
  <c r="L257" i="13" s="1"/>
  <c r="I258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8" i="13" l="1"/>
  <c r="L258" i="13" s="1"/>
  <c r="I259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59" i="13" l="1"/>
  <c r="L259" i="13" s="1"/>
  <c r="I260" i="13" s="1"/>
  <c r="K275" i="14"/>
  <c r="L275" i="14" s="1"/>
  <c r="I276" i="14" s="1"/>
  <c r="N383" i="14"/>
  <c r="J382" i="14" a="1"/>
  <c r="J382" i="14" s="1"/>
  <c r="N384" i="13"/>
  <c r="J383" i="13" a="1"/>
  <c r="J383" i="13" s="1"/>
  <c r="M387" i="14"/>
  <c r="M386" i="13"/>
  <c r="K260" i="13" l="1"/>
  <c r="L260" i="13" s="1"/>
  <c r="I261" i="13" s="1"/>
  <c r="K276" i="14"/>
  <c r="L276" i="14" s="1"/>
  <c r="I277" i="14" s="1"/>
  <c r="N385" i="13"/>
  <c r="J384" i="13" a="1"/>
  <c r="J384" i="13" s="1"/>
  <c r="M388" i="14"/>
  <c r="N384" i="14"/>
  <c r="J383" i="14" a="1"/>
  <c r="J383" i="14" s="1"/>
  <c r="M387" i="13"/>
  <c r="K261" i="13" l="1"/>
  <c r="L261" i="13" s="1"/>
  <c r="I262" i="13" s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62" i="13" l="1"/>
  <c r="K278" i="14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 l="1"/>
  <c r="I263" i="13" s="1"/>
  <c r="K279" i="14"/>
  <c r="L279" i="14" s="1"/>
  <c r="I280" i="14" s="1"/>
  <c r="N387" i="14"/>
  <c r="J386" i="14" a="1"/>
  <c r="J386" i="14" s="1"/>
  <c r="M391" i="14"/>
  <c r="M390" i="13"/>
  <c r="N388" i="13"/>
  <c r="J387" i="13" a="1"/>
  <c r="J387" i="13" s="1"/>
  <c r="K263" i="13" l="1"/>
  <c r="L263" i="13" s="1"/>
  <c r="I264" i="13" s="1"/>
  <c r="K280" i="14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 l="1"/>
  <c r="L264" i="13" s="1"/>
  <c r="I265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65" i="13" l="1"/>
  <c r="L265" i="13" s="1"/>
  <c r="I266" i="13" s="1"/>
  <c r="K282" i="14"/>
  <c r="L282" i="14" s="1"/>
  <c r="I283" i="14" s="1"/>
  <c r="M394" i="14"/>
  <c r="N391" i="13"/>
  <c r="J390" i="13" a="1"/>
  <c r="J390" i="13" s="1"/>
  <c r="M393" i="13"/>
  <c r="N390" i="14"/>
  <c r="J389" i="14" a="1"/>
  <c r="J389" i="14" s="1"/>
  <c r="K266" i="13" l="1"/>
  <c r="L266" i="13" s="1"/>
  <c r="I267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67" i="13" l="1"/>
  <c r="L267" i="13" s="1"/>
  <c r="I268" i="13" s="1"/>
  <c r="K284" i="14"/>
  <c r="M396" i="14"/>
  <c r="N393" i="13"/>
  <c r="J392" i="13" a="1"/>
  <c r="J392" i="13" s="1"/>
  <c r="M395" i="13"/>
  <c r="N392" i="14"/>
  <c r="J391" i="14" a="1"/>
  <c r="J391" i="14" s="1"/>
  <c r="K268" i="13" l="1"/>
  <c r="L268" i="13" s="1"/>
  <c r="I269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69" i="13" l="1"/>
  <c r="L269" i="13" s="1"/>
  <c r="I270" i="13" s="1"/>
  <c r="M398" i="14"/>
  <c r="N395" i="13"/>
  <c r="J394" i="13" a="1"/>
  <c r="J394" i="13" s="1"/>
  <c r="M397" i="13"/>
  <c r="K285" i="14"/>
  <c r="N394" i="14"/>
  <c r="J393" i="14" a="1"/>
  <c r="J393" i="14" s="1"/>
  <c r="K270" i="13" l="1"/>
  <c r="L270" i="13" s="1"/>
  <c r="I271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1" i="13" l="1"/>
  <c r="L271" i="13" s="1"/>
  <c r="I272" i="13" s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72" i="13" l="1"/>
  <c r="K287" i="14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 l="1"/>
  <c r="I273" i="13" s="1"/>
  <c r="K288" i="14"/>
  <c r="L288" i="14" s="1"/>
  <c r="I289" i="14" s="1"/>
  <c r="M402" i="14"/>
  <c r="N398" i="14"/>
  <c r="J397" i="14" a="1"/>
  <c r="J397" i="14" s="1"/>
  <c r="N399" i="13"/>
  <c r="J398" i="13" a="1"/>
  <c r="J398" i="13" s="1"/>
  <c r="M401" i="13"/>
  <c r="K273" i="13" l="1"/>
  <c r="M402" i="13"/>
  <c r="M403" i="14"/>
  <c r="N400" i="13"/>
  <c r="J399" i="13" a="1"/>
  <c r="J399" i="13" s="1"/>
  <c r="N399" i="14"/>
  <c r="J398" i="14" a="1"/>
  <c r="J398" i="14" s="1"/>
  <c r="K289" i="14"/>
  <c r="L289" i="14" s="1"/>
  <c r="I290" i="14" s="1"/>
  <c r="L273" i="13" l="1"/>
  <c r="I274" i="13" s="1"/>
  <c r="K290" i="14"/>
  <c r="L290" i="14" s="1"/>
  <c r="I291" i="14" s="1"/>
  <c r="N401" i="13"/>
  <c r="J400" i="13" a="1"/>
  <c r="J400" i="13" s="1"/>
  <c r="M403" i="13"/>
  <c r="N400" i="14"/>
  <c r="J399" i="14" a="1"/>
  <c r="J399" i="14" s="1"/>
  <c r="M404" i="14"/>
  <c r="K274" i="13" l="1"/>
  <c r="L274" i="13" s="1"/>
  <c r="I275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75" i="13" l="1"/>
  <c r="L275" i="13" s="1"/>
  <c r="I276" i="13" s="1"/>
  <c r="K292" i="14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 l="1"/>
  <c r="L276" i="13" s="1"/>
  <c r="I277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77" i="13" l="1"/>
  <c r="L277" i="13" s="1"/>
  <c r="I278" i="13" s="1"/>
  <c r="K294" i="14"/>
  <c r="L294" i="14" s="1"/>
  <c r="I295" i="14" s="1"/>
  <c r="N405" i="13"/>
  <c r="J404" i="13" a="1"/>
  <c r="J404" i="13" s="1"/>
  <c r="N404" i="14"/>
  <c r="J403" i="14" a="1"/>
  <c r="J403" i="14" s="1"/>
  <c r="M408" i="14"/>
  <c r="M407" i="13"/>
  <c r="K278" i="13" l="1"/>
  <c r="L278" i="13" s="1"/>
  <c r="I279" i="13" s="1"/>
  <c r="K295" i="14"/>
  <c r="L295" i="14" s="1"/>
  <c r="I296" i="14" s="1"/>
  <c r="N405" i="14"/>
  <c r="J404" i="14" a="1"/>
  <c r="J404" i="14" s="1"/>
  <c r="M408" i="13"/>
  <c r="M409" i="14"/>
  <c r="N406" i="13"/>
  <c r="J405" i="13" a="1"/>
  <c r="J405" i="13" s="1"/>
  <c r="K279" i="13" l="1"/>
  <c r="L279" i="13" s="1"/>
  <c r="I280" i="13" s="1"/>
  <c r="K296" i="14"/>
  <c r="N407" i="13"/>
  <c r="J406" i="13" a="1"/>
  <c r="J406" i="13" s="1"/>
  <c r="N406" i="14"/>
  <c r="J405" i="14" a="1"/>
  <c r="J405" i="14" s="1"/>
  <c r="M410" i="14"/>
  <c r="M409" i="13"/>
  <c r="K280" i="13" l="1"/>
  <c r="L280" i="13" s="1"/>
  <c r="I281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81" i="13" l="1"/>
  <c r="L281" i="13" s="1"/>
  <c r="I282" i="13" s="1"/>
  <c r="K297" i="14"/>
  <c r="M411" i="13"/>
  <c r="N408" i="14"/>
  <c r="J407" i="14" a="1"/>
  <c r="J407" i="14" s="1"/>
  <c r="N409" i="13"/>
  <c r="J408" i="13" a="1"/>
  <c r="J408" i="13" s="1"/>
  <c r="M412" i="14"/>
  <c r="K282" i="13" l="1"/>
  <c r="L282" i="13" s="1"/>
  <c r="I283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3" i="13" l="1"/>
  <c r="L283" i="13" s="1"/>
  <c r="I284" i="13" s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84" i="13" l="1"/>
  <c r="K299" i="14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 l="1"/>
  <c r="I285" i="13" s="1"/>
  <c r="K300" i="14"/>
  <c r="L300" i="14" s="1"/>
  <c r="I301" i="14" s="1"/>
  <c r="N412" i="14"/>
  <c r="J411" i="14" a="1"/>
  <c r="J411" i="14" s="1"/>
  <c r="M415" i="13"/>
  <c r="N413" i="13"/>
  <c r="J412" i="13" a="1"/>
  <c r="J412" i="13" s="1"/>
  <c r="M416" i="14"/>
  <c r="K285" i="13" l="1"/>
  <c r="L285" i="13" s="1"/>
  <c r="I286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286" i="13" l="1"/>
  <c r="L286" i="13" s="1"/>
  <c r="I287" i="13" s="1"/>
  <c r="K302" i="14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 l="1"/>
  <c r="L287" i="13" s="1"/>
  <c r="I288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8" i="13" l="1"/>
  <c r="L288" i="13" s="1"/>
  <c r="I289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289" i="13" l="1"/>
  <c r="L289" i="13" s="1"/>
  <c r="I290" i="13" s="1"/>
  <c r="K305" i="14"/>
  <c r="L305" i="14" s="1"/>
  <c r="I306" i="14" s="1"/>
  <c r="M420" i="13"/>
  <c r="N417" i="14"/>
  <c r="J416" i="14" a="1"/>
  <c r="J416" i="14" s="1"/>
  <c r="M421" i="14"/>
  <c r="N418" i="13"/>
  <c r="J417" i="13" a="1"/>
  <c r="J417" i="13" s="1"/>
  <c r="K290" i="13" l="1"/>
  <c r="L290" i="13" s="1"/>
  <c r="I291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1" i="13" l="1"/>
  <c r="L291" i="13" s="1"/>
  <c r="I292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292" i="13" l="1"/>
  <c r="L292" i="13" s="1"/>
  <c r="I293" i="13" s="1"/>
  <c r="K308" i="14"/>
  <c r="L308" i="14" s="1"/>
  <c r="I309" i="14" s="1"/>
  <c r="M424" i="14"/>
  <c r="N420" i="14"/>
  <c r="J419" i="14" a="1"/>
  <c r="J419" i="14" s="1"/>
  <c r="M423" i="13"/>
  <c r="N421" i="13"/>
  <c r="J420" i="13" a="1"/>
  <c r="J420" i="13" s="1"/>
  <c r="K293" i="13" l="1"/>
  <c r="L293" i="13" s="1"/>
  <c r="I294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4" i="13" l="1"/>
  <c r="L294" i="13" s="1"/>
  <c r="I295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5" i="13" l="1"/>
  <c r="L295" i="13" s="1"/>
  <c r="I296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296" i="13" l="1"/>
  <c r="L296" i="13" s="1"/>
  <c r="I297" i="13" s="1"/>
  <c r="K312" i="14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 l="1"/>
  <c r="L297" i="13" s="1"/>
  <c r="I298" i="13" s="1"/>
  <c r="K313" i="14"/>
  <c r="L313" i="14" s="1"/>
  <c r="I314" i="14" s="1"/>
  <c r="M429" i="14"/>
  <c r="N426" i="13"/>
  <c r="J425" i="13" a="1"/>
  <c r="J425" i="13" s="1"/>
  <c r="M428" i="13"/>
  <c r="N425" i="14"/>
  <c r="J424" i="14" a="1"/>
  <c r="J424" i="14" s="1"/>
  <c r="K298" i="13" l="1"/>
  <c r="K314" i="14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 l="1"/>
  <c r="I299" i="13" s="1"/>
  <c r="K315" i="14"/>
  <c r="L315" i="14" s="1"/>
  <c r="I316" i="14" s="1"/>
  <c r="M431" i="14"/>
  <c r="N428" i="13"/>
  <c r="J427" i="13" a="1"/>
  <c r="J427" i="13" s="1"/>
  <c r="M430" i="13"/>
  <c r="N427" i="14"/>
  <c r="J426" i="14" a="1"/>
  <c r="J426" i="14" s="1"/>
  <c r="K299" i="13" l="1"/>
  <c r="L299" i="13" s="1"/>
  <c r="I300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00" i="13" l="1"/>
  <c r="L300" i="13" s="1"/>
  <c r="I301" i="13" s="1"/>
  <c r="K317" i="14"/>
  <c r="L317" i="14" s="1"/>
  <c r="I318" i="14" s="1"/>
  <c r="M433" i="14"/>
  <c r="M432" i="13"/>
  <c r="N429" i="14"/>
  <c r="J428" i="14" a="1"/>
  <c r="J428" i="14" s="1"/>
  <c r="N430" i="13"/>
  <c r="J429" i="13" a="1"/>
  <c r="J429" i="13" s="1"/>
  <c r="K301" i="13" l="1"/>
  <c r="L301" i="13" s="1"/>
  <c r="I302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2" i="13" l="1"/>
  <c r="L302" i="13" s="1"/>
  <c r="I303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03" i="13" l="1"/>
  <c r="L303" i="13" s="1"/>
  <c r="I304" i="13" s="1"/>
  <c r="K320" i="14"/>
  <c r="L320" i="14" s="1"/>
  <c r="I321" i="14" s="1"/>
  <c r="M436" i="14"/>
  <c r="N432" i="14"/>
  <c r="J431" i="14" a="1"/>
  <c r="J431" i="14" s="1"/>
  <c r="N433" i="13"/>
  <c r="J432" i="13" a="1"/>
  <c r="J432" i="13" s="1"/>
  <c r="M435" i="13"/>
  <c r="K304" i="13" l="1"/>
  <c r="L304" i="13" s="1"/>
  <c r="I305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5" i="13" l="1"/>
  <c r="L305" i="13" s="1"/>
  <c r="I306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06" i="13" l="1"/>
  <c r="L306" i="13" s="1"/>
  <c r="I307" i="13" s="1"/>
  <c r="K323" i="14"/>
  <c r="L323" i="14" s="1"/>
  <c r="I324" i="14" s="1"/>
  <c r="N436" i="13"/>
  <c r="J435" i="13" a="1"/>
  <c r="J435" i="13" s="1"/>
  <c r="M439" i="14"/>
  <c r="M438" i="13"/>
  <c r="N435" i="14"/>
  <c r="J434" i="14" a="1"/>
  <c r="J434" i="14" s="1"/>
  <c r="K307" i="13" l="1"/>
  <c r="L307" i="13" s="1"/>
  <c r="I308" i="13" s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08" i="13" l="1"/>
  <c r="K325" i="14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 l="1"/>
  <c r="I309" i="13" s="1"/>
  <c r="K326" i="14"/>
  <c r="L326" i="14" s="1"/>
  <c r="I327" i="14" s="1"/>
  <c r="M441" i="13"/>
  <c r="N438" i="14"/>
  <c r="J437" i="14" a="1"/>
  <c r="J437" i="14" s="1"/>
  <c r="M442" i="14"/>
  <c r="N439" i="13"/>
  <c r="J438" i="13" a="1"/>
  <c r="J438" i="13" s="1"/>
  <c r="K309" i="13" l="1"/>
  <c r="L309" i="13" s="1"/>
  <c r="I310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10" i="13" l="1"/>
  <c r="L310" i="13" s="1"/>
  <c r="I311" i="13" s="1"/>
  <c r="K328" i="14"/>
  <c r="L328" i="14" s="1"/>
  <c r="I329" i="14" s="1"/>
  <c r="N441" i="13"/>
  <c r="J440" i="13" a="1"/>
  <c r="J440" i="13" s="1"/>
  <c r="M444" i="14"/>
  <c r="M443" i="13"/>
  <c r="N440" i="14"/>
  <c r="J439" i="14" a="1"/>
  <c r="J439" i="14" s="1"/>
  <c r="K311" i="13" l="1"/>
  <c r="L311" i="13" s="1"/>
  <c r="I312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2" i="13" l="1"/>
  <c r="L312" i="13" s="1"/>
  <c r="I313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13" i="13" l="1"/>
  <c r="L313" i="13" s="1"/>
  <c r="I314" i="13" s="1"/>
  <c r="K331" i="14"/>
  <c r="L331" i="14" s="1"/>
  <c r="I332" i="14" s="1"/>
  <c r="M447" i="14"/>
  <c r="N443" i="14"/>
  <c r="J442" i="14" a="1"/>
  <c r="J442" i="14" s="1"/>
  <c r="N444" i="13"/>
  <c r="J443" i="13" a="1"/>
  <c r="J443" i="13" s="1"/>
  <c r="M446" i="13"/>
  <c r="K314" i="13" l="1"/>
  <c r="L314" i="13" s="1"/>
  <c r="I315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5" i="13" l="1"/>
  <c r="L315" i="13" s="1"/>
  <c r="I316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6" i="13" l="1"/>
  <c r="L316" i="13" s="1"/>
  <c r="I317" i="13" s="1"/>
  <c r="K334" i="14"/>
  <c r="N446" i="14"/>
  <c r="J445" i="14" a="1"/>
  <c r="J445" i="14" s="1"/>
  <c r="M450" i="14"/>
  <c r="M449" i="13"/>
  <c r="N447" i="13"/>
  <c r="J446" i="13" a="1"/>
  <c r="J446" i="13" s="1"/>
  <c r="K317" i="13" l="1"/>
  <c r="L317" i="13" s="1"/>
  <c r="I318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8" i="13" l="1"/>
  <c r="L318" i="13" s="1"/>
  <c r="I319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19" i="13" l="1"/>
  <c r="L319" i="13" s="1"/>
  <c r="I320" i="13" s="1"/>
  <c r="K336" i="14"/>
  <c r="L336" i="14" s="1"/>
  <c r="I337" i="14" s="1"/>
  <c r="M453" i="14"/>
  <c r="N450" i="13"/>
  <c r="J449" i="13" a="1"/>
  <c r="J449" i="13" s="1"/>
  <c r="M452" i="13"/>
  <c r="N449" i="14"/>
  <c r="J448" i="14" a="1"/>
  <c r="J448" i="14" s="1"/>
  <c r="K320" i="13" l="1"/>
  <c r="K337" i="14"/>
  <c r="L337" i="14" s="1"/>
  <c r="I338" i="14" s="1"/>
  <c r="N450" i="14"/>
  <c r="J449" i="14" a="1"/>
  <c r="J449" i="14" s="1"/>
  <c r="N451" i="13"/>
  <c r="J450" i="13" a="1"/>
  <c r="J450" i="13" s="1"/>
  <c r="M453" i="13"/>
  <c r="M454" i="14"/>
  <c r="L320" i="13" l="1"/>
  <c r="I321" i="13" s="1"/>
  <c r="K338" i="14"/>
  <c r="L338" i="14" s="1"/>
  <c r="I339" i="14" s="1"/>
  <c r="N451" i="14"/>
  <c r="J450" i="14" a="1"/>
  <c r="J450" i="14" s="1"/>
  <c r="N452" i="13"/>
  <c r="J451" i="13" a="1"/>
  <c r="J451" i="13" s="1"/>
  <c r="M454" i="13"/>
  <c r="M455" i="14"/>
  <c r="K321" i="13" l="1"/>
  <c r="K339" i="14"/>
  <c r="L339" i="14" s="1"/>
  <c r="I340" i="14" s="1"/>
  <c r="M456" i="14"/>
  <c r="M455" i="13"/>
  <c r="N452" i="14"/>
  <c r="J451" i="14" a="1"/>
  <c r="J451" i="14" s="1"/>
  <c r="N453" i="13"/>
  <c r="J452" i="13" a="1"/>
  <c r="J452" i="13" s="1"/>
  <c r="L321" i="13" l="1"/>
  <c r="I322" i="13" s="1"/>
  <c r="K340" i="14"/>
  <c r="L340" i="14" s="1"/>
  <c r="I341" i="14" s="1"/>
  <c r="M457" i="14"/>
  <c r="N453" i="14"/>
  <c r="J452" i="14" a="1"/>
  <c r="J452" i="14" s="1"/>
  <c r="N454" i="13"/>
  <c r="J453" i="13" a="1"/>
  <c r="J453" i="13" s="1"/>
  <c r="M456" i="13"/>
  <c r="K322" i="13" l="1"/>
  <c r="L322" i="13" s="1"/>
  <c r="I323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23" i="13" l="1"/>
  <c r="L323" i="13" s="1"/>
  <c r="I324" i="13" s="1"/>
  <c r="K342" i="14"/>
  <c r="L342" i="14" s="1"/>
  <c r="I343" i="14" s="1"/>
  <c r="N455" i="14"/>
  <c r="J454" i="14" a="1"/>
  <c r="J454" i="14" s="1"/>
  <c r="N456" i="13"/>
  <c r="J455" i="13" a="1"/>
  <c r="J455" i="13" s="1"/>
  <c r="M459" i="14"/>
  <c r="M458" i="13"/>
  <c r="K324" i="13" l="1"/>
  <c r="L324" i="13" s="1"/>
  <c r="I325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25" i="13" l="1"/>
  <c r="L325" i="13" s="1"/>
  <c r="I326" i="13" s="1"/>
  <c r="K344" i="14"/>
  <c r="N457" i="14"/>
  <c r="J456" i="14" a="1"/>
  <c r="J456" i="14" s="1"/>
  <c r="M461" i="14"/>
  <c r="M460" i="13"/>
  <c r="N458" i="13"/>
  <c r="J457" i="13" a="1"/>
  <c r="J457" i="13" s="1"/>
  <c r="K326" i="13" l="1"/>
  <c r="L326" i="13" s="1"/>
  <c r="I327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7" i="13" l="1"/>
  <c r="L327" i="13" s="1"/>
  <c r="I328" i="13" s="1"/>
  <c r="M463" i="14"/>
  <c r="N460" i="13"/>
  <c r="J459" i="13" a="1"/>
  <c r="J459" i="13" s="1"/>
  <c r="K345" i="14"/>
  <c r="N459" i="14"/>
  <c r="J458" i="14" a="1"/>
  <c r="J458" i="14" s="1"/>
  <c r="M462" i="13"/>
  <c r="K328" i="13" l="1"/>
  <c r="L328" i="13" s="1"/>
  <c r="I329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29" i="13" l="1"/>
  <c r="L329" i="13" s="1"/>
  <c r="I330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0" i="13" l="1"/>
  <c r="L330" i="13" s="1"/>
  <c r="I331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31" i="13" l="1"/>
  <c r="L331" i="13" s="1"/>
  <c r="I332" i="13" s="1"/>
  <c r="K348" i="14"/>
  <c r="L348" i="14" s="1"/>
  <c r="I349" i="14" s="1"/>
  <c r="N464" i="13"/>
  <c r="J463" i="13" a="1"/>
  <c r="J463" i="13" s="1"/>
  <c r="M467" i="14"/>
  <c r="M466" i="13"/>
  <c r="N463" i="14"/>
  <c r="J462" i="14" a="1"/>
  <c r="J462" i="14" s="1"/>
  <c r="K332" i="13" l="1"/>
  <c r="L332" i="13" s="1"/>
  <c r="I333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3" i="13" l="1"/>
  <c r="L333" i="13" s="1"/>
  <c r="I334" i="13" s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34" i="13" l="1"/>
  <c r="K351" i="14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 l="1"/>
  <c r="I335" i="13" s="1"/>
  <c r="K352" i="14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 l="1"/>
  <c r="L335" i="13" s="1"/>
  <c r="I336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36" i="13" l="1"/>
  <c r="L336" i="13" s="1"/>
  <c r="I337" i="13" s="1"/>
  <c r="K354" i="14"/>
  <c r="L354" i="14" s="1"/>
  <c r="I355" i="14" s="1"/>
  <c r="N469" i="14"/>
  <c r="J468" i="14" a="1"/>
  <c r="J468" i="14" s="1"/>
  <c r="M473" i="14"/>
  <c r="M472" i="13"/>
  <c r="N470" i="13"/>
  <c r="J469" i="13" a="1"/>
  <c r="J469" i="13" s="1"/>
  <c r="K337" i="13" l="1"/>
  <c r="L337" i="13" s="1"/>
  <c r="I338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38" i="13" l="1"/>
  <c r="L338" i="13" s="1"/>
  <c r="I339" i="13" s="1"/>
  <c r="K356" i="14"/>
  <c r="N472" i="13"/>
  <c r="J471" i="13" a="1"/>
  <c r="J471" i="13" s="1"/>
  <c r="N471" i="14"/>
  <c r="J470" i="14" a="1"/>
  <c r="J470" i="14" s="1"/>
  <c r="M474" i="13"/>
  <c r="M475" i="14"/>
  <c r="K339" i="13" l="1"/>
  <c r="L339" i="13" s="1"/>
  <c r="I340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0" i="13" l="1"/>
  <c r="L340" i="13" s="1"/>
  <c r="I341" i="13" s="1"/>
  <c r="N474" i="13"/>
  <c r="J473" i="13" a="1"/>
  <c r="J473" i="13" s="1"/>
  <c r="M476" i="13"/>
  <c r="K357" i="14"/>
  <c r="M477" i="14"/>
  <c r="N473" i="14"/>
  <c r="J472" i="14" a="1"/>
  <c r="J472" i="14" s="1"/>
  <c r="K341" i="13" l="1"/>
  <c r="L341" i="13" s="1"/>
  <c r="I342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2" i="13" l="1"/>
  <c r="L342" i="13" s="1"/>
  <c r="I343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43" i="13" l="1"/>
  <c r="L343" i="13" s="1"/>
  <c r="I344" i="13" s="1"/>
  <c r="K359" i="14"/>
  <c r="L359" i="14" s="1"/>
  <c r="I360" i="14" s="1"/>
  <c r="N477" i="13"/>
  <c r="J476" i="13" a="1"/>
  <c r="J476" i="13" s="1"/>
  <c r="M479" i="13"/>
  <c r="M480" i="14"/>
  <c r="N476" i="14"/>
  <c r="J475" i="14" a="1"/>
  <c r="J475" i="14" s="1"/>
  <c r="K344" i="13" l="1"/>
  <c r="K360" i="14"/>
  <c r="L360" i="14" s="1"/>
  <c r="I361" i="14" s="1"/>
  <c r="M480" i="13"/>
  <c r="N477" i="14"/>
  <c r="J476" i="14" a="1"/>
  <c r="J476" i="14" s="1"/>
  <c r="M481" i="14"/>
  <c r="N478" i="13"/>
  <c r="J477" i="13" a="1"/>
  <c r="J477" i="13" s="1"/>
  <c r="L344" i="13" l="1"/>
  <c r="I345" i="13" s="1"/>
  <c r="K361" i="14"/>
  <c r="L361" i="14" s="1"/>
  <c r="I362" i="14" s="1"/>
  <c r="M482" i="14"/>
  <c r="N478" i="14"/>
  <c r="J477" i="14" a="1"/>
  <c r="J477" i="14" s="1"/>
  <c r="N479" i="13"/>
  <c r="J478" i="13" a="1"/>
  <c r="J478" i="13" s="1"/>
  <c r="M481" i="13"/>
  <c r="K345" i="13" l="1"/>
  <c r="L345" i="13" s="1"/>
  <c r="I346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6" i="13" l="1"/>
  <c r="L346" i="13" s="1"/>
  <c r="I347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47" i="13" l="1"/>
  <c r="L347" i="13" s="1"/>
  <c r="I348" i="13" s="1"/>
  <c r="K364" i="14"/>
  <c r="L364" i="14" s="1"/>
  <c r="I365" i="14" s="1"/>
  <c r="M484" i="13"/>
  <c r="N482" i="13"/>
  <c r="J481" i="13" a="1"/>
  <c r="J481" i="13" s="1"/>
  <c r="M485" i="14"/>
  <c r="N481" i="14"/>
  <c r="J480" i="14" a="1"/>
  <c r="J480" i="14" s="1"/>
  <c r="K348" i="13" l="1"/>
  <c r="L348" i="13" s="1"/>
  <c r="I349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49" i="13" l="1"/>
  <c r="L349" i="13" s="1"/>
  <c r="I350" i="13" s="1"/>
  <c r="K366" i="14"/>
  <c r="L366" i="14" s="1"/>
  <c r="I367" i="14" s="1"/>
  <c r="M486" i="13"/>
  <c r="N484" i="13"/>
  <c r="J483" i="13" a="1"/>
  <c r="J483" i="13" s="1"/>
  <c r="M487" i="14"/>
  <c r="N483" i="14"/>
  <c r="J482" i="14" a="1"/>
  <c r="J482" i="14" s="1"/>
  <c r="K350" i="13" l="1"/>
  <c r="L350" i="13" s="1"/>
  <c r="I351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51" i="13" l="1"/>
  <c r="L351" i="13" s="1"/>
  <c r="I352" i="13" s="1"/>
  <c r="K368" i="14"/>
  <c r="L368" i="14" s="1"/>
  <c r="I369" i="14" s="1"/>
  <c r="M489" i="14"/>
  <c r="N485" i="14"/>
  <c r="J484" i="14" a="1"/>
  <c r="J484" i="14" s="1"/>
  <c r="M488" i="13"/>
  <c r="N486" i="13"/>
  <c r="J485" i="13" a="1"/>
  <c r="J485" i="13" s="1"/>
  <c r="K352" i="13" l="1"/>
  <c r="L352" i="13" s="1"/>
  <c r="I353" i="13" s="1"/>
  <c r="N487" i="13"/>
  <c r="J486" i="13" a="1"/>
  <c r="J486" i="13" s="1"/>
  <c r="N486" i="14"/>
  <c r="J485" i="14" a="1"/>
  <c r="J485" i="14" s="1"/>
  <c r="M489" i="13"/>
  <c r="M490" i="14"/>
  <c r="K369" i="14"/>
  <c r="L369" i="14" s="1"/>
  <c r="I370" i="14" s="1"/>
  <c r="K353" i="13" l="1"/>
  <c r="L353" i="13" s="1"/>
  <c r="I354" i="13" s="1"/>
  <c r="N487" i="14"/>
  <c r="J486" i="14" a="1"/>
  <c r="J486" i="14" s="1"/>
  <c r="K370" i="14"/>
  <c r="M490" i="13"/>
  <c r="M491" i="14"/>
  <c r="N488" i="13"/>
  <c r="J487" i="13" a="1"/>
  <c r="J487" i="13" s="1"/>
  <c r="K354" i="13" l="1"/>
  <c r="L354" i="13" s="1"/>
  <c r="I355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5" i="13" l="1"/>
  <c r="L355" i="13" s="1"/>
  <c r="I356" i="13" s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K356" i="13" l="1"/>
  <c r="N490" i="14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 l="1"/>
  <c r="I357" i="13" s="1"/>
  <c r="K373" i="14"/>
  <c r="L373" i="14" s="1"/>
  <c r="I374" i="14" s="1"/>
  <c r="N492" i="13"/>
  <c r="J491" i="13" a="1"/>
  <c r="J491" i="13" s="1"/>
  <c r="M494" i="13"/>
  <c r="M495" i="14"/>
  <c r="N491" i="14"/>
  <c r="J490" i="14" a="1"/>
  <c r="J490" i="14" s="1"/>
  <c r="K357" i="13" l="1"/>
  <c r="K374" i="14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 l="1"/>
  <c r="I358" i="13" s="1"/>
  <c r="K375" i="14"/>
  <c r="L375" i="14" s="1"/>
  <c r="I376" i="14" s="1"/>
  <c r="N494" i="13"/>
  <c r="J493" i="13" a="1"/>
  <c r="J493" i="13" s="1"/>
  <c r="M497" i="14"/>
  <c r="N493" i="14"/>
  <c r="J492" i="14" a="1"/>
  <c r="J492" i="14" s="1"/>
  <c r="M496" i="13"/>
  <c r="K358" i="13" l="1"/>
  <c r="L358" i="13" s="1"/>
  <c r="I359" i="13" s="1"/>
  <c r="K376" i="14"/>
  <c r="L376" i="14" s="1"/>
  <c r="I377" i="14" s="1"/>
  <c r="N494" i="14"/>
  <c r="J493" i="14" a="1"/>
  <c r="J493" i="14" s="1"/>
  <c r="M497" i="13"/>
  <c r="M498" i="14"/>
  <c r="N495" i="13"/>
  <c r="J494" i="13" a="1"/>
  <c r="J494" i="13" s="1"/>
  <c r="K359" i="13" l="1"/>
  <c r="L359" i="13" s="1"/>
  <c r="I360" i="13" s="1"/>
  <c r="K377" i="14"/>
  <c r="L377" i="14" s="1"/>
  <c r="I378" i="14" s="1"/>
  <c r="N496" i="13"/>
  <c r="J495" i="13" a="1"/>
  <c r="J495" i="13" s="1"/>
  <c r="M498" i="13"/>
  <c r="M499" i="14"/>
  <c r="N495" i="14"/>
  <c r="J494" i="14" a="1"/>
  <c r="J494" i="14" s="1"/>
  <c r="K360" i="13" l="1"/>
  <c r="L360" i="13" s="1"/>
  <c r="I361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61" i="13" l="1"/>
  <c r="L361" i="13" s="1"/>
  <c r="I362" i="13" s="1"/>
  <c r="K379" i="14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 l="1"/>
  <c r="L362" i="13" s="1"/>
  <c r="I363" i="13" s="1"/>
  <c r="K380" i="14"/>
  <c r="M502" i="14"/>
  <c r="N499" i="13"/>
  <c r="J498" i="13" a="1"/>
  <c r="J498" i="13" s="1"/>
  <c r="M501" i="13"/>
  <c r="N498" i="14"/>
  <c r="J497" i="14" a="1"/>
  <c r="J497" i="14" s="1"/>
  <c r="K363" i="13" l="1"/>
  <c r="L363" i="13" s="1"/>
  <c r="I364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4" i="13" l="1"/>
  <c r="L364" i="13" s="1"/>
  <c r="I365" i="13" s="1"/>
  <c r="N500" i="14"/>
  <c r="J499" i="14" a="1"/>
  <c r="J499" i="14" s="1"/>
  <c r="M504" i="14"/>
  <c r="K381" i="14"/>
  <c r="M503" i="13"/>
  <c r="N501" i="13"/>
  <c r="J500" i="13" a="1"/>
  <c r="J500" i="13" s="1"/>
  <c r="K365" i="13" l="1"/>
  <c r="L365" i="13" s="1"/>
  <c r="I366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6" i="13" l="1"/>
  <c r="L366" i="13" s="1"/>
  <c r="I367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7" i="13" l="1"/>
  <c r="L367" i="13" s="1"/>
  <c r="I368" i="13" s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68" i="13" l="1"/>
  <c r="K384" i="14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 l="1"/>
  <c r="I369" i="13" s="1"/>
  <c r="K385" i="14"/>
  <c r="L385" i="14" s="1"/>
  <c r="I386" i="14" s="1"/>
  <c r="M508" i="13"/>
  <c r="M509" i="14"/>
  <c r="N505" i="14"/>
  <c r="J504" i="14" a="1"/>
  <c r="J504" i="14" s="1"/>
  <c r="N506" i="13"/>
  <c r="J505" i="13" a="1"/>
  <c r="J505" i="13" s="1"/>
  <c r="K369" i="13" l="1"/>
  <c r="L369" i="13" s="1"/>
  <c r="I370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0" i="13" l="1"/>
  <c r="L370" i="13" s="1"/>
  <c r="I371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71" i="13" l="1"/>
  <c r="L371" i="13" s="1"/>
  <c r="I372" i="13" s="1"/>
  <c r="K388" i="14"/>
  <c r="L388" i="14" s="1"/>
  <c r="I389" i="14" s="1"/>
  <c r="N508" i="14"/>
  <c r="J507" i="14" a="1"/>
  <c r="J507" i="14" s="1"/>
  <c r="N509" i="13"/>
  <c r="J508" i="13" a="1"/>
  <c r="J508" i="13" s="1"/>
  <c r="M511" i="13"/>
  <c r="M512" i="14"/>
  <c r="K372" i="13" l="1"/>
  <c r="L372" i="13" s="1"/>
  <c r="I373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73" i="13" l="1"/>
  <c r="L373" i="13" s="1"/>
  <c r="I374" i="13" s="1"/>
  <c r="K390" i="14"/>
  <c r="L390" i="14" s="1"/>
  <c r="I391" i="14" s="1"/>
  <c r="M513" i="13"/>
  <c r="J509" i="14" a="1"/>
  <c r="J509" i="14" s="1"/>
  <c r="N510" i="14"/>
  <c r="M514" i="14"/>
  <c r="N511" i="13"/>
  <c r="J510" i="13" a="1"/>
  <c r="J510" i="13" s="1"/>
  <c r="K374" i="13" l="1"/>
  <c r="L374" i="13" s="1"/>
  <c r="I375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75" i="13" l="1"/>
  <c r="L375" i="13" s="1"/>
  <c r="I376" i="13" s="1"/>
  <c r="K392" i="14"/>
  <c r="L392" i="14" s="1"/>
  <c r="I393" i="14" s="1"/>
  <c r="M515" i="13"/>
  <c r="N513" i="13"/>
  <c r="J512" i="13" a="1"/>
  <c r="J512" i="13" s="1"/>
  <c r="M516" i="14"/>
  <c r="J511" i="14" a="1"/>
  <c r="J511" i="14" s="1"/>
  <c r="N512" i="14"/>
  <c r="K376" i="13" l="1"/>
  <c r="L376" i="13" s="1"/>
  <c r="I377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77" i="13" l="1"/>
  <c r="L377" i="13" s="1"/>
  <c r="I378" i="13" s="1"/>
  <c r="K394" i="14"/>
  <c r="J513" i="14" a="1"/>
  <c r="J513" i="14" s="1"/>
  <c r="N514" i="14"/>
  <c r="N515" i="13"/>
  <c r="J514" i="13" a="1"/>
  <c r="J514" i="13" s="1"/>
  <c r="M517" i="13"/>
  <c r="M518" i="14"/>
  <c r="K378" i="13" l="1"/>
  <c r="L378" i="13" s="1"/>
  <c r="I379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79" i="13" l="1"/>
  <c r="L379" i="13" s="1"/>
  <c r="I380" i="13" s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K380" i="13" l="1"/>
  <c r="N518" i="13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 l="1"/>
  <c r="I381" i="13" s="1"/>
  <c r="K397" i="14"/>
  <c r="L397" i="14" s="1"/>
  <c r="I398" i="14" s="1"/>
  <c r="J517" i="14" a="1"/>
  <c r="J517" i="14" s="1"/>
  <c r="N518" i="14"/>
  <c r="M522" i="14"/>
  <c r="M521" i="13"/>
  <c r="N519" i="13"/>
  <c r="J518" i="13" a="1"/>
  <c r="J518" i="13" s="1"/>
  <c r="K381" i="13" l="1"/>
  <c r="K398" i="14"/>
  <c r="L398" i="14" s="1"/>
  <c r="I399" i="14" s="1"/>
  <c r="N520" i="13"/>
  <c r="J519" i="13" a="1"/>
  <c r="J519" i="13" s="1"/>
  <c r="M523" i="14"/>
  <c r="M522" i="13"/>
  <c r="J518" i="14" a="1"/>
  <c r="J518" i="14" s="1"/>
  <c r="N519" i="14"/>
  <c r="L381" i="13" l="1"/>
  <c r="I382" i="13" s="1"/>
  <c r="J519" i="14" a="1"/>
  <c r="J519" i="14" s="1"/>
  <c r="N520" i="14"/>
  <c r="M524" i="14"/>
  <c r="N521" i="13"/>
  <c r="J520" i="13" a="1"/>
  <c r="J520" i="13" s="1"/>
  <c r="M523" i="13"/>
  <c r="K399" i="14"/>
  <c r="L399" i="14" s="1"/>
  <c r="I400" i="14" s="1"/>
  <c r="K382" i="13" l="1"/>
  <c r="L382" i="13" s="1"/>
  <c r="I383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383" i="13" l="1"/>
  <c r="L383" i="13" s="1"/>
  <c r="I384" i="13" s="1"/>
  <c r="K401" i="14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 l="1"/>
  <c r="L384" i="13" s="1"/>
  <c r="I385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385" i="13" l="1"/>
  <c r="L385" i="13" s="1"/>
  <c r="I386" i="13" s="1"/>
  <c r="K403" i="14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 l="1"/>
  <c r="L386" i="13" s="1"/>
  <c r="I387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K387" i="13" l="1"/>
  <c r="L387" i="13" s="1"/>
  <c r="I388" i="13" s="1"/>
  <c r="N527" i="13"/>
  <c r="J526" i="13" a="1"/>
  <c r="J526" i="13" s="1"/>
  <c r="M530" i="14"/>
  <c r="K405" i="14"/>
  <c r="J525" i="14" a="1"/>
  <c r="J525" i="14" s="1"/>
  <c r="N526" i="14"/>
  <c r="M529" i="13"/>
  <c r="K388" i="13" l="1"/>
  <c r="L388" i="13" s="1"/>
  <c r="I389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89" i="13" l="1"/>
  <c r="L389" i="13" s="1"/>
  <c r="I390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390" i="13" l="1"/>
  <c r="L390" i="13" s="1"/>
  <c r="I391" i="13" s="1"/>
  <c r="K407" i="14"/>
  <c r="L407" i="14" s="1"/>
  <c r="I408" i="14" s="1"/>
  <c r="J528" i="14" a="1"/>
  <c r="J528" i="14" s="1"/>
  <c r="N529" i="14"/>
  <c r="M532" i="13"/>
  <c r="N530" i="13"/>
  <c r="J529" i="13" a="1"/>
  <c r="J529" i="13" s="1"/>
  <c r="M533" i="14"/>
  <c r="K391" i="13" l="1"/>
  <c r="L391" i="13" s="1"/>
  <c r="I392" i="13" s="1"/>
  <c r="K408" i="14"/>
  <c r="L408" i="14" s="1"/>
  <c r="I409" i="14" s="1"/>
  <c r="N531" i="13"/>
  <c r="J530" i="13" a="1"/>
  <c r="J530" i="13" s="1"/>
  <c r="M534" i="14"/>
  <c r="M533" i="13"/>
  <c r="J529" i="14" a="1"/>
  <c r="J529" i="14" s="1"/>
  <c r="N530" i="14"/>
  <c r="K392" i="13" l="1"/>
  <c r="K409" i="14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 l="1"/>
  <c r="I393" i="13" s="1"/>
  <c r="K410" i="14"/>
  <c r="L410" i="14" s="1"/>
  <c r="I411" i="14" s="1"/>
  <c r="J531" i="14" a="1"/>
  <c r="J531" i="14" s="1"/>
  <c r="N532" i="14"/>
  <c r="M536" i="14"/>
  <c r="N533" i="13"/>
  <c r="J532" i="13" a="1"/>
  <c r="J532" i="13" s="1"/>
  <c r="M535" i="13"/>
  <c r="K393" i="13" l="1"/>
  <c r="K411" i="14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 l="1"/>
  <c r="I394" i="13" s="1"/>
  <c r="K412" i="14"/>
  <c r="L412" i="14" s="1"/>
  <c r="I413" i="14" s="1"/>
  <c r="J533" i="14" a="1"/>
  <c r="J533" i="14" s="1"/>
  <c r="N534" i="14"/>
  <c r="M537" i="13"/>
  <c r="N535" i="13"/>
  <c r="J534" i="13" a="1"/>
  <c r="J534" i="13" s="1"/>
  <c r="M538" i="14"/>
  <c r="K394" i="13" l="1"/>
  <c r="L394" i="13" s="1"/>
  <c r="I395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395" i="13" l="1"/>
  <c r="L395" i="13" s="1"/>
  <c r="I396" i="13" s="1"/>
  <c r="K414" i="14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 l="1"/>
  <c r="L396" i="13" s="1"/>
  <c r="I397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397" i="13" l="1"/>
  <c r="L397" i="13" s="1"/>
  <c r="I398" i="13" s="1"/>
  <c r="K416" i="14"/>
  <c r="J537" i="14" a="1"/>
  <c r="J537" i="14" s="1"/>
  <c r="N538" i="14"/>
  <c r="M541" i="13"/>
  <c r="N539" i="13"/>
  <c r="J538" i="13" a="1"/>
  <c r="J538" i="13" s="1"/>
  <c r="M542" i="14"/>
  <c r="K398" i="13" l="1"/>
  <c r="L398" i="13" s="1"/>
  <c r="I399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399" i="13" l="1"/>
  <c r="L399" i="13" s="1"/>
  <c r="I400" i="13" s="1"/>
  <c r="M544" i="14"/>
  <c r="J539" i="14" a="1"/>
  <c r="J539" i="14" s="1"/>
  <c r="N540" i="14"/>
  <c r="M543" i="13"/>
  <c r="K417" i="14"/>
  <c r="N541" i="13"/>
  <c r="J540" i="13" a="1"/>
  <c r="J540" i="13" s="1"/>
  <c r="K400" i="13" l="1"/>
  <c r="L400" i="13" s="1"/>
  <c r="I401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1" i="13" l="1"/>
  <c r="L401" i="13" s="1"/>
  <c r="I402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02" i="13" l="1"/>
  <c r="L402" i="13" s="1"/>
  <c r="I403" i="13" s="1"/>
  <c r="K419" i="14"/>
  <c r="L419" i="14" s="1"/>
  <c r="I420" i="14" s="1"/>
  <c r="M546" i="13"/>
  <c r="M547" i="14"/>
  <c r="N544" i="13"/>
  <c r="J543" i="13" a="1"/>
  <c r="J543" i="13" s="1"/>
  <c r="J542" i="14" a="1"/>
  <c r="J542" i="14" s="1"/>
  <c r="N543" i="14"/>
  <c r="K403" i="13" l="1"/>
  <c r="L403" i="13" s="1"/>
  <c r="I404" i="13" s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04" i="13" l="1"/>
  <c r="K421" i="14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 l="1"/>
  <c r="I405" i="13" s="1"/>
  <c r="K422" i="14"/>
  <c r="L422" i="14" s="1"/>
  <c r="I423" i="14" s="1"/>
  <c r="M549" i="13"/>
  <c r="M550" i="14"/>
  <c r="J545" i="14" a="1"/>
  <c r="J545" i="14" s="1"/>
  <c r="N546" i="14"/>
  <c r="N547" i="13"/>
  <c r="J546" i="13" a="1"/>
  <c r="J546" i="13" s="1"/>
  <c r="K405" i="13" l="1"/>
  <c r="K423" i="14"/>
  <c r="L423" i="14" s="1"/>
  <c r="I424" i="14" s="1"/>
  <c r="J546" i="14" a="1"/>
  <c r="J546" i="14" s="1"/>
  <c r="N547" i="14"/>
  <c r="M550" i="13"/>
  <c r="M551" i="14"/>
  <c r="N548" i="13"/>
  <c r="J547" i="13" a="1"/>
  <c r="J547" i="13" s="1"/>
  <c r="L405" i="13" l="1"/>
  <c r="I406" i="13" s="1"/>
  <c r="K424" i="14"/>
  <c r="L424" i="14" s="1"/>
  <c r="I425" i="14" s="1"/>
  <c r="J547" i="14" a="1"/>
  <c r="J547" i="14" s="1"/>
  <c r="N548" i="14"/>
  <c r="M551" i="13"/>
  <c r="N549" i="13"/>
  <c r="J548" i="13" a="1"/>
  <c r="J548" i="13" s="1"/>
  <c r="M552" i="14"/>
  <c r="K406" i="13" l="1"/>
  <c r="L406" i="13" s="1"/>
  <c r="I407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07" i="13" l="1"/>
  <c r="L407" i="13" s="1"/>
  <c r="I408" i="13" s="1"/>
  <c r="K426" i="14"/>
  <c r="L426" i="14" s="1"/>
  <c r="I427" i="14" s="1"/>
  <c r="M554" i="14"/>
  <c r="M553" i="13"/>
  <c r="J549" i="14" a="1"/>
  <c r="J549" i="14" s="1"/>
  <c r="N550" i="14"/>
  <c r="N551" i="13"/>
  <c r="J550" i="13" a="1"/>
  <c r="J550" i="13" s="1"/>
  <c r="K408" i="13" l="1"/>
  <c r="L408" i="13" s="1"/>
  <c r="I409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09" i="13" l="1"/>
  <c r="L409" i="13" s="1"/>
  <c r="I410" i="13" s="1"/>
  <c r="K428" i="14"/>
  <c r="N553" i="13"/>
  <c r="J552" i="13" a="1"/>
  <c r="J552" i="13" s="1"/>
  <c r="J551" i="14" a="1"/>
  <c r="J551" i="14" s="1"/>
  <c r="N552" i="14"/>
  <c r="M556" i="14"/>
  <c r="M555" i="13"/>
  <c r="K410" i="13" l="1"/>
  <c r="L410" i="13" s="1"/>
  <c r="I411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1" i="13" l="1"/>
  <c r="L411" i="13" s="1"/>
  <c r="I412" i="13" s="1"/>
  <c r="K429" i="14"/>
  <c r="J553" i="14" a="1"/>
  <c r="J553" i="14" s="1"/>
  <c r="N554" i="14"/>
  <c r="M558" i="14"/>
  <c r="N555" i="13"/>
  <c r="J554" i="13" a="1"/>
  <c r="J554" i="13" s="1"/>
  <c r="M557" i="13"/>
  <c r="K412" i="13" l="1"/>
  <c r="L412" i="13" s="1"/>
  <c r="I413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3" i="13" l="1"/>
  <c r="L413" i="13" s="1"/>
  <c r="I414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14" i="13" l="1"/>
  <c r="L414" i="13" s="1"/>
  <c r="I415" i="13" s="1"/>
  <c r="K431" i="14"/>
  <c r="L431" i="14" s="1"/>
  <c r="I432" i="14" s="1"/>
  <c r="M561" i="14"/>
  <c r="M560" i="13"/>
  <c r="N558" i="13"/>
  <c r="J557" i="13" a="1"/>
  <c r="J557" i="13" s="1"/>
  <c r="J556" i="14" a="1"/>
  <c r="J556" i="14" s="1"/>
  <c r="N557" i="14"/>
  <c r="K415" i="13" l="1"/>
  <c r="L415" i="13" s="1"/>
  <c r="I416" i="13" s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16" i="13" l="1"/>
  <c r="K433" i="14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 l="1"/>
  <c r="I417" i="13" s="1"/>
  <c r="K434" i="14"/>
  <c r="L434" i="14" s="1"/>
  <c r="I435" i="14" s="1"/>
  <c r="M564" i="14"/>
  <c r="J559" i="14" a="1"/>
  <c r="J559" i="14" s="1"/>
  <c r="N560" i="14"/>
  <c r="M563" i="13"/>
  <c r="N561" i="13"/>
  <c r="J560" i="13" a="1"/>
  <c r="J560" i="13" s="1"/>
  <c r="K417" i="13" l="1"/>
  <c r="K435" i="14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 l="1"/>
  <c r="I418" i="13" s="1"/>
  <c r="K436" i="14"/>
  <c r="L436" i="14" s="1"/>
  <c r="I437" i="14" s="1"/>
  <c r="J561" i="14" a="1"/>
  <c r="J561" i="14" s="1"/>
  <c r="N562" i="14"/>
  <c r="M565" i="13"/>
  <c r="N563" i="13"/>
  <c r="J562" i="13" a="1"/>
  <c r="J562" i="13" s="1"/>
  <c r="M566" i="14"/>
  <c r="K418" i="13" l="1"/>
  <c r="L418" i="13" s="1"/>
  <c r="I419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19" i="13" l="1"/>
  <c r="L419" i="13" s="1"/>
  <c r="I420" i="13" s="1"/>
  <c r="K438" i="14"/>
  <c r="L438" i="14" s="1"/>
  <c r="I439" i="14" s="1"/>
  <c r="M568" i="14"/>
  <c r="N565" i="13"/>
  <c r="J564" i="13" a="1"/>
  <c r="J564" i="13" s="1"/>
  <c r="J563" i="14" a="1"/>
  <c r="J563" i="14" s="1"/>
  <c r="N564" i="14"/>
  <c r="M567" i="13"/>
  <c r="K420" i="13" l="1"/>
  <c r="L420" i="13" s="1"/>
  <c r="I421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21" i="13" l="1"/>
  <c r="L421" i="13" s="1"/>
  <c r="I422" i="13" s="1"/>
  <c r="K440" i="14"/>
  <c r="M570" i="14"/>
  <c r="N567" i="13"/>
  <c r="J566" i="13" a="1"/>
  <c r="J566" i="13" s="1"/>
  <c r="J565" i="14" a="1"/>
  <c r="J565" i="14" s="1"/>
  <c r="N566" i="14"/>
  <c r="M569" i="13"/>
  <c r="K422" i="13" l="1"/>
  <c r="L422" i="13" s="1"/>
  <c r="I423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3" i="13" l="1"/>
  <c r="L423" i="13" s="1"/>
  <c r="I424" i="13" s="1"/>
  <c r="M572" i="14"/>
  <c r="N569" i="13"/>
  <c r="J568" i="13" a="1"/>
  <c r="J568" i="13" s="1"/>
  <c r="K441" i="14"/>
  <c r="J567" i="14" a="1"/>
  <c r="J567" i="14" s="1"/>
  <c r="N568" i="14"/>
  <c r="M571" i="13"/>
  <c r="K424" i="13" l="1"/>
  <c r="L424" i="13" s="1"/>
  <c r="I425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5" i="13" l="1"/>
  <c r="L425" i="13" s="1"/>
  <c r="I426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26" i="13" l="1"/>
  <c r="L426" i="13" s="1"/>
  <c r="I427" i="13" s="1"/>
  <c r="K443" i="14"/>
  <c r="L443" i="14" s="1"/>
  <c r="I444" i="14" s="1"/>
  <c r="M575" i="14"/>
  <c r="M574" i="13"/>
  <c r="J570" i="14" a="1"/>
  <c r="J570" i="14" s="1"/>
  <c r="N571" i="14"/>
  <c r="N572" i="13"/>
  <c r="J571" i="13" a="1"/>
  <c r="J571" i="13" s="1"/>
  <c r="K427" i="13" l="1"/>
  <c r="L427" i="13" s="1"/>
  <c r="I428" i="13" s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28" i="13" l="1"/>
  <c r="K445" i="14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 l="1"/>
  <c r="I429" i="13" s="1"/>
  <c r="K446" i="14"/>
  <c r="L446" i="14" s="1"/>
  <c r="I447" i="14" s="1"/>
  <c r="J573" i="14" a="1"/>
  <c r="J573" i="14" s="1"/>
  <c r="N574" i="14"/>
  <c r="N575" i="13"/>
  <c r="J574" i="13" a="1"/>
  <c r="J574" i="13" s="1"/>
  <c r="M578" i="14"/>
  <c r="M577" i="13"/>
  <c r="K429" i="13" l="1"/>
  <c r="L429" i="13" s="1"/>
  <c r="I430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0" i="13" l="1"/>
  <c r="L430" i="13" s="1"/>
  <c r="I431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1" i="13" l="1"/>
  <c r="L431" i="13" s="1"/>
  <c r="I432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32" i="13" l="1"/>
  <c r="L432" i="13" s="1"/>
  <c r="I433" i="13" s="1"/>
  <c r="K450" i="14"/>
  <c r="L450" i="14" s="1"/>
  <c r="I451" i="14" s="1"/>
  <c r="J577" i="14" a="1"/>
  <c r="J577" i="14" s="1"/>
  <c r="N578" i="14"/>
  <c r="M581" i="13"/>
  <c r="M582" i="14"/>
  <c r="N579" i="13"/>
  <c r="J578" i="13" a="1"/>
  <c r="J578" i="13" s="1"/>
  <c r="K433" i="13" l="1"/>
  <c r="L433" i="13" s="1"/>
  <c r="I434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34" i="13" l="1"/>
  <c r="L434" i="13" s="1"/>
  <c r="I435" i="13" s="1"/>
  <c r="K452" i="14"/>
  <c r="M584" i="14"/>
  <c r="M583" i="13"/>
  <c r="J579" i="14" a="1"/>
  <c r="J579" i="14" s="1"/>
  <c r="N580" i="14"/>
  <c r="N581" i="13"/>
  <c r="J580" i="13" a="1"/>
  <c r="J580" i="13" s="1"/>
  <c r="K435" i="13" l="1"/>
  <c r="L435" i="13" s="1"/>
  <c r="I436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6" i="13" l="1"/>
  <c r="L436" i="13" s="1"/>
  <c r="I437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37" i="13" l="1"/>
  <c r="L437" i="13" s="1"/>
  <c r="I438" i="13" s="1"/>
  <c r="K454" i="14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 l="1"/>
  <c r="L438" i="13" s="1"/>
  <c r="I439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39" i="13" l="1"/>
  <c r="L439" i="13" s="1"/>
  <c r="I440" i="13" s="1"/>
  <c r="K456" i="14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 l="1"/>
  <c r="L440" i="13" s="1"/>
  <c r="I441" i="13" s="1"/>
  <c r="K457" i="14"/>
  <c r="L457" i="14" s="1"/>
  <c r="I458" i="14" s="1"/>
  <c r="M589" i="13"/>
  <c r="N587" i="13"/>
  <c r="J586" i="13" a="1"/>
  <c r="J586" i="13" s="1"/>
  <c r="J585" i="14" a="1"/>
  <c r="J585" i="14" s="1"/>
  <c r="N586" i="14"/>
  <c r="M590" i="14"/>
  <c r="K441" i="13" l="1"/>
  <c r="L441" i="13" s="1"/>
  <c r="I442" i="13" s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42" i="13" l="1"/>
  <c r="K459" i="14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 l="1"/>
  <c r="I443" i="13" s="1"/>
  <c r="K460" i="14"/>
  <c r="L460" i="14" s="1"/>
  <c r="I461" i="14" s="1"/>
  <c r="M592" i="13"/>
  <c r="M593" i="14"/>
  <c r="J588" i="14" a="1"/>
  <c r="J588" i="14" s="1"/>
  <c r="N589" i="14"/>
  <c r="N590" i="13"/>
  <c r="J589" i="13" a="1"/>
  <c r="J589" i="13" s="1"/>
  <c r="K443" i="13" l="1"/>
  <c r="L443" i="13" s="1"/>
  <c r="I444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44" i="13" l="1"/>
  <c r="L444" i="13" s="1"/>
  <c r="I445" i="13" s="1"/>
  <c r="K462" i="14"/>
  <c r="L462" i="14" s="1"/>
  <c r="I463" i="14" s="1"/>
  <c r="M595" i="14"/>
  <c r="M594" i="13"/>
  <c r="J590" i="14" a="1"/>
  <c r="J590" i="14" s="1"/>
  <c r="N591" i="14"/>
  <c r="N592" i="13"/>
  <c r="J591" i="13" a="1"/>
  <c r="J591" i="13" s="1"/>
  <c r="K445" i="13" l="1"/>
  <c r="L445" i="13" s="1"/>
  <c r="I446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46" i="13" l="1"/>
  <c r="L446" i="13" s="1"/>
  <c r="I447" i="13" s="1"/>
  <c r="K464" i="14"/>
  <c r="M597" i="14"/>
  <c r="N594" i="13"/>
  <c r="J593" i="13" a="1"/>
  <c r="J593" i="13" s="1"/>
  <c r="J592" i="14" a="1"/>
  <c r="J592" i="14" s="1"/>
  <c r="N593" i="14"/>
  <c r="M596" i="13"/>
  <c r="K447" i="13" l="1"/>
  <c r="L447" i="13" s="1"/>
  <c r="I448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8" i="13" l="1"/>
  <c r="L448" i="13" s="1"/>
  <c r="I449" i="13" s="1"/>
  <c r="M598" i="13"/>
  <c r="K465" i="14"/>
  <c r="M599" i="14"/>
  <c r="J594" i="14" a="1"/>
  <c r="J594" i="14" s="1"/>
  <c r="N595" i="14"/>
  <c r="N596" i="13"/>
  <c r="J595" i="13" a="1"/>
  <c r="J595" i="13" s="1"/>
  <c r="K449" i="13" l="1"/>
  <c r="L449" i="13" s="1"/>
  <c r="I450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0" i="13" l="1"/>
  <c r="L450" i="13" s="1"/>
  <c r="I451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K451" i="13" l="1"/>
  <c r="L451" i="13" s="1"/>
  <c r="I452" i="13" s="1"/>
  <c r="M602" i="14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52" i="13" l="1"/>
  <c r="L452" i="13" s="1"/>
  <c r="I453" i="13" s="1"/>
  <c r="K468" i="14"/>
  <c r="L468" i="14" s="1"/>
  <c r="I469" i="14" s="1"/>
  <c r="M602" i="13"/>
  <c r="J598" i="14" a="1"/>
  <c r="J598" i="14" s="1"/>
  <c r="N599" i="14"/>
  <c r="M603" i="14"/>
  <c r="N600" i="13"/>
  <c r="J599" i="13" a="1"/>
  <c r="J599" i="13" s="1"/>
  <c r="K453" i="13" l="1"/>
  <c r="L453" i="13" s="1"/>
  <c r="I454" i="13" s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54" i="13" l="1"/>
  <c r="K470" i="14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 l="1"/>
  <c r="I455" i="13" s="1"/>
  <c r="K471" i="14"/>
  <c r="L471" i="14" s="1"/>
  <c r="I472" i="14" s="1"/>
  <c r="M606" i="14"/>
  <c r="M605" i="13"/>
  <c r="J601" i="14" a="1"/>
  <c r="J601" i="14" s="1"/>
  <c r="N602" i="14"/>
  <c r="N603" i="13"/>
  <c r="J602" i="13" a="1"/>
  <c r="J602" i="13" s="1"/>
  <c r="K455" i="13" l="1"/>
  <c r="L455" i="13" s="1"/>
  <c r="I456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56" i="13" l="1"/>
  <c r="L456" i="13" s="1"/>
  <c r="I457" i="13" s="1"/>
  <c r="K473" i="14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 l="1"/>
  <c r="L457" i="13" s="1"/>
  <c r="I458" i="13" s="1"/>
  <c r="K474" i="14"/>
  <c r="L474" i="14" s="1"/>
  <c r="I475" i="14" s="1"/>
  <c r="J604" i="14" a="1"/>
  <c r="J604" i="14" s="1"/>
  <c r="N605" i="14"/>
  <c r="M609" i="14"/>
  <c r="M608" i="13"/>
  <c r="N606" i="13"/>
  <c r="J605" i="13" a="1"/>
  <c r="J605" i="13" s="1"/>
  <c r="K458" i="13" l="1"/>
  <c r="L458" i="13" s="1"/>
  <c r="I459" i="13" s="1"/>
  <c r="K475" i="14"/>
  <c r="L475" i="14" s="1"/>
  <c r="I476" i="14" s="1"/>
  <c r="M610" i="14"/>
  <c r="J605" i="14" a="1"/>
  <c r="J605" i="14" s="1"/>
  <c r="N606" i="14"/>
  <c r="N607" i="13"/>
  <c r="J606" i="13" a="1"/>
  <c r="J606" i="13" s="1"/>
  <c r="M609" i="13"/>
  <c r="K459" i="13" l="1"/>
  <c r="L459" i="13" s="1"/>
  <c r="I460" i="13" s="1"/>
  <c r="K476" i="14"/>
  <c r="L476" i="14" s="1"/>
  <c r="I477" i="14" s="1"/>
  <c r="J606" i="14" a="1"/>
  <c r="J606" i="14" s="1"/>
  <c r="N607" i="14"/>
  <c r="M611" i="14"/>
  <c r="M610" i="13"/>
  <c r="N608" i="13"/>
  <c r="J607" i="13" a="1"/>
  <c r="J607" i="13" s="1"/>
  <c r="K460" i="13" l="1"/>
  <c r="L460" i="13" s="1"/>
  <c r="I461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1" i="13" l="1"/>
  <c r="L461" i="13" s="1"/>
  <c r="I462" i="13" s="1"/>
  <c r="K478" i="14"/>
  <c r="M613" i="14"/>
  <c r="J608" i="14" a="1"/>
  <c r="J608" i="14" s="1"/>
  <c r="N609" i="14"/>
  <c r="M612" i="13"/>
  <c r="N610" i="13"/>
  <c r="J609" i="13" a="1"/>
  <c r="J609" i="13" s="1"/>
  <c r="K462" i="13" l="1"/>
  <c r="L462" i="13" s="1"/>
  <c r="I463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3" i="13" l="1"/>
  <c r="L463" i="13" s="1"/>
  <c r="I464" i="13" s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64" i="13" l="1"/>
  <c r="K480" i="14"/>
  <c r="L480" i="14" s="1"/>
  <c r="I481" i="14" s="1"/>
  <c r="N613" i="13"/>
  <c r="J612" i="13" a="1"/>
  <c r="J612" i="13" s="1"/>
  <c r="J611" i="14" a="1"/>
  <c r="J611" i="14" s="1"/>
  <c r="N612" i="14"/>
  <c r="M616" i="14"/>
  <c r="M615" i="13"/>
  <c r="L464" i="13" l="1"/>
  <c r="I465" i="13" s="1"/>
  <c r="K481" i="14"/>
  <c r="L481" i="14" s="1"/>
  <c r="I482" i="14" s="1"/>
  <c r="J612" i="14" a="1"/>
  <c r="J612" i="14" s="1"/>
  <c r="N613" i="14"/>
  <c r="M617" i="14"/>
  <c r="M616" i="13"/>
  <c r="N614" i="13"/>
  <c r="J613" i="13" a="1"/>
  <c r="J613" i="13" s="1"/>
  <c r="K465" i="13" l="1"/>
  <c r="K482" i="14"/>
  <c r="L482" i="14" s="1"/>
  <c r="I483" i="14" s="1"/>
  <c r="N615" i="13"/>
  <c r="J614" i="13" a="1"/>
  <c r="J614" i="13" s="1"/>
  <c r="M617" i="13"/>
  <c r="J613" i="14" a="1"/>
  <c r="J613" i="14" s="1"/>
  <c r="N614" i="14"/>
  <c r="M618" i="14"/>
  <c r="L465" i="13" l="1"/>
  <c r="I466" i="13" s="1"/>
  <c r="K483" i="14"/>
  <c r="L483" i="14" s="1"/>
  <c r="I484" i="14" s="1"/>
  <c r="M619" i="14"/>
  <c r="N616" i="13"/>
  <c r="J615" i="13" a="1"/>
  <c r="J615" i="13" s="1"/>
  <c r="M618" i="13"/>
  <c r="J614" i="14" a="1"/>
  <c r="J614" i="14" s="1"/>
  <c r="N615" i="14"/>
  <c r="K466" i="13" l="1"/>
  <c r="L466" i="13" s="1"/>
  <c r="I467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67" i="13" l="1"/>
  <c r="L467" i="13" s="1"/>
  <c r="I468" i="13" s="1"/>
  <c r="K485" i="14"/>
  <c r="L485" i="14" s="1"/>
  <c r="I486" i="14" s="1"/>
  <c r="N618" i="13"/>
  <c r="J617" i="13" a="1"/>
  <c r="J617" i="13" s="1"/>
  <c r="M621" i="14"/>
  <c r="J616" i="14" a="1"/>
  <c r="J616" i="14" s="1"/>
  <c r="N617" i="14"/>
  <c r="M620" i="13"/>
  <c r="K468" i="13" l="1"/>
  <c r="L468" i="13" s="1"/>
  <c r="I469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69" i="13" l="1"/>
  <c r="L469" i="13" s="1"/>
  <c r="I470" i="13" s="1"/>
  <c r="K487" i="14"/>
  <c r="L487" i="14" s="1"/>
  <c r="I488" i="14" s="1"/>
  <c r="M623" i="14"/>
  <c r="N620" i="13"/>
  <c r="J619" i="13" a="1"/>
  <c r="J619" i="13" s="1"/>
  <c r="J618" i="14" a="1"/>
  <c r="J618" i="14" s="1"/>
  <c r="N619" i="14"/>
  <c r="M622" i="13"/>
  <c r="K470" i="13" l="1"/>
  <c r="L470" i="13" s="1"/>
  <c r="I471" i="13" s="1"/>
  <c r="K488" i="14"/>
  <c r="M623" i="13"/>
  <c r="N621" i="13"/>
  <c r="J620" i="13" a="1"/>
  <c r="J620" i="13" s="1"/>
  <c r="M624" i="14"/>
  <c r="J619" i="14" a="1"/>
  <c r="J619" i="14" s="1"/>
  <c r="N620" i="14"/>
  <c r="K471" i="13" l="1"/>
  <c r="L471" i="13" s="1"/>
  <c r="I472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2" i="13" l="1"/>
  <c r="L472" i="13" s="1"/>
  <c r="I473" i="13" s="1"/>
  <c r="M626" i="14"/>
  <c r="M625" i="13"/>
  <c r="K489" i="14"/>
  <c r="N623" i="13"/>
  <c r="J622" i="13" a="1"/>
  <c r="J622" i="13" s="1"/>
  <c r="J621" i="14" a="1"/>
  <c r="J621" i="14" s="1"/>
  <c r="N622" i="14"/>
  <c r="K473" i="13" l="1"/>
  <c r="L473" i="13" s="1"/>
  <c r="I474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4" i="13" l="1"/>
  <c r="L474" i="13" s="1"/>
  <c r="I475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75" i="13" l="1"/>
  <c r="L475" i="13" s="1"/>
  <c r="I476" i="13" s="1"/>
  <c r="K491" i="14"/>
  <c r="L491" i="14" s="1"/>
  <c r="I492" i="14" s="1"/>
  <c r="M628" i="13"/>
  <c r="M629" i="14"/>
  <c r="J624" i="14" a="1"/>
  <c r="J624" i="14" s="1"/>
  <c r="N625" i="14"/>
  <c r="N626" i="13"/>
  <c r="J625" i="13" a="1"/>
  <c r="J625" i="13" s="1"/>
  <c r="K476" i="13" l="1"/>
  <c r="K492" i="14"/>
  <c r="L492" i="14" s="1"/>
  <c r="I493" i="14" s="1"/>
  <c r="J625" i="14" a="1"/>
  <c r="J625" i="14" s="1"/>
  <c r="N626" i="14"/>
  <c r="M629" i="13"/>
  <c r="M630" i="14"/>
  <c r="N627" i="13"/>
  <c r="J626" i="13" a="1"/>
  <c r="J626" i="13" s="1"/>
  <c r="L476" i="13" l="1"/>
  <c r="I477" i="13" s="1"/>
  <c r="K493" i="14"/>
  <c r="L493" i="14" s="1"/>
  <c r="I494" i="14" s="1"/>
  <c r="M630" i="13"/>
  <c r="N628" i="13"/>
  <c r="J627" i="13" a="1"/>
  <c r="J627" i="13" s="1"/>
  <c r="M631" i="14"/>
  <c r="J626" i="14" a="1"/>
  <c r="J626" i="14" s="1"/>
  <c r="N627" i="14"/>
  <c r="K477" i="13" l="1"/>
  <c r="L477" i="13" s="1"/>
  <c r="I478" i="13" s="1"/>
  <c r="M631" i="13"/>
  <c r="J627" i="14" a="1"/>
  <c r="J627" i="14" s="1"/>
  <c r="N628" i="14"/>
  <c r="N629" i="13"/>
  <c r="J628" i="13" a="1"/>
  <c r="J628" i="13" s="1"/>
  <c r="M632" i="14"/>
  <c r="K494" i="14"/>
  <c r="L494" i="14" s="1"/>
  <c r="I495" i="14" s="1"/>
  <c r="K478" i="13" l="1"/>
  <c r="L478" i="13" s="1"/>
  <c r="I479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79" i="13" l="1"/>
  <c r="L479" i="13" s="1"/>
  <c r="I480" i="13" s="1"/>
  <c r="K496" i="14"/>
  <c r="L496" i="14" s="1"/>
  <c r="I497" i="14" s="1"/>
  <c r="J629" i="14" a="1"/>
  <c r="J629" i="14" s="1"/>
  <c r="N630" i="14"/>
  <c r="N631" i="13"/>
  <c r="J630" i="13" a="1"/>
  <c r="J630" i="13" s="1"/>
  <c r="M634" i="14"/>
  <c r="M633" i="13"/>
  <c r="K480" i="13" l="1"/>
  <c r="L480" i="13" s="1"/>
  <c r="I481" i="13" s="1"/>
  <c r="K497" i="14"/>
  <c r="L497" i="14" s="1"/>
  <c r="I498" i="14" s="1"/>
  <c r="M635" i="14"/>
  <c r="J630" i="14" a="1"/>
  <c r="J630" i="14" s="1"/>
  <c r="N631" i="14"/>
  <c r="M634" i="13"/>
  <c r="N632" i="13"/>
  <c r="J631" i="13" a="1"/>
  <c r="J631" i="13" s="1"/>
  <c r="K481" i="13" l="1"/>
  <c r="L481" i="13" s="1"/>
  <c r="I482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82" i="13" l="1"/>
  <c r="L482" i="13" s="1"/>
  <c r="I483" i="13" s="1"/>
  <c r="K499" i="14"/>
  <c r="L499" i="14" s="1"/>
  <c r="I500" i="14" s="1"/>
  <c r="M636" i="13"/>
  <c r="N634" i="13"/>
  <c r="J633" i="13" a="1"/>
  <c r="J633" i="13" s="1"/>
  <c r="M637" i="14"/>
  <c r="J632" i="14" a="1"/>
  <c r="J632" i="14" s="1"/>
  <c r="N633" i="14"/>
  <c r="K483" i="13" l="1"/>
  <c r="L483" i="13" s="1"/>
  <c r="I484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484" i="13" l="1"/>
  <c r="L484" i="13" s="1"/>
  <c r="I485" i="13" s="1"/>
  <c r="K501" i="14"/>
  <c r="L501" i="14" s="1"/>
  <c r="I502" i="14" s="1"/>
  <c r="J634" i="14" a="1"/>
  <c r="J634" i="14" s="1"/>
  <c r="N635" i="14"/>
  <c r="M639" i="14"/>
  <c r="M638" i="13"/>
  <c r="N636" i="13"/>
  <c r="J635" i="13" a="1"/>
  <c r="J635" i="13" s="1"/>
  <c r="K485" i="13" l="1"/>
  <c r="L485" i="13" s="1"/>
  <c r="I486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486" i="13" l="1"/>
  <c r="L486" i="13" s="1"/>
  <c r="I487" i="13" s="1"/>
  <c r="K503" i="14"/>
  <c r="L503" i="14" s="1"/>
  <c r="I504" i="14" s="1"/>
  <c r="M641" i="14"/>
  <c r="M640" i="13"/>
  <c r="J636" i="14" a="1"/>
  <c r="J636" i="14" s="1"/>
  <c r="N637" i="14"/>
  <c r="N638" i="13"/>
  <c r="J637" i="13" a="1"/>
  <c r="J637" i="13" s="1"/>
  <c r="K487" i="13" l="1"/>
  <c r="L487" i="13" s="1"/>
  <c r="I488" i="13" s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488" i="13" l="1"/>
  <c r="K505" i="14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 l="1"/>
  <c r="I489" i="13" s="1"/>
  <c r="K506" i="14"/>
  <c r="L506" i="14" s="1"/>
  <c r="I507" i="14" s="1"/>
  <c r="J639" i="14" a="1"/>
  <c r="J639" i="14" s="1"/>
  <c r="N640" i="14"/>
  <c r="M644" i="14"/>
  <c r="M643" i="13"/>
  <c r="N641" i="13"/>
  <c r="J640" i="13" a="1"/>
  <c r="J640" i="13" s="1"/>
  <c r="K489" i="13" l="1"/>
  <c r="K507" i="14"/>
  <c r="L507" i="14" s="1"/>
  <c r="I508" i="14" s="1"/>
  <c r="M645" i="14"/>
  <c r="N642" i="13"/>
  <c r="J641" i="13" a="1"/>
  <c r="J641" i="13" s="1"/>
  <c r="M644" i="13"/>
  <c r="J640" i="14" a="1"/>
  <c r="J640" i="14" s="1"/>
  <c r="N641" i="14"/>
  <c r="L489" i="13" l="1"/>
  <c r="I490" i="13" s="1"/>
  <c r="K508" i="14"/>
  <c r="L508" i="14" s="1"/>
  <c r="I509" i="14" s="1"/>
  <c r="J641" i="14" a="1"/>
  <c r="J641" i="14" s="1"/>
  <c r="N642" i="14"/>
  <c r="M646" i="14"/>
  <c r="M645" i="13"/>
  <c r="N643" i="13"/>
  <c r="J642" i="13" a="1"/>
  <c r="J642" i="13" s="1"/>
  <c r="K490" i="13" l="1"/>
  <c r="L490" i="13" s="1"/>
  <c r="I491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491" i="13" l="1"/>
  <c r="L491" i="13" s="1"/>
  <c r="I492" i="13" s="1"/>
  <c r="K510" i="14"/>
  <c r="L510" i="14" s="1"/>
  <c r="I511" i="14" s="1"/>
  <c r="M647" i="13"/>
  <c r="J643" i="14" a="1"/>
  <c r="J643" i="14" s="1"/>
  <c r="N644" i="14"/>
  <c r="M648" i="14"/>
  <c r="N645" i="13"/>
  <c r="J644" i="13" a="1"/>
  <c r="J644" i="13" s="1"/>
  <c r="K492" i="13" l="1"/>
  <c r="L492" i="13" s="1"/>
  <c r="I493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493" i="13" l="1"/>
  <c r="L493" i="13" s="1"/>
  <c r="I494" i="13" s="1"/>
  <c r="K512" i="14"/>
  <c r="N647" i="13"/>
  <c r="J646" i="13" a="1"/>
  <c r="J646" i="13" s="1"/>
  <c r="M650" i="14"/>
  <c r="J645" i="14" a="1"/>
  <c r="J645" i="14" s="1"/>
  <c r="N646" i="14"/>
  <c r="M649" i="13"/>
  <c r="K494" i="13" l="1"/>
  <c r="L494" i="13" s="1"/>
  <c r="I495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5" i="13" l="1"/>
  <c r="L495" i="13" s="1"/>
  <c r="I496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6" i="13" l="1"/>
  <c r="L496" i="13" s="1"/>
  <c r="I497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497" i="13" l="1"/>
  <c r="L497" i="13" s="1"/>
  <c r="I498" i="13" s="1"/>
  <c r="K515" i="14"/>
  <c r="L515" i="14" s="1"/>
  <c r="I516" i="14" s="1"/>
  <c r="N651" i="13"/>
  <c r="J650" i="13" a="1"/>
  <c r="J650" i="13" s="1"/>
  <c r="M653" i="13"/>
  <c r="J649" i="14" a="1"/>
  <c r="J649" i="14" s="1"/>
  <c r="N650" i="14"/>
  <c r="M654" i="14"/>
  <c r="K498" i="13" l="1"/>
  <c r="L498" i="13" s="1"/>
  <c r="I499" i="13" s="1"/>
  <c r="K516" i="14"/>
  <c r="L516" i="14" s="1"/>
  <c r="I517" i="14" s="1"/>
  <c r="M655" i="14"/>
  <c r="M654" i="13"/>
  <c r="J650" i="14" a="1"/>
  <c r="J650" i="14" s="1"/>
  <c r="N651" i="14"/>
  <c r="N652" i="13"/>
  <c r="J651" i="13" a="1"/>
  <c r="J651" i="13" s="1"/>
  <c r="K499" i="13" l="1"/>
  <c r="L499" i="13" s="1"/>
  <c r="I500" i="13" s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00" i="13" l="1"/>
  <c r="K518" i="14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 l="1"/>
  <c r="I501" i="13" s="1"/>
  <c r="K519" i="14"/>
  <c r="L519" i="14" s="1"/>
  <c r="I520" i="14" s="1"/>
  <c r="M657" i="13"/>
  <c r="M658" i="14"/>
  <c r="N655" i="13"/>
  <c r="J654" i="13" a="1"/>
  <c r="J654" i="13" s="1"/>
  <c r="J653" i="14" a="1"/>
  <c r="J653" i="14" s="1"/>
  <c r="N654" i="14"/>
  <c r="K501" i="13" l="1"/>
  <c r="K520" i="14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 l="1"/>
  <c r="I502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2" i="13" l="1"/>
  <c r="L502" i="13" s="1"/>
  <c r="I503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03" i="13" l="1"/>
  <c r="L503" i="13" s="1"/>
  <c r="I504" i="13" s="1"/>
  <c r="K523" i="14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 l="1"/>
  <c r="L504" i="13" s="1"/>
  <c r="I505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05" i="13" l="1"/>
  <c r="L505" i="13" s="1"/>
  <c r="I506" i="13" s="1"/>
  <c r="K525" i="14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 l="1"/>
  <c r="L506" i="13" s="1"/>
  <c r="I507" i="13" s="1"/>
  <c r="K526" i="14"/>
  <c r="M665" i="14"/>
  <c r="J660" i="14" a="1"/>
  <c r="J660" i="14" s="1"/>
  <c r="N661" i="14"/>
  <c r="N662" i="13"/>
  <c r="J661" i="13" a="1"/>
  <c r="J661" i="13" s="1"/>
  <c r="M664" i="13"/>
  <c r="K507" i="13" l="1"/>
  <c r="L507" i="13" s="1"/>
  <c r="I508" i="13" s="1"/>
  <c r="M665" i="13"/>
  <c r="J661" i="14" a="1"/>
  <c r="J661" i="14" s="1"/>
  <c r="N662" i="14"/>
  <c r="M666" i="14"/>
  <c r="N663" i="13"/>
  <c r="J662" i="13" a="1"/>
  <c r="J662" i="13" s="1"/>
  <c r="L526" i="14"/>
  <c r="I527" i="14" s="1"/>
  <c r="K508" i="13" l="1"/>
  <c r="L508" i="13" s="1"/>
  <c r="I509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09" i="13" l="1"/>
  <c r="L509" i="13" s="1"/>
  <c r="I510" i="13" s="1"/>
  <c r="K528" i="14"/>
  <c r="L528" i="14" s="1"/>
  <c r="I529" i="14" s="1"/>
  <c r="M668" i="14"/>
  <c r="N665" i="13"/>
  <c r="J664" i="13" a="1"/>
  <c r="J664" i="13" s="1"/>
  <c r="J663" i="14" a="1"/>
  <c r="J663" i="14" s="1"/>
  <c r="N664" i="14"/>
  <c r="M667" i="13"/>
  <c r="K510" i="13" l="1"/>
  <c r="L510" i="13" s="1"/>
  <c r="I511" i="13" s="1"/>
  <c r="K529" i="14"/>
  <c r="L529" i="14" s="1"/>
  <c r="I530" i="14" s="1"/>
  <c r="N666" i="13"/>
  <c r="J665" i="13" a="1"/>
  <c r="J665" i="13" s="1"/>
  <c r="M668" i="13"/>
  <c r="J664" i="14" a="1"/>
  <c r="J664" i="14" s="1"/>
  <c r="N665" i="14"/>
  <c r="M669" i="14"/>
  <c r="K511" i="13" l="1"/>
  <c r="L511" i="13" s="1"/>
  <c r="I512" i="13" s="1"/>
  <c r="K530" i="14"/>
  <c r="L530" i="14" s="1"/>
  <c r="I531" i="14" s="1"/>
  <c r="J665" i="14" a="1"/>
  <c r="J665" i="14" s="1"/>
  <c r="N666" i="14"/>
  <c r="M670" i="14"/>
  <c r="M669" i="13"/>
  <c r="N667" i="13"/>
  <c r="J666" i="13" a="1"/>
  <c r="J666" i="13" s="1"/>
  <c r="K512" i="13" l="1"/>
  <c r="K531" i="14"/>
  <c r="L531" i="14" s="1"/>
  <c r="I532" i="14" s="1"/>
  <c r="N668" i="13"/>
  <c r="J667" i="13" a="1"/>
  <c r="J667" i="13" s="1"/>
  <c r="M670" i="13"/>
  <c r="J666" i="14" a="1"/>
  <c r="J666" i="14" s="1"/>
  <c r="N667" i="14"/>
  <c r="M671" i="14"/>
  <c r="L512" i="13" l="1"/>
  <c r="I513" i="13" s="1"/>
  <c r="N669" i="13"/>
  <c r="J668" i="13" a="1"/>
  <c r="J668" i="13" s="1"/>
  <c r="M672" i="14"/>
  <c r="M671" i="13"/>
  <c r="J667" i="14" a="1"/>
  <c r="J667" i="14" s="1"/>
  <c r="N668" i="14"/>
  <c r="K532" i="14"/>
  <c r="L532" i="14" s="1"/>
  <c r="I533" i="14" s="1"/>
  <c r="K513" i="13" l="1"/>
  <c r="K533" i="14"/>
  <c r="L533" i="14" s="1"/>
  <c r="I534" i="14" s="1"/>
  <c r="J668" i="14" a="1"/>
  <c r="J668" i="14" s="1"/>
  <c r="N669" i="14"/>
  <c r="M673" i="14"/>
  <c r="M672" i="13"/>
  <c r="N670" i="13"/>
  <c r="J669" i="13" a="1"/>
  <c r="J669" i="13" s="1"/>
  <c r="L513" i="13" l="1"/>
  <c r="I514" i="13" s="1"/>
  <c r="K534" i="14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 l="1"/>
  <c r="L514" i="13" s="1"/>
  <c r="I515" i="13" s="1"/>
  <c r="K535" i="14"/>
  <c r="L535" i="14" s="1"/>
  <c r="I536" i="14" s="1"/>
  <c r="J670" i="14" a="1"/>
  <c r="J670" i="14" s="1"/>
  <c r="N671" i="14"/>
  <c r="M674" i="13"/>
  <c r="N672" i="13"/>
  <c r="J671" i="13" a="1"/>
  <c r="J671" i="13" s="1"/>
  <c r="M675" i="14"/>
  <c r="K515" i="13" l="1"/>
  <c r="L515" i="13" s="1"/>
  <c r="I516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16" i="13" l="1"/>
  <c r="L516" i="13" s="1"/>
  <c r="I517" i="13" s="1"/>
  <c r="K537" i="14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 l="1"/>
  <c r="L517" i="13" s="1"/>
  <c r="I518" i="13" s="1"/>
  <c r="K538" i="14"/>
  <c r="J673" i="14" a="1"/>
  <c r="J673" i="14" s="1"/>
  <c r="N674" i="14"/>
  <c r="M677" i="13"/>
  <c r="M678" i="14"/>
  <c r="N675" i="13"/>
  <c r="J674" i="13" a="1"/>
  <c r="J674" i="13" s="1"/>
  <c r="K518" i="13" l="1"/>
  <c r="L518" i="13" s="1"/>
  <c r="I519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K519" i="13" l="1"/>
  <c r="L519" i="13" s="1"/>
  <c r="I520" i="13" s="1"/>
  <c r="M680" i="14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20" i="13" l="1"/>
  <c r="L520" i="13" s="1"/>
  <c r="I521" i="13" s="1"/>
  <c r="K540" i="14"/>
  <c r="L540" i="14" s="1"/>
  <c r="I541" i="14" s="1"/>
  <c r="M680" i="13"/>
  <c r="N678" i="13"/>
  <c r="J677" i="13" a="1"/>
  <c r="J677" i="13" s="1"/>
  <c r="J676" i="14" a="1"/>
  <c r="J676" i="14" s="1"/>
  <c r="N677" i="14"/>
  <c r="M681" i="14"/>
  <c r="K521" i="13" l="1"/>
  <c r="L521" i="13" s="1"/>
  <c r="I522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2" i="13" l="1"/>
  <c r="L522" i="13" s="1"/>
  <c r="I523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23" i="13" l="1"/>
  <c r="L523" i="13" s="1"/>
  <c r="I524" i="13" s="1"/>
  <c r="K543" i="14"/>
  <c r="L543" i="14" s="1"/>
  <c r="I544" i="14" s="1"/>
  <c r="N681" i="13"/>
  <c r="J680" i="13" a="1"/>
  <c r="J680" i="13" s="1"/>
  <c r="M683" i="13"/>
  <c r="M684" i="14"/>
  <c r="J679" i="14" a="1"/>
  <c r="J679" i="14" s="1"/>
  <c r="N680" i="14"/>
  <c r="K524" i="13" l="1"/>
  <c r="L524" i="13" s="1"/>
  <c r="I525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25" i="13" l="1"/>
  <c r="L525" i="13" s="1"/>
  <c r="I526" i="13" s="1"/>
  <c r="K545" i="14"/>
  <c r="L545" i="14" s="1"/>
  <c r="I546" i="14" s="1"/>
  <c r="M686" i="14"/>
  <c r="M685" i="13"/>
  <c r="N683" i="13"/>
  <c r="J682" i="13" a="1"/>
  <c r="J682" i="13" s="1"/>
  <c r="J681" i="14" a="1"/>
  <c r="J681" i="14" s="1"/>
  <c r="N682" i="14"/>
  <c r="K526" i="13" l="1"/>
  <c r="K546" i="14"/>
  <c r="L546" i="14" s="1"/>
  <c r="I547" i="14" s="1"/>
  <c r="M687" i="14"/>
  <c r="J682" i="14" a="1"/>
  <c r="J682" i="14" s="1"/>
  <c r="N683" i="14"/>
  <c r="M686" i="13"/>
  <c r="N684" i="13"/>
  <c r="J683" i="13" a="1"/>
  <c r="J683" i="13" s="1"/>
  <c r="L526" i="13" l="1"/>
  <c r="I527" i="13" s="1"/>
  <c r="K547" i="14"/>
  <c r="L547" i="14" s="1"/>
  <c r="I548" i="14" s="1"/>
  <c r="N685" i="13"/>
  <c r="J684" i="13" a="1"/>
  <c r="J684" i="13" s="1"/>
  <c r="J683" i="14" a="1"/>
  <c r="J683" i="14" s="1"/>
  <c r="N684" i="14"/>
  <c r="M687" i="13"/>
  <c r="M688" i="14"/>
  <c r="K527" i="13" l="1"/>
  <c r="L527" i="13" s="1"/>
  <c r="I528" i="13" s="1"/>
  <c r="K548" i="14"/>
  <c r="N686" i="13"/>
  <c r="J685" i="13" a="1"/>
  <c r="J685" i="13" s="1"/>
  <c r="J684" i="14" a="1"/>
  <c r="J684" i="14" s="1"/>
  <c r="N685" i="14"/>
  <c r="M688" i="13"/>
  <c r="M689" i="14"/>
  <c r="K528" i="13" l="1"/>
  <c r="L528" i="13" s="1"/>
  <c r="I529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29" i="13" l="1"/>
  <c r="L529" i="13" s="1"/>
  <c r="I530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0" i="13" l="1"/>
  <c r="L530" i="13" s="1"/>
  <c r="I531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31" i="13" l="1"/>
  <c r="L531" i="13" s="1"/>
  <c r="I532" i="13" s="1"/>
  <c r="K551" i="14"/>
  <c r="L551" i="14" s="1"/>
  <c r="I552" i="14" s="1"/>
  <c r="N690" i="13"/>
  <c r="J689" i="13" a="1"/>
  <c r="J689" i="13" s="1"/>
  <c r="M693" i="14"/>
  <c r="M692" i="13"/>
  <c r="J688" i="14" a="1"/>
  <c r="J688" i="14" s="1"/>
  <c r="N689" i="14"/>
  <c r="K532" i="13" l="1"/>
  <c r="L532" i="13" s="1"/>
  <c r="I533" i="13" s="1"/>
  <c r="K552" i="14"/>
  <c r="L552" i="14" s="1"/>
  <c r="I553" i="14" s="1"/>
  <c r="J689" i="14" a="1"/>
  <c r="J689" i="14" s="1"/>
  <c r="N690" i="14"/>
  <c r="M694" i="14"/>
  <c r="M693" i="13"/>
  <c r="N691" i="13"/>
  <c r="J690" i="13" a="1"/>
  <c r="J690" i="13" s="1"/>
  <c r="K533" i="13" l="1"/>
  <c r="L533" i="13" s="1"/>
  <c r="I534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4" i="13" l="1"/>
  <c r="L534" i="13" s="1"/>
  <c r="I535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35" i="13" l="1"/>
  <c r="L535" i="13" s="1"/>
  <c r="I536" i="13" s="1"/>
  <c r="K555" i="14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 l="1"/>
  <c r="L536" i="13" s="1"/>
  <c r="I537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37" i="13" l="1"/>
  <c r="L537" i="13" s="1"/>
  <c r="I538" i="13" s="1"/>
  <c r="K557" i="14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 l="1"/>
  <c r="K558" i="14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 l="1"/>
  <c r="I539" i="13" s="1"/>
  <c r="K559" i="14"/>
  <c r="L559" i="14" s="1"/>
  <c r="I560" i="14" s="1"/>
  <c r="N697" i="14"/>
  <c r="J696" i="14" a="1"/>
  <c r="J696" i="14" s="1"/>
  <c r="M700" i="13"/>
  <c r="M701" i="14"/>
  <c r="N698" i="13"/>
  <c r="J697" i="13" a="1"/>
  <c r="J697" i="13" s="1"/>
  <c r="K539" i="13" l="1"/>
  <c r="L539" i="13" s="1"/>
  <c r="I540" i="13" s="1"/>
  <c r="M701" i="13"/>
  <c r="N699" i="13"/>
  <c r="J698" i="13" a="1"/>
  <c r="J698" i="13" s="1"/>
  <c r="N698" i="14"/>
  <c r="J697" i="14" a="1"/>
  <c r="J697" i="14" s="1"/>
  <c r="M702" i="14"/>
  <c r="K560" i="14"/>
  <c r="K540" i="13" l="1"/>
  <c r="L540" i="13" s="1"/>
  <c r="I541" i="13" s="1"/>
  <c r="M703" i="14"/>
  <c r="N700" i="13"/>
  <c r="J699" i="13" a="1"/>
  <c r="J699" i="13" s="1"/>
  <c r="L560" i="14"/>
  <c r="I561" i="14" s="1"/>
  <c r="M702" i="13"/>
  <c r="N699" i="14"/>
  <c r="J698" i="14" a="1"/>
  <c r="J698" i="14" s="1"/>
  <c r="K541" i="13" l="1"/>
  <c r="L541" i="13" s="1"/>
  <c r="I542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42" i="13" l="1"/>
  <c r="L542" i="13" s="1"/>
  <c r="I543" i="13" s="1"/>
  <c r="K562" i="14"/>
  <c r="L562" i="14" s="1"/>
  <c r="I563" i="14" s="1"/>
  <c r="N702" i="13"/>
  <c r="J701" i="13" a="1"/>
  <c r="J701" i="13" s="1"/>
  <c r="M705" i="14"/>
  <c r="M704" i="13"/>
  <c r="N701" i="14"/>
  <c r="J700" i="14" a="1"/>
  <c r="J700" i="14" s="1"/>
  <c r="K543" i="13" l="1"/>
  <c r="L543" i="13" s="1"/>
  <c r="I544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44" i="13" l="1"/>
  <c r="L544" i="13" s="1"/>
  <c r="I545" i="13" s="1"/>
  <c r="K564" i="14"/>
  <c r="L564" i="14" s="1"/>
  <c r="I565" i="14" s="1"/>
  <c r="N704" i="13"/>
  <c r="J703" i="13" a="1"/>
  <c r="J703" i="13" s="1"/>
  <c r="M707" i="14"/>
  <c r="M706" i="13"/>
  <c r="N703" i="14"/>
  <c r="J702" i="14" a="1"/>
  <c r="J702" i="14" s="1"/>
  <c r="K545" i="13" l="1"/>
  <c r="L545" i="13" s="1"/>
  <c r="I546" i="13" s="1"/>
  <c r="K565" i="14"/>
  <c r="L565" i="14" s="1"/>
  <c r="I566" i="14" s="1"/>
  <c r="M708" i="14"/>
  <c r="N704" i="14"/>
  <c r="J703" i="14" a="1"/>
  <c r="J703" i="14" s="1"/>
  <c r="M707" i="13"/>
  <c r="N705" i="13"/>
  <c r="J704" i="13" a="1"/>
  <c r="J704" i="13" s="1"/>
  <c r="K546" i="13" l="1"/>
  <c r="L546" i="13" s="1"/>
  <c r="I547" i="13" s="1"/>
  <c r="K566" i="14"/>
  <c r="L566" i="14" s="1"/>
  <c r="I567" i="14" s="1"/>
  <c r="N705" i="14"/>
  <c r="J704" i="14" a="1"/>
  <c r="J704" i="14" s="1"/>
  <c r="N706" i="13"/>
  <c r="J705" i="13" a="1"/>
  <c r="J705" i="13" s="1"/>
  <c r="M708" i="13"/>
  <c r="M709" i="14"/>
  <c r="K547" i="13" l="1"/>
  <c r="L547" i="13" s="1"/>
  <c r="I548" i="13" s="1"/>
  <c r="K567" i="14"/>
  <c r="L567" i="14" s="1"/>
  <c r="I568" i="14" s="1"/>
  <c r="M709" i="13"/>
  <c r="M710" i="14"/>
  <c r="N707" i="13"/>
  <c r="J706" i="13" a="1"/>
  <c r="J706" i="13" s="1"/>
  <c r="N706" i="14"/>
  <c r="J705" i="14" a="1"/>
  <c r="J705" i="14" s="1"/>
  <c r="K548" i="13" l="1"/>
  <c r="K568" i="14"/>
  <c r="L568" i="14" s="1"/>
  <c r="I569" i="14" s="1"/>
  <c r="M710" i="13"/>
  <c r="N707" i="14"/>
  <c r="J706" i="14" a="1"/>
  <c r="J706" i="14" s="1"/>
  <c r="M711" i="14"/>
  <c r="N708" i="13"/>
  <c r="J707" i="13" a="1"/>
  <c r="J707" i="13" s="1"/>
  <c r="L548" i="13" l="1"/>
  <c r="I549" i="13" s="1"/>
  <c r="K569" i="14"/>
  <c r="L569" i="14" s="1"/>
  <c r="I570" i="14" s="1"/>
  <c r="N708" i="14"/>
  <c r="J707" i="14" a="1"/>
  <c r="J707" i="14" s="1"/>
  <c r="N709" i="13"/>
  <c r="J708" i="13" a="1"/>
  <c r="J708" i="13" s="1"/>
  <c r="M712" i="14"/>
  <c r="M711" i="13"/>
  <c r="K549" i="13" l="1"/>
  <c r="K570" i="14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 l="1"/>
  <c r="I550" i="13" s="1"/>
  <c r="K571" i="14"/>
  <c r="L571" i="14" s="1"/>
  <c r="I572" i="14" s="1"/>
  <c r="N710" i="14"/>
  <c r="J709" i="14" a="1"/>
  <c r="J709" i="14" s="1"/>
  <c r="M714" i="14"/>
  <c r="N711" i="13"/>
  <c r="J710" i="13" a="1"/>
  <c r="J710" i="13" s="1"/>
  <c r="M713" i="13"/>
  <c r="K550" i="13" l="1"/>
  <c r="L550" i="13" s="1"/>
  <c r="I551" i="13" s="1"/>
  <c r="K572" i="14"/>
  <c r="M715" i="14"/>
  <c r="N712" i="13"/>
  <c r="J711" i="13" a="1"/>
  <c r="J711" i="13" s="1"/>
  <c r="M714" i="13"/>
  <c r="N711" i="14"/>
  <c r="J710" i="14" a="1"/>
  <c r="J710" i="14" s="1"/>
  <c r="K551" i="13" l="1"/>
  <c r="L551" i="13" s="1"/>
  <c r="I552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2" i="13" l="1"/>
  <c r="L552" i="13" s="1"/>
  <c r="I553" i="13" s="1"/>
  <c r="N714" i="13"/>
  <c r="J713" i="13" a="1"/>
  <c r="J713" i="13" s="1"/>
  <c r="M717" i="14"/>
  <c r="M716" i="13"/>
  <c r="K573" i="14"/>
  <c r="N713" i="14"/>
  <c r="J712" i="14" a="1"/>
  <c r="J712" i="14" s="1"/>
  <c r="K553" i="13" l="1"/>
  <c r="L553" i="13" s="1"/>
  <c r="I554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4" i="13" l="1"/>
  <c r="L554" i="13" s="1"/>
  <c r="I555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5" i="13" l="1"/>
  <c r="L555" i="13" s="1"/>
  <c r="I556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56" i="13" l="1"/>
  <c r="L556" i="13" s="1"/>
  <c r="I557" i="13" s="1"/>
  <c r="K576" i="14"/>
  <c r="L576" i="14" s="1"/>
  <c r="I577" i="14" s="1"/>
  <c r="M720" i="13"/>
  <c r="N718" i="13"/>
  <c r="J717" i="13" a="1"/>
  <c r="J717" i="13" s="1"/>
  <c r="M721" i="14"/>
  <c r="N717" i="14"/>
  <c r="J716" i="14" a="1"/>
  <c r="J716" i="14" s="1"/>
  <c r="K557" i="13" l="1"/>
  <c r="L557" i="13" s="1"/>
  <c r="I558" i="13" s="1"/>
  <c r="K577" i="14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 l="1"/>
  <c r="L558" i="13" s="1"/>
  <c r="I559" i="13" s="1"/>
  <c r="K578" i="14"/>
  <c r="L578" i="14" s="1"/>
  <c r="I579" i="14" s="1"/>
  <c r="N720" i="13"/>
  <c r="J719" i="13" a="1"/>
  <c r="J719" i="13" s="1"/>
  <c r="M722" i="13"/>
  <c r="N719" i="14"/>
  <c r="J718" i="14" a="1"/>
  <c r="J718" i="14" s="1"/>
  <c r="M723" i="14"/>
  <c r="K559" i="13" l="1"/>
  <c r="L559" i="13" s="1"/>
  <c r="I560" i="13" s="1"/>
  <c r="K579" i="14"/>
  <c r="L579" i="14" s="1"/>
  <c r="I580" i="14" s="1"/>
  <c r="M724" i="14"/>
  <c r="M723" i="13"/>
  <c r="N721" i="13"/>
  <c r="J720" i="13" a="1"/>
  <c r="J720" i="13" s="1"/>
  <c r="N720" i="14"/>
  <c r="J719" i="14" a="1"/>
  <c r="J719" i="14" s="1"/>
  <c r="K560" i="13" l="1"/>
  <c r="K580" i="14"/>
  <c r="L580" i="14" s="1"/>
  <c r="I581" i="14" s="1"/>
  <c r="N721" i="14"/>
  <c r="J720" i="14" a="1"/>
  <c r="J720" i="14" s="1"/>
  <c r="M724" i="13"/>
  <c r="M725" i="14"/>
  <c r="N722" i="13"/>
  <c r="J721" i="13" a="1"/>
  <c r="J721" i="13" s="1"/>
  <c r="L560" i="13" l="1"/>
  <c r="I561" i="13" s="1"/>
  <c r="K581" i="14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 l="1"/>
  <c r="K582" i="14"/>
  <c r="L582" i="14" s="1"/>
  <c r="I583" i="14" s="1"/>
  <c r="M726" i="13"/>
  <c r="N724" i="13"/>
  <c r="J723" i="13" a="1"/>
  <c r="J723" i="13" s="1"/>
  <c r="M727" i="14"/>
  <c r="N723" i="14"/>
  <c r="J722" i="14" a="1"/>
  <c r="J722" i="14" s="1"/>
  <c r="L561" i="13" l="1"/>
  <c r="I562" i="13" s="1"/>
  <c r="K583" i="14"/>
  <c r="L583" i="14" s="1"/>
  <c r="I584" i="14" s="1"/>
  <c r="M727" i="13"/>
  <c r="N724" i="14"/>
  <c r="J723" i="14" a="1"/>
  <c r="J723" i="14" s="1"/>
  <c r="M728" i="14"/>
  <c r="N725" i="13"/>
  <c r="J724" i="13" a="1"/>
  <c r="J724" i="13" s="1"/>
  <c r="K562" i="13" l="1"/>
  <c r="L562" i="13" s="1"/>
  <c r="I563" i="13" s="1"/>
  <c r="K584" i="14"/>
  <c r="N726" i="13"/>
  <c r="J725" i="13" a="1"/>
  <c r="J725" i="13" s="1"/>
  <c r="N725" i="14"/>
  <c r="J724" i="14" a="1"/>
  <c r="J724" i="14" s="1"/>
  <c r="M729" i="14"/>
  <c r="M728" i="13"/>
  <c r="K563" i="13" l="1"/>
  <c r="L563" i="13" s="1"/>
  <c r="I564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4" i="13" l="1"/>
  <c r="L564" i="13" s="1"/>
  <c r="I565" i="13" s="1"/>
  <c r="K585" i="14"/>
  <c r="N728" i="13"/>
  <c r="J727" i="13" a="1"/>
  <c r="J727" i="13" s="1"/>
  <c r="M731" i="14"/>
  <c r="N727" i="14"/>
  <c r="J726" i="14" a="1"/>
  <c r="J726" i="14" s="1"/>
  <c r="M730" i="13"/>
  <c r="K565" i="13" l="1"/>
  <c r="L565" i="13" s="1"/>
  <c r="I566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6" i="13" l="1"/>
  <c r="L566" i="13" s="1"/>
  <c r="I567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67" i="13" l="1"/>
  <c r="L567" i="13" s="1"/>
  <c r="I568" i="13" s="1"/>
  <c r="K587" i="14"/>
  <c r="L587" i="14" s="1"/>
  <c r="I588" i="14" s="1"/>
  <c r="N730" i="14"/>
  <c r="J729" i="14" a="1"/>
  <c r="J729" i="14" s="1"/>
  <c r="M733" i="13"/>
  <c r="M734" i="14"/>
  <c r="N731" i="13"/>
  <c r="J730" i="13" a="1"/>
  <c r="J730" i="13" s="1"/>
  <c r="K568" i="13" l="1"/>
  <c r="L568" i="13" s="1"/>
  <c r="I569" i="13" s="1"/>
  <c r="K588" i="14"/>
  <c r="L588" i="14" s="1"/>
  <c r="I589" i="14" s="1"/>
  <c r="M734" i="13"/>
  <c r="N732" i="13"/>
  <c r="J731" i="13" a="1"/>
  <c r="J731" i="13" s="1"/>
  <c r="M735" i="14"/>
  <c r="N731" i="14"/>
  <c r="J730" i="14" a="1"/>
  <c r="J730" i="14" s="1"/>
  <c r="K569" i="13" l="1"/>
  <c r="L569" i="13" s="1"/>
  <c r="I570" i="13" s="1"/>
  <c r="K589" i="14"/>
  <c r="L589" i="14" s="1"/>
  <c r="I590" i="14" s="1"/>
  <c r="N732" i="14"/>
  <c r="J731" i="14" a="1"/>
  <c r="J731" i="14" s="1"/>
  <c r="M736" i="14"/>
  <c r="N733" i="13"/>
  <c r="J732" i="13" a="1"/>
  <c r="J732" i="13" s="1"/>
  <c r="M735" i="13"/>
  <c r="K570" i="13" l="1"/>
  <c r="L570" i="13" s="1"/>
  <c r="I571" i="13" s="1"/>
  <c r="K590" i="14"/>
  <c r="L590" i="14" s="1"/>
  <c r="I591" i="14" s="1"/>
  <c r="M737" i="14"/>
  <c r="M736" i="13"/>
  <c r="N734" i="13"/>
  <c r="J733" i="13" a="1"/>
  <c r="J733" i="13" s="1"/>
  <c r="N733" i="14"/>
  <c r="J732" i="14" a="1"/>
  <c r="J732" i="14" s="1"/>
  <c r="K571" i="13" l="1"/>
  <c r="L571" i="13" s="1"/>
  <c r="I572" i="13" s="1"/>
  <c r="K591" i="14"/>
  <c r="L591" i="14" s="1"/>
  <c r="I592" i="14" s="1"/>
  <c r="M737" i="13"/>
  <c r="M738" i="14"/>
  <c r="N734" i="14"/>
  <c r="J733" i="14" a="1"/>
  <c r="J733" i="14" s="1"/>
  <c r="N735" i="13"/>
  <c r="J734" i="13" a="1"/>
  <c r="J734" i="13" s="1"/>
  <c r="K572" i="13" l="1"/>
  <c r="L572" i="13" s="1"/>
  <c r="I573" i="13" s="1"/>
  <c r="M738" i="13"/>
  <c r="N735" i="14"/>
  <c r="J734" i="14" a="1"/>
  <c r="J734" i="14" s="1"/>
  <c r="M739" i="14"/>
  <c r="N736" i="13"/>
  <c r="J735" i="13" a="1"/>
  <c r="J735" i="13" s="1"/>
  <c r="K592" i="14"/>
  <c r="L592" i="14" s="1"/>
  <c r="I593" i="14" s="1"/>
  <c r="K573" i="13" l="1"/>
  <c r="L573" i="13" s="1"/>
  <c r="I574" i="13" s="1"/>
  <c r="K593" i="14"/>
  <c r="L593" i="14" s="1"/>
  <c r="I594" i="14" s="1"/>
  <c r="N737" i="13"/>
  <c r="J736" i="13" a="1"/>
  <c r="J736" i="13" s="1"/>
  <c r="N736" i="14"/>
  <c r="J735" i="14" a="1"/>
  <c r="J735" i="14" s="1"/>
  <c r="M740" i="14"/>
  <c r="M739" i="13"/>
  <c r="K574" i="13" l="1"/>
  <c r="N737" i="14"/>
  <c r="J736" i="14" a="1"/>
  <c r="J736" i="14" s="1"/>
  <c r="M740" i="13"/>
  <c r="M741" i="14"/>
  <c r="N738" i="13"/>
  <c r="J737" i="13" a="1"/>
  <c r="J737" i="13" s="1"/>
  <c r="K594" i="14"/>
  <c r="L594" i="14" s="1"/>
  <c r="I595" i="14" s="1"/>
  <c r="L574" i="13" l="1"/>
  <c r="I575" i="13" s="1"/>
  <c r="K595" i="14"/>
  <c r="L595" i="14" s="1"/>
  <c r="I596" i="14" s="1"/>
  <c r="M742" i="14"/>
  <c r="N739" i="13"/>
  <c r="J738" i="13" a="1"/>
  <c r="J738" i="13" s="1"/>
  <c r="M741" i="13"/>
  <c r="N738" i="14"/>
  <c r="J737" i="14" a="1"/>
  <c r="J737" i="14" s="1"/>
  <c r="K575" i="13" l="1"/>
  <c r="L575" i="13" s="1"/>
  <c r="I576" i="13" s="1"/>
  <c r="K596" i="14"/>
  <c r="N740" i="13"/>
  <c r="J739" i="13" a="1"/>
  <c r="J739" i="13" s="1"/>
  <c r="M743" i="14"/>
  <c r="M742" i="13"/>
  <c r="N739" i="14"/>
  <c r="J738" i="14" a="1"/>
  <c r="J738" i="14" s="1"/>
  <c r="K576" i="13" l="1"/>
  <c r="L576" i="13" s="1"/>
  <c r="I577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7" i="13" l="1"/>
  <c r="L577" i="13" s="1"/>
  <c r="I578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78" i="13" l="1"/>
  <c r="L578" i="13" s="1"/>
  <c r="I579" i="13" s="1"/>
  <c r="K598" i="14"/>
  <c r="L598" i="14" s="1"/>
  <c r="I599" i="14" s="1"/>
  <c r="N743" i="13"/>
  <c r="J742" i="13" a="1"/>
  <c r="J742" i="13" s="1"/>
  <c r="M745" i="13"/>
  <c r="N742" i="14"/>
  <c r="J741" i="14" a="1"/>
  <c r="J741" i="14" s="1"/>
  <c r="M746" i="14"/>
  <c r="K579" i="13" l="1"/>
  <c r="L579" i="13" s="1"/>
  <c r="I580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580" i="13" l="1"/>
  <c r="L580" i="13" s="1"/>
  <c r="I581" i="13" s="1"/>
  <c r="K600" i="14"/>
  <c r="L600" i="14" s="1"/>
  <c r="I601" i="14" s="1"/>
  <c r="N744" i="14"/>
  <c r="J743" i="14" a="1"/>
  <c r="J743" i="14" s="1"/>
  <c r="M748" i="14"/>
  <c r="N745" i="13"/>
  <c r="J744" i="13" a="1"/>
  <c r="J744" i="13" s="1"/>
  <c r="M747" i="13"/>
  <c r="K581" i="13" l="1"/>
  <c r="L581" i="13" s="1"/>
  <c r="I582" i="13" s="1"/>
  <c r="N745" i="14"/>
  <c r="J744" i="14" a="1"/>
  <c r="J744" i="14" s="1"/>
  <c r="M748" i="13"/>
  <c r="N746" i="13"/>
  <c r="J745" i="13" a="1"/>
  <c r="J745" i="13" s="1"/>
  <c r="M749" i="14"/>
  <c r="K601" i="14"/>
  <c r="L601" i="14" s="1"/>
  <c r="I602" i="14" s="1"/>
  <c r="K582" i="13" l="1"/>
  <c r="L582" i="13" s="1"/>
  <c r="I583" i="13" s="1"/>
  <c r="K602" i="14"/>
  <c r="L602" i="14" s="1"/>
  <c r="I603" i="14" s="1"/>
  <c r="N747" i="13"/>
  <c r="J746" i="13" a="1"/>
  <c r="J746" i="13" s="1"/>
  <c r="M750" i="14"/>
  <c r="M749" i="13"/>
  <c r="N746" i="14"/>
  <c r="J745" i="14" a="1"/>
  <c r="J745" i="14" s="1"/>
  <c r="K583" i="13" l="1"/>
  <c r="L583" i="13" s="1"/>
  <c r="I584" i="13" s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584" i="13" l="1"/>
  <c r="K604" i="14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 l="1"/>
  <c r="I585" i="13" s="1"/>
  <c r="K605" i="14"/>
  <c r="L605" i="14" s="1"/>
  <c r="I606" i="14" s="1"/>
  <c r="M753" i="14"/>
  <c r="M752" i="13"/>
  <c r="N750" i="13"/>
  <c r="J749" i="13" a="1"/>
  <c r="J749" i="13" s="1"/>
  <c r="N749" i="14"/>
  <c r="J748" i="14" a="1"/>
  <c r="J748" i="14" s="1"/>
  <c r="K585" i="13" l="1"/>
  <c r="L585" i="13" s="1"/>
  <c r="I586" i="13" s="1"/>
  <c r="K606" i="14"/>
  <c r="L606" i="14" s="1"/>
  <c r="I607" i="14" s="1"/>
  <c r="M754" i="14"/>
  <c r="N750" i="14"/>
  <c r="J749" i="14" a="1"/>
  <c r="J749" i="14" s="1"/>
  <c r="M753" i="13"/>
  <c r="N751" i="13"/>
  <c r="J750" i="13" a="1"/>
  <c r="J750" i="13" s="1"/>
  <c r="K586" i="13" l="1"/>
  <c r="L586" i="13" s="1"/>
  <c r="I587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587" i="13" l="1"/>
  <c r="L587" i="13" s="1"/>
  <c r="I588" i="13" s="1"/>
  <c r="K608" i="14"/>
  <c r="M755" i="13"/>
  <c r="M756" i="14"/>
  <c r="N752" i="14"/>
  <c r="J751" i="14" a="1"/>
  <c r="J751" i="14" s="1"/>
  <c r="N753" i="13"/>
  <c r="J752" i="13" a="1"/>
  <c r="J752" i="13" s="1"/>
  <c r="K588" i="13" l="1"/>
  <c r="L588" i="13" s="1"/>
  <c r="I589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K589" i="13" l="1"/>
  <c r="L589" i="13" s="1"/>
  <c r="I590" i="13" s="1"/>
  <c r="N754" i="14"/>
  <c r="J753" i="14" a="1"/>
  <c r="J753" i="14" s="1"/>
  <c r="M757" i="13"/>
  <c r="N755" i="13"/>
  <c r="J754" i="13" a="1"/>
  <c r="J754" i="13" s="1"/>
  <c r="K609" i="14"/>
  <c r="M758" i="14"/>
  <c r="K590" i="13" l="1"/>
  <c r="L590" i="13" s="1"/>
  <c r="I591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K591" i="13" l="1"/>
  <c r="L591" i="13" s="1"/>
  <c r="I592" i="13" s="1"/>
  <c r="N756" i="14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 l="1"/>
  <c r="L592" i="13" s="1"/>
  <c r="I593" i="13" s="1"/>
  <c r="M761" i="14"/>
  <c r="M760" i="13"/>
  <c r="K611" i="14"/>
  <c r="L611" i="14" s="1"/>
  <c r="I612" i="14" s="1"/>
  <c r="N758" i="13"/>
  <c r="J757" i="13" a="1"/>
  <c r="J757" i="13" s="1"/>
  <c r="N757" i="14"/>
  <c r="J756" i="14" a="1"/>
  <c r="J756" i="14" s="1"/>
  <c r="K593" i="13" l="1"/>
  <c r="L593" i="13" s="1"/>
  <c r="I594" i="13" s="1"/>
  <c r="K612" i="14"/>
  <c r="L612" i="14" s="1"/>
  <c r="I613" i="14" s="1"/>
  <c r="M761" i="13"/>
  <c r="N758" i="14"/>
  <c r="J757" i="14" a="1"/>
  <c r="J757" i="14" s="1"/>
  <c r="M762" i="14"/>
  <c r="N759" i="13"/>
  <c r="J758" i="13" a="1"/>
  <c r="J758" i="13" s="1"/>
  <c r="K594" i="13" l="1"/>
  <c r="L594" i="13" s="1"/>
  <c r="I595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5" i="13" l="1"/>
  <c r="L595" i="13" s="1"/>
  <c r="I596" i="13" s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596" i="13" l="1"/>
  <c r="K615" i="14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 l="1"/>
  <c r="I597" i="13" s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597" i="13" l="1"/>
  <c r="K617" i="14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 l="1"/>
  <c r="I598" i="13" s="1"/>
  <c r="K618" i="14"/>
  <c r="L618" i="14" s="1"/>
  <c r="I619" i="14" s="1"/>
  <c r="M768" i="14"/>
  <c r="N765" i="13"/>
  <c r="J764" i="13" a="1"/>
  <c r="J764" i="13" s="1"/>
  <c r="M767" i="13"/>
  <c r="N764" i="14"/>
  <c r="J763" i="14" a="1"/>
  <c r="J763" i="14" s="1"/>
  <c r="K598" i="13" l="1"/>
  <c r="L598" i="13" s="1"/>
  <c r="I599" i="13" s="1"/>
  <c r="K619" i="14"/>
  <c r="L619" i="14" s="1"/>
  <c r="I620" i="14" s="1"/>
  <c r="M769" i="14"/>
  <c r="N766" i="13"/>
  <c r="J765" i="13" a="1"/>
  <c r="J765" i="13" s="1"/>
  <c r="N765" i="14"/>
  <c r="J764" i="14" a="1"/>
  <c r="J764" i="14" s="1"/>
  <c r="M768" i="13"/>
  <c r="K599" i="13" l="1"/>
  <c r="L599" i="13" s="1"/>
  <c r="I600" i="13" s="1"/>
  <c r="K620" i="14"/>
  <c r="N767" i="13"/>
  <c r="J766" i="13" a="1"/>
  <c r="J766" i="13" s="1"/>
  <c r="M770" i="14"/>
  <c r="M769" i="13"/>
  <c r="N766" i="14"/>
  <c r="J765" i="14" a="1"/>
  <c r="J765" i="14" s="1"/>
  <c r="K600" i="13" l="1"/>
  <c r="L600" i="13" s="1"/>
  <c r="I601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1" i="13" l="1"/>
  <c r="L601" i="13" s="1"/>
  <c r="I602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02" i="13" l="1"/>
  <c r="L602" i="13" s="1"/>
  <c r="I603" i="13" s="1"/>
  <c r="K622" i="14"/>
  <c r="L622" i="14" s="1"/>
  <c r="I623" i="14" s="1"/>
  <c r="M773" i="14"/>
  <c r="N769" i="14"/>
  <c r="J768" i="14" a="1"/>
  <c r="J768" i="14" s="1"/>
  <c r="M772" i="13"/>
  <c r="N770" i="13"/>
  <c r="J769" i="13" a="1"/>
  <c r="J769" i="13" s="1"/>
  <c r="K603" i="13" l="1"/>
  <c r="L603" i="13" s="1"/>
  <c r="I604" i="13" s="1"/>
  <c r="K623" i="14"/>
  <c r="L623" i="14" s="1"/>
  <c r="I624" i="14" s="1"/>
  <c r="N771" i="13"/>
  <c r="J770" i="13" a="1"/>
  <c r="J770" i="13" s="1"/>
  <c r="N770" i="14"/>
  <c r="J769" i="14" a="1"/>
  <c r="J769" i="14" s="1"/>
  <c r="M773" i="13"/>
  <c r="M774" i="14"/>
  <c r="K604" i="13" l="1"/>
  <c r="L604" i="13" s="1"/>
  <c r="I605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5" i="13" l="1"/>
  <c r="L605" i="13" s="1"/>
  <c r="I606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06" i="13" l="1"/>
  <c r="L606" i="13" s="1"/>
  <c r="I607" i="13" s="1"/>
  <c r="K626" i="14"/>
  <c r="L626" i="14" s="1"/>
  <c r="I627" i="14" s="1"/>
  <c r="M777" i="14"/>
  <c r="N773" i="14"/>
  <c r="J772" i="14" a="1"/>
  <c r="J772" i="14" s="1"/>
  <c r="N774" i="13"/>
  <c r="J773" i="13" a="1"/>
  <c r="J773" i="13" s="1"/>
  <c r="M776" i="13"/>
  <c r="K607" i="13" l="1"/>
  <c r="L607" i="13" s="1"/>
  <c r="I608" i="13" s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08" i="13" l="1"/>
  <c r="K628" i="14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 l="1"/>
  <c r="I609" i="13" s="1"/>
  <c r="K629" i="14"/>
  <c r="L629" i="14" s="1"/>
  <c r="I630" i="14" s="1"/>
  <c r="N777" i="13"/>
  <c r="J776" i="13" a="1"/>
  <c r="J776" i="13" s="1"/>
  <c r="M779" i="13"/>
  <c r="N776" i="14"/>
  <c r="J775" i="14" a="1"/>
  <c r="J775" i="14" s="1"/>
  <c r="M780" i="14"/>
  <c r="K609" i="13" l="1"/>
  <c r="K630" i="14"/>
  <c r="L630" i="14" s="1"/>
  <c r="I631" i="14" s="1"/>
  <c r="M781" i="14"/>
  <c r="M780" i="13"/>
  <c r="N777" i="14"/>
  <c r="J776" i="14" a="1"/>
  <c r="J776" i="14" s="1"/>
  <c r="N778" i="13"/>
  <c r="J777" i="13" a="1"/>
  <c r="J777" i="13" s="1"/>
  <c r="L609" i="13" l="1"/>
  <c r="I610" i="13" s="1"/>
  <c r="K631" i="14"/>
  <c r="L631" i="14" s="1"/>
  <c r="I632" i="14" s="1"/>
  <c r="N779" i="13"/>
  <c r="J778" i="13" a="1"/>
  <c r="J778" i="13" s="1"/>
  <c r="M781" i="13"/>
  <c r="N778" i="14"/>
  <c r="J777" i="14" a="1"/>
  <c r="J777" i="14" s="1"/>
  <c r="M782" i="14"/>
  <c r="K610" i="13" l="1"/>
  <c r="L610" i="13" s="1"/>
  <c r="I611" i="13" s="1"/>
  <c r="K632" i="14"/>
  <c r="M783" i="14"/>
  <c r="M782" i="13"/>
  <c r="N780" i="13"/>
  <c r="J779" i="13" a="1"/>
  <c r="J779" i="13" s="1"/>
  <c r="N779" i="14"/>
  <c r="J778" i="14" a="1"/>
  <c r="J778" i="14" s="1"/>
  <c r="K611" i="13" l="1"/>
  <c r="L611" i="13" s="1"/>
  <c r="I612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2" i="13" l="1"/>
  <c r="L612" i="13" s="1"/>
  <c r="I613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3" i="13" l="1"/>
  <c r="L613" i="13" s="1"/>
  <c r="I614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14" i="13" l="1"/>
  <c r="L614" i="13" s="1"/>
  <c r="I615" i="13" s="1"/>
  <c r="K635" i="14"/>
  <c r="L635" i="14" s="1"/>
  <c r="I636" i="14" s="1"/>
  <c r="N784" i="13"/>
  <c r="J783" i="13" a="1"/>
  <c r="J783" i="13" s="1"/>
  <c r="M786" i="13"/>
  <c r="M787" i="14"/>
  <c r="N783" i="14"/>
  <c r="J782" i="14" a="1"/>
  <c r="J782" i="14" s="1"/>
  <c r="K615" i="13" l="1"/>
  <c r="L615" i="13" s="1"/>
  <c r="I616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16" i="13" l="1"/>
  <c r="L616" i="13" s="1"/>
  <c r="I617" i="13" s="1"/>
  <c r="K637" i="14"/>
  <c r="L637" i="14" s="1"/>
  <c r="I638" i="14" s="1"/>
  <c r="N785" i="14"/>
  <c r="J784" i="14" a="1"/>
  <c r="J784" i="14" s="1"/>
  <c r="N786" i="13"/>
  <c r="J785" i="13" a="1"/>
  <c r="J785" i="13" s="1"/>
  <c r="M789" i="14"/>
  <c r="M788" i="13"/>
  <c r="K617" i="13" l="1"/>
  <c r="L617" i="13" s="1"/>
  <c r="I618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18" i="13" l="1"/>
  <c r="L618" i="13" s="1"/>
  <c r="I619" i="13" s="1"/>
  <c r="K639" i="14"/>
  <c r="L639" i="14" s="1"/>
  <c r="I640" i="14" s="1"/>
  <c r="N788" i="13"/>
  <c r="J787" i="13" a="1"/>
  <c r="J787" i="13" s="1"/>
  <c r="N787" i="14"/>
  <c r="J786" i="14" a="1"/>
  <c r="J786" i="14" s="1"/>
  <c r="M791" i="14"/>
  <c r="M790" i="13"/>
  <c r="K619" i="13" l="1"/>
  <c r="L619" i="13" s="1"/>
  <c r="I620" i="13" s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20" i="13" l="1"/>
  <c r="K641" i="14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 l="1"/>
  <c r="I621" i="13" s="1"/>
  <c r="K642" i="14"/>
  <c r="L642" i="14" s="1"/>
  <c r="I643" i="14" s="1"/>
  <c r="M794" i="14"/>
  <c r="N790" i="14"/>
  <c r="J789" i="14" a="1"/>
  <c r="J789" i="14" s="1"/>
  <c r="N791" i="13"/>
  <c r="J790" i="13" a="1"/>
  <c r="J790" i="13" s="1"/>
  <c r="M793" i="13"/>
  <c r="K621" i="13" l="1"/>
  <c r="K643" i="14"/>
  <c r="L643" i="14" s="1"/>
  <c r="I644" i="14" s="1"/>
  <c r="M795" i="14"/>
  <c r="N792" i="13"/>
  <c r="J791" i="13" a="1"/>
  <c r="J791" i="13" s="1"/>
  <c r="M794" i="13"/>
  <c r="N791" i="14"/>
  <c r="J790" i="14" a="1"/>
  <c r="J790" i="14" s="1"/>
  <c r="L621" i="13" l="1"/>
  <c r="I622" i="13" s="1"/>
  <c r="K644" i="14"/>
  <c r="N792" i="14"/>
  <c r="J791" i="14" a="1"/>
  <c r="J791" i="14" s="1"/>
  <c r="N793" i="13"/>
  <c r="J792" i="13" a="1"/>
  <c r="J792" i="13" s="1"/>
  <c r="M795" i="13"/>
  <c r="M796" i="14"/>
  <c r="K622" i="13" l="1"/>
  <c r="L622" i="13" s="1"/>
  <c r="I623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3" i="13" l="1"/>
  <c r="L623" i="13" s="1"/>
  <c r="I624" i="13" s="1"/>
  <c r="N795" i="13"/>
  <c r="J794" i="13" a="1"/>
  <c r="J794" i="13" s="1"/>
  <c r="K645" i="14"/>
  <c r="M798" i="14"/>
  <c r="M797" i="13"/>
  <c r="N794" i="14"/>
  <c r="J793" i="14" a="1"/>
  <c r="J793" i="14" s="1"/>
  <c r="K624" i="13" l="1"/>
  <c r="L624" i="13" s="1"/>
  <c r="I625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5" i="13" l="1"/>
  <c r="L625" i="13" s="1"/>
  <c r="I626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6" i="13" l="1"/>
  <c r="L626" i="13" s="1"/>
  <c r="I627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27" i="13" l="1"/>
  <c r="L627" i="13" s="1"/>
  <c r="I628" i="13" s="1"/>
  <c r="K648" i="14"/>
  <c r="L648" i="14" s="1"/>
  <c r="I649" i="14" s="1"/>
  <c r="N799" i="13"/>
  <c r="J798" i="13" a="1"/>
  <c r="J798" i="13" s="1"/>
  <c r="N798" i="14"/>
  <c r="J797" i="14" a="1"/>
  <c r="J797" i="14" s="1"/>
  <c r="M801" i="13"/>
  <c r="M802" i="14"/>
  <c r="K628" i="13" l="1"/>
  <c r="L628" i="13" s="1"/>
  <c r="I629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29" i="13" l="1"/>
  <c r="L629" i="13" s="1"/>
  <c r="I630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30" i="13" l="1"/>
  <c r="L630" i="13" s="1"/>
  <c r="I631" i="13" s="1"/>
  <c r="K651" i="14"/>
  <c r="L651" i="14" s="1"/>
  <c r="I652" i="14" s="1"/>
  <c r="M805" i="14"/>
  <c r="N802" i="13"/>
  <c r="J801" i="13" a="1"/>
  <c r="J801" i="13" s="1"/>
  <c r="M804" i="13"/>
  <c r="N801" i="14"/>
  <c r="J800" i="14" a="1"/>
  <c r="J800" i="14" s="1"/>
  <c r="K631" i="13" l="1"/>
  <c r="L631" i="13" s="1"/>
  <c r="I632" i="13" s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32" i="13" l="1"/>
  <c r="K653" i="14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 l="1"/>
  <c r="I633" i="13" s="1"/>
  <c r="K654" i="14"/>
  <c r="L654" i="14" s="1"/>
  <c r="I655" i="14" s="1"/>
  <c r="N805" i="13"/>
  <c r="J804" i="13" a="1"/>
  <c r="J804" i="13" s="1"/>
  <c r="N804" i="14"/>
  <c r="J803" i="14" a="1"/>
  <c r="J803" i="14" s="1"/>
  <c r="M808" i="14"/>
  <c r="M807" i="13"/>
  <c r="K633" i="13" l="1"/>
  <c r="L633" i="13" s="1"/>
  <c r="I634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4" i="13" l="1"/>
  <c r="L634" i="13" s="1"/>
  <c r="I635" i="13" s="1"/>
  <c r="M810" i="14"/>
  <c r="N806" i="14"/>
  <c r="J805" i="14" a="1"/>
  <c r="J805" i="14" s="1"/>
  <c r="M809" i="13"/>
  <c r="K656" i="14"/>
  <c r="N807" i="13"/>
  <c r="J806" i="13" a="1"/>
  <c r="J806" i="13" s="1"/>
  <c r="K635" i="13" l="1"/>
  <c r="L635" i="13" s="1"/>
  <c r="I636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6" i="13" l="1"/>
  <c r="L636" i="13" s="1"/>
  <c r="I637" i="13" s="1"/>
  <c r="N808" i="14"/>
  <c r="J807" i="14" a="1"/>
  <c r="J807" i="14" s="1"/>
  <c r="N809" i="13"/>
  <c r="J808" i="13" a="1"/>
  <c r="J808" i="13" s="1"/>
  <c r="M811" i="13"/>
  <c r="K657" i="14"/>
  <c r="M812" i="14"/>
  <c r="K637" i="13" l="1"/>
  <c r="L637" i="13" s="1"/>
  <c r="I638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8" i="13" l="1"/>
  <c r="L638" i="13" s="1"/>
  <c r="I639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K639" i="13" l="1"/>
  <c r="L639" i="13" s="1"/>
  <c r="I640" i="13" s="1"/>
  <c r="M814" i="13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 l="1"/>
  <c r="L640" i="13" s="1"/>
  <c r="I641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41" i="13" l="1"/>
  <c r="L641" i="13" s="1"/>
  <c r="I642" i="13" s="1"/>
  <c r="K661" i="14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 l="1"/>
  <c r="L642" i="13" s="1"/>
  <c r="I643" i="13" s="1"/>
  <c r="K662" i="14"/>
  <c r="L662" i="14" s="1"/>
  <c r="I663" i="14" s="1"/>
  <c r="N814" i="14"/>
  <c r="J813" i="14" a="1"/>
  <c r="J813" i="14" s="1"/>
  <c r="N815" i="13"/>
  <c r="J814" i="13" a="1"/>
  <c r="J814" i="13" s="1"/>
  <c r="M818" i="14"/>
  <c r="M817" i="13"/>
  <c r="K643" i="13" l="1"/>
  <c r="L643" i="13" s="1"/>
  <c r="I644" i="13" s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44" i="13" l="1"/>
  <c r="K664" i="14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 l="1"/>
  <c r="I645" i="13" s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45" i="13" l="1"/>
  <c r="K666" i="14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 l="1"/>
  <c r="I646" i="13" s="1"/>
  <c r="K667" i="14"/>
  <c r="L667" i="14" s="1"/>
  <c r="I668" i="14" s="1"/>
  <c r="N820" i="13"/>
  <c r="J819" i="13" a="1"/>
  <c r="J819" i="13" s="1"/>
  <c r="N819" i="14"/>
  <c r="J818" i="14" a="1"/>
  <c r="J818" i="14" s="1"/>
  <c r="M822" i="13"/>
  <c r="M823" i="14"/>
  <c r="K646" i="13" l="1"/>
  <c r="L646" i="13" s="1"/>
  <c r="I647" i="13" s="1"/>
  <c r="M824" i="14"/>
  <c r="N821" i="13"/>
  <c r="J820" i="13" a="1"/>
  <c r="J820" i="13" s="1"/>
  <c r="M823" i="13"/>
  <c r="N820" i="14"/>
  <c r="J819" i="14" a="1"/>
  <c r="J819" i="14" s="1"/>
  <c r="K668" i="14"/>
  <c r="K647" i="13" l="1"/>
  <c r="L647" i="13" s="1"/>
  <c r="I648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8" i="13" l="1"/>
  <c r="L648" i="13" s="1"/>
  <c r="I649" i="13" s="1"/>
  <c r="K669" i="14"/>
  <c r="N823" i="13"/>
  <c r="J822" i="13" a="1"/>
  <c r="J822" i="13" s="1"/>
  <c r="M826" i="14"/>
  <c r="N822" i="14"/>
  <c r="J821" i="14" a="1"/>
  <c r="J821" i="14" s="1"/>
  <c r="M825" i="13"/>
  <c r="K649" i="13" l="1"/>
  <c r="L649" i="13" s="1"/>
  <c r="I650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0" i="13" l="1"/>
  <c r="L650" i="13" s="1"/>
  <c r="I651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51" i="13" l="1"/>
  <c r="L651" i="13" s="1"/>
  <c r="I652" i="13" s="1"/>
  <c r="K671" i="14"/>
  <c r="L671" i="14" s="1"/>
  <c r="I672" i="14" s="1"/>
  <c r="N826" i="13"/>
  <c r="J825" i="13" a="1"/>
  <c r="J825" i="13" s="1"/>
  <c r="N825" i="14"/>
  <c r="J824" i="14" a="1"/>
  <c r="J824" i="14" s="1"/>
  <c r="M828" i="13"/>
  <c r="M829" i="14"/>
  <c r="K652" i="13" l="1"/>
  <c r="L652" i="13" s="1"/>
  <c r="I653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53" i="13" l="1"/>
  <c r="L653" i="13" s="1"/>
  <c r="I654" i="13" s="1"/>
  <c r="K673" i="14"/>
  <c r="L673" i="14" s="1"/>
  <c r="I674" i="14" s="1"/>
  <c r="N828" i="13"/>
  <c r="J827" i="13" a="1"/>
  <c r="J827" i="13" s="1"/>
  <c r="M831" i="14"/>
  <c r="N827" i="14"/>
  <c r="J826" i="14" a="1"/>
  <c r="J826" i="14" s="1"/>
  <c r="M830" i="13"/>
  <c r="K654" i="13" l="1"/>
  <c r="L654" i="13" s="1"/>
  <c r="I655" i="13" s="1"/>
  <c r="K674" i="14"/>
  <c r="L674" i="14" s="1"/>
  <c r="I675" i="14" s="1"/>
  <c r="M831" i="13"/>
  <c r="M832" i="14"/>
  <c r="N828" i="14"/>
  <c r="J827" i="14" a="1"/>
  <c r="J827" i="14" s="1"/>
  <c r="N829" i="13"/>
  <c r="J828" i="13" a="1"/>
  <c r="J828" i="13" s="1"/>
  <c r="K655" i="13" l="1"/>
  <c r="L655" i="13" s="1"/>
  <c r="I656" i="13" s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56" i="13" l="1"/>
  <c r="K676" i="14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 l="1"/>
  <c r="I657" i="13" s="1"/>
  <c r="K677" i="14"/>
  <c r="L677" i="14" s="1"/>
  <c r="I678" i="14" s="1"/>
  <c r="N832" i="13"/>
  <c r="J831" i="13" a="1"/>
  <c r="J831" i="13" s="1"/>
  <c r="M835" i="14"/>
  <c r="N831" i="14"/>
  <c r="J830" i="14" a="1"/>
  <c r="J830" i="14" s="1"/>
  <c r="M834" i="13"/>
  <c r="K657" i="13" l="1"/>
  <c r="K678" i="14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 l="1"/>
  <c r="I658" i="13" s="1"/>
  <c r="K679" i="14"/>
  <c r="L679" i="14" s="1"/>
  <c r="I680" i="14" s="1"/>
  <c r="M836" i="13"/>
  <c r="M837" i="14"/>
  <c r="N834" i="13"/>
  <c r="J833" i="13" a="1"/>
  <c r="J833" i="13" s="1"/>
  <c r="N833" i="14"/>
  <c r="J832" i="14" a="1"/>
  <c r="J832" i="14" s="1"/>
  <c r="K658" i="13" l="1"/>
  <c r="L658" i="13" s="1"/>
  <c r="I659" i="13" s="1"/>
  <c r="K680" i="14"/>
  <c r="M838" i="14"/>
  <c r="N834" i="14"/>
  <c r="J833" i="14" a="1"/>
  <c r="J833" i="14" s="1"/>
  <c r="M837" i="13"/>
  <c r="N835" i="13"/>
  <c r="J834" i="13" a="1"/>
  <c r="J834" i="13" s="1"/>
  <c r="K659" i="13" l="1"/>
  <c r="L659" i="13" s="1"/>
  <c r="I660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K660" i="13" l="1"/>
  <c r="L660" i="13" s="1"/>
  <c r="I661" i="13" s="1"/>
  <c r="M840" i="14"/>
  <c r="N836" i="14"/>
  <c r="J835" i="14" a="1"/>
  <c r="J835" i="14" s="1"/>
  <c r="M839" i="13"/>
  <c r="K681" i="14"/>
  <c r="N837" i="13"/>
  <c r="J836" i="13" a="1"/>
  <c r="J836" i="13" s="1"/>
  <c r="K661" i="13" l="1"/>
  <c r="L661" i="13" s="1"/>
  <c r="I662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K662" i="13" l="1"/>
  <c r="L662" i="13" s="1"/>
  <c r="I663" i="13" s="1"/>
  <c r="M842" i="14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 l="1"/>
  <c r="L663" i="13" s="1"/>
  <c r="I664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64" i="13" l="1"/>
  <c r="L664" i="13" s="1"/>
  <c r="I665" i="13" s="1"/>
  <c r="K684" i="14"/>
  <c r="L684" i="14" s="1"/>
  <c r="I685" i="14" s="1"/>
  <c r="N841" i="13"/>
  <c r="J840" i="13" a="1"/>
  <c r="J840" i="13" s="1"/>
  <c r="N840" i="14"/>
  <c r="J839" i="14" a="1"/>
  <c r="J839" i="14" s="1"/>
  <c r="M843" i="13"/>
  <c r="M844" i="14"/>
  <c r="K665" i="13" l="1"/>
  <c r="L665" i="13" s="1"/>
  <c r="I666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66" i="13" l="1"/>
  <c r="L666" i="13" s="1"/>
  <c r="I667" i="13" s="1"/>
  <c r="K686" i="14"/>
  <c r="L686" i="14" s="1"/>
  <c r="I687" i="14" s="1"/>
  <c r="N843" i="13"/>
  <c r="J842" i="13" a="1"/>
  <c r="J842" i="13" s="1"/>
  <c r="M846" i="14"/>
  <c r="M845" i="13"/>
  <c r="N842" i="14"/>
  <c r="J841" i="14" a="1"/>
  <c r="J841" i="14" s="1"/>
  <c r="K667" i="13" l="1"/>
  <c r="L667" i="13" s="1"/>
  <c r="I668" i="13" s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68" i="13" l="1"/>
  <c r="K688" i="14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 l="1"/>
  <c r="I669" i="13" s="1"/>
  <c r="K689" i="14"/>
  <c r="L689" i="14" s="1"/>
  <c r="I690" i="14" s="1"/>
  <c r="M849" i="14"/>
  <c r="N845" i="14"/>
  <c r="J844" i="14" a="1"/>
  <c r="J844" i="14" s="1"/>
  <c r="M848" i="13"/>
  <c r="N846" i="13"/>
  <c r="J845" i="13" a="1"/>
  <c r="J845" i="13" s="1"/>
  <c r="K669" i="13" l="1"/>
  <c r="K690" i="14"/>
  <c r="L690" i="14" s="1"/>
  <c r="I691" i="14" s="1"/>
  <c r="N847" i="13"/>
  <c r="J846" i="13" a="1"/>
  <c r="J846" i="13" s="1"/>
  <c r="N846" i="14"/>
  <c r="J845" i="14" a="1"/>
  <c r="J845" i="14" s="1"/>
  <c r="M849" i="13"/>
  <c r="M850" i="14"/>
  <c r="L669" i="13" l="1"/>
  <c r="I670" i="13" s="1"/>
  <c r="K691" i="14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 l="1"/>
  <c r="L670" i="13" s="1"/>
  <c r="I671" i="13" s="1"/>
  <c r="K692" i="14"/>
  <c r="N848" i="14"/>
  <c r="J847" i="14" a="1"/>
  <c r="J847" i="14" s="1"/>
  <c r="N849" i="13"/>
  <c r="J848" i="13" a="1"/>
  <c r="J848" i="13" s="1"/>
  <c r="M852" i="14"/>
  <c r="M851" i="13"/>
  <c r="K671" i="13" l="1"/>
  <c r="L671" i="13" s="1"/>
  <c r="I672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2" i="13" l="1"/>
  <c r="L672" i="13" s="1"/>
  <c r="I673" i="13" s="1"/>
  <c r="N850" i="14"/>
  <c r="J849" i="14" a="1"/>
  <c r="J849" i="14" s="1"/>
  <c r="M853" i="13"/>
  <c r="N851" i="13"/>
  <c r="J850" i="13" a="1"/>
  <c r="J850" i="13" s="1"/>
  <c r="M854" i="14"/>
  <c r="K693" i="14"/>
  <c r="K673" i="13" l="1"/>
  <c r="L673" i="13" s="1"/>
  <c r="I674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4" i="13" l="1"/>
  <c r="L674" i="13" s="1"/>
  <c r="I675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75" i="13" l="1"/>
  <c r="L675" i="13" s="1"/>
  <c r="I676" i="13" s="1"/>
  <c r="K695" i="14"/>
  <c r="L695" i="14" s="1"/>
  <c r="I696" i="14" s="1"/>
  <c r="M856" i="13"/>
  <c r="N853" i="14"/>
  <c r="J852" i="14" a="1"/>
  <c r="J852" i="14" s="1"/>
  <c r="M857" i="14"/>
  <c r="N854" i="13"/>
  <c r="J853" i="13" a="1"/>
  <c r="J853" i="13" s="1"/>
  <c r="K676" i="13" l="1"/>
  <c r="L676" i="13" s="1"/>
  <c r="I677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77" i="13" l="1"/>
  <c r="L677" i="13" s="1"/>
  <c r="I678" i="13" s="1"/>
  <c r="K697" i="14"/>
  <c r="L697" i="14" s="1"/>
  <c r="I698" i="14" s="1"/>
  <c r="N856" i="13"/>
  <c r="J855" i="13" a="1"/>
  <c r="J855" i="13" s="1"/>
  <c r="M858" i="13"/>
  <c r="M859" i="14"/>
  <c r="N855" i="14"/>
  <c r="J854" i="14" a="1"/>
  <c r="J854" i="14" s="1"/>
  <c r="K678" i="13" l="1"/>
  <c r="L678" i="13" s="1"/>
  <c r="I679" i="13" s="1"/>
  <c r="K698" i="14"/>
  <c r="L698" i="14" s="1"/>
  <c r="I699" i="14" s="1"/>
  <c r="M859" i="13"/>
  <c r="N856" i="14"/>
  <c r="J855" i="14" a="1"/>
  <c r="J855" i="14" s="1"/>
  <c r="M860" i="14"/>
  <c r="N857" i="13"/>
  <c r="J856" i="13" a="1"/>
  <c r="J856" i="13" s="1"/>
  <c r="K679" i="13" l="1"/>
  <c r="L679" i="13" s="1"/>
  <c r="I680" i="13" s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680" i="13" l="1"/>
  <c r="K700" i="14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 l="1"/>
  <c r="I681" i="13" s="1"/>
  <c r="K701" i="14"/>
  <c r="L701" i="14" s="1"/>
  <c r="I702" i="14" s="1"/>
  <c r="M862" i="13"/>
  <c r="N860" i="13"/>
  <c r="J859" i="13" a="1"/>
  <c r="J859" i="13" s="1"/>
  <c r="M863" i="14"/>
  <c r="N859" i="14"/>
  <c r="J858" i="14" a="1"/>
  <c r="J858" i="14" s="1"/>
  <c r="K681" i="13" l="1"/>
  <c r="K702" i="14"/>
  <c r="L702" i="14" s="1"/>
  <c r="I703" i="14" s="1"/>
  <c r="M864" i="14"/>
  <c r="M863" i="13"/>
  <c r="N860" i="14"/>
  <c r="J859" i="14" a="1"/>
  <c r="J859" i="14" s="1"/>
  <c r="N861" i="13"/>
  <c r="J860" i="13" a="1"/>
  <c r="J860" i="13" s="1"/>
  <c r="L681" i="13" l="1"/>
  <c r="I682" i="13" s="1"/>
  <c r="K703" i="14"/>
  <c r="L703" i="14" s="1"/>
  <c r="I704" i="14" s="1"/>
  <c r="N861" i="14"/>
  <c r="J860" i="14" a="1"/>
  <c r="J860" i="14" s="1"/>
  <c r="N862" i="13"/>
  <c r="J861" i="13" a="1"/>
  <c r="J861" i="13" s="1"/>
  <c r="M864" i="13"/>
  <c r="M865" i="14"/>
  <c r="K682" i="13" l="1"/>
  <c r="L682" i="13" s="1"/>
  <c r="I683" i="13" s="1"/>
  <c r="K704" i="14"/>
  <c r="N862" i="14"/>
  <c r="J861" i="14" a="1"/>
  <c r="J861" i="14" s="1"/>
  <c r="M865" i="13"/>
  <c r="M866" i="14"/>
  <c r="N863" i="13"/>
  <c r="J862" i="13" a="1"/>
  <c r="J862" i="13" s="1"/>
  <c r="K683" i="13" l="1"/>
  <c r="L683" i="13" s="1"/>
  <c r="I684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K684" i="13" l="1"/>
  <c r="L684" i="13" s="1"/>
  <c r="I685" i="13" s="1"/>
  <c r="N864" i="14"/>
  <c r="J863" i="14" a="1"/>
  <c r="J863" i="14" s="1"/>
  <c r="N865" i="13"/>
  <c r="J864" i="13" a="1"/>
  <c r="J864" i="13" s="1"/>
  <c r="M868" i="14"/>
  <c r="K705" i="14"/>
  <c r="M867" i="13"/>
  <c r="K685" i="13" l="1"/>
  <c r="L685" i="13" s="1"/>
  <c r="I686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6" i="13" l="1"/>
  <c r="L686" i="13" s="1"/>
  <c r="I687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687" i="13" l="1"/>
  <c r="L687" i="13" s="1"/>
  <c r="I688" i="13" s="1"/>
  <c r="K707" i="14"/>
  <c r="L707" i="14" s="1"/>
  <c r="I708" i="14" s="1"/>
  <c r="M870" i="13"/>
  <c r="N868" i="13"/>
  <c r="J867" i="13" a="1"/>
  <c r="J867" i="13" s="1"/>
  <c r="M871" i="14"/>
  <c r="N867" i="14"/>
  <c r="J866" i="14" a="1"/>
  <c r="J866" i="14" s="1"/>
  <c r="K688" i="13" l="1"/>
  <c r="L688" i="13" s="1"/>
  <c r="I689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689" i="13" l="1"/>
  <c r="L689" i="13" s="1"/>
  <c r="I690" i="13" s="1"/>
  <c r="K709" i="14"/>
  <c r="L709" i="14" s="1"/>
  <c r="I710" i="14" s="1"/>
  <c r="M872" i="13"/>
  <c r="N869" i="14"/>
  <c r="J868" i="14" a="1"/>
  <c r="J868" i="14" s="1"/>
  <c r="M873" i="14"/>
  <c r="N870" i="13"/>
  <c r="J869" i="13" a="1"/>
  <c r="J869" i="13" s="1"/>
  <c r="K690" i="13" l="1"/>
  <c r="L690" i="13" s="1"/>
  <c r="I691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691" i="13" l="1"/>
  <c r="L691" i="13" s="1"/>
  <c r="I692" i="13" s="1"/>
  <c r="K711" i="14"/>
  <c r="L711" i="14" s="1"/>
  <c r="I712" i="14" s="1"/>
  <c r="M875" i="14"/>
  <c r="M874" i="13"/>
  <c r="N871" i="14"/>
  <c r="J870" i="14" a="1"/>
  <c r="J870" i="14" s="1"/>
  <c r="N872" i="13"/>
  <c r="J871" i="13" a="1"/>
  <c r="J871" i="13" s="1"/>
  <c r="K692" i="13" l="1"/>
  <c r="L692" i="13" s="1"/>
  <c r="I693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3" i="13" l="1"/>
  <c r="L693" i="13" s="1"/>
  <c r="I694" i="13" s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694" i="13" l="1"/>
  <c r="K714" i="14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 l="1"/>
  <c r="I695" i="13" s="1"/>
  <c r="K715" i="14"/>
  <c r="L715" i="14" s="1"/>
  <c r="I716" i="14" s="1"/>
  <c r="M879" i="14"/>
  <c r="M878" i="13"/>
  <c r="N875" i="14"/>
  <c r="J874" i="14" a="1"/>
  <c r="J874" i="14" s="1"/>
  <c r="N876" i="13"/>
  <c r="J875" i="13" a="1"/>
  <c r="J875" i="13" s="1"/>
  <c r="K695" i="13" l="1"/>
  <c r="L695" i="13" s="1"/>
  <c r="I696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6" i="13" l="1"/>
  <c r="L696" i="13" s="1"/>
  <c r="I697" i="13" s="1"/>
  <c r="N877" i="14"/>
  <c r="J876" i="14" a="1"/>
  <c r="J876" i="14" s="1"/>
  <c r="M881" i="14"/>
  <c r="N878" i="13"/>
  <c r="J877" i="13" a="1"/>
  <c r="J877" i="13" s="1"/>
  <c r="K717" i="14"/>
  <c r="M880" i="13"/>
  <c r="K697" i="13" l="1"/>
  <c r="L697" i="13" s="1"/>
  <c r="I698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8" i="13" l="1"/>
  <c r="L698" i="13" s="1"/>
  <c r="I699" i="13" s="1"/>
  <c r="M883" i="14"/>
  <c r="N879" i="14"/>
  <c r="J878" i="14" a="1"/>
  <c r="J878" i="14" s="1"/>
  <c r="M882" i="13"/>
  <c r="K718" i="14"/>
  <c r="N880" i="13"/>
  <c r="J879" i="13" a="1"/>
  <c r="J879" i="13" s="1"/>
  <c r="K699" i="13" l="1"/>
  <c r="L699" i="13" s="1"/>
  <c r="I700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0" i="13" l="1"/>
  <c r="L700" i="13" s="1"/>
  <c r="I701" i="13" s="1"/>
  <c r="M884" i="13"/>
  <c r="N882" i="13"/>
  <c r="J881" i="13" a="1"/>
  <c r="J881" i="13" s="1"/>
  <c r="N881" i="14"/>
  <c r="J880" i="14" a="1"/>
  <c r="J880" i="14" s="1"/>
  <c r="K719" i="14"/>
  <c r="M885" i="14"/>
  <c r="K701" i="13" l="1"/>
  <c r="L701" i="13" s="1"/>
  <c r="I702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2" i="13" l="1"/>
  <c r="L702" i="13" s="1"/>
  <c r="I703" i="13" s="1"/>
  <c r="M887" i="14"/>
  <c r="M886" i="13"/>
  <c r="N884" i="13"/>
  <c r="J883" i="13" a="1"/>
  <c r="J883" i="13" s="1"/>
  <c r="K720" i="14"/>
  <c r="N883" i="14"/>
  <c r="J882" i="14" a="1"/>
  <c r="J882" i="14" s="1"/>
  <c r="K703" i="13" l="1"/>
  <c r="L703" i="13" s="1"/>
  <c r="I704" i="13" s="1"/>
  <c r="M888" i="14"/>
  <c r="N884" i="14"/>
  <c r="J883" i="14" a="1"/>
  <c r="J883" i="14" s="1"/>
  <c r="N885" i="13"/>
  <c r="J884" i="13" a="1"/>
  <c r="J884" i="13" s="1"/>
  <c r="M887" i="13"/>
  <c r="L720" i="14"/>
  <c r="I721" i="14" s="1"/>
  <c r="K704" i="13" l="1"/>
  <c r="M889" i="14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 l="1"/>
  <c r="I705" i="13" s="1"/>
  <c r="K722" i="14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 l="1"/>
  <c r="K723" i="14"/>
  <c r="L723" i="14" s="1"/>
  <c r="I724" i="14" s="1"/>
  <c r="M890" i="13"/>
  <c r="N888" i="13"/>
  <c r="J887" i="13" a="1"/>
  <c r="J887" i="13" s="1"/>
  <c r="N887" i="14"/>
  <c r="J886" i="14" a="1"/>
  <c r="J886" i="14" s="1"/>
  <c r="M891" i="14"/>
  <c r="L705" i="13" l="1"/>
  <c r="I706" i="13" s="1"/>
  <c r="M892" i="14"/>
  <c r="N889" i="13"/>
  <c r="J888" i="13" a="1"/>
  <c r="J888" i="13" s="1"/>
  <c r="N888" i="14"/>
  <c r="J887" i="14" a="1"/>
  <c r="J887" i="14" s="1"/>
  <c r="M891" i="13"/>
  <c r="K724" i="14"/>
  <c r="L724" i="14" s="1"/>
  <c r="I725" i="14" s="1"/>
  <c r="K706" i="13" l="1"/>
  <c r="L706" i="13" s="1"/>
  <c r="I707" i="13" s="1"/>
  <c r="K725" i="14"/>
  <c r="L725" i="14" s="1"/>
  <c r="I726" i="14" s="1"/>
  <c r="N890" i="13"/>
  <c r="J889" i="13" a="1"/>
  <c r="J889" i="13" s="1"/>
  <c r="N889" i="14"/>
  <c r="J888" i="14" a="1"/>
  <c r="J888" i="14" s="1"/>
  <c r="M892" i="13"/>
  <c r="M893" i="14"/>
  <c r="K707" i="13" l="1"/>
  <c r="L707" i="13" s="1"/>
  <c r="I708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08" i="13" l="1"/>
  <c r="L708" i="13" s="1"/>
  <c r="I709" i="13" s="1"/>
  <c r="K727" i="14"/>
  <c r="L727" i="14" s="1"/>
  <c r="I728" i="14" s="1"/>
  <c r="M895" i="14"/>
  <c r="N892" i="13"/>
  <c r="J891" i="13" a="1"/>
  <c r="J891" i="13" s="1"/>
  <c r="M894" i="13"/>
  <c r="N891" i="14"/>
  <c r="J890" i="14" a="1"/>
  <c r="J890" i="14" s="1"/>
  <c r="K709" i="13" l="1"/>
  <c r="L709" i="13" s="1"/>
  <c r="I710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10" i="13" l="1"/>
  <c r="L710" i="13" s="1"/>
  <c r="I711" i="13" s="1"/>
  <c r="K729" i="14"/>
  <c r="L729" i="14" s="1"/>
  <c r="I730" i="14" s="1"/>
  <c r="M896" i="13"/>
  <c r="M897" i="14"/>
  <c r="N893" i="14"/>
  <c r="J892" i="14" a="1"/>
  <c r="J892" i="14" s="1"/>
  <c r="N894" i="13"/>
  <c r="J893" i="13" a="1"/>
  <c r="J893" i="13" s="1"/>
  <c r="K711" i="13" l="1"/>
  <c r="L711" i="13" s="1"/>
  <c r="I712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12" i="13" l="1"/>
  <c r="L712" i="13" s="1"/>
  <c r="I713" i="13" s="1"/>
  <c r="K731" i="14"/>
  <c r="L731" i="14" s="1"/>
  <c r="I732" i="14" s="1"/>
  <c r="N896" i="13"/>
  <c r="J895" i="13" a="1"/>
  <c r="J895" i="13" s="1"/>
  <c r="N895" i="14"/>
  <c r="J894" i="14" a="1"/>
  <c r="J894" i="14" s="1"/>
  <c r="M898" i="13"/>
  <c r="M899" i="14"/>
  <c r="K713" i="13" l="1"/>
  <c r="L713" i="13" s="1"/>
  <c r="I714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14" i="13" l="1"/>
  <c r="L714" i="13" s="1"/>
  <c r="I715" i="13" s="1"/>
  <c r="K733" i="14"/>
  <c r="L733" i="14" s="1"/>
  <c r="I734" i="14" s="1"/>
  <c r="N897" i="14"/>
  <c r="J896" i="14" a="1"/>
  <c r="J896" i="14" s="1"/>
  <c r="M900" i="13"/>
  <c r="N898" i="13"/>
  <c r="J897" i="13" a="1"/>
  <c r="J897" i="13" s="1"/>
  <c r="M901" i="14"/>
  <c r="K715" i="13" l="1"/>
  <c r="L715" i="13" s="1"/>
  <c r="I716" i="13" s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16" i="13" l="1"/>
  <c r="K735" i="14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 l="1"/>
  <c r="I717" i="13" s="1"/>
  <c r="K736" i="14"/>
  <c r="L736" i="14" s="1"/>
  <c r="I737" i="14" s="1"/>
  <c r="M903" i="13"/>
  <c r="N901" i="13"/>
  <c r="J900" i="13" a="1"/>
  <c r="J900" i="13" s="1"/>
  <c r="M904" i="14"/>
  <c r="N900" i="14"/>
  <c r="J899" i="14" a="1"/>
  <c r="J899" i="14" s="1"/>
  <c r="K717" i="13" l="1"/>
  <c r="K737" i="14"/>
  <c r="L737" i="14" s="1"/>
  <c r="I738" i="14" s="1"/>
  <c r="M904" i="13"/>
  <c r="M905" i="14"/>
  <c r="N901" i="14"/>
  <c r="J900" i="14" a="1"/>
  <c r="J900" i="14" s="1"/>
  <c r="N902" i="13"/>
  <c r="J901" i="13" a="1"/>
  <c r="J901" i="13" s="1"/>
  <c r="L717" i="13" l="1"/>
  <c r="I718" i="13" s="1"/>
  <c r="K738" i="14"/>
  <c r="L738" i="14" s="1"/>
  <c r="I739" i="14" s="1"/>
  <c r="N903" i="13"/>
  <c r="J902" i="13" a="1"/>
  <c r="J902" i="13" s="1"/>
  <c r="M906" i="14"/>
  <c r="M905" i="13"/>
  <c r="N902" i="14"/>
  <c r="J901" i="14" a="1"/>
  <c r="J901" i="14" s="1"/>
  <c r="K718" i="13" l="1"/>
  <c r="K739" i="14"/>
  <c r="L739" i="14" s="1"/>
  <c r="I740" i="14" s="1"/>
  <c r="N904" i="13"/>
  <c r="J903" i="13" a="1"/>
  <c r="J903" i="13" s="1"/>
  <c r="N903" i="14"/>
  <c r="J902" i="14" a="1"/>
  <c r="J902" i="14" s="1"/>
  <c r="M906" i="13"/>
  <c r="M907" i="14"/>
  <c r="L718" i="13" l="1"/>
  <c r="I719" i="13" s="1"/>
  <c r="K740" i="14"/>
  <c r="L740" i="14" s="1"/>
  <c r="I741" i="14" s="1"/>
  <c r="N904" i="14"/>
  <c r="J903" i="14" a="1"/>
  <c r="J903" i="14" s="1"/>
  <c r="M907" i="13"/>
  <c r="M908" i="14"/>
  <c r="N905" i="13"/>
  <c r="J904" i="13" a="1"/>
  <c r="J904" i="13" s="1"/>
  <c r="K719" i="13" l="1"/>
  <c r="K741" i="14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 l="1"/>
  <c r="I720" i="13" s="1"/>
  <c r="K742" i="14"/>
  <c r="L742" i="14" s="1"/>
  <c r="I743" i="14" s="1"/>
  <c r="M910" i="14"/>
  <c r="M909" i="13"/>
  <c r="N907" i="13"/>
  <c r="J906" i="13" a="1"/>
  <c r="J906" i="13" s="1"/>
  <c r="N906" i="14"/>
  <c r="J905" i="14" a="1"/>
  <c r="J905" i="14" s="1"/>
  <c r="K720" i="13" l="1"/>
  <c r="L720" i="13" s="1"/>
  <c r="I721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21" i="13" l="1"/>
  <c r="L721" i="13" s="1"/>
  <c r="I722" i="13" s="1"/>
  <c r="K744" i="14"/>
  <c r="L744" i="14" s="1"/>
  <c r="I745" i="14" s="1"/>
  <c r="M912" i="14"/>
  <c r="N909" i="13"/>
  <c r="J908" i="13" a="1"/>
  <c r="J908" i="13" s="1"/>
  <c r="M911" i="13"/>
  <c r="N908" i="14"/>
  <c r="J907" i="14" a="1"/>
  <c r="J907" i="14" s="1"/>
  <c r="K722" i="13" l="1"/>
  <c r="L722" i="13" s="1"/>
  <c r="I723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23" i="13" l="1"/>
  <c r="L723" i="13" s="1"/>
  <c r="I724" i="13" s="1"/>
  <c r="K746" i="14"/>
  <c r="L746" i="14" s="1"/>
  <c r="I747" i="14" s="1"/>
  <c r="N911" i="13"/>
  <c r="J910" i="13" a="1"/>
  <c r="J910" i="13" s="1"/>
  <c r="M913" i="13"/>
  <c r="N910" i="14"/>
  <c r="J909" i="14" a="1"/>
  <c r="J909" i="14" s="1"/>
  <c r="M914" i="14"/>
  <c r="K724" i="13" l="1"/>
  <c r="L724" i="13" s="1"/>
  <c r="I725" i="13" s="1"/>
  <c r="K747" i="14"/>
  <c r="L747" i="14" s="1"/>
  <c r="I748" i="14" s="1"/>
  <c r="N911" i="14"/>
  <c r="J910" i="14" a="1"/>
  <c r="J910" i="14" s="1"/>
  <c r="N912" i="13"/>
  <c r="J911" i="13" a="1"/>
  <c r="J911" i="13" s="1"/>
  <c r="M915" i="14"/>
  <c r="M914" i="13"/>
  <c r="K725" i="13" l="1"/>
  <c r="L725" i="13" s="1"/>
  <c r="I726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26" i="13" l="1"/>
  <c r="L726" i="13" s="1"/>
  <c r="I727" i="13" s="1"/>
  <c r="K749" i="14"/>
  <c r="L749" i="14" s="1"/>
  <c r="I750" i="14" s="1"/>
  <c r="N913" i="14"/>
  <c r="J912" i="14" a="1"/>
  <c r="J912" i="14" s="1"/>
  <c r="N914" i="13"/>
  <c r="J913" i="13" a="1"/>
  <c r="J913" i="13" s="1"/>
  <c r="M917" i="14"/>
  <c r="M916" i="13"/>
  <c r="K727" i="13" l="1"/>
  <c r="L727" i="13" s="1"/>
  <c r="I728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28" i="13" l="1"/>
  <c r="L728" i="13" s="1"/>
  <c r="I729" i="13" s="1"/>
  <c r="K751" i="14"/>
  <c r="L751" i="14" s="1"/>
  <c r="I752" i="14" s="1"/>
  <c r="M918" i="13"/>
  <c r="M919" i="14"/>
  <c r="N915" i="14"/>
  <c r="J914" i="14" a="1"/>
  <c r="J914" i="14" s="1"/>
  <c r="N916" i="13"/>
  <c r="J915" i="13" a="1"/>
  <c r="J915" i="13" s="1"/>
  <c r="K729" i="13" l="1"/>
  <c r="L729" i="13" s="1"/>
  <c r="I730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0" i="13" l="1"/>
  <c r="L730" i="13" s="1"/>
  <c r="I731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1" i="13" l="1"/>
  <c r="L731" i="13" s="1"/>
  <c r="I732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2" i="13" l="1"/>
  <c r="L732" i="13" s="1"/>
  <c r="I733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3" i="13" l="1"/>
  <c r="L733" i="13" s="1"/>
  <c r="I734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34" i="13" l="1"/>
  <c r="L734" i="13" s="1"/>
  <c r="I735" i="13" s="1"/>
  <c r="K757" i="14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 l="1"/>
  <c r="L735" i="13" s="1"/>
  <c r="I736" i="13" s="1"/>
  <c r="K758" i="14"/>
  <c r="L758" i="14" s="1"/>
  <c r="I759" i="14" s="1"/>
  <c r="M925" i="13"/>
  <c r="N923" i="13"/>
  <c r="J922" i="13" a="1"/>
  <c r="J922" i="13" s="1"/>
  <c r="M926" i="14"/>
  <c r="N922" i="14"/>
  <c r="J921" i="14" a="1"/>
  <c r="J921" i="14" s="1"/>
  <c r="K736" i="13" l="1"/>
  <c r="L736" i="13" s="1"/>
  <c r="I737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37" i="13" l="1"/>
  <c r="L737" i="13" s="1"/>
  <c r="I738" i="13" s="1"/>
  <c r="K760" i="14"/>
  <c r="L760" i="14" s="1"/>
  <c r="I761" i="14" s="1"/>
  <c r="M928" i="14"/>
  <c r="M927" i="13"/>
  <c r="N925" i="13"/>
  <c r="J924" i="13" a="1"/>
  <c r="J924" i="13" s="1"/>
  <c r="N924" i="14"/>
  <c r="J923" i="14" a="1"/>
  <c r="J923" i="14" s="1"/>
  <c r="K738" i="13" l="1"/>
  <c r="L738" i="13" s="1"/>
  <c r="I739" i="13" s="1"/>
  <c r="K761" i="14"/>
  <c r="L761" i="14" s="1"/>
  <c r="I762" i="14" s="1"/>
  <c r="M928" i="13"/>
  <c r="N925" i="14"/>
  <c r="J924" i="14" a="1"/>
  <c r="J924" i="14" s="1"/>
  <c r="M929" i="14"/>
  <c r="N926" i="13"/>
  <c r="J925" i="13" a="1"/>
  <c r="J925" i="13" s="1"/>
  <c r="K739" i="13" l="1"/>
  <c r="L739" i="13" s="1"/>
  <c r="I740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40" i="13" l="1"/>
  <c r="L740" i="13" s="1"/>
  <c r="I741" i="13" s="1"/>
  <c r="K763" i="14"/>
  <c r="L763" i="14" s="1"/>
  <c r="I764" i="14" s="1"/>
  <c r="M930" i="13"/>
  <c r="M931" i="14"/>
  <c r="N928" i="13"/>
  <c r="J927" i="13" a="1"/>
  <c r="J927" i="13" s="1"/>
  <c r="N927" i="14"/>
  <c r="J926" i="14" a="1"/>
  <c r="J926" i="14" s="1"/>
  <c r="K741" i="13" l="1"/>
  <c r="L741" i="13" s="1"/>
  <c r="I742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42" i="13" l="1"/>
  <c r="L742" i="13" s="1"/>
  <c r="I743" i="13" s="1"/>
  <c r="K765" i="14"/>
  <c r="L765" i="14" s="1"/>
  <c r="I766" i="14" s="1"/>
  <c r="M932" i="13"/>
  <c r="N930" i="13"/>
  <c r="J929" i="13" a="1"/>
  <c r="J929" i="13" s="1"/>
  <c r="M933" i="14"/>
  <c r="N929" i="14"/>
  <c r="J928" i="14" a="1"/>
  <c r="J928" i="14" s="1"/>
  <c r="K743" i="13" l="1"/>
  <c r="L743" i="13" s="1"/>
  <c r="I744" i="13" s="1"/>
  <c r="K766" i="14"/>
  <c r="L766" i="14" s="1"/>
  <c r="I767" i="14" s="1"/>
  <c r="N931" i="13"/>
  <c r="J930" i="13" a="1"/>
  <c r="J930" i="13" s="1"/>
  <c r="M933" i="13"/>
  <c r="J929" i="14" a="1"/>
  <c r="J929" i="14" s="1"/>
  <c r="N930" i="14"/>
  <c r="M934" i="14"/>
  <c r="K744" i="13" l="1"/>
  <c r="L744" i="13" s="1"/>
  <c r="I745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45" i="13" l="1"/>
  <c r="L745" i="13" s="1"/>
  <c r="I746" i="13" s="1"/>
  <c r="K768" i="14"/>
  <c r="L768" i="14" s="1"/>
  <c r="I769" i="14" s="1"/>
  <c r="N933" i="13"/>
  <c r="J932" i="13" a="1"/>
  <c r="J932" i="13" s="1"/>
  <c r="M936" i="14"/>
  <c r="M935" i="13"/>
  <c r="J931" i="14" a="1"/>
  <c r="J931" i="14" s="1"/>
  <c r="N932" i="14"/>
  <c r="K746" i="13" l="1"/>
  <c r="L746" i="13" s="1"/>
  <c r="I747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47" i="13" l="1"/>
  <c r="L747" i="13" s="1"/>
  <c r="I748" i="13" s="1"/>
  <c r="K770" i="14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 l="1"/>
  <c r="L748" i="13" s="1"/>
  <c r="I749" i="13" s="1"/>
  <c r="K771" i="14"/>
  <c r="L771" i="14" s="1"/>
  <c r="I772" i="14" s="1"/>
  <c r="M939" i="14"/>
  <c r="N936" i="13"/>
  <c r="J935" i="13" a="1"/>
  <c r="J935" i="13" s="1"/>
  <c r="M938" i="13"/>
  <c r="N935" i="14"/>
  <c r="J934" i="14" a="1"/>
  <c r="J934" i="14" s="1"/>
  <c r="K749" i="13" l="1"/>
  <c r="L749" i="13" s="1"/>
  <c r="I750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0" i="13" l="1"/>
  <c r="L750" i="13" s="1"/>
  <c r="I751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51" i="13" l="1"/>
  <c r="L751" i="13" s="1"/>
  <c r="I752" i="13" s="1"/>
  <c r="K774" i="14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 l="1"/>
  <c r="L752" i="13" s="1"/>
  <c r="I753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3" i="13" l="1"/>
  <c r="L753" i="13" s="1"/>
  <c r="I754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54" i="13" l="1"/>
  <c r="L754" i="13" s="1"/>
  <c r="I755" i="13" s="1"/>
  <c r="K777" i="14"/>
  <c r="L777" i="14" s="1"/>
  <c r="I778" i="14" s="1"/>
  <c r="N941" i="14"/>
  <c r="J940" i="14" a="1"/>
  <c r="J940" i="14" s="1"/>
  <c r="N942" i="13"/>
  <c r="J941" i="13" a="1"/>
  <c r="J941" i="13" s="1"/>
  <c r="M944" i="13"/>
  <c r="M945" i="14"/>
  <c r="K755" i="13" l="1"/>
  <c r="L755" i="13" s="1"/>
  <c r="I756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56" i="13" l="1"/>
  <c r="L756" i="13" s="1"/>
  <c r="I757" i="13" s="1"/>
  <c r="K779" i="14"/>
  <c r="L779" i="14" s="1"/>
  <c r="I780" i="14" s="1"/>
  <c r="N943" i="14"/>
  <c r="J942" i="14" a="1"/>
  <c r="J942" i="14" s="1"/>
  <c r="M947" i="14"/>
  <c r="N944" i="13"/>
  <c r="J943" i="13" a="1"/>
  <c r="J943" i="13" s="1"/>
  <c r="M946" i="13"/>
  <c r="K757" i="13" l="1"/>
  <c r="L757" i="13" s="1"/>
  <c r="I758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8" i="13" l="1"/>
  <c r="L758" i="13" s="1"/>
  <c r="I759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59" i="13" l="1"/>
  <c r="L759" i="13" s="1"/>
  <c r="I760" i="13" s="1"/>
  <c r="K782" i="14"/>
  <c r="L782" i="14" s="1"/>
  <c r="I783" i="14" s="1"/>
  <c r="N947" i="13"/>
  <c r="J946" i="13" a="1"/>
  <c r="J946" i="13" s="1"/>
  <c r="J945" i="14" a="1"/>
  <c r="J945" i="14" s="1"/>
  <c r="N946" i="14"/>
  <c r="M950" i="14"/>
  <c r="M949" i="13"/>
  <c r="K760" i="13" l="1"/>
  <c r="L760" i="13" s="1"/>
  <c r="I761" i="13" s="1"/>
  <c r="K783" i="14"/>
  <c r="L783" i="14" s="1"/>
  <c r="I784" i="14" s="1"/>
  <c r="M950" i="13"/>
  <c r="N947" i="14"/>
  <c r="J946" i="14" a="1"/>
  <c r="J946" i="14" s="1"/>
  <c r="M951" i="14"/>
  <c r="N948" i="13"/>
  <c r="J947" i="13" a="1"/>
  <c r="J947" i="13" s="1"/>
  <c r="K761" i="13" l="1"/>
  <c r="L761" i="13" s="1"/>
  <c r="I762" i="13" s="1"/>
  <c r="K784" i="14"/>
  <c r="L784" i="14" s="1"/>
  <c r="I785" i="14" s="1"/>
  <c r="N949" i="13"/>
  <c r="J948" i="13" a="1"/>
  <c r="J948" i="13" s="1"/>
  <c r="J947" i="14" a="1"/>
  <c r="J947" i="14" s="1"/>
  <c r="N948" i="14"/>
  <c r="M952" i="14"/>
  <c r="M951" i="13"/>
  <c r="K762" i="13" l="1"/>
  <c r="L762" i="13" s="1"/>
  <c r="I763" i="13" s="1"/>
  <c r="K785" i="14"/>
  <c r="L785" i="14" s="1"/>
  <c r="I786" i="14" s="1"/>
  <c r="M953" i="14"/>
  <c r="M952" i="13"/>
  <c r="N949" i="14"/>
  <c r="J948" i="14" a="1"/>
  <c r="J948" i="14" s="1"/>
  <c r="N950" i="13"/>
  <c r="J949" i="13" a="1"/>
  <c r="J949" i="13" s="1"/>
  <c r="K763" i="13" l="1"/>
  <c r="L763" i="13" s="1"/>
  <c r="I764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64" i="13" l="1"/>
  <c r="L764" i="13" s="1"/>
  <c r="I765" i="13" s="1"/>
  <c r="K787" i="14"/>
  <c r="L787" i="14" s="1"/>
  <c r="I788" i="14" s="1"/>
  <c r="N952" i="13"/>
  <c r="J951" i="13" a="1"/>
  <c r="J951" i="13" s="1"/>
  <c r="N951" i="14"/>
  <c r="J950" i="14" a="1"/>
  <c r="J950" i="14" s="1"/>
  <c r="M955" i="14"/>
  <c r="M954" i="13"/>
  <c r="K765" i="13" l="1"/>
  <c r="L765" i="13" s="1"/>
  <c r="I766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6" i="13" l="1"/>
  <c r="L766" i="13" s="1"/>
  <c r="I767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7" i="13" l="1"/>
  <c r="L767" i="13" s="1"/>
  <c r="I768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68" i="13" l="1"/>
  <c r="L768" i="13" s="1"/>
  <c r="I769" i="13" s="1"/>
  <c r="K791" i="14"/>
  <c r="L791" i="14" s="1"/>
  <c r="I792" i="14" s="1"/>
  <c r="M959" i="14"/>
  <c r="M958" i="13"/>
  <c r="N956" i="13"/>
  <c r="J955" i="13" a="1"/>
  <c r="J955" i="13" s="1"/>
  <c r="N955" i="14"/>
  <c r="J954" i="14" a="1"/>
  <c r="J954" i="14" s="1"/>
  <c r="K769" i="13" l="1"/>
  <c r="L769" i="13" s="1"/>
  <c r="I770" i="13" s="1"/>
  <c r="K792" i="14"/>
  <c r="L792" i="14" s="1"/>
  <c r="I793" i="14" s="1"/>
  <c r="M959" i="13"/>
  <c r="M960" i="14"/>
  <c r="J955" i="14" a="1"/>
  <c r="J955" i="14" s="1"/>
  <c r="N956" i="14"/>
  <c r="N957" i="13"/>
  <c r="J956" i="13" a="1"/>
  <c r="J956" i="13" s="1"/>
  <c r="K770" i="13" l="1"/>
  <c r="L770" i="13" s="1"/>
  <c r="I771" i="13" s="1"/>
  <c r="K793" i="14"/>
  <c r="L793" i="14" s="1"/>
  <c r="I794" i="14" s="1"/>
  <c r="M961" i="14"/>
  <c r="M960" i="13"/>
  <c r="N958" i="13"/>
  <c r="J957" i="13" a="1"/>
  <c r="J957" i="13" s="1"/>
  <c r="N957" i="14"/>
  <c r="J956" i="14" a="1"/>
  <c r="J956" i="14" s="1"/>
  <c r="K771" i="13" l="1"/>
  <c r="L771" i="13" s="1"/>
  <c r="I772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72" i="13" l="1"/>
  <c r="L772" i="13" s="1"/>
  <c r="I773" i="13" s="1"/>
  <c r="K795" i="14"/>
  <c r="L795" i="14" s="1"/>
  <c r="I796" i="14" s="1"/>
  <c r="N960" i="13"/>
  <c r="J959" i="13" a="1"/>
  <c r="J959" i="13" s="1"/>
  <c r="N959" i="14"/>
  <c r="J958" i="14" a="1"/>
  <c r="J958" i="14" s="1"/>
  <c r="M963" i="14"/>
  <c r="M962" i="13"/>
  <c r="K773" i="13" l="1"/>
  <c r="L773" i="13" s="1"/>
  <c r="I774" i="13" s="1"/>
  <c r="K796" i="14"/>
  <c r="L796" i="14" s="1"/>
  <c r="I797" i="14" s="1"/>
  <c r="M964" i="14"/>
  <c r="M963" i="13"/>
  <c r="J959" i="14" a="1"/>
  <c r="J959" i="14" s="1"/>
  <c r="N960" i="14"/>
  <c r="N961" i="13"/>
  <c r="J960" i="13" a="1"/>
  <c r="J960" i="13" s="1"/>
  <c r="K774" i="13" l="1"/>
  <c r="L774" i="13" s="1"/>
  <c r="I775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75" i="13" l="1"/>
  <c r="L775" i="13" s="1"/>
  <c r="I776" i="13" s="1"/>
  <c r="K798" i="14"/>
  <c r="L798" i="14" s="1"/>
  <c r="I799" i="14" s="1"/>
  <c r="M965" i="13"/>
  <c r="M966" i="14"/>
  <c r="N963" i="13"/>
  <c r="J962" i="13" a="1"/>
  <c r="J962" i="13" s="1"/>
  <c r="J961" i="14" a="1"/>
  <c r="J961" i="14" s="1"/>
  <c r="N962" i="14"/>
  <c r="K776" i="13" l="1"/>
  <c r="L776" i="13" s="1"/>
  <c r="I777" i="13" s="1"/>
  <c r="K799" i="14"/>
  <c r="L799" i="14" s="1"/>
  <c r="I800" i="14" s="1"/>
  <c r="N963" i="14"/>
  <c r="J962" i="14" a="1"/>
  <c r="J962" i="14" s="1"/>
  <c r="M967" i="14"/>
  <c r="M966" i="13"/>
  <c r="N964" i="13"/>
  <c r="J963" i="13" a="1"/>
  <c r="J963" i="13" s="1"/>
  <c r="K777" i="13" l="1"/>
  <c r="L777" i="13" s="1"/>
  <c r="I778" i="13" s="1"/>
  <c r="K800" i="14"/>
  <c r="L800" i="14" s="1"/>
  <c r="I801" i="14" s="1"/>
  <c r="M968" i="14"/>
  <c r="N965" i="13"/>
  <c r="J964" i="13" a="1"/>
  <c r="J964" i="13" s="1"/>
  <c r="M967" i="13"/>
  <c r="J963" i="14" a="1"/>
  <c r="J963" i="14" s="1"/>
  <c r="N964" i="14"/>
  <c r="K778" i="13" l="1"/>
  <c r="L778" i="13" s="1"/>
  <c r="I779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79" i="13" l="1"/>
  <c r="L779" i="13" s="1"/>
  <c r="I780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780" i="13" l="1"/>
  <c r="L780" i="13" s="1"/>
  <c r="I781" i="13" s="1"/>
  <c r="K803" i="14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 l="1"/>
  <c r="L781" i="13" s="1"/>
  <c r="I782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782" i="13" l="1"/>
  <c r="L782" i="13" s="1"/>
  <c r="I783" i="13" s="1"/>
  <c r="K805" i="14"/>
  <c r="L805" i="14" s="1"/>
  <c r="I806" i="14" s="1"/>
  <c r="N969" i="14"/>
  <c r="J968" i="14" a="1"/>
  <c r="J968" i="14" s="1"/>
  <c r="M973" i="14"/>
  <c r="M972" i="13"/>
  <c r="N970" i="13"/>
  <c r="J969" i="13" a="1"/>
  <c r="J969" i="13" s="1"/>
  <c r="K783" i="13" l="1"/>
  <c r="L783" i="13" s="1"/>
  <c r="I784" i="13" s="1"/>
  <c r="K806" i="14"/>
  <c r="L806" i="14" s="1"/>
  <c r="I807" i="14" s="1"/>
  <c r="N971" i="13"/>
  <c r="J970" i="13" a="1"/>
  <c r="J970" i="13" s="1"/>
  <c r="M973" i="13"/>
  <c r="M974" i="14"/>
  <c r="J969" i="14" a="1"/>
  <c r="J969" i="14" s="1"/>
  <c r="N970" i="14"/>
  <c r="K784" i="13" l="1"/>
  <c r="L784" i="13" s="1"/>
  <c r="I785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785" i="13" l="1"/>
  <c r="L785" i="13" s="1"/>
  <c r="I786" i="13" s="1"/>
  <c r="K808" i="14"/>
  <c r="L808" i="14" s="1"/>
  <c r="I809" i="14" s="1"/>
  <c r="N973" i="13"/>
  <c r="J972" i="13" a="1"/>
  <c r="J972" i="13" s="1"/>
  <c r="M975" i="13"/>
  <c r="M976" i="14"/>
  <c r="J971" i="14" a="1"/>
  <c r="J971" i="14" s="1"/>
  <c r="N972" i="14"/>
  <c r="K786" i="13" l="1"/>
  <c r="L786" i="13" s="1"/>
  <c r="I787" i="13" s="1"/>
  <c r="K809" i="14"/>
  <c r="L809" i="14" s="1"/>
  <c r="I810" i="14" s="1"/>
  <c r="M977" i="14"/>
  <c r="N973" i="14"/>
  <c r="J972" i="14" a="1"/>
  <c r="J972" i="14" s="1"/>
  <c r="M976" i="13"/>
  <c r="N974" i="13"/>
  <c r="J973" i="13" a="1"/>
  <c r="J973" i="13" s="1"/>
  <c r="K787" i="13" l="1"/>
  <c r="L787" i="13" s="1"/>
  <c r="I788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8" i="13" l="1"/>
  <c r="L788" i="13" s="1"/>
  <c r="I789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789" i="13" l="1"/>
  <c r="L789" i="13" s="1"/>
  <c r="I790" i="13" s="1"/>
  <c r="K812" i="14"/>
  <c r="L812" i="14" s="1"/>
  <c r="I813" i="14" s="1"/>
  <c r="M979" i="13"/>
  <c r="M980" i="14"/>
  <c r="N977" i="13"/>
  <c r="J976" i="13" a="1"/>
  <c r="J976" i="13" s="1"/>
  <c r="J975" i="14" a="1"/>
  <c r="J975" i="14" s="1"/>
  <c r="N976" i="14"/>
  <c r="K790" i="13" l="1"/>
  <c r="L790" i="13" s="1"/>
  <c r="I791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791" i="13" l="1"/>
  <c r="L791" i="13" s="1"/>
  <c r="I792" i="13" s="1"/>
  <c r="K814" i="14"/>
  <c r="L814" i="14" s="1"/>
  <c r="I815" i="14" s="1"/>
  <c r="M982" i="14"/>
  <c r="N979" i="13"/>
  <c r="J978" i="13" a="1"/>
  <c r="J978" i="13" s="1"/>
  <c r="M981" i="13"/>
  <c r="J977" i="14" a="1"/>
  <c r="J977" i="14" s="1"/>
  <c r="N978" i="14"/>
  <c r="K792" i="13" l="1"/>
  <c r="L792" i="13" s="1"/>
  <c r="I793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793" i="13" l="1"/>
  <c r="L793" i="13" s="1"/>
  <c r="I794" i="13" s="1"/>
  <c r="K816" i="14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 l="1"/>
  <c r="L794" i="13" s="1"/>
  <c r="I795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795" i="13" l="1"/>
  <c r="L795" i="13" s="1"/>
  <c r="I796" i="13" s="1"/>
  <c r="K818" i="14"/>
  <c r="L818" i="14" s="1"/>
  <c r="I819" i="14" s="1"/>
  <c r="N983" i="13"/>
  <c r="J982" i="13" a="1"/>
  <c r="J982" i="13" s="1"/>
  <c r="J981" i="14" a="1"/>
  <c r="J981" i="14" s="1"/>
  <c r="N982" i="14"/>
  <c r="M985" i="13"/>
  <c r="M986" i="14"/>
  <c r="K796" i="13" l="1"/>
  <c r="L796" i="13" s="1"/>
  <c r="I797" i="13" s="1"/>
  <c r="K819" i="14"/>
  <c r="L819" i="14" s="1"/>
  <c r="I820" i="14" s="1"/>
  <c r="M986" i="13"/>
  <c r="M987" i="14"/>
  <c r="N983" i="14"/>
  <c r="J982" i="14" a="1"/>
  <c r="J982" i="14" s="1"/>
  <c r="N984" i="13"/>
  <c r="J983" i="13" a="1"/>
  <c r="J983" i="13" s="1"/>
  <c r="K797" i="13" l="1"/>
  <c r="L797" i="13" s="1"/>
  <c r="I798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798" i="13" l="1"/>
  <c r="L798" i="13" s="1"/>
  <c r="I799" i="13" s="1"/>
  <c r="K821" i="14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 l="1"/>
  <c r="L799" i="13" s="1"/>
  <c r="I800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00" i="13" l="1"/>
  <c r="L800" i="13" s="1"/>
  <c r="I801" i="13" s="1"/>
  <c r="K823" i="14"/>
  <c r="L823" i="14" s="1"/>
  <c r="I824" i="14" s="1"/>
  <c r="N987" i="14"/>
  <c r="J986" i="14" a="1"/>
  <c r="J986" i="14" s="1"/>
  <c r="N988" i="13"/>
  <c r="J987" i="13" a="1"/>
  <c r="J987" i="13" s="1"/>
  <c r="M990" i="13"/>
  <c r="M991" i="14"/>
  <c r="K801" i="13" l="1"/>
  <c r="L801" i="13" s="1"/>
  <c r="I802" i="13" s="1"/>
  <c r="K824" i="14"/>
  <c r="L824" i="14" s="1"/>
  <c r="I825" i="14" s="1"/>
  <c r="N989" i="13"/>
  <c r="J988" i="13" a="1"/>
  <c r="J988" i="13" s="1"/>
  <c r="M992" i="14"/>
  <c r="M991" i="13"/>
  <c r="J987" i="14" a="1"/>
  <c r="J987" i="14" s="1"/>
  <c r="N988" i="14"/>
  <c r="K802" i="13" l="1"/>
  <c r="L802" i="13" s="1"/>
  <c r="I803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3" i="13" l="1"/>
  <c r="L803" i="13" s="1"/>
  <c r="I804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4" i="13" l="1"/>
  <c r="L804" i="13" s="1"/>
  <c r="I805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05" i="13" l="1"/>
  <c r="L805" i="13" s="1"/>
  <c r="I806" i="13" s="1"/>
  <c r="K828" i="14"/>
  <c r="L828" i="14" s="1"/>
  <c r="I829" i="14" s="1"/>
  <c r="M995" i="13"/>
  <c r="J991" i="14" a="1"/>
  <c r="J991" i="14" s="1"/>
  <c r="N992" i="14"/>
  <c r="M996" i="14"/>
  <c r="N993" i="13"/>
  <c r="J992" i="13" a="1"/>
  <c r="J992" i="13" s="1"/>
  <c r="K806" i="13" l="1"/>
  <c r="L806" i="13" s="1"/>
  <c r="I807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7" i="13" l="1"/>
  <c r="L807" i="13" s="1"/>
  <c r="I808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08" i="13" l="1"/>
  <c r="L808" i="13" s="1"/>
  <c r="I809" i="13" s="1"/>
  <c r="K831" i="14"/>
  <c r="L831" i="14" s="1"/>
  <c r="I832" i="14" s="1"/>
  <c r="N996" i="13"/>
  <c r="J995" i="13" a="1"/>
  <c r="J995" i="13" s="1"/>
  <c r="M999" i="14"/>
  <c r="M998" i="13"/>
  <c r="N995" i="14"/>
  <c r="J994" i="14" a="1"/>
  <c r="J994" i="14" s="1"/>
  <c r="K809" i="13" l="1"/>
  <c r="L809" i="13" s="1"/>
  <c r="I810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10" i="13" l="1"/>
  <c r="L810" i="13" s="1"/>
  <c r="I811" i="13" s="1"/>
  <c r="K833" i="14"/>
  <c r="L833" i="14" s="1"/>
  <c r="I834" i="14" s="1"/>
  <c r="N998" i="13"/>
  <c r="J997" i="13" a="1"/>
  <c r="J997" i="13" s="1"/>
  <c r="M1000" i="13"/>
  <c r="M1001" i="14"/>
  <c r="N997" i="14"/>
  <c r="J996" i="14" a="1"/>
  <c r="J996" i="14" s="1"/>
  <c r="K811" i="13" l="1"/>
  <c r="L811" i="13" s="1"/>
  <c r="I812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12" i="13" l="1"/>
  <c r="L812" i="13" s="1"/>
  <c r="I813" i="13" s="1"/>
  <c r="K835" i="14"/>
  <c r="L835" i="14" s="1"/>
  <c r="I836" i="14" s="1"/>
  <c r="N1000" i="13"/>
  <c r="J999" i="13" a="1"/>
  <c r="J999" i="13" s="1"/>
  <c r="M1003" i="14"/>
  <c r="M1002" i="13"/>
  <c r="N999" i="14"/>
  <c r="J998" i="14" a="1"/>
  <c r="J998" i="14" s="1"/>
  <c r="K813" i="13" l="1"/>
  <c r="L813" i="13" s="1"/>
  <c r="I814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14" i="13" l="1"/>
  <c r="L814" i="13" s="1"/>
  <c r="I815" i="13" s="1"/>
  <c r="K837" i="14"/>
  <c r="L837" i="14" s="1"/>
  <c r="I838" i="14" s="1"/>
  <c r="M1004" i="13"/>
  <c r="N1001" i="14"/>
  <c r="J1000" i="14" a="1"/>
  <c r="J1000" i="14" s="1"/>
  <c r="M1005" i="14"/>
  <c r="N1002" i="13"/>
  <c r="J1001" i="13" a="1"/>
  <c r="J1001" i="13" s="1"/>
  <c r="K815" i="13" l="1"/>
  <c r="L815" i="13" s="1"/>
  <c r="I816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16" i="13" l="1"/>
  <c r="L816" i="13" s="1"/>
  <c r="I817" i="13" s="1"/>
  <c r="K839" i="14"/>
  <c r="L839" i="14" s="1"/>
  <c r="I840" i="14" s="1"/>
  <c r="M1006" i="13"/>
  <c r="N1003" i="14"/>
  <c r="J1002" i="14" a="1"/>
  <c r="J1002" i="14" s="1"/>
  <c r="M1007" i="14"/>
  <c r="N1004" i="13"/>
  <c r="J1003" i="13" a="1"/>
  <c r="J1003" i="13" s="1"/>
  <c r="K817" i="13" l="1"/>
  <c r="L817" i="13" s="1"/>
  <c r="I818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18" i="13" l="1"/>
  <c r="L818" i="13" s="1"/>
  <c r="I819" i="13" s="1"/>
  <c r="K841" i="14"/>
  <c r="L841" i="14" s="1"/>
  <c r="I842" i="14" s="1"/>
  <c r="M1008" i="13"/>
  <c r="N1006" i="13"/>
  <c r="J1005" i="13" a="1"/>
  <c r="J1005" i="13" s="1"/>
  <c r="M1009" i="14"/>
  <c r="N1005" i="14"/>
  <c r="J1004" i="14" a="1"/>
  <c r="J1004" i="14" s="1"/>
  <c r="K819" i="13" l="1"/>
  <c r="L819" i="13" s="1"/>
  <c r="I820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20" i="13" l="1"/>
  <c r="L820" i="13" s="1"/>
  <c r="I821" i="13" s="1"/>
  <c r="K843" i="14"/>
  <c r="L843" i="14" s="1"/>
  <c r="I844" i="14" s="1"/>
  <c r="J1006" i="14" a="1"/>
  <c r="J1006" i="14" s="1"/>
  <c r="N1007" i="14"/>
  <c r="N1008" i="13"/>
  <c r="J1007" i="13" a="1"/>
  <c r="J1007" i="13" s="1"/>
  <c r="M1010" i="13"/>
  <c r="M1011" i="14"/>
  <c r="K821" i="13" l="1"/>
  <c r="L821" i="13" s="1"/>
  <c r="I822" i="13" s="1"/>
  <c r="K844" i="14"/>
  <c r="L844" i="14" s="1"/>
  <c r="I845" i="14" s="1"/>
  <c r="M1011" i="13"/>
  <c r="N1009" i="13"/>
  <c r="J1008" i="13" a="1"/>
  <c r="J1008" i="13" s="1"/>
  <c r="M1012" i="14"/>
  <c r="N1008" i="14"/>
  <c r="J1007" i="14" a="1"/>
  <c r="J1007" i="14" s="1"/>
  <c r="K822" i="13" l="1"/>
  <c r="L822" i="13" s="1"/>
  <c r="I823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23" i="13" l="1"/>
  <c r="L823" i="13" s="1"/>
  <c r="I824" i="13" s="1"/>
  <c r="K846" i="14"/>
  <c r="L846" i="14" s="1"/>
  <c r="I847" i="14" s="1"/>
  <c r="M1014" i="14"/>
  <c r="N1011" i="13"/>
  <c r="J1010" i="13" a="1"/>
  <c r="J1010" i="13" s="1"/>
  <c r="M1013" i="13"/>
  <c r="N1010" i="14"/>
  <c r="J1009" i="14" a="1"/>
  <c r="J1009" i="14" s="1"/>
  <c r="K824" i="13" l="1"/>
  <c r="L824" i="13" s="1"/>
  <c r="I825" i="13" s="1"/>
  <c r="K847" i="14"/>
  <c r="L847" i="14" s="1"/>
  <c r="I848" i="14" s="1"/>
  <c r="N1012" i="13"/>
  <c r="J1011" i="13" a="1"/>
  <c r="J1011" i="13" s="1"/>
  <c r="J1010" i="14" a="1"/>
  <c r="J1010" i="14" s="1"/>
  <c r="N1011" i="14"/>
  <c r="M1014" i="13"/>
  <c r="M1015" i="14"/>
  <c r="K825" i="13" l="1"/>
  <c r="L825" i="13" s="1"/>
  <c r="I826" i="13" s="1"/>
  <c r="K848" i="14"/>
  <c r="L848" i="14" s="1"/>
  <c r="I849" i="14" s="1"/>
  <c r="M1016" i="14"/>
  <c r="N1012" i="14"/>
  <c r="J1011" i="14" a="1"/>
  <c r="J1011" i="14" s="1"/>
  <c r="M1015" i="13"/>
  <c r="N1013" i="13"/>
  <c r="J1012" i="13" a="1"/>
  <c r="J1012" i="13" s="1"/>
  <c r="K826" i="13" l="1"/>
  <c r="L826" i="13" s="1"/>
  <c r="I827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27" i="13" l="1"/>
  <c r="L827" i="13" s="1"/>
  <c r="I828" i="13" s="1"/>
  <c r="K850" i="14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 l="1"/>
  <c r="L828" i="13" s="1"/>
  <c r="I829" i="13" s="1"/>
  <c r="K851" i="14"/>
  <c r="L851" i="14" s="1"/>
  <c r="I852" i="14" s="1"/>
  <c r="M1018" i="13"/>
  <c r="N1016" i="13"/>
  <c r="J1015" i="13" a="1"/>
  <c r="J1015" i="13" s="1"/>
  <c r="M1019" i="14"/>
  <c r="J1014" i="14" a="1"/>
  <c r="J1014" i="14" s="1"/>
  <c r="N1015" i="14"/>
  <c r="K829" i="13" l="1"/>
  <c r="L829" i="13" s="1"/>
  <c r="I830" i="13" s="1"/>
  <c r="K852" i="14"/>
  <c r="L852" i="14" s="1"/>
  <c r="I853" i="14" s="1"/>
  <c r="N1017" i="13"/>
  <c r="J1016" i="13" a="1"/>
  <c r="J1016" i="13" s="1"/>
  <c r="M1019" i="13"/>
  <c r="N1016" i="14"/>
  <c r="J1015" i="14" a="1"/>
  <c r="J1015" i="14" s="1"/>
  <c r="M1020" i="14"/>
  <c r="K830" i="13" l="1"/>
  <c r="L830" i="13" s="1"/>
  <c r="I831" i="13" s="1"/>
  <c r="K853" i="14"/>
  <c r="L853" i="14" s="1"/>
  <c r="I854" i="14" s="1"/>
  <c r="N1017" i="14"/>
  <c r="J1016" i="14" a="1"/>
  <c r="J1016" i="14" s="1"/>
  <c r="M1021" i="14"/>
  <c r="M1020" i="13"/>
  <c r="N1018" i="13"/>
  <c r="J1017" i="13" a="1"/>
  <c r="J1017" i="13" s="1"/>
  <c r="K831" i="13" l="1"/>
  <c r="L831" i="13" s="1"/>
  <c r="I832" i="13" s="1"/>
  <c r="K854" i="14"/>
  <c r="L854" i="14" s="1"/>
  <c r="I855" i="14" s="1"/>
  <c r="N1019" i="13"/>
  <c r="J1018" i="13" a="1"/>
  <c r="J1018" i="13" s="1"/>
  <c r="M1022" i="14"/>
  <c r="M1021" i="13"/>
  <c r="N1018" i="14"/>
  <c r="J1017" i="14" a="1"/>
  <c r="J1017" i="14" s="1"/>
  <c r="K832" i="13" l="1"/>
  <c r="L832" i="13" s="1"/>
  <c r="I833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3" i="13" l="1"/>
  <c r="L833" i="13" s="1"/>
  <c r="I834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34" i="13" l="1"/>
  <c r="L834" i="13" s="1"/>
  <c r="I835" i="13" s="1"/>
  <c r="K857" i="14"/>
  <c r="L857" i="14" s="1"/>
  <c r="I858" i="14" s="1"/>
  <c r="M1024" i="13"/>
  <c r="N1022" i="13"/>
  <c r="J1021" i="13" a="1"/>
  <c r="J1021" i="13" s="1"/>
  <c r="N1021" i="14"/>
  <c r="J1020" i="14" a="1"/>
  <c r="J1020" i="14" s="1"/>
  <c r="M1025" i="14"/>
  <c r="K835" i="13" l="1"/>
  <c r="L835" i="13" s="1"/>
  <c r="I836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36" i="13" l="1"/>
  <c r="L836" i="13" s="1"/>
  <c r="I837" i="13" s="1"/>
  <c r="K859" i="14"/>
  <c r="L859" i="14" s="1"/>
  <c r="I860" i="14" s="1"/>
  <c r="N1024" i="13"/>
  <c r="J1023" i="13" a="1"/>
  <c r="J1023" i="13" s="1"/>
  <c r="J1022" i="14" a="1"/>
  <c r="J1022" i="14" s="1"/>
  <c r="N1023" i="14"/>
  <c r="M1026" i="13"/>
  <c r="M1027" i="14"/>
  <c r="K837" i="13" l="1"/>
  <c r="L837" i="13" s="1"/>
  <c r="I838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8" i="13" l="1"/>
  <c r="L838" i="13" s="1"/>
  <c r="I839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39" i="13" l="1"/>
  <c r="L839" i="13" s="1"/>
  <c r="I840" i="13" s="1"/>
  <c r="K862" i="14"/>
  <c r="L862" i="14" s="1"/>
  <c r="I863" i="14" s="1"/>
  <c r="J1025" i="14" a="1"/>
  <c r="J1025" i="14" s="1"/>
  <c r="N1026" i="14"/>
  <c r="M1030" i="14"/>
  <c r="M1029" i="13"/>
  <c r="N1027" i="13"/>
  <c r="J1026" i="13" a="1"/>
  <c r="J1026" i="13" s="1"/>
  <c r="K840" i="13" l="1"/>
  <c r="L840" i="13" s="1"/>
  <c r="I841" i="13" s="1"/>
  <c r="K863" i="14"/>
  <c r="L863" i="14" s="1"/>
  <c r="I864" i="14" s="1"/>
  <c r="M1030" i="13"/>
  <c r="N1028" i="13"/>
  <c r="J1027" i="13" a="1"/>
  <c r="J1027" i="13" s="1"/>
  <c r="M1031" i="14"/>
  <c r="J1026" i="14" a="1"/>
  <c r="J1026" i="14" s="1"/>
  <c r="N1027" i="14"/>
  <c r="K841" i="13" l="1"/>
  <c r="L841" i="13" s="1"/>
  <c r="I842" i="13" s="1"/>
  <c r="K864" i="14"/>
  <c r="L864" i="14" s="1"/>
  <c r="I865" i="14" s="1"/>
  <c r="N1029" i="13"/>
  <c r="J1028" i="13" a="1"/>
  <c r="J1028" i="13" s="1"/>
  <c r="M1032" i="14"/>
  <c r="M1031" i="13"/>
  <c r="N1028" i="14"/>
  <c r="J1027" i="14" a="1"/>
  <c r="J1027" i="14" s="1"/>
  <c r="K842" i="13" l="1"/>
  <c r="L842" i="13" s="1"/>
  <c r="I843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43" i="13" l="1"/>
  <c r="L843" i="13" s="1"/>
  <c r="I844" i="13" s="1"/>
  <c r="K866" i="14"/>
  <c r="L866" i="14" s="1"/>
  <c r="I867" i="14" s="1"/>
  <c r="N1031" i="13"/>
  <c r="J1030" i="13" a="1"/>
  <c r="J1030" i="13" s="1"/>
  <c r="M1033" i="13"/>
  <c r="M1034" i="14"/>
  <c r="J1029" i="14" a="1"/>
  <c r="J1029" i="14" s="1"/>
  <c r="N1030" i="14"/>
  <c r="K844" i="13" l="1"/>
  <c r="L844" i="13" s="1"/>
  <c r="I845" i="13" s="1"/>
  <c r="K867" i="14"/>
  <c r="L867" i="14" s="1"/>
  <c r="I868" i="14" s="1"/>
  <c r="M1035" i="14"/>
  <c r="J1030" i="14" a="1"/>
  <c r="J1030" i="14" s="1"/>
  <c r="N1031" i="14"/>
  <c r="M1034" i="13"/>
  <c r="N1032" i="13"/>
  <c r="J1031" i="13" a="1"/>
  <c r="J1031" i="13" s="1"/>
  <c r="K845" i="13" l="1"/>
  <c r="L845" i="13" s="1"/>
  <c r="I846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6" i="13" l="1"/>
  <c r="L846" i="13" s="1"/>
  <c r="I847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47" i="13" l="1"/>
  <c r="L847" i="13" s="1"/>
  <c r="I848" i="13" s="1"/>
  <c r="K870" i="14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 l="1"/>
  <c r="L848" i="13" s="1"/>
  <c r="I849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49" i="13" l="1"/>
  <c r="L849" i="13" s="1"/>
  <c r="I850" i="13" s="1"/>
  <c r="K872" i="14"/>
  <c r="L872" i="14" s="1"/>
  <c r="I873" i="14" s="1"/>
  <c r="N1036" i="14"/>
  <c r="J1035" i="14" a="1"/>
  <c r="J1035" i="14" s="1"/>
  <c r="M1039" i="13"/>
  <c r="M1040" i="14"/>
  <c r="N1037" i="13"/>
  <c r="J1036" i="13" a="1"/>
  <c r="J1036" i="13" s="1"/>
  <c r="K850" i="13" l="1"/>
  <c r="L850" i="13" s="1"/>
  <c r="I851" i="13" s="1"/>
  <c r="M1040" i="13"/>
  <c r="N1038" i="13"/>
  <c r="J1037" i="13" a="1"/>
  <c r="J1037" i="13" s="1"/>
  <c r="M1041" i="14"/>
  <c r="N1037" i="14"/>
  <c r="J1036" i="14" a="1"/>
  <c r="J1036" i="14" s="1"/>
  <c r="K873" i="14"/>
  <c r="L873" i="14" s="1"/>
  <c r="I874" i="14" s="1"/>
  <c r="K851" i="13" l="1"/>
  <c r="L851" i="13" s="1"/>
  <c r="I852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K852" i="13" l="1"/>
  <c r="L852" i="13" s="1"/>
  <c r="I853" i="13" s="1"/>
  <c r="N1040" i="13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 l="1"/>
  <c r="L853" i="13" s="1"/>
  <c r="I854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4" i="13" l="1"/>
  <c r="L854" i="13" s="1"/>
  <c r="I855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5" i="13" l="1"/>
  <c r="L855" i="13" s="1"/>
  <c r="I856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6" i="13" l="1"/>
  <c r="L856" i="13" s="1"/>
  <c r="I857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57" i="13" l="1"/>
  <c r="L857" i="13" s="1"/>
  <c r="I858" i="13" s="1"/>
  <c r="K880" i="14"/>
  <c r="L880" i="14" s="1"/>
  <c r="I881" i="14" s="1"/>
  <c r="N1045" i="13"/>
  <c r="J1044" i="13" a="1"/>
  <c r="J1044" i="13" s="1"/>
  <c r="M1047" i="13"/>
  <c r="M1048" i="14"/>
  <c r="N1044" i="14"/>
  <c r="J1043" i="14" a="1"/>
  <c r="J1043" i="14" s="1"/>
  <c r="K858" i="13" l="1"/>
  <c r="L858" i="13" s="1"/>
  <c r="I859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59" i="13" l="1"/>
  <c r="L859" i="13" s="1"/>
  <c r="I860" i="13" s="1"/>
  <c r="K882" i="14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 l="1"/>
  <c r="L860" i="13" s="1"/>
  <c r="I861" i="13" s="1"/>
  <c r="K883" i="14"/>
  <c r="L883" i="14" s="1"/>
  <c r="I884" i="14" s="1"/>
  <c r="M1050" i="13"/>
  <c r="N1048" i="13"/>
  <c r="J1047" i="13" a="1"/>
  <c r="J1047" i="13" s="1"/>
  <c r="M1051" i="14"/>
  <c r="J1046" i="14" a="1"/>
  <c r="J1046" i="14" s="1"/>
  <c r="N1047" i="14"/>
  <c r="K861" i="13" l="1"/>
  <c r="L861" i="13" s="1"/>
  <c r="I862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2" i="13" l="1"/>
  <c r="L862" i="13" s="1"/>
  <c r="I863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63" i="13" l="1"/>
  <c r="L863" i="13" s="1"/>
  <c r="I864" i="13" s="1"/>
  <c r="K886" i="14"/>
  <c r="L886" i="14" s="1"/>
  <c r="I887" i="14" s="1"/>
  <c r="N1051" i="13"/>
  <c r="J1050" i="13" a="1"/>
  <c r="J1050" i="13" s="1"/>
  <c r="J1049" i="14" a="1"/>
  <c r="J1049" i="14" s="1"/>
  <c r="N1050" i="14"/>
  <c r="M1054" i="14"/>
  <c r="M1053" i="13"/>
  <c r="K864" i="13" l="1"/>
  <c r="L864" i="13" s="1"/>
  <c r="I865" i="13" s="1"/>
  <c r="K887" i="14"/>
  <c r="L887" i="14" s="1"/>
  <c r="I888" i="14" s="1"/>
  <c r="J1050" i="14" a="1"/>
  <c r="J1050" i="14" s="1"/>
  <c r="N1051" i="14"/>
  <c r="M1054" i="13"/>
  <c r="M1055" i="14"/>
  <c r="N1052" i="13"/>
  <c r="J1051" i="13" a="1"/>
  <c r="J1051" i="13" s="1"/>
  <c r="K865" i="13" l="1"/>
  <c r="L865" i="13" s="1"/>
  <c r="I866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66" i="13" l="1"/>
  <c r="L866" i="13" s="1"/>
  <c r="I867" i="13" s="1"/>
  <c r="K889" i="14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 l="1"/>
  <c r="L867" i="13" s="1"/>
  <c r="I868" i="13" s="1"/>
  <c r="K890" i="14"/>
  <c r="L890" i="14" s="1"/>
  <c r="I891" i="14" s="1"/>
  <c r="J1053" i="14" a="1"/>
  <c r="J1053" i="14" s="1"/>
  <c r="N1054" i="14"/>
  <c r="N1055" i="13"/>
  <c r="J1054" i="13" a="1"/>
  <c r="J1054" i="13" s="1"/>
  <c r="M1058" i="14"/>
  <c r="M1057" i="13"/>
  <c r="K868" i="13" l="1"/>
  <c r="L868" i="13" s="1"/>
  <c r="I869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69" i="13" l="1"/>
  <c r="L869" i="13" s="1"/>
  <c r="I870" i="13" s="1"/>
  <c r="K892" i="14"/>
  <c r="L892" i="14" s="1"/>
  <c r="I893" i="14" s="1"/>
  <c r="M1059" i="13"/>
  <c r="N1057" i="13"/>
  <c r="J1056" i="13" a="1"/>
  <c r="J1056" i="13" s="1"/>
  <c r="M1060" i="14"/>
  <c r="N1056" i="14"/>
  <c r="J1055" i="14" a="1"/>
  <c r="J1055" i="14" s="1"/>
  <c r="K870" i="13" l="1"/>
  <c r="L870" i="13" s="1"/>
  <c r="I871" i="13" s="1"/>
  <c r="K893" i="14"/>
  <c r="L893" i="14" s="1"/>
  <c r="I894" i="14" s="1"/>
  <c r="N1058" i="13"/>
  <c r="J1057" i="13" a="1"/>
  <c r="J1057" i="13" s="1"/>
  <c r="N1057" i="14"/>
  <c r="J1056" i="14" a="1"/>
  <c r="J1056" i="14" s="1"/>
  <c r="M1060" i="13"/>
  <c r="M1061" i="14"/>
  <c r="K871" i="13" l="1"/>
  <c r="L871" i="13" s="1"/>
  <c r="I872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72" i="13" l="1"/>
  <c r="L872" i="13" s="1"/>
  <c r="I873" i="13" s="1"/>
  <c r="K895" i="14"/>
  <c r="L895" i="14" s="1"/>
  <c r="I896" i="14" s="1"/>
  <c r="J1058" i="14" a="1"/>
  <c r="J1058" i="14" s="1"/>
  <c r="N1059" i="14"/>
  <c r="N1060" i="13"/>
  <c r="J1059" i="13" a="1"/>
  <c r="J1059" i="13" s="1"/>
  <c r="M1062" i="13"/>
  <c r="M1063" i="14"/>
  <c r="K873" i="13" l="1"/>
  <c r="L873" i="13" s="1"/>
  <c r="I874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74" i="13" l="1"/>
  <c r="L874" i="13" s="1"/>
  <c r="I875" i="13" s="1"/>
  <c r="K897" i="14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 l="1"/>
  <c r="L875" i="13" s="1"/>
  <c r="I876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6" i="13" l="1"/>
  <c r="L876" i="13" s="1"/>
  <c r="I877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7" i="13" l="1"/>
  <c r="L877" i="13" s="1"/>
  <c r="I878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878" i="13" l="1"/>
  <c r="L878" i="13" s="1"/>
  <c r="I879" i="13" s="1"/>
  <c r="K901" i="14"/>
  <c r="L901" i="14" s="1"/>
  <c r="I902" i="14" s="1"/>
  <c r="M1069" i="14"/>
  <c r="N1066" i="13"/>
  <c r="J1065" i="13" a="1"/>
  <c r="J1065" i="13" s="1"/>
  <c r="M1068" i="13"/>
  <c r="N1065" i="14"/>
  <c r="J1064" i="14" a="1"/>
  <c r="J1064" i="14" s="1"/>
  <c r="K879" i="13" l="1"/>
  <c r="L879" i="13" s="1"/>
  <c r="I880" i="13" s="1"/>
  <c r="K902" i="14"/>
  <c r="L902" i="14" s="1"/>
  <c r="I903" i="14" s="1"/>
  <c r="J1065" i="14" a="1"/>
  <c r="J1065" i="14" s="1"/>
  <c r="N1066" i="14"/>
  <c r="N1067" i="13"/>
  <c r="J1066" i="13" a="1"/>
  <c r="J1066" i="13" s="1"/>
  <c r="M1069" i="13"/>
  <c r="M1070" i="14"/>
  <c r="K880" i="13" l="1"/>
  <c r="L880" i="13" s="1"/>
  <c r="I881" i="13" s="1"/>
  <c r="K903" i="14"/>
  <c r="L903" i="14" s="1"/>
  <c r="I904" i="14" s="1"/>
  <c r="M1071" i="14"/>
  <c r="N1068" i="13"/>
  <c r="J1067" i="13" a="1"/>
  <c r="J1067" i="13" s="1"/>
  <c r="M1070" i="13"/>
  <c r="J1066" i="14" a="1"/>
  <c r="J1066" i="14" s="1"/>
  <c r="N1067" i="14"/>
  <c r="K881" i="13" l="1"/>
  <c r="L881" i="13" s="1"/>
  <c r="I882" i="13" s="1"/>
  <c r="K904" i="14"/>
  <c r="L904" i="14" s="1"/>
  <c r="I905" i="14" s="1"/>
  <c r="N1068" i="14"/>
  <c r="J1067" i="14" a="1"/>
  <c r="J1067" i="14" s="1"/>
  <c r="N1069" i="13"/>
  <c r="J1068" i="13" a="1"/>
  <c r="J1068" i="13" s="1"/>
  <c r="M1071" i="13"/>
  <c r="M1072" i="14"/>
  <c r="K882" i="13" l="1"/>
  <c r="L882" i="13" s="1"/>
  <c r="I883" i="13" s="1"/>
  <c r="K905" i="14"/>
  <c r="L905" i="14" s="1"/>
  <c r="I906" i="14" s="1"/>
  <c r="N1070" i="13"/>
  <c r="J1069" i="13" a="1"/>
  <c r="J1069" i="13" s="1"/>
  <c r="M1073" i="14"/>
  <c r="M1072" i="13"/>
  <c r="N1069" i="14"/>
  <c r="J1068" i="14" a="1"/>
  <c r="J1068" i="14" s="1"/>
  <c r="K883" i="13" l="1"/>
  <c r="L883" i="13" s="1"/>
  <c r="I884" i="13" s="1"/>
  <c r="K906" i="14"/>
  <c r="L906" i="14" s="1"/>
  <c r="I907" i="14" s="1"/>
  <c r="J1069" i="14" a="1"/>
  <c r="J1069" i="14" s="1"/>
  <c r="N1070" i="14"/>
  <c r="M1074" i="14"/>
  <c r="M1073" i="13"/>
  <c r="N1071" i="13"/>
  <c r="J1070" i="13" a="1"/>
  <c r="J1070" i="13" s="1"/>
  <c r="K884" i="13" l="1"/>
  <c r="L884" i="13" s="1"/>
  <c r="I885" i="13" s="1"/>
  <c r="K907" i="14"/>
  <c r="L907" i="14" s="1"/>
  <c r="I908" i="14" s="1"/>
  <c r="M1075" i="14"/>
  <c r="N1072" i="13"/>
  <c r="J1071" i="13" a="1"/>
  <c r="J1071" i="13" s="1"/>
  <c r="M1074" i="13"/>
  <c r="J1070" i="14" a="1"/>
  <c r="J1070" i="14" s="1"/>
  <c r="N1071" i="14"/>
  <c r="K885" i="13" l="1"/>
  <c r="L885" i="13" s="1"/>
  <c r="I886" i="13" s="1"/>
  <c r="M1076" i="14"/>
  <c r="N1073" i="13"/>
  <c r="J1072" i="13" a="1"/>
  <c r="J1072" i="13" s="1"/>
  <c r="M1075" i="13"/>
  <c r="N1072" i="14"/>
  <c r="J1071" i="14" a="1"/>
  <c r="J1071" i="14" s="1"/>
  <c r="K908" i="14"/>
  <c r="L908" i="14" s="1"/>
  <c r="I909" i="14" s="1"/>
  <c r="K886" i="13" l="1"/>
  <c r="L886" i="13" s="1"/>
  <c r="I887" i="13" s="1"/>
  <c r="K909" i="14"/>
  <c r="L909" i="14" s="1"/>
  <c r="I910" i="14" s="1"/>
  <c r="N1074" i="13"/>
  <c r="J1073" i="13" a="1"/>
  <c r="J1073" i="13" s="1"/>
  <c r="N1073" i="14"/>
  <c r="J1072" i="14" a="1"/>
  <c r="J1072" i="14" s="1"/>
  <c r="M1076" i="13"/>
  <c r="M1077" i="14"/>
  <c r="K887" i="13" l="1"/>
  <c r="L887" i="13" s="1"/>
  <c r="I888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888" i="13" l="1"/>
  <c r="L888" i="13" s="1"/>
  <c r="I889" i="13" s="1"/>
  <c r="K911" i="14"/>
  <c r="L911" i="14" s="1"/>
  <c r="I912" i="14" s="1"/>
  <c r="J1074" i="14" a="1"/>
  <c r="J1074" i="14" s="1"/>
  <c r="N1075" i="14"/>
  <c r="N1076" i="13"/>
  <c r="J1075" i="13" a="1"/>
  <c r="J1075" i="13" s="1"/>
  <c r="M1078" i="13"/>
  <c r="M1079" i="14"/>
  <c r="K889" i="13" l="1"/>
  <c r="L889" i="13" s="1"/>
  <c r="I890" i="13" s="1"/>
  <c r="K912" i="14"/>
  <c r="L912" i="14" s="1"/>
  <c r="I913" i="14" s="1"/>
  <c r="N1077" i="13"/>
  <c r="J1076" i="13" a="1"/>
  <c r="J1076" i="13" s="1"/>
  <c r="M1080" i="14"/>
  <c r="N1076" i="14"/>
  <c r="J1075" i="14" a="1"/>
  <c r="J1075" i="14" s="1"/>
  <c r="M1079" i="13"/>
  <c r="K890" i="13" l="1"/>
  <c r="L890" i="13" s="1"/>
  <c r="I891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891" i="13" l="1"/>
  <c r="L891" i="13" s="1"/>
  <c r="I892" i="13" s="1"/>
  <c r="K914" i="14"/>
  <c r="L914" i="14" s="1"/>
  <c r="I915" i="14" s="1"/>
  <c r="N1079" i="13"/>
  <c r="J1078" i="13" a="1"/>
  <c r="J1078" i="13" s="1"/>
  <c r="M1082" i="14"/>
  <c r="J1077" i="14" a="1"/>
  <c r="J1077" i="14" s="1"/>
  <c r="N1078" i="14"/>
  <c r="M1081" i="13"/>
  <c r="K892" i="13" l="1"/>
  <c r="L892" i="13" s="1"/>
  <c r="I893" i="13" s="1"/>
  <c r="K915" i="14"/>
  <c r="L915" i="14" s="1"/>
  <c r="I916" i="14" s="1"/>
  <c r="N1080" i="13"/>
  <c r="J1079" i="13" a="1"/>
  <c r="J1079" i="13" s="1"/>
  <c r="J1078" i="14" a="1"/>
  <c r="J1078" i="14" s="1"/>
  <c r="N1079" i="14"/>
  <c r="M1082" i="13"/>
  <c r="M1083" i="14"/>
  <c r="K893" i="13" l="1"/>
  <c r="L893" i="13" s="1"/>
  <c r="I894" i="13" s="1"/>
  <c r="K916" i="14"/>
  <c r="L916" i="14" s="1"/>
  <c r="I917" i="14" s="1"/>
  <c r="M1083" i="13"/>
  <c r="M1084" i="14"/>
  <c r="N1080" i="14"/>
  <c r="J1079" i="14" a="1"/>
  <c r="J1079" i="14" s="1"/>
  <c r="N1081" i="13"/>
  <c r="J1080" i="13" a="1"/>
  <c r="J1080" i="13" s="1"/>
  <c r="K894" i="13" l="1"/>
  <c r="L894" i="13" s="1"/>
  <c r="I895" i="13" s="1"/>
  <c r="K917" i="14"/>
  <c r="L917" i="14" s="1"/>
  <c r="I918" i="14" s="1"/>
  <c r="N1082" i="13"/>
  <c r="J1081" i="13" a="1"/>
  <c r="J1081" i="13" s="1"/>
  <c r="M1085" i="14"/>
  <c r="M1084" i="13"/>
  <c r="N1081" i="14"/>
  <c r="J1080" i="14" a="1"/>
  <c r="J1080" i="14" s="1"/>
  <c r="K895" i="13" l="1"/>
  <c r="L895" i="13" s="1"/>
  <c r="I896" i="13" s="1"/>
  <c r="K918" i="14"/>
  <c r="L918" i="14" s="1"/>
  <c r="I919" i="14" s="1"/>
  <c r="M1085" i="13"/>
  <c r="J1081" i="14" a="1"/>
  <c r="J1081" i="14" s="1"/>
  <c r="N1082" i="14"/>
  <c r="M1086" i="14"/>
  <c r="N1083" i="13"/>
  <c r="J1082" i="13" a="1"/>
  <c r="J1082" i="13" s="1"/>
  <c r="K896" i="13" l="1"/>
  <c r="L896" i="13" s="1"/>
  <c r="I897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897" i="13" l="1"/>
  <c r="L897" i="13" s="1"/>
  <c r="I898" i="13" s="1"/>
  <c r="K920" i="14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 l="1"/>
  <c r="L898" i="13" s="1"/>
  <c r="I899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899" i="13" l="1"/>
  <c r="L899" i="13" s="1"/>
  <c r="I900" i="13" s="1"/>
  <c r="K922" i="14"/>
  <c r="L922" i="14" s="1"/>
  <c r="I923" i="14" s="1"/>
  <c r="N1087" i="13"/>
  <c r="J1086" i="13" a="1"/>
  <c r="J1086" i="13" s="1"/>
  <c r="M1090" i="14"/>
  <c r="M1089" i="13"/>
  <c r="J1085" i="14" a="1"/>
  <c r="J1085" i="14" s="1"/>
  <c r="N1086" i="14"/>
  <c r="K900" i="13" l="1"/>
  <c r="L900" i="13" s="1"/>
  <c r="I901" i="13" s="1"/>
  <c r="K923" i="14"/>
  <c r="L923" i="14" s="1"/>
  <c r="I924" i="14" s="1"/>
  <c r="M1091" i="14"/>
  <c r="J1086" i="14" a="1"/>
  <c r="J1086" i="14" s="1"/>
  <c r="N1087" i="14"/>
  <c r="M1090" i="13"/>
  <c r="N1088" i="13"/>
  <c r="J1087" i="13" a="1"/>
  <c r="J1087" i="13" s="1"/>
  <c r="K901" i="13" l="1"/>
  <c r="L901" i="13" s="1"/>
  <c r="I902" i="13" s="1"/>
  <c r="K924" i="14"/>
  <c r="L924" i="14" s="1"/>
  <c r="I925" i="14" s="1"/>
  <c r="N1088" i="14"/>
  <c r="J1087" i="14" a="1"/>
  <c r="J1087" i="14" s="1"/>
  <c r="M1091" i="13"/>
  <c r="N1089" i="13"/>
  <c r="J1088" i="13" a="1"/>
  <c r="J1088" i="13" s="1"/>
  <c r="M1092" i="14"/>
  <c r="K902" i="13" l="1"/>
  <c r="L902" i="13" s="1"/>
  <c r="I903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03" i="13" l="1"/>
  <c r="L903" i="13" s="1"/>
  <c r="I904" i="13" s="1"/>
  <c r="K926" i="14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 l="1"/>
  <c r="L904" i="13" s="1"/>
  <c r="I905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05" i="13" l="1"/>
  <c r="L905" i="13" s="1"/>
  <c r="I906" i="13" s="1"/>
  <c r="K928" i="14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 l="1"/>
  <c r="L906" i="13" s="1"/>
  <c r="I907" i="13" s="1"/>
  <c r="K929" i="14"/>
  <c r="L929" i="14" s="1"/>
  <c r="I930" i="14" s="1"/>
  <c r="M1096" i="13"/>
  <c r="N1094" i="13"/>
  <c r="J1093" i="13" a="1"/>
  <c r="J1093" i="13" s="1"/>
  <c r="N1093" i="14"/>
  <c r="J1092" i="14" a="1"/>
  <c r="J1092" i="14" s="1"/>
  <c r="M1097" i="14"/>
  <c r="K907" i="13" l="1"/>
  <c r="L907" i="13" s="1"/>
  <c r="I908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08" i="13" l="1"/>
  <c r="L908" i="13" s="1"/>
  <c r="I909" i="13" s="1"/>
  <c r="K931" i="14"/>
  <c r="L931" i="14" s="1"/>
  <c r="I932" i="14" s="1"/>
  <c r="N1096" i="13"/>
  <c r="J1095" i="13" a="1"/>
  <c r="J1095" i="13" s="1"/>
  <c r="J1094" i="14" a="1"/>
  <c r="J1094" i="14" s="1"/>
  <c r="N1095" i="14"/>
  <c r="M1098" i="13"/>
  <c r="M1099" i="14"/>
  <c r="K909" i="13" l="1"/>
  <c r="L909" i="13" s="1"/>
  <c r="I910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10" i="13" l="1"/>
  <c r="L910" i="13" s="1"/>
  <c r="I911" i="13" s="1"/>
  <c r="K933" i="14"/>
  <c r="L933" i="14" s="1"/>
  <c r="I934" i="14" s="1"/>
  <c r="N1098" i="13"/>
  <c r="J1097" i="13" a="1"/>
  <c r="J1097" i="13" s="1"/>
  <c r="M1101" i="14"/>
  <c r="M1100" i="13"/>
  <c r="N1097" i="14"/>
  <c r="J1096" i="14" a="1"/>
  <c r="J1096" i="14" s="1"/>
  <c r="K911" i="13" l="1"/>
  <c r="L911" i="13" s="1"/>
  <c r="I912" i="13" s="1"/>
  <c r="K934" i="14"/>
  <c r="L934" i="14" s="1"/>
  <c r="I935" i="14" s="1"/>
  <c r="J1097" i="14" a="1"/>
  <c r="J1097" i="14" s="1"/>
  <c r="N1098" i="14"/>
  <c r="M1102" i="14"/>
  <c r="M1101" i="13"/>
  <c r="N1099" i="13"/>
  <c r="J1098" i="13" a="1"/>
  <c r="J1098" i="13" s="1"/>
  <c r="K912" i="13" l="1"/>
  <c r="L912" i="13" s="1"/>
  <c r="I913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13" i="13" l="1"/>
  <c r="L913" i="13" s="1"/>
  <c r="I914" i="13" s="1"/>
  <c r="K936" i="14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 l="1"/>
  <c r="L914" i="13" s="1"/>
  <c r="I915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5" i="13" l="1"/>
  <c r="L915" i="13" s="1"/>
  <c r="I916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16" i="13" l="1"/>
  <c r="L916" i="13" s="1"/>
  <c r="I917" i="13" s="1"/>
  <c r="K939" i="14"/>
  <c r="L939" i="14" s="1"/>
  <c r="I940" i="14" s="1"/>
  <c r="J1102" i="14" a="1"/>
  <c r="J1102" i="14" s="1"/>
  <c r="N1103" i="14"/>
  <c r="M1107" i="14"/>
  <c r="M1106" i="13"/>
  <c r="N1104" i="13"/>
  <c r="J1103" i="13" a="1"/>
  <c r="J1103" i="13" s="1"/>
  <c r="K917" i="13" l="1"/>
  <c r="L917" i="13" s="1"/>
  <c r="I918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18" i="13" l="1"/>
  <c r="L918" i="13" s="1"/>
  <c r="I919" i="13" s="1"/>
  <c r="K941" i="14"/>
  <c r="L941" i="14" s="1"/>
  <c r="I942" i="14" s="1"/>
  <c r="M1108" i="13"/>
  <c r="N1105" i="14"/>
  <c r="J1104" i="14" a="1"/>
  <c r="J1104" i="14" s="1"/>
  <c r="M1109" i="14"/>
  <c r="N1106" i="13"/>
  <c r="J1105" i="13" a="1"/>
  <c r="J1105" i="13" s="1"/>
  <c r="K919" i="13" l="1"/>
  <c r="L919" i="13" s="1"/>
  <c r="I920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20" i="13" l="1"/>
  <c r="L920" i="13" s="1"/>
  <c r="I921" i="13" s="1"/>
  <c r="K943" i="14"/>
  <c r="L943" i="14" s="1"/>
  <c r="I944" i="14" s="1"/>
  <c r="M1110" i="13"/>
  <c r="M1111" i="14"/>
  <c r="J1106" i="14" a="1"/>
  <c r="J1106" i="14" s="1"/>
  <c r="N1107" i="14"/>
  <c r="N1108" i="13"/>
  <c r="J1107" i="13" a="1"/>
  <c r="J1107" i="13" s="1"/>
  <c r="K921" i="13" l="1"/>
  <c r="L921" i="13" s="1"/>
  <c r="I922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22" i="13" l="1"/>
  <c r="L922" i="13" s="1"/>
  <c r="I923" i="13" s="1"/>
  <c r="K945" i="14"/>
  <c r="L945" i="14" s="1"/>
  <c r="I946" i="14" s="1"/>
  <c r="M1112" i="13"/>
  <c r="N1110" i="13"/>
  <c r="J1109" i="13" a="1"/>
  <c r="J1109" i="13" s="1"/>
  <c r="N1109" i="14"/>
  <c r="J1108" i="14" a="1"/>
  <c r="J1108" i="14" s="1"/>
  <c r="M1113" i="14"/>
  <c r="K923" i="13" l="1"/>
  <c r="L923" i="13" s="1"/>
  <c r="I924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4" i="13" l="1"/>
  <c r="L924" i="13" s="1"/>
  <c r="I925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5" i="13" l="1"/>
  <c r="L925" i="13" s="1"/>
  <c r="I926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6" i="13" l="1"/>
  <c r="L926" i="13" s="1"/>
  <c r="I927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7" i="13" l="1"/>
  <c r="L927" i="13" s="1"/>
  <c r="I928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8" i="13" l="1"/>
  <c r="L928" i="13" s="1"/>
  <c r="I929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29" i="13" l="1"/>
  <c r="L929" i="13" s="1"/>
  <c r="I930" i="13" s="1"/>
  <c r="K952" i="14"/>
  <c r="L952" i="14" s="1"/>
  <c r="I953" i="14" s="1"/>
  <c r="N1116" i="14"/>
  <c r="J1115" i="14" a="1"/>
  <c r="J1115" i="14" s="1"/>
  <c r="N1117" i="13"/>
  <c r="J1116" i="13" a="1"/>
  <c r="J1116" i="13" s="1"/>
  <c r="M1119" i="13"/>
  <c r="M1120" i="14"/>
  <c r="K930" i="13" l="1"/>
  <c r="L930" i="13" s="1"/>
  <c r="I931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31" i="13" l="1"/>
  <c r="L931" i="13" s="1"/>
  <c r="I932" i="13" s="1"/>
  <c r="K954" i="14"/>
  <c r="L954" i="14" s="1"/>
  <c r="I955" i="14" s="1"/>
  <c r="J1117" i="14" a="1"/>
  <c r="J1117" i="14" s="1"/>
  <c r="N1118" i="14"/>
  <c r="M1122" i="14"/>
  <c r="M1121" i="13"/>
  <c r="N1119" i="13"/>
  <c r="J1118" i="13" a="1"/>
  <c r="J1118" i="13" s="1"/>
  <c r="K932" i="13" l="1"/>
  <c r="L932" i="13" s="1"/>
  <c r="I933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3" i="13" l="1"/>
  <c r="L933" i="13" s="1"/>
  <c r="I934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34" i="13" l="1"/>
  <c r="L934" i="13" s="1"/>
  <c r="I935" i="13" s="1"/>
  <c r="K957" i="14"/>
  <c r="L957" i="14" s="1"/>
  <c r="I958" i="14" s="1"/>
  <c r="N1121" i="14"/>
  <c r="J1120" i="14" a="1"/>
  <c r="J1120" i="14" s="1"/>
  <c r="N1122" i="13"/>
  <c r="J1121" i="13" a="1"/>
  <c r="J1121" i="13" s="1"/>
  <c r="M1124" i="13"/>
  <c r="M1125" i="14"/>
  <c r="K935" i="13" l="1"/>
  <c r="L935" i="13" s="1"/>
  <c r="I936" i="13" s="1"/>
  <c r="K958" i="14"/>
  <c r="L958" i="14" s="1"/>
  <c r="I959" i="14" s="1"/>
  <c r="N1123" i="13"/>
  <c r="J1122" i="13" a="1"/>
  <c r="J1122" i="13" s="1"/>
  <c r="M1126" i="14"/>
  <c r="M1125" i="13"/>
  <c r="J1121" i="14" a="1"/>
  <c r="J1121" i="14" s="1"/>
  <c r="N1122" i="14"/>
  <c r="K936" i="13" l="1"/>
  <c r="L936" i="13" s="1"/>
  <c r="I937" i="13" s="1"/>
  <c r="K959" i="14"/>
  <c r="L959" i="14" s="1"/>
  <c r="I960" i="14" s="1"/>
  <c r="M1127" i="14"/>
  <c r="M1126" i="13"/>
  <c r="J1122" i="14" a="1"/>
  <c r="J1122" i="14" s="1"/>
  <c r="N1123" i="14"/>
  <c r="N1124" i="13"/>
  <c r="J1123" i="13" a="1"/>
  <c r="J1123" i="13" s="1"/>
  <c r="K937" i="13" l="1"/>
  <c r="L937" i="13" s="1"/>
  <c r="I938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38" i="13" l="1"/>
  <c r="L938" i="13" s="1"/>
  <c r="I939" i="13" s="1"/>
  <c r="K961" i="14"/>
  <c r="L961" i="14" s="1"/>
  <c r="I962" i="14" s="1"/>
  <c r="N1126" i="13"/>
  <c r="J1125" i="13" a="1"/>
  <c r="J1125" i="13" s="1"/>
  <c r="M1128" i="13"/>
  <c r="N1125" i="14"/>
  <c r="J1124" i="14" a="1"/>
  <c r="J1124" i="14" s="1"/>
  <c r="M1129" i="14"/>
  <c r="K939" i="13" l="1"/>
  <c r="L939" i="13" s="1"/>
  <c r="I940" i="13" s="1"/>
  <c r="K962" i="14"/>
  <c r="L962" i="14" s="1"/>
  <c r="I963" i="14" s="1"/>
  <c r="J1125" i="14" a="1"/>
  <c r="J1125" i="14" s="1"/>
  <c r="N1126" i="14"/>
  <c r="M1130" i="14"/>
  <c r="M1129" i="13"/>
  <c r="N1127" i="13"/>
  <c r="J1126" i="13" a="1"/>
  <c r="J1126" i="13" s="1"/>
  <c r="K940" i="13" l="1"/>
  <c r="L940" i="13" s="1"/>
  <c r="I941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1" i="13" l="1"/>
  <c r="L941" i="13" s="1"/>
  <c r="I942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42" i="13" l="1"/>
  <c r="L942" i="13" s="1"/>
  <c r="I943" i="13" s="1"/>
  <c r="K965" i="14"/>
  <c r="L965" i="14" s="1"/>
  <c r="I966" i="14" s="1"/>
  <c r="N1130" i="13"/>
  <c r="J1129" i="13" a="1"/>
  <c r="J1129" i="13" s="1"/>
  <c r="N1129" i="14"/>
  <c r="J1128" i="14" a="1"/>
  <c r="J1128" i="14" s="1"/>
  <c r="M1132" i="13"/>
  <c r="M1133" i="14"/>
  <c r="K943" i="13" l="1"/>
  <c r="L943" i="13" s="1"/>
  <c r="I944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4" i="13" l="1"/>
  <c r="L944" i="13" s="1"/>
  <c r="I945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45" i="13" l="1"/>
  <c r="L945" i="13" s="1"/>
  <c r="I946" i="13" s="1"/>
  <c r="K968" i="14"/>
  <c r="L968" i="14" s="1"/>
  <c r="I969" i="14" s="1"/>
  <c r="N1133" i="13"/>
  <c r="J1132" i="13" a="1"/>
  <c r="J1132" i="13" s="1"/>
  <c r="N1132" i="14"/>
  <c r="J1131" i="14" a="1"/>
  <c r="J1131" i="14" s="1"/>
  <c r="M1136" i="14"/>
  <c r="M1135" i="13"/>
  <c r="K946" i="13" l="1"/>
  <c r="L946" i="13" s="1"/>
  <c r="I947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7" i="13" l="1"/>
  <c r="L947" i="13" s="1"/>
  <c r="I948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48" i="13" l="1"/>
  <c r="L948" i="13" s="1"/>
  <c r="I949" i="13" s="1"/>
  <c r="K971" i="14"/>
  <c r="L971" i="14" s="1"/>
  <c r="I972" i="14" s="1"/>
  <c r="J1134" i="14" a="1"/>
  <c r="J1134" i="14" s="1"/>
  <c r="N1135" i="14"/>
  <c r="M1138" i="13"/>
  <c r="M1139" i="14"/>
  <c r="N1136" i="13"/>
  <c r="J1135" i="13" a="1"/>
  <c r="J1135" i="13" s="1"/>
  <c r="K949" i="13" l="1"/>
  <c r="L949" i="13" s="1"/>
  <c r="I950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50" i="13" l="1"/>
  <c r="L950" i="13" s="1"/>
  <c r="I951" i="13" s="1"/>
  <c r="K973" i="14"/>
  <c r="L973" i="14" s="1"/>
  <c r="I974" i="14" s="1"/>
  <c r="N1137" i="14"/>
  <c r="J1136" i="14" a="1"/>
  <c r="J1136" i="14" s="1"/>
  <c r="M1140" i="13"/>
  <c r="M1141" i="14"/>
  <c r="N1138" i="13"/>
  <c r="J1137" i="13" a="1"/>
  <c r="J1137" i="13" s="1"/>
  <c r="K951" i="13" l="1"/>
  <c r="L951" i="13" s="1"/>
  <c r="I952" i="13" s="1"/>
  <c r="K974" i="14"/>
  <c r="L974" i="14" s="1"/>
  <c r="I975" i="14" s="1"/>
  <c r="N1139" i="13"/>
  <c r="J1138" i="13" a="1"/>
  <c r="J1138" i="13" s="1"/>
  <c r="M1142" i="14"/>
  <c r="M1141" i="13"/>
  <c r="J1137" i="14" a="1"/>
  <c r="J1137" i="14" s="1"/>
  <c r="N1138" i="14"/>
  <c r="K952" i="13" l="1"/>
  <c r="L952" i="13" s="1"/>
  <c r="I953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53" i="13" l="1"/>
  <c r="L953" i="13" s="1"/>
  <c r="I954" i="13" s="1"/>
  <c r="K976" i="14"/>
  <c r="L976" i="14" s="1"/>
  <c r="I977" i="14" s="1"/>
  <c r="N1141" i="13"/>
  <c r="J1140" i="13" a="1"/>
  <c r="J1140" i="13" s="1"/>
  <c r="M1143" i="13"/>
  <c r="M1144" i="14"/>
  <c r="N1140" i="14"/>
  <c r="J1139" i="14" a="1"/>
  <c r="J1139" i="14" s="1"/>
  <c r="K954" i="13" l="1"/>
  <c r="L954" i="13" s="1"/>
  <c r="I955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55" i="13" l="1"/>
  <c r="L955" i="13" s="1"/>
  <c r="I956" i="13" s="1"/>
  <c r="K978" i="14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 l="1"/>
  <c r="L956" i="13" s="1"/>
  <c r="I957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7" i="13" l="1"/>
  <c r="L957" i="13" s="1"/>
  <c r="I958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8" i="13" l="1"/>
  <c r="L958" i="13" s="1"/>
  <c r="I959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59" i="13" l="1"/>
  <c r="L959" i="13" s="1"/>
  <c r="I960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60" i="13" l="1"/>
  <c r="L960" i="13" s="1"/>
  <c r="I961" i="13" s="1"/>
  <c r="K983" i="14"/>
  <c r="L983" i="14" s="1"/>
  <c r="I984" i="14" s="1"/>
  <c r="J1146" i="14" a="1"/>
  <c r="J1146" i="14" s="1"/>
  <c r="N1147" i="14"/>
  <c r="M1150" i="13"/>
  <c r="N1148" i="13"/>
  <c r="J1147" i="13" a="1"/>
  <c r="J1147" i="13" s="1"/>
  <c r="M1151" i="14"/>
  <c r="K961" i="13" l="1"/>
  <c r="L961" i="13" s="1"/>
  <c r="I962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62" i="13" l="1"/>
  <c r="L962" i="13" s="1"/>
  <c r="I963" i="13" s="1"/>
  <c r="K985" i="14"/>
  <c r="L985" i="14" s="1"/>
  <c r="I986" i="14" s="1"/>
  <c r="N1150" i="13"/>
  <c r="J1149" i="13" a="1"/>
  <c r="J1149" i="13" s="1"/>
  <c r="M1153" i="14"/>
  <c r="M1152" i="13"/>
  <c r="N1149" i="14"/>
  <c r="J1148" i="14" a="1"/>
  <c r="J1148" i="14" s="1"/>
  <c r="K963" i="13" l="1"/>
  <c r="L963" i="13" s="1"/>
  <c r="I964" i="13" s="1"/>
  <c r="K986" i="14"/>
  <c r="L986" i="14" s="1"/>
  <c r="I987" i="14" s="1"/>
  <c r="J1149" i="14" a="1"/>
  <c r="J1149" i="14" s="1"/>
  <c r="N1150" i="14"/>
  <c r="M1154" i="14"/>
  <c r="M1153" i="13"/>
  <c r="N1151" i="13"/>
  <c r="J1150" i="13" a="1"/>
  <c r="J1150" i="13" s="1"/>
  <c r="K964" i="13" l="1"/>
  <c r="L964" i="13" s="1"/>
  <c r="I965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65" i="13" l="1"/>
  <c r="L965" i="13" s="1"/>
  <c r="I966" i="13" s="1"/>
  <c r="K988" i="14"/>
  <c r="L988" i="14" s="1"/>
  <c r="I989" i="14" s="1"/>
  <c r="N1153" i="13"/>
  <c r="J1152" i="13" a="1"/>
  <c r="J1152" i="13" s="1"/>
  <c r="M1155" i="13"/>
  <c r="M1156" i="14"/>
  <c r="N1152" i="14"/>
  <c r="J1151" i="14" a="1"/>
  <c r="J1151" i="14" s="1"/>
  <c r="K966" i="13" l="1"/>
  <c r="L966" i="13" s="1"/>
  <c r="I967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67" i="13" l="1"/>
  <c r="L967" i="13" s="1"/>
  <c r="I968" i="13" s="1"/>
  <c r="K990" i="14"/>
  <c r="L990" i="14" s="1"/>
  <c r="I991" i="14" s="1"/>
  <c r="N1155" i="13"/>
  <c r="J1154" i="13" a="1"/>
  <c r="J1154" i="13" s="1"/>
  <c r="J1153" i="14" a="1"/>
  <c r="J1153" i="14" s="1"/>
  <c r="N1154" i="14"/>
  <c r="M1157" i="13"/>
  <c r="M1158" i="14"/>
  <c r="K968" i="13" l="1"/>
  <c r="L968" i="13" s="1"/>
  <c r="I969" i="13" s="1"/>
  <c r="K991" i="14"/>
  <c r="L991" i="14" s="1"/>
  <c r="I992" i="14" s="1"/>
  <c r="J1154" i="14" a="1"/>
  <c r="J1154" i="14" s="1"/>
  <c r="N1155" i="14"/>
  <c r="M1158" i="13"/>
  <c r="M1159" i="14"/>
  <c r="N1156" i="13"/>
  <c r="J1155" i="13" a="1"/>
  <c r="J1155" i="13" s="1"/>
  <c r="K969" i="13" l="1"/>
  <c r="L969" i="13" s="1"/>
  <c r="I970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0" i="13" l="1"/>
  <c r="L970" i="13" s="1"/>
  <c r="I971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71" i="13" l="1"/>
  <c r="L971" i="13" s="1"/>
  <c r="I972" i="13" s="1"/>
  <c r="K994" i="14"/>
  <c r="L994" i="14" s="1"/>
  <c r="I995" i="14" s="1"/>
  <c r="M1161" i="13"/>
  <c r="M1162" i="14"/>
  <c r="N1159" i="13"/>
  <c r="J1158" i="13" a="1"/>
  <c r="J1158" i="13" s="1"/>
  <c r="J1157" i="14" a="1"/>
  <c r="J1157" i="14" s="1"/>
  <c r="N1158" i="14"/>
  <c r="K972" i="13" l="1"/>
  <c r="L972" i="13" s="1"/>
  <c r="I973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73" i="13" l="1"/>
  <c r="L973" i="13" s="1"/>
  <c r="I974" i="13" s="1"/>
  <c r="K996" i="14"/>
  <c r="L996" i="14" s="1"/>
  <c r="I997" i="14" s="1"/>
  <c r="M1163" i="13"/>
  <c r="N1161" i="13"/>
  <c r="J1160" i="13" a="1"/>
  <c r="J1160" i="13" s="1"/>
  <c r="N1160" i="14"/>
  <c r="J1159" i="14" a="1"/>
  <c r="J1159" i="14" s="1"/>
  <c r="M1164" i="14"/>
  <c r="K974" i="13" l="1"/>
  <c r="L974" i="13" s="1"/>
  <c r="I975" i="13" s="1"/>
  <c r="K997" i="14"/>
  <c r="L997" i="14" s="1"/>
  <c r="I998" i="14" s="1"/>
  <c r="N1162" i="13"/>
  <c r="J1161" i="13" a="1"/>
  <c r="J1161" i="13" s="1"/>
  <c r="M1164" i="13"/>
  <c r="M1165" i="14"/>
  <c r="N1161" i="14"/>
  <c r="J1160" i="14" a="1"/>
  <c r="J1160" i="14" s="1"/>
  <c r="K975" i="13" l="1"/>
  <c r="L975" i="13" s="1"/>
  <c r="I976" i="13" s="1"/>
  <c r="K998" i="14"/>
  <c r="L998" i="14" s="1"/>
  <c r="I999" i="14" s="1"/>
  <c r="M1165" i="13"/>
  <c r="J1161" i="14" a="1"/>
  <c r="J1161" i="14" s="1"/>
  <c r="N1162" i="14"/>
  <c r="N1163" i="13"/>
  <c r="J1162" i="13" a="1"/>
  <c r="J1162" i="13" s="1"/>
  <c r="M1166" i="14"/>
  <c r="K976" i="13" l="1"/>
  <c r="L976" i="13" s="1"/>
  <c r="I977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7" i="13" l="1"/>
  <c r="L977" i="13" s="1"/>
  <c r="I978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978" i="13" l="1"/>
  <c r="L978" i="13" s="1"/>
  <c r="I979" i="13" s="1"/>
  <c r="K1001" i="14"/>
  <c r="L1001" i="14" s="1"/>
  <c r="I1002" i="14" s="1"/>
  <c r="M1168" i="13"/>
  <c r="N1166" i="13"/>
  <c r="J1165" i="13" a="1"/>
  <c r="J1165" i="13" s="1"/>
  <c r="M1169" i="14"/>
  <c r="N1165" i="14"/>
  <c r="J1164" i="14" a="1"/>
  <c r="J1164" i="14" s="1"/>
  <c r="K979" i="13" l="1"/>
  <c r="L979" i="13" s="1"/>
  <c r="I980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980" i="13" l="1"/>
  <c r="L980" i="13" s="1"/>
  <c r="I981" i="13" s="1"/>
  <c r="K1003" i="14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 l="1"/>
  <c r="L981" i="13" s="1"/>
  <c r="I982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982" i="13" l="1"/>
  <c r="L982" i="13" s="1"/>
  <c r="I983" i="13" s="1"/>
  <c r="K1005" i="14"/>
  <c r="L1005" i="14" s="1"/>
  <c r="I1006" i="14" s="1"/>
  <c r="M1172" i="13"/>
  <c r="N1170" i="13"/>
  <c r="J1169" i="13" a="1"/>
  <c r="J1169" i="13" s="1"/>
  <c r="N1169" i="14"/>
  <c r="J1168" i="14" a="1"/>
  <c r="J1168" i="14" s="1"/>
  <c r="M1173" i="14"/>
  <c r="K983" i="13" l="1"/>
  <c r="L983" i="13" s="1"/>
  <c r="I984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984" i="13" l="1"/>
  <c r="L984" i="13" s="1"/>
  <c r="I985" i="13" s="1"/>
  <c r="K1007" i="14"/>
  <c r="L1007" i="14" s="1"/>
  <c r="I1008" i="14" s="1"/>
  <c r="J1170" i="14" a="1"/>
  <c r="J1170" i="14" s="1"/>
  <c r="N1171" i="14"/>
  <c r="N1172" i="13"/>
  <c r="J1171" i="13" a="1"/>
  <c r="J1171" i="13" s="1"/>
  <c r="M1174" i="13"/>
  <c r="M1175" i="14"/>
  <c r="K985" i="13" l="1"/>
  <c r="L985" i="13" s="1"/>
  <c r="I986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986" i="13" l="1"/>
  <c r="L986" i="13" s="1"/>
  <c r="I987" i="13" s="1"/>
  <c r="K1009" i="14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 l="1"/>
  <c r="L987" i="13" s="1"/>
  <c r="I988" i="13" s="1"/>
  <c r="K1010" i="14"/>
  <c r="L1010" i="14" s="1"/>
  <c r="I1011" i="14" s="1"/>
  <c r="N1175" i="13"/>
  <c r="J1174" i="13" a="1"/>
  <c r="J1174" i="13" s="1"/>
  <c r="M1178" i="14"/>
  <c r="J1173" i="14" a="1"/>
  <c r="J1173" i="14" s="1"/>
  <c r="N1174" i="14"/>
  <c r="M1177" i="13"/>
  <c r="K988" i="13" l="1"/>
  <c r="L988" i="13" s="1"/>
  <c r="I989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989" i="13" l="1"/>
  <c r="L989" i="13" s="1"/>
  <c r="I990" i="13" s="1"/>
  <c r="K1012" i="14"/>
  <c r="L1012" i="14" s="1"/>
  <c r="I1013" i="14" s="1"/>
  <c r="N1177" i="13"/>
  <c r="J1176" i="13" a="1"/>
  <c r="J1176" i="13" s="1"/>
  <c r="J1175" i="14" a="1"/>
  <c r="J1175" i="14" s="1"/>
  <c r="N1176" i="14"/>
  <c r="M1179" i="13"/>
  <c r="M1180" i="14"/>
  <c r="K990" i="13" l="1"/>
  <c r="L990" i="13" s="1"/>
  <c r="I991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991" i="13" l="1"/>
  <c r="L991" i="13" s="1"/>
  <c r="I992" i="13" s="1"/>
  <c r="K1014" i="14"/>
  <c r="L1014" i="14" s="1"/>
  <c r="I1015" i="14" s="1"/>
  <c r="N1179" i="13"/>
  <c r="J1178" i="13" a="1"/>
  <c r="J1178" i="13" s="1"/>
  <c r="J1177" i="14" a="1"/>
  <c r="J1177" i="14" s="1"/>
  <c r="N1178" i="14"/>
  <c r="M1181" i="13"/>
  <c r="M1182" i="14"/>
  <c r="K992" i="13" l="1"/>
  <c r="L992" i="13" s="1"/>
  <c r="I993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993" i="13" l="1"/>
  <c r="L993" i="13" s="1"/>
  <c r="I994" i="13" s="1"/>
  <c r="K1016" i="14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 l="1"/>
  <c r="L994" i="13" s="1"/>
  <c r="I995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995" i="13" l="1"/>
  <c r="L995" i="13" s="1"/>
  <c r="I996" i="13" s="1"/>
  <c r="K1018" i="14"/>
  <c r="L1018" i="14" s="1"/>
  <c r="I1019" i="14" s="1"/>
  <c r="N1183" i="13"/>
  <c r="J1182" i="13" a="1"/>
  <c r="J1182" i="13" s="1"/>
  <c r="M1186" i="14"/>
  <c r="M1185" i="13"/>
  <c r="J1181" i="14" a="1"/>
  <c r="J1181" i="14" s="1"/>
  <c r="N1182" i="14"/>
  <c r="K996" i="13" l="1"/>
  <c r="L996" i="13" s="1"/>
  <c r="I997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997" i="13" l="1"/>
  <c r="L997" i="13" s="1"/>
  <c r="I998" i="13" s="1"/>
  <c r="K1020" i="14"/>
  <c r="L1020" i="14" s="1"/>
  <c r="I1021" i="14" s="1"/>
  <c r="M1188" i="14"/>
  <c r="N1185" i="13"/>
  <c r="J1184" i="13" a="1"/>
  <c r="J1184" i="13" s="1"/>
  <c r="J1183" i="14" a="1"/>
  <c r="J1183" i="14" s="1"/>
  <c r="N1184" i="14"/>
  <c r="M1187" i="13"/>
  <c r="K998" i="13" l="1"/>
  <c r="L998" i="13" s="1"/>
  <c r="I999" i="13" s="1"/>
  <c r="K1021" i="14"/>
  <c r="L1021" i="14" s="1"/>
  <c r="I1022" i="14" s="1"/>
  <c r="N1186" i="13"/>
  <c r="J1185" i="13" a="1"/>
  <c r="J1185" i="13" s="1"/>
  <c r="M1188" i="13"/>
  <c r="N1185" i="14"/>
  <c r="J1184" i="14" a="1"/>
  <c r="J1184" i="14" s="1"/>
  <c r="M1189" i="14"/>
  <c r="K999" i="13" l="1"/>
  <c r="L999" i="13" s="1"/>
  <c r="I1000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00" i="13" l="1"/>
  <c r="L1000" i="13" s="1"/>
  <c r="I1001" i="13" s="1"/>
  <c r="K1023" i="14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 l="1"/>
  <c r="L1001" i="13" s="1"/>
  <c r="I1002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02" i="13" l="1"/>
  <c r="L1002" i="13" s="1"/>
  <c r="I1003" i="13" s="1"/>
  <c r="K1025" i="14"/>
  <c r="L1025" i="14" s="1"/>
  <c r="I1026" i="14" s="1"/>
  <c r="M1192" i="13"/>
  <c r="N1189" i="14"/>
  <c r="J1188" i="14" a="1"/>
  <c r="J1188" i="14" s="1"/>
  <c r="M1193" i="14"/>
  <c r="N1190" i="13"/>
  <c r="J1189" i="13" a="1"/>
  <c r="J1189" i="13" s="1"/>
  <c r="K1003" i="13" l="1"/>
  <c r="L1003" i="13" s="1"/>
  <c r="I1004" i="13" s="1"/>
  <c r="K1026" i="14"/>
  <c r="L1026" i="14" s="1"/>
  <c r="I1027" i="14" s="1"/>
  <c r="N1191" i="13"/>
  <c r="J1190" i="13" a="1"/>
  <c r="J1190" i="13" s="1"/>
  <c r="J1189" i="14" a="1"/>
  <c r="J1189" i="14" s="1"/>
  <c r="N1190" i="14"/>
  <c r="M1193" i="13"/>
  <c r="M1194" i="14"/>
  <c r="K1004" i="13" l="1"/>
  <c r="L1004" i="13" s="1"/>
  <c r="I1005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05" i="13" l="1"/>
  <c r="L1005" i="13" s="1"/>
  <c r="I1006" i="13" s="1"/>
  <c r="K1028" i="14"/>
  <c r="L1028" i="14" s="1"/>
  <c r="I1029" i="14" s="1"/>
  <c r="M1196" i="14"/>
  <c r="N1193" i="13"/>
  <c r="J1192" i="13" a="1"/>
  <c r="J1192" i="13" s="1"/>
  <c r="J1191" i="14" a="1"/>
  <c r="J1191" i="14" s="1"/>
  <c r="N1192" i="14"/>
  <c r="M1195" i="13"/>
  <c r="K1006" i="13" l="1"/>
  <c r="L1006" i="13" s="1"/>
  <c r="I1007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07" i="13" l="1"/>
  <c r="L1007" i="13" s="1"/>
  <c r="I1008" i="13" s="1"/>
  <c r="K1030" i="14"/>
  <c r="L1030" i="14" s="1"/>
  <c r="I1031" i="14" s="1"/>
  <c r="J1193" i="14" a="1"/>
  <c r="J1193" i="14" s="1"/>
  <c r="N1194" i="14"/>
  <c r="M1198" i="14"/>
  <c r="M1197" i="13"/>
  <c r="N1195" i="13"/>
  <c r="J1194" i="13" a="1"/>
  <c r="J1194" i="13" s="1"/>
  <c r="K1008" i="13" l="1"/>
  <c r="L1008" i="13" s="1"/>
  <c r="I1009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09" i="13" l="1"/>
  <c r="L1009" i="13" s="1"/>
  <c r="I1010" i="13" s="1"/>
  <c r="K1032" i="14"/>
  <c r="L1032" i="14" s="1"/>
  <c r="I1033" i="14" s="1"/>
  <c r="J1195" i="14" a="1"/>
  <c r="J1195" i="14" s="1"/>
  <c r="N1196" i="14"/>
  <c r="M1200" i="14"/>
  <c r="M1199" i="13"/>
  <c r="N1197" i="13"/>
  <c r="J1196" i="13" a="1"/>
  <c r="J1196" i="13" s="1"/>
  <c r="K1010" i="13" l="1"/>
  <c r="L1010" i="13" s="1"/>
  <c r="I1011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11" i="13" l="1"/>
  <c r="L1011" i="13" s="1"/>
  <c r="I1012" i="13" s="1"/>
  <c r="K1034" i="14"/>
  <c r="L1034" i="14" s="1"/>
  <c r="I1035" i="14" s="1"/>
  <c r="M1201" i="13"/>
  <c r="J1197" i="14" a="1"/>
  <c r="J1197" i="14" s="1"/>
  <c r="N1198" i="14"/>
  <c r="M1202" i="14"/>
  <c r="N1199" i="13"/>
  <c r="J1198" i="13" a="1"/>
  <c r="J1198" i="13" s="1"/>
  <c r="K1012" i="13" l="1"/>
  <c r="L1012" i="13" s="1"/>
  <c r="I1013" i="13" s="1"/>
  <c r="K1035" i="14"/>
  <c r="L1035" i="14" s="1"/>
  <c r="I1036" i="14" s="1"/>
  <c r="J1198" i="14" a="1"/>
  <c r="J1198" i="14" s="1"/>
  <c r="N1199" i="14"/>
  <c r="N1200" i="13"/>
  <c r="J1199" i="13" a="1"/>
  <c r="J1199" i="13" s="1"/>
  <c r="M1202" i="13"/>
  <c r="M1203" i="14"/>
  <c r="K1013" i="13" l="1"/>
  <c r="L1013" i="13" s="1"/>
  <c r="I1014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4" i="13" l="1"/>
  <c r="L1014" i="13" s="1"/>
  <c r="I1015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15" i="13" l="1"/>
  <c r="L1015" i="13" s="1"/>
  <c r="I1016" i="13" s="1"/>
  <c r="K1038" i="14"/>
  <c r="L1038" i="14" s="1"/>
  <c r="I1039" i="14" s="1"/>
  <c r="M1205" i="13"/>
  <c r="M1206" i="14"/>
  <c r="N1203" i="13"/>
  <c r="J1202" i="13" a="1"/>
  <c r="J1202" i="13" s="1"/>
  <c r="J1201" i="14" a="1"/>
  <c r="J1201" i="14" s="1"/>
  <c r="N1202" i="14"/>
  <c r="K1016" i="13" l="1"/>
  <c r="L1016" i="13" s="1"/>
  <c r="I1017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17" i="13" l="1"/>
  <c r="L1017" i="13" s="1"/>
  <c r="I1018" i="13" s="1"/>
  <c r="K1040" i="14"/>
  <c r="L1040" i="14" s="1"/>
  <c r="I1041" i="14" s="1"/>
  <c r="M1207" i="13"/>
  <c r="N1205" i="13"/>
  <c r="J1204" i="13" a="1"/>
  <c r="J1204" i="13" s="1"/>
  <c r="M1208" i="14"/>
  <c r="J1203" i="14" a="1"/>
  <c r="J1203" i="14" s="1"/>
  <c r="N1204" i="14"/>
  <c r="K1018" i="13" l="1"/>
  <c r="L1018" i="13" s="1"/>
  <c r="I1019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19" i="13" l="1"/>
  <c r="L1019" i="13" s="1"/>
  <c r="I1020" i="13" s="1"/>
  <c r="K1042" i="14"/>
  <c r="L1042" i="14" s="1"/>
  <c r="I1043" i="14" s="1"/>
  <c r="N1207" i="13"/>
  <c r="J1206" i="13" a="1"/>
  <c r="J1206" i="13" s="1"/>
  <c r="M1210" i="14"/>
  <c r="M1209" i="13"/>
  <c r="J1205" i="14" a="1"/>
  <c r="J1205" i="14" s="1"/>
  <c r="N1206" i="14"/>
  <c r="K1020" i="13" l="1"/>
  <c r="L1020" i="13" s="1"/>
  <c r="I1021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21" i="13" l="1"/>
  <c r="L1021" i="13" s="1"/>
  <c r="I1022" i="13" s="1"/>
  <c r="K1044" i="14"/>
  <c r="L1044" i="14" s="1"/>
  <c r="I1045" i="14" s="1"/>
  <c r="N1209" i="13"/>
  <c r="J1208" i="13" a="1"/>
  <c r="J1208" i="13" s="1"/>
  <c r="M1212" i="14"/>
  <c r="J1207" i="14" a="1"/>
  <c r="J1207" i="14" s="1"/>
  <c r="N1208" i="14"/>
  <c r="M1211" i="13"/>
  <c r="K1022" i="13" l="1"/>
  <c r="L1022" i="13" s="1"/>
  <c r="I1023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23" i="13" l="1"/>
  <c r="L1023" i="13" s="1"/>
  <c r="I1024" i="13" s="1"/>
  <c r="K1046" i="14"/>
  <c r="L1046" i="14" s="1"/>
  <c r="I1047" i="14" s="1"/>
  <c r="N1211" i="13"/>
  <c r="J1210" i="13" a="1"/>
  <c r="J1210" i="13" s="1"/>
  <c r="M1213" i="13"/>
  <c r="M1214" i="14"/>
  <c r="J1209" i="14" a="1"/>
  <c r="J1209" i="14" s="1"/>
  <c r="N1210" i="14"/>
  <c r="K1024" i="13" l="1"/>
  <c r="L1024" i="13" s="1"/>
  <c r="I1025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25" i="13" l="1"/>
  <c r="L1025" i="13" s="1"/>
  <c r="I1026" i="13" s="1"/>
  <c r="K1048" i="14"/>
  <c r="L1048" i="14" s="1"/>
  <c r="I1049" i="14" s="1"/>
  <c r="N1213" i="13"/>
  <c r="J1212" i="13" a="1"/>
  <c r="J1212" i="13" s="1"/>
  <c r="M1215" i="13"/>
  <c r="M1216" i="14"/>
  <c r="J1211" i="14" a="1"/>
  <c r="J1211" i="14" s="1"/>
  <c r="N1212" i="14"/>
  <c r="K1026" i="13" l="1"/>
  <c r="L1026" i="13" s="1"/>
  <c r="I1027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27" i="13" l="1"/>
  <c r="L1027" i="13" s="1"/>
  <c r="I1028" i="13" s="1"/>
  <c r="K1050" i="14"/>
  <c r="L1050" i="14" s="1"/>
  <c r="I1051" i="14" s="1"/>
  <c r="N1215" i="13"/>
  <c r="J1214" i="13" a="1"/>
  <c r="J1214" i="13" s="1"/>
  <c r="M1217" i="13"/>
  <c r="M1218" i="14"/>
  <c r="J1213" i="14" a="1"/>
  <c r="J1213" i="14" s="1"/>
  <c r="N1214" i="14"/>
  <c r="K1028" i="13" l="1"/>
  <c r="L1028" i="13" s="1"/>
  <c r="I1029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29" i="13" l="1"/>
  <c r="L1029" i="13" s="1"/>
  <c r="I1030" i="13" s="1"/>
  <c r="K1052" i="14"/>
  <c r="L1052" i="14" s="1"/>
  <c r="I1053" i="14" s="1"/>
  <c r="M1219" i="13"/>
  <c r="N1217" i="13"/>
  <c r="J1216" i="13" a="1"/>
  <c r="J1216" i="13" s="1"/>
  <c r="J1215" i="14" a="1"/>
  <c r="J1215" i="14" s="1"/>
  <c r="N1216" i="14"/>
  <c r="M1220" i="14"/>
  <c r="K1030" i="13" l="1"/>
  <c r="L1030" i="13" s="1"/>
  <c r="I1031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31" i="13" l="1"/>
  <c r="L1031" i="13" s="1"/>
  <c r="I1032" i="13" s="1"/>
  <c r="K1054" i="14"/>
  <c r="L1054" i="14" s="1"/>
  <c r="I1055" i="14" s="1"/>
  <c r="M1222" i="14"/>
  <c r="J1217" i="14" a="1"/>
  <c r="J1217" i="14" s="1"/>
  <c r="N1218" i="14"/>
  <c r="M1221" i="13"/>
  <c r="N1219" i="13"/>
  <c r="J1218" i="13" a="1"/>
  <c r="J1218" i="13" s="1"/>
  <c r="K1032" i="13" l="1"/>
  <c r="L1032" i="13" s="1"/>
  <c r="I1033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33" i="13" l="1"/>
  <c r="L1033" i="13" s="1"/>
  <c r="I1034" i="13" s="1"/>
  <c r="K1056" i="14"/>
  <c r="L1056" i="14" s="1"/>
  <c r="I1057" i="14" s="1"/>
  <c r="J1220" i="13" a="1"/>
  <c r="J1220" i="13" s="1"/>
  <c r="N1221" i="13"/>
  <c r="J1219" i="14" a="1"/>
  <c r="J1219" i="14" s="1"/>
  <c r="N1220" i="14"/>
  <c r="M1224" i="14"/>
  <c r="M1223" i="13"/>
  <c r="K1034" i="13" l="1"/>
  <c r="L1034" i="13" s="1"/>
  <c r="I1035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35" i="13" l="1"/>
  <c r="L1035" i="13" s="1"/>
  <c r="I1036" i="13" s="1"/>
  <c r="K1058" i="14"/>
  <c r="L1058" i="14" s="1"/>
  <c r="I1059" i="14" s="1"/>
  <c r="M1226" i="14"/>
  <c r="J1222" i="13" a="1"/>
  <c r="J1222" i="13" s="1"/>
  <c r="N1223" i="13"/>
  <c r="M1225" i="13"/>
  <c r="J1221" i="14" a="1"/>
  <c r="J1221" i="14" s="1"/>
  <c r="N1222" i="14"/>
  <c r="K1036" i="13" l="1"/>
  <c r="L1036" i="13" s="1"/>
  <c r="I1037" i="13" s="1"/>
  <c r="K1059" i="14"/>
  <c r="L1059" i="14" s="1"/>
  <c r="I1060" i="14" s="1"/>
  <c r="J1223" i="13" a="1"/>
  <c r="J1223" i="13" s="1"/>
  <c r="N1224" i="13"/>
  <c r="J1222" i="14" a="1"/>
  <c r="J1222" i="14" s="1"/>
  <c r="N1223" i="14"/>
  <c r="M1226" i="13"/>
  <c r="M1227" i="14"/>
  <c r="K1037" i="13" l="1"/>
  <c r="L1037" i="13" s="1"/>
  <c r="I1038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38" i="13" l="1"/>
  <c r="L1038" i="13" s="1"/>
  <c r="I1039" i="13" s="1"/>
  <c r="K1061" i="14"/>
  <c r="L1061" i="14" s="1"/>
  <c r="I1062" i="14" s="1"/>
  <c r="M1228" i="13"/>
  <c r="N1226" i="13"/>
  <c r="J1225" i="13" a="1"/>
  <c r="J1225" i="13" s="1"/>
  <c r="N1225" i="14"/>
  <c r="J1224" i="14" a="1"/>
  <c r="J1224" i="14" s="1"/>
  <c r="M1229" i="14"/>
  <c r="K1039" i="13" l="1"/>
  <c r="L1039" i="13" s="1"/>
  <c r="I1040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40" i="13" l="1"/>
  <c r="L1040" i="13" s="1"/>
  <c r="I1041" i="13" s="1"/>
  <c r="K1063" i="14"/>
  <c r="L1063" i="14" s="1"/>
  <c r="I1064" i="14" s="1"/>
  <c r="J1227" i="13" a="1"/>
  <c r="J1227" i="13" s="1"/>
  <c r="N1228" i="13"/>
  <c r="J1226" i="14" a="1"/>
  <c r="J1226" i="14" s="1"/>
  <c r="N1227" i="14"/>
  <c r="M1230" i="13"/>
  <c r="M1231" i="14"/>
  <c r="K1041" i="13" l="1"/>
  <c r="L1041" i="13" s="1"/>
  <c r="I1042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42" i="13" l="1"/>
  <c r="L1042" i="13" s="1"/>
  <c r="I1043" i="13" s="1"/>
  <c r="K1065" i="14"/>
  <c r="L1065" i="14" s="1"/>
  <c r="I1066" i="14" s="1"/>
  <c r="N1230" i="13"/>
  <c r="J1229" i="13" a="1"/>
  <c r="J1229" i="13" s="1"/>
  <c r="M1232" i="13"/>
  <c r="M1233" i="14"/>
  <c r="N1229" i="14"/>
  <c r="J1228" i="14" a="1"/>
  <c r="J1228" i="14" s="1"/>
  <c r="K1043" i="13" l="1"/>
  <c r="L1043" i="13" s="1"/>
  <c r="I1044" i="13" s="1"/>
  <c r="K1066" i="14"/>
  <c r="L1066" i="14" s="1"/>
  <c r="I1067" i="14" s="1"/>
  <c r="M1233" i="13"/>
  <c r="J1229" i="14" a="1"/>
  <c r="J1229" i="14" s="1"/>
  <c r="N1230" i="14"/>
  <c r="M1234" i="14"/>
  <c r="J1230" i="13" a="1"/>
  <c r="J1230" i="13" s="1"/>
  <c r="N1231" i="13"/>
  <c r="K1044" i="13" l="1"/>
  <c r="L1044" i="13" s="1"/>
  <c r="I1045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45" i="13" l="1"/>
  <c r="L1045" i="13" s="1"/>
  <c r="I1046" i="13" s="1"/>
  <c r="K1068" i="14"/>
  <c r="L1068" i="14" s="1"/>
  <c r="I1069" i="14" s="1"/>
  <c r="M1236" i="14"/>
  <c r="M1235" i="13"/>
  <c r="J1232" i="13" a="1"/>
  <c r="J1232" i="13" s="1"/>
  <c r="N1233" i="13"/>
  <c r="J1231" i="14" a="1"/>
  <c r="J1231" i="14" s="1"/>
  <c r="N1232" i="14"/>
  <c r="K1046" i="13" l="1"/>
  <c r="L1046" i="13" s="1"/>
  <c r="I1047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47" i="13" l="1"/>
  <c r="L1047" i="13" s="1"/>
  <c r="I1048" i="13" s="1"/>
  <c r="K1070" i="14"/>
  <c r="L1070" i="14" s="1"/>
  <c r="I1071" i="14" s="1"/>
  <c r="J1234" i="13" a="1"/>
  <c r="J1234" i="13" s="1"/>
  <c r="N1235" i="13"/>
  <c r="M1237" i="13"/>
  <c r="M1238" i="14"/>
  <c r="J1233" i="14" a="1"/>
  <c r="J1233" i="14" s="1"/>
  <c r="N1234" i="14"/>
  <c r="K1048" i="13" l="1"/>
  <c r="L1048" i="13" s="1"/>
  <c r="I1049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49" i="13" l="1"/>
  <c r="L1049" i="13" s="1"/>
  <c r="I1050" i="13" s="1"/>
  <c r="K1072" i="14"/>
  <c r="L1072" i="14" s="1"/>
  <c r="I1073" i="14" s="1"/>
  <c r="M1240" i="14"/>
  <c r="M1239" i="13"/>
  <c r="J1235" i="14" a="1"/>
  <c r="J1235" i="14" s="1"/>
  <c r="N1236" i="14"/>
  <c r="J1236" i="13" a="1"/>
  <c r="J1236" i="13" s="1"/>
  <c r="N1237" i="13"/>
  <c r="K1050" i="13" l="1"/>
  <c r="L1050" i="13" s="1"/>
  <c r="I1051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51" i="13" l="1"/>
  <c r="L1051" i="13" s="1"/>
  <c r="I1052" i="13" s="1"/>
  <c r="K1074" i="14"/>
  <c r="L1074" i="14" s="1"/>
  <c r="I1075" i="14" s="1"/>
  <c r="J1238" i="13" a="1"/>
  <c r="J1238" i="13" s="1"/>
  <c r="N1239" i="13"/>
  <c r="M1241" i="13"/>
  <c r="M1242" i="14"/>
  <c r="J1237" i="14" a="1"/>
  <c r="J1237" i="14" s="1"/>
  <c r="N1238" i="14"/>
  <c r="K1052" i="13" l="1"/>
  <c r="L1052" i="13" s="1"/>
  <c r="I1053" i="13" s="1"/>
  <c r="K1075" i="14"/>
  <c r="L1075" i="14" s="1"/>
  <c r="I1076" i="14" s="1"/>
  <c r="J1238" i="14" a="1"/>
  <c r="J1238" i="14" s="1"/>
  <c r="N1239" i="14"/>
  <c r="J1239" i="13" a="1"/>
  <c r="J1239" i="13" s="1"/>
  <c r="N1240" i="13"/>
  <c r="M1242" i="13"/>
  <c r="M1243" i="14"/>
  <c r="K1053" i="13" l="1"/>
  <c r="L1053" i="13" s="1"/>
  <c r="I1054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54" i="13" l="1"/>
  <c r="L1054" i="13" s="1"/>
  <c r="I1055" i="13" s="1"/>
  <c r="K1077" i="14"/>
  <c r="L1077" i="14" s="1"/>
  <c r="I1078" i="14" s="1"/>
  <c r="N1241" i="14"/>
  <c r="J1240" i="14" a="1"/>
  <c r="J1240" i="14" s="1"/>
  <c r="M1244" i="13"/>
  <c r="N1242" i="13"/>
  <c r="J1241" i="13" a="1"/>
  <c r="J1241" i="13" s="1"/>
  <c r="M1245" i="14"/>
  <c r="K1055" i="13" l="1"/>
  <c r="L1055" i="13" s="1"/>
  <c r="I1056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6" i="13" l="1"/>
  <c r="L1056" i="13" s="1"/>
  <c r="I1057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57" i="13" l="1"/>
  <c r="L1057" i="13" s="1"/>
  <c r="I1058" i="13" s="1"/>
  <c r="K1080" i="14"/>
  <c r="L1080" i="14" s="1"/>
  <c r="I1081" i="14" s="1"/>
  <c r="J1243" i="14" a="1"/>
  <c r="J1243" i="14" s="1"/>
  <c r="N1244" i="14"/>
  <c r="J1244" i="13" a="1"/>
  <c r="J1244" i="13" s="1"/>
  <c r="N1245" i="13"/>
  <c r="M1248" i="14"/>
  <c r="M1247" i="13"/>
  <c r="K1058" i="13" l="1"/>
  <c r="L1058" i="13" s="1"/>
  <c r="I1059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59" i="13" l="1"/>
  <c r="L1059" i="13" s="1"/>
  <c r="I1060" i="13" s="1"/>
  <c r="K1082" i="14"/>
  <c r="L1082" i="14" s="1"/>
  <c r="I1083" i="14" s="1"/>
  <c r="J1245" i="14" a="1"/>
  <c r="J1245" i="14" s="1"/>
  <c r="N1246" i="14"/>
  <c r="M1250" i="14"/>
  <c r="M1249" i="13"/>
  <c r="J1246" i="13" a="1"/>
  <c r="J1246" i="13" s="1"/>
  <c r="N1247" i="13"/>
  <c r="K1060" i="13" l="1"/>
  <c r="L1060" i="13" s="1"/>
  <c r="I1061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61" i="13" l="1"/>
  <c r="L1061" i="13" s="1"/>
  <c r="I1062" i="13" s="1"/>
  <c r="K1084" i="14"/>
  <c r="L1084" i="14" s="1"/>
  <c r="I1085" i="14" s="1"/>
  <c r="M1252" i="14"/>
  <c r="M1251" i="13"/>
  <c r="J1248" i="13" a="1"/>
  <c r="J1248" i="13" s="1"/>
  <c r="N1249" i="13"/>
  <c r="J1247" i="14" a="1"/>
  <c r="J1247" i="14" s="1"/>
  <c r="N1248" i="14"/>
  <c r="K1062" i="13" l="1"/>
  <c r="L1062" i="13" s="1"/>
  <c r="I1063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63" i="13" l="1"/>
  <c r="L1063" i="13" s="1"/>
  <c r="I1064" i="13" s="1"/>
  <c r="K1086" i="14"/>
  <c r="L1086" i="14" s="1"/>
  <c r="I1087" i="14" s="1"/>
  <c r="M1253" i="13"/>
  <c r="M1254" i="14"/>
  <c r="J1250" i="13" a="1"/>
  <c r="J1250" i="13" s="1"/>
  <c r="N1251" i="13"/>
  <c r="J1249" i="14" a="1"/>
  <c r="J1249" i="14" s="1"/>
  <c r="N1250" i="14"/>
  <c r="K1064" i="13" l="1"/>
  <c r="L1064" i="13" s="1"/>
  <c r="I1065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65" i="13" l="1"/>
  <c r="L1065" i="13" s="1"/>
  <c r="I1066" i="13" s="1"/>
  <c r="K1088" i="14"/>
  <c r="L1088" i="14" s="1"/>
  <c r="I1089" i="14" s="1"/>
  <c r="J1252" i="13" a="1"/>
  <c r="J1252" i="13" s="1"/>
  <c r="N1253" i="13"/>
  <c r="M1256" i="14"/>
  <c r="M1255" i="13"/>
  <c r="J1251" i="14" a="1"/>
  <c r="J1251" i="14" s="1"/>
  <c r="N1252" i="14"/>
  <c r="K1066" i="13" l="1"/>
  <c r="L1066" i="13" s="1"/>
  <c r="I1067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7" i="13" l="1"/>
  <c r="L1067" i="13" s="1"/>
  <c r="I1068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68" i="13" l="1"/>
  <c r="L1068" i="13" s="1"/>
  <c r="I1069" i="13" s="1"/>
  <c r="K1091" i="14"/>
  <c r="L1091" i="14" s="1"/>
  <c r="I1092" i="14" s="1"/>
  <c r="J1254" i="14" a="1"/>
  <c r="J1254" i="14" s="1"/>
  <c r="N1255" i="14"/>
  <c r="M1259" i="14"/>
  <c r="M1258" i="13"/>
  <c r="J1255" i="13" a="1"/>
  <c r="J1255" i="13" s="1"/>
  <c r="N1256" i="13"/>
  <c r="K1069" i="13" l="1"/>
  <c r="L1069" i="13" s="1"/>
  <c r="I1070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70" i="13" l="1"/>
  <c r="L1070" i="13" s="1"/>
  <c r="I1071" i="13" s="1"/>
  <c r="K1093" i="14"/>
  <c r="L1093" i="14" s="1"/>
  <c r="I1094" i="14" s="1"/>
  <c r="N1258" i="13"/>
  <c r="J1257" i="13" a="1"/>
  <c r="J1257" i="13" s="1"/>
  <c r="M1260" i="13"/>
  <c r="N1257" i="14"/>
  <c r="J1256" i="14" a="1"/>
  <c r="J1256" i="14" s="1"/>
  <c r="M1261" i="14"/>
  <c r="K1071" i="13" l="1"/>
  <c r="L1071" i="13" s="1"/>
  <c r="I1072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72" i="13" l="1"/>
  <c r="L1072" i="13" s="1"/>
  <c r="I1073" i="13" s="1"/>
  <c r="K1095" i="14"/>
  <c r="L1095" i="14" s="1"/>
  <c r="I1096" i="14" s="1"/>
  <c r="M1263" i="14"/>
  <c r="J1258" i="14" a="1"/>
  <c r="J1258" i="14" s="1"/>
  <c r="N1259" i="14"/>
  <c r="J1259" i="13" a="1"/>
  <c r="J1259" i="13" s="1"/>
  <c r="N1260" i="13"/>
  <c r="M1262" i="13"/>
  <c r="K1073" i="13" l="1"/>
  <c r="L1073" i="13" s="1"/>
  <c r="I1074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74" i="13" l="1"/>
  <c r="L1074" i="13" s="1"/>
  <c r="I1075" i="13" s="1"/>
  <c r="K1097" i="14"/>
  <c r="L1097" i="14" s="1"/>
  <c r="I1098" i="14" s="1"/>
  <c r="N1262" i="13"/>
  <c r="J1261" i="13" a="1"/>
  <c r="J1261" i="13" s="1"/>
  <c r="M1265" i="14"/>
  <c r="M1264" i="13"/>
  <c r="N1261" i="14"/>
  <c r="J1260" i="14" a="1"/>
  <c r="J1260" i="14" s="1"/>
  <c r="K1075" i="13" l="1"/>
  <c r="L1075" i="13" s="1"/>
  <c r="I1076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76" i="13" l="1"/>
  <c r="L1076" i="13" s="1"/>
  <c r="I1077" i="13" s="1"/>
  <c r="K1099" i="14"/>
  <c r="L1099" i="14" s="1"/>
  <c r="I1100" i="14" s="1"/>
  <c r="M1267" i="14"/>
  <c r="J1263" i="13" a="1"/>
  <c r="J1263" i="13" s="1"/>
  <c r="N1264" i="13"/>
  <c r="J1262" i="14" a="1"/>
  <c r="J1262" i="14" s="1"/>
  <c r="N1263" i="14"/>
  <c r="M1266" i="13"/>
  <c r="K1077" i="13" l="1"/>
  <c r="L1077" i="13" s="1"/>
  <c r="I1078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K1078" i="13" l="1"/>
  <c r="L1078" i="13" s="1"/>
  <c r="I1079" i="13" s="1"/>
  <c r="M1269" i="14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 l="1"/>
  <c r="L1079" i="13" s="1"/>
  <c r="I1080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080" i="13" l="1"/>
  <c r="L1080" i="13" s="1"/>
  <c r="I1081" i="13" s="1"/>
  <c r="K1103" i="14"/>
  <c r="L1103" i="14" s="1"/>
  <c r="I1104" i="14" s="1"/>
  <c r="J1267" i="13" a="1"/>
  <c r="J1267" i="13" s="1"/>
  <c r="N1268" i="13"/>
  <c r="J1266" i="14" a="1"/>
  <c r="J1266" i="14" s="1"/>
  <c r="N1267" i="14"/>
  <c r="M1271" i="14"/>
  <c r="M1270" i="13"/>
  <c r="K1081" i="13" l="1"/>
  <c r="L1081" i="13" s="1"/>
  <c r="I1082" i="13" s="1"/>
  <c r="K1104" i="14"/>
  <c r="L1104" i="14" s="1"/>
  <c r="I1105" i="14" s="1"/>
  <c r="J1267" i="14" a="1"/>
  <c r="J1267" i="14" s="1"/>
  <c r="N1268" i="14"/>
  <c r="M1271" i="13"/>
  <c r="J1268" i="13" a="1"/>
  <c r="J1268" i="13" s="1"/>
  <c r="N1269" i="13"/>
  <c r="M1272" i="14"/>
  <c r="K1082" i="13" l="1"/>
  <c r="L1082" i="13" s="1"/>
  <c r="I1083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083" i="13" l="1"/>
  <c r="L1083" i="13" s="1"/>
  <c r="I1084" i="13" s="1"/>
  <c r="K1106" i="14"/>
  <c r="L1106" i="14" s="1"/>
  <c r="I1107" i="14" s="1"/>
  <c r="M1273" i="13"/>
  <c r="M1274" i="14"/>
  <c r="J1270" i="13" a="1"/>
  <c r="J1270" i="13" s="1"/>
  <c r="N1271" i="13"/>
  <c r="J1269" i="14" a="1"/>
  <c r="J1269" i="14" s="1"/>
  <c r="N1270" i="14"/>
  <c r="K1084" i="13" l="1"/>
  <c r="L1084" i="13" s="1"/>
  <c r="I1085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085" i="13" l="1"/>
  <c r="L1085" i="13" s="1"/>
  <c r="I1086" i="13" s="1"/>
  <c r="K1108" i="14"/>
  <c r="L1108" i="14" s="1"/>
  <c r="I1109" i="14" s="1"/>
  <c r="J1272" i="13" a="1"/>
  <c r="J1272" i="13" s="1"/>
  <c r="N1273" i="13"/>
  <c r="J1271" i="14" a="1"/>
  <c r="J1271" i="14" s="1"/>
  <c r="N1272" i="14"/>
  <c r="M1275" i="13"/>
  <c r="M1276" i="14"/>
  <c r="K1086" i="13" l="1"/>
  <c r="L1086" i="13" s="1"/>
  <c r="I1087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087" i="13" l="1"/>
  <c r="L1087" i="13" s="1"/>
  <c r="I1088" i="13" s="1"/>
  <c r="K1110" i="14"/>
  <c r="L1110" i="14" s="1"/>
  <c r="I1111" i="14" s="1"/>
  <c r="M1277" i="13"/>
  <c r="J1274" i="13" a="1"/>
  <c r="J1274" i="13" s="1"/>
  <c r="N1275" i="13"/>
  <c r="M1278" i="14"/>
  <c r="J1273" i="14" a="1"/>
  <c r="J1273" i="14" s="1"/>
  <c r="N1274" i="14"/>
  <c r="K1088" i="13" l="1"/>
  <c r="L1088" i="13" s="1"/>
  <c r="I1089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089" i="13" l="1"/>
  <c r="L1089" i="13" s="1"/>
  <c r="I1090" i="13" s="1"/>
  <c r="K1112" i="14"/>
  <c r="L1112" i="14" s="1"/>
  <c r="I1113" i="14" s="1"/>
  <c r="J1275" i="14" a="1"/>
  <c r="J1275" i="14" s="1"/>
  <c r="N1276" i="14"/>
  <c r="J1276" i="13" a="1"/>
  <c r="J1276" i="13" s="1"/>
  <c r="N1277" i="13"/>
  <c r="M1279" i="13"/>
  <c r="M1280" i="14"/>
  <c r="K1090" i="13" l="1"/>
  <c r="L1090" i="13" s="1"/>
  <c r="I1091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091" i="13" l="1"/>
  <c r="L1091" i="13" s="1"/>
  <c r="I1092" i="13" s="1"/>
  <c r="K1114" i="14"/>
  <c r="L1114" i="14" s="1"/>
  <c r="I1115" i="14" s="1"/>
  <c r="M1281" i="13"/>
  <c r="M1282" i="14"/>
  <c r="J1277" i="14" a="1"/>
  <c r="J1277" i="14" s="1"/>
  <c r="N1278" i="14"/>
  <c r="J1278" i="13" a="1"/>
  <c r="J1278" i="13" s="1"/>
  <c r="N1279" i="13"/>
  <c r="K1092" i="13" l="1"/>
  <c r="L1092" i="13" s="1"/>
  <c r="I1093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093" i="13" l="1"/>
  <c r="L1093" i="13" s="1"/>
  <c r="I1094" i="13" s="1"/>
  <c r="K1116" i="14"/>
  <c r="L1116" i="14" s="1"/>
  <c r="I1117" i="14" s="1"/>
  <c r="J1279" i="14" a="1"/>
  <c r="J1279" i="14" s="1"/>
  <c r="N1280" i="14"/>
  <c r="M1283" i="13"/>
  <c r="J1280" i="13" a="1"/>
  <c r="J1280" i="13" s="1"/>
  <c r="N1281" i="13"/>
  <c r="M1284" i="14"/>
  <c r="K1094" i="13" l="1"/>
  <c r="L1094" i="13" s="1"/>
  <c r="I1095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095" i="13" l="1"/>
  <c r="L1095" i="13" s="1"/>
  <c r="I1096" i="13" s="1"/>
  <c r="K1118" i="14"/>
  <c r="L1118" i="14" s="1"/>
  <c r="I1119" i="14" s="1"/>
  <c r="J1281" i="14" a="1"/>
  <c r="J1281" i="14" s="1"/>
  <c r="N1282" i="14"/>
  <c r="M1286" i="14"/>
  <c r="M1285" i="13"/>
  <c r="J1282" i="13" a="1"/>
  <c r="J1282" i="13" s="1"/>
  <c r="N1283" i="13"/>
  <c r="K1096" i="13" l="1"/>
  <c r="L1096" i="13" s="1"/>
  <c r="I1097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097" i="13" l="1"/>
  <c r="L1097" i="13" s="1"/>
  <c r="I1098" i="13" s="1"/>
  <c r="K1120" i="14"/>
  <c r="L1120" i="14" s="1"/>
  <c r="I1121" i="14" s="1"/>
  <c r="J1283" i="14" a="1"/>
  <c r="J1283" i="14" s="1"/>
  <c r="N1284" i="14"/>
  <c r="M1287" i="13"/>
  <c r="J1284" i="13" a="1"/>
  <c r="J1284" i="13" s="1"/>
  <c r="N1285" i="13"/>
  <c r="M1288" i="14"/>
  <c r="K1098" i="13" l="1"/>
  <c r="L1098" i="13" s="1"/>
  <c r="I1099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099" i="13" l="1"/>
  <c r="L1099" i="13" s="1"/>
  <c r="I1100" i="13" s="1"/>
  <c r="K1122" i="14"/>
  <c r="L1122" i="14" s="1"/>
  <c r="I1123" i="14" s="1"/>
  <c r="M1289" i="13"/>
  <c r="J1285" i="14" a="1"/>
  <c r="J1285" i="14" s="1"/>
  <c r="N1286" i="14"/>
  <c r="J1286" i="13" a="1"/>
  <c r="J1286" i="13" s="1"/>
  <c r="N1287" i="13"/>
  <c r="M1290" i="14"/>
  <c r="K1100" i="13" l="1"/>
  <c r="L1100" i="13" s="1"/>
  <c r="I1101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01" i="13" l="1"/>
  <c r="L1101" i="13" s="1"/>
  <c r="I1102" i="13" s="1"/>
  <c r="K1124" i="14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 l="1"/>
  <c r="L1102" i="13" s="1"/>
  <c r="I1103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03" i="13" l="1"/>
  <c r="L1103" i="13" s="1"/>
  <c r="I1104" i="13" s="1"/>
  <c r="K1126" i="14"/>
  <c r="L1126" i="14" s="1"/>
  <c r="I1127" i="14" s="1"/>
  <c r="M1293" i="13"/>
  <c r="M1294" i="14"/>
  <c r="J1289" i="14" a="1"/>
  <c r="J1289" i="14" s="1"/>
  <c r="N1290" i="14"/>
  <c r="J1290" i="13" a="1"/>
  <c r="J1290" i="13" s="1"/>
  <c r="N1291" i="13"/>
  <c r="K1104" i="13" l="1"/>
  <c r="L1104" i="13" s="1"/>
  <c r="I1105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05" i="13" l="1"/>
  <c r="L1105" i="13" s="1"/>
  <c r="I1106" i="13" s="1"/>
  <c r="K1128" i="14"/>
  <c r="L1128" i="14" s="1"/>
  <c r="I1129" i="14" s="1"/>
  <c r="J1291" i="14" a="1"/>
  <c r="J1291" i="14" s="1"/>
  <c r="N1292" i="14"/>
  <c r="J1292" i="13" a="1"/>
  <c r="J1292" i="13" s="1"/>
  <c r="N1293" i="13"/>
  <c r="M1296" i="14"/>
  <c r="M1295" i="13"/>
  <c r="K1106" i="13" l="1"/>
  <c r="L1106" i="13" s="1"/>
  <c r="I1107" i="13" s="1"/>
  <c r="K1129" i="14"/>
  <c r="L1129" i="14" s="1"/>
  <c r="I1130" i="14" s="1"/>
  <c r="N1294" i="13"/>
  <c r="J1293" i="13" a="1"/>
  <c r="J1293" i="13" s="1"/>
  <c r="N1293" i="14"/>
  <c r="J1292" i="14" a="1"/>
  <c r="J1292" i="14" s="1"/>
  <c r="M1296" i="13"/>
  <c r="M1297" i="14"/>
  <c r="K1107" i="13" l="1"/>
  <c r="L1107" i="13" s="1"/>
  <c r="I1108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08" i="13" l="1"/>
  <c r="L1108" i="13" s="1"/>
  <c r="I1109" i="13" s="1"/>
  <c r="K1131" i="14"/>
  <c r="L1131" i="14" s="1"/>
  <c r="I1132" i="14" s="1"/>
  <c r="J1294" i="14" a="1"/>
  <c r="J1294" i="14" s="1"/>
  <c r="N1295" i="14"/>
  <c r="J1295" i="13" a="1"/>
  <c r="J1295" i="13" s="1"/>
  <c r="N1296" i="13"/>
  <c r="M1298" i="13"/>
  <c r="M1299" i="14"/>
  <c r="K1109" i="13" l="1"/>
  <c r="L1109" i="13" s="1"/>
  <c r="I1110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10" i="13" l="1"/>
  <c r="L1110" i="13" s="1"/>
  <c r="I1111" i="13" s="1"/>
  <c r="K1133" i="14"/>
  <c r="L1133" i="14" s="1"/>
  <c r="I1134" i="14" s="1"/>
  <c r="M1300" i="13"/>
  <c r="N1298" i="13"/>
  <c r="J1297" i="13" a="1"/>
  <c r="J1297" i="13" s="1"/>
  <c r="N1297" i="14"/>
  <c r="J1296" i="14" a="1"/>
  <c r="J1296" i="14" s="1"/>
  <c r="M1301" i="14"/>
  <c r="K1111" i="13" l="1"/>
  <c r="L1111" i="13" s="1"/>
  <c r="I1112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12" i="13" l="1"/>
  <c r="L1112" i="13" s="1"/>
  <c r="I1113" i="13" s="1"/>
  <c r="K1135" i="14"/>
  <c r="L1135" i="14" s="1"/>
  <c r="I1136" i="14" s="1"/>
  <c r="J1298" i="14" a="1"/>
  <c r="J1298" i="14" s="1"/>
  <c r="N1299" i="14"/>
  <c r="M1303" i="14"/>
  <c r="J1299" i="13" a="1"/>
  <c r="J1299" i="13" s="1"/>
  <c r="N1300" i="13"/>
  <c r="M1302" i="13"/>
  <c r="K1113" i="13" l="1"/>
  <c r="L1113" i="13" s="1"/>
  <c r="I1114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14" i="13" l="1"/>
  <c r="L1114" i="13" s="1"/>
  <c r="I1115" i="13" s="1"/>
  <c r="K1137" i="14"/>
  <c r="L1137" i="14" s="1"/>
  <c r="I1138" i="14" s="1"/>
  <c r="M1304" i="13"/>
  <c r="N1301" i="14"/>
  <c r="J1300" i="14" a="1"/>
  <c r="J1300" i="14" s="1"/>
  <c r="N1302" i="13"/>
  <c r="J1301" i="13" a="1"/>
  <c r="J1301" i="13" s="1"/>
  <c r="M1305" i="14"/>
  <c r="K1115" i="13" l="1"/>
  <c r="L1115" i="13" s="1"/>
  <c r="I1116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16" i="13" l="1"/>
  <c r="L1116" i="13" s="1"/>
  <c r="I1117" i="13" s="1"/>
  <c r="K1139" i="14"/>
  <c r="L1139" i="14" s="1"/>
  <c r="I1140" i="14" s="1"/>
  <c r="J1303" i="13" a="1"/>
  <c r="J1303" i="13" s="1"/>
  <c r="N1304" i="13"/>
  <c r="M1306" i="13"/>
  <c r="J1302" i="14" a="1"/>
  <c r="J1302" i="14" s="1"/>
  <c r="N1303" i="14"/>
  <c r="M1307" i="14"/>
  <c r="K1117" i="13" l="1"/>
  <c r="L1117" i="13" s="1"/>
  <c r="I1118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18" i="13" l="1"/>
  <c r="L1118" i="13" s="1"/>
  <c r="I1119" i="13" s="1"/>
  <c r="K1141" i="14"/>
  <c r="L1141" i="14" s="1"/>
  <c r="I1142" i="14" s="1"/>
  <c r="M1308" i="13"/>
  <c r="N1305" i="14"/>
  <c r="J1304" i="14" a="1"/>
  <c r="J1304" i="14" s="1"/>
  <c r="N1306" i="13"/>
  <c r="J1305" i="13" a="1"/>
  <c r="J1305" i="13" s="1"/>
  <c r="M1309" i="14"/>
  <c r="K1119" i="13" l="1"/>
  <c r="L1119" i="13" s="1"/>
  <c r="I1120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20" i="13" l="1"/>
  <c r="L1120" i="13" s="1"/>
  <c r="I1121" i="13" s="1"/>
  <c r="K1143" i="14"/>
  <c r="L1143" i="14" s="1"/>
  <c r="I1144" i="14" s="1"/>
  <c r="J1307" i="13" a="1"/>
  <c r="J1307" i="13" s="1"/>
  <c r="N1308" i="13"/>
  <c r="M1310" i="13"/>
  <c r="J1306" i="14" a="1"/>
  <c r="J1306" i="14" s="1"/>
  <c r="N1307" i="14"/>
  <c r="M1311" i="14"/>
  <c r="K1121" i="13" l="1"/>
  <c r="L1121" i="13" s="1"/>
  <c r="I1122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22" i="13" l="1"/>
  <c r="L1122" i="13" s="1"/>
  <c r="I1123" i="13" s="1"/>
  <c r="K1145" i="14"/>
  <c r="L1145" i="14" s="1"/>
  <c r="I1146" i="14" s="1"/>
  <c r="N1310" i="13"/>
  <c r="J1309" i="13" a="1"/>
  <c r="J1309" i="13" s="1"/>
  <c r="N1309" i="14"/>
  <c r="J1308" i="14" a="1"/>
  <c r="J1308" i="14" s="1"/>
  <c r="M1313" i="14"/>
  <c r="M1312" i="13"/>
  <c r="K1123" i="13" l="1"/>
  <c r="L1123" i="13" s="1"/>
  <c r="I1124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24" i="13" l="1"/>
  <c r="L1124" i="13" s="1"/>
  <c r="I1125" i="13" s="1"/>
  <c r="K1147" i="14"/>
  <c r="L1147" i="14" s="1"/>
  <c r="I1148" i="14" s="1"/>
  <c r="J1311" i="13" a="1"/>
  <c r="J1311" i="13" s="1"/>
  <c r="N1312" i="13"/>
  <c r="J1310" i="14" a="1"/>
  <c r="J1310" i="14" s="1"/>
  <c r="N1311" i="14"/>
  <c r="M1315" i="14"/>
  <c r="M1314" i="13"/>
  <c r="K1125" i="13" l="1"/>
  <c r="L1125" i="13" s="1"/>
  <c r="I1126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26" i="13" l="1"/>
  <c r="L1126" i="13" s="1"/>
  <c r="I1127" i="13" s="1"/>
  <c r="K1149" i="14"/>
  <c r="L1149" i="14" s="1"/>
  <c r="I1150" i="14" s="1"/>
  <c r="N1314" i="13"/>
  <c r="J1313" i="13" a="1"/>
  <c r="J1313" i="13" s="1"/>
  <c r="N1313" i="14"/>
  <c r="J1312" i="14" a="1"/>
  <c r="J1312" i="14" s="1"/>
  <c r="M1317" i="14"/>
  <c r="M1316" i="13"/>
  <c r="K1127" i="13" l="1"/>
  <c r="L1127" i="13" s="1"/>
  <c r="I1128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28" i="13" l="1"/>
  <c r="L1128" i="13" s="1"/>
  <c r="I1129" i="13" s="1"/>
  <c r="K1151" i="14"/>
  <c r="L1151" i="14" s="1"/>
  <c r="I1152" i="14" s="1"/>
  <c r="M1318" i="13"/>
  <c r="J1315" i="13" a="1"/>
  <c r="J1315" i="13" s="1"/>
  <c r="N1316" i="13"/>
  <c r="J1314" i="14" a="1"/>
  <c r="J1314" i="14" s="1"/>
  <c r="N1315" i="14"/>
  <c r="M1319" i="14"/>
  <c r="K1129" i="13" l="1"/>
  <c r="L1129" i="13" s="1"/>
  <c r="I1130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30" i="13" l="1"/>
  <c r="L1130" i="13" s="1"/>
  <c r="I1131" i="13" s="1"/>
  <c r="K1153" i="14"/>
  <c r="L1153" i="14" s="1"/>
  <c r="I1154" i="14" s="1"/>
  <c r="M1320" i="13"/>
  <c r="M1321" i="14"/>
  <c r="N1317" i="14"/>
  <c r="J1316" i="14" a="1"/>
  <c r="J1316" i="14" s="1"/>
  <c r="N1318" i="13"/>
  <c r="J1317" i="13" a="1"/>
  <c r="J1317" i="13" s="1"/>
  <c r="K1131" i="13" l="1"/>
  <c r="L1131" i="13" s="1"/>
  <c r="I1132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32" i="13" l="1"/>
  <c r="L1132" i="13" s="1"/>
  <c r="I1133" i="13" s="1"/>
  <c r="K1155" i="14"/>
  <c r="L1155" i="14" s="1"/>
  <c r="I1156" i="14" s="1"/>
  <c r="J1318" i="14" a="1"/>
  <c r="J1318" i="14" s="1"/>
  <c r="N1319" i="14"/>
  <c r="M1323" i="14"/>
  <c r="J1319" i="13" a="1"/>
  <c r="J1319" i="13" s="1"/>
  <c r="N1320" i="13"/>
  <c r="M1322" i="13"/>
  <c r="K1133" i="13" l="1"/>
  <c r="L1133" i="13" s="1"/>
  <c r="I1134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34" i="13" l="1"/>
  <c r="L1134" i="13" s="1"/>
  <c r="I1135" i="13" s="1"/>
  <c r="K1157" i="14"/>
  <c r="L1157" i="14" s="1"/>
  <c r="I1158" i="14" s="1"/>
  <c r="N1321" i="14"/>
  <c r="J1320" i="14" a="1"/>
  <c r="J1320" i="14" s="1"/>
  <c r="M1324" i="13"/>
  <c r="N1322" i="13"/>
  <c r="J1321" i="13" a="1"/>
  <c r="J1321" i="13" s="1"/>
  <c r="M1325" i="14"/>
  <c r="K1135" i="13" l="1"/>
  <c r="L1135" i="13" s="1"/>
  <c r="I1136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36" i="13" l="1"/>
  <c r="L1136" i="13" s="1"/>
  <c r="I1137" i="13" s="1"/>
  <c r="K1159" i="14"/>
  <c r="L1159" i="14" s="1"/>
  <c r="I1160" i="14" s="1"/>
  <c r="J1322" i="14" a="1"/>
  <c r="J1322" i="14" s="1"/>
  <c r="N1323" i="14"/>
  <c r="M1327" i="14"/>
  <c r="J1323" i="13" a="1"/>
  <c r="J1323" i="13" s="1"/>
  <c r="N1324" i="13"/>
  <c r="M1326" i="13"/>
  <c r="K1137" i="13" l="1"/>
  <c r="L1137" i="13" s="1"/>
  <c r="I1138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8" i="13" l="1"/>
  <c r="L1138" i="13" s="1"/>
  <c r="I1139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39" i="13" l="1"/>
  <c r="L1139" i="13" s="1"/>
  <c r="I1140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40" i="13" l="1"/>
  <c r="L1140" i="13" s="1"/>
  <c r="I1141" i="13" s="1"/>
  <c r="K1163" i="14"/>
  <c r="L1163" i="14" s="1"/>
  <c r="I1164" i="14" s="1"/>
  <c r="M1330" i="13"/>
  <c r="J1326" i="14" a="1"/>
  <c r="J1326" i="14" s="1"/>
  <c r="N1327" i="14"/>
  <c r="M1331" i="14"/>
  <c r="J1327" i="13" a="1"/>
  <c r="J1327" i="13" s="1"/>
  <c r="N1328" i="13"/>
  <c r="K1141" i="13" l="1"/>
  <c r="L1141" i="13" s="1"/>
  <c r="I1142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42" i="13" l="1"/>
  <c r="L1142" i="13" s="1"/>
  <c r="I1143" i="13" s="1"/>
  <c r="K1165" i="14"/>
  <c r="L1165" i="14" s="1"/>
  <c r="I1166" i="14" s="1"/>
  <c r="M1332" i="13"/>
  <c r="N1330" i="13"/>
  <c r="J1329" i="13" a="1"/>
  <c r="J1329" i="13" s="1"/>
  <c r="N1329" i="14"/>
  <c r="J1328" i="14" a="1"/>
  <c r="J1328" i="14" s="1"/>
  <c r="M1333" i="14"/>
  <c r="K1143" i="13" l="1"/>
  <c r="L1143" i="13" s="1"/>
  <c r="I1144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44" i="13" l="1"/>
  <c r="L1144" i="13" s="1"/>
  <c r="I1145" i="13" s="1"/>
  <c r="K1167" i="14"/>
  <c r="L1167" i="14" s="1"/>
  <c r="I1168" i="14" s="1"/>
  <c r="J1330" i="14" a="1"/>
  <c r="J1330" i="14" s="1"/>
  <c r="N1331" i="14"/>
  <c r="J1331" i="13" a="1"/>
  <c r="J1331" i="13" s="1"/>
  <c r="N1332" i="13"/>
  <c r="M1334" i="13"/>
  <c r="M1335" i="14"/>
  <c r="K1145" i="13" l="1"/>
  <c r="L1145" i="13" s="1"/>
  <c r="I1146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46" i="13" l="1"/>
  <c r="L1146" i="13" s="1"/>
  <c r="I1147" i="13" s="1"/>
  <c r="K1169" i="14"/>
  <c r="L1169" i="14" s="1"/>
  <c r="I1170" i="14" s="1"/>
  <c r="N1333" i="14"/>
  <c r="J1332" i="14" a="1"/>
  <c r="J1332" i="14" s="1"/>
  <c r="N1334" i="13"/>
  <c r="J1333" i="13" a="1"/>
  <c r="J1333" i="13" s="1"/>
  <c r="M1336" i="13"/>
  <c r="M1337" i="14"/>
  <c r="K1147" i="13" l="1"/>
  <c r="L1147" i="13" s="1"/>
  <c r="I1148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48" i="13" l="1"/>
  <c r="L1148" i="13" s="1"/>
  <c r="I1149" i="13" s="1"/>
  <c r="K1171" i="14"/>
  <c r="L1171" i="14" s="1"/>
  <c r="I1172" i="14" s="1"/>
  <c r="J1334" i="14" a="1"/>
  <c r="J1334" i="14" s="1"/>
  <c r="N1335" i="14"/>
  <c r="J1335" i="13" a="1"/>
  <c r="J1335" i="13" s="1"/>
  <c r="N1336" i="13"/>
  <c r="M1338" i="13"/>
  <c r="M1339" i="14"/>
  <c r="K1149" i="13" l="1"/>
  <c r="L1149" i="13" s="1"/>
  <c r="I1150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50" i="13" l="1"/>
  <c r="L1150" i="13" s="1"/>
  <c r="I1151" i="13" s="1"/>
  <c r="K1173" i="14"/>
  <c r="L1173" i="14" s="1"/>
  <c r="I1174" i="14" s="1"/>
  <c r="N1337" i="14"/>
  <c r="J1336" i="14" a="1"/>
  <c r="J1336" i="14" s="1"/>
  <c r="N1338" i="13"/>
  <c r="J1337" i="13" a="1"/>
  <c r="J1337" i="13" s="1"/>
  <c r="M1340" i="13"/>
  <c r="M1341" i="14"/>
  <c r="K1151" i="13" l="1"/>
  <c r="L1151" i="13" s="1"/>
  <c r="I1152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52" i="13" l="1"/>
  <c r="L1152" i="13" s="1"/>
  <c r="I1153" i="13" s="1"/>
  <c r="K1175" i="14"/>
  <c r="L1175" i="14" s="1"/>
  <c r="I1176" i="14" s="1"/>
  <c r="J1339" i="13" a="1"/>
  <c r="J1339" i="13" s="1"/>
  <c r="N1340" i="13"/>
  <c r="J1338" i="14" a="1"/>
  <c r="J1338" i="14" s="1"/>
  <c r="N1339" i="14"/>
  <c r="M1342" i="13"/>
  <c r="M1343" i="14"/>
  <c r="K1153" i="13" l="1"/>
  <c r="L1153" i="13" s="1"/>
  <c r="I1154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54" i="13" l="1"/>
  <c r="L1154" i="13" s="1"/>
  <c r="I1155" i="13" s="1"/>
  <c r="K1177" i="14"/>
  <c r="L1177" i="14" s="1"/>
  <c r="I1178" i="14" s="1"/>
  <c r="N1342" i="13"/>
  <c r="J1341" i="13" a="1"/>
  <c r="J1341" i="13" s="1"/>
  <c r="M1344" i="13"/>
  <c r="N1341" i="14"/>
  <c r="J1340" i="14" a="1"/>
  <c r="J1340" i="14" s="1"/>
  <c r="M1345" i="14"/>
  <c r="K1155" i="13" l="1"/>
  <c r="L1155" i="13" s="1"/>
  <c r="I1156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56" i="13" l="1"/>
  <c r="L1156" i="13" s="1"/>
  <c r="I1157" i="13" s="1"/>
  <c r="K1179" i="14"/>
  <c r="L1179" i="14" s="1"/>
  <c r="I1180" i="14" s="1"/>
  <c r="J1343" i="13" a="1"/>
  <c r="J1343" i="13" s="1"/>
  <c r="N1344" i="13"/>
  <c r="M1347" i="14"/>
  <c r="J1342" i="14" a="1"/>
  <c r="J1342" i="14" s="1"/>
  <c r="N1343" i="14"/>
  <c r="M1346" i="13"/>
  <c r="K1157" i="13" l="1"/>
  <c r="L1157" i="13" s="1"/>
  <c r="I1158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58" i="13" l="1"/>
  <c r="L1158" i="13" s="1"/>
  <c r="I1159" i="13" s="1"/>
  <c r="K1181" i="14"/>
  <c r="L1181" i="14" s="1"/>
  <c r="I1182" i="14" s="1"/>
  <c r="M1348" i="13"/>
  <c r="N1345" i="14"/>
  <c r="J1344" i="14" a="1"/>
  <c r="J1344" i="14" s="1"/>
  <c r="N1346" i="13"/>
  <c r="J1345" i="13" a="1"/>
  <c r="J1345" i="13" s="1"/>
  <c r="M1349" i="14"/>
  <c r="K1159" i="13" l="1"/>
  <c r="L1159" i="13" s="1"/>
  <c r="I1160" i="13" s="1"/>
  <c r="K1182" i="14"/>
  <c r="L1182" i="14" s="1"/>
  <c r="I1183" i="14" s="1"/>
  <c r="M1350" i="14"/>
  <c r="J1345" i="14" a="1"/>
  <c r="J1345" i="14" s="1"/>
  <c r="N1346" i="14"/>
  <c r="M1349" i="13"/>
  <c r="J1346" i="13" a="1"/>
  <c r="J1346" i="13" s="1"/>
  <c r="N1347" i="13"/>
  <c r="K1160" i="13" l="1"/>
  <c r="L1160" i="13" s="1"/>
  <c r="I1161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61" i="13" l="1"/>
  <c r="L1161" i="13" s="1"/>
  <c r="I1162" i="13" s="1"/>
  <c r="K1184" i="14"/>
  <c r="L1184" i="14" s="1"/>
  <c r="I1185" i="14" s="1"/>
  <c r="J1347" i="14" a="1"/>
  <c r="J1347" i="14" s="1"/>
  <c r="N1348" i="14"/>
  <c r="J1348" i="13" a="1"/>
  <c r="J1348" i="13" s="1"/>
  <c r="N1349" i="13"/>
  <c r="M1352" i="14"/>
  <c r="M1351" i="13"/>
  <c r="K1162" i="13" l="1"/>
  <c r="L1162" i="13" s="1"/>
  <c r="I1163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63" i="13" l="1"/>
  <c r="L1163" i="13" s="1"/>
  <c r="I1164" i="13" s="1"/>
  <c r="K1186" i="14"/>
  <c r="L1186" i="14" s="1"/>
  <c r="I1187" i="14" s="1"/>
  <c r="M1354" i="14"/>
  <c r="M1353" i="13"/>
  <c r="J1349" i="14" a="1"/>
  <c r="J1349" i="14" s="1"/>
  <c r="N1350" i="14"/>
  <c r="J1350" i="13" a="1"/>
  <c r="J1350" i="13" s="1"/>
  <c r="N1351" i="13"/>
  <c r="K1164" i="13" l="1"/>
  <c r="L1164" i="13" s="1"/>
  <c r="I1165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65" i="13" l="1"/>
  <c r="L1165" i="13" s="1"/>
  <c r="I1166" i="13" s="1"/>
  <c r="K1188" i="14"/>
  <c r="L1188" i="14" s="1"/>
  <c r="I1189" i="14" s="1"/>
  <c r="M1356" i="14"/>
  <c r="M1355" i="13"/>
  <c r="J1351" i="14" a="1"/>
  <c r="J1351" i="14" s="1"/>
  <c r="N1352" i="14"/>
  <c r="J1352" i="13" a="1"/>
  <c r="J1352" i="13" s="1"/>
  <c r="N1353" i="13"/>
  <c r="K1166" i="13" l="1"/>
  <c r="L1166" i="13" s="1"/>
  <c r="I1167" i="13" s="1"/>
  <c r="K1189" i="14"/>
  <c r="L1189" i="14" s="1"/>
  <c r="I1190" i="14" s="1"/>
  <c r="N1354" i="13"/>
  <c r="J1353" i="13" a="1"/>
  <c r="J1353" i="13" s="1"/>
  <c r="M1356" i="13"/>
  <c r="N1353" i="14"/>
  <c r="J1352" i="14" a="1"/>
  <c r="J1352" i="14" s="1"/>
  <c r="M1357" i="14"/>
  <c r="K1167" i="13" l="1"/>
  <c r="L1167" i="13" s="1"/>
  <c r="I1168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8" i="13" l="1"/>
  <c r="L1168" i="13" s="1"/>
  <c r="I1169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69" i="13" l="1"/>
  <c r="L1169" i="13" s="1"/>
  <c r="I1170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70" i="13" l="1"/>
  <c r="L1170" i="13" s="1"/>
  <c r="I1171" i="13" s="1"/>
  <c r="K1193" i="14"/>
  <c r="L1193" i="14" s="1"/>
  <c r="I1194" i="14" s="1"/>
  <c r="N1358" i="13"/>
  <c r="J1357" i="13" a="1"/>
  <c r="J1357" i="13" s="1"/>
  <c r="M1360" i="13"/>
  <c r="N1357" i="14"/>
  <c r="J1356" i="14" a="1"/>
  <c r="J1356" i="14" s="1"/>
  <c r="M1361" i="14"/>
  <c r="K1171" i="13" l="1"/>
  <c r="L1171" i="13" s="1"/>
  <c r="I1172" i="13" s="1"/>
  <c r="K1194" i="14"/>
  <c r="L1194" i="14" s="1"/>
  <c r="I1195" i="14" s="1"/>
  <c r="M1361" i="13"/>
  <c r="M1362" i="14"/>
  <c r="J1357" i="14" a="1"/>
  <c r="J1357" i="14" s="1"/>
  <c r="N1358" i="14"/>
  <c r="J1358" i="13" a="1"/>
  <c r="J1358" i="13" s="1"/>
  <c r="N1359" i="13"/>
  <c r="K1172" i="13" l="1"/>
  <c r="L1172" i="13" s="1"/>
  <c r="I1173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73" i="13" l="1"/>
  <c r="L1173" i="13" s="1"/>
  <c r="I1174" i="13" s="1"/>
  <c r="K1196" i="14"/>
  <c r="L1196" i="14" s="1"/>
  <c r="I1197" i="14" s="1"/>
  <c r="J1359" i="14" a="1"/>
  <c r="J1359" i="14" s="1"/>
  <c r="N1360" i="14"/>
  <c r="M1363" i="13"/>
  <c r="M1364" i="14"/>
  <c r="J1360" i="13" a="1"/>
  <c r="J1360" i="13" s="1"/>
  <c r="N1361" i="13"/>
  <c r="K1174" i="13" l="1"/>
  <c r="L1174" i="13" s="1"/>
  <c r="I1175" i="13" s="1"/>
  <c r="K1197" i="14"/>
  <c r="L1197" i="14" s="1"/>
  <c r="I1198" i="14" s="1"/>
  <c r="N1362" i="13"/>
  <c r="J1361" i="13" a="1"/>
  <c r="J1361" i="13" s="1"/>
  <c r="M1364" i="13"/>
  <c r="N1361" i="14"/>
  <c r="J1360" i="14" a="1"/>
  <c r="J1360" i="14" s="1"/>
  <c r="M1365" i="14"/>
  <c r="K1175" i="13" l="1"/>
  <c r="L1175" i="13" s="1"/>
  <c r="I1176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76" i="13" l="1"/>
  <c r="L1176" i="13" s="1"/>
  <c r="I1177" i="13" s="1"/>
  <c r="K1199" i="14"/>
  <c r="L1199" i="14" s="1"/>
  <c r="I1200" i="14" s="1"/>
  <c r="M1366" i="13"/>
  <c r="J1362" i="14" a="1"/>
  <c r="J1362" i="14" s="1"/>
  <c r="N1363" i="14"/>
  <c r="J1363" i="13" a="1"/>
  <c r="J1363" i="13" s="1"/>
  <c r="N1364" i="13"/>
  <c r="M1367" i="14"/>
  <c r="K1177" i="13" l="1"/>
  <c r="L1177" i="13" s="1"/>
  <c r="I1178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178" i="13" l="1"/>
  <c r="L1178" i="13" s="1"/>
  <c r="I1179" i="13" s="1"/>
  <c r="K1201" i="14"/>
  <c r="L1201" i="14" s="1"/>
  <c r="I1202" i="14" s="1"/>
  <c r="N1365" i="14"/>
  <c r="J1364" i="14" a="1"/>
  <c r="J1364" i="14" s="1"/>
  <c r="M1368" i="13"/>
  <c r="N1366" i="13"/>
  <c r="J1365" i="13" a="1"/>
  <c r="J1365" i="13" s="1"/>
  <c r="M1369" i="14"/>
  <c r="K1179" i="13" l="1"/>
  <c r="L1179" i="13" s="1"/>
  <c r="I1180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180" i="13" l="1"/>
  <c r="L1180" i="13" s="1"/>
  <c r="I1181" i="13" s="1"/>
  <c r="K1203" i="14"/>
  <c r="L1203" i="14" s="1"/>
  <c r="I1204" i="14" s="1"/>
  <c r="M1370" i="13"/>
  <c r="M1371" i="14"/>
  <c r="J1366" i="14" a="1"/>
  <c r="J1366" i="14" s="1"/>
  <c r="N1367" i="14"/>
  <c r="J1367" i="13" a="1"/>
  <c r="J1367" i="13" s="1"/>
  <c r="N1368" i="13"/>
  <c r="K1181" i="13" l="1"/>
  <c r="L1181" i="13" s="1"/>
  <c r="I1182" i="13" s="1"/>
  <c r="J1368" i="13" a="1"/>
  <c r="J1368" i="13" s="1"/>
  <c r="N1369" i="13"/>
  <c r="M1372" i="14"/>
  <c r="M1371" i="13"/>
  <c r="K1204" i="14"/>
  <c r="L1204" i="14" s="1"/>
  <c r="I1205" i="14" s="1"/>
  <c r="J1367" i="14" a="1"/>
  <c r="J1367" i="14" s="1"/>
  <c r="N1368" i="14"/>
  <c r="K1182" i="13" l="1"/>
  <c r="L1182" i="13" s="1"/>
  <c r="I1183" i="13" s="1"/>
  <c r="K1205" i="14"/>
  <c r="L1205" i="14" s="1"/>
  <c r="I1206" i="14" s="1"/>
  <c r="N1370" i="13"/>
  <c r="J1369" i="13" a="1"/>
  <c r="J1369" i="13" s="1"/>
  <c r="N1369" i="14"/>
  <c r="J1368" i="14" a="1"/>
  <c r="J1368" i="14" s="1"/>
  <c r="M1373" i="14"/>
  <c r="M1372" i="13"/>
  <c r="K1183" i="13" l="1"/>
  <c r="L1183" i="13" s="1"/>
  <c r="I1184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4" i="13" l="1"/>
  <c r="L1184" i="13" s="1"/>
  <c r="I1185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185" i="13" l="1"/>
  <c r="L1185" i="13" s="1"/>
  <c r="I1186" i="13" s="1"/>
  <c r="K1208" i="14"/>
  <c r="L1208" i="14" s="1"/>
  <c r="I1209" i="14" s="1"/>
  <c r="M1375" i="13"/>
  <c r="M1376" i="14"/>
  <c r="J1372" i="13" a="1"/>
  <c r="J1372" i="13" s="1"/>
  <c r="N1373" i="13"/>
  <c r="J1371" i="14" a="1"/>
  <c r="J1371" i="14" s="1"/>
  <c r="N1372" i="14"/>
  <c r="K1186" i="13" l="1"/>
  <c r="L1186" i="13" s="1"/>
  <c r="I1187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7" i="13" l="1"/>
  <c r="L1187" i="13" s="1"/>
  <c r="I1188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188" i="13" l="1"/>
  <c r="L1188" i="13" s="1"/>
  <c r="I1189" i="13" s="1"/>
  <c r="K1211" i="14"/>
  <c r="L1211" i="14" s="1"/>
  <c r="I1212" i="14" s="1"/>
  <c r="J1374" i="14" a="1"/>
  <c r="J1374" i="14" s="1"/>
  <c r="N1375" i="14"/>
  <c r="M1379" i="14"/>
  <c r="J1375" i="13" a="1"/>
  <c r="J1375" i="13" s="1"/>
  <c r="N1376" i="13"/>
  <c r="M1378" i="13"/>
  <c r="K1189" i="13" l="1"/>
  <c r="L1189" i="13" s="1"/>
  <c r="I1190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190" i="13" l="1"/>
  <c r="L1190" i="13" s="1"/>
  <c r="I1191" i="13" s="1"/>
  <c r="K1213" i="14"/>
  <c r="L1213" i="14" s="1"/>
  <c r="I1214" i="14" s="1"/>
  <c r="N1378" i="13"/>
  <c r="J1377" i="13" a="1"/>
  <c r="J1377" i="13" s="1"/>
  <c r="M1381" i="14"/>
  <c r="N1377" i="14"/>
  <c r="J1376" i="14" a="1"/>
  <c r="J1376" i="14" s="1"/>
  <c r="M1380" i="13"/>
  <c r="K1191" i="13" l="1"/>
  <c r="L1191" i="13" s="1"/>
  <c r="I1192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192" i="13" l="1"/>
  <c r="L1192" i="13" s="1"/>
  <c r="I1193" i="13" s="1"/>
  <c r="K1215" i="14"/>
  <c r="L1215" i="14" s="1"/>
  <c r="I1216" i="14" s="1"/>
  <c r="M1383" i="14"/>
  <c r="J1379" i="13" a="1"/>
  <c r="J1379" i="13" s="1"/>
  <c r="N1380" i="13"/>
  <c r="J1378" i="14" a="1"/>
  <c r="J1378" i="14" s="1"/>
  <c r="N1379" i="14"/>
  <c r="M1382" i="13"/>
  <c r="K1193" i="13" l="1"/>
  <c r="L1193" i="13" s="1"/>
  <c r="I1194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194" i="13" l="1"/>
  <c r="L1194" i="13" s="1"/>
  <c r="I1195" i="13" s="1"/>
  <c r="K1217" i="14"/>
  <c r="L1217" i="14" s="1"/>
  <c r="I1218" i="14" s="1"/>
  <c r="N1382" i="13"/>
  <c r="J1381" i="13" a="1"/>
  <c r="J1381" i="13" s="1"/>
  <c r="N1381" i="14"/>
  <c r="J1380" i="14" a="1"/>
  <c r="J1380" i="14" s="1"/>
  <c r="M1384" i="13"/>
  <c r="M1385" i="14"/>
  <c r="K1195" i="13" l="1"/>
  <c r="L1195" i="13" s="1"/>
  <c r="I1196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196" i="13" l="1"/>
  <c r="L1196" i="13" s="1"/>
  <c r="I1197" i="13" s="1"/>
  <c r="K1219" i="14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 l="1"/>
  <c r="L1197" i="13" s="1"/>
  <c r="I1198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8" i="13" l="1"/>
  <c r="L1198" i="13" s="1"/>
  <c r="I1199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199" i="13" l="1"/>
  <c r="L1199" i="13" s="1"/>
  <c r="I1200" i="13" s="1"/>
  <c r="K1222" i="14"/>
  <c r="L1222" i="14" s="1"/>
  <c r="I1223" i="14" s="1"/>
  <c r="J1386" i="13" a="1"/>
  <c r="J1386" i="13" s="1"/>
  <c r="N1387" i="13"/>
  <c r="M1390" i="14"/>
  <c r="M1389" i="13"/>
  <c r="J1385" i="14" a="1"/>
  <c r="J1385" i="14" s="1"/>
  <c r="N1386" i="14"/>
  <c r="K1200" i="13" l="1"/>
  <c r="L1200" i="13" s="1"/>
  <c r="I1201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01" i="13" l="1"/>
  <c r="L1201" i="13" s="1"/>
  <c r="I1202" i="13" s="1"/>
  <c r="K1224" i="14"/>
  <c r="L1224" i="14" s="1"/>
  <c r="I1225" i="14" s="1"/>
  <c r="M1392" i="14"/>
  <c r="J1388" i="13" a="1"/>
  <c r="J1388" i="13" s="1"/>
  <c r="N1389" i="13"/>
  <c r="M1391" i="13"/>
  <c r="J1387" i="14" a="1"/>
  <c r="J1387" i="14" s="1"/>
  <c r="N1388" i="14"/>
  <c r="K1202" i="13" l="1"/>
  <c r="L1202" i="13" s="1"/>
  <c r="I1203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03" i="13" l="1"/>
  <c r="L1203" i="13" s="1"/>
  <c r="I1204" i="13" s="1"/>
  <c r="K1226" i="14"/>
  <c r="L1226" i="14" s="1"/>
  <c r="I1227" i="14" s="1"/>
  <c r="J1390" i="13" a="1"/>
  <c r="J1390" i="13" s="1"/>
  <c r="N1391" i="13"/>
  <c r="M1394" i="14"/>
  <c r="M1393" i="13"/>
  <c r="J1389" i="14" a="1"/>
  <c r="J1389" i="14" s="1"/>
  <c r="N1390" i="14"/>
  <c r="K1204" i="13" l="1"/>
  <c r="L1204" i="13" s="1"/>
  <c r="I1205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05" i="13" l="1"/>
  <c r="L1205" i="13" s="1"/>
  <c r="I1206" i="13" s="1"/>
  <c r="K1228" i="14"/>
  <c r="L1228" i="14" s="1"/>
  <c r="I1229" i="14" s="1"/>
  <c r="J1392" i="13" a="1"/>
  <c r="J1392" i="13" s="1"/>
  <c r="N1393" i="13"/>
  <c r="M1396" i="14"/>
  <c r="M1395" i="13"/>
  <c r="J1391" i="14" a="1"/>
  <c r="J1391" i="14" s="1"/>
  <c r="N1392" i="14"/>
  <c r="K1206" i="13" l="1"/>
  <c r="L1206" i="13" s="1"/>
  <c r="I1207" i="13" s="1"/>
  <c r="K1229" i="14"/>
  <c r="L1229" i="14" s="1"/>
  <c r="I1230" i="14" s="1"/>
  <c r="M1397" i="14"/>
  <c r="N1393" i="14"/>
  <c r="J1392" i="14" a="1"/>
  <c r="J1392" i="14" s="1"/>
  <c r="N1394" i="13"/>
  <c r="J1393" i="13" a="1"/>
  <c r="J1393" i="13" s="1"/>
  <c r="M1396" i="13"/>
  <c r="K1207" i="13" l="1"/>
  <c r="L1207" i="13" s="1"/>
  <c r="I1208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08" i="13" l="1"/>
  <c r="L1208" i="13" s="1"/>
  <c r="I1209" i="13" s="1"/>
  <c r="K1231" i="14"/>
  <c r="L1231" i="14" s="1"/>
  <c r="I1232" i="14" s="1"/>
  <c r="J1394" i="14" a="1"/>
  <c r="J1394" i="14" s="1"/>
  <c r="N1395" i="14"/>
  <c r="J1395" i="13" a="1"/>
  <c r="J1395" i="13" s="1"/>
  <c r="N1396" i="13"/>
  <c r="M1399" i="14"/>
  <c r="M1398" i="13"/>
  <c r="K1209" i="13" l="1"/>
  <c r="L1209" i="13" s="1"/>
  <c r="I1210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10" i="13" l="1"/>
  <c r="L1210" i="13" s="1"/>
  <c r="I1211" i="13" s="1"/>
  <c r="K1233" i="14"/>
  <c r="L1233" i="14" s="1"/>
  <c r="I1234" i="14" s="1"/>
  <c r="N1397" i="14"/>
  <c r="J1396" i="14" a="1"/>
  <c r="J1396" i="14" s="1"/>
  <c r="N1398" i="13"/>
  <c r="J1397" i="13" a="1"/>
  <c r="J1397" i="13" s="1"/>
  <c r="M1401" i="14"/>
  <c r="M1400" i="13"/>
  <c r="K1211" i="13" l="1"/>
  <c r="L1211" i="13" s="1"/>
  <c r="I1212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12" i="13" l="1"/>
  <c r="L1212" i="13" s="1"/>
  <c r="I1213" i="13" s="1"/>
  <c r="K1235" i="14"/>
  <c r="L1235" i="14" s="1"/>
  <c r="I1236" i="14" s="1"/>
  <c r="J1398" i="14" a="1"/>
  <c r="J1398" i="14" s="1"/>
  <c r="N1399" i="14"/>
  <c r="M1402" i="13"/>
  <c r="J1399" i="13" a="1"/>
  <c r="J1399" i="13" s="1"/>
  <c r="N1400" i="13"/>
  <c r="M1403" i="14"/>
  <c r="K1213" i="13" l="1"/>
  <c r="L1213" i="13" s="1"/>
  <c r="I1214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14" i="13" l="1"/>
  <c r="L1214" i="13" s="1"/>
  <c r="I1215" i="13" s="1"/>
  <c r="K1237" i="14"/>
  <c r="L1237" i="14" s="1"/>
  <c r="I1238" i="14" s="1"/>
  <c r="N1402" i="13"/>
  <c r="J1401" i="13" a="1"/>
  <c r="J1401" i="13" s="1"/>
  <c r="M1405" i="14"/>
  <c r="N1401" i="14"/>
  <c r="J1400" i="14" a="1"/>
  <c r="J1400" i="14" s="1"/>
  <c r="M1404" i="13"/>
  <c r="K1215" i="13" l="1"/>
  <c r="L1215" i="13" s="1"/>
  <c r="I1216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16" i="13" l="1"/>
  <c r="L1216" i="13" s="1"/>
  <c r="I1217" i="13" s="1"/>
  <c r="K1239" i="14"/>
  <c r="L1239" i="14" s="1"/>
  <c r="I1240" i="14" s="1"/>
  <c r="M1407" i="14"/>
  <c r="J1402" i="14" a="1"/>
  <c r="J1402" i="14" s="1"/>
  <c r="N1403" i="14"/>
  <c r="J1403" i="13" a="1"/>
  <c r="J1403" i="13" s="1"/>
  <c r="N1404" i="13"/>
  <c r="M1406" i="13"/>
  <c r="K1217" i="13" l="1"/>
  <c r="L1217" i="13" s="1"/>
  <c r="I1218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18" i="13" l="1"/>
  <c r="L1218" i="13" s="1"/>
  <c r="I1219" i="13" s="1"/>
  <c r="K1241" i="14"/>
  <c r="L1241" i="14" s="1"/>
  <c r="I1242" i="14" s="1"/>
  <c r="N1406" i="13"/>
  <c r="J1405" i="13" a="1"/>
  <c r="J1405" i="13" s="1"/>
  <c r="N1405" i="14"/>
  <c r="J1404" i="14" a="1"/>
  <c r="J1404" i="14" s="1"/>
  <c r="M1408" i="13"/>
  <c r="M1409" i="14"/>
  <c r="K1219" i="13" l="1"/>
  <c r="L1219" i="13" s="1"/>
  <c r="I1220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20" i="13" l="1"/>
  <c r="L1220" i="13" s="1"/>
  <c r="I1221" i="13" s="1"/>
  <c r="K1243" i="14"/>
  <c r="L1243" i="14" s="1"/>
  <c r="I1244" i="14" s="1"/>
  <c r="M1411" i="14"/>
  <c r="J1407" i="13" a="1"/>
  <c r="J1407" i="13" s="1"/>
  <c r="N1408" i="13"/>
  <c r="J1406" i="14" a="1"/>
  <c r="J1406" i="14" s="1"/>
  <c r="N1407" i="14"/>
  <c r="M1410" i="13"/>
  <c r="K1221" i="13" l="1"/>
  <c r="L1221" i="13" s="1"/>
  <c r="I1222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22" i="13" l="1"/>
  <c r="L1222" i="13" s="1"/>
  <c r="I1223" i="13" s="1"/>
  <c r="K1245" i="14"/>
  <c r="L1245" i="14" s="1"/>
  <c r="I1246" i="14" s="1"/>
  <c r="N1410" i="13"/>
  <c r="J1409" i="13" a="1"/>
  <c r="J1409" i="13" s="1"/>
  <c r="N1409" i="14"/>
  <c r="J1408" i="14" a="1"/>
  <c r="J1408" i="14" s="1"/>
  <c r="M1412" i="13"/>
  <c r="M1413" i="14"/>
  <c r="K1223" i="13" l="1"/>
  <c r="L1223" i="13" s="1"/>
  <c r="I1224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24" i="13" l="1"/>
  <c r="L1224" i="13" s="1"/>
  <c r="I1225" i="13" s="1"/>
  <c r="K1247" i="14"/>
  <c r="L1247" i="14" s="1"/>
  <c r="I1248" i="14" s="1"/>
  <c r="M1415" i="14"/>
  <c r="J1411" i="13" a="1"/>
  <c r="J1411" i="13" s="1"/>
  <c r="N1412" i="13"/>
  <c r="J1410" i="14" a="1"/>
  <c r="J1410" i="14" s="1"/>
  <c r="N1411" i="14"/>
  <c r="M1414" i="13"/>
  <c r="K1225" i="13" l="1"/>
  <c r="L1225" i="13" s="1"/>
  <c r="I1226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6" i="13" l="1"/>
  <c r="L1226" i="13" s="1"/>
  <c r="I1227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27" i="13" l="1"/>
  <c r="L1227" i="13" s="1"/>
  <c r="I1228" i="13" s="1"/>
  <c r="K1250" i="14"/>
  <c r="L1250" i="14" s="1"/>
  <c r="I1251" i="14" s="1"/>
  <c r="J1414" i="13" a="1"/>
  <c r="J1414" i="13" s="1"/>
  <c r="N1415" i="13"/>
  <c r="M1418" i="14"/>
  <c r="M1417" i="13"/>
  <c r="J1413" i="14" a="1"/>
  <c r="J1413" i="14" s="1"/>
  <c r="N1414" i="14"/>
  <c r="K1228" i="13" l="1"/>
  <c r="L1228" i="13" s="1"/>
  <c r="I1229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29" i="13" l="1"/>
  <c r="L1229" i="13" s="1"/>
  <c r="I1230" i="13" s="1"/>
  <c r="K1252" i="14"/>
  <c r="L1252" i="14" s="1"/>
  <c r="I1253" i="14" s="1"/>
  <c r="J1416" i="13" a="1"/>
  <c r="J1416" i="13" s="1"/>
  <c r="N1417" i="13"/>
  <c r="J1415" i="14" a="1"/>
  <c r="J1415" i="14" s="1"/>
  <c r="N1416" i="14"/>
  <c r="M1420" i="14"/>
  <c r="M1419" i="13"/>
  <c r="K1230" i="13" l="1"/>
  <c r="L1230" i="13" s="1"/>
  <c r="I1231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1" i="13" l="1"/>
  <c r="L1231" i="13" s="1"/>
  <c r="I1232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32" i="13" l="1"/>
  <c r="L1232" i="13" s="1"/>
  <c r="I1233" i="13" s="1"/>
  <c r="K1255" i="14"/>
  <c r="L1255" i="14" s="1"/>
  <c r="I1256" i="14" s="1"/>
  <c r="J1418" i="14" a="1"/>
  <c r="J1418" i="14" s="1"/>
  <c r="N1419" i="14"/>
  <c r="J1419" i="13" a="1"/>
  <c r="J1419" i="13" s="1"/>
  <c r="N1420" i="13"/>
  <c r="M1422" i="13"/>
  <c r="M1423" i="14"/>
  <c r="K1233" i="13" l="1"/>
  <c r="L1233" i="13" s="1"/>
  <c r="I1234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34" i="13" l="1"/>
  <c r="L1234" i="13" s="1"/>
  <c r="I1235" i="13" s="1"/>
  <c r="K1257" i="14"/>
  <c r="L1257" i="14" s="1"/>
  <c r="I1258" i="14" s="1"/>
  <c r="M1424" i="13"/>
  <c r="N1422" i="13"/>
  <c r="J1421" i="13" a="1"/>
  <c r="J1421" i="13" s="1"/>
  <c r="N1421" i="14"/>
  <c r="J1420" i="14" a="1"/>
  <c r="J1420" i="14" s="1"/>
  <c r="M1425" i="14"/>
  <c r="K1235" i="13" l="1"/>
  <c r="L1235" i="13" s="1"/>
  <c r="I1236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6" i="13" l="1"/>
  <c r="L1236" i="13" s="1"/>
  <c r="I1237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37" i="13" l="1"/>
  <c r="L1237" i="13" s="1"/>
  <c r="I1238" i="13" s="1"/>
  <c r="K1260" i="14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 l="1"/>
  <c r="L1238" i="13" s="1"/>
  <c r="I1239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39" i="13" l="1"/>
  <c r="L1239" i="13" s="1"/>
  <c r="I1240" i="13" s="1"/>
  <c r="K1262" i="14"/>
  <c r="L1262" i="14" s="1"/>
  <c r="I1263" i="14" s="1"/>
  <c r="M1430" i="14"/>
  <c r="J1426" i="13" a="1"/>
  <c r="J1426" i="13" s="1"/>
  <c r="N1427" i="13"/>
  <c r="M1429" i="13"/>
  <c r="J1425" i="14" a="1"/>
  <c r="J1425" i="14" s="1"/>
  <c r="N1426" i="14"/>
  <c r="K1240" i="13" l="1"/>
  <c r="L1240" i="13" s="1"/>
  <c r="I1241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41" i="13" l="1"/>
  <c r="L1241" i="13" s="1"/>
  <c r="I1242" i="13" s="1"/>
  <c r="K1264" i="14"/>
  <c r="L1264" i="14" s="1"/>
  <c r="I1265" i="14" s="1"/>
  <c r="J1427" i="14" a="1"/>
  <c r="J1427" i="14" s="1"/>
  <c r="N1428" i="14"/>
  <c r="M1431" i="13"/>
  <c r="J1428" i="13" a="1"/>
  <c r="J1428" i="13" s="1"/>
  <c r="N1429" i="13"/>
  <c r="M1432" i="14"/>
  <c r="K1242" i="13" l="1"/>
  <c r="L1242" i="13" s="1"/>
  <c r="I1243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43" i="13" l="1"/>
  <c r="L1243" i="13" s="1"/>
  <c r="I1244" i="13" s="1"/>
  <c r="K1266" i="14"/>
  <c r="L1266" i="14" s="1"/>
  <c r="I1267" i="14" s="1"/>
  <c r="M1434" i="14"/>
  <c r="M1433" i="13"/>
  <c r="J1430" i="13" a="1"/>
  <c r="J1430" i="13" s="1"/>
  <c r="N1431" i="13"/>
  <c r="J1429" i="14" a="1"/>
  <c r="J1429" i="14" s="1"/>
  <c r="N1430" i="14"/>
  <c r="K1244" i="13" l="1"/>
  <c r="L1244" i="13" s="1"/>
  <c r="I1245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45" i="13" l="1"/>
  <c r="L1245" i="13" s="1"/>
  <c r="I1246" i="13" s="1"/>
  <c r="K1268" i="14"/>
  <c r="L1268" i="14" s="1"/>
  <c r="I1269" i="14" s="1"/>
  <c r="M1436" i="14"/>
  <c r="J1431" i="14" a="1"/>
  <c r="J1431" i="14" s="1"/>
  <c r="N1432" i="14"/>
  <c r="J1432" i="13" a="1"/>
  <c r="J1432" i="13" s="1"/>
  <c r="N1433" i="13"/>
  <c r="M1435" i="13"/>
  <c r="K1246" i="13" l="1"/>
  <c r="L1246" i="13" s="1"/>
  <c r="I1247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47" i="13" l="1"/>
  <c r="L1247" i="13" s="1"/>
  <c r="I1248" i="13" s="1"/>
  <c r="K1270" i="14"/>
  <c r="L1270" i="14" s="1"/>
  <c r="I1271" i="14" s="1"/>
  <c r="M1437" i="13"/>
  <c r="M1438" i="14"/>
  <c r="J1434" i="13" a="1"/>
  <c r="J1434" i="13" s="1"/>
  <c r="N1435" i="13"/>
  <c r="J1433" i="14" a="1"/>
  <c r="J1433" i="14" s="1"/>
  <c r="N1434" i="14"/>
  <c r="K1248" i="13" l="1"/>
  <c r="L1248" i="13" s="1"/>
  <c r="I1249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49" i="13" l="1"/>
  <c r="L1249" i="13" s="1"/>
  <c r="I1250" i="13" s="1"/>
  <c r="K1272" i="14"/>
  <c r="L1272" i="14" s="1"/>
  <c r="I1273" i="14" s="1"/>
  <c r="M1440" i="14"/>
  <c r="M1439" i="13"/>
  <c r="J1436" i="13" a="1"/>
  <c r="J1436" i="13" s="1"/>
  <c r="N1437" i="13"/>
  <c r="J1435" i="14" a="1"/>
  <c r="J1435" i="14" s="1"/>
  <c r="N1436" i="14"/>
  <c r="K1250" i="13" l="1"/>
  <c r="L1250" i="13" s="1"/>
  <c r="I1251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51" i="13" l="1"/>
  <c r="L1251" i="13" s="1"/>
  <c r="I1252" i="13" s="1"/>
  <c r="K1274" i="14"/>
  <c r="L1274" i="14" s="1"/>
  <c r="I1275" i="14" s="1"/>
  <c r="J1438" i="13" a="1"/>
  <c r="J1438" i="13" s="1"/>
  <c r="N1439" i="13"/>
  <c r="M1441" i="13"/>
  <c r="M1442" i="14"/>
  <c r="J1437" i="14" a="1"/>
  <c r="J1437" i="14" s="1"/>
  <c r="N1438" i="14"/>
  <c r="K1252" i="13" l="1"/>
  <c r="L1252" i="13" s="1"/>
  <c r="I1253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3" i="13" l="1"/>
  <c r="L1253" i="13" s="1"/>
  <c r="I1254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4" i="13" l="1"/>
  <c r="L1254" i="13" s="1"/>
  <c r="I1255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5" i="13" l="1"/>
  <c r="L1255" i="13" s="1"/>
  <c r="I1256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6" i="13" l="1"/>
  <c r="L1256" i="13" s="1"/>
  <c r="I1257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7" i="13" l="1"/>
  <c r="L1257" i="13" s="1"/>
  <c r="I1258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58" i="13" l="1"/>
  <c r="L1258" i="13" s="1"/>
  <c r="I1259" i="13" s="1"/>
  <c r="K1281" i="14"/>
  <c r="L1281" i="14" s="1"/>
  <c r="I1282" i="14" s="1"/>
  <c r="N1446" i="13"/>
  <c r="J1445" i="13" a="1"/>
  <c r="J1445" i="13" s="1"/>
  <c r="M1449" i="14"/>
  <c r="M1448" i="13"/>
  <c r="N1445" i="14"/>
  <c r="J1444" i="14" a="1"/>
  <c r="J1444" i="14" s="1"/>
  <c r="K1259" i="13" l="1"/>
  <c r="L1259" i="13" s="1"/>
  <c r="I1260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60" i="13" l="1"/>
  <c r="L1260" i="13" s="1"/>
  <c r="I1261" i="13" s="1"/>
  <c r="K1283" i="14"/>
  <c r="L1283" i="14" s="1"/>
  <c r="I1284" i="14" s="1"/>
  <c r="M1451" i="14"/>
  <c r="J1446" i="14" a="1"/>
  <c r="J1446" i="14" s="1"/>
  <c r="N1447" i="14"/>
  <c r="J1447" i="13" a="1"/>
  <c r="J1447" i="13" s="1"/>
  <c r="N1448" i="13"/>
  <c r="M1450" i="13"/>
  <c r="K1261" i="13" l="1"/>
  <c r="L1261" i="13" s="1"/>
  <c r="I1262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62" i="13" l="1"/>
  <c r="L1262" i="13" s="1"/>
  <c r="I1263" i="13" s="1"/>
  <c r="K1285" i="14"/>
  <c r="L1285" i="14" s="1"/>
  <c r="I1286" i="14" s="1"/>
  <c r="N1450" i="13"/>
  <c r="J1449" i="13" a="1"/>
  <c r="J1449" i="13" s="1"/>
  <c r="N1449" i="14"/>
  <c r="J1448" i="14" a="1"/>
  <c r="J1448" i="14" s="1"/>
  <c r="M1452" i="13"/>
  <c r="M1453" i="14"/>
  <c r="K1263" i="13" l="1"/>
  <c r="L1263" i="13" s="1"/>
  <c r="I1264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64" i="13" l="1"/>
  <c r="L1264" i="13" s="1"/>
  <c r="I1265" i="13" s="1"/>
  <c r="K1287" i="14"/>
  <c r="L1287" i="14" s="1"/>
  <c r="I1288" i="14" s="1"/>
  <c r="M1454" i="13"/>
  <c r="J1451" i="13" a="1"/>
  <c r="J1451" i="13" s="1"/>
  <c r="N1452" i="13"/>
  <c r="M1455" i="14"/>
  <c r="J1450" i="14" a="1"/>
  <c r="J1450" i="14" s="1"/>
  <c r="N1451" i="14"/>
  <c r="K1265" i="13" l="1"/>
  <c r="L1265" i="13" s="1"/>
  <c r="I1266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66" i="13" l="1"/>
  <c r="L1266" i="13" s="1"/>
  <c r="I1267" i="13" s="1"/>
  <c r="K1289" i="14"/>
  <c r="L1289" i="14" s="1"/>
  <c r="I1290" i="14" s="1"/>
  <c r="M1456" i="13"/>
  <c r="N1453" i="14"/>
  <c r="J1452" i="14" a="1"/>
  <c r="J1452" i="14" s="1"/>
  <c r="N1454" i="13"/>
  <c r="J1453" i="13" a="1"/>
  <c r="J1453" i="13" s="1"/>
  <c r="M1457" i="14"/>
  <c r="K1267" i="13" l="1"/>
  <c r="L1267" i="13" s="1"/>
  <c r="I1268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68" i="13" l="1"/>
  <c r="L1268" i="13" s="1"/>
  <c r="I1269" i="13" s="1"/>
  <c r="K1291" i="14"/>
  <c r="L1291" i="14" s="1"/>
  <c r="I1292" i="14" s="1"/>
  <c r="M1458" i="13"/>
  <c r="J1454" i="14" a="1"/>
  <c r="J1454" i="14" s="1"/>
  <c r="N1455" i="14"/>
  <c r="J1455" i="13" a="1"/>
  <c r="J1455" i="13" s="1"/>
  <c r="N1456" i="13"/>
  <c r="M1459" i="14"/>
  <c r="K1269" i="13" l="1"/>
  <c r="L1269" i="13" s="1"/>
  <c r="I1270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70" i="13" l="1"/>
  <c r="L1270" i="13" s="1"/>
  <c r="I1271" i="13" s="1"/>
  <c r="K1293" i="14"/>
  <c r="L1293" i="14" s="1"/>
  <c r="I1294" i="14" s="1"/>
  <c r="N1457" i="14"/>
  <c r="J1456" i="14" a="1"/>
  <c r="J1456" i="14" s="1"/>
  <c r="N1458" i="13"/>
  <c r="J1457" i="13" a="1"/>
  <c r="J1457" i="13" s="1"/>
  <c r="M1460" i="13"/>
  <c r="M1461" i="14"/>
  <c r="K1271" i="13" l="1"/>
  <c r="L1271" i="13" s="1"/>
  <c r="I1272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72" i="13" l="1"/>
  <c r="L1272" i="13" s="1"/>
  <c r="I1273" i="13" s="1"/>
  <c r="K1295" i="14"/>
  <c r="L1295" i="14" s="1"/>
  <c r="I1296" i="14" s="1"/>
  <c r="J1459" i="13" a="1"/>
  <c r="J1459" i="13" s="1"/>
  <c r="N1460" i="13"/>
  <c r="J1458" i="14" a="1"/>
  <c r="J1458" i="14" s="1"/>
  <c r="N1459" i="14"/>
  <c r="M1462" i="13"/>
  <c r="M1463" i="14"/>
  <c r="K1273" i="13" l="1"/>
  <c r="L1273" i="13" s="1"/>
  <c r="I1274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74" i="13" l="1"/>
  <c r="L1274" i="13" s="1"/>
  <c r="I1275" i="13" s="1"/>
  <c r="K1297" i="14"/>
  <c r="L1297" i="14" s="1"/>
  <c r="I1298" i="14" s="1"/>
  <c r="M1464" i="13"/>
  <c r="N1461" i="14"/>
  <c r="J1460" i="14" a="1"/>
  <c r="J1460" i="14" s="1"/>
  <c r="N1462" i="13"/>
  <c r="J1461" i="13" a="1"/>
  <c r="J1461" i="13" s="1"/>
  <c r="M1465" i="14"/>
  <c r="K1275" i="13" l="1"/>
  <c r="L1275" i="13" s="1"/>
  <c r="I1276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76" i="13" l="1"/>
  <c r="L1276" i="13" s="1"/>
  <c r="I1277" i="13" s="1"/>
  <c r="K1299" i="14"/>
  <c r="L1299" i="14" s="1"/>
  <c r="I1300" i="14" s="1"/>
  <c r="M1466" i="13"/>
  <c r="J1463" i="13" a="1"/>
  <c r="J1463" i="13" s="1"/>
  <c r="N1464" i="13"/>
  <c r="J1462" i="14" a="1"/>
  <c r="J1462" i="14" s="1"/>
  <c r="N1463" i="14"/>
  <c r="M1467" i="14"/>
  <c r="K1277" i="13" l="1"/>
  <c r="L1277" i="13" s="1"/>
  <c r="I1278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278" i="13" l="1"/>
  <c r="L1278" i="13" s="1"/>
  <c r="I1279" i="13" s="1"/>
  <c r="K1301" i="14"/>
  <c r="L1301" i="14" s="1"/>
  <c r="I1302" i="14" s="1"/>
  <c r="N1465" i="14"/>
  <c r="J1464" i="14" a="1"/>
  <c r="J1464" i="14" s="1"/>
  <c r="N1466" i="13"/>
  <c r="J1465" i="13" a="1"/>
  <c r="J1465" i="13" s="1"/>
  <c r="M1468" i="13"/>
  <c r="M1469" i="14"/>
  <c r="K1279" i="13" l="1"/>
  <c r="L1279" i="13" s="1"/>
  <c r="I1280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280" i="13" l="1"/>
  <c r="L1280" i="13" s="1"/>
  <c r="I1281" i="13" s="1"/>
  <c r="K1303" i="14"/>
  <c r="L1303" i="14" s="1"/>
  <c r="I1304" i="14" s="1"/>
  <c r="J1467" i="13" a="1"/>
  <c r="J1467" i="13" s="1"/>
  <c r="N1468" i="13"/>
  <c r="J1466" i="14" a="1"/>
  <c r="J1466" i="14" s="1"/>
  <c r="N1467" i="14"/>
  <c r="M1470" i="13"/>
  <c r="M1471" i="14"/>
  <c r="K1281" i="13" l="1"/>
  <c r="L1281" i="13" s="1"/>
  <c r="I1282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282" i="13" l="1"/>
  <c r="L1282" i="13" s="1"/>
  <c r="I1283" i="13" s="1"/>
  <c r="K1305" i="14"/>
  <c r="L1305" i="14" s="1"/>
  <c r="I1306" i="14" s="1"/>
  <c r="N1469" i="14"/>
  <c r="J1468" i="14" a="1"/>
  <c r="J1468" i="14" s="1"/>
  <c r="M1472" i="13"/>
  <c r="N1470" i="13"/>
  <c r="J1469" i="13" a="1"/>
  <c r="J1469" i="13" s="1"/>
  <c r="M1473" i="14"/>
  <c r="K1283" i="13" l="1"/>
  <c r="L1283" i="13" s="1"/>
  <c r="I1284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284" i="13" l="1"/>
  <c r="L1284" i="13" s="1"/>
  <c r="I1285" i="13" s="1"/>
  <c r="K1307" i="14"/>
  <c r="L1307" i="14" s="1"/>
  <c r="I1308" i="14" s="1"/>
  <c r="M1475" i="14"/>
  <c r="J1470" i="14" a="1"/>
  <c r="J1470" i="14" s="1"/>
  <c r="N1471" i="14"/>
  <c r="J1471" i="13" a="1"/>
  <c r="J1471" i="13" s="1"/>
  <c r="N1472" i="13"/>
  <c r="M1474" i="13"/>
  <c r="K1285" i="13" l="1"/>
  <c r="L1285" i="13" s="1"/>
  <c r="I1286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286" i="13" l="1"/>
  <c r="L1286" i="13" s="1"/>
  <c r="I1287" i="13" s="1"/>
  <c r="K1309" i="14"/>
  <c r="L1309" i="14" s="1"/>
  <c r="I1310" i="14" s="1"/>
  <c r="M1476" i="13"/>
  <c r="N1473" i="14"/>
  <c r="J1472" i="14" a="1"/>
  <c r="J1472" i="14" s="1"/>
  <c r="N1474" i="13"/>
  <c r="J1473" i="13" a="1"/>
  <c r="J1473" i="13" s="1"/>
  <c r="M1477" i="14"/>
  <c r="K1287" i="13" l="1"/>
  <c r="L1287" i="13" s="1"/>
  <c r="I1288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288" i="13" l="1"/>
  <c r="L1288" i="13" s="1"/>
  <c r="I1289" i="13" s="1"/>
  <c r="K1311" i="14"/>
  <c r="L1311" i="14" s="1"/>
  <c r="I1312" i="14" s="1"/>
  <c r="J1475" i="13" a="1"/>
  <c r="J1475" i="13" s="1"/>
  <c r="N1476" i="13"/>
  <c r="J1474" i="14" a="1"/>
  <c r="J1474" i="14" s="1"/>
  <c r="N1475" i="14"/>
  <c r="M1479" i="14"/>
  <c r="M1478" i="13"/>
  <c r="K1289" i="13" l="1"/>
  <c r="L1289" i="13" s="1"/>
  <c r="I1290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0" i="13" l="1"/>
  <c r="L1290" i="13" s="1"/>
  <c r="I1291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291" i="13" l="1"/>
  <c r="L1291" i="13" s="1"/>
  <c r="I1292" i="13" s="1"/>
  <c r="K1314" i="14"/>
  <c r="L1314" i="14" s="1"/>
  <c r="I1315" i="14" s="1"/>
  <c r="M1481" i="13"/>
  <c r="M1482" i="14"/>
  <c r="J1478" i="13" a="1"/>
  <c r="J1478" i="13" s="1"/>
  <c r="N1479" i="13"/>
  <c r="J1477" i="14" a="1"/>
  <c r="J1477" i="14" s="1"/>
  <c r="N1478" i="14"/>
  <c r="K1292" i="13" l="1"/>
  <c r="L1292" i="13" s="1"/>
  <c r="I1293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293" i="13" l="1"/>
  <c r="L1293" i="13" s="1"/>
  <c r="I1294" i="13" s="1"/>
  <c r="K1316" i="14"/>
  <c r="L1316" i="14" s="1"/>
  <c r="I1317" i="14" s="1"/>
  <c r="J1480" i="13" a="1"/>
  <c r="J1480" i="13" s="1"/>
  <c r="N1481" i="13"/>
  <c r="M1484" i="14"/>
  <c r="M1483" i="13"/>
  <c r="J1479" i="14" a="1"/>
  <c r="J1479" i="14" s="1"/>
  <c r="N1480" i="14"/>
  <c r="K1294" i="13" l="1"/>
  <c r="L1294" i="13" s="1"/>
  <c r="I1295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295" i="13" l="1"/>
  <c r="L1295" i="13" s="1"/>
  <c r="I1296" i="13" s="1"/>
  <c r="K1318" i="14"/>
  <c r="L1318" i="14" s="1"/>
  <c r="I1319" i="14" s="1"/>
  <c r="M1485" i="13"/>
  <c r="M1486" i="14"/>
  <c r="J1482" i="13" a="1"/>
  <c r="J1482" i="13" s="1"/>
  <c r="N1483" i="13"/>
  <c r="J1481" i="14" a="1"/>
  <c r="J1481" i="14" s="1"/>
  <c r="N1482" i="14"/>
  <c r="K1296" i="13" l="1"/>
  <c r="L1296" i="13" s="1"/>
  <c r="I1297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297" i="13" l="1"/>
  <c r="L1297" i="13" s="1"/>
  <c r="I1298" i="13" s="1"/>
  <c r="K1320" i="14"/>
  <c r="L1320" i="14" s="1"/>
  <c r="I1321" i="14" s="1"/>
  <c r="M1488" i="14"/>
  <c r="M1487" i="13"/>
  <c r="J1483" i="14" a="1"/>
  <c r="J1483" i="14" s="1"/>
  <c r="N1484" i="14"/>
  <c r="J1484" i="13" a="1"/>
  <c r="J1484" i="13" s="1"/>
  <c r="N1485" i="13"/>
  <c r="K1298" i="13" l="1"/>
  <c r="L1298" i="13" s="1"/>
  <c r="I1299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299" i="13" l="1"/>
  <c r="L1299" i="13" s="1"/>
  <c r="I1300" i="13" s="1"/>
  <c r="K1322" i="14"/>
  <c r="L1322" i="14" s="1"/>
  <c r="I1323" i="14" s="1"/>
  <c r="M1489" i="13"/>
  <c r="M1490" i="14"/>
  <c r="J1485" i="14" a="1"/>
  <c r="J1485" i="14" s="1"/>
  <c r="N1486" i="14"/>
  <c r="J1486" i="13" a="1"/>
  <c r="J1486" i="13" s="1"/>
  <c r="N1487" i="13"/>
  <c r="K1300" i="13" l="1"/>
  <c r="L1300" i="13" s="1"/>
  <c r="I1301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01" i="13" l="1"/>
  <c r="L1301" i="13" s="1"/>
  <c r="I1302" i="13" s="1"/>
  <c r="K1324" i="14"/>
  <c r="L1324" i="14" s="1"/>
  <c r="I1325" i="14" s="1"/>
  <c r="J1487" i="14" a="1"/>
  <c r="J1487" i="14" s="1"/>
  <c r="N1488" i="14"/>
  <c r="J1488" i="13" a="1"/>
  <c r="J1488" i="13" s="1"/>
  <c r="N1489" i="13"/>
  <c r="M1492" i="14"/>
  <c r="M1491" i="13"/>
  <c r="K1302" i="13" l="1"/>
  <c r="L1302" i="13" s="1"/>
  <c r="I1303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03" i="13" l="1"/>
  <c r="L1303" i="13" s="1"/>
  <c r="I1304" i="13" s="1"/>
  <c r="K1326" i="14"/>
  <c r="L1326" i="14" s="1"/>
  <c r="I1327" i="14" s="1"/>
  <c r="M1493" i="13"/>
  <c r="M1494" i="14"/>
  <c r="J1489" i="14" a="1"/>
  <c r="J1489" i="14" s="1"/>
  <c r="N1490" i="14"/>
  <c r="J1490" i="13" a="1"/>
  <c r="J1490" i="13" s="1"/>
  <c r="N1491" i="13"/>
  <c r="K1304" i="13" l="1"/>
  <c r="L1304" i="13" s="1"/>
  <c r="I1305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05" i="13" l="1"/>
  <c r="L1305" i="13" s="1"/>
  <c r="I1306" i="13" s="1"/>
  <c r="K1328" i="14"/>
  <c r="L1328" i="14" s="1"/>
  <c r="I1329" i="14" s="1"/>
  <c r="M1496" i="14"/>
  <c r="J1491" i="14" a="1"/>
  <c r="J1491" i="14" s="1"/>
  <c r="N1492" i="14"/>
  <c r="M1495" i="13"/>
  <c r="J1492" i="13" a="1"/>
  <c r="J1492" i="13" s="1"/>
  <c r="N1493" i="13"/>
  <c r="K1306" i="13" l="1"/>
  <c r="L1306" i="13" s="1"/>
  <c r="I1307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07" i="13" l="1"/>
  <c r="L1307" i="13" s="1"/>
  <c r="I1308" i="13" s="1"/>
  <c r="K1330" i="14"/>
  <c r="L1330" i="14" s="1"/>
  <c r="I1331" i="14" s="1"/>
  <c r="J1494" i="13" a="1"/>
  <c r="J1494" i="13" s="1"/>
  <c r="N1495" i="13"/>
  <c r="M1498" i="14"/>
  <c r="M1497" i="13"/>
  <c r="J1493" i="14" a="1"/>
  <c r="J1493" i="14" s="1"/>
  <c r="N1494" i="14"/>
  <c r="K1308" i="13" l="1"/>
  <c r="L1308" i="13" s="1"/>
  <c r="I1309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09" i="13" l="1"/>
  <c r="L1309" i="13" s="1"/>
  <c r="I1310" i="13" s="1"/>
  <c r="K1332" i="14"/>
  <c r="L1332" i="14" s="1"/>
  <c r="I1333" i="14" s="1"/>
  <c r="J1496" i="13" a="1"/>
  <c r="J1496" i="13" s="1"/>
  <c r="N1497" i="13"/>
  <c r="M1500" i="14"/>
  <c r="M1499" i="13"/>
  <c r="J1495" i="14" a="1"/>
  <c r="J1495" i="14" s="1"/>
  <c r="N1496" i="14"/>
  <c r="K1310" i="13" l="1"/>
  <c r="L1310" i="13" s="1"/>
  <c r="I1311" i="13" s="1"/>
  <c r="K1333" i="14"/>
  <c r="L1333" i="14" s="1"/>
  <c r="I1334" i="14" s="1"/>
  <c r="M1501" i="14"/>
  <c r="N1498" i="13"/>
  <c r="J1497" i="13" a="1"/>
  <c r="J1497" i="13" s="1"/>
  <c r="N1497" i="14"/>
  <c r="J1496" i="14" a="1"/>
  <c r="J1496" i="14" s="1"/>
  <c r="M1500" i="13"/>
  <c r="K1311" i="13" l="1"/>
  <c r="L1311" i="13" s="1"/>
  <c r="I1312" i="13" s="1"/>
  <c r="K1334" i="14"/>
  <c r="L1334" i="14" s="1"/>
  <c r="I1335" i="14" s="1"/>
  <c r="M1501" i="13"/>
  <c r="J1498" i="13" a="1"/>
  <c r="J1498" i="13" s="1"/>
  <c r="N1499" i="13"/>
  <c r="J1497" i="14" a="1"/>
  <c r="J1497" i="14" s="1"/>
  <c r="N1498" i="14"/>
  <c r="M1502" i="14"/>
  <c r="K1312" i="13" l="1"/>
  <c r="L1312" i="13" s="1"/>
  <c r="I1313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13" i="13" l="1"/>
  <c r="L1313" i="13" s="1"/>
  <c r="I1314" i="13" s="1"/>
  <c r="K1336" i="14"/>
  <c r="L1336" i="14" s="1"/>
  <c r="I1337" i="14" s="1"/>
  <c r="M1503" i="13"/>
  <c r="J1499" i="14" a="1"/>
  <c r="J1499" i="14" s="1"/>
  <c r="N1500" i="14"/>
  <c r="M1504" i="14"/>
  <c r="J1500" i="13" a="1"/>
  <c r="J1500" i="13" s="1"/>
  <c r="N1501" i="13"/>
  <c r="K1314" i="13" l="1"/>
  <c r="L1314" i="13" s="1"/>
  <c r="I1315" i="13" s="1"/>
  <c r="K1337" i="14"/>
  <c r="L1337" i="14" s="1"/>
  <c r="I1338" i="14" s="1"/>
  <c r="N1501" i="14"/>
  <c r="J1500" i="14" a="1"/>
  <c r="J1500" i="14" s="1"/>
  <c r="N1502" i="13"/>
  <c r="J1501" i="13" a="1"/>
  <c r="J1501" i="13" s="1"/>
  <c r="M1505" i="14"/>
  <c r="M1504" i="13"/>
  <c r="K1315" i="13" l="1"/>
  <c r="L1315" i="13" s="1"/>
  <c r="I1316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6" i="13" l="1"/>
  <c r="L1316" i="13" s="1"/>
  <c r="I1317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7" i="13" l="1"/>
  <c r="L1317" i="13" s="1"/>
  <c r="I1318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18" i="13" l="1"/>
  <c r="L1318" i="13" s="1"/>
  <c r="I1319" i="13" s="1"/>
  <c r="K1341" i="14"/>
  <c r="L1341" i="14" s="1"/>
  <c r="I1342" i="14" s="1"/>
  <c r="N1506" i="13"/>
  <c r="J1505" i="13" a="1"/>
  <c r="J1505" i="13" s="1"/>
  <c r="M1508" i="13"/>
  <c r="N1505" i="14"/>
  <c r="J1504" i="14" a="1"/>
  <c r="J1504" i="14" s="1"/>
  <c r="M1509" i="14"/>
  <c r="K1319" i="13" l="1"/>
  <c r="L1319" i="13" s="1"/>
  <c r="I1320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0" i="13" l="1"/>
  <c r="L1320" i="13" s="1"/>
  <c r="I1321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21" i="13" l="1"/>
  <c r="L1321" i="13" s="1"/>
  <c r="I1322" i="13" s="1"/>
  <c r="K1344" i="14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 l="1"/>
  <c r="L1322" i="13" s="1"/>
  <c r="I1323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23" i="13" l="1"/>
  <c r="L1323" i="13" s="1"/>
  <c r="I1324" i="13" s="1"/>
  <c r="K1346" i="14"/>
  <c r="L1346" i="14" s="1"/>
  <c r="I1347" i="14" s="1"/>
  <c r="M1513" i="13"/>
  <c r="M1514" i="14"/>
  <c r="J1509" i="14" a="1"/>
  <c r="J1509" i="14" s="1"/>
  <c r="N1510" i="14"/>
  <c r="J1510" i="13" a="1"/>
  <c r="J1510" i="13" s="1"/>
  <c r="N1511" i="13"/>
  <c r="K1324" i="13" l="1"/>
  <c r="L1324" i="13" s="1"/>
  <c r="I1325" i="13" s="1"/>
  <c r="K1347" i="14"/>
  <c r="L1347" i="14" s="1"/>
  <c r="I1348" i="14" s="1"/>
  <c r="M1515" i="14"/>
  <c r="J1511" i="13" a="1"/>
  <c r="J1511" i="13" s="1"/>
  <c r="N1512" i="13"/>
  <c r="J1510" i="14" a="1"/>
  <c r="J1510" i="14" s="1"/>
  <c r="N1511" i="14"/>
  <c r="M1514" i="13"/>
  <c r="K1325" i="13" l="1"/>
  <c r="L1325" i="13" s="1"/>
  <c r="I1326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6" i="13" l="1"/>
  <c r="L1326" i="13" s="1"/>
  <c r="I1327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27" i="13" l="1"/>
  <c r="L1327" i="13" s="1"/>
  <c r="I1328" i="13" s="1"/>
  <c r="K1350" i="14"/>
  <c r="L1350" i="14" s="1"/>
  <c r="I1351" i="14" s="1"/>
  <c r="M1517" i="13"/>
  <c r="M1518" i="14"/>
  <c r="J1513" i="14" a="1"/>
  <c r="J1513" i="14" s="1"/>
  <c r="N1514" i="14"/>
  <c r="J1514" i="13" a="1"/>
  <c r="J1514" i="13" s="1"/>
  <c r="N1515" i="13"/>
  <c r="K1328" i="13" l="1"/>
  <c r="L1328" i="13" s="1"/>
  <c r="I1329" i="13" s="1"/>
  <c r="K1351" i="14"/>
  <c r="L1351" i="14" s="1"/>
  <c r="I1352" i="14" s="1"/>
  <c r="J1515" i="13" a="1"/>
  <c r="J1515" i="13" s="1"/>
  <c r="N1516" i="13"/>
  <c r="M1519" i="14"/>
  <c r="J1514" i="14" a="1"/>
  <c r="J1514" i="14" s="1"/>
  <c r="N1515" i="14"/>
  <c r="M1518" i="13"/>
  <c r="K1329" i="13" l="1"/>
  <c r="L1329" i="13" s="1"/>
  <c r="I1330" i="13" s="1"/>
  <c r="K1352" i="14"/>
  <c r="L1352" i="14" s="1"/>
  <c r="I1353" i="14" s="1"/>
  <c r="M1520" i="14"/>
  <c r="M1519" i="13"/>
  <c r="J1515" i="14" a="1"/>
  <c r="J1515" i="14" s="1"/>
  <c r="N1516" i="14"/>
  <c r="J1516" i="13" a="1"/>
  <c r="J1516" i="13" s="1"/>
  <c r="N1517" i="13"/>
  <c r="K1330" i="13" l="1"/>
  <c r="L1330" i="13" s="1"/>
  <c r="I1331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1" i="13" l="1"/>
  <c r="L1331" i="13" s="1"/>
  <c r="I1332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32" i="13" l="1"/>
  <c r="L1332" i="13" s="1"/>
  <c r="I1333" i="13" s="1"/>
  <c r="K1355" i="14"/>
  <c r="L1355" i="14" s="1"/>
  <c r="I1356" i="14" s="1"/>
  <c r="J1519" i="13" a="1"/>
  <c r="J1519" i="13" s="1"/>
  <c r="N1520" i="13"/>
  <c r="J1518" i="14" a="1"/>
  <c r="J1518" i="14" s="1"/>
  <c r="N1519" i="14"/>
  <c r="M1522" i="13"/>
  <c r="M1523" i="14"/>
  <c r="K1333" i="13" l="1"/>
  <c r="L1333" i="13" s="1"/>
  <c r="I1334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34" i="13" l="1"/>
  <c r="L1334" i="13" s="1"/>
  <c r="I1335" i="13" s="1"/>
  <c r="K1357" i="14"/>
  <c r="L1357" i="14" s="1"/>
  <c r="I1358" i="14" s="1"/>
  <c r="N1522" i="13"/>
  <c r="J1521" i="13" a="1"/>
  <c r="J1521" i="13" s="1"/>
  <c r="M1524" i="13"/>
  <c r="N1521" i="14"/>
  <c r="J1520" i="14" a="1"/>
  <c r="J1520" i="14" s="1"/>
  <c r="M1525" i="14"/>
  <c r="K1335" i="13" l="1"/>
  <c r="L1335" i="13" s="1"/>
  <c r="I1336" i="13" s="1"/>
  <c r="J1522" i="13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 l="1"/>
  <c r="L1336" i="13" s="1"/>
  <c r="I1337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7" i="13" l="1"/>
  <c r="L1337" i="13" s="1"/>
  <c r="I1338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8" i="13" l="1"/>
  <c r="L1338" i="13" s="1"/>
  <c r="I1339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39" i="13" l="1"/>
  <c r="L1339" i="13" s="1"/>
  <c r="I1340" i="13" s="1"/>
  <c r="K1362" i="14"/>
  <c r="L1362" i="14" s="1"/>
  <c r="I1363" i="14" s="1"/>
  <c r="M1529" i="13"/>
  <c r="J1525" i="14" a="1"/>
  <c r="J1525" i="14" s="1"/>
  <c r="N1526" i="14"/>
  <c r="M1530" i="14"/>
  <c r="J1526" i="13" a="1"/>
  <c r="J1526" i="13" s="1"/>
  <c r="N1527" i="13"/>
  <c r="K1340" i="13" l="1"/>
  <c r="L1340" i="13" s="1"/>
  <c r="I1341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41" i="13" l="1"/>
  <c r="L1341" i="13" s="1"/>
  <c r="I1342" i="13" s="1"/>
  <c r="K1364" i="14"/>
  <c r="L1364" i="14" s="1"/>
  <c r="I1365" i="14" s="1"/>
  <c r="M1532" i="14"/>
  <c r="J1528" i="13" a="1"/>
  <c r="J1528" i="13" s="1"/>
  <c r="N1529" i="13"/>
  <c r="M1531" i="13"/>
  <c r="J1527" i="14" a="1"/>
  <c r="J1527" i="14" s="1"/>
  <c r="N1528" i="14"/>
  <c r="K1342" i="13" l="1"/>
  <c r="L1342" i="13" s="1"/>
  <c r="I1343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43" i="13" l="1"/>
  <c r="L1343" i="13" s="1"/>
  <c r="I1344" i="13" s="1"/>
  <c r="K1366" i="14"/>
  <c r="L1366" i="14" s="1"/>
  <c r="I1367" i="14" s="1"/>
  <c r="J1529" i="14" a="1"/>
  <c r="J1529" i="14" s="1"/>
  <c r="N1530" i="14"/>
  <c r="M1534" i="14"/>
  <c r="M1533" i="13"/>
  <c r="J1530" i="13" a="1"/>
  <c r="J1530" i="13" s="1"/>
  <c r="N1531" i="13"/>
  <c r="K1344" i="13" l="1"/>
  <c r="L1344" i="13" s="1"/>
  <c r="I1345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45" i="13" l="1"/>
  <c r="L1345" i="13" s="1"/>
  <c r="I1346" i="13" s="1"/>
  <c r="K1368" i="14"/>
  <c r="L1368" i="14" s="1"/>
  <c r="I1369" i="14" s="1"/>
  <c r="J1531" i="14" a="1"/>
  <c r="J1531" i="14" s="1"/>
  <c r="N1532" i="14"/>
  <c r="M1535" i="13"/>
  <c r="J1532" i="13" a="1"/>
  <c r="J1532" i="13" s="1"/>
  <c r="N1533" i="13"/>
  <c r="M1536" i="14"/>
  <c r="K1346" i="13" l="1"/>
  <c r="L1346" i="13" s="1"/>
  <c r="I1347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47" i="13" l="1"/>
  <c r="L1347" i="13" s="1"/>
  <c r="I1348" i="13" s="1"/>
  <c r="K1370" i="14"/>
  <c r="L1370" i="14" s="1"/>
  <c r="I1371" i="14" s="1"/>
  <c r="M1537" i="13"/>
  <c r="J1533" i="14" a="1"/>
  <c r="J1533" i="14" s="1"/>
  <c r="N1534" i="14"/>
  <c r="M1538" i="14"/>
  <c r="J1534" i="13" a="1"/>
  <c r="J1534" i="13" s="1"/>
  <c r="N1535" i="13"/>
  <c r="K1348" i="13" l="1"/>
  <c r="L1348" i="13" s="1"/>
  <c r="I1349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49" i="13" l="1"/>
  <c r="L1349" i="13" s="1"/>
  <c r="I1350" i="13" s="1"/>
  <c r="K1372" i="14"/>
  <c r="L1372" i="14" s="1"/>
  <c r="I1373" i="14" s="1"/>
  <c r="J1536" i="13" a="1"/>
  <c r="J1536" i="13" s="1"/>
  <c r="N1537" i="13"/>
  <c r="J1535" i="14" a="1"/>
  <c r="J1535" i="14" s="1"/>
  <c r="N1536" i="14"/>
  <c r="M1539" i="13"/>
  <c r="M1540" i="14"/>
  <c r="K1350" i="13" l="1"/>
  <c r="L1350" i="13" s="1"/>
  <c r="I1351" i="13" s="1"/>
  <c r="K1373" i="14"/>
  <c r="L1373" i="14" s="1"/>
  <c r="I1374" i="14" s="1"/>
  <c r="N1537" i="14"/>
  <c r="J1536" i="14" a="1"/>
  <c r="J1536" i="14" s="1"/>
  <c r="N1538" i="13"/>
  <c r="J1537" i="13" a="1"/>
  <c r="J1537" i="13" s="1"/>
  <c r="M1541" i="14"/>
  <c r="M1540" i="13"/>
  <c r="K1351" i="13" l="1"/>
  <c r="L1351" i="13" s="1"/>
  <c r="I1352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2" i="13" l="1"/>
  <c r="L1352" i="13" s="1"/>
  <c r="I1353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3" i="13" l="1"/>
  <c r="L1353" i="13" s="1"/>
  <c r="I1354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54" i="13" l="1"/>
  <c r="L1354" i="13" s="1"/>
  <c r="I1355" i="13" s="1"/>
  <c r="K1377" i="14"/>
  <c r="L1377" i="14" s="1"/>
  <c r="I1378" i="14" s="1"/>
  <c r="N1542" i="13"/>
  <c r="J1541" i="13" a="1"/>
  <c r="J1541" i="13" s="1"/>
  <c r="M1544" i="13"/>
  <c r="N1541" i="14"/>
  <c r="J1540" i="14" a="1"/>
  <c r="J1540" i="14" s="1"/>
  <c r="M1545" i="14"/>
  <c r="K1355" i="13" l="1"/>
  <c r="L1355" i="13" s="1"/>
  <c r="I1356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56" i="13" l="1"/>
  <c r="L1356" i="13" s="1"/>
  <c r="I1357" i="13" s="1"/>
  <c r="K1379" i="14"/>
  <c r="L1379" i="14" s="1"/>
  <c r="I1380" i="14" s="1"/>
  <c r="J1543" i="13" a="1"/>
  <c r="J1543" i="13" s="1"/>
  <c r="N1544" i="13"/>
  <c r="M1547" i="14"/>
  <c r="J1542" i="14" a="1"/>
  <c r="J1542" i="14" s="1"/>
  <c r="N1543" i="14"/>
  <c r="M1546" i="13"/>
  <c r="K1357" i="13" l="1"/>
  <c r="L1357" i="13" s="1"/>
  <c r="I1358" i="13" s="1"/>
  <c r="K1380" i="14"/>
  <c r="L1380" i="14" s="1"/>
  <c r="I1381" i="14" s="1"/>
  <c r="M1548" i="14"/>
  <c r="M1547" i="13"/>
  <c r="J1544" i="13" a="1"/>
  <c r="J1544" i="13" s="1"/>
  <c r="N1545" i="13"/>
  <c r="J1543" i="14" a="1"/>
  <c r="J1543" i="14" s="1"/>
  <c r="N1544" i="14"/>
  <c r="K1358" i="13" l="1"/>
  <c r="L1358" i="13" s="1"/>
  <c r="I1359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59" i="13" l="1"/>
  <c r="L1359" i="13" s="1"/>
  <c r="I1360" i="13" s="1"/>
  <c r="K1382" i="14"/>
  <c r="L1382" i="14" s="1"/>
  <c r="I1383" i="14" s="1"/>
  <c r="M1549" i="13"/>
  <c r="M1550" i="14"/>
  <c r="J1546" i="13" a="1"/>
  <c r="J1546" i="13" s="1"/>
  <c r="N1547" i="13"/>
  <c r="J1545" i="14" a="1"/>
  <c r="J1545" i="14" s="1"/>
  <c r="N1546" i="14"/>
  <c r="K1360" i="13" l="1"/>
  <c r="L1360" i="13" s="1"/>
  <c r="I1361" i="13" s="1"/>
  <c r="K1383" i="14"/>
  <c r="L1383" i="14" s="1"/>
  <c r="I1384" i="14" s="1"/>
  <c r="J1546" i="14" a="1"/>
  <c r="J1546" i="14" s="1"/>
  <c r="N1547" i="14"/>
  <c r="M1551" i="14"/>
  <c r="J1547" i="13" a="1"/>
  <c r="J1547" i="13" s="1"/>
  <c r="N1548" i="13"/>
  <c r="M1550" i="13"/>
  <c r="K1361" i="13" l="1"/>
  <c r="L1361" i="13" s="1"/>
  <c r="I1362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62" i="13" l="1"/>
  <c r="L1362" i="13" s="1"/>
  <c r="I1363" i="13" s="1"/>
  <c r="K1385" i="14"/>
  <c r="L1385" i="14" s="1"/>
  <c r="I1386" i="14" s="1"/>
  <c r="N1550" i="13"/>
  <c r="J1549" i="13" a="1"/>
  <c r="J1549" i="13" s="1"/>
  <c r="N1549" i="14"/>
  <c r="J1548" i="14" a="1"/>
  <c r="J1548" i="14" s="1"/>
  <c r="M1552" i="13"/>
  <c r="M1553" i="14"/>
  <c r="K1363" i="13" l="1"/>
  <c r="L1363" i="13" s="1"/>
  <c r="I1364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64" i="13" l="1"/>
  <c r="L1364" i="13" s="1"/>
  <c r="I1365" i="13" s="1"/>
  <c r="K1387" i="14"/>
  <c r="L1387" i="14" s="1"/>
  <c r="I1388" i="14" s="1"/>
  <c r="M1555" i="14"/>
  <c r="J1551" i="13" a="1"/>
  <c r="J1551" i="13" s="1"/>
  <c r="N1552" i="13"/>
  <c r="J1550" i="14" a="1"/>
  <c r="J1550" i="14" s="1"/>
  <c r="N1551" i="14"/>
  <c r="M1554" i="13"/>
  <c r="K1365" i="13" l="1"/>
  <c r="L1365" i="13" s="1"/>
  <c r="I1366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66" i="13" l="1"/>
  <c r="L1366" i="13" s="1"/>
  <c r="I1367" i="13" s="1"/>
  <c r="K1389" i="14"/>
  <c r="L1389" i="14" s="1"/>
  <c r="I1390" i="14" s="1"/>
  <c r="N1553" i="14"/>
  <c r="J1552" i="14" a="1"/>
  <c r="J1552" i="14" s="1"/>
  <c r="N1554" i="13"/>
  <c r="J1553" i="13" a="1"/>
  <c r="J1553" i="13" s="1"/>
  <c r="M1557" i="14"/>
  <c r="M1556" i="13"/>
  <c r="K1367" i="13" l="1"/>
  <c r="L1367" i="13" s="1"/>
  <c r="I1368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68" i="13" l="1"/>
  <c r="L1368" i="13" s="1"/>
  <c r="I1369" i="13" s="1"/>
  <c r="K1391" i="14"/>
  <c r="L1391" i="14" s="1"/>
  <c r="I1392" i="14" s="1"/>
  <c r="J1555" i="13" a="1"/>
  <c r="J1555" i="13" s="1"/>
  <c r="N1556" i="13"/>
  <c r="J1554" i="14" a="1"/>
  <c r="J1554" i="14" s="1"/>
  <c r="N1555" i="14"/>
  <c r="M1559" i="14"/>
  <c r="M1558" i="13"/>
  <c r="K1369" i="13" l="1"/>
  <c r="L1369" i="13" s="1"/>
  <c r="I1370" i="13" s="1"/>
  <c r="K1392" i="14"/>
  <c r="L1392" i="14" s="1"/>
  <c r="I1393" i="14" s="1"/>
  <c r="M1560" i="14"/>
  <c r="J1555" i="14" a="1"/>
  <c r="J1555" i="14" s="1"/>
  <c r="N1556" i="14"/>
  <c r="M1559" i="13"/>
  <c r="J1556" i="13" a="1"/>
  <c r="J1556" i="13" s="1"/>
  <c r="N1557" i="13"/>
  <c r="K1370" i="13" l="1"/>
  <c r="L1370" i="13" s="1"/>
  <c r="I1371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71" i="13" l="1"/>
  <c r="L1371" i="13" s="1"/>
  <c r="I1372" i="13" s="1"/>
  <c r="K1394" i="14"/>
  <c r="L1394" i="14" s="1"/>
  <c r="I1395" i="14" s="1"/>
  <c r="J1558" i="13" a="1"/>
  <c r="J1558" i="13" s="1"/>
  <c r="N1559" i="13"/>
  <c r="M1562" i="14"/>
  <c r="M1561" i="13"/>
  <c r="J1557" i="14" a="1"/>
  <c r="J1557" i="14" s="1"/>
  <c r="N1558" i="14"/>
  <c r="K1372" i="13" l="1"/>
  <c r="L1372" i="13" s="1"/>
  <c r="I1373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73" i="13" l="1"/>
  <c r="L1373" i="13" s="1"/>
  <c r="I1374" i="13" s="1"/>
  <c r="K1396" i="14"/>
  <c r="L1396" i="14" s="1"/>
  <c r="I1397" i="14" s="1"/>
  <c r="J1560" i="13" a="1"/>
  <c r="J1560" i="13" s="1"/>
  <c r="N1561" i="13"/>
  <c r="M1564" i="14"/>
  <c r="J1559" i="14" a="1"/>
  <c r="J1559" i="14" s="1"/>
  <c r="N1560" i="14"/>
  <c r="M1563" i="13"/>
  <c r="K1374" i="13" l="1"/>
  <c r="L1374" i="13" s="1"/>
  <c r="I1375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75" i="13" l="1"/>
  <c r="L1375" i="13" s="1"/>
  <c r="I1376" i="13" s="1"/>
  <c r="K1398" i="14"/>
  <c r="L1398" i="14" s="1"/>
  <c r="I1399" i="14" s="1"/>
  <c r="J1561" i="14" a="1"/>
  <c r="J1561" i="14" s="1"/>
  <c r="N1562" i="14"/>
  <c r="M1566" i="14"/>
  <c r="M1565" i="13"/>
  <c r="J1562" i="13" a="1"/>
  <c r="J1562" i="13" s="1"/>
  <c r="N1563" i="13"/>
  <c r="K1376" i="13" l="1"/>
  <c r="L1376" i="13" s="1"/>
  <c r="I1377" i="13" s="1"/>
  <c r="K1399" i="14"/>
  <c r="L1399" i="14" s="1"/>
  <c r="I1400" i="14" s="1"/>
  <c r="M1566" i="13"/>
  <c r="J1563" i="13" a="1"/>
  <c r="J1563" i="13" s="1"/>
  <c r="N1564" i="13"/>
  <c r="M1567" i="14"/>
  <c r="J1562" i="14" a="1"/>
  <c r="J1562" i="14" s="1"/>
  <c r="N1563" i="14"/>
  <c r="K1377" i="13" l="1"/>
  <c r="L1377" i="13" s="1"/>
  <c r="I1378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378" i="13" l="1"/>
  <c r="L1378" i="13" s="1"/>
  <c r="I1379" i="13" s="1"/>
  <c r="K1401" i="14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 l="1"/>
  <c r="L1379" i="13" s="1"/>
  <c r="I1380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380" i="13" l="1"/>
  <c r="L1380" i="13" s="1"/>
  <c r="I1381" i="13" s="1"/>
  <c r="K1403" i="14"/>
  <c r="L1403" i="14" s="1"/>
  <c r="I1404" i="14" s="1"/>
  <c r="J1567" i="13" a="1"/>
  <c r="J1567" i="13" s="1"/>
  <c r="N1568" i="13"/>
  <c r="J1566" i="14" a="1"/>
  <c r="J1566" i="14" s="1"/>
  <c r="N1567" i="14"/>
  <c r="M1571" i="14"/>
  <c r="M1570" i="13"/>
  <c r="K1381" i="13" l="1"/>
  <c r="L1381" i="13" s="1"/>
  <c r="I1382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382" i="13" l="1"/>
  <c r="L1382" i="13" s="1"/>
  <c r="I1383" i="13" s="1"/>
  <c r="K1405" i="14"/>
  <c r="L1405" i="14" s="1"/>
  <c r="I1406" i="14" s="1"/>
  <c r="N1570" i="13"/>
  <c r="J1569" i="13" a="1"/>
  <c r="J1569" i="13" s="1"/>
  <c r="N1569" i="14"/>
  <c r="J1568" i="14" a="1"/>
  <c r="J1568" i="14" s="1"/>
  <c r="M1573" i="14"/>
  <c r="M1572" i="13"/>
  <c r="K1383" i="13" l="1"/>
  <c r="L1383" i="13" s="1"/>
  <c r="I1384" i="13" s="1"/>
  <c r="K1406" i="14"/>
  <c r="L1406" i="14" s="1"/>
  <c r="I1407" i="14" s="1"/>
  <c r="M1573" i="13"/>
  <c r="J1569" i="14" a="1"/>
  <c r="J1569" i="14" s="1"/>
  <c r="N1570" i="14"/>
  <c r="M1574" i="14"/>
  <c r="J1570" i="13" a="1"/>
  <c r="J1570" i="13" s="1"/>
  <c r="N1571" i="13"/>
  <c r="K1384" i="13" l="1"/>
  <c r="L1384" i="13" s="1"/>
  <c r="I1385" i="13" s="1"/>
  <c r="K1407" i="14"/>
  <c r="L1407" i="14" s="1"/>
  <c r="I1408" i="14" s="1"/>
  <c r="J1570" i="14" a="1"/>
  <c r="J1570" i="14" s="1"/>
  <c r="N1571" i="14"/>
  <c r="J1571" i="13" a="1"/>
  <c r="J1571" i="13" s="1"/>
  <c r="N1572" i="13"/>
  <c r="M1574" i="13"/>
  <c r="M1575" i="14"/>
  <c r="K1385" i="13" l="1"/>
  <c r="L1385" i="13" s="1"/>
  <c r="I1386" i="13" s="1"/>
  <c r="K1408" i="14"/>
  <c r="L1408" i="14" s="1"/>
  <c r="I1409" i="14" s="1"/>
  <c r="M1576" i="14"/>
  <c r="J1572" i="13" a="1"/>
  <c r="J1572" i="13" s="1"/>
  <c r="N1573" i="13"/>
  <c r="J1571" i="14" a="1"/>
  <c r="J1571" i="14" s="1"/>
  <c r="N1572" i="14"/>
  <c r="M1575" i="13"/>
  <c r="K1386" i="13" l="1"/>
  <c r="L1386" i="13" s="1"/>
  <c r="I1387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387" i="13" l="1"/>
  <c r="L1387" i="13" s="1"/>
  <c r="I1388" i="13" s="1"/>
  <c r="K1410" i="14"/>
  <c r="L1410" i="14" s="1"/>
  <c r="I1411" i="14" s="1"/>
  <c r="M1577" i="13"/>
  <c r="J1573" i="14" a="1"/>
  <c r="J1573" i="14" s="1"/>
  <c r="N1574" i="14"/>
  <c r="M1578" i="14"/>
  <c r="J1574" i="13" a="1"/>
  <c r="J1574" i="13" s="1"/>
  <c r="N1575" i="13"/>
  <c r="K1388" i="13" l="1"/>
  <c r="L1388" i="13" s="1"/>
  <c r="I1389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89" i="13" l="1"/>
  <c r="L1389" i="13" s="1"/>
  <c r="I1390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0" i="13" l="1"/>
  <c r="L1390" i="13" s="1"/>
  <c r="I1391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391" i="13" l="1"/>
  <c r="L1391" i="13" s="1"/>
  <c r="I1392" i="13" s="1"/>
  <c r="K1414" i="14"/>
  <c r="L1414" i="14" s="1"/>
  <c r="I1415" i="14" s="1"/>
  <c r="M1582" i="14"/>
  <c r="J1578" i="13" a="1"/>
  <c r="J1578" i="13" s="1"/>
  <c r="N1579" i="13"/>
  <c r="M1581" i="13"/>
  <c r="J1577" i="14" a="1"/>
  <c r="J1577" i="14" s="1"/>
  <c r="N1578" i="14"/>
  <c r="K1392" i="13" l="1"/>
  <c r="L1392" i="13" s="1"/>
  <c r="I1393" i="13" s="1"/>
  <c r="K1415" i="14"/>
  <c r="L1415" i="14" s="1"/>
  <c r="I1416" i="14" s="1"/>
  <c r="J1578" i="14" a="1"/>
  <c r="J1578" i="14" s="1"/>
  <c r="N1579" i="14"/>
  <c r="J1579" i="13" a="1"/>
  <c r="J1579" i="13" s="1"/>
  <c r="N1580" i="13"/>
  <c r="M1582" i="13"/>
  <c r="M1583" i="14"/>
  <c r="K1393" i="13" l="1"/>
  <c r="L1393" i="13" s="1"/>
  <c r="I1394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4" i="13" l="1"/>
  <c r="L1394" i="13" s="1"/>
  <c r="I1395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395" i="13" l="1"/>
  <c r="L1395" i="13" s="1"/>
  <c r="I1396" i="13" s="1"/>
  <c r="K1418" i="14"/>
  <c r="L1418" i="14" s="1"/>
  <c r="I1419" i="14" s="1"/>
  <c r="J1581" i="14" a="1"/>
  <c r="J1581" i="14" s="1"/>
  <c r="N1582" i="14"/>
  <c r="M1586" i="14"/>
  <c r="M1585" i="13"/>
  <c r="J1582" i="13" a="1"/>
  <c r="J1582" i="13" s="1"/>
  <c r="N1583" i="13"/>
  <c r="K1396" i="13" l="1"/>
  <c r="L1396" i="13" s="1"/>
  <c r="I1397" i="13" s="1"/>
  <c r="K1419" i="14"/>
  <c r="L1419" i="14" s="1"/>
  <c r="I1420" i="14" s="1"/>
  <c r="J1583" i="13" a="1"/>
  <c r="J1583" i="13" s="1"/>
  <c r="N1584" i="13"/>
  <c r="M1587" i="14"/>
  <c r="J1582" i="14" a="1"/>
  <c r="J1582" i="14" s="1"/>
  <c r="N1583" i="14"/>
  <c r="M1586" i="13"/>
  <c r="K1397" i="13" l="1"/>
  <c r="L1397" i="13" s="1"/>
  <c r="I1398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398" i="13" l="1"/>
  <c r="L1398" i="13" s="1"/>
  <c r="I1399" i="13" s="1"/>
  <c r="K1421" i="14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 l="1"/>
  <c r="L1399" i="13" s="1"/>
  <c r="I1400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00" i="13" l="1"/>
  <c r="L1400" i="13" s="1"/>
  <c r="I1401" i="13" s="1"/>
  <c r="K1423" i="14"/>
  <c r="L1423" i="14" s="1"/>
  <c r="I1424" i="14" s="1"/>
  <c r="J1586" i="14" a="1"/>
  <c r="J1586" i="14" s="1"/>
  <c r="N1587" i="14"/>
  <c r="J1587" i="13" a="1"/>
  <c r="J1587" i="13" s="1"/>
  <c r="N1588" i="13"/>
  <c r="M1590" i="13"/>
  <c r="M1591" i="14"/>
  <c r="K1401" i="13" l="1"/>
  <c r="L1401" i="13" s="1"/>
  <c r="I1402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02" i="13" l="1"/>
  <c r="L1402" i="13" s="1"/>
  <c r="I1403" i="13" s="1"/>
  <c r="K1425" i="14"/>
  <c r="L1425" i="14" s="1"/>
  <c r="I1426" i="14" s="1"/>
  <c r="N1590" i="13"/>
  <c r="J1589" i="13" a="1"/>
  <c r="J1589" i="13" s="1"/>
  <c r="M1592" i="13"/>
  <c r="N1589" i="14"/>
  <c r="J1588" i="14" a="1"/>
  <c r="J1588" i="14" s="1"/>
  <c r="M1593" i="14"/>
  <c r="K1403" i="13" l="1"/>
  <c r="L1403" i="13" s="1"/>
  <c r="I1404" i="13" s="1"/>
  <c r="K1426" i="14"/>
  <c r="L1426" i="14" s="1"/>
  <c r="I1427" i="14" s="1"/>
  <c r="J1589" i="14" a="1"/>
  <c r="J1589" i="14" s="1"/>
  <c r="N1590" i="14"/>
  <c r="M1593" i="13"/>
  <c r="M1594" i="14"/>
  <c r="J1590" i="13" a="1"/>
  <c r="J1590" i="13" s="1"/>
  <c r="N1591" i="13"/>
  <c r="K1404" i="13" l="1"/>
  <c r="L1404" i="13" s="1"/>
  <c r="I1405" i="13" s="1"/>
  <c r="K1427" i="14"/>
  <c r="L1427" i="14" s="1"/>
  <c r="I1428" i="14" s="1"/>
  <c r="M1594" i="13"/>
  <c r="J1590" i="14" a="1"/>
  <c r="J1590" i="14" s="1"/>
  <c r="N1591" i="14"/>
  <c r="J1591" i="13" a="1"/>
  <c r="J1591" i="13" s="1"/>
  <c r="N1592" i="13"/>
  <c r="M1595" i="14"/>
  <c r="K1405" i="13" l="1"/>
  <c r="L1405" i="13" s="1"/>
  <c r="I1406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06" i="13" l="1"/>
  <c r="L1406" i="13" s="1"/>
  <c r="I1407" i="13" s="1"/>
  <c r="K1429" i="14"/>
  <c r="L1429" i="14" s="1"/>
  <c r="I1430" i="14" s="1"/>
  <c r="N1594" i="13"/>
  <c r="J1593" i="13" a="1"/>
  <c r="J1593" i="13" s="1"/>
  <c r="M1596" i="13"/>
  <c r="M1597" i="14"/>
  <c r="N1593" i="14"/>
  <c r="J1592" i="14" a="1"/>
  <c r="J1592" i="14" s="1"/>
  <c r="K1407" i="13" l="1"/>
  <c r="L1407" i="13" s="1"/>
  <c r="I1408" i="13" s="1"/>
  <c r="K1430" i="14"/>
  <c r="L1430" i="14" s="1"/>
  <c r="I1431" i="14" s="1"/>
  <c r="M1597" i="13"/>
  <c r="J1593" i="14" a="1"/>
  <c r="J1593" i="14" s="1"/>
  <c r="N1594" i="14"/>
  <c r="M1598" i="14"/>
  <c r="J1594" i="13" a="1"/>
  <c r="J1594" i="13" s="1"/>
  <c r="N1595" i="13"/>
  <c r="K1408" i="13" l="1"/>
  <c r="L1408" i="13" s="1"/>
  <c r="I1409" i="13" s="1"/>
  <c r="K1431" i="14"/>
  <c r="L1431" i="14" s="1"/>
  <c r="I1432" i="14" s="1"/>
  <c r="M1599" i="14"/>
  <c r="J1595" i="13" a="1"/>
  <c r="J1595" i="13" s="1"/>
  <c r="N1596" i="13"/>
  <c r="M1598" i="13"/>
  <c r="J1594" i="14" a="1"/>
  <c r="J1594" i="14" s="1"/>
  <c r="N1595" i="14"/>
  <c r="K1409" i="13" l="1"/>
  <c r="L1409" i="13" s="1"/>
  <c r="I1410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0" i="13" l="1"/>
  <c r="L1410" i="13" s="1"/>
  <c r="I1411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11" i="13" l="1"/>
  <c r="L1411" i="13" s="1"/>
  <c r="I1412" i="13" s="1"/>
  <c r="K1434" i="14"/>
  <c r="L1434" i="14" s="1"/>
  <c r="I1435" i="14" s="1"/>
  <c r="M1602" i="14"/>
  <c r="J1598" i="13" a="1"/>
  <c r="J1598" i="13" s="1"/>
  <c r="N1599" i="13"/>
  <c r="M1601" i="13"/>
  <c r="J1597" i="14" a="1"/>
  <c r="J1597" i="14" s="1"/>
  <c r="N1598" i="14"/>
  <c r="K1412" i="13" l="1"/>
  <c r="L1412" i="13" s="1"/>
  <c r="I1413" i="13" s="1"/>
  <c r="K1435" i="14"/>
  <c r="L1435" i="14" s="1"/>
  <c r="I1436" i="14" s="1"/>
  <c r="J1599" i="13" a="1"/>
  <c r="J1599" i="13" s="1"/>
  <c r="N1600" i="13"/>
  <c r="J1598" i="14" a="1"/>
  <c r="J1598" i="14" s="1"/>
  <c r="N1599" i="14"/>
  <c r="M1602" i="13"/>
  <c r="M1603" i="14"/>
  <c r="K1413" i="13" l="1"/>
  <c r="L1413" i="13" s="1"/>
  <c r="I1414" i="13" s="1"/>
  <c r="K1436" i="14"/>
  <c r="L1436" i="14" s="1"/>
  <c r="I1437" i="14" s="1"/>
  <c r="M1604" i="14"/>
  <c r="J1600" i="13" a="1"/>
  <c r="J1600" i="13" s="1"/>
  <c r="N1601" i="13"/>
  <c r="J1599" i="14" a="1"/>
  <c r="J1599" i="14" s="1"/>
  <c r="N1600" i="14"/>
  <c r="M1603" i="13"/>
  <c r="K1414" i="13" l="1"/>
  <c r="L1414" i="13" s="1"/>
  <c r="I1415" i="13" s="1"/>
  <c r="K1437" i="14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 l="1"/>
  <c r="L1415" i="13" s="1"/>
  <c r="I1416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16" i="13" l="1"/>
  <c r="L1416" i="13" s="1"/>
  <c r="I1417" i="13" s="1"/>
  <c r="K1439" i="14"/>
  <c r="L1439" i="14" s="1"/>
  <c r="I1440" i="14" s="1"/>
  <c r="J1603" i="13" a="1"/>
  <c r="J1603" i="13" s="1"/>
  <c r="N1604" i="13"/>
  <c r="M1606" i="13"/>
  <c r="M1607" i="14"/>
  <c r="J1602" i="14" a="1"/>
  <c r="J1602" i="14" s="1"/>
  <c r="N1603" i="14"/>
  <c r="K1417" i="13" l="1"/>
  <c r="L1417" i="13" s="1"/>
  <c r="I1418" i="13" s="1"/>
  <c r="K1440" i="14"/>
  <c r="L1440" i="14" s="1"/>
  <c r="I1441" i="14" s="1"/>
  <c r="M1607" i="13"/>
  <c r="J1604" i="13" a="1"/>
  <c r="J1604" i="13" s="1"/>
  <c r="N1605" i="13"/>
  <c r="J1603" i="14" a="1"/>
  <c r="J1603" i="14" s="1"/>
  <c r="N1604" i="14"/>
  <c r="M1608" i="14"/>
  <c r="K1418" i="13" l="1"/>
  <c r="L1418" i="13" s="1"/>
  <c r="I1419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19" i="13" l="1"/>
  <c r="L1419" i="13" s="1"/>
  <c r="I1420" i="13" s="1"/>
  <c r="K1442" i="14"/>
  <c r="L1442" i="14" s="1"/>
  <c r="I1443" i="14" s="1"/>
  <c r="J1606" i="13" a="1"/>
  <c r="J1606" i="13" s="1"/>
  <c r="N1607" i="13"/>
  <c r="M1610" i="14"/>
  <c r="M1609" i="13"/>
  <c r="J1605" i="14" a="1"/>
  <c r="J1605" i="14" s="1"/>
  <c r="N1606" i="14"/>
  <c r="K1420" i="13" l="1"/>
  <c r="L1420" i="13" s="1"/>
  <c r="I1421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1" i="13" l="1"/>
  <c r="L1421" i="13" s="1"/>
  <c r="I1422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22" i="13" l="1"/>
  <c r="L1422" i="13" s="1"/>
  <c r="I1423" i="13" s="1"/>
  <c r="K1445" i="14"/>
  <c r="L1445" i="14" s="1"/>
  <c r="I1446" i="14" s="1"/>
  <c r="N1609" i="14"/>
  <c r="J1608" i="14" a="1"/>
  <c r="J1608" i="14" s="1"/>
  <c r="N1610" i="13"/>
  <c r="J1609" i="13" a="1"/>
  <c r="J1609" i="13" s="1"/>
  <c r="M1613" i="14"/>
  <c r="M1612" i="13"/>
  <c r="K1423" i="13" l="1"/>
  <c r="L1423" i="13" s="1"/>
  <c r="I1424" i="13" s="1"/>
  <c r="K1446" i="14"/>
  <c r="L1446" i="14" s="1"/>
  <c r="I1447" i="14" s="1"/>
  <c r="M1614" i="14"/>
  <c r="M1613" i="13"/>
  <c r="J1610" i="13" a="1"/>
  <c r="J1610" i="13" s="1"/>
  <c r="N1611" i="13"/>
  <c r="J1609" i="14" a="1"/>
  <c r="J1609" i="14" s="1"/>
  <c r="N1610" i="14"/>
  <c r="K1424" i="13" l="1"/>
  <c r="L1424" i="13" s="1"/>
  <c r="I1425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25" i="13" l="1"/>
  <c r="L1425" i="13" s="1"/>
  <c r="I1426" i="13" s="1"/>
  <c r="K1448" i="14"/>
  <c r="L1448" i="14" s="1"/>
  <c r="I1449" i="14" s="1"/>
  <c r="M1616" i="14"/>
  <c r="J1612" i="13" a="1"/>
  <c r="J1612" i="13" s="1"/>
  <c r="N1613" i="13"/>
  <c r="M1615" i="13"/>
  <c r="J1611" i="14" a="1"/>
  <c r="J1611" i="14" s="1"/>
  <c r="N1612" i="14"/>
  <c r="K1426" i="13" l="1"/>
  <c r="L1426" i="13" s="1"/>
  <c r="I1427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27" i="13" l="1"/>
  <c r="L1427" i="13" s="1"/>
  <c r="I1428" i="13" s="1"/>
  <c r="K1450" i="14"/>
  <c r="L1450" i="14" s="1"/>
  <c r="I1451" i="14" s="1"/>
  <c r="M1618" i="14"/>
  <c r="J1614" i="13" a="1"/>
  <c r="J1614" i="13" s="1"/>
  <c r="N1615" i="13"/>
  <c r="M1617" i="13"/>
  <c r="J1613" i="14" a="1"/>
  <c r="J1613" i="14" s="1"/>
  <c r="N1614" i="14"/>
  <c r="K1428" i="13" l="1"/>
  <c r="L1428" i="13" s="1"/>
  <c r="I1429" i="13" s="1"/>
  <c r="K1451" i="14"/>
  <c r="L1451" i="14" s="1"/>
  <c r="I1452" i="14" s="1"/>
  <c r="J1614" i="14" a="1"/>
  <c r="J1614" i="14" s="1"/>
  <c r="N1615" i="14"/>
  <c r="J1615" i="13" a="1"/>
  <c r="J1615" i="13" s="1"/>
  <c r="N1616" i="13"/>
  <c r="M1618" i="13"/>
  <c r="M1619" i="14"/>
  <c r="K1429" i="13" l="1"/>
  <c r="L1429" i="13" s="1"/>
  <c r="I1430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30" i="13" l="1"/>
  <c r="L1430" i="13" s="1"/>
  <c r="I1431" i="13" s="1"/>
  <c r="K1453" i="14"/>
  <c r="L1453" i="14" s="1"/>
  <c r="I1454" i="14" s="1"/>
  <c r="N1618" i="13"/>
  <c r="J1617" i="13" a="1"/>
  <c r="J1617" i="13" s="1"/>
  <c r="N1617" i="14"/>
  <c r="J1616" i="14" a="1"/>
  <c r="J1616" i="14" s="1"/>
  <c r="M1620" i="13"/>
  <c r="M1621" i="14"/>
  <c r="K1431" i="13" l="1"/>
  <c r="L1431" i="13" s="1"/>
  <c r="I1432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32" i="13" l="1"/>
  <c r="L1432" i="13" s="1"/>
  <c r="I1433" i="13" s="1"/>
  <c r="K1455" i="14"/>
  <c r="L1455" i="14" s="1"/>
  <c r="I1456" i="14" s="1"/>
  <c r="J1619" i="13" a="1"/>
  <c r="J1619" i="13" s="1"/>
  <c r="N1620" i="13"/>
  <c r="M1623" i="14"/>
  <c r="J1618" i="14" a="1"/>
  <c r="J1618" i="14" s="1"/>
  <c r="N1619" i="14"/>
  <c r="M1622" i="13"/>
  <c r="K1433" i="13" l="1"/>
  <c r="L1433" i="13" s="1"/>
  <c r="I1434" i="13" s="1"/>
  <c r="K1456" i="14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 l="1"/>
  <c r="L1434" i="13" s="1"/>
  <c r="I1435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5" i="13" l="1"/>
  <c r="L1435" i="13" s="1"/>
  <c r="I1436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36" i="13" l="1"/>
  <c r="L1436" i="13" s="1"/>
  <c r="I1437" i="13" s="1"/>
  <c r="K1459" i="14"/>
  <c r="L1459" i="14" s="1"/>
  <c r="I1460" i="14" s="1"/>
  <c r="J1623" i="13" a="1"/>
  <c r="J1623" i="13" s="1"/>
  <c r="N1624" i="13"/>
  <c r="J1622" i="14" a="1"/>
  <c r="J1622" i="14" s="1"/>
  <c r="N1623" i="14"/>
  <c r="M1626" i="13"/>
  <c r="M1627" i="14"/>
  <c r="K1437" i="13" l="1"/>
  <c r="L1437" i="13" s="1"/>
  <c r="I1438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38" i="13" l="1"/>
  <c r="L1438" i="13" s="1"/>
  <c r="I1439" i="13" s="1"/>
  <c r="K1461" i="14"/>
  <c r="L1461" i="14" s="1"/>
  <c r="I1462" i="14" s="1"/>
  <c r="N1625" i="14"/>
  <c r="J1624" i="14" a="1"/>
  <c r="J1624" i="14" s="1"/>
  <c r="M1628" i="13"/>
  <c r="N1626" i="13"/>
  <c r="J1625" i="13" a="1"/>
  <c r="J1625" i="13" s="1"/>
  <c r="M1629" i="14"/>
  <c r="K1439" i="13" l="1"/>
  <c r="L1439" i="13" s="1"/>
  <c r="I1440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40" i="13" l="1"/>
  <c r="L1440" i="13" s="1"/>
  <c r="I1441" i="13" s="1"/>
  <c r="K1463" i="14"/>
  <c r="L1463" i="14" s="1"/>
  <c r="I1464" i="14" s="1"/>
  <c r="J1626" i="14" a="1"/>
  <c r="J1626" i="14" s="1"/>
  <c r="N1627" i="14"/>
  <c r="M1630" i="13"/>
  <c r="J1627" i="13" a="1"/>
  <c r="J1627" i="13" s="1"/>
  <c r="N1628" i="13"/>
  <c r="M1631" i="14"/>
  <c r="K1441" i="13" l="1"/>
  <c r="L1441" i="13" s="1"/>
  <c r="I1442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42" i="13" l="1"/>
  <c r="L1442" i="13" s="1"/>
  <c r="I1443" i="13" s="1"/>
  <c r="K1465" i="14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 l="1"/>
  <c r="L1443" i="13" s="1"/>
  <c r="I1444" i="13" s="1"/>
  <c r="K1466" i="14"/>
  <c r="L1466" i="14" s="1"/>
  <c r="I1467" i="14" s="1"/>
  <c r="J1630" i="13" a="1"/>
  <c r="J1630" i="13" s="1"/>
  <c r="N1631" i="13"/>
  <c r="J1629" i="14" a="1"/>
  <c r="J1629" i="14" s="1"/>
  <c r="N1630" i="14"/>
  <c r="M1633" i="13"/>
  <c r="M1634" i="14"/>
  <c r="K1444" i="13" l="1"/>
  <c r="L1444" i="13" s="1"/>
  <c r="I1445" i="13" s="1"/>
  <c r="K1467" i="14"/>
  <c r="L1467" i="14" s="1"/>
  <c r="I1468" i="14" s="1"/>
  <c r="M1635" i="14"/>
  <c r="J1630" i="14" a="1"/>
  <c r="J1630" i="14" s="1"/>
  <c r="N1631" i="14"/>
  <c r="J1631" i="13" a="1"/>
  <c r="J1631" i="13" s="1"/>
  <c r="N1632" i="13"/>
  <c r="M1634" i="13"/>
  <c r="K1445" i="13" l="1"/>
  <c r="L1445" i="13" s="1"/>
  <c r="I1446" i="13" s="1"/>
  <c r="K1468" i="14"/>
  <c r="L1468" i="14" s="1"/>
  <c r="I1469" i="14" s="1"/>
  <c r="M1635" i="13"/>
  <c r="M1636" i="14"/>
  <c r="J1631" i="14" a="1"/>
  <c r="J1631" i="14" s="1"/>
  <c r="N1632" i="14"/>
  <c r="J1632" i="13" a="1"/>
  <c r="J1632" i="13" s="1"/>
  <c r="N1633" i="13"/>
  <c r="K1446" i="13" l="1"/>
  <c r="L1446" i="13" s="1"/>
  <c r="I1447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47" i="13" l="1"/>
  <c r="L1447" i="13" s="1"/>
  <c r="I1448" i="13" s="1"/>
  <c r="K1470" i="14"/>
  <c r="L1470" i="14" s="1"/>
  <c r="I1471" i="14" s="1"/>
  <c r="J1633" i="14" a="1"/>
  <c r="J1633" i="14" s="1"/>
  <c r="N1634" i="14"/>
  <c r="M1637" i="13"/>
  <c r="M1638" i="14"/>
  <c r="J1634" i="13" a="1"/>
  <c r="J1634" i="13" s="1"/>
  <c r="N1635" i="13"/>
  <c r="K1448" i="13" l="1"/>
  <c r="L1448" i="13" s="1"/>
  <c r="I1449" i="13" s="1"/>
  <c r="K1471" i="14"/>
  <c r="L1471" i="14" s="1"/>
  <c r="I1472" i="14" s="1"/>
  <c r="M1639" i="14"/>
  <c r="J1635" i="13" a="1"/>
  <c r="J1635" i="13" s="1"/>
  <c r="N1636" i="13"/>
  <c r="M1638" i="13"/>
  <c r="J1634" i="14" a="1"/>
  <c r="J1634" i="14" s="1"/>
  <c r="N1635" i="14"/>
  <c r="K1449" i="13" l="1"/>
  <c r="L1449" i="13" s="1"/>
  <c r="I1450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50" i="13" l="1"/>
  <c r="L1450" i="13" s="1"/>
  <c r="I1451" i="13" s="1"/>
  <c r="K1473" i="14"/>
  <c r="L1473" i="14" s="1"/>
  <c r="I1474" i="14" s="1"/>
  <c r="N1638" i="13"/>
  <c r="J1637" i="13" a="1"/>
  <c r="J1637" i="13" s="1"/>
  <c r="N1637" i="14"/>
  <c r="J1636" i="14" a="1"/>
  <c r="J1636" i="14" s="1"/>
  <c r="M1641" i="14"/>
  <c r="M1640" i="13"/>
  <c r="K1451" i="13" l="1"/>
  <c r="L1451" i="13" s="1"/>
  <c r="I1452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52" i="13" l="1"/>
  <c r="L1452" i="13" s="1"/>
  <c r="I1453" i="13" s="1"/>
  <c r="K1475" i="14"/>
  <c r="L1475" i="14" s="1"/>
  <c r="I1476" i="14" s="1"/>
  <c r="J1639" i="13" a="1"/>
  <c r="J1639" i="13" s="1"/>
  <c r="N1640" i="13"/>
  <c r="M1642" i="13"/>
  <c r="J1638" i="14" a="1"/>
  <c r="J1638" i="14" s="1"/>
  <c r="N1639" i="14"/>
  <c r="M1643" i="14"/>
  <c r="K1453" i="13" l="1"/>
  <c r="L1453" i="13" s="1"/>
  <c r="I1454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54" i="13" l="1"/>
  <c r="L1454" i="13" s="1"/>
  <c r="I1455" i="13" s="1"/>
  <c r="K1477" i="14"/>
  <c r="L1477" i="14" s="1"/>
  <c r="I1478" i="14" s="1"/>
  <c r="N1642" i="13"/>
  <c r="J1641" i="13" a="1"/>
  <c r="J1641" i="13" s="1"/>
  <c r="M1645" i="14"/>
  <c r="N1641" i="14"/>
  <c r="J1640" i="14" a="1"/>
  <c r="J1640" i="14" s="1"/>
  <c r="M1644" i="13"/>
  <c r="K1455" i="13" l="1"/>
  <c r="L1455" i="13" s="1"/>
  <c r="I1456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56" i="13" l="1"/>
  <c r="L1456" i="13" s="1"/>
  <c r="I1457" i="13" s="1"/>
  <c r="K1479" i="14"/>
  <c r="L1479" i="14" s="1"/>
  <c r="I1480" i="14" s="1"/>
  <c r="J1643" i="13" a="1"/>
  <c r="J1643" i="13" s="1"/>
  <c r="N1644" i="13"/>
  <c r="M1646" i="13"/>
  <c r="J1642" i="14" a="1"/>
  <c r="J1642" i="14" s="1"/>
  <c r="N1643" i="14"/>
  <c r="M1647" i="14"/>
  <c r="K1457" i="13" l="1"/>
  <c r="L1457" i="13" s="1"/>
  <c r="I1458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58" i="13" l="1"/>
  <c r="L1458" i="13" s="1"/>
  <c r="I1459" i="13" s="1"/>
  <c r="K1481" i="14"/>
  <c r="L1481" i="14" s="1"/>
  <c r="I1482" i="14" s="1"/>
  <c r="M1648" i="13"/>
  <c r="N1646" i="13"/>
  <c r="J1645" i="13" a="1"/>
  <c r="J1645" i="13" s="1"/>
  <c r="N1645" i="14"/>
  <c r="J1644" i="14" a="1"/>
  <c r="J1644" i="14" s="1"/>
  <c r="M1649" i="14"/>
  <c r="K1459" i="13" l="1"/>
  <c r="L1459" i="13" s="1"/>
  <c r="I1460" i="13" s="1"/>
  <c r="K1482" i="14"/>
  <c r="L1482" i="14" s="1"/>
  <c r="I1483" i="14" s="1"/>
  <c r="J1646" i="13" a="1"/>
  <c r="J1646" i="13" s="1"/>
  <c r="N1647" i="13"/>
  <c r="M1649" i="13"/>
  <c r="M1650" i="14"/>
  <c r="J1645" i="14" a="1"/>
  <c r="J1645" i="14" s="1"/>
  <c r="N1646" i="14"/>
  <c r="K1460" i="13" l="1"/>
  <c r="L1460" i="13" s="1"/>
  <c r="I1461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1" i="13" l="1"/>
  <c r="L1461" i="13" s="1"/>
  <c r="I1462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62" i="13" l="1"/>
  <c r="L1462" i="13" s="1"/>
  <c r="I1463" i="13" s="1"/>
  <c r="K1485" i="14"/>
  <c r="L1485" i="14" s="1"/>
  <c r="I1486" i="14" s="1"/>
  <c r="M1652" i="13"/>
  <c r="M1653" i="14"/>
  <c r="N1649" i="14"/>
  <c r="J1648" i="14" a="1"/>
  <c r="J1648" i="14" s="1"/>
  <c r="N1650" i="13"/>
  <c r="J1649" i="13" a="1"/>
  <c r="J1649" i="13" s="1"/>
  <c r="K1463" i="13" l="1"/>
  <c r="L1463" i="13" s="1"/>
  <c r="I1464" i="13" s="1"/>
  <c r="K1486" i="14"/>
  <c r="L1486" i="14" s="1"/>
  <c r="I1487" i="14" s="1"/>
  <c r="J1650" i="13" a="1"/>
  <c r="J1650" i="13" s="1"/>
  <c r="N1651" i="13"/>
  <c r="M1654" i="14"/>
  <c r="M1653" i="13"/>
  <c r="J1649" i="14" a="1"/>
  <c r="J1649" i="14" s="1"/>
  <c r="N1650" i="14"/>
  <c r="K1464" i="13" l="1"/>
  <c r="L1464" i="13" s="1"/>
  <c r="I1465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65" i="13" l="1"/>
  <c r="L1465" i="13" s="1"/>
  <c r="I1466" i="13" s="1"/>
  <c r="K1488" i="14"/>
  <c r="L1488" i="14" s="1"/>
  <c r="I1489" i="14" s="1"/>
  <c r="J1652" i="13" a="1"/>
  <c r="J1652" i="13" s="1"/>
  <c r="N1653" i="13"/>
  <c r="J1651" i="14" a="1"/>
  <c r="J1651" i="14" s="1"/>
  <c r="N1652" i="14"/>
  <c r="M1656" i="14"/>
  <c r="M1655" i="13"/>
  <c r="K1466" i="13" l="1"/>
  <c r="L1466" i="13" s="1"/>
  <c r="I1467" i="13" s="1"/>
  <c r="K1489" i="14"/>
  <c r="L1489" i="14" s="1"/>
  <c r="I1490" i="14" s="1"/>
  <c r="M1656" i="13"/>
  <c r="N1654" i="13"/>
  <c r="J1653" i="13" a="1"/>
  <c r="J1653" i="13" s="1"/>
  <c r="N1653" i="14"/>
  <c r="J1652" i="14" a="1"/>
  <c r="J1652" i="14" s="1"/>
  <c r="M1657" i="14"/>
  <c r="K1467" i="13" l="1"/>
  <c r="L1467" i="13" s="1"/>
  <c r="I1468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68" i="13" l="1"/>
  <c r="L1468" i="13" s="1"/>
  <c r="I1469" i="13" s="1"/>
  <c r="K1491" i="14"/>
  <c r="L1491" i="14" s="1"/>
  <c r="I1492" i="14" s="1"/>
  <c r="J1655" i="13" a="1"/>
  <c r="J1655" i="13" s="1"/>
  <c r="N1656" i="13"/>
  <c r="J1654" i="14" a="1"/>
  <c r="J1654" i="14" s="1"/>
  <c r="N1655" i="14"/>
  <c r="M1658" i="13"/>
  <c r="M1659" i="14"/>
  <c r="K1469" i="13" l="1"/>
  <c r="L1469" i="13" s="1"/>
  <c r="I1470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70" i="13" l="1"/>
  <c r="L1470" i="13" s="1"/>
  <c r="I1471" i="13" s="1"/>
  <c r="K1493" i="14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 l="1"/>
  <c r="L1471" i="13" s="1"/>
  <c r="I1472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2" i="13" l="1"/>
  <c r="L1472" i="13" s="1"/>
  <c r="I1473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73" i="13" l="1"/>
  <c r="L1473" i="13" s="1"/>
  <c r="I1474" i="13" s="1"/>
  <c r="K1496" i="14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 l="1"/>
  <c r="L1474" i="13" s="1"/>
  <c r="I1475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75" i="13" l="1"/>
  <c r="L1475" i="13" s="1"/>
  <c r="I1476" i="13" s="1"/>
  <c r="K1498" i="14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 l="1"/>
  <c r="L1476" i="13" s="1"/>
  <c r="I1477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477" i="13" l="1"/>
  <c r="L1477" i="13" s="1"/>
  <c r="I1478" i="13" s="1"/>
  <c r="K1500" i="14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 l="1"/>
  <c r="L1478" i="13" s="1"/>
  <c r="I1479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479" i="13" l="1"/>
  <c r="L1479" i="13" s="1"/>
  <c r="I1480" i="13" s="1"/>
  <c r="K1502" i="14"/>
  <c r="L1502" i="14" s="1"/>
  <c r="I1503" i="14" s="1"/>
  <c r="J1665" i="14" a="1"/>
  <c r="J1665" i="14" s="1"/>
  <c r="N1666" i="14"/>
  <c r="M1670" i="14"/>
  <c r="M1669" i="13"/>
  <c r="J1666" i="13" a="1"/>
  <c r="J1666" i="13" s="1"/>
  <c r="N1667" i="13"/>
  <c r="K1480" i="13" l="1"/>
  <c r="L1480" i="13" s="1"/>
  <c r="I1481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1" i="13" l="1"/>
  <c r="L1481" i="13" s="1"/>
  <c r="I1482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2" i="13" l="1"/>
  <c r="L1482" i="13" s="1"/>
  <c r="I1483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483" i="13" l="1"/>
  <c r="L1483" i="13" s="1"/>
  <c r="I1484" i="13" s="1"/>
  <c r="K1506" i="14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 l="1"/>
  <c r="L1484" i="13" s="1"/>
  <c r="I1485" i="13" s="1"/>
  <c r="K1507" i="14"/>
  <c r="L1507" i="14" s="1"/>
  <c r="I1508" i="14" s="1"/>
  <c r="J1670" i="14" a="1"/>
  <c r="J1670" i="14" s="1"/>
  <c r="N1671" i="14"/>
  <c r="J1671" i="13" a="1"/>
  <c r="J1671" i="13" s="1"/>
  <c r="N1672" i="13"/>
  <c r="M1674" i="13"/>
  <c r="M1675" i="14"/>
  <c r="K1485" i="13" l="1"/>
  <c r="L1485" i="13" s="1"/>
  <c r="I1486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486" i="13" l="1"/>
  <c r="L1486" i="13" s="1"/>
  <c r="I1487" i="13" s="1"/>
  <c r="K1509" i="14"/>
  <c r="L1509" i="14" s="1"/>
  <c r="I1510" i="14" s="1"/>
  <c r="N1674" i="13"/>
  <c r="J1673" i="13" a="1"/>
  <c r="J1673" i="13" s="1"/>
  <c r="M1677" i="14"/>
  <c r="N1673" i="14"/>
  <c r="J1672" i="14" a="1"/>
  <c r="J1672" i="14" s="1"/>
  <c r="M1676" i="13"/>
  <c r="K1487" i="13" l="1"/>
  <c r="L1487" i="13" s="1"/>
  <c r="I1488" i="13" s="1"/>
  <c r="K1510" i="14"/>
  <c r="L1510" i="14" s="1"/>
  <c r="I1511" i="14" s="1"/>
  <c r="M1678" i="14"/>
  <c r="M1677" i="13"/>
  <c r="J1673" i="14" a="1"/>
  <c r="J1673" i="14" s="1"/>
  <c r="N1674" i="14"/>
  <c r="J1674" i="13" a="1"/>
  <c r="J1674" i="13" s="1"/>
  <c r="N1675" i="13"/>
  <c r="K1488" i="13" l="1"/>
  <c r="L1488" i="13" s="1"/>
  <c r="I1489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489" i="13" l="1"/>
  <c r="L1489" i="13" s="1"/>
  <c r="I1490" i="13" s="1"/>
  <c r="K1512" i="14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 l="1"/>
  <c r="L1490" i="13" s="1"/>
  <c r="I1491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491" i="13" l="1"/>
  <c r="L1491" i="13" s="1"/>
  <c r="I1492" i="13" s="1"/>
  <c r="K1514" i="14"/>
  <c r="L1514" i="14" s="1"/>
  <c r="I1515" i="14" s="1"/>
  <c r="M1681" i="13"/>
  <c r="M1682" i="14"/>
  <c r="J1678" i="13" a="1"/>
  <c r="J1678" i="13" s="1"/>
  <c r="N1679" i="13"/>
  <c r="J1677" i="14" a="1"/>
  <c r="J1677" i="14" s="1"/>
  <c r="N1678" i="14"/>
  <c r="K1492" i="13" l="1"/>
  <c r="L1492" i="13" s="1"/>
  <c r="I1493" i="13" s="1"/>
  <c r="K1515" i="14"/>
  <c r="L1515" i="14" s="1"/>
  <c r="I1516" i="14" s="1"/>
  <c r="M1683" i="14"/>
  <c r="J1679" i="13" a="1"/>
  <c r="J1679" i="13" s="1"/>
  <c r="N1680" i="13"/>
  <c r="J1678" i="14" a="1"/>
  <c r="J1678" i="14" s="1"/>
  <c r="N1679" i="14"/>
  <c r="M1682" i="13"/>
  <c r="K1493" i="13" l="1"/>
  <c r="L1493" i="13" s="1"/>
  <c r="I1494" i="13" s="1"/>
  <c r="K1516" i="14"/>
  <c r="L1516" i="14" s="1"/>
  <c r="I1517" i="14" s="1"/>
  <c r="J1680" i="13" a="1"/>
  <c r="J1680" i="13" s="1"/>
  <c r="N1681" i="13"/>
  <c r="M1683" i="13"/>
  <c r="J1679" i="14" a="1"/>
  <c r="J1679" i="14" s="1"/>
  <c r="N1680" i="14"/>
  <c r="M1684" i="14"/>
  <c r="K1494" i="13" l="1"/>
  <c r="L1494" i="13" s="1"/>
  <c r="I1495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495" i="13" l="1"/>
  <c r="L1495" i="13" s="1"/>
  <c r="I1496" i="13" s="1"/>
  <c r="K1518" i="14"/>
  <c r="L1518" i="14" s="1"/>
  <c r="I1519" i="14" s="1"/>
  <c r="J1681" i="14" a="1"/>
  <c r="J1681" i="14" s="1"/>
  <c r="N1682" i="14"/>
  <c r="M1686" i="14"/>
  <c r="M1685" i="13"/>
  <c r="J1682" i="13" a="1"/>
  <c r="J1682" i="13" s="1"/>
  <c r="N1683" i="13"/>
  <c r="K1496" i="13" l="1"/>
  <c r="L1496" i="13" s="1"/>
  <c r="I1497" i="13" s="1"/>
  <c r="K1519" i="14"/>
  <c r="L1519" i="14" s="1"/>
  <c r="I1520" i="14" s="1"/>
  <c r="J1683" i="13" a="1"/>
  <c r="J1683" i="13" s="1"/>
  <c r="N1684" i="13"/>
  <c r="M1687" i="14"/>
  <c r="J1682" i="14" a="1"/>
  <c r="J1682" i="14" s="1"/>
  <c r="N1683" i="14"/>
  <c r="M1686" i="13"/>
  <c r="K1497" i="13" l="1"/>
  <c r="L1497" i="13" s="1"/>
  <c r="I1498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498" i="13" l="1"/>
  <c r="L1498" i="13" s="1"/>
  <c r="I1499" i="13" s="1"/>
  <c r="K1521" i="14"/>
  <c r="L1521" i="14" s="1"/>
  <c r="I1522" i="14" s="1"/>
  <c r="M1688" i="13"/>
  <c r="N1685" i="14"/>
  <c r="J1684" i="14" a="1"/>
  <c r="J1684" i="14" s="1"/>
  <c r="N1686" i="13"/>
  <c r="J1685" i="13" a="1"/>
  <c r="J1685" i="13" s="1"/>
  <c r="M1689" i="14"/>
  <c r="K1499" i="13" l="1"/>
  <c r="L1499" i="13" s="1"/>
  <c r="I1500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00" i="13" l="1"/>
  <c r="L1500" i="13" s="1"/>
  <c r="I1501" i="13" s="1"/>
  <c r="K1523" i="14"/>
  <c r="L1523" i="14" s="1"/>
  <c r="I1524" i="14" s="1"/>
  <c r="J1686" i="14" a="1"/>
  <c r="J1686" i="14" s="1"/>
  <c r="N1687" i="14"/>
  <c r="J1687" i="13" a="1"/>
  <c r="J1687" i="13" s="1"/>
  <c r="N1688" i="13"/>
  <c r="M1690" i="13"/>
  <c r="M1691" i="14"/>
  <c r="K1501" i="13" l="1"/>
  <c r="L1501" i="13" s="1"/>
  <c r="I1502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2" i="13" l="1"/>
  <c r="L1502" i="13" s="1"/>
  <c r="I1503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03" i="13" l="1"/>
  <c r="L1503" i="13" s="1"/>
  <c r="I1504" i="13" s="1"/>
  <c r="K1526" i="14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 l="1"/>
  <c r="L1504" i="13" s="1"/>
  <c r="I1505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5" i="13" l="1"/>
  <c r="L1505" i="13" s="1"/>
  <c r="I1506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06" i="13" l="1"/>
  <c r="L1506" i="13" s="1"/>
  <c r="I1507" i="13" s="1"/>
  <c r="K1529" i="14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 l="1"/>
  <c r="L1507" i="13" s="1"/>
  <c r="I1508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08" i="13" l="1"/>
  <c r="L1508" i="13" s="1"/>
  <c r="I1509" i="13" s="1"/>
  <c r="K1531" i="14"/>
  <c r="L1531" i="14" s="1"/>
  <c r="I1532" i="14" s="1"/>
  <c r="J1694" i="14" a="1"/>
  <c r="J1694" i="14" s="1"/>
  <c r="N1695" i="14"/>
  <c r="M1699" i="14"/>
  <c r="J1695" i="13" a="1"/>
  <c r="J1695" i="13" s="1"/>
  <c r="N1696" i="13"/>
  <c r="M1698" i="13"/>
  <c r="K1509" i="13" l="1"/>
  <c r="L1509" i="13" s="1"/>
  <c r="I1510" i="13" s="1"/>
  <c r="K1532" i="14"/>
  <c r="L1532" i="14" s="1"/>
  <c r="I1533" i="14" s="1"/>
  <c r="M1700" i="14"/>
  <c r="M1699" i="13"/>
  <c r="J1696" i="13" a="1"/>
  <c r="J1696" i="13" s="1"/>
  <c r="N1697" i="13"/>
  <c r="J1695" i="14" a="1"/>
  <c r="J1695" i="14" s="1"/>
  <c r="N1696" i="14"/>
  <c r="K1510" i="13" l="1"/>
  <c r="L1510" i="13" s="1"/>
  <c r="I1511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11" i="13" l="1"/>
  <c r="L1511" i="13" s="1"/>
  <c r="I1512" i="13" s="1"/>
  <c r="K1534" i="14"/>
  <c r="L1534" i="14" s="1"/>
  <c r="I1535" i="14" s="1"/>
  <c r="M1702" i="14"/>
  <c r="J1698" i="13" a="1"/>
  <c r="J1698" i="13" s="1"/>
  <c r="N1699" i="13"/>
  <c r="M1701" i="13"/>
  <c r="J1697" i="14" a="1"/>
  <c r="J1697" i="14" s="1"/>
  <c r="N1698" i="14"/>
  <c r="K1512" i="13" l="1"/>
  <c r="L1512" i="13" s="1"/>
  <c r="I1513" i="13" s="1"/>
  <c r="K1535" i="14"/>
  <c r="L1535" i="14" s="1"/>
  <c r="I1536" i="14" s="1"/>
  <c r="J1699" i="13" a="1"/>
  <c r="J1699" i="13" s="1"/>
  <c r="N1700" i="13"/>
  <c r="J1698" i="14" a="1"/>
  <c r="J1698" i="14" s="1"/>
  <c r="N1699" i="14"/>
  <c r="M1702" i="13"/>
  <c r="M1703" i="14"/>
  <c r="K1513" i="13" l="1"/>
  <c r="L1513" i="13" s="1"/>
  <c r="I1514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14" i="13" l="1"/>
  <c r="L1514" i="13" s="1"/>
  <c r="I1515" i="13" s="1"/>
  <c r="K1537" i="14"/>
  <c r="L1537" i="14" s="1"/>
  <c r="I1538" i="14" s="1"/>
  <c r="M1704" i="13"/>
  <c r="M1705" i="14"/>
  <c r="N1701" i="14"/>
  <c r="J1700" i="14" a="1"/>
  <c r="J1700" i="14" s="1"/>
  <c r="N1702" i="13"/>
  <c r="J1701" i="13" a="1"/>
  <c r="J1701" i="13" s="1"/>
  <c r="K1515" i="13" l="1"/>
  <c r="L1515" i="13" s="1"/>
  <c r="I1516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6" i="13" l="1"/>
  <c r="L1516" i="13" s="1"/>
  <c r="I1517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17" i="13" l="1"/>
  <c r="L1517" i="13" s="1"/>
  <c r="I1518" i="13" s="1"/>
  <c r="K1540" i="14"/>
  <c r="L1540" i="14" s="1"/>
  <c r="I1541" i="14" s="1"/>
  <c r="J1703" i="14" a="1"/>
  <c r="J1703" i="14" s="1"/>
  <c r="N1704" i="14"/>
  <c r="M1707" i="13"/>
  <c r="J1704" i="13" a="1"/>
  <c r="J1704" i="13" s="1"/>
  <c r="N1705" i="13"/>
  <c r="M1708" i="14"/>
  <c r="K1518" i="13" l="1"/>
  <c r="L1518" i="13" s="1"/>
  <c r="I1519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19" i="13" l="1"/>
  <c r="L1519" i="13" s="1"/>
  <c r="I1520" i="13" s="1"/>
  <c r="K1542" i="14"/>
  <c r="L1542" i="14" s="1"/>
  <c r="I1543" i="14" s="1"/>
  <c r="J1705" i="14" a="1"/>
  <c r="J1705" i="14" s="1"/>
  <c r="N1706" i="14"/>
  <c r="M1710" i="14"/>
  <c r="M1709" i="13"/>
  <c r="J1706" i="13" a="1"/>
  <c r="J1706" i="13" s="1"/>
  <c r="N1707" i="13"/>
  <c r="K1520" i="13" l="1"/>
  <c r="L1520" i="13" s="1"/>
  <c r="I1521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21" i="13" l="1"/>
  <c r="L1521" i="13" s="1"/>
  <c r="I1522" i="13" s="1"/>
  <c r="K1544" i="14"/>
  <c r="L1544" i="14" s="1"/>
  <c r="I1545" i="14" s="1"/>
  <c r="J1707" i="14" a="1"/>
  <c r="J1707" i="14" s="1"/>
  <c r="N1708" i="14"/>
  <c r="J1708" i="13" a="1"/>
  <c r="J1708" i="13" s="1"/>
  <c r="N1709" i="13"/>
  <c r="M1712" i="14"/>
  <c r="M1711" i="13"/>
  <c r="K1522" i="13" l="1"/>
  <c r="L1522" i="13" s="1"/>
  <c r="I1523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23" i="13" l="1"/>
  <c r="L1523" i="13" s="1"/>
  <c r="I1524" i="13" s="1"/>
  <c r="K1546" i="14"/>
  <c r="L1546" i="14" s="1"/>
  <c r="I1547" i="14" s="1"/>
  <c r="M1714" i="14"/>
  <c r="J1710" i="13" a="1"/>
  <c r="J1710" i="13" s="1"/>
  <c r="N1711" i="13"/>
  <c r="M1713" i="13"/>
  <c r="J1709" i="14" a="1"/>
  <c r="J1709" i="14" s="1"/>
  <c r="N1710" i="14"/>
  <c r="K1524" i="13" l="1"/>
  <c r="L1524" i="13" s="1"/>
  <c r="I1525" i="13" s="1"/>
  <c r="K1547" i="14"/>
  <c r="L1547" i="14" s="1"/>
  <c r="I1548" i="14" s="1"/>
  <c r="J1710" i="14" a="1"/>
  <c r="J1710" i="14" s="1"/>
  <c r="N1711" i="14"/>
  <c r="J1711" i="13" a="1"/>
  <c r="J1711" i="13" s="1"/>
  <c r="N1712" i="13"/>
  <c r="M1714" i="13"/>
  <c r="M1715" i="14"/>
  <c r="K1525" i="13" l="1"/>
  <c r="L1525" i="13" s="1"/>
  <c r="I1526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26" i="13" l="1"/>
  <c r="L1526" i="13" s="1"/>
  <c r="I1527" i="13" s="1"/>
  <c r="K1549" i="14"/>
  <c r="L1549" i="14" s="1"/>
  <c r="I1550" i="14" s="1"/>
  <c r="N1713" i="14"/>
  <c r="J1712" i="14" a="1"/>
  <c r="J1712" i="14" s="1"/>
  <c r="M1717" i="14"/>
  <c r="N1714" i="13"/>
  <c r="J1713" i="13" a="1"/>
  <c r="J1713" i="13" s="1"/>
  <c r="M1716" i="13"/>
  <c r="K1527" i="13" l="1"/>
  <c r="L1527" i="13" s="1"/>
  <c r="I1528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8" i="13" l="1"/>
  <c r="L1528" i="13" s="1"/>
  <c r="I1529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29" i="13" l="1"/>
  <c r="L1529" i="13" s="1"/>
  <c r="I1530" i="13" s="1"/>
  <c r="K1552" i="14"/>
  <c r="L1552" i="14" s="1"/>
  <c r="I1553" i="14" s="1"/>
  <c r="N1716" i="14"/>
  <c r="J1715" i="14" a="1"/>
  <c r="J1715" i="14" s="1"/>
  <c r="J1716" i="13" a="1"/>
  <c r="J1716" i="13" s="1"/>
  <c r="N1717" i="13"/>
  <c r="M1719" i="13"/>
  <c r="M1720" i="14"/>
  <c r="K1530" i="13" l="1"/>
  <c r="L1530" i="13" s="1"/>
  <c r="I1531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31" i="13" l="1"/>
  <c r="L1531" i="13" s="1"/>
  <c r="I1532" i="13" s="1"/>
  <c r="K1554" i="14"/>
  <c r="L1554" i="14" s="1"/>
  <c r="I1555" i="14" s="1"/>
  <c r="N1718" i="14"/>
  <c r="J1717" i="14" a="1"/>
  <c r="J1717" i="14" s="1"/>
  <c r="M1722" i="14"/>
  <c r="M1721" i="13"/>
  <c r="J1718" i="13" a="1"/>
  <c r="J1718" i="13" s="1"/>
  <c r="N1719" i="13"/>
  <c r="K1532" i="13" l="1"/>
  <c r="L1532" i="13" s="1"/>
  <c r="I1533" i="13" s="1"/>
  <c r="J1719" i="13" a="1"/>
  <c r="J1719" i="13" s="1"/>
  <c r="N1720" i="13"/>
  <c r="M1723" i="14"/>
  <c r="M1722" i="13"/>
  <c r="J1718" i="14" a="1"/>
  <c r="J1718" i="14" s="1"/>
  <c r="N1719" i="14"/>
  <c r="K1555" i="14"/>
  <c r="L1555" i="14" s="1"/>
  <c r="I1556" i="14" s="1"/>
  <c r="K1533" i="13" l="1"/>
  <c r="L1533" i="13" s="1"/>
  <c r="I1534" i="13" s="1"/>
  <c r="K1556" i="14"/>
  <c r="L1556" i="14" s="1"/>
  <c r="I1557" i="14" s="1"/>
  <c r="M1723" i="13"/>
  <c r="M1724" i="14"/>
  <c r="N1720" i="14"/>
  <c r="J1719" i="14" a="1"/>
  <c r="J1719" i="14" s="1"/>
  <c r="J1720" i="13" a="1"/>
  <c r="J1720" i="13" s="1"/>
  <c r="N1721" i="13"/>
  <c r="K1534" i="13" l="1"/>
  <c r="L1534" i="13" s="1"/>
  <c r="I1535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5" i="13" l="1"/>
  <c r="L1535" i="13" s="1"/>
  <c r="I1536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36" i="13" l="1"/>
  <c r="L1536" i="13" s="1"/>
  <c r="I1537" i="13" s="1"/>
  <c r="K1559" i="14"/>
  <c r="L1559" i="14" s="1"/>
  <c r="I1560" i="14" s="1"/>
  <c r="J1723" i="13" a="1"/>
  <c r="J1723" i="13" s="1"/>
  <c r="N1724" i="13"/>
  <c r="M1726" i="13"/>
  <c r="J1722" i="14" a="1"/>
  <c r="J1722" i="14" s="1"/>
  <c r="N1723" i="14"/>
  <c r="M1727" i="14"/>
  <c r="K1537" i="13" l="1"/>
  <c r="L1537" i="13" s="1"/>
  <c r="I1538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8" i="13" l="1"/>
  <c r="L1538" i="13" s="1"/>
  <c r="I1539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39" i="13" l="1"/>
  <c r="L1539" i="13" s="1"/>
  <c r="I1540" i="13" s="1"/>
  <c r="K1562" i="14"/>
  <c r="L1562" i="14" s="1"/>
  <c r="I1563" i="14" s="1"/>
  <c r="J1726" i="13" a="1"/>
  <c r="J1726" i="13" s="1"/>
  <c r="N1727" i="13"/>
  <c r="J1725" i="14" a="1"/>
  <c r="J1725" i="14" s="1"/>
  <c r="N1726" i="14"/>
  <c r="M1730" i="14"/>
  <c r="M1729" i="13"/>
  <c r="K1540" i="13" l="1"/>
  <c r="L1540" i="13" s="1"/>
  <c r="I1541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41" i="13" l="1"/>
  <c r="L1541" i="13" s="1"/>
  <c r="I1542" i="13" s="1"/>
  <c r="K1564" i="14"/>
  <c r="L1564" i="14" s="1"/>
  <c r="I1565" i="14" s="1"/>
  <c r="M1732" i="14"/>
  <c r="M1731" i="13"/>
  <c r="N1728" i="14"/>
  <c r="J1727" i="14" a="1"/>
  <c r="J1727" i="14" s="1"/>
  <c r="J1728" i="13" a="1"/>
  <c r="J1728" i="13" s="1"/>
  <c r="N1729" i="13"/>
  <c r="K1542" i="13" l="1"/>
  <c r="L1542" i="13" s="1"/>
  <c r="I1543" i="13" s="1"/>
  <c r="K1565" i="14"/>
  <c r="L1565" i="14" s="1"/>
  <c r="I1566" i="14" s="1"/>
  <c r="N1730" i="13"/>
  <c r="J1729" i="13" a="1"/>
  <c r="J1729" i="13" s="1"/>
  <c r="M1732" i="13"/>
  <c r="J1728" i="14" a="1"/>
  <c r="J1728" i="14" s="1"/>
  <c r="N1729" i="14"/>
  <c r="M1733" i="14"/>
  <c r="K1543" i="13" l="1"/>
  <c r="L1543" i="13" s="1"/>
  <c r="I1544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44" i="13" l="1"/>
  <c r="L1544" i="13" s="1"/>
  <c r="I1545" i="13" s="1"/>
  <c r="K1567" i="14"/>
  <c r="L1567" i="14" s="1"/>
  <c r="I1568" i="14" s="1"/>
  <c r="M1734" i="13"/>
  <c r="J1730" i="14" a="1"/>
  <c r="J1730" i="14" s="1"/>
  <c r="N1731" i="14"/>
  <c r="J1731" i="13" a="1"/>
  <c r="J1731" i="13" s="1"/>
  <c r="N1732" i="13"/>
  <c r="M1735" i="14"/>
  <c r="K1545" i="13" l="1"/>
  <c r="L1545" i="13" s="1"/>
  <c r="I1546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6" i="13" l="1"/>
  <c r="L1546" i="13" s="1"/>
  <c r="I1547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47" i="13" l="1"/>
  <c r="L1547" i="13" s="1"/>
  <c r="I1548" i="13" s="1"/>
  <c r="K1570" i="14"/>
  <c r="L1570" i="14" s="1"/>
  <c r="I1571" i="14" s="1"/>
  <c r="J1733" i="14" a="1"/>
  <c r="J1733" i="14" s="1"/>
  <c r="N1734" i="14"/>
  <c r="M1737" i="13"/>
  <c r="J1734" i="13" a="1"/>
  <c r="J1734" i="13" s="1"/>
  <c r="N1735" i="13"/>
  <c r="M1738" i="14"/>
  <c r="K1548" i="13" l="1"/>
  <c r="L1548" i="13" s="1"/>
  <c r="I1549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49" i="13" l="1"/>
  <c r="L1549" i="13" s="1"/>
  <c r="I1550" i="13" s="1"/>
  <c r="K1572" i="14"/>
  <c r="L1572" i="14" s="1"/>
  <c r="I1573" i="14" s="1"/>
  <c r="J1736" i="13" a="1"/>
  <c r="J1736" i="13" s="1"/>
  <c r="N1737" i="13"/>
  <c r="M1740" i="14"/>
  <c r="N1736" i="14"/>
  <c r="J1735" i="14" a="1"/>
  <c r="J1735" i="14" s="1"/>
  <c r="M1739" i="13"/>
  <c r="K1550" i="13" l="1"/>
  <c r="L1550" i="13" s="1"/>
  <c r="I1551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51" i="13" l="1"/>
  <c r="L1551" i="13" s="1"/>
  <c r="I1552" i="13" s="1"/>
  <c r="K1574" i="14"/>
  <c r="L1574" i="14" s="1"/>
  <c r="I1575" i="14" s="1"/>
  <c r="J1737" i="14" a="1"/>
  <c r="J1737" i="14" s="1"/>
  <c r="N1738" i="14"/>
  <c r="M1742" i="14"/>
  <c r="M1741" i="13"/>
  <c r="J1738" i="13" a="1"/>
  <c r="J1738" i="13" s="1"/>
  <c r="N1739" i="13"/>
  <c r="K1552" i="13" l="1"/>
  <c r="L1552" i="13" s="1"/>
  <c r="I1553" i="13" s="1"/>
  <c r="K1575" i="14"/>
  <c r="L1575" i="14" s="1"/>
  <c r="I1576" i="14" s="1"/>
  <c r="J1739" i="13" a="1"/>
  <c r="J1739" i="13" s="1"/>
  <c r="N1740" i="13"/>
  <c r="M1743" i="14"/>
  <c r="J1738" i="14" a="1"/>
  <c r="J1738" i="14" s="1"/>
  <c r="N1739" i="14"/>
  <c r="M1742" i="13"/>
  <c r="K1553" i="13" l="1"/>
  <c r="L1553" i="13" s="1"/>
  <c r="I1554" i="13" s="1"/>
  <c r="K1576" i="14"/>
  <c r="L1576" i="14" s="1"/>
  <c r="I1577" i="14" s="1"/>
  <c r="M1743" i="13"/>
  <c r="J1740" i="13" a="1"/>
  <c r="J1740" i="13" s="1"/>
  <c r="N1741" i="13"/>
  <c r="N1740" i="14"/>
  <c r="J1739" i="14" a="1"/>
  <c r="J1739" i="14" s="1"/>
  <c r="M1744" i="14"/>
  <c r="K1554" i="13" l="1"/>
  <c r="L1554" i="13" s="1"/>
  <c r="I1555" i="13" s="1"/>
  <c r="J1740" i="14" a="1"/>
  <c r="J1740" i="14" s="1"/>
  <c r="N1741" i="14"/>
  <c r="K1577" i="14"/>
  <c r="L1577" i="14" s="1"/>
  <c r="I1578" i="14" s="1"/>
  <c r="N1742" i="13"/>
  <c r="J1741" i="13" a="1"/>
  <c r="J1741" i="13" s="1"/>
  <c r="M1744" i="13"/>
  <c r="M1745" i="14"/>
  <c r="K1555" i="13" l="1"/>
  <c r="L1555" i="13" s="1"/>
  <c r="I1556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56" i="13" l="1"/>
  <c r="L1556" i="13" s="1"/>
  <c r="I1557" i="13" s="1"/>
  <c r="K1579" i="14"/>
  <c r="L1579" i="14" s="1"/>
  <c r="I1580" i="14" s="1"/>
  <c r="J1743" i="13" a="1"/>
  <c r="J1743" i="13" s="1"/>
  <c r="N1744" i="13"/>
  <c r="J1742" i="14" a="1"/>
  <c r="J1742" i="14" s="1"/>
  <c r="N1743" i="14"/>
  <c r="M1747" i="14"/>
  <c r="M1746" i="13"/>
  <c r="K1557" i="13" l="1"/>
  <c r="L1557" i="13" s="1"/>
  <c r="I1558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58" i="13" l="1"/>
  <c r="L1558" i="13" s="1"/>
  <c r="I1559" i="13" s="1"/>
  <c r="K1581" i="14"/>
  <c r="L1581" i="14" s="1"/>
  <c r="I1582" i="14" s="1"/>
  <c r="N1746" i="13"/>
  <c r="J1745" i="13" a="1"/>
  <c r="J1745" i="13" s="1"/>
  <c r="M1749" i="14"/>
  <c r="M1748" i="13"/>
  <c r="J1744" i="14" a="1"/>
  <c r="J1744" i="14" s="1"/>
  <c r="N1745" i="14"/>
  <c r="K1559" i="13" l="1"/>
  <c r="L1559" i="13" s="1"/>
  <c r="I1560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60" i="13" l="1"/>
  <c r="L1560" i="13" s="1"/>
  <c r="I1561" i="13" s="1"/>
  <c r="K1583" i="14"/>
  <c r="L1583" i="14" s="1"/>
  <c r="I1584" i="14" s="1"/>
  <c r="J1747" i="13" a="1"/>
  <c r="J1747" i="13" s="1"/>
  <c r="N1748" i="13"/>
  <c r="M1751" i="14"/>
  <c r="J1746" i="14" a="1"/>
  <c r="J1746" i="14" s="1"/>
  <c r="N1747" i="14"/>
  <c r="M1750" i="13"/>
  <c r="K1561" i="13" l="1"/>
  <c r="L1561" i="13" s="1"/>
  <c r="I1562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62" i="13" l="1"/>
  <c r="L1562" i="13" s="1"/>
  <c r="I1563" i="13" s="1"/>
  <c r="K1585" i="14"/>
  <c r="L1585" i="14" s="1"/>
  <c r="I1586" i="14" s="1"/>
  <c r="N1750" i="13"/>
  <c r="J1749" i="13" a="1"/>
  <c r="J1749" i="13" s="1"/>
  <c r="M1753" i="14"/>
  <c r="M1752" i="13"/>
  <c r="J1748" i="14" a="1"/>
  <c r="J1748" i="14" s="1"/>
  <c r="N1749" i="14"/>
  <c r="K1563" i="13" l="1"/>
  <c r="L1563" i="13" s="1"/>
  <c r="I1564" i="13" s="1"/>
  <c r="K1586" i="14"/>
  <c r="L1586" i="14" s="1"/>
  <c r="I1587" i="14" s="1"/>
  <c r="J1749" i="14" a="1"/>
  <c r="J1749" i="14" s="1"/>
  <c r="N1750" i="14"/>
  <c r="M1753" i="13"/>
  <c r="M1754" i="14"/>
  <c r="J1750" i="13" a="1"/>
  <c r="J1750" i="13" s="1"/>
  <c r="N1751" i="13"/>
  <c r="K1564" i="13" l="1"/>
  <c r="L1564" i="13" s="1"/>
  <c r="I1565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5" i="13" l="1"/>
  <c r="L1565" i="13" s="1"/>
  <c r="I1566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6" i="13" l="1"/>
  <c r="L1566" i="13" s="1"/>
  <c r="I1567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67" i="13" l="1"/>
  <c r="L1567" i="13" s="1"/>
  <c r="I1568" i="13" s="1"/>
  <c r="K1590" i="14"/>
  <c r="L1590" i="14" s="1"/>
  <c r="I1591" i="14" s="1"/>
  <c r="J1754" i="13" a="1"/>
  <c r="J1754" i="13" s="1"/>
  <c r="N1755" i="13"/>
  <c r="M1758" i="14"/>
  <c r="J1753" i="14" a="1"/>
  <c r="J1753" i="14" s="1"/>
  <c r="N1754" i="14"/>
  <c r="M1757" i="13"/>
  <c r="K1568" i="13" l="1"/>
  <c r="L1568" i="13" s="1"/>
  <c r="I1569" i="13" s="1"/>
  <c r="K1591" i="14"/>
  <c r="L1591" i="14" s="1"/>
  <c r="I1592" i="14" s="1"/>
  <c r="J1754" i="14" a="1"/>
  <c r="J1754" i="14" s="1"/>
  <c r="N1755" i="14"/>
  <c r="M1759" i="14"/>
  <c r="M1758" i="13"/>
  <c r="J1755" i="13" a="1"/>
  <c r="J1755" i="13" s="1"/>
  <c r="N1756" i="13"/>
  <c r="K1569" i="13" l="1"/>
  <c r="L1569" i="13" s="1"/>
  <c r="I1570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70" i="13" l="1"/>
  <c r="L1570" i="13" s="1"/>
  <c r="I1571" i="13" s="1"/>
  <c r="K1593" i="14"/>
  <c r="L1593" i="14" s="1"/>
  <c r="I1594" i="14" s="1"/>
  <c r="M1761" i="14"/>
  <c r="M1760" i="13"/>
  <c r="N1758" i="13"/>
  <c r="J1757" i="13" a="1"/>
  <c r="J1757" i="13" s="1"/>
  <c r="J1756" i="14" a="1"/>
  <c r="J1756" i="14" s="1"/>
  <c r="N1757" i="14"/>
  <c r="K1571" i="13" l="1"/>
  <c r="L1571" i="13" s="1"/>
  <c r="I1572" i="13" s="1"/>
  <c r="K1594" i="14"/>
  <c r="L1594" i="14" s="1"/>
  <c r="I1595" i="14" s="1"/>
  <c r="J1757" i="14" a="1"/>
  <c r="J1757" i="14" s="1"/>
  <c r="N1758" i="14"/>
  <c r="M1761" i="13"/>
  <c r="J1758" i="13" a="1"/>
  <c r="J1758" i="13" s="1"/>
  <c r="N1759" i="13"/>
  <c r="M1762" i="14"/>
  <c r="K1572" i="13" l="1"/>
  <c r="L1572" i="13" s="1"/>
  <c r="I1573" i="13" s="1"/>
  <c r="K1595" i="14"/>
  <c r="L1595" i="14" s="1"/>
  <c r="I1596" i="14" s="1"/>
  <c r="M1763" i="14"/>
  <c r="J1758" i="14" a="1"/>
  <c r="J1758" i="14" s="1"/>
  <c r="N1759" i="14"/>
  <c r="J1759" i="13" a="1"/>
  <c r="J1759" i="13" s="1"/>
  <c r="N1760" i="13"/>
  <c r="M1762" i="13"/>
  <c r="K1573" i="13" l="1"/>
  <c r="L1573" i="13" s="1"/>
  <c r="I1574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74" i="13" l="1"/>
  <c r="L1574" i="13" s="1"/>
  <c r="I1575" i="13" s="1"/>
  <c r="K1597" i="14"/>
  <c r="L1597" i="14" s="1"/>
  <c r="I1598" i="14" s="1"/>
  <c r="M1764" i="13"/>
  <c r="N1762" i="13"/>
  <c r="J1761" i="13" a="1"/>
  <c r="J1761" i="13" s="1"/>
  <c r="J1760" i="14" a="1"/>
  <c r="J1760" i="14" s="1"/>
  <c r="N1761" i="14"/>
  <c r="M1765" i="14"/>
  <c r="K1575" i="13" l="1"/>
  <c r="L1575" i="13" s="1"/>
  <c r="I1576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76" i="13" l="1"/>
  <c r="L1576" i="13" s="1"/>
  <c r="I1577" i="13" s="1"/>
  <c r="K1599" i="14"/>
  <c r="L1599" i="14" s="1"/>
  <c r="I1600" i="14" s="1"/>
  <c r="J1762" i="14" a="1"/>
  <c r="J1762" i="14" s="1"/>
  <c r="N1763" i="14"/>
  <c r="M1767" i="14"/>
  <c r="J1763" i="13" a="1"/>
  <c r="J1763" i="13" s="1"/>
  <c r="N1764" i="13"/>
  <c r="M1766" i="13"/>
  <c r="K1577" i="13" l="1"/>
  <c r="L1577" i="13" s="1"/>
  <c r="I1578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578" i="13" l="1"/>
  <c r="L1578" i="13" s="1"/>
  <c r="I1579" i="13" s="1"/>
  <c r="K1601" i="14"/>
  <c r="L1601" i="14" s="1"/>
  <c r="I1602" i="14" s="1"/>
  <c r="J1764" i="14" a="1"/>
  <c r="J1764" i="14" s="1"/>
  <c r="N1765" i="14"/>
  <c r="M1769" i="14"/>
  <c r="N1766" i="13"/>
  <c r="J1765" i="13" a="1"/>
  <c r="J1765" i="13" s="1"/>
  <c r="M1768" i="13"/>
  <c r="K1579" i="13" l="1"/>
  <c r="L1579" i="13" s="1"/>
  <c r="I1580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580" i="13" l="1"/>
  <c r="L1580" i="13" s="1"/>
  <c r="I1581" i="13" s="1"/>
  <c r="K1603" i="14"/>
  <c r="L1603" i="14" s="1"/>
  <c r="I1604" i="14" s="1"/>
  <c r="J1766" i="14" a="1"/>
  <c r="J1766" i="14" s="1"/>
  <c r="N1767" i="14"/>
  <c r="M1770" i="13"/>
  <c r="M1771" i="14"/>
  <c r="J1767" i="13" a="1"/>
  <c r="J1767" i="13" s="1"/>
  <c r="N1768" i="13"/>
  <c r="K1581" i="13" l="1"/>
  <c r="L1581" i="13" s="1"/>
  <c r="I1582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2" i="13" l="1"/>
  <c r="L1582" i="13" s="1"/>
  <c r="I1583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3" i="13" l="1"/>
  <c r="L1583" i="13" s="1"/>
  <c r="I1584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584" i="13" l="1"/>
  <c r="L1584" i="13" s="1"/>
  <c r="I1585" i="13" s="1"/>
  <c r="K1607" i="14"/>
  <c r="L1607" i="14" s="1"/>
  <c r="I1608" i="14" s="1"/>
  <c r="J1770" i="14" a="1"/>
  <c r="J1770" i="14" s="1"/>
  <c r="N1771" i="14"/>
  <c r="M1774" i="13"/>
  <c r="J1771" i="13" a="1"/>
  <c r="J1771" i="13" s="1"/>
  <c r="N1772" i="13"/>
  <c r="M1775" i="14"/>
  <c r="K1585" i="13" l="1"/>
  <c r="L1585" i="13" s="1"/>
  <c r="I1586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586" i="13" l="1"/>
  <c r="L1586" i="13" s="1"/>
  <c r="I1587" i="13" s="1"/>
  <c r="K1609" i="14"/>
  <c r="L1609" i="14" s="1"/>
  <c r="I1610" i="14" s="1"/>
  <c r="J1772" i="14" a="1"/>
  <c r="J1772" i="14" s="1"/>
  <c r="N1773" i="14"/>
  <c r="M1777" i="14"/>
  <c r="N1774" i="13"/>
  <c r="J1773" i="13" a="1"/>
  <c r="J1773" i="13" s="1"/>
  <c r="M1776" i="13"/>
  <c r="K1587" i="13" l="1"/>
  <c r="L1587" i="13" s="1"/>
  <c r="I1588" i="13" s="1"/>
  <c r="K1610" i="14"/>
  <c r="L1610" i="14" s="1"/>
  <c r="I1611" i="14" s="1"/>
  <c r="M1777" i="13"/>
  <c r="M1778" i="14"/>
  <c r="J1773" i="14" a="1"/>
  <c r="J1773" i="14" s="1"/>
  <c r="N1774" i="14"/>
  <c r="J1774" i="13" a="1"/>
  <c r="J1774" i="13" s="1"/>
  <c r="N1775" i="13"/>
  <c r="K1588" i="13" l="1"/>
  <c r="L1588" i="13" s="1"/>
  <c r="I1589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589" i="13" l="1"/>
  <c r="L1589" i="13" s="1"/>
  <c r="I1590" i="13" s="1"/>
  <c r="K1612" i="14"/>
  <c r="L1612" i="14" s="1"/>
  <c r="I1613" i="14" s="1"/>
  <c r="N1776" i="14"/>
  <c r="J1775" i="14" a="1"/>
  <c r="J1775" i="14" s="1"/>
  <c r="M1780" i="14"/>
  <c r="M1779" i="13"/>
  <c r="J1776" i="13" a="1"/>
  <c r="J1776" i="13" s="1"/>
  <c r="N1777" i="13"/>
  <c r="K1590" i="13" l="1"/>
  <c r="L1590" i="13" s="1"/>
  <c r="I1591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1" i="13" l="1"/>
  <c r="L1591" i="13" s="1"/>
  <c r="I1592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2" i="13" l="1"/>
  <c r="L1592" i="13" s="1"/>
  <c r="I1593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3" i="13" l="1"/>
  <c r="L1593" i="13" s="1"/>
  <c r="I1594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594" i="13" l="1"/>
  <c r="L1594" i="13" s="1"/>
  <c r="I1595" i="13" s="1"/>
  <c r="K1617" i="14"/>
  <c r="L1617" i="14" s="1"/>
  <c r="I1618" i="14" s="1"/>
  <c r="N1782" i="13"/>
  <c r="J1781" i="13" a="1"/>
  <c r="J1781" i="13" s="1"/>
  <c r="M1784" i="13"/>
  <c r="J1780" i="14" a="1"/>
  <c r="J1780" i="14" s="1"/>
  <c r="N1781" i="14"/>
  <c r="M1785" i="14"/>
  <c r="K1595" i="13" l="1"/>
  <c r="L1595" i="13" s="1"/>
  <c r="I1596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596" i="13" l="1"/>
  <c r="L1596" i="13" s="1"/>
  <c r="I1597" i="13" s="1"/>
  <c r="K1619" i="14"/>
  <c r="L1619" i="14" s="1"/>
  <c r="I1620" i="14" s="1"/>
  <c r="J1783" i="13" a="1"/>
  <c r="J1783" i="13" s="1"/>
  <c r="N1784" i="13"/>
  <c r="M1786" i="13"/>
  <c r="J1782" i="14" a="1"/>
  <c r="J1782" i="14" s="1"/>
  <c r="N1783" i="14"/>
  <c r="M1787" i="14"/>
  <c r="K1597" i="13" l="1"/>
  <c r="L1597" i="13" s="1"/>
  <c r="I1598" i="13" s="1"/>
  <c r="N1784" i="14"/>
  <c r="J1783" i="14" a="1"/>
  <c r="J1783" i="14" s="1"/>
  <c r="M1788" i="14"/>
  <c r="M1787" i="13"/>
  <c r="J1784" i="13" a="1"/>
  <c r="J1784" i="13" s="1"/>
  <c r="N1785" i="13"/>
  <c r="K1620" i="14"/>
  <c r="L1620" i="14" s="1"/>
  <c r="I1621" i="14" s="1"/>
  <c r="K1598" i="13" l="1"/>
  <c r="L1598" i="13" s="1"/>
  <c r="I1599" i="13" s="1"/>
  <c r="K1621" i="14"/>
  <c r="L1621" i="14" s="1"/>
  <c r="I1622" i="14" s="1"/>
  <c r="N1786" i="13"/>
  <c r="J1785" i="13" a="1"/>
  <c r="J1785" i="13" s="1"/>
  <c r="M1788" i="13"/>
  <c r="M1789" i="14"/>
  <c r="J1784" i="14" a="1"/>
  <c r="J1784" i="14" s="1"/>
  <c r="N1785" i="14"/>
  <c r="K1599" i="13" l="1"/>
  <c r="L1599" i="13" s="1"/>
  <c r="I1600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00" i="13" l="1"/>
  <c r="L1600" i="13" s="1"/>
  <c r="I1601" i="13" s="1"/>
  <c r="K1623" i="14"/>
  <c r="L1623" i="14" s="1"/>
  <c r="I1624" i="14" s="1"/>
  <c r="J1787" i="13" a="1"/>
  <c r="J1787" i="13" s="1"/>
  <c r="N1788" i="13"/>
  <c r="M1790" i="13"/>
  <c r="J1786" i="14" a="1"/>
  <c r="J1786" i="14" s="1"/>
  <c r="N1787" i="14"/>
  <c r="M1791" i="14"/>
  <c r="K1601" i="13" l="1"/>
  <c r="L1601" i="13" s="1"/>
  <c r="I1602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02" i="13" l="1"/>
  <c r="L1602" i="13" s="1"/>
  <c r="I1603" i="13" s="1"/>
  <c r="K1625" i="14"/>
  <c r="L1625" i="14" s="1"/>
  <c r="I1626" i="14" s="1"/>
  <c r="J1788" i="14" a="1"/>
  <c r="J1788" i="14" s="1"/>
  <c r="N1789" i="14"/>
  <c r="M1792" i="13"/>
  <c r="N1790" i="13"/>
  <c r="J1789" i="13" a="1"/>
  <c r="J1789" i="13" s="1"/>
  <c r="M1793" i="14"/>
  <c r="K1603" i="13" l="1"/>
  <c r="L1603" i="13" s="1"/>
  <c r="I1604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04" i="13" l="1"/>
  <c r="L1604" i="13" s="1"/>
  <c r="I1605" i="13" s="1"/>
  <c r="K1627" i="14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 l="1"/>
  <c r="L1605" i="13" s="1"/>
  <c r="I1606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06" i="13" l="1"/>
  <c r="L1606" i="13" s="1"/>
  <c r="I1607" i="13" s="1"/>
  <c r="K1629" i="14"/>
  <c r="L1629" i="14" s="1"/>
  <c r="I1630" i="14" s="1"/>
  <c r="N1794" i="13"/>
  <c r="J1793" i="13" a="1"/>
  <c r="J1793" i="13" s="1"/>
  <c r="M1796" i="13"/>
  <c r="M1797" i="14"/>
  <c r="J1792" i="14" a="1"/>
  <c r="J1792" i="14" s="1"/>
  <c r="N1793" i="14"/>
  <c r="K1607" i="13" l="1"/>
  <c r="L1607" i="13" s="1"/>
  <c r="I1608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08" i="13" l="1"/>
  <c r="L1608" i="13" s="1"/>
  <c r="I1609" i="13" s="1"/>
  <c r="K1631" i="14"/>
  <c r="L1631" i="14" s="1"/>
  <c r="I1632" i="14" s="1"/>
  <c r="M1799" i="14"/>
  <c r="J1795" i="13" a="1"/>
  <c r="J1795" i="13" s="1"/>
  <c r="N1796" i="13"/>
  <c r="M1798" i="13"/>
  <c r="J1794" i="14" a="1"/>
  <c r="J1794" i="14" s="1"/>
  <c r="N1795" i="14"/>
  <c r="K1609" i="13" l="1"/>
  <c r="L1609" i="13" s="1"/>
  <c r="I1610" i="13" s="1"/>
  <c r="K1632" i="14"/>
  <c r="L1632" i="14" s="1"/>
  <c r="I1633" i="14" s="1"/>
  <c r="M1799" i="13"/>
  <c r="N1796" i="14"/>
  <c r="J1795" i="14" a="1"/>
  <c r="J1795" i="14" s="1"/>
  <c r="M1800" i="14"/>
  <c r="J1796" i="13" a="1"/>
  <c r="J1796" i="13" s="1"/>
  <c r="N1797" i="13"/>
  <c r="K1610" i="13" l="1"/>
  <c r="L1610" i="13" s="1"/>
  <c r="I1611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11" i="13" l="1"/>
  <c r="L1611" i="13" s="1"/>
  <c r="I1612" i="13" s="1"/>
  <c r="K1634" i="14"/>
  <c r="L1634" i="14" s="1"/>
  <c r="I1635" i="14" s="1"/>
  <c r="J1797" i="14" a="1"/>
  <c r="J1797" i="14" s="1"/>
  <c r="N1798" i="14"/>
  <c r="M1801" i="13"/>
  <c r="M1802" i="14"/>
  <c r="J1798" i="13" a="1"/>
  <c r="J1798" i="13" s="1"/>
  <c r="N1799" i="13"/>
  <c r="K1612" i="13" l="1"/>
  <c r="L1612" i="13" s="1"/>
  <c r="I1613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3" i="13" l="1"/>
  <c r="L1613" i="13" s="1"/>
  <c r="I1614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14" i="13" l="1"/>
  <c r="L1614" i="13" s="1"/>
  <c r="I1615" i="13" s="1"/>
  <c r="K1637" i="14"/>
  <c r="L1637" i="14" s="1"/>
  <c r="I1638" i="14" s="1"/>
  <c r="N1802" i="13"/>
  <c r="J1801" i="13" a="1"/>
  <c r="J1801" i="13" s="1"/>
  <c r="M1805" i="14"/>
  <c r="M1804" i="13"/>
  <c r="J1800" i="14" a="1"/>
  <c r="J1800" i="14" s="1"/>
  <c r="N1801" i="14"/>
  <c r="K1615" i="13" l="1"/>
  <c r="L1615" i="13" s="1"/>
  <c r="I1616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16" i="13" l="1"/>
  <c r="L1616" i="13" s="1"/>
  <c r="I1617" i="13" s="1"/>
  <c r="K1639" i="14"/>
  <c r="L1639" i="14" s="1"/>
  <c r="I1640" i="14" s="1"/>
  <c r="J1803" i="13" a="1"/>
  <c r="J1803" i="13" s="1"/>
  <c r="N1804" i="13"/>
  <c r="M1807" i="14"/>
  <c r="J1802" i="14" a="1"/>
  <c r="J1802" i="14" s="1"/>
  <c r="N1803" i="14"/>
  <c r="M1806" i="13"/>
  <c r="K1617" i="13" l="1"/>
  <c r="L1617" i="13" s="1"/>
  <c r="I1618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18" i="13" l="1"/>
  <c r="L1618" i="13" s="1"/>
  <c r="I1619" i="13" s="1"/>
  <c r="K1641" i="14"/>
  <c r="L1641" i="14" s="1"/>
  <c r="I1642" i="14" s="1"/>
  <c r="M1808" i="13"/>
  <c r="N1806" i="13"/>
  <c r="J1805" i="13" a="1"/>
  <c r="J1805" i="13" s="1"/>
  <c r="M1809" i="14"/>
  <c r="J1804" i="14" a="1"/>
  <c r="J1804" i="14" s="1"/>
  <c r="N1805" i="14"/>
  <c r="K1619" i="13" l="1"/>
  <c r="L1619" i="13" s="1"/>
  <c r="I1620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20" i="13" l="1"/>
  <c r="L1620" i="13" s="1"/>
  <c r="I1621" i="13" s="1"/>
  <c r="K1643" i="14"/>
  <c r="L1643" i="14" s="1"/>
  <c r="I1644" i="14" s="1"/>
  <c r="M1811" i="14"/>
  <c r="M1810" i="13"/>
  <c r="J1806" i="14" a="1"/>
  <c r="J1806" i="14" s="1"/>
  <c r="N1807" i="14"/>
  <c r="J1807" i="13" a="1"/>
  <c r="J1807" i="13" s="1"/>
  <c r="N1808" i="13"/>
  <c r="K1621" i="13" l="1"/>
  <c r="L1621" i="13" s="1"/>
  <c r="I1622" i="13" s="1"/>
  <c r="K1644" i="14"/>
  <c r="L1644" i="14" s="1"/>
  <c r="I1645" i="14" s="1"/>
  <c r="J1808" i="13" a="1"/>
  <c r="J1808" i="13" s="1"/>
  <c r="N1809" i="13"/>
  <c r="M1811" i="13"/>
  <c r="N1808" i="14"/>
  <c r="J1807" i="14" a="1"/>
  <c r="J1807" i="14" s="1"/>
  <c r="M1812" i="14"/>
  <c r="K1622" i="13" l="1"/>
  <c r="L1622" i="13" s="1"/>
  <c r="I1623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23" i="13" l="1"/>
  <c r="L1623" i="13" s="1"/>
  <c r="I1624" i="13" s="1"/>
  <c r="K1646" i="14"/>
  <c r="L1646" i="14" s="1"/>
  <c r="I1647" i="14" s="1"/>
  <c r="J1810" i="13" a="1"/>
  <c r="J1810" i="13" s="1"/>
  <c r="N1811" i="13"/>
  <c r="M1814" i="14"/>
  <c r="M1813" i="13"/>
  <c r="J1809" i="14" a="1"/>
  <c r="J1809" i="14" s="1"/>
  <c r="N1810" i="14"/>
  <c r="K1624" i="13" l="1"/>
  <c r="L1624" i="13" s="1"/>
  <c r="I1625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25" i="13" l="1"/>
  <c r="L1625" i="13" s="1"/>
  <c r="I1626" i="13" s="1"/>
  <c r="K1648" i="14"/>
  <c r="L1648" i="14" s="1"/>
  <c r="I1649" i="14" s="1"/>
  <c r="J1812" i="13" a="1"/>
  <c r="J1812" i="13" s="1"/>
  <c r="N1813" i="13"/>
  <c r="M1815" i="13"/>
  <c r="M1816" i="14"/>
  <c r="N1812" i="14"/>
  <c r="J1811" i="14" a="1"/>
  <c r="J1811" i="14" s="1"/>
  <c r="K1626" i="13" l="1"/>
  <c r="L1626" i="13" s="1"/>
  <c r="I1627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27" i="13" l="1"/>
  <c r="L1627" i="13" s="1"/>
  <c r="I1628" i="13" s="1"/>
  <c r="K1650" i="14"/>
  <c r="L1650" i="14" s="1"/>
  <c r="I1651" i="14" s="1"/>
  <c r="M1817" i="13"/>
  <c r="M1818" i="14"/>
  <c r="J1813" i="14" a="1"/>
  <c r="J1813" i="14" s="1"/>
  <c r="N1814" i="14"/>
  <c r="J1814" i="13" a="1"/>
  <c r="J1814" i="13" s="1"/>
  <c r="N1815" i="13"/>
  <c r="K1628" i="13" l="1"/>
  <c r="L1628" i="13" s="1"/>
  <c r="I1629" i="13" s="1"/>
  <c r="K1651" i="14"/>
  <c r="L1651" i="14" s="1"/>
  <c r="I1652" i="14" s="1"/>
  <c r="J1815" i="13" a="1"/>
  <c r="J1815" i="13" s="1"/>
  <c r="N1816" i="13"/>
  <c r="M1819" i="14"/>
  <c r="J1814" i="14" a="1"/>
  <c r="J1814" i="14" s="1"/>
  <c r="N1815" i="14"/>
  <c r="M1818" i="13"/>
  <c r="K1629" i="13" l="1"/>
  <c r="L1629" i="13" s="1"/>
  <c r="I1630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30" i="13" l="1"/>
  <c r="L1630" i="13" s="1"/>
  <c r="I1631" i="13" s="1"/>
  <c r="K1653" i="14"/>
  <c r="L1653" i="14" s="1"/>
  <c r="I1654" i="14" s="1"/>
  <c r="M1821" i="14"/>
  <c r="J1816" i="14" a="1"/>
  <c r="J1816" i="14" s="1"/>
  <c r="N1817" i="14"/>
  <c r="N1818" i="13"/>
  <c r="J1817" i="13" a="1"/>
  <c r="J1817" i="13" s="1"/>
  <c r="M1820" i="13"/>
  <c r="K1631" i="13" l="1"/>
  <c r="L1631" i="13" s="1"/>
  <c r="I1632" i="13" s="1"/>
  <c r="K1654" i="14"/>
  <c r="L1654" i="14" s="1"/>
  <c r="I1655" i="14" s="1"/>
  <c r="M1821" i="13"/>
  <c r="J1817" i="14" a="1"/>
  <c r="J1817" i="14" s="1"/>
  <c r="N1818" i="14"/>
  <c r="J1818" i="13" a="1"/>
  <c r="J1818" i="13" s="1"/>
  <c r="N1819" i="13"/>
  <c r="M1822" i="14"/>
  <c r="K1632" i="13" l="1"/>
  <c r="L1632" i="13" s="1"/>
  <c r="I1633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33" i="13" l="1"/>
  <c r="L1633" i="13" s="1"/>
  <c r="I1634" i="13" s="1"/>
  <c r="K1656" i="14"/>
  <c r="L1656" i="14" s="1"/>
  <c r="I1657" i="14" s="1"/>
  <c r="N1820" i="14"/>
  <c r="J1819" i="14" a="1"/>
  <c r="J1819" i="14" s="1"/>
  <c r="M1824" i="14"/>
  <c r="J1820" i="13" a="1"/>
  <c r="J1820" i="13" s="1"/>
  <c r="N1821" i="13"/>
  <c r="M1823" i="13"/>
  <c r="K1634" i="13" l="1"/>
  <c r="L1634" i="13" s="1"/>
  <c r="I1635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35" i="13" l="1"/>
  <c r="L1635" i="13" s="1"/>
  <c r="I1636" i="13" s="1"/>
  <c r="K1658" i="14"/>
  <c r="L1658" i="14" s="1"/>
  <c r="I1659" i="14" s="1"/>
  <c r="J1821" i="14" a="1"/>
  <c r="J1821" i="14" s="1"/>
  <c r="N1822" i="14"/>
  <c r="M1826" i="14"/>
  <c r="M1825" i="13"/>
  <c r="J1822" i="13" a="1"/>
  <c r="J1822" i="13" s="1"/>
  <c r="N1823" i="13"/>
  <c r="K1636" i="13" l="1"/>
  <c r="L1636" i="13" s="1"/>
  <c r="I1637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37" i="13" l="1"/>
  <c r="L1637" i="13" s="1"/>
  <c r="I1638" i="13" s="1"/>
  <c r="K1660" i="14"/>
  <c r="L1660" i="14" s="1"/>
  <c r="I1661" i="14" s="1"/>
  <c r="M1827" i="13"/>
  <c r="M1828" i="14"/>
  <c r="N1824" i="14"/>
  <c r="J1823" i="14" a="1"/>
  <c r="J1823" i="14" s="1"/>
  <c r="J1824" i="13" a="1"/>
  <c r="J1824" i="13" s="1"/>
  <c r="N1825" i="13"/>
  <c r="K1638" i="13" l="1"/>
  <c r="L1638" i="13" s="1"/>
  <c r="I1639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39" i="13" l="1"/>
  <c r="L1639" i="13" s="1"/>
  <c r="I1640" i="13" s="1"/>
  <c r="K1662" i="14"/>
  <c r="L1662" i="14" s="1"/>
  <c r="I1663" i="14" s="1"/>
  <c r="J1826" i="13" a="1"/>
  <c r="J1826" i="13" s="1"/>
  <c r="N1827" i="13"/>
  <c r="M1829" i="13"/>
  <c r="J1825" i="14" a="1"/>
  <c r="J1825" i="14" s="1"/>
  <c r="N1826" i="14"/>
  <c r="M1830" i="14"/>
  <c r="K1640" i="13" l="1"/>
  <c r="L1640" i="13" s="1"/>
  <c r="I1641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41" i="13" l="1"/>
  <c r="L1641" i="13" s="1"/>
  <c r="I1642" i="13" s="1"/>
  <c r="K1664" i="14"/>
  <c r="L1664" i="14" s="1"/>
  <c r="I1665" i="14" s="1"/>
  <c r="M1832" i="14"/>
  <c r="N1828" i="14"/>
  <c r="J1827" i="14" a="1"/>
  <c r="J1827" i="14" s="1"/>
  <c r="J1828" i="13" a="1"/>
  <c r="J1828" i="13" s="1"/>
  <c r="N1829" i="13"/>
  <c r="M1831" i="13"/>
  <c r="K1642" i="13" l="1"/>
  <c r="L1642" i="13" s="1"/>
  <c r="I1643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43" i="13" l="1"/>
  <c r="L1643" i="13" s="1"/>
  <c r="I1644" i="13" s="1"/>
  <c r="K1666" i="14"/>
  <c r="L1666" i="14" s="1"/>
  <c r="I1667" i="14" s="1"/>
  <c r="M1834" i="14"/>
  <c r="J1830" i="13" a="1"/>
  <c r="J1830" i="13" s="1"/>
  <c r="N1831" i="13"/>
  <c r="J1829" i="14" a="1"/>
  <c r="J1829" i="14" s="1"/>
  <c r="N1830" i="14"/>
  <c r="M1833" i="13"/>
  <c r="K1644" i="13" l="1"/>
  <c r="L1644" i="13" s="1"/>
  <c r="I1645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45" i="13" l="1"/>
  <c r="L1645" i="13" s="1"/>
  <c r="I1646" i="13" s="1"/>
  <c r="K1668" i="14"/>
  <c r="L1668" i="14" s="1"/>
  <c r="I1669" i="14" s="1"/>
  <c r="N1832" i="14"/>
  <c r="J1831" i="14" a="1"/>
  <c r="J1831" i="14" s="1"/>
  <c r="M1835" i="13"/>
  <c r="J1832" i="13" a="1"/>
  <c r="J1832" i="13" s="1"/>
  <c r="N1833" i="13"/>
  <c r="M1836" i="14"/>
  <c r="K1646" i="13" l="1"/>
  <c r="L1646" i="13" s="1"/>
  <c r="I1647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47" i="13" l="1"/>
  <c r="L1647" i="13" s="1"/>
  <c r="I1648" i="13" s="1"/>
  <c r="K1670" i="14"/>
  <c r="L1670" i="14" s="1"/>
  <c r="I1671" i="14" s="1"/>
  <c r="M1838" i="14"/>
  <c r="J1833" i="14" a="1"/>
  <c r="J1833" i="14" s="1"/>
  <c r="N1834" i="14"/>
  <c r="M1837" i="13"/>
  <c r="J1834" i="13" a="1"/>
  <c r="J1834" i="13" s="1"/>
  <c r="N1835" i="13"/>
  <c r="K1648" i="13" l="1"/>
  <c r="L1648" i="13" s="1"/>
  <c r="I1649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49" i="13" l="1"/>
  <c r="L1649" i="13" s="1"/>
  <c r="I1650" i="13" s="1"/>
  <c r="K1672" i="14"/>
  <c r="L1672" i="14" s="1"/>
  <c r="I1673" i="14" s="1"/>
  <c r="M1839" i="13"/>
  <c r="N1836" i="14"/>
  <c r="J1835" i="14" a="1"/>
  <c r="J1835" i="14" s="1"/>
  <c r="J1836" i="13" a="1"/>
  <c r="J1836" i="13" s="1"/>
  <c r="N1837" i="13"/>
  <c r="M1840" i="14"/>
  <c r="K1650" i="13" l="1"/>
  <c r="L1650" i="13" s="1"/>
  <c r="I1651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51" i="13" l="1"/>
  <c r="L1651" i="13" s="1"/>
  <c r="I1652" i="13" s="1"/>
  <c r="K1674" i="14"/>
  <c r="L1674" i="14" s="1"/>
  <c r="I1675" i="14" s="1"/>
  <c r="J1837" i="14" a="1"/>
  <c r="J1837" i="14" s="1"/>
  <c r="N1838" i="14"/>
  <c r="M1841" i="13"/>
  <c r="J1838" i="13" a="1"/>
  <c r="J1838" i="13" s="1"/>
  <c r="N1839" i="13"/>
  <c r="M1842" i="14"/>
  <c r="K1652" i="13" l="1"/>
  <c r="L1652" i="13" s="1"/>
  <c r="I1653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53" i="13" l="1"/>
  <c r="L1653" i="13" s="1"/>
  <c r="I1654" i="13" s="1"/>
  <c r="K1676" i="14"/>
  <c r="L1676" i="14" s="1"/>
  <c r="I1677" i="14" s="1"/>
  <c r="M1843" i="13"/>
  <c r="J1840" i="13" a="1"/>
  <c r="J1840" i="13" s="1"/>
  <c r="N1841" i="13"/>
  <c r="N1840" i="14"/>
  <c r="J1839" i="14" a="1"/>
  <c r="J1839" i="14" s="1"/>
  <c r="M1844" i="14"/>
  <c r="K1654" i="13" l="1"/>
  <c r="L1654" i="13" s="1"/>
  <c r="I1655" i="13" s="1"/>
  <c r="K1677" i="14"/>
  <c r="L1677" i="14" s="1"/>
  <c r="I1678" i="14" s="1"/>
  <c r="N1842" i="13"/>
  <c r="J1841" i="13" a="1"/>
  <c r="J1841" i="13" s="1"/>
  <c r="M1845" i="14"/>
  <c r="J1840" i="14" a="1"/>
  <c r="J1840" i="14" s="1"/>
  <c r="N1841" i="14"/>
  <c r="M1844" i="13"/>
  <c r="K1655" i="13" l="1"/>
  <c r="L1655" i="13" s="1"/>
  <c r="I1656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56" i="13" l="1"/>
  <c r="L1656" i="13" s="1"/>
  <c r="I1657" i="13" s="1"/>
  <c r="K1679" i="14"/>
  <c r="L1679" i="14" s="1"/>
  <c r="I1680" i="14" s="1"/>
  <c r="J1843" i="13" a="1"/>
  <c r="J1843" i="13" s="1"/>
  <c r="N1844" i="13"/>
  <c r="M1846" i="13"/>
  <c r="M1847" i="14"/>
  <c r="J1842" i="14" a="1"/>
  <c r="J1842" i="14" s="1"/>
  <c r="N1843" i="14"/>
  <c r="K1657" i="13" l="1"/>
  <c r="L1657" i="13" s="1"/>
  <c r="I1658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58" i="13" l="1"/>
  <c r="L1658" i="13" s="1"/>
  <c r="I1659" i="13" s="1"/>
  <c r="K1681" i="14"/>
  <c r="L1681" i="14" s="1"/>
  <c r="I1682" i="14" s="1"/>
  <c r="M1849" i="14"/>
  <c r="J1844" i="14" a="1"/>
  <c r="J1844" i="14" s="1"/>
  <c r="N1845" i="14"/>
  <c r="N1846" i="13"/>
  <c r="J1845" i="13" a="1"/>
  <c r="J1845" i="13" s="1"/>
  <c r="M1848" i="13"/>
  <c r="K1659" i="13" l="1"/>
  <c r="L1659" i="13" s="1"/>
  <c r="I1660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60" i="13" l="1"/>
  <c r="L1660" i="13" s="1"/>
  <c r="I1661" i="13" s="1"/>
  <c r="K1683" i="14"/>
  <c r="L1683" i="14" s="1"/>
  <c r="I1684" i="14" s="1"/>
  <c r="M1851" i="14"/>
  <c r="M1850" i="13"/>
  <c r="J1847" i="13" a="1"/>
  <c r="J1847" i="13" s="1"/>
  <c r="N1848" i="13"/>
  <c r="J1846" i="14" a="1"/>
  <c r="J1846" i="14" s="1"/>
  <c r="N1847" i="14"/>
  <c r="K1661" i="13" l="1"/>
  <c r="L1661" i="13" s="1"/>
  <c r="I1662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62" i="13" l="1"/>
  <c r="L1662" i="13" s="1"/>
  <c r="I1663" i="13" s="1"/>
  <c r="K1685" i="14"/>
  <c r="L1685" i="14" s="1"/>
  <c r="I1686" i="14" s="1"/>
  <c r="M1852" i="13"/>
  <c r="M1853" i="14"/>
  <c r="N1850" i="13"/>
  <c r="J1849" i="13" a="1"/>
  <c r="J1849" i="13" s="1"/>
  <c r="J1848" i="14" a="1"/>
  <c r="J1848" i="14" s="1"/>
  <c r="N1849" i="14"/>
  <c r="K1663" i="13" l="1"/>
  <c r="L1663" i="13" s="1"/>
  <c r="I1664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64" i="13" l="1"/>
  <c r="L1664" i="13" s="1"/>
  <c r="I1665" i="13" s="1"/>
  <c r="K1687" i="14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 l="1"/>
  <c r="L1665" i="13" s="1"/>
  <c r="I1666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6" i="13" l="1"/>
  <c r="L1666" i="13" s="1"/>
  <c r="I1667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7" i="13" l="1"/>
  <c r="L1667" i="13" s="1"/>
  <c r="I1668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8" i="13" l="1"/>
  <c r="L1668" i="13" s="1"/>
  <c r="I1669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69" i="13" l="1"/>
  <c r="L1669" i="13" s="1"/>
  <c r="I1670" i="13" s="1"/>
  <c r="K1692" i="14"/>
  <c r="L1692" i="14" s="1"/>
  <c r="I1693" i="14" s="1"/>
  <c r="M1859" i="13"/>
  <c r="M1860" i="14"/>
  <c r="J1856" i="13" a="1"/>
  <c r="J1856" i="13" s="1"/>
  <c r="N1857" i="13"/>
  <c r="N1856" i="14"/>
  <c r="J1855" i="14" a="1"/>
  <c r="J1855" i="14" s="1"/>
  <c r="K1670" i="13" l="1"/>
  <c r="L1670" i="13" s="1"/>
  <c r="I1671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71" i="13" l="1"/>
  <c r="L1671" i="13" s="1"/>
  <c r="I1672" i="13" s="1"/>
  <c r="K1694" i="14"/>
  <c r="L1694" i="14" s="1"/>
  <c r="I1695" i="14" s="1"/>
  <c r="J1858" i="13" a="1"/>
  <c r="J1858" i="13" s="1"/>
  <c r="N1859" i="13"/>
  <c r="M1861" i="13"/>
  <c r="M1862" i="14"/>
  <c r="J1857" i="14" a="1"/>
  <c r="J1857" i="14" s="1"/>
  <c r="N1858" i="14"/>
  <c r="K1672" i="13" l="1"/>
  <c r="L1672" i="13" s="1"/>
  <c r="I1673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3" i="13" l="1"/>
  <c r="L1673" i="13" s="1"/>
  <c r="I1674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4" i="13" l="1"/>
  <c r="L1674" i="13" s="1"/>
  <c r="I1675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75" i="13" l="1"/>
  <c r="L1675" i="13" s="1"/>
  <c r="I1676" i="13" s="1"/>
  <c r="K1698" i="14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 l="1"/>
  <c r="L1676" i="13" s="1"/>
  <c r="I1677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677" i="13" l="1"/>
  <c r="L1677" i="13" s="1"/>
  <c r="I1678" i="13" s="1"/>
  <c r="K1700" i="14"/>
  <c r="L1700" i="14" s="1"/>
  <c r="I1701" i="14" s="1"/>
  <c r="J1864" i="13" a="1"/>
  <c r="J1864" i="13" s="1"/>
  <c r="N1865" i="13"/>
  <c r="M1867" i="13"/>
  <c r="N1864" i="14"/>
  <c r="J1863" i="14" a="1"/>
  <c r="J1863" i="14" s="1"/>
  <c r="M1868" i="14"/>
  <c r="K1678" i="13" l="1"/>
  <c r="L1678" i="13" s="1"/>
  <c r="I1679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79" i="13" l="1"/>
  <c r="L1679" i="13" s="1"/>
  <c r="I1680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680" i="13" l="1"/>
  <c r="L1680" i="13" s="1"/>
  <c r="I1681" i="13" s="1"/>
  <c r="K1703" i="14"/>
  <c r="L1703" i="14" s="1"/>
  <c r="I1704" i="14" s="1"/>
  <c r="J1866" i="14" a="1"/>
  <c r="J1866" i="14" s="1"/>
  <c r="N1867" i="14"/>
  <c r="M1871" i="14"/>
  <c r="J1867" i="13" a="1"/>
  <c r="J1867" i="13" s="1"/>
  <c r="N1868" i="13"/>
  <c r="M1870" i="13"/>
  <c r="K1681" i="13" l="1"/>
  <c r="L1681" i="13" s="1"/>
  <c r="I1682" i="13" s="1"/>
  <c r="K1704" i="14"/>
  <c r="L1704" i="14" s="1"/>
  <c r="I1705" i="14" s="1"/>
  <c r="M1871" i="13"/>
  <c r="M1872" i="14"/>
  <c r="J1868" i="13" a="1"/>
  <c r="J1868" i="13" s="1"/>
  <c r="N1869" i="13"/>
  <c r="N1868" i="14"/>
  <c r="J1867" i="14" a="1"/>
  <c r="J1867" i="14" s="1"/>
  <c r="K1682" i="13" l="1"/>
  <c r="L1682" i="13" s="1"/>
  <c r="I1683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3" i="13" l="1"/>
  <c r="L1683" i="13" s="1"/>
  <c r="I1684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4" i="13" l="1"/>
  <c r="L1684" i="13" s="1"/>
  <c r="I1685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5" i="13" l="1"/>
  <c r="L1685" i="13" s="1"/>
  <c r="I1686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6" i="13" l="1"/>
  <c r="L1686" i="13" s="1"/>
  <c r="I1687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687" i="13" l="1"/>
  <c r="L1687" i="13" s="1"/>
  <c r="I1688" i="13" s="1"/>
  <c r="K1710" i="14"/>
  <c r="L1710" i="14" s="1"/>
  <c r="I1711" i="14" s="1"/>
  <c r="J1874" i="13" a="1"/>
  <c r="J1874" i="13" s="1"/>
  <c r="N1875" i="13"/>
  <c r="M1877" i="13"/>
  <c r="M1878" i="14"/>
  <c r="J1873" i="14" a="1"/>
  <c r="J1873" i="14" s="1"/>
  <c r="N1874" i="14"/>
  <c r="K1688" i="13" l="1"/>
  <c r="L1688" i="13" s="1"/>
  <c r="I1689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89" i="13" l="1"/>
  <c r="L1689" i="13" s="1"/>
  <c r="I1690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690" i="13" l="1"/>
  <c r="L1690" i="13" s="1"/>
  <c r="I1691" i="13" s="1"/>
  <c r="K1713" i="14"/>
  <c r="L1713" i="14" s="1"/>
  <c r="I1714" i="14" s="1"/>
  <c r="N1878" i="13"/>
  <c r="J1877" i="13" a="1"/>
  <c r="J1877" i="13" s="1"/>
  <c r="M1880" i="13"/>
  <c r="M1881" i="14"/>
  <c r="J1876" i="14" a="1"/>
  <c r="J1876" i="14" s="1"/>
  <c r="N1877" i="14"/>
  <c r="K1691" i="13" l="1"/>
  <c r="L1691" i="13" s="1"/>
  <c r="I1692" i="13" s="1"/>
  <c r="M1882" i="14"/>
  <c r="J1877" i="14" a="1"/>
  <c r="J1877" i="14" s="1"/>
  <c r="N1878" i="14"/>
  <c r="M1881" i="13"/>
  <c r="J1878" i="13" a="1"/>
  <c r="J1878" i="13" s="1"/>
  <c r="N1879" i="13"/>
  <c r="K1714" i="14"/>
  <c r="L1714" i="14" s="1"/>
  <c r="I1715" i="14" s="1"/>
  <c r="K1692" i="13" l="1"/>
  <c r="L1692" i="13" s="1"/>
  <c r="I1693" i="13" s="1"/>
  <c r="K1715" i="14"/>
  <c r="L1715" i="14" s="1"/>
  <c r="I1716" i="14" s="1"/>
  <c r="J1878" i="14" a="1"/>
  <c r="J1878" i="14" s="1"/>
  <c r="N1879" i="14"/>
  <c r="J1879" i="13" a="1"/>
  <c r="J1879" i="13" s="1"/>
  <c r="N1880" i="13"/>
  <c r="M1883" i="14"/>
  <c r="M1882" i="13"/>
  <c r="K1693" i="13" l="1"/>
  <c r="L1693" i="13" s="1"/>
  <c r="I1694" i="13" s="1"/>
  <c r="K1716" i="14"/>
  <c r="L1716" i="14" s="1"/>
  <c r="I1717" i="14" s="1"/>
  <c r="M1884" i="14"/>
  <c r="J1880" i="13" a="1"/>
  <c r="J1880" i="13" s="1"/>
  <c r="N1881" i="13"/>
  <c r="N1880" i="14"/>
  <c r="J1879" i="14" a="1"/>
  <c r="J1879" i="14" s="1"/>
  <c r="M1883" i="13"/>
  <c r="K1694" i="13" l="1"/>
  <c r="L1694" i="13" s="1"/>
  <c r="I1695" i="13" s="1"/>
  <c r="K1717" i="14"/>
  <c r="L1717" i="14" s="1"/>
  <c r="I1718" i="14" s="1"/>
  <c r="N1882" i="13"/>
  <c r="J1881" i="13" a="1"/>
  <c r="J1881" i="13" s="1"/>
  <c r="M1884" i="13"/>
  <c r="J1880" i="14" a="1"/>
  <c r="J1880" i="14" s="1"/>
  <c r="N1881" i="14"/>
  <c r="M1885" i="14"/>
  <c r="K1695" i="13" l="1"/>
  <c r="L1695" i="13" s="1"/>
  <c r="I1696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696" i="13" l="1"/>
  <c r="L1696" i="13" s="1"/>
  <c r="I1697" i="13" s="1"/>
  <c r="K1719" i="14"/>
  <c r="L1719" i="14" s="1"/>
  <c r="I1720" i="14" s="1"/>
  <c r="J1882" i="14" a="1"/>
  <c r="J1882" i="14" s="1"/>
  <c r="N1883" i="14"/>
  <c r="M1887" i="14"/>
  <c r="M1886" i="13"/>
  <c r="J1883" i="13" a="1"/>
  <c r="J1883" i="13" s="1"/>
  <c r="N1884" i="13"/>
  <c r="K1697" i="13" l="1"/>
  <c r="L1697" i="13" s="1"/>
  <c r="I1698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8" i="13" l="1"/>
  <c r="L1698" i="13" s="1"/>
  <c r="I1699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699" i="13" l="1"/>
  <c r="L1699" i="13" s="1"/>
  <c r="I1700" i="13" s="1"/>
  <c r="K1722" i="14"/>
  <c r="L1722" i="14" s="1"/>
  <c r="I1723" i="14" s="1"/>
  <c r="J1885" i="14" a="1"/>
  <c r="J1885" i="14" s="1"/>
  <c r="N1886" i="14"/>
  <c r="M1889" i="13"/>
  <c r="J1886" i="13" a="1"/>
  <c r="J1886" i="13" s="1"/>
  <c r="N1887" i="13"/>
  <c r="M1890" i="14"/>
  <c r="K1700" i="13" l="1"/>
  <c r="L1700" i="13" s="1"/>
  <c r="I1701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1" i="13" l="1"/>
  <c r="L1701" i="13" s="1"/>
  <c r="I1702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2" i="13" l="1"/>
  <c r="L1702" i="13" s="1"/>
  <c r="I1703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3" i="13" l="1"/>
  <c r="L1703" i="13" s="1"/>
  <c r="I1704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04" i="13" l="1"/>
  <c r="L1704" i="13" s="1"/>
  <c r="I1705" i="13" s="1"/>
  <c r="K1727" i="14"/>
  <c r="L1727" i="14" s="1"/>
  <c r="I1728" i="14" s="1"/>
  <c r="J1890" i="14" a="1"/>
  <c r="J1890" i="14" s="1"/>
  <c r="N1891" i="14"/>
  <c r="J1891" i="13" a="1"/>
  <c r="J1891" i="13" s="1"/>
  <c r="N1892" i="13"/>
  <c r="M1895" i="14"/>
  <c r="M1894" i="13"/>
  <c r="K1705" i="13" l="1"/>
  <c r="L1705" i="13" s="1"/>
  <c r="I1706" i="13" s="1"/>
  <c r="K1728" i="14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 l="1"/>
  <c r="L1706" i="13" s="1"/>
  <c r="I1707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7" i="13" l="1"/>
  <c r="L1707" i="13" s="1"/>
  <c r="I1708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08" i="13" l="1"/>
  <c r="L1708" i="13" s="1"/>
  <c r="I1709" i="13" s="1"/>
  <c r="K1731" i="14"/>
  <c r="L1731" i="14" s="1"/>
  <c r="I1732" i="14" s="1"/>
  <c r="J1895" i="13" a="1"/>
  <c r="J1895" i="13" s="1"/>
  <c r="N1896" i="13"/>
  <c r="J1894" i="14" a="1"/>
  <c r="J1894" i="14" s="1"/>
  <c r="N1895" i="14"/>
  <c r="M1899" i="14"/>
  <c r="M1898" i="13"/>
  <c r="K1709" i="13" l="1"/>
  <c r="L1709" i="13" s="1"/>
  <c r="I1710" i="13" s="1"/>
  <c r="K1732" i="14"/>
  <c r="L1732" i="14" s="1"/>
  <c r="I1733" i="14" s="1"/>
  <c r="N1896" i="14"/>
  <c r="J1895" i="14" a="1"/>
  <c r="J1895" i="14" s="1"/>
  <c r="M1899" i="13"/>
  <c r="J1896" i="13" a="1"/>
  <c r="J1896" i="13" s="1"/>
  <c r="N1897" i="13"/>
  <c r="M1900" i="14"/>
  <c r="K1710" i="13" l="1"/>
  <c r="L1710" i="13" s="1"/>
  <c r="I1711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11" i="13" l="1"/>
  <c r="L1711" i="13" s="1"/>
  <c r="I1712" i="13" s="1"/>
  <c r="K1734" i="14"/>
  <c r="L1734" i="14" s="1"/>
  <c r="I1735" i="14" s="1"/>
  <c r="M1901" i="13"/>
  <c r="J1898" i="13" a="1"/>
  <c r="J1898" i="13" s="1"/>
  <c r="N1899" i="13"/>
  <c r="J1897" i="14" a="1"/>
  <c r="J1897" i="14" s="1"/>
  <c r="N1898" i="14"/>
  <c r="M1902" i="14"/>
  <c r="K1712" i="13" l="1"/>
  <c r="L1712" i="13" s="1"/>
  <c r="I1713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3" i="13" l="1"/>
  <c r="L1713" i="13" s="1"/>
  <c r="I1714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14" i="13" l="1"/>
  <c r="L1714" i="13" s="1"/>
  <c r="I1715" i="13" s="1"/>
  <c r="K1737" i="14"/>
  <c r="L1737" i="14" s="1"/>
  <c r="I1738" i="14" s="1"/>
  <c r="N1902" i="13"/>
  <c r="J1901" i="13" a="1"/>
  <c r="J1901" i="13" s="1"/>
  <c r="J1900" i="14" a="1"/>
  <c r="J1900" i="14" s="1"/>
  <c r="N1901" i="14"/>
  <c r="M1905" i="14"/>
  <c r="M1904" i="13"/>
  <c r="K1715" i="13" l="1"/>
  <c r="L1715" i="13" s="1"/>
  <c r="I1716" i="13" s="1"/>
  <c r="K1738" i="14"/>
  <c r="L1738" i="14" s="1"/>
  <c r="I1739" i="14" s="1"/>
  <c r="M1906" i="14"/>
  <c r="M1905" i="13"/>
  <c r="J1901" i="14" a="1"/>
  <c r="J1901" i="14" s="1"/>
  <c r="N1902" i="14"/>
  <c r="J1902" i="13" a="1"/>
  <c r="J1902" i="13" s="1"/>
  <c r="N1903" i="13"/>
  <c r="K1716" i="13" l="1"/>
  <c r="L1716" i="13" s="1"/>
  <c r="I1717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7" i="13" l="1"/>
  <c r="L1717" i="13" s="1"/>
  <c r="I1718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18" i="13" l="1"/>
  <c r="L1718" i="13" s="1"/>
  <c r="I1719" i="13" s="1"/>
  <c r="K1741" i="14"/>
  <c r="L1741" i="14" s="1"/>
  <c r="I1742" i="14" s="1"/>
  <c r="J1904" i="14" a="1"/>
  <c r="J1904" i="14" s="1"/>
  <c r="N1905" i="14"/>
  <c r="N1906" i="13"/>
  <c r="J1905" i="13" a="1"/>
  <c r="J1905" i="13" s="1"/>
  <c r="M1909" i="14"/>
  <c r="M1908" i="13"/>
  <c r="K1719" i="13" l="1"/>
  <c r="L1719" i="13" s="1"/>
  <c r="I1720" i="13" s="1"/>
  <c r="K1742" i="14"/>
  <c r="L1742" i="14" s="1"/>
  <c r="I1743" i="14" s="1"/>
  <c r="M1909" i="13"/>
  <c r="J1905" i="14" a="1"/>
  <c r="J1905" i="14" s="1"/>
  <c r="N1906" i="14"/>
  <c r="J1906" i="13" a="1"/>
  <c r="J1906" i="13" s="1"/>
  <c r="N1907" i="13"/>
  <c r="M1910" i="14"/>
  <c r="K1720" i="13" l="1"/>
  <c r="L1720" i="13" s="1"/>
  <c r="I1721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21" i="13" l="1"/>
  <c r="L1721" i="13" s="1"/>
  <c r="I1722" i="13" s="1"/>
  <c r="K1744" i="14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 l="1"/>
  <c r="L1722" i="13" s="1"/>
  <c r="I1723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3" i="13" l="1"/>
  <c r="L1723" i="13" s="1"/>
  <c r="I1724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24" i="13" l="1"/>
  <c r="L1724" i="13" s="1"/>
  <c r="I1725" i="13" s="1"/>
  <c r="K1747" i="14"/>
  <c r="L1747" i="14" s="1"/>
  <c r="I1748" i="14" s="1"/>
  <c r="J1911" i="13" a="1"/>
  <c r="J1911" i="13" s="1"/>
  <c r="N1912" i="13"/>
  <c r="M1915" i="14"/>
  <c r="M1914" i="13"/>
  <c r="J1910" i="14" a="1"/>
  <c r="J1910" i="14" s="1"/>
  <c r="N1911" i="14"/>
  <c r="K1725" i="13" l="1"/>
  <c r="L1725" i="13" s="1"/>
  <c r="I1726" i="13" s="1"/>
  <c r="K1748" i="14"/>
  <c r="L1748" i="14" s="1"/>
  <c r="I1749" i="14" s="1"/>
  <c r="M1915" i="13"/>
  <c r="N1912" i="14"/>
  <c r="J1911" i="14" a="1"/>
  <c r="J1911" i="14" s="1"/>
  <c r="M1916" i="14"/>
  <c r="J1912" i="13" a="1"/>
  <c r="J1912" i="13" s="1"/>
  <c r="N1913" i="13"/>
  <c r="K1726" i="13" l="1"/>
  <c r="L1726" i="13" s="1"/>
  <c r="I1727" i="13" s="1"/>
  <c r="K1749" i="14"/>
  <c r="L1749" i="14" s="1"/>
  <c r="I1750" i="14" s="1"/>
  <c r="N1914" i="13"/>
  <c r="J1913" i="13" a="1"/>
  <c r="J1913" i="13" s="1"/>
  <c r="M1916" i="13"/>
  <c r="M1917" i="14"/>
  <c r="J1912" i="14" a="1"/>
  <c r="J1912" i="14" s="1"/>
  <c r="N1913" i="14"/>
  <c r="K1727" i="13" l="1"/>
  <c r="L1727" i="13" s="1"/>
  <c r="I1728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K1728" i="13" l="1"/>
  <c r="L1728" i="13" s="1"/>
  <c r="I1729" i="13" s="1"/>
  <c r="M1918" i="13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 l="1"/>
  <c r="L1729" i="13" s="1"/>
  <c r="I1730" i="13" s="1"/>
  <c r="K1752" i="14"/>
  <c r="L1752" i="14" s="1"/>
  <c r="I1753" i="14" s="1"/>
  <c r="J1916" i="13" a="1"/>
  <c r="J1916" i="13" s="1"/>
  <c r="N1917" i="13"/>
  <c r="M1920" i="14"/>
  <c r="N1916" i="14"/>
  <c r="J1915" i="14" a="1"/>
  <c r="J1915" i="14" s="1"/>
  <c r="M1919" i="13"/>
  <c r="K1730" i="13" l="1"/>
  <c r="L1730" i="13" s="1"/>
  <c r="I1731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31" i="13" l="1"/>
  <c r="L1731" i="13" s="1"/>
  <c r="I1732" i="13" s="1"/>
  <c r="K1754" i="14"/>
  <c r="L1754" i="14" s="1"/>
  <c r="I1755" i="14" s="1"/>
  <c r="M1922" i="14"/>
  <c r="M1921" i="13"/>
  <c r="J1917" i="14" a="1"/>
  <c r="J1917" i="14" s="1"/>
  <c r="N1918" i="14"/>
  <c r="J1918" i="13" a="1"/>
  <c r="J1918" i="13" s="1"/>
  <c r="N1919" i="13"/>
  <c r="K1732" i="13" l="1"/>
  <c r="L1732" i="13" s="1"/>
  <c r="I1733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33" i="13" l="1"/>
  <c r="L1733" i="13" s="1"/>
  <c r="I1734" i="13" s="1"/>
  <c r="K1756" i="14"/>
  <c r="L1756" i="14" s="1"/>
  <c r="I1757" i="14" s="1"/>
  <c r="J1920" i="13" a="1"/>
  <c r="J1920" i="13" s="1"/>
  <c r="N1921" i="13"/>
  <c r="N1920" i="14"/>
  <c r="J1919" i="14" a="1"/>
  <c r="J1919" i="14" s="1"/>
  <c r="M1924" i="14"/>
  <c r="M1923" i="13"/>
  <c r="K1734" i="13" l="1"/>
  <c r="L1734" i="13" s="1"/>
  <c r="I1735" i="13" s="1"/>
  <c r="K1757" i="14"/>
  <c r="L1757" i="14" s="1"/>
  <c r="I1758" i="14" s="1"/>
  <c r="M1924" i="13"/>
  <c r="N1922" i="13"/>
  <c r="J1921" i="13" a="1"/>
  <c r="J1921" i="13" s="1"/>
  <c r="J1920" i="14" a="1"/>
  <c r="J1920" i="14" s="1"/>
  <c r="N1921" i="14"/>
  <c r="M1925" i="14"/>
  <c r="K1735" i="13" l="1"/>
  <c r="L1735" i="13" s="1"/>
  <c r="I1736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36" i="13" l="1"/>
  <c r="L1736" i="13" s="1"/>
  <c r="I1737" i="13" s="1"/>
  <c r="K1759" i="14"/>
  <c r="L1759" i="14" s="1"/>
  <c r="I1760" i="14" s="1"/>
  <c r="J1923" i="13" a="1"/>
  <c r="J1923" i="13" s="1"/>
  <c r="N1924" i="13"/>
  <c r="M1926" i="13"/>
  <c r="J1922" i="14" a="1"/>
  <c r="J1922" i="14" s="1"/>
  <c r="N1923" i="14"/>
  <c r="M1927" i="14"/>
  <c r="K1737" i="13" l="1"/>
  <c r="L1737" i="13" s="1"/>
  <c r="I1738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8" i="13" l="1"/>
  <c r="L1738" i="13" s="1"/>
  <c r="I1739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39" i="13" l="1"/>
  <c r="L1739" i="13" s="1"/>
  <c r="I1740" i="13" s="1"/>
  <c r="K1762" i="14"/>
  <c r="L1762" i="14" s="1"/>
  <c r="I1763" i="14" s="1"/>
  <c r="M1929" i="13"/>
  <c r="J1926" i="13" a="1"/>
  <c r="J1926" i="13" s="1"/>
  <c r="N1927" i="13"/>
  <c r="J1925" i="14" a="1"/>
  <c r="J1925" i="14" s="1"/>
  <c r="N1926" i="14"/>
  <c r="M1930" i="14"/>
  <c r="K1740" i="13" l="1"/>
  <c r="L1740" i="13" s="1"/>
  <c r="I1741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41" i="13" l="1"/>
  <c r="L1741" i="13" s="1"/>
  <c r="I1742" i="13" s="1"/>
  <c r="K1764" i="14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 l="1"/>
  <c r="L1742" i="13" s="1"/>
  <c r="I1743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3" i="13" l="1"/>
  <c r="L1743" i="13" s="1"/>
  <c r="I1744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44" i="13" l="1"/>
  <c r="L1744" i="13" s="1"/>
  <c r="I1745" i="13" s="1"/>
  <c r="K1767" i="14"/>
  <c r="L1767" i="14" s="1"/>
  <c r="I1768" i="14" s="1"/>
  <c r="J1931" i="13" a="1"/>
  <c r="J1931" i="13" s="1"/>
  <c r="N1932" i="13"/>
  <c r="M1934" i="13"/>
  <c r="M1935" i="14"/>
  <c r="J1930" i="14" a="1"/>
  <c r="J1930" i="14" s="1"/>
  <c r="N1931" i="14"/>
  <c r="K1745" i="13" l="1"/>
  <c r="L1745" i="13" s="1"/>
  <c r="I1746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6" i="13" l="1"/>
  <c r="L1746" i="13" s="1"/>
  <c r="I1747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7" i="13" l="1"/>
  <c r="L1747" i="13" s="1"/>
  <c r="I1748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8" i="13" l="1"/>
  <c r="L1748" i="13" s="1"/>
  <c r="I1749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49" i="13" l="1"/>
  <c r="L1749" i="13" s="1"/>
  <c r="I1750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0" i="13" l="1"/>
  <c r="L1750" i="13" s="1"/>
  <c r="I1751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51" i="13" l="1"/>
  <c r="L1751" i="13" s="1"/>
  <c r="I1752" i="13" s="1"/>
  <c r="K1774" i="14"/>
  <c r="L1774" i="14" s="1"/>
  <c r="I1775" i="14" s="1"/>
  <c r="J1937" i="14" a="1"/>
  <c r="J1937" i="14" s="1"/>
  <c r="N1938" i="14"/>
  <c r="M1942" i="14"/>
  <c r="M1941" i="13"/>
  <c r="J1938" i="13" a="1"/>
  <c r="J1938" i="13" s="1"/>
  <c r="N1939" i="13"/>
  <c r="K1752" i="13" l="1"/>
  <c r="L1752" i="13" s="1"/>
  <c r="I1753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3" i="13" l="1"/>
  <c r="L1753" i="13" s="1"/>
  <c r="I1754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54" i="13" l="1"/>
  <c r="L1754" i="13" s="1"/>
  <c r="I1755" i="13" s="1"/>
  <c r="K1777" i="14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 l="1"/>
  <c r="L1755" i="13" s="1"/>
  <c r="I1756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6" i="13" l="1"/>
  <c r="L1756" i="13" s="1"/>
  <c r="I1757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57" i="13" l="1"/>
  <c r="L1757" i="13" s="1"/>
  <c r="I1758" i="13" s="1"/>
  <c r="K1780" i="14"/>
  <c r="L1780" i="14" s="1"/>
  <c r="I1781" i="14" s="1"/>
  <c r="N1944" i="14"/>
  <c r="J1943" i="14" a="1"/>
  <c r="J1943" i="14" s="1"/>
  <c r="M1948" i="14"/>
  <c r="M1947" i="13"/>
  <c r="J1944" i="13" a="1"/>
  <c r="J1944" i="13" s="1"/>
  <c r="N1945" i="13"/>
  <c r="K1758" i="13" l="1"/>
  <c r="L1758" i="13" s="1"/>
  <c r="I1759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59" i="13" l="1"/>
  <c r="L1759" i="13" s="1"/>
  <c r="I1760" i="13" s="1"/>
  <c r="K1782" i="14"/>
  <c r="L1782" i="14" s="1"/>
  <c r="I1783" i="14" s="1"/>
  <c r="J1946" i="13" a="1"/>
  <c r="J1946" i="13" s="1"/>
  <c r="N1947" i="13"/>
  <c r="J1945" i="14" a="1"/>
  <c r="J1945" i="14" s="1"/>
  <c r="N1946" i="14"/>
  <c r="M1949" i="13"/>
  <c r="M1950" i="14"/>
  <c r="K1760" i="13" l="1"/>
  <c r="L1760" i="13" s="1"/>
  <c r="I1761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61" i="13" l="1"/>
  <c r="L1761" i="13" s="1"/>
  <c r="I1762" i="13" s="1"/>
  <c r="K1784" i="14"/>
  <c r="L1784" i="14" s="1"/>
  <c r="I1785" i="14" s="1"/>
  <c r="J1948" i="13" a="1"/>
  <c r="J1948" i="13" s="1"/>
  <c r="N1949" i="13"/>
  <c r="N1948" i="14"/>
  <c r="J1947" i="14" a="1"/>
  <c r="J1947" i="14" s="1"/>
  <c r="M1951" i="13"/>
  <c r="M1952" i="14"/>
  <c r="K1762" i="13" l="1"/>
  <c r="L1762" i="13" s="1"/>
  <c r="I1763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3" i="13" l="1"/>
  <c r="L1763" i="13" s="1"/>
  <c r="I1764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64" i="13" l="1"/>
  <c r="L1764" i="13" s="1"/>
  <c r="I1765" i="13" s="1"/>
  <c r="K1787" i="14"/>
  <c r="L1787" i="14" s="1"/>
  <c r="I1788" i="14" s="1"/>
  <c r="J1950" i="14" a="1"/>
  <c r="J1950" i="14" s="1"/>
  <c r="N1951" i="14"/>
  <c r="M1955" i="14"/>
  <c r="M1954" i="13"/>
  <c r="J1951" i="13" a="1"/>
  <c r="J1951" i="13" s="1"/>
  <c r="N1952" i="13"/>
  <c r="K1765" i="13" l="1"/>
  <c r="L1765" i="13" s="1"/>
  <c r="I1766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6" i="13" l="1"/>
  <c r="L1766" i="13" s="1"/>
  <c r="I1767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67" i="13" l="1"/>
  <c r="L1767" i="13" s="1"/>
  <c r="I1768" i="13" s="1"/>
  <c r="K1790" i="14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 l="1"/>
  <c r="L1768" i="13" s="1"/>
  <c r="I1769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69" i="13" l="1"/>
  <c r="L1769" i="13" s="1"/>
  <c r="I1770" i="13" s="1"/>
  <c r="K1792" i="14"/>
  <c r="L1792" i="14" s="1"/>
  <c r="I1793" i="14" s="1"/>
  <c r="M1959" i="13"/>
  <c r="J1956" i="13" a="1"/>
  <c r="J1956" i="13" s="1"/>
  <c r="N1957" i="13"/>
  <c r="N1956" i="14"/>
  <c r="J1955" i="14" a="1"/>
  <c r="J1955" i="14" s="1"/>
  <c r="M1960" i="14"/>
  <c r="K1770" i="13" l="1"/>
  <c r="L1770" i="13" s="1"/>
  <c r="I1771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71" i="13" l="1"/>
  <c r="L1771" i="13" s="1"/>
  <c r="I1772" i="13" s="1"/>
  <c r="K1794" i="14"/>
  <c r="L1794" i="14" s="1"/>
  <c r="I1795" i="14" s="1"/>
  <c r="M1961" i="13"/>
  <c r="M1962" i="14"/>
  <c r="J1957" i="14" a="1"/>
  <c r="J1957" i="14" s="1"/>
  <c r="N1958" i="14"/>
  <c r="J1958" i="13" a="1"/>
  <c r="J1958" i="13" s="1"/>
  <c r="N1959" i="13"/>
  <c r="K1772" i="13" l="1"/>
  <c r="L1772" i="13" s="1"/>
  <c r="I1773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3" i="13" l="1"/>
  <c r="L1773" i="13" s="1"/>
  <c r="I1774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74" i="13" l="1"/>
  <c r="L1774" i="13" s="1"/>
  <c r="I1775" i="13" s="1"/>
  <c r="K1797" i="14"/>
  <c r="L1797" i="14" s="1"/>
  <c r="I1798" i="14" s="1"/>
  <c r="M1965" i="14"/>
  <c r="J1960" i="14" a="1"/>
  <c r="J1960" i="14" s="1"/>
  <c r="N1961" i="14"/>
  <c r="N1962" i="13"/>
  <c r="J1961" i="13" a="1"/>
  <c r="J1961" i="13" s="1"/>
  <c r="M1964" i="13"/>
  <c r="K1775" i="13" l="1"/>
  <c r="L1775" i="13" s="1"/>
  <c r="I1776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76" i="13" l="1"/>
  <c r="L1776" i="13" s="1"/>
  <c r="I1777" i="13" s="1"/>
  <c r="K1799" i="14"/>
  <c r="L1799" i="14" s="1"/>
  <c r="I1800" i="14" s="1"/>
  <c r="M1967" i="14"/>
  <c r="M1966" i="13"/>
  <c r="J1962" i="14" a="1"/>
  <c r="J1962" i="14" s="1"/>
  <c r="N1963" i="14"/>
  <c r="J1963" i="13" a="1"/>
  <c r="J1963" i="13" s="1"/>
  <c r="N1964" i="13"/>
  <c r="K1777" i="13" l="1"/>
  <c r="L1777" i="13" s="1"/>
  <c r="I1778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778" i="13" l="1"/>
  <c r="L1778" i="13" s="1"/>
  <c r="I1779" i="13" s="1"/>
  <c r="K1801" i="14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 l="1"/>
  <c r="L1779" i="13" s="1"/>
  <c r="I1780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780" i="13" l="1"/>
  <c r="L1780" i="13" s="1"/>
  <c r="I1781" i="13" s="1"/>
  <c r="K1803" i="14"/>
  <c r="L1803" i="14" s="1"/>
  <c r="I1804" i="14" s="1"/>
  <c r="M1970" i="13"/>
  <c r="M1971" i="14"/>
  <c r="J1967" i="13" a="1"/>
  <c r="J1967" i="13" s="1"/>
  <c r="N1968" i="13"/>
  <c r="J1966" i="14" a="1"/>
  <c r="J1966" i="14" s="1"/>
  <c r="N1967" i="14"/>
  <c r="K1781" i="13" l="1"/>
  <c r="L1781" i="13" s="1"/>
  <c r="I1782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2" i="13" l="1"/>
  <c r="L1782" i="13" s="1"/>
  <c r="I1783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783" i="13" l="1"/>
  <c r="L1783" i="13" s="1"/>
  <c r="I1784" i="13" s="1"/>
  <c r="K1806" i="14"/>
  <c r="L1806" i="14" s="1"/>
  <c r="I1807" i="14" s="1"/>
  <c r="M1973" i="13"/>
  <c r="J1969" i="14" a="1"/>
  <c r="J1969" i="14" s="1"/>
  <c r="N1970" i="14"/>
  <c r="J1970" i="13" a="1"/>
  <c r="J1970" i="13" s="1"/>
  <c r="N1971" i="13"/>
  <c r="M1974" i="14"/>
  <c r="K1784" i="13" l="1"/>
  <c r="L1784" i="13" s="1"/>
  <c r="I1785" i="13" s="1"/>
  <c r="K1807" i="14"/>
  <c r="L1807" i="14" s="1"/>
  <c r="I1808" i="14" s="1"/>
  <c r="J1970" i="14" a="1"/>
  <c r="J1970" i="14" s="1"/>
  <c r="N1971" i="14"/>
  <c r="M1975" i="14"/>
  <c r="J1971" i="13" a="1"/>
  <c r="J1971" i="13" s="1"/>
  <c r="N1972" i="13"/>
  <c r="M1974" i="13"/>
  <c r="K1785" i="13" l="1"/>
  <c r="L1785" i="13" s="1"/>
  <c r="I1786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786" i="13" l="1"/>
  <c r="L1786" i="13" s="1"/>
  <c r="I1787" i="13" s="1"/>
  <c r="K1809" i="14"/>
  <c r="L1809" i="14" s="1"/>
  <c r="I1810" i="14" s="1"/>
  <c r="N1974" i="13"/>
  <c r="J1973" i="13" a="1"/>
  <c r="J1973" i="13" s="1"/>
  <c r="M1977" i="14"/>
  <c r="M1976" i="13"/>
  <c r="J1972" i="14" a="1"/>
  <c r="J1972" i="14" s="1"/>
  <c r="N1973" i="14"/>
  <c r="K1787" i="13" l="1"/>
  <c r="L1787" i="13" s="1"/>
  <c r="I1788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8" i="13" l="1"/>
  <c r="L1788" i="13" s="1"/>
  <c r="I1789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89" i="13" l="1"/>
  <c r="L1789" i="13" s="1"/>
  <c r="I1790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0" i="13" l="1"/>
  <c r="L1790" i="13" s="1"/>
  <c r="I1791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791" i="13" l="1"/>
  <c r="L1791" i="13" s="1"/>
  <c r="I1792" i="13" s="1"/>
  <c r="K1814" i="14"/>
  <c r="L1814" i="14" s="1"/>
  <c r="I1815" i="14" s="1"/>
  <c r="J1977" i="14" a="1"/>
  <c r="J1977" i="14" s="1"/>
  <c r="N1978" i="14"/>
  <c r="M1981" i="13"/>
  <c r="J1978" i="13" a="1"/>
  <c r="J1978" i="13" s="1"/>
  <c r="N1979" i="13"/>
  <c r="M1982" i="14"/>
  <c r="K1792" i="13" l="1"/>
  <c r="L1792" i="13" s="1"/>
  <c r="I1793" i="13" s="1"/>
  <c r="K1815" i="14"/>
  <c r="L1815" i="14" s="1"/>
  <c r="I1816" i="14" s="1"/>
  <c r="J1979" i="13" a="1"/>
  <c r="J1979" i="13" s="1"/>
  <c r="N1980" i="13"/>
  <c r="J1978" i="14" a="1"/>
  <c r="J1978" i="14" s="1"/>
  <c r="N1979" i="14"/>
  <c r="M1983" i="14"/>
  <c r="M1982" i="13"/>
  <c r="K1793" i="13" l="1"/>
  <c r="L1793" i="13" s="1"/>
  <c r="I1794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4" i="13" l="1"/>
  <c r="L1794" i="13" s="1"/>
  <c r="I1795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5" i="13" l="1"/>
  <c r="L1795" i="13" s="1"/>
  <c r="I1796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796" i="13" l="1"/>
  <c r="L1796" i="13" s="1"/>
  <c r="I1797" i="13" s="1"/>
  <c r="K1819" i="14"/>
  <c r="L1819" i="14" s="1"/>
  <c r="I1820" i="14" s="1"/>
  <c r="J1982" i="14" a="1"/>
  <c r="J1982" i="14" s="1"/>
  <c r="N1983" i="14"/>
  <c r="J1983" i="13" a="1"/>
  <c r="J1983" i="13" s="1"/>
  <c r="N1984" i="13"/>
  <c r="M1986" i="13"/>
  <c r="M1987" i="14"/>
  <c r="K1797" i="13" l="1"/>
  <c r="L1797" i="13" s="1"/>
  <c r="I1798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798" i="13" l="1"/>
  <c r="L1798" i="13" s="1"/>
  <c r="I1799" i="13" s="1"/>
  <c r="K1821" i="14"/>
  <c r="L1821" i="14" s="1"/>
  <c r="I1822" i="14" s="1"/>
  <c r="M1988" i="13"/>
  <c r="M1989" i="14"/>
  <c r="N1986" i="13"/>
  <c r="J1985" i="13" a="1"/>
  <c r="J1985" i="13" s="1"/>
  <c r="J1984" i="14" a="1"/>
  <c r="J1984" i="14" s="1"/>
  <c r="N1985" i="14"/>
  <c r="K1799" i="13" l="1"/>
  <c r="L1799" i="13" s="1"/>
  <c r="I1800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00" i="13" l="1"/>
  <c r="L1800" i="13" s="1"/>
  <c r="I1801" i="13" s="1"/>
  <c r="K1823" i="14"/>
  <c r="L1823" i="14" s="1"/>
  <c r="I1824" i="14" s="1"/>
  <c r="J1986" i="14" a="1"/>
  <c r="J1986" i="14" s="1"/>
  <c r="N1987" i="14"/>
  <c r="J1987" i="13" a="1"/>
  <c r="J1987" i="13" s="1"/>
  <c r="N1988" i="13"/>
  <c r="M1991" i="14"/>
  <c r="M1990" i="13"/>
  <c r="K1801" i="13" l="1"/>
  <c r="L1801" i="13" s="1"/>
  <c r="I1802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02" i="13" l="1"/>
  <c r="L1802" i="13" s="1"/>
  <c r="I1803" i="13" s="1"/>
  <c r="K1825" i="14"/>
  <c r="L1825" i="14" s="1"/>
  <c r="I1826" i="14" s="1"/>
  <c r="N1990" i="13"/>
  <c r="J1989" i="13" a="1"/>
  <c r="J1989" i="13" s="1"/>
  <c r="J1988" i="14" a="1"/>
  <c r="J1988" i="14" s="1"/>
  <c r="N1989" i="14"/>
  <c r="M1992" i="13"/>
  <c r="M1993" i="14"/>
  <c r="K1803" i="13" l="1"/>
  <c r="L1803" i="13" s="1"/>
  <c r="I1804" i="13" s="1"/>
  <c r="K1826" i="14"/>
  <c r="L1826" i="14" s="1"/>
  <c r="I1827" i="14" s="1"/>
  <c r="M1993" i="13"/>
  <c r="J1989" i="14" a="1"/>
  <c r="J1989" i="14" s="1"/>
  <c r="N1990" i="14"/>
  <c r="M1994" i="14"/>
  <c r="J1990" i="13" a="1"/>
  <c r="J1990" i="13" s="1"/>
  <c r="N1991" i="13"/>
  <c r="K1804" i="13" l="1"/>
  <c r="L1804" i="13" s="1"/>
  <c r="I1805" i="13" s="1"/>
  <c r="K1827" i="14"/>
  <c r="L1827" i="14" s="1"/>
  <c r="I1828" i="14" s="1"/>
  <c r="J1991" i="13" a="1"/>
  <c r="J1991" i="13" s="1"/>
  <c r="N1992" i="13"/>
  <c r="J1990" i="14" a="1"/>
  <c r="J1990" i="14" s="1"/>
  <c r="N1991" i="14"/>
  <c r="M1995" i="14"/>
  <c r="M1994" i="13"/>
  <c r="K1805" i="13" l="1"/>
  <c r="L1805" i="13" s="1"/>
  <c r="I1806" i="13" s="1"/>
  <c r="K1828" i="14"/>
  <c r="L1828" i="14" s="1"/>
  <c r="I1829" i="14" s="1"/>
  <c r="N1992" i="14"/>
  <c r="J1991" i="14" a="1"/>
  <c r="J1991" i="14" s="1"/>
  <c r="M1996" i="14"/>
  <c r="M1995" i="13"/>
  <c r="J1992" i="13" a="1"/>
  <c r="J1992" i="13" s="1"/>
  <c r="N1993" i="13"/>
  <c r="K1806" i="13" l="1"/>
  <c r="L1806" i="13" s="1"/>
  <c r="I1807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07" i="13" l="1"/>
  <c r="L1807" i="13" s="1"/>
  <c r="I1808" i="13" s="1"/>
  <c r="K1830" i="14"/>
  <c r="L1830" i="14" s="1"/>
  <c r="I1831" i="14" s="1"/>
  <c r="J1993" i="14" a="1"/>
  <c r="J1993" i="14" s="1"/>
  <c r="N1994" i="14"/>
  <c r="M1997" i="13"/>
  <c r="M1998" i="14"/>
  <c r="J1994" i="13" a="1"/>
  <c r="J1994" i="13" s="1"/>
  <c r="N1995" i="13"/>
  <c r="K1808" i="13" l="1"/>
  <c r="L1808" i="13" s="1"/>
  <c r="I1809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09" i="13" l="1"/>
  <c r="L1809" i="13" s="1"/>
  <c r="I1810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10" i="13" l="1"/>
  <c r="L1810" i="13" s="1"/>
  <c r="I1811" i="13" s="1"/>
  <c r="K1833" i="14"/>
  <c r="L1833" i="14" s="1"/>
  <c r="I1834" i="14" s="1"/>
  <c r="N1998" i="13"/>
  <c r="J1997" i="13" a="1"/>
  <c r="J1997" i="13" s="1"/>
  <c r="M2001" i="14"/>
  <c r="J1996" i="14" a="1"/>
  <c r="J1996" i="14" s="1"/>
  <c r="N1997" i="14"/>
  <c r="M2000" i="13"/>
  <c r="K1811" i="13" l="1"/>
  <c r="L1811" i="13" s="1"/>
  <c r="I1812" i="13" s="1"/>
  <c r="K1834" i="14"/>
  <c r="L1834" i="14" s="1"/>
  <c r="I1835" i="14" s="1"/>
  <c r="J1997" i="14" a="1"/>
  <c r="J1997" i="14" s="1"/>
  <c r="N1998" i="14"/>
  <c r="M2001" i="13"/>
  <c r="M2002" i="14"/>
  <c r="J1998" i="13" a="1"/>
  <c r="J1998" i="13" s="1"/>
  <c r="N1999" i="13"/>
  <c r="K1812" i="13" l="1"/>
  <c r="L1812" i="13" s="1"/>
  <c r="I1813" i="13" s="1"/>
  <c r="K1835" i="14"/>
  <c r="L1835" i="14" s="1"/>
  <c r="I1836" i="14" s="1"/>
  <c r="J1999" i="13" a="1"/>
  <c r="J1999" i="13" s="1"/>
  <c r="N2000" i="13"/>
  <c r="J1998" i="14" a="1"/>
  <c r="J1998" i="14" s="1"/>
  <c r="N1999" i="14"/>
  <c r="M2002" i="13"/>
  <c r="M2003" i="14"/>
  <c r="K1813" i="13" l="1"/>
  <c r="L1813" i="13" s="1"/>
  <c r="I1814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14" i="13" l="1"/>
  <c r="L1814" i="13" s="1"/>
  <c r="I1815" i="13" s="1"/>
  <c r="K1837" i="14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 l="1"/>
  <c r="L1815" i="13" s="1"/>
  <c r="I1816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16" i="13" l="1"/>
  <c r="L1816" i="13" s="1"/>
  <c r="I1817" i="13" s="1"/>
  <c r="K1839" i="14"/>
  <c r="L1839" i="14" s="1"/>
  <c r="I1840" i="14" s="1"/>
  <c r="J2002" i="14" a="1"/>
  <c r="J2002" i="14" s="1"/>
  <c r="N2003" i="14"/>
  <c r="J2003" i="13" a="1"/>
  <c r="J2003" i="13" s="1"/>
  <c r="N2004" i="13"/>
  <c r="M2007" i="14"/>
  <c r="M2006" i="13"/>
  <c r="K1817" i="13" l="1"/>
  <c r="L1817" i="13" s="1"/>
  <c r="I1818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18" i="13" l="1"/>
  <c r="L1818" i="13" s="1"/>
  <c r="I1819" i="13" s="1"/>
  <c r="K1841" i="14"/>
  <c r="L1841" i="14" s="1"/>
  <c r="I1842" i="14" s="1"/>
  <c r="N2006" i="13"/>
  <c r="J2005" i="13" a="1"/>
  <c r="J2005" i="13" s="1"/>
  <c r="M2008" i="13"/>
  <c r="J2004" i="14" a="1"/>
  <c r="J2004" i="14" s="1"/>
  <c r="N2005" i="14"/>
  <c r="M2009" i="14"/>
  <c r="K1819" i="13" l="1"/>
  <c r="L1819" i="13" s="1"/>
  <c r="I1820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20" i="13" l="1"/>
  <c r="L1820" i="13" s="1"/>
  <c r="I1821" i="13" s="1"/>
  <c r="K1843" i="14"/>
  <c r="L1843" i="14" s="1"/>
  <c r="I1844" i="14" s="1"/>
  <c r="M2011" i="14"/>
  <c r="J2007" i="13" a="1"/>
  <c r="J2007" i="13" s="1"/>
  <c r="N2008" i="13"/>
  <c r="J2006" i="14" a="1"/>
  <c r="J2006" i="14" s="1"/>
  <c r="N2007" i="14"/>
  <c r="M2010" i="13"/>
  <c r="K1821" i="13" l="1"/>
  <c r="L1821" i="13" s="1"/>
  <c r="I1822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22" i="13" l="1"/>
  <c r="L1822" i="13" s="1"/>
  <c r="I1823" i="13" s="1"/>
  <c r="K1845" i="14"/>
  <c r="L1845" i="14" s="1"/>
  <c r="I1846" i="14" s="1"/>
  <c r="M2012" i="13"/>
  <c r="M2013" i="14"/>
  <c r="J2008" i="14" a="1"/>
  <c r="J2008" i="14" s="1"/>
  <c r="N2009" i="14"/>
  <c r="N2010" i="13"/>
  <c r="J2009" i="13" a="1"/>
  <c r="J2009" i="13" s="1"/>
  <c r="K1823" i="13" l="1"/>
  <c r="L1823" i="13" s="1"/>
  <c r="I1824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24" i="13" l="1"/>
  <c r="L1824" i="13" s="1"/>
  <c r="I1825" i="13" s="1"/>
  <c r="K1847" i="14"/>
  <c r="L1847" i="14" s="1"/>
  <c r="I1848" i="14" s="1"/>
  <c r="J2010" i="14" a="1"/>
  <c r="J2010" i="14" s="1"/>
  <c r="N2011" i="14"/>
  <c r="M2015" i="14"/>
  <c r="M2014" i="13"/>
  <c r="J2011" i="13" a="1"/>
  <c r="J2011" i="13" s="1"/>
  <c r="N2012" i="13"/>
  <c r="K1825" i="13" l="1"/>
  <c r="L1825" i="13" s="1"/>
  <c r="I1826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26" i="13" l="1"/>
  <c r="L1826" i="13" s="1"/>
  <c r="I1827" i="13" s="1"/>
  <c r="K1849" i="14"/>
  <c r="L1849" i="14" s="1"/>
  <c r="I1850" i="14" s="1"/>
  <c r="M2016" i="13"/>
  <c r="M2017" i="14"/>
  <c r="N2014" i="13"/>
  <c r="J2013" i="13" a="1"/>
  <c r="J2013" i="13" s="1"/>
  <c r="J2012" i="14" a="1"/>
  <c r="J2012" i="14" s="1"/>
  <c r="N2013" i="14"/>
  <c r="K1827" i="13" l="1"/>
  <c r="L1827" i="13" s="1"/>
  <c r="I1828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28" i="13" l="1"/>
  <c r="L1828" i="13" s="1"/>
  <c r="I1829" i="13" s="1"/>
  <c r="K1851" i="14"/>
  <c r="L1851" i="14" s="1"/>
  <c r="I1852" i="14" s="1"/>
  <c r="J2015" i="13" a="1"/>
  <c r="J2015" i="13" s="1"/>
  <c r="N2016" i="13"/>
  <c r="M2018" i="13"/>
  <c r="J2014" i="14" a="1"/>
  <c r="J2014" i="14" s="1"/>
  <c r="N2015" i="14"/>
  <c r="M2019" i="14"/>
  <c r="K1829" i="13" l="1"/>
  <c r="L1829" i="13" s="1"/>
  <c r="I1830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30" i="13" l="1"/>
  <c r="L1830" i="13" s="1"/>
  <c r="I1831" i="13" s="1"/>
  <c r="K1853" i="14"/>
  <c r="L1853" i="14" s="1"/>
  <c r="I1854" i="14" s="1"/>
  <c r="M2021" i="14"/>
  <c r="N2018" i="13"/>
  <c r="J2017" i="13" a="1"/>
  <c r="J2017" i="13" s="1"/>
  <c r="M2020" i="13"/>
  <c r="J2016" i="14" a="1"/>
  <c r="J2016" i="14" s="1"/>
  <c r="N2017" i="14"/>
  <c r="K1831" i="13" l="1"/>
  <c r="L1831" i="13" s="1"/>
  <c r="I1832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32" i="13" l="1"/>
  <c r="L1832" i="13" s="1"/>
  <c r="I1833" i="13" s="1"/>
  <c r="K1855" i="14"/>
  <c r="L1855" i="14" s="1"/>
  <c r="I1856" i="14" s="1"/>
  <c r="M2023" i="14"/>
  <c r="J2019" i="13" a="1"/>
  <c r="J2019" i="13" s="1"/>
  <c r="N2020" i="13"/>
  <c r="M2022" i="13"/>
  <c r="J2018" i="14" a="1"/>
  <c r="J2018" i="14" s="1"/>
  <c r="N2019" i="14"/>
  <c r="K1833" i="13" l="1"/>
  <c r="L1833" i="13" s="1"/>
  <c r="I1834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34" i="13" l="1"/>
  <c r="L1834" i="13" s="1"/>
  <c r="I1835" i="13" s="1"/>
  <c r="K1857" i="14"/>
  <c r="L1857" i="14" s="1"/>
  <c r="I1858" i="14" s="1"/>
  <c r="J2020" i="14" a="1"/>
  <c r="J2020" i="14" s="1"/>
  <c r="N2021" i="14"/>
  <c r="N2022" i="13"/>
  <c r="J2021" i="13" a="1"/>
  <c r="J2021" i="13" s="1"/>
  <c r="M2025" i="14"/>
  <c r="M2024" i="13"/>
  <c r="K1835" i="13" l="1"/>
  <c r="L1835" i="13" s="1"/>
  <c r="I1836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36" i="13" l="1"/>
  <c r="L1836" i="13" s="1"/>
  <c r="I1837" i="13" s="1"/>
  <c r="K1859" i="14"/>
  <c r="L1859" i="14" s="1"/>
  <c r="I1860" i="14" s="1"/>
  <c r="J2023" i="13" a="1"/>
  <c r="J2023" i="13" s="1"/>
  <c r="N2024" i="13"/>
  <c r="J2022" i="14" a="1"/>
  <c r="J2022" i="14" s="1"/>
  <c r="N2023" i="14"/>
  <c r="M2027" i="14"/>
  <c r="M2026" i="13"/>
  <c r="K1837" i="13" l="1"/>
  <c r="L1837" i="13" s="1"/>
  <c r="I1838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38" i="13" l="1"/>
  <c r="L1838" i="13" s="1"/>
  <c r="I1839" i="13" s="1"/>
  <c r="K1861" i="14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 l="1"/>
  <c r="L1839" i="13" s="1"/>
  <c r="I1840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40" i="13" l="1"/>
  <c r="L1840" i="13" s="1"/>
  <c r="I1841" i="13" s="1"/>
  <c r="K1863" i="14"/>
  <c r="L1863" i="14" s="1"/>
  <c r="I1864" i="14" s="1"/>
  <c r="J2027" i="13" a="1"/>
  <c r="J2027" i="13" s="1"/>
  <c r="N2028" i="13"/>
  <c r="M2031" i="14"/>
  <c r="J2026" i="14" a="1"/>
  <c r="J2026" i="14" s="1"/>
  <c r="N2027" i="14"/>
  <c r="M2030" i="13"/>
  <c r="K1841" i="13" l="1"/>
  <c r="L1841" i="13" s="1"/>
  <c r="I1842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2" i="13" l="1"/>
  <c r="L1842" i="13" s="1"/>
  <c r="I1843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43" i="13" l="1"/>
  <c r="L1843" i="13" s="1"/>
  <c r="I1844" i="13" s="1"/>
  <c r="K1866" i="14"/>
  <c r="L1866" i="14" s="1"/>
  <c r="I1867" i="14" s="1"/>
  <c r="M2033" i="13"/>
  <c r="M2034" i="14"/>
  <c r="J2029" i="14" a="1"/>
  <c r="J2029" i="14" s="1"/>
  <c r="N2030" i="14"/>
  <c r="J2030" i="13" a="1"/>
  <c r="J2030" i="13" s="1"/>
  <c r="N2031" i="13"/>
  <c r="K1844" i="13" l="1"/>
  <c r="L1844" i="13" s="1"/>
  <c r="I1845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45" i="13" l="1"/>
  <c r="L1845" i="13" s="1"/>
  <c r="I1846" i="13" s="1"/>
  <c r="K1868" i="14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 l="1"/>
  <c r="L1846" i="13" s="1"/>
  <c r="I1847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47" i="13" l="1"/>
  <c r="L1847" i="13" s="1"/>
  <c r="I1848" i="13" s="1"/>
  <c r="K1870" i="14"/>
  <c r="L1870" i="14" s="1"/>
  <c r="I1871" i="14" s="1"/>
  <c r="J2033" i="14" a="1"/>
  <c r="J2033" i="14" s="1"/>
  <c r="N2034" i="14"/>
  <c r="M2037" i="13"/>
  <c r="M2038" i="14"/>
  <c r="J2034" i="13" a="1"/>
  <c r="J2034" i="13" s="1"/>
  <c r="N2035" i="13"/>
  <c r="K1848" i="13" l="1"/>
  <c r="L1848" i="13" s="1"/>
  <c r="I1849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49" i="13" l="1"/>
  <c r="L1849" i="13" s="1"/>
  <c r="I1850" i="13" s="1"/>
  <c r="K1872" i="14"/>
  <c r="L1872" i="14" s="1"/>
  <c r="I1873" i="14" s="1"/>
  <c r="J2036" i="13" a="1"/>
  <c r="J2036" i="13" s="1"/>
  <c r="N2037" i="13"/>
  <c r="N2036" i="14"/>
  <c r="J2035" i="14" a="1"/>
  <c r="J2035" i="14" s="1"/>
  <c r="M2040" i="14"/>
  <c r="M2039" i="13"/>
  <c r="K1850" i="13" l="1"/>
  <c r="L1850" i="13" s="1"/>
  <c r="I1851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51" i="13" l="1"/>
  <c r="L1851" i="13" s="1"/>
  <c r="I1852" i="13" s="1"/>
  <c r="K1874" i="14"/>
  <c r="L1874" i="14" s="1"/>
  <c r="I1875" i="14" s="1"/>
  <c r="J2037" i="14" a="1"/>
  <c r="J2037" i="14" s="1"/>
  <c r="N2038" i="14"/>
  <c r="M2042" i="14"/>
  <c r="M2041" i="13"/>
  <c r="J2038" i="13" a="1"/>
  <c r="J2038" i="13" s="1"/>
  <c r="N2039" i="13"/>
  <c r="K1852" i="13" l="1"/>
  <c r="L1852" i="13" s="1"/>
  <c r="I1853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53" i="13" l="1"/>
  <c r="L1853" i="13" s="1"/>
  <c r="I1854" i="13" s="1"/>
  <c r="K1876" i="14"/>
  <c r="L1876" i="14" s="1"/>
  <c r="I1877" i="14" s="1"/>
  <c r="N2040" i="14"/>
  <c r="J2039" i="14" a="1"/>
  <c r="J2039" i="14" s="1"/>
  <c r="J2040" i="13" a="1"/>
  <c r="J2040" i="13" s="1"/>
  <c r="N2041" i="13"/>
  <c r="M2043" i="13"/>
  <c r="M2044" i="14"/>
  <c r="K1854" i="13" l="1"/>
  <c r="L1854" i="13" s="1"/>
  <c r="I1855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55" i="13" l="1"/>
  <c r="L1855" i="13" s="1"/>
  <c r="I1856" i="13" s="1"/>
  <c r="K1878" i="14"/>
  <c r="L1878" i="14" s="1"/>
  <c r="I1879" i="14" s="1"/>
  <c r="J2041" i="14" a="1"/>
  <c r="J2041" i="14" s="1"/>
  <c r="N2042" i="14"/>
  <c r="M2046" i="14"/>
  <c r="M2045" i="13"/>
  <c r="J2042" i="13" a="1"/>
  <c r="J2042" i="13" s="1"/>
  <c r="N2043" i="13"/>
  <c r="K1856" i="13" l="1"/>
  <c r="L1856" i="13" s="1"/>
  <c r="I1857" i="13" s="1"/>
  <c r="K1879" i="14"/>
  <c r="L1879" i="14" s="1"/>
  <c r="I1880" i="14" s="1"/>
  <c r="M2046" i="13"/>
  <c r="J2043" i="13" a="1"/>
  <c r="J2043" i="13" s="1"/>
  <c r="N2044" i="13"/>
  <c r="M2047" i="14"/>
  <c r="J2042" i="14" a="1"/>
  <c r="J2042" i="14" s="1"/>
  <c r="N2043" i="14"/>
  <c r="K1857" i="13" l="1"/>
  <c r="L1857" i="13" s="1"/>
  <c r="I1858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58" i="13" l="1"/>
  <c r="L1858" i="13" s="1"/>
  <c r="I1859" i="13" s="1"/>
  <c r="K1881" i="14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 l="1"/>
  <c r="L1859" i="13" s="1"/>
  <c r="I1860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60" i="13" l="1"/>
  <c r="L1860" i="13" s="1"/>
  <c r="I1861" i="13" s="1"/>
  <c r="K1883" i="14"/>
  <c r="L1883" i="14" s="1"/>
  <c r="I1884" i="14" s="1"/>
  <c r="M2051" i="14"/>
  <c r="M2050" i="13"/>
  <c r="J2047" i="13" a="1"/>
  <c r="J2047" i="13" s="1"/>
  <c r="N2048" i="13"/>
  <c r="J2046" i="14" a="1"/>
  <c r="J2046" i="14" s="1"/>
  <c r="N2047" i="14"/>
  <c r="K1861" i="13" l="1"/>
  <c r="L1861" i="13" s="1"/>
  <c r="I1862" i="13" s="1"/>
  <c r="K1884" i="14"/>
  <c r="L1884" i="14" s="1"/>
  <c r="I1885" i="14" s="1"/>
  <c r="N2048" i="14"/>
  <c r="J2047" i="14" a="1"/>
  <c r="J2047" i="14" s="1"/>
  <c r="M2051" i="13"/>
  <c r="J2048" i="13" a="1"/>
  <c r="J2048" i="13" s="1"/>
  <c r="N2049" i="13"/>
  <c r="M2052" i="14"/>
  <c r="K1862" i="13" l="1"/>
  <c r="L1862" i="13" s="1"/>
  <c r="I1863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63" i="13" l="1"/>
  <c r="L1863" i="13" s="1"/>
  <c r="I1864" i="13" s="1"/>
  <c r="K1886" i="14"/>
  <c r="L1886" i="14" s="1"/>
  <c r="I1887" i="14" s="1"/>
  <c r="J2049" i="14" a="1"/>
  <c r="J2049" i="14" s="1"/>
  <c r="N2050" i="14"/>
  <c r="M2054" i="14"/>
  <c r="M2053" i="13"/>
  <c r="J2050" i="13" a="1"/>
  <c r="J2050" i="13" s="1"/>
  <c r="N2051" i="13"/>
  <c r="K1864" i="13" l="1"/>
  <c r="L1864" i="13" s="1"/>
  <c r="I1865" i="13" s="1"/>
  <c r="K1887" i="14"/>
  <c r="L1887" i="14" s="1"/>
  <c r="I1888" i="14" s="1"/>
  <c r="M2054" i="13"/>
  <c r="M2055" i="14"/>
  <c r="J2051" i="13" a="1"/>
  <c r="J2051" i="13" s="1"/>
  <c r="N2052" i="13"/>
  <c r="J2050" i="14" a="1"/>
  <c r="J2050" i="14" s="1"/>
  <c r="N2051" i="14"/>
  <c r="K1865" i="13" l="1"/>
  <c r="L1865" i="13" s="1"/>
  <c r="I1866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66" i="13" l="1"/>
  <c r="L1866" i="13" s="1"/>
  <c r="I1867" i="13" s="1"/>
  <c r="K1889" i="14"/>
  <c r="L1889" i="14" s="1"/>
  <c r="I1890" i="14" s="1"/>
  <c r="N2054" i="13"/>
  <c r="J2053" i="13" a="1"/>
  <c r="J2053" i="13" s="1"/>
  <c r="J2052" i="14" a="1"/>
  <c r="J2052" i="14" s="1"/>
  <c r="N2053" i="14"/>
  <c r="M2056" i="13"/>
  <c r="M2057" i="14"/>
  <c r="K1867" i="13" l="1"/>
  <c r="L1867" i="13" s="1"/>
  <c r="I1868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8" i="13" l="1"/>
  <c r="L1868" i="13" s="1"/>
  <c r="I1869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69" i="13" l="1"/>
  <c r="L1869" i="13" s="1"/>
  <c r="I1870" i="13" s="1"/>
  <c r="K1892" i="14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 l="1"/>
  <c r="L1870" i="13" s="1"/>
  <c r="I1871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1" i="13" l="1"/>
  <c r="L1871" i="13" s="1"/>
  <c r="I1872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72" i="13" l="1"/>
  <c r="L1872" i="13" s="1"/>
  <c r="I1873" i="13" s="1"/>
  <c r="K1895" i="14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 l="1"/>
  <c r="L1873" i="13" s="1"/>
  <c r="I1874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4" i="13" l="1"/>
  <c r="L1874" i="13" s="1"/>
  <c r="I1875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75" i="13" l="1"/>
  <c r="L1875" i="13" s="1"/>
  <c r="I1876" i="13" s="1"/>
  <c r="K1898" i="14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 l="1"/>
  <c r="L1876" i="13" s="1"/>
  <c r="I1877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877" i="13" l="1"/>
  <c r="L1877" i="13" s="1"/>
  <c r="I1878" i="13" s="1"/>
  <c r="K1900" i="14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 l="1"/>
  <c r="L1878" i="13" s="1"/>
  <c r="I1879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879" i="13" l="1"/>
  <c r="L1879" i="13" s="1"/>
  <c r="I1880" i="13" s="1"/>
  <c r="K1902" i="14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 l="1"/>
  <c r="L1880" i="13" s="1"/>
  <c r="I1881" i="13" s="1"/>
  <c r="K1903" i="14"/>
  <c r="L1903" i="14" s="1"/>
  <c r="I1904" i="14" s="1"/>
  <c r="J2066" i="14" a="1"/>
  <c r="J2066" i="14" s="1"/>
  <c r="N2067" i="14"/>
  <c r="M2070" i="13"/>
  <c r="M2071" i="14"/>
  <c r="J2067" i="13" a="1"/>
  <c r="J2067" i="13" s="1"/>
  <c r="N2068" i="13"/>
  <c r="K1881" i="13" l="1"/>
  <c r="L1881" i="13" s="1"/>
  <c r="I1882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882" i="13" l="1"/>
  <c r="L1882" i="13" s="1"/>
  <c r="I1883" i="13" s="1"/>
  <c r="K1905" i="14"/>
  <c r="L1905" i="14" s="1"/>
  <c r="I1906" i="14" s="1"/>
  <c r="M2072" i="13"/>
  <c r="N2070" i="13"/>
  <c r="J2069" i="13" a="1"/>
  <c r="J2069" i="13" s="1"/>
  <c r="J2068" i="14" a="1"/>
  <c r="J2068" i="14" s="1"/>
  <c r="N2069" i="14"/>
  <c r="M2073" i="14"/>
  <c r="K1883" i="13" l="1"/>
  <c r="L1883" i="13" s="1"/>
  <c r="I1884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4" i="13" l="1"/>
  <c r="L1884" i="13" s="1"/>
  <c r="I1885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5" i="13" l="1"/>
  <c r="L1885" i="13" s="1"/>
  <c r="I1886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886" i="13" l="1"/>
  <c r="L1886" i="13" s="1"/>
  <c r="I1887" i="13" s="1"/>
  <c r="K1909" i="14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 l="1"/>
  <c r="L1887" i="13" s="1"/>
  <c r="I1888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888" i="13" l="1"/>
  <c r="L1888" i="13" s="1"/>
  <c r="I1889" i="13" s="1"/>
  <c r="K1911" i="14"/>
  <c r="L1911" i="14" s="1"/>
  <c r="I1912" i="14" s="1"/>
  <c r="J2074" i="14" a="1"/>
  <c r="J2074" i="14" s="1"/>
  <c r="N2075" i="14"/>
  <c r="M2078" i="13"/>
  <c r="J2075" i="13" a="1"/>
  <c r="J2075" i="13" s="1"/>
  <c r="N2076" i="13"/>
  <c r="M2079" i="14"/>
  <c r="K1889" i="13" l="1"/>
  <c r="L1889" i="13" s="1"/>
  <c r="I1890" i="13" s="1"/>
  <c r="K1912" i="14"/>
  <c r="L1912" i="14" s="1"/>
  <c r="I1913" i="14" s="1"/>
  <c r="J2076" i="13" a="1"/>
  <c r="J2076" i="13" s="1"/>
  <c r="N2077" i="13"/>
  <c r="M2080" i="14"/>
  <c r="M2079" i="13"/>
  <c r="N2076" i="14"/>
  <c r="J2075" i="14" a="1"/>
  <c r="J2075" i="14" s="1"/>
  <c r="K1890" i="13" l="1"/>
  <c r="L1890" i="13" s="1"/>
  <c r="I1891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1" i="13" l="1"/>
  <c r="L1891" i="13" s="1"/>
  <c r="I1892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892" i="13" l="1"/>
  <c r="L1892" i="13" s="1"/>
  <c r="I1893" i="13" s="1"/>
  <c r="K1915" i="14"/>
  <c r="L1915" i="14" s="1"/>
  <c r="I1916" i="14" s="1"/>
  <c r="J2079" i="13" a="1"/>
  <c r="J2079" i="13" s="1"/>
  <c r="N2080" i="13"/>
  <c r="M2083" i="14"/>
  <c r="J2078" i="14" a="1"/>
  <c r="J2078" i="14" s="1"/>
  <c r="N2079" i="14"/>
  <c r="M2082" i="13"/>
  <c r="K1893" i="13" l="1"/>
  <c r="L1893" i="13" s="1"/>
  <c r="I1894" i="13" s="1"/>
  <c r="K1916" i="14"/>
  <c r="L1916" i="14" s="1"/>
  <c r="I1917" i="14" s="1"/>
  <c r="J2080" i="13" a="1"/>
  <c r="J2080" i="13" s="1"/>
  <c r="N2081" i="13"/>
  <c r="N2080" i="14"/>
  <c r="J2079" i="14" a="1"/>
  <c r="J2079" i="14" s="1"/>
  <c r="M2083" i="13"/>
  <c r="M2084" i="14"/>
  <c r="K1894" i="13" l="1"/>
  <c r="L1894" i="13" s="1"/>
  <c r="I1895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895" i="13" l="1"/>
  <c r="L1895" i="13" s="1"/>
  <c r="I1896" i="13" s="1"/>
  <c r="K1918" i="14"/>
  <c r="L1918" i="14" s="1"/>
  <c r="I1919" i="14" s="1"/>
  <c r="J2081" i="14" a="1"/>
  <c r="J2081" i="14" s="1"/>
  <c r="N2082" i="14"/>
  <c r="M2085" i="13"/>
  <c r="M2086" i="14"/>
  <c r="J2082" i="13" a="1"/>
  <c r="J2082" i="13" s="1"/>
  <c r="N2083" i="13"/>
  <c r="K1896" i="13" l="1"/>
  <c r="L1896" i="13" s="1"/>
  <c r="I1897" i="13" s="1"/>
  <c r="K1919" i="14"/>
  <c r="L1919" i="14" s="1"/>
  <c r="I1920" i="14" s="1"/>
  <c r="J2083" i="13" a="1"/>
  <c r="J2083" i="13" s="1"/>
  <c r="N2084" i="13"/>
  <c r="M2086" i="13"/>
  <c r="M2087" i="14"/>
  <c r="J2082" i="14" a="1"/>
  <c r="J2082" i="14" s="1"/>
  <c r="N2083" i="14"/>
  <c r="K1897" i="13" l="1"/>
  <c r="L1897" i="13" s="1"/>
  <c r="I1898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8" i="13" l="1"/>
  <c r="L1898" i="13" s="1"/>
  <c r="I1899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899" i="13" l="1"/>
  <c r="L1899" i="13" s="1"/>
  <c r="I1900" i="13" s="1"/>
  <c r="K1922" i="14"/>
  <c r="L1922" i="14" s="1"/>
  <c r="I1923" i="14" s="1"/>
  <c r="J2085" i="14" a="1"/>
  <c r="J2085" i="14" s="1"/>
  <c r="N2086" i="14"/>
  <c r="J2086" i="13" a="1"/>
  <c r="J2086" i="13" s="1"/>
  <c r="N2087" i="13"/>
  <c r="M2089" i="13"/>
  <c r="M2090" i="14"/>
  <c r="K1900" i="13" l="1"/>
  <c r="L1900" i="13" s="1"/>
  <c r="I1901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1" i="13" l="1"/>
  <c r="L1901" i="13" s="1"/>
  <c r="I1902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02" i="13" l="1"/>
  <c r="L1902" i="13" s="1"/>
  <c r="I1903" i="13" s="1"/>
  <c r="K1925" i="14"/>
  <c r="L1925" i="14" s="1"/>
  <c r="I1926" i="14" s="1"/>
  <c r="J2088" i="14" a="1"/>
  <c r="J2088" i="14" s="1"/>
  <c r="N2089" i="14"/>
  <c r="M2093" i="14"/>
  <c r="N2090" i="13"/>
  <c r="J2089" i="13" a="1"/>
  <c r="J2089" i="13" s="1"/>
  <c r="M2092" i="13"/>
  <c r="K1903" i="13" l="1"/>
  <c r="L1903" i="13" s="1"/>
  <c r="I1904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04" i="13" l="1"/>
  <c r="L1904" i="13" s="1"/>
  <c r="I1905" i="13" s="1"/>
  <c r="K1927" i="14"/>
  <c r="L1927" i="14" s="1"/>
  <c r="I1928" i="14" s="1"/>
  <c r="J2090" i="14" a="1"/>
  <c r="J2090" i="14" s="1"/>
  <c r="N2091" i="14"/>
  <c r="M2094" i="13"/>
  <c r="M2095" i="14"/>
  <c r="J2091" i="13" a="1"/>
  <c r="J2091" i="13" s="1"/>
  <c r="N2092" i="13"/>
  <c r="K1905" i="13" l="1"/>
  <c r="L1905" i="13" s="1"/>
  <c r="I1906" i="13" s="1"/>
  <c r="K1928" i="14"/>
  <c r="L1928" i="14" s="1"/>
  <c r="I1929" i="14" s="1"/>
  <c r="M2096" i="14"/>
  <c r="M2095" i="13"/>
  <c r="J2092" i="13" a="1"/>
  <c r="J2092" i="13" s="1"/>
  <c r="N2093" i="13"/>
  <c r="N2092" i="14"/>
  <c r="J2091" i="14" a="1"/>
  <c r="J2091" i="14" s="1"/>
  <c r="K1906" i="13" l="1"/>
  <c r="L1906" i="13" s="1"/>
  <c r="I1907" i="13" s="1"/>
  <c r="K1929" i="14"/>
  <c r="L1929" i="14" s="1"/>
  <c r="I1930" i="14" s="1"/>
  <c r="J2092" i="14" a="1"/>
  <c r="J2092" i="14" s="1"/>
  <c r="N2093" i="14"/>
  <c r="M2096" i="13"/>
  <c r="N2094" i="13"/>
  <c r="J2093" i="13" a="1"/>
  <c r="J2093" i="13" s="1"/>
  <c r="M2097" i="14"/>
  <c r="K1907" i="13" l="1"/>
  <c r="L1907" i="13" s="1"/>
  <c r="I1908" i="13" s="1"/>
  <c r="K1930" i="14"/>
  <c r="L1930" i="14" s="1"/>
  <c r="I1931" i="14" s="1"/>
  <c r="J2094" i="13" a="1"/>
  <c r="J2094" i="13" s="1"/>
  <c r="N2095" i="13"/>
  <c r="M2097" i="13"/>
  <c r="M2098" i="14"/>
  <c r="J2093" i="14" a="1"/>
  <c r="J2093" i="14" s="1"/>
  <c r="N2094" i="14"/>
  <c r="K1908" i="13" l="1"/>
  <c r="L1908" i="13" s="1"/>
  <c r="I1909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09" i="13" l="1"/>
  <c r="L1909" i="13" s="1"/>
  <c r="I1910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0" i="13" l="1"/>
  <c r="L1910" i="13" s="1"/>
  <c r="I1911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11" i="13" l="1"/>
  <c r="L1911" i="13" s="1"/>
  <c r="I1912" i="13" s="1"/>
  <c r="K1934" i="14"/>
  <c r="L1934" i="14" s="1"/>
  <c r="I1935" i="14" s="1"/>
  <c r="J2097" i="14" a="1"/>
  <c r="J2097" i="14" s="1"/>
  <c r="N2098" i="14"/>
  <c r="M2101" i="13"/>
  <c r="M2102" i="14"/>
  <c r="J2098" i="13" a="1"/>
  <c r="J2098" i="13" s="1"/>
  <c r="N2099" i="13"/>
  <c r="K1912" i="13" l="1"/>
  <c r="L1912" i="13" s="1"/>
  <c r="I1913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13" i="13" l="1"/>
  <c r="L1913" i="13" s="1"/>
  <c r="I1914" i="13" s="1"/>
  <c r="K1936" i="14"/>
  <c r="L1936" i="14" s="1"/>
  <c r="I1937" i="14" s="1"/>
  <c r="J2100" i="13" a="1"/>
  <c r="J2100" i="13" s="1"/>
  <c r="N2101" i="13"/>
  <c r="N2100" i="14"/>
  <c r="J2099" i="14" a="1"/>
  <c r="J2099" i="14" s="1"/>
  <c r="M2103" i="13"/>
  <c r="M2104" i="14"/>
  <c r="K1914" i="13" l="1"/>
  <c r="L1914" i="13" s="1"/>
  <c r="I1915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15" i="13" l="1"/>
  <c r="L1915" i="13" s="1"/>
  <c r="I1916" i="13" s="1"/>
  <c r="K1938" i="14"/>
  <c r="L1938" i="14" s="1"/>
  <c r="I1939" i="14" s="1"/>
  <c r="J2101" i="14" a="1"/>
  <c r="J2101" i="14" s="1"/>
  <c r="N2102" i="14"/>
  <c r="J2102" i="13" a="1"/>
  <c r="J2102" i="13" s="1"/>
  <c r="N2103" i="13"/>
  <c r="M2105" i="13"/>
  <c r="M2106" i="14"/>
  <c r="K1916" i="13" l="1"/>
  <c r="L1916" i="13" s="1"/>
  <c r="I1917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7" i="13" l="1"/>
  <c r="L1917" i="13" s="1"/>
  <c r="I1918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18" i="13" l="1"/>
  <c r="L1918" i="13" s="1"/>
  <c r="I1919" i="13" s="1"/>
  <c r="K1941" i="14"/>
  <c r="L1941" i="14" s="1"/>
  <c r="I1942" i="14" s="1"/>
  <c r="N2106" i="13"/>
  <c r="J2105" i="13" a="1"/>
  <c r="J2105" i="13" s="1"/>
  <c r="J2104" i="14" a="1"/>
  <c r="J2104" i="14" s="1"/>
  <c r="N2105" i="14"/>
  <c r="M2108" i="13"/>
  <c r="M2109" i="14"/>
  <c r="K1919" i="13" l="1"/>
  <c r="L1919" i="13" s="1"/>
  <c r="I1920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0" i="13" l="1"/>
  <c r="L1920" i="13" s="1"/>
  <c r="I1921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21" i="13" l="1"/>
  <c r="L1921" i="13" s="1"/>
  <c r="I1922" i="13" s="1"/>
  <c r="K1944" i="14"/>
  <c r="L1944" i="14" s="1"/>
  <c r="I1945" i="14" s="1"/>
  <c r="N2108" i="14"/>
  <c r="J2107" i="14" a="1"/>
  <c r="J2107" i="14" s="1"/>
  <c r="M2112" i="14"/>
  <c r="M2111" i="13"/>
  <c r="J2108" i="13" a="1"/>
  <c r="J2108" i="13" s="1"/>
  <c r="N2109" i="13"/>
  <c r="K1922" i="13" l="1"/>
  <c r="L1922" i="13" s="1"/>
  <c r="I1923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23" i="13" l="1"/>
  <c r="L1923" i="13" s="1"/>
  <c r="I1924" i="13" s="1"/>
  <c r="K1946" i="14"/>
  <c r="L1946" i="14" s="1"/>
  <c r="I1947" i="14" s="1"/>
  <c r="J2109" i="14" a="1"/>
  <c r="J2109" i="14" s="1"/>
  <c r="N2110" i="14"/>
  <c r="M2114" i="14"/>
  <c r="M2113" i="13"/>
  <c r="J2110" i="13" a="1"/>
  <c r="J2110" i="13" s="1"/>
  <c r="N2111" i="13"/>
  <c r="K1924" i="13" l="1"/>
  <c r="L1924" i="13" s="1"/>
  <c r="I1925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5" i="13" l="1"/>
  <c r="L1925" i="13" s="1"/>
  <c r="I1926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6" i="13" l="1"/>
  <c r="L1926" i="13" s="1"/>
  <c r="I1927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27" i="13" l="1"/>
  <c r="L1927" i="13" s="1"/>
  <c r="I1928" i="13" s="1"/>
  <c r="K1950" i="14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 l="1"/>
  <c r="L1928" i="13" s="1"/>
  <c r="I1929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29" i="13" l="1"/>
  <c r="L1929" i="13" s="1"/>
  <c r="I1930" i="13" s="1"/>
  <c r="K1952" i="14"/>
  <c r="L1952" i="14" s="1"/>
  <c r="I1953" i="14" s="1"/>
  <c r="J2116" i="13" a="1"/>
  <c r="J2116" i="13" s="1"/>
  <c r="N2117" i="13"/>
  <c r="N2116" i="14"/>
  <c r="J2115" i="14" a="1"/>
  <c r="J2115" i="14" s="1"/>
  <c r="M2120" i="14"/>
  <c r="M2119" i="13"/>
  <c r="K1930" i="13" l="1"/>
  <c r="L1930" i="13" s="1"/>
  <c r="I1931" i="13" s="1"/>
  <c r="K1953" i="14"/>
  <c r="L1953" i="14" s="1"/>
  <c r="I1954" i="14" s="1"/>
  <c r="J2116" i="14" a="1"/>
  <c r="J2116" i="14" s="1"/>
  <c r="N2117" i="14"/>
  <c r="M2121" i="14"/>
  <c r="M2120" i="13"/>
  <c r="N2118" i="13"/>
  <c r="J2117" i="13" a="1"/>
  <c r="J2117" i="13" s="1"/>
  <c r="K1931" i="13" l="1"/>
  <c r="L1931" i="13" s="1"/>
  <c r="I1932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2" i="13" l="1"/>
  <c r="L1932" i="13" s="1"/>
  <c r="I1933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3" i="13" l="1"/>
  <c r="L1933" i="13" s="1"/>
  <c r="I1934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34" i="13" l="1"/>
  <c r="L1934" i="13" s="1"/>
  <c r="I1935" i="13" s="1"/>
  <c r="K1957" i="14"/>
  <c r="L1957" i="14" s="1"/>
  <c r="I1958" i="14" s="1"/>
  <c r="N2122" i="13"/>
  <c r="J2121" i="13" a="1"/>
  <c r="J2121" i="13" s="1"/>
  <c r="M2124" i="13"/>
  <c r="J2120" i="14" a="1"/>
  <c r="J2120" i="14" s="1"/>
  <c r="N2121" i="14"/>
  <c r="M2125" i="14"/>
  <c r="K1935" i="13" l="1"/>
  <c r="L1935" i="13" s="1"/>
  <c r="I1936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36" i="13" l="1"/>
  <c r="L1936" i="13" s="1"/>
  <c r="I1937" i="13" s="1"/>
  <c r="K1959" i="14"/>
  <c r="L1959" i="14" s="1"/>
  <c r="I1960" i="14" s="1"/>
  <c r="J2123" i="13" a="1"/>
  <c r="J2123" i="13" s="1"/>
  <c r="N2124" i="13"/>
  <c r="M2127" i="14"/>
  <c r="M2126" i="13"/>
  <c r="J2122" i="14" a="1"/>
  <c r="J2122" i="14" s="1"/>
  <c r="N2123" i="14"/>
  <c r="K1937" i="13" l="1"/>
  <c r="L1937" i="13" s="1"/>
  <c r="I1938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38" i="13" l="1"/>
  <c r="L1938" i="13" s="1"/>
  <c r="I1939" i="13" s="1"/>
  <c r="K1961" i="14"/>
  <c r="L1961" i="14" s="1"/>
  <c r="I1962" i="14" s="1"/>
  <c r="N2126" i="13"/>
  <c r="J2125" i="13" a="1"/>
  <c r="J2125" i="13" s="1"/>
  <c r="M2129" i="14"/>
  <c r="M2128" i="13"/>
  <c r="J2124" i="14" a="1"/>
  <c r="J2124" i="14" s="1"/>
  <c r="N2125" i="14"/>
  <c r="K1939" i="13" l="1"/>
  <c r="L1939" i="13" s="1"/>
  <c r="I1940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0" i="13" l="1"/>
  <c r="L1940" i="13" s="1"/>
  <c r="I1941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1" i="13" l="1"/>
  <c r="L1941" i="13" s="1"/>
  <c r="I1942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2" i="13" l="1"/>
  <c r="L1942" i="13" s="1"/>
  <c r="I1943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3" i="13" l="1"/>
  <c r="L1943" i="13" s="1"/>
  <c r="I1944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44" i="13" l="1"/>
  <c r="L1944" i="13" s="1"/>
  <c r="I1945" i="13" s="1"/>
  <c r="K1967" i="14"/>
  <c r="L1967" i="14" s="1"/>
  <c r="I1968" i="14" s="1"/>
  <c r="J2131" i="13" a="1"/>
  <c r="J2131" i="13" s="1"/>
  <c r="N2132" i="13"/>
  <c r="J2130" i="14" a="1"/>
  <c r="J2130" i="14" s="1"/>
  <c r="N2131" i="14"/>
  <c r="M2135" i="14"/>
  <c r="M2134" i="13"/>
  <c r="K1945" i="13" l="1"/>
  <c r="L1945" i="13" s="1"/>
  <c r="I1946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46" i="13" l="1"/>
  <c r="L1946" i="13" s="1"/>
  <c r="I1947" i="13" s="1"/>
  <c r="K1969" i="14"/>
  <c r="L1969" i="14" s="1"/>
  <c r="I1970" i="14" s="1"/>
  <c r="N2134" i="13"/>
  <c r="J2133" i="13" a="1"/>
  <c r="J2133" i="13" s="1"/>
  <c r="J2132" i="14" a="1"/>
  <c r="J2132" i="14" s="1"/>
  <c r="N2133" i="14"/>
  <c r="M2136" i="13"/>
  <c r="M2137" i="14"/>
  <c r="K1947" i="13" l="1"/>
  <c r="L1947" i="13" s="1"/>
  <c r="I1948" i="13" s="1"/>
  <c r="K1970" i="14"/>
  <c r="L1970" i="14" s="1"/>
  <c r="I1971" i="14" s="1"/>
  <c r="J2133" i="14" a="1"/>
  <c r="J2133" i="14" s="1"/>
  <c r="N2134" i="14"/>
  <c r="M2138" i="14"/>
  <c r="M2137" i="13"/>
  <c r="J2134" i="13" a="1"/>
  <c r="J2134" i="13" s="1"/>
  <c r="N2135" i="13"/>
  <c r="K1948" i="13" l="1"/>
  <c r="L1948" i="13" s="1"/>
  <c r="I1949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49" i="13" l="1"/>
  <c r="L1949" i="13" s="1"/>
  <c r="I1950" i="13" s="1"/>
  <c r="K1972" i="14"/>
  <c r="L1972" i="14" s="1"/>
  <c r="I1973" i="14" s="1"/>
  <c r="M2139" i="13"/>
  <c r="M2140" i="14"/>
  <c r="J2136" i="13" a="1"/>
  <c r="J2136" i="13" s="1"/>
  <c r="N2137" i="13"/>
  <c r="N2136" i="14"/>
  <c r="J2135" i="14" a="1"/>
  <c r="J2135" i="14" s="1"/>
  <c r="K1950" i="13" l="1"/>
  <c r="L1950" i="13" s="1"/>
  <c r="I1951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1" i="13" l="1"/>
  <c r="L1951" i="13" s="1"/>
  <c r="I1952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52" i="13" l="1"/>
  <c r="L1952" i="13" s="1"/>
  <c r="I1953" i="13" s="1"/>
  <c r="K1975" i="14"/>
  <c r="L1975" i="14" s="1"/>
  <c r="I1976" i="14" s="1"/>
  <c r="M2143" i="14"/>
  <c r="M2142" i="13"/>
  <c r="J2139" i="13" a="1"/>
  <c r="J2139" i="13" s="1"/>
  <c r="N2140" i="13"/>
  <c r="J2138" i="14" a="1"/>
  <c r="J2138" i="14" s="1"/>
  <c r="N2139" i="14"/>
  <c r="K1953" i="13" l="1"/>
  <c r="L1953" i="13" s="1"/>
  <c r="I1954" i="13" s="1"/>
  <c r="K1976" i="14"/>
  <c r="L1976" i="14" s="1"/>
  <c r="I1977" i="14" s="1"/>
  <c r="N2140" i="14"/>
  <c r="J2139" i="14" a="1"/>
  <c r="J2139" i="14" s="1"/>
  <c r="J2140" i="13" a="1"/>
  <c r="J2140" i="13" s="1"/>
  <c r="N2141" i="13"/>
  <c r="M2143" i="13"/>
  <c r="M2144" i="14"/>
  <c r="K1954" i="13" l="1"/>
  <c r="L1954" i="13" s="1"/>
  <c r="I1955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5" i="13" l="1"/>
  <c r="L1955" i="13" s="1"/>
  <c r="I1956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6" i="13" l="1"/>
  <c r="L1956" i="13" s="1"/>
  <c r="I1957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57" i="13" l="1"/>
  <c r="L1957" i="13" s="1"/>
  <c r="I1958" i="13" s="1"/>
  <c r="K1980" i="14"/>
  <c r="L1980" i="14" s="1"/>
  <c r="I1981" i="14" s="1"/>
  <c r="J2144" i="13" a="1"/>
  <c r="J2144" i="13" s="1"/>
  <c r="N2145" i="13"/>
  <c r="M2147" i="13"/>
  <c r="M2148" i="14"/>
  <c r="N2144" i="14"/>
  <c r="J2143" i="14" a="1"/>
  <c r="J2143" i="14" s="1"/>
  <c r="K1958" i="13" l="1"/>
  <c r="L1958" i="13" s="1"/>
  <c r="I1959" i="13" s="1"/>
  <c r="K1981" i="14"/>
  <c r="L1981" i="14" s="1"/>
  <c r="I1982" i="14" s="1"/>
  <c r="N2146" i="13"/>
  <c r="J2145" i="13" a="1"/>
  <c r="J2145" i="13" s="1"/>
  <c r="J2144" i="14" a="1"/>
  <c r="J2144" i="14" s="1"/>
  <c r="N2145" i="14"/>
  <c r="M2148" i="13"/>
  <c r="M2149" i="14"/>
  <c r="K1959" i="13" l="1"/>
  <c r="L1959" i="13" s="1"/>
  <c r="I1960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60" i="13" l="1"/>
  <c r="L1960" i="13" s="1"/>
  <c r="I1961" i="13" s="1"/>
  <c r="K1983" i="14"/>
  <c r="L1983" i="14" s="1"/>
  <c r="I1984" i="14" s="1"/>
  <c r="J2146" i="14" a="1"/>
  <c r="J2146" i="14" s="1"/>
  <c r="N2147" i="14"/>
  <c r="J2147" i="13" a="1"/>
  <c r="J2147" i="13" s="1"/>
  <c r="N2148" i="13"/>
  <c r="M2151" i="14"/>
  <c r="M2150" i="13"/>
  <c r="K1961" i="13" l="1"/>
  <c r="L1961" i="13" s="1"/>
  <c r="I1962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2" i="13" l="1"/>
  <c r="L1962" i="13" s="1"/>
  <c r="I1963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63" i="13" l="1"/>
  <c r="L1963" i="13" s="1"/>
  <c r="I1964" i="13" s="1"/>
  <c r="K1986" i="14"/>
  <c r="L1986" i="14" s="1"/>
  <c r="I1987" i="14" s="1"/>
  <c r="M2153" i="13"/>
  <c r="J2149" i="14" a="1"/>
  <c r="J2149" i="14" s="1"/>
  <c r="N2150" i="14"/>
  <c r="J2150" i="13" a="1"/>
  <c r="J2150" i="13" s="1"/>
  <c r="N2151" i="13"/>
  <c r="M2154" i="14"/>
  <c r="K1964" i="13" l="1"/>
  <c r="L1964" i="13" s="1"/>
  <c r="I1965" i="13" s="1"/>
  <c r="K1987" i="14"/>
  <c r="L1987" i="14" s="1"/>
  <c r="I1988" i="14" s="1"/>
  <c r="J2151" i="13" a="1"/>
  <c r="J2151" i="13" s="1"/>
  <c r="N2152" i="13"/>
  <c r="M2155" i="14"/>
  <c r="J2150" i="14" a="1"/>
  <c r="J2150" i="14" s="1"/>
  <c r="N2151" i="14"/>
  <c r="M2154" i="13"/>
  <c r="K1965" i="13" l="1"/>
  <c r="L1965" i="13" s="1"/>
  <c r="I1966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6" i="13" l="1"/>
  <c r="L1966" i="13" s="1"/>
  <c r="I1967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7" i="13" l="1"/>
  <c r="L1967" i="13" s="1"/>
  <c r="I1968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68" i="13" l="1"/>
  <c r="L1968" i="13" s="1"/>
  <c r="I1969" i="13" s="1"/>
  <c r="K1991" i="14"/>
  <c r="L1991" i="14" s="1"/>
  <c r="I1992" i="14" s="1"/>
  <c r="J2154" i="14" a="1"/>
  <c r="J2154" i="14" s="1"/>
  <c r="N2155" i="14"/>
  <c r="J2155" i="13" a="1"/>
  <c r="J2155" i="13" s="1"/>
  <c r="N2156" i="13"/>
  <c r="M2159" i="14"/>
  <c r="M2158" i="13"/>
  <c r="K1969" i="13" l="1"/>
  <c r="L1969" i="13" s="1"/>
  <c r="I1970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70" i="13" l="1"/>
  <c r="L1970" i="13" s="1"/>
  <c r="I1971" i="13" s="1"/>
  <c r="K1993" i="14"/>
  <c r="L1993" i="14" s="1"/>
  <c r="I1994" i="14" s="1"/>
  <c r="N2158" i="13"/>
  <c r="J2157" i="13" a="1"/>
  <c r="J2157" i="13" s="1"/>
  <c r="J2156" i="14" a="1"/>
  <c r="J2156" i="14" s="1"/>
  <c r="N2157" i="14"/>
  <c r="M2161" i="14"/>
  <c r="M2160" i="13"/>
  <c r="K1971" i="13" l="1"/>
  <c r="L1971" i="13" s="1"/>
  <c r="I1972" i="13" s="1"/>
  <c r="K1994" i="14"/>
  <c r="L1994" i="14" s="1"/>
  <c r="I1995" i="14" s="1"/>
  <c r="M2161" i="13"/>
  <c r="J2157" i="14" a="1"/>
  <c r="J2157" i="14" s="1"/>
  <c r="N2158" i="14"/>
  <c r="M2162" i="14"/>
  <c r="J2158" i="13" a="1"/>
  <c r="J2158" i="13" s="1"/>
  <c r="N2159" i="13"/>
  <c r="K1972" i="13" l="1"/>
  <c r="L1972" i="13" s="1"/>
  <c r="I1973" i="13" s="1"/>
  <c r="K1995" i="14"/>
  <c r="L1995" i="14" s="1"/>
  <c r="I1996" i="14" s="1"/>
  <c r="J2159" i="13" a="1"/>
  <c r="J2159" i="13" s="1"/>
  <c r="N2160" i="13"/>
  <c r="M2162" i="13"/>
  <c r="M2163" i="14"/>
  <c r="J2158" i="14" a="1"/>
  <c r="J2158" i="14" s="1"/>
  <c r="N2159" i="14"/>
  <c r="K1973" i="13" l="1"/>
  <c r="L1973" i="13" s="1"/>
  <c r="I1974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4" i="13" l="1"/>
  <c r="L1974" i="13" s="1"/>
  <c r="I1975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75" i="13" l="1"/>
  <c r="L1975" i="13" s="1"/>
  <c r="I1976" i="13" s="1"/>
  <c r="K1998" i="14"/>
  <c r="L1998" i="14" s="1"/>
  <c r="I1999" i="14" s="1"/>
  <c r="J2161" i="14" a="1"/>
  <c r="J2161" i="14" s="1"/>
  <c r="N2162" i="14"/>
  <c r="J2162" i="13" a="1"/>
  <c r="J2162" i="13" s="1"/>
  <c r="N2163" i="13"/>
  <c r="M2165" i="13"/>
  <c r="M2166" i="14"/>
  <c r="K1976" i="13" l="1"/>
  <c r="L1976" i="13" s="1"/>
  <c r="I1977" i="13" s="1"/>
  <c r="K1999" i="14"/>
  <c r="L1999" i="14" s="1"/>
  <c r="I2000" i="14" s="1"/>
  <c r="M2167" i="14"/>
  <c r="J2163" i="13" a="1"/>
  <c r="J2163" i="13" s="1"/>
  <c r="N2164" i="13"/>
  <c r="J2162" i="14" a="1"/>
  <c r="J2162" i="14" s="1"/>
  <c r="N2163" i="14"/>
  <c r="M2166" i="13"/>
  <c r="K1977" i="13" l="1"/>
  <c r="L1977" i="13" s="1"/>
  <c r="I1978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1978" i="13" l="1"/>
  <c r="L1978" i="13" s="1"/>
  <c r="I1979" i="13" s="1"/>
  <c r="K2001" i="14"/>
  <c r="L2001" i="14" s="1"/>
  <c r="I2002" i="14" s="1"/>
  <c r="N2166" i="13"/>
  <c r="J2165" i="13" a="1"/>
  <c r="J2165" i="13" s="1"/>
  <c r="M2168" i="13"/>
  <c r="M2169" i="14"/>
  <c r="J2164" i="14" a="1"/>
  <c r="J2164" i="14" s="1"/>
  <c r="N2165" i="14"/>
  <c r="K1979" i="13" l="1"/>
  <c r="L1979" i="13" s="1"/>
  <c r="I1980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1980" i="13" l="1"/>
  <c r="L1980" i="13" s="1"/>
  <c r="I1981" i="13" s="1"/>
  <c r="K2003" i="14"/>
  <c r="L2003" i="14" s="1"/>
  <c r="I2004" i="14" s="1"/>
  <c r="J2167" i="13" a="1"/>
  <c r="J2167" i="13" s="1"/>
  <c r="N2168" i="13"/>
  <c r="J2166" i="14" a="1"/>
  <c r="J2166" i="14" s="1"/>
  <c r="N2167" i="14"/>
  <c r="M2171" i="14"/>
  <c r="M2170" i="13"/>
  <c r="K1981" i="13" l="1"/>
  <c r="L1981" i="13" s="1"/>
  <c r="I1982" i="13" s="1"/>
  <c r="K2004" i="14"/>
  <c r="L2004" i="14" s="1"/>
  <c r="I2005" i="14" s="1"/>
  <c r="N2168" i="14"/>
  <c r="J2167" i="14" a="1"/>
  <c r="J2167" i="14" s="1"/>
  <c r="J2168" i="13" a="1"/>
  <c r="J2168" i="13" s="1"/>
  <c r="N2169" i="13"/>
  <c r="M2171" i="13"/>
  <c r="M2172" i="14"/>
  <c r="K1982" i="13" l="1"/>
  <c r="L1982" i="13" s="1"/>
  <c r="I1983" i="13" s="1"/>
  <c r="K2005" i="14"/>
  <c r="L2005" i="14" s="1"/>
  <c r="I2006" i="14" s="1"/>
  <c r="J2168" i="14" a="1"/>
  <c r="J2168" i="14" s="1"/>
  <c r="N2169" i="14"/>
  <c r="N2170" i="13"/>
  <c r="J2169" i="13" a="1"/>
  <c r="J2169" i="13" s="1"/>
  <c r="M2173" i="14"/>
  <c r="M2172" i="13"/>
  <c r="K1983" i="13" l="1"/>
  <c r="L1983" i="13" s="1"/>
  <c r="I1984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1984" i="13" l="1"/>
  <c r="L1984" i="13" s="1"/>
  <c r="I1985" i="13" s="1"/>
  <c r="K2007" i="14"/>
  <c r="L2007" i="14" s="1"/>
  <c r="I2008" i="14" s="1"/>
  <c r="M2175" i="14"/>
  <c r="J2171" i="13" a="1"/>
  <c r="J2171" i="13" s="1"/>
  <c r="N2172" i="13"/>
  <c r="J2170" i="14" a="1"/>
  <c r="J2170" i="14" s="1"/>
  <c r="N2171" i="14"/>
  <c r="M2174" i="13"/>
  <c r="K1985" i="13" l="1"/>
  <c r="L1985" i="13" s="1"/>
  <c r="I1986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1986" i="13" l="1"/>
  <c r="L1986" i="13" s="1"/>
  <c r="I1987" i="13" s="1"/>
  <c r="K2009" i="14"/>
  <c r="L2009" i="14" s="1"/>
  <c r="I2010" i="14" s="1"/>
  <c r="N2174" i="13"/>
  <c r="J2173" i="13" a="1"/>
  <c r="J2173" i="13" s="1"/>
  <c r="M2176" i="13"/>
  <c r="M2177" i="14"/>
  <c r="J2172" i="14" a="1"/>
  <c r="J2172" i="14" s="1"/>
  <c r="N2173" i="14"/>
  <c r="K1987" i="13" l="1"/>
  <c r="L1987" i="13" s="1"/>
  <c r="I1988" i="13" s="1"/>
  <c r="K2010" i="14"/>
  <c r="L2010" i="14" s="1"/>
  <c r="I2011" i="14" s="1"/>
  <c r="J2173" i="14" a="1"/>
  <c r="J2173" i="14" s="1"/>
  <c r="N2174" i="14"/>
  <c r="M2177" i="13"/>
  <c r="M2178" i="14"/>
  <c r="J2174" i="13" a="1"/>
  <c r="J2174" i="13" s="1"/>
  <c r="N2175" i="13"/>
  <c r="K1988" i="13" l="1"/>
  <c r="L1988" i="13" s="1"/>
  <c r="I1989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1989" i="13" l="1"/>
  <c r="L1989" i="13" s="1"/>
  <c r="I1990" i="13" s="1"/>
  <c r="K2012" i="14"/>
  <c r="L2012" i="14" s="1"/>
  <c r="I2013" i="14" s="1"/>
  <c r="M2179" i="13"/>
  <c r="M2180" i="14"/>
  <c r="J2176" i="13" a="1"/>
  <c r="J2176" i="13" s="1"/>
  <c r="N2177" i="13"/>
  <c r="N2176" i="14"/>
  <c r="J2175" i="14" a="1"/>
  <c r="J2175" i="14" s="1"/>
  <c r="K1990" i="13" l="1"/>
  <c r="L1990" i="13" s="1"/>
  <c r="I1991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1" i="13" l="1"/>
  <c r="L1991" i="13" s="1"/>
  <c r="I1992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2" i="13" l="1"/>
  <c r="L1992" i="13" s="1"/>
  <c r="I1993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1993" i="13" l="1"/>
  <c r="L1993" i="13" s="1"/>
  <c r="I1994" i="13" s="1"/>
  <c r="K2016" i="14"/>
  <c r="L2016" i="14" s="1"/>
  <c r="I2017" i="14" s="1"/>
  <c r="N2180" i="14"/>
  <c r="J2179" i="14" a="1"/>
  <c r="J2179" i="14" s="1"/>
  <c r="J2180" i="13" a="1"/>
  <c r="J2180" i="13" s="1"/>
  <c r="N2181" i="13"/>
  <c r="M2184" i="14"/>
  <c r="M2183" i="13"/>
  <c r="K1994" i="13" l="1"/>
  <c r="L1994" i="13" s="1"/>
  <c r="I1995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5" i="13" l="1"/>
  <c r="L1995" i="13" s="1"/>
  <c r="I1996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6" i="13" l="1"/>
  <c r="L1996" i="13" s="1"/>
  <c r="I1997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7" i="13" l="1"/>
  <c r="L1997" i="13" s="1"/>
  <c r="I1998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1998" i="13" l="1"/>
  <c r="L1998" i="13" s="1"/>
  <c r="I1999" i="13" s="1"/>
  <c r="K2021" i="14"/>
  <c r="L2021" i="14" s="1"/>
  <c r="I2022" i="14" s="1"/>
  <c r="N2186" i="13"/>
  <c r="J2185" i="13" a="1"/>
  <c r="J2185" i="13" s="1"/>
  <c r="J2184" i="14" a="1"/>
  <c r="J2184" i="14" s="1"/>
  <c r="N2185" i="14"/>
  <c r="M2188" i="13"/>
  <c r="M2189" i="14"/>
  <c r="K1999" i="13" l="1"/>
  <c r="L1999" i="13" s="1"/>
  <c r="I2000" i="13" s="1"/>
  <c r="K2022" i="14"/>
  <c r="L2022" i="14" s="1"/>
  <c r="I2023" i="14" s="1"/>
  <c r="J2185" i="14" a="1"/>
  <c r="J2185" i="14" s="1"/>
  <c r="N2186" i="14"/>
  <c r="M2190" i="14"/>
  <c r="M2189" i="13"/>
  <c r="J2186" i="13" a="1"/>
  <c r="J2186" i="13" s="1"/>
  <c r="N2187" i="13"/>
  <c r="K2000" i="13" l="1"/>
  <c r="L2000" i="13" s="1"/>
  <c r="I2001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1" i="13" l="1"/>
  <c r="L2001" i="13" s="1"/>
  <c r="I2002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2" i="13" l="1"/>
  <c r="L2002" i="13" s="1"/>
  <c r="I2003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3" i="13" l="1"/>
  <c r="L2003" i="13" s="1"/>
  <c r="I2004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4" i="13" l="1"/>
  <c r="L2004" i="13" s="1"/>
  <c r="I2005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5" i="13" l="1"/>
  <c r="L2005" i="13" s="1"/>
  <c r="I2006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6" i="13" l="1"/>
  <c r="L2006" i="13" s="1"/>
  <c r="I2007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07" i="13" l="1"/>
  <c r="L2007" i="13" s="1"/>
  <c r="I2008" i="13" s="1"/>
  <c r="K2030" i="14"/>
  <c r="L2030" i="14" s="1"/>
  <c r="I2031" i="14" s="1"/>
  <c r="M2198" i="14"/>
  <c r="J2193" i="14" a="1"/>
  <c r="J2193" i="14" s="1"/>
  <c r="N2194" i="14"/>
  <c r="M2197" i="13"/>
  <c r="J2194" i="13" a="1"/>
  <c r="J2194" i="13" s="1"/>
  <c r="N2195" i="13"/>
  <c r="K2008" i="13" l="1"/>
  <c r="L2008" i="13" s="1"/>
  <c r="I2009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09" i="13" l="1"/>
  <c r="L2009" i="13" s="1"/>
  <c r="I2010" i="13" s="1"/>
  <c r="K2032" i="14"/>
  <c r="L2032" i="14" s="1"/>
  <c r="I2033" i="14" s="1"/>
  <c r="N2196" i="14"/>
  <c r="J2195" i="14" a="1"/>
  <c r="J2195" i="14" s="1"/>
  <c r="J2196" i="13" a="1"/>
  <c r="J2196" i="13" s="1"/>
  <c r="N2197" i="13"/>
  <c r="M2199" i="13"/>
  <c r="M2200" i="14"/>
  <c r="K2010" i="13" l="1"/>
  <c r="L2010" i="13" s="1"/>
  <c r="I2011" i="13" s="1"/>
  <c r="K2033" i="14"/>
  <c r="L2033" i="14" s="1"/>
  <c r="I2034" i="14" s="1"/>
  <c r="M2200" i="13"/>
  <c r="N2198" i="13"/>
  <c r="J2197" i="13" a="1"/>
  <c r="J2197" i="13" s="1"/>
  <c r="M2201" i="14"/>
  <c r="J2196" i="14" a="1"/>
  <c r="J2196" i="14" s="1"/>
  <c r="N2197" i="14"/>
  <c r="K2011" i="13" l="1"/>
  <c r="L2011" i="13" s="1"/>
  <c r="I2012" i="13" s="1"/>
  <c r="K2034" i="14"/>
  <c r="L2034" i="14" s="1"/>
  <c r="I2035" i="14" s="1"/>
  <c r="J2197" i="14" a="1"/>
  <c r="J2197" i="14" s="1"/>
  <c r="N2198" i="14"/>
  <c r="M2201" i="13"/>
  <c r="M2202" i="14"/>
  <c r="J2198" i="13" a="1"/>
  <c r="J2198" i="13" s="1"/>
  <c r="N2199" i="13"/>
  <c r="K2012" i="13" l="1"/>
  <c r="L2012" i="13" s="1"/>
  <c r="I2013" i="13" s="1"/>
  <c r="K2035" i="14"/>
  <c r="L2035" i="14" s="1"/>
  <c r="I2036" i="14" s="1"/>
  <c r="M2203" i="14"/>
  <c r="J2199" i="13" a="1"/>
  <c r="J2199" i="13" s="1"/>
  <c r="N2200" i="13"/>
  <c r="J2198" i="14" a="1"/>
  <c r="J2198" i="14" s="1"/>
  <c r="N2199" i="14"/>
  <c r="M2202" i="13"/>
  <c r="K2013" i="13" l="1"/>
  <c r="L2013" i="13" s="1"/>
  <c r="I2014" i="13" s="1"/>
  <c r="K2036" i="14"/>
  <c r="L2036" i="14" s="1"/>
  <c r="I2037" i="14" s="1"/>
  <c r="M2203" i="13"/>
  <c r="M2204" i="14"/>
  <c r="J2200" i="13" a="1"/>
  <c r="J2200" i="13" s="1"/>
  <c r="N2201" i="13"/>
  <c r="N2200" i="14"/>
  <c r="J2199" i="14" a="1"/>
  <c r="J2199" i="14" s="1"/>
  <c r="K2014" i="13" l="1"/>
  <c r="L2014" i="13" s="1"/>
  <c r="I2015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15" i="13" l="1"/>
  <c r="L2015" i="13" s="1"/>
  <c r="I2016" i="13" s="1"/>
  <c r="K2038" i="14"/>
  <c r="L2038" i="14" s="1"/>
  <c r="I2039" i="14" s="1"/>
  <c r="J2202" i="13" a="1"/>
  <c r="J2202" i="13" s="1"/>
  <c r="N2203" i="13"/>
  <c r="M2206" i="14"/>
  <c r="M2205" i="13"/>
  <c r="J2201" i="14" a="1"/>
  <c r="J2201" i="14" s="1"/>
  <c r="N2202" i="14"/>
  <c r="K2016" i="13" l="1"/>
  <c r="L2016" i="13" s="1"/>
  <c r="I2017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7" i="13" l="1"/>
  <c r="L2017" i="13" s="1"/>
  <c r="I2018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8" i="13" l="1"/>
  <c r="L2018" i="13" s="1"/>
  <c r="I2019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19" i="13" l="1"/>
  <c r="L2019" i="13" s="1"/>
  <c r="I2020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0" i="13" l="1"/>
  <c r="L2020" i="13" s="1"/>
  <c r="I2021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21" i="13" l="1"/>
  <c r="L2021" i="13" s="1"/>
  <c r="I2022" i="13" s="1"/>
  <c r="K2044" i="14"/>
  <c r="L2044" i="14" s="1"/>
  <c r="I2045" i="14" s="1"/>
  <c r="N2208" i="14"/>
  <c r="J2207" i="14" a="1"/>
  <c r="J2207" i="14" s="1"/>
  <c r="J2208" i="13" a="1"/>
  <c r="J2208" i="13" s="1"/>
  <c r="N2209" i="13"/>
  <c r="M2211" i="13"/>
  <c r="M2212" i="14"/>
  <c r="K2022" i="13" l="1"/>
  <c r="L2022" i="13" s="1"/>
  <c r="I2023" i="13" s="1"/>
  <c r="N2210" i="13"/>
  <c r="J2209" i="13" a="1"/>
  <c r="J2209" i="13" s="1"/>
  <c r="M2212" i="13"/>
  <c r="M2213" i="14"/>
  <c r="J2208" i="14" a="1"/>
  <c r="J2208" i="14" s="1"/>
  <c r="N2209" i="14"/>
  <c r="K2045" i="14"/>
  <c r="L2045" i="14" s="1"/>
  <c r="I2046" i="14" s="1"/>
  <c r="K2023" i="13" l="1"/>
  <c r="L2023" i="13" s="1"/>
  <c r="I2024" i="13" s="1"/>
  <c r="J2209" i="14" a="1"/>
  <c r="J2209" i="14" s="1"/>
  <c r="N2210" i="14"/>
  <c r="M2213" i="13"/>
  <c r="K2046" i="14"/>
  <c r="L2046" i="14" s="1"/>
  <c r="I2047" i="14" s="1"/>
  <c r="M2214" i="14"/>
  <c r="J2210" i="13" a="1"/>
  <c r="J2210" i="13" s="1"/>
  <c r="N2211" i="13"/>
  <c r="K2024" i="13" l="1"/>
  <c r="L2024" i="13" s="1"/>
  <c r="I2025" i="13" s="1"/>
  <c r="K2047" i="14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 l="1"/>
  <c r="L2025" i="13" s="1"/>
  <c r="I2026" i="13" s="1"/>
  <c r="K2048" i="14"/>
  <c r="L2048" i="14" s="1"/>
  <c r="I2049" i="14" s="1"/>
  <c r="M2215" i="13"/>
  <c r="M2216" i="14"/>
  <c r="N2212" i="14"/>
  <c r="J2211" i="14" a="1"/>
  <c r="J2211" i="14" s="1"/>
  <c r="J2212" i="13" a="1"/>
  <c r="J2212" i="13" s="1"/>
  <c r="N2213" i="13"/>
  <c r="K2026" i="13" l="1"/>
  <c r="L2026" i="13" s="1"/>
  <c r="I2027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27" i="13" l="1"/>
  <c r="L2027" i="13" s="1"/>
  <c r="I2028" i="13" s="1"/>
  <c r="K2050" i="14"/>
  <c r="L2050" i="14" s="1"/>
  <c r="I2051" i="14" s="1"/>
  <c r="J2214" i="13" a="1"/>
  <c r="J2214" i="13" s="1"/>
  <c r="N2215" i="13"/>
  <c r="J2213" i="14" a="1"/>
  <c r="J2213" i="14" s="1"/>
  <c r="N2214" i="14"/>
  <c r="M2217" i="13"/>
  <c r="M2218" i="14"/>
  <c r="K2028" i="13" l="1"/>
  <c r="L2028" i="13" s="1"/>
  <c r="I2029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29" i="13" l="1"/>
  <c r="L2029" i="13" s="1"/>
  <c r="I2030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30" i="13" l="1"/>
  <c r="L2030" i="13" s="1"/>
  <c r="I2031" i="13" s="1"/>
  <c r="K2053" i="14"/>
  <c r="L2053" i="14" s="1"/>
  <c r="I2054" i="14" s="1"/>
  <c r="M2220" i="13"/>
  <c r="M2221" i="14"/>
  <c r="N2218" i="13"/>
  <c r="J2217" i="13" a="1"/>
  <c r="J2217" i="13" s="1"/>
  <c r="J2216" i="14" a="1"/>
  <c r="J2216" i="14" s="1"/>
  <c r="N2217" i="14"/>
  <c r="K2031" i="13" l="1"/>
  <c r="L2031" i="13" s="1"/>
  <c r="I2032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2" i="13" l="1"/>
  <c r="L2032" i="13" s="1"/>
  <c r="I2033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33" i="13" l="1"/>
  <c r="L2033" i="13" s="1"/>
  <c r="I2034" i="13" s="1"/>
  <c r="K2056" i="14"/>
  <c r="L2056" i="14" s="1"/>
  <c r="I2057" i="14" s="1"/>
  <c r="M2223" i="13"/>
  <c r="M2224" i="14"/>
  <c r="N2220" i="14"/>
  <c r="J2219" i="14" a="1"/>
  <c r="J2219" i="14" s="1"/>
  <c r="J2220" i="13" a="1"/>
  <c r="J2220" i="13" s="1"/>
  <c r="N2221" i="13"/>
  <c r="K2034" i="13" l="1"/>
  <c r="L2034" i="13" s="1"/>
  <c r="I2035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5" i="13" l="1"/>
  <c r="L2035" i="13" s="1"/>
  <c r="I2036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36" i="13" l="1"/>
  <c r="L2036" i="13" s="1"/>
  <c r="I2037" i="13" s="1"/>
  <c r="K2059" i="14"/>
  <c r="L2059" i="14" s="1"/>
  <c r="I2060" i="14" s="1"/>
  <c r="J2223" i="13" a="1"/>
  <c r="J2223" i="13" s="1"/>
  <c r="N2224" i="13"/>
  <c r="M2227" i="14"/>
  <c r="J2222" i="14" a="1"/>
  <c r="J2222" i="14" s="1"/>
  <c r="N2223" i="14"/>
  <c r="M2226" i="13"/>
  <c r="K2037" i="13" l="1"/>
  <c r="L2037" i="13" s="1"/>
  <c r="I2038" i="13" s="1"/>
  <c r="K2060" i="14"/>
  <c r="L2060" i="14" s="1"/>
  <c r="I2061" i="14" s="1"/>
  <c r="N2224" i="14"/>
  <c r="J2223" i="14" a="1"/>
  <c r="J2223" i="14" s="1"/>
  <c r="J2224" i="13" a="1"/>
  <c r="J2224" i="13" s="1"/>
  <c r="N2225" i="13"/>
  <c r="M2227" i="13"/>
  <c r="M2228" i="14"/>
  <c r="K2038" i="13" l="1"/>
  <c r="L2038" i="13" s="1"/>
  <c r="I2039" i="13" s="1"/>
  <c r="K2061" i="14"/>
  <c r="L2061" i="14" s="1"/>
  <c r="I2062" i="14" s="1"/>
  <c r="M2229" i="14"/>
  <c r="N2226" i="13"/>
  <c r="J2225" i="13" a="1"/>
  <c r="J2225" i="13" s="1"/>
  <c r="M2228" i="13"/>
  <c r="J2224" i="14" a="1"/>
  <c r="J2224" i="14" s="1"/>
  <c r="N2225" i="14"/>
  <c r="K2039" i="13" l="1"/>
  <c r="L2039" i="13" s="1"/>
  <c r="I2040" i="13" s="1"/>
  <c r="K2062" i="14"/>
  <c r="L2062" i="14" s="1"/>
  <c r="I2063" i="14" s="1"/>
  <c r="J2225" i="14" a="1"/>
  <c r="J2225" i="14" s="1"/>
  <c r="N2226" i="14"/>
  <c r="M2230" i="14"/>
  <c r="M2229" i="13"/>
  <c r="J2226" i="13" a="1"/>
  <c r="J2226" i="13" s="1"/>
  <c r="N2227" i="13"/>
  <c r="K2040" i="13" l="1"/>
  <c r="L2040" i="13" s="1"/>
  <c r="I2041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41" i="13" l="1"/>
  <c r="L2041" i="13" s="1"/>
  <c r="I2042" i="13" s="1"/>
  <c r="K2064" i="14"/>
  <c r="L2064" i="14" s="1"/>
  <c r="I2065" i="14" s="1"/>
  <c r="M2231" i="13"/>
  <c r="N2228" i="14"/>
  <c r="J2227" i="14" a="1"/>
  <c r="J2227" i="14" s="1"/>
  <c r="J2228" i="13" a="1"/>
  <c r="J2228" i="13" s="1"/>
  <c r="N2229" i="13"/>
  <c r="M2232" i="14"/>
  <c r="K2042" i="13" l="1"/>
  <c r="L2042" i="13" s="1"/>
  <c r="I2043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3" i="13" l="1"/>
  <c r="L2043" i="13" s="1"/>
  <c r="I2044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4" i="13" l="1"/>
  <c r="L2044" i="13" s="1"/>
  <c r="I2045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45" i="13" l="1"/>
  <c r="L2045" i="13" s="1"/>
  <c r="I2046" i="13" s="1"/>
  <c r="K2068" i="14"/>
  <c r="L2068" i="14" s="1"/>
  <c r="I2069" i="14" s="1"/>
  <c r="J2232" i="13" a="1"/>
  <c r="J2232" i="13" s="1"/>
  <c r="N2233" i="13"/>
  <c r="M2236" i="14"/>
  <c r="M2235" i="13"/>
  <c r="N2232" i="14"/>
  <c r="J2231" i="14" a="1"/>
  <c r="J2231" i="14" s="1"/>
  <c r="K2046" i="13" l="1"/>
  <c r="L2046" i="13" s="1"/>
  <c r="I2047" i="13" s="1"/>
  <c r="K2069" i="14"/>
  <c r="L2069" i="14" s="1"/>
  <c r="I2070" i="14" s="1"/>
  <c r="N2233" i="14"/>
  <c r="J2232" i="14" a="1"/>
  <c r="J2232" i="14" s="1"/>
  <c r="M2237" i="14"/>
  <c r="N2234" i="13"/>
  <c r="J2233" i="13" a="1"/>
  <c r="J2233" i="13" s="1"/>
  <c r="M2236" i="13"/>
  <c r="K2047" i="13" l="1"/>
  <c r="L2047" i="13" s="1"/>
  <c r="I2048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48" i="13" l="1"/>
  <c r="L2048" i="13" s="1"/>
  <c r="I2049" i="13" s="1"/>
  <c r="K2071" i="14"/>
  <c r="L2071" i="14" s="1"/>
  <c r="I2072" i="14" s="1"/>
  <c r="J2235" i="13" a="1"/>
  <c r="J2235" i="13" s="1"/>
  <c r="N2236" i="13"/>
  <c r="J2234" i="14" a="1"/>
  <c r="J2234" i="14" s="1"/>
  <c r="N2235" i="14"/>
  <c r="M2239" i="14"/>
  <c r="M2238" i="13"/>
  <c r="K2049" i="13" l="1"/>
  <c r="L2049" i="13" s="1"/>
  <c r="I2050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50" i="13" l="1"/>
  <c r="L2050" i="13" s="1"/>
  <c r="I2051" i="13" s="1"/>
  <c r="K2073" i="14"/>
  <c r="L2073" i="14" s="1"/>
  <c r="I2074" i="14" s="1"/>
  <c r="M2241" i="14"/>
  <c r="N2238" i="13"/>
  <c r="J2237" i="13" a="1"/>
  <c r="J2237" i="13" s="1"/>
  <c r="M2240" i="13"/>
  <c r="N2237" i="14"/>
  <c r="J2236" i="14" a="1"/>
  <c r="J2236" i="14" s="1"/>
  <c r="K2051" i="13" l="1"/>
  <c r="L2051" i="13" s="1"/>
  <c r="I2052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2" i="13" l="1"/>
  <c r="L2052" i="13" s="1"/>
  <c r="I2053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53" i="13" l="1"/>
  <c r="L2053" i="13" s="1"/>
  <c r="I2054" i="13" s="1"/>
  <c r="K2076" i="14"/>
  <c r="L2076" i="14" s="1"/>
  <c r="I2077" i="14" s="1"/>
  <c r="J2240" i="13" a="1"/>
  <c r="J2240" i="13" s="1"/>
  <c r="N2241" i="13"/>
  <c r="N2240" i="14"/>
  <c r="J2239" i="14" a="1"/>
  <c r="J2239" i="14" s="1"/>
  <c r="M2243" i="13"/>
  <c r="M2244" i="14"/>
  <c r="K2054" i="13" l="1"/>
  <c r="L2054" i="13" s="1"/>
  <c r="I2055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5" i="13" l="1"/>
  <c r="L2055" i="13" s="1"/>
  <c r="I2056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56" i="13" l="1"/>
  <c r="L2056" i="13" s="1"/>
  <c r="I2057" i="13" s="1"/>
  <c r="K2079" i="14"/>
  <c r="L2079" i="14" s="1"/>
  <c r="I2080" i="14" s="1"/>
  <c r="J2243" i="13" a="1"/>
  <c r="J2243" i="13" s="1"/>
  <c r="N2244" i="13"/>
  <c r="N2243" i="14"/>
  <c r="J2242" i="14" a="1"/>
  <c r="J2242" i="14" s="1"/>
  <c r="M2247" i="14"/>
  <c r="M2246" i="13"/>
  <c r="K2057" i="13" l="1"/>
  <c r="L2057" i="13" s="1"/>
  <c r="I2058" i="13" s="1"/>
  <c r="K2080" i="14"/>
  <c r="L2080" i="14" s="1"/>
  <c r="I2081" i="14" s="1"/>
  <c r="M2247" i="13"/>
  <c r="M2248" i="14"/>
  <c r="N2244" i="14"/>
  <c r="J2243" i="14" a="1"/>
  <c r="J2243" i="14" s="1"/>
  <c r="J2244" i="13" a="1"/>
  <c r="J2244" i="13" s="1"/>
  <c r="N2245" i="13"/>
  <c r="K2058" i="13" l="1"/>
  <c r="L2058" i="13" s="1"/>
  <c r="I2059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59" i="13" l="1"/>
  <c r="L2059" i="13" s="1"/>
  <c r="I2060" i="13" s="1"/>
  <c r="K2082" i="14"/>
  <c r="L2082" i="14" s="1"/>
  <c r="I2083" i="14" s="1"/>
  <c r="M2249" i="13"/>
  <c r="J2245" i="14" a="1"/>
  <c r="J2245" i="14" s="1"/>
  <c r="N2246" i="14"/>
  <c r="M2250" i="14"/>
  <c r="J2246" i="13" a="1"/>
  <c r="J2246" i="13" s="1"/>
  <c r="N2247" i="13"/>
  <c r="K2060" i="13" l="1"/>
  <c r="L2060" i="13" s="1"/>
  <c r="I2061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1" i="13" l="1"/>
  <c r="L2061" i="13" s="1"/>
  <c r="I2062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62" i="13" l="1"/>
  <c r="L2062" i="13" s="1"/>
  <c r="I2063" i="13" s="1"/>
  <c r="K2085" i="14"/>
  <c r="L2085" i="14" s="1"/>
  <c r="I2086" i="14" s="1"/>
  <c r="N2249" i="14"/>
  <c r="J2248" i="14" a="1"/>
  <c r="J2248" i="14" s="1"/>
  <c r="M2252" i="13"/>
  <c r="N2250" i="13"/>
  <c r="J2249" i="13" a="1"/>
  <c r="J2249" i="13" s="1"/>
  <c r="M2253" i="14"/>
  <c r="K2063" i="13" l="1"/>
  <c r="L2063" i="13" s="1"/>
  <c r="I2064" i="13" s="1"/>
  <c r="J2250" i="13" a="1"/>
  <c r="J2250" i="13" s="1"/>
  <c r="N2251" i="13"/>
  <c r="M2254" i="14"/>
  <c r="M2253" i="13"/>
  <c r="J2249" i="14" a="1"/>
  <c r="J2249" i="14" s="1"/>
  <c r="N2250" i="14"/>
  <c r="K2086" i="14"/>
  <c r="L2086" i="14" s="1"/>
  <c r="I2087" i="14" s="1"/>
  <c r="K2064" i="13" l="1"/>
  <c r="L2064" i="13" s="1"/>
  <c r="I2065" i="13" s="1"/>
  <c r="K2087" i="14"/>
  <c r="L2087" i="14" s="1"/>
  <c r="I2088" i="14" s="1"/>
  <c r="J2250" i="14" a="1"/>
  <c r="J2250" i="14" s="1"/>
  <c r="N2251" i="14"/>
  <c r="M2255" i="14"/>
  <c r="J2251" i="13" a="1"/>
  <c r="J2251" i="13" s="1"/>
  <c r="N2252" i="13"/>
  <c r="M2254" i="13"/>
  <c r="K2065" i="13" l="1"/>
  <c r="L2065" i="13" s="1"/>
  <c r="I2066" i="13" s="1"/>
  <c r="K2088" i="14"/>
  <c r="L2088" i="14" s="1"/>
  <c r="I2089" i="14" s="1"/>
  <c r="M2256" i="14"/>
  <c r="M2255" i="13"/>
  <c r="J2252" i="13" a="1"/>
  <c r="J2252" i="13" s="1"/>
  <c r="N2253" i="13"/>
  <c r="N2252" i="14"/>
  <c r="J2251" i="14" a="1"/>
  <c r="J2251" i="14" s="1"/>
  <c r="K2066" i="13" l="1"/>
  <c r="L2066" i="13" s="1"/>
  <c r="I2067" i="13" s="1"/>
  <c r="K2089" i="14"/>
  <c r="L2089" i="14" s="1"/>
  <c r="I2090" i="14" s="1"/>
  <c r="N2254" i="13"/>
  <c r="J2253" i="13" a="1"/>
  <c r="J2253" i="13" s="1"/>
  <c r="N2253" i="14"/>
  <c r="J2252" i="14" a="1"/>
  <c r="J2252" i="14" s="1"/>
  <c r="M2257" i="14"/>
  <c r="M2256" i="13"/>
  <c r="K2067" i="13" l="1"/>
  <c r="L2067" i="13" s="1"/>
  <c r="I2068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68" i="13" l="1"/>
  <c r="L2068" i="13" s="1"/>
  <c r="I2069" i="13" s="1"/>
  <c r="K2091" i="14"/>
  <c r="L2091" i="14" s="1"/>
  <c r="I2092" i="14" s="1"/>
  <c r="N2255" i="14"/>
  <c r="J2254" i="14" a="1"/>
  <c r="J2254" i="14" s="1"/>
  <c r="M2259" i="14"/>
  <c r="M2258" i="13"/>
  <c r="J2255" i="13" a="1"/>
  <c r="J2255" i="13" s="1"/>
  <c r="N2256" i="13"/>
  <c r="K2069" i="13" l="1"/>
  <c r="L2069" i="13" s="1"/>
  <c r="I2070" i="13" s="1"/>
  <c r="K2092" i="14"/>
  <c r="L2092" i="14" s="1"/>
  <c r="I2093" i="14" s="1"/>
  <c r="J2256" i="13" a="1"/>
  <c r="J2256" i="13" s="1"/>
  <c r="N2257" i="13"/>
  <c r="M2260" i="14"/>
  <c r="M2259" i="13"/>
  <c r="N2256" i="14"/>
  <c r="J2255" i="14" a="1"/>
  <c r="J2255" i="14" s="1"/>
  <c r="K2070" i="13" l="1"/>
  <c r="L2070" i="13" s="1"/>
  <c r="I2071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1" i="13" l="1"/>
  <c r="L2071" i="13" s="1"/>
  <c r="I2072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72" i="13" l="1"/>
  <c r="L2072" i="13" s="1"/>
  <c r="I2073" i="13" s="1"/>
  <c r="K2095" i="14"/>
  <c r="L2095" i="14" s="1"/>
  <c r="I2096" i="14" s="1"/>
  <c r="J2259" i="13" a="1"/>
  <c r="J2259" i="13" s="1"/>
  <c r="N2260" i="13"/>
  <c r="M2263" i="14"/>
  <c r="N2259" i="14"/>
  <c r="J2258" i="14" a="1"/>
  <c r="J2258" i="14" s="1"/>
  <c r="M2262" i="13"/>
  <c r="K2073" i="13" l="1"/>
  <c r="L2073" i="13" s="1"/>
  <c r="I2074" i="13" s="1"/>
  <c r="K2096" i="14"/>
  <c r="L2096" i="14" s="1"/>
  <c r="I2097" i="14" s="1"/>
  <c r="N2260" i="14"/>
  <c r="J2259" i="14" a="1"/>
  <c r="J2259" i="14" s="1"/>
  <c r="M2263" i="13"/>
  <c r="M2264" i="14"/>
  <c r="J2260" i="13" a="1"/>
  <c r="J2260" i="13" s="1"/>
  <c r="N2261" i="13"/>
  <c r="K2074" i="13" l="1"/>
  <c r="L2074" i="13" s="1"/>
  <c r="I2075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5" i="13" l="1"/>
  <c r="L2075" i="13" s="1"/>
  <c r="I2076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76" i="13" l="1"/>
  <c r="L2076" i="13" s="1"/>
  <c r="I2077" i="13" s="1"/>
  <c r="K2099" i="14"/>
  <c r="L2099" i="14" s="1"/>
  <c r="I2100" i="14" s="1"/>
  <c r="J2263" i="13" a="1"/>
  <c r="J2263" i="13" s="1"/>
  <c r="N2264" i="13"/>
  <c r="N2263" i="14"/>
  <c r="J2262" i="14" a="1"/>
  <c r="J2262" i="14" s="1"/>
  <c r="M2267" i="14"/>
  <c r="M2266" i="13"/>
  <c r="K2077" i="13" l="1"/>
  <c r="L2077" i="13" s="1"/>
  <c r="I2078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078" i="13" l="1"/>
  <c r="L2078" i="13" s="1"/>
  <c r="I2079" i="13" s="1"/>
  <c r="K2101" i="14"/>
  <c r="L2101" i="14" s="1"/>
  <c r="I2102" i="14" s="1"/>
  <c r="N2266" i="13"/>
  <c r="J2265" i="13" a="1"/>
  <c r="J2265" i="13" s="1"/>
  <c r="M2269" i="14"/>
  <c r="M2268" i="13"/>
  <c r="J2264" i="14" a="1"/>
  <c r="J2264" i="14" s="1"/>
  <c r="N2265" i="14"/>
  <c r="K2079" i="13" l="1"/>
  <c r="L2079" i="13" s="1"/>
  <c r="I2080" i="13" s="1"/>
  <c r="K2102" i="14"/>
  <c r="L2102" i="14" s="1"/>
  <c r="I2103" i="14" s="1"/>
  <c r="J2265" i="14" a="1"/>
  <c r="J2265" i="14" s="1"/>
  <c r="N2266" i="14"/>
  <c r="M2270" i="14"/>
  <c r="M2269" i="13"/>
  <c r="J2266" i="13" a="1"/>
  <c r="J2266" i="13" s="1"/>
  <c r="N2267" i="13"/>
  <c r="K2080" i="13" l="1"/>
  <c r="L2080" i="13" s="1"/>
  <c r="I2081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1" i="13" l="1"/>
  <c r="L2081" i="13" s="1"/>
  <c r="I2082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082" i="13" l="1"/>
  <c r="L2082" i="13" s="1"/>
  <c r="I2083" i="13" s="1"/>
  <c r="K2105" i="14"/>
  <c r="L2105" i="14" s="1"/>
  <c r="I2106" i="14" s="1"/>
  <c r="N2270" i="13"/>
  <c r="J2269" i="13" a="1"/>
  <c r="J2269" i="13" s="1"/>
  <c r="M2273" i="14"/>
  <c r="J2268" i="14" a="1"/>
  <c r="J2268" i="14" s="1"/>
  <c r="N2269" i="14"/>
  <c r="M2272" i="13"/>
  <c r="K2083" i="13" l="1"/>
  <c r="L2083" i="13" s="1"/>
  <c r="I2084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4" i="13" l="1"/>
  <c r="L2084" i="13" s="1"/>
  <c r="I2085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5" i="13" l="1"/>
  <c r="L2085" i="13" s="1"/>
  <c r="I2086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086" i="13" l="1"/>
  <c r="L2086" i="13" s="1"/>
  <c r="I2087" i="13" s="1"/>
  <c r="K2109" i="14"/>
  <c r="L2109" i="14" s="1"/>
  <c r="I2110" i="14" s="1"/>
  <c r="N2274" i="13"/>
  <c r="J2273" i="13" a="1"/>
  <c r="J2273" i="13" s="1"/>
  <c r="M2276" i="13"/>
  <c r="M2277" i="14"/>
  <c r="J2272" i="14" a="1"/>
  <c r="J2272" i="14" s="1"/>
  <c r="N2273" i="14"/>
  <c r="K2087" i="13" l="1"/>
  <c r="L2087" i="13" s="1"/>
  <c r="I2088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088" i="13" l="1"/>
  <c r="L2088" i="13" s="1"/>
  <c r="I2089" i="13" s="1"/>
  <c r="K2111" i="14"/>
  <c r="L2111" i="14" s="1"/>
  <c r="I2112" i="14" s="1"/>
  <c r="M2279" i="14"/>
  <c r="N2275" i="14"/>
  <c r="J2274" i="14" a="1"/>
  <c r="J2274" i="14" s="1"/>
  <c r="J2275" i="13" a="1"/>
  <c r="J2275" i="13" s="1"/>
  <c r="N2276" i="13"/>
  <c r="M2278" i="13"/>
  <c r="K2089" i="13" l="1"/>
  <c r="L2089" i="13" s="1"/>
  <c r="I2090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090" i="13" l="1"/>
  <c r="L2090" i="13" s="1"/>
  <c r="I2091" i="13" s="1"/>
  <c r="K2113" i="14"/>
  <c r="L2113" i="14" s="1"/>
  <c r="I2114" i="14" s="1"/>
  <c r="N2278" i="13"/>
  <c r="J2277" i="13" a="1"/>
  <c r="J2277" i="13" s="1"/>
  <c r="M2281" i="14"/>
  <c r="J2276" i="14" a="1"/>
  <c r="J2276" i="14" s="1"/>
  <c r="N2277" i="14"/>
  <c r="M2280" i="13"/>
  <c r="K2091" i="13" l="1"/>
  <c r="L2091" i="13" s="1"/>
  <c r="I2092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092" i="13" l="1"/>
  <c r="L2092" i="13" s="1"/>
  <c r="I2093" i="13" s="1"/>
  <c r="K2115" i="14"/>
  <c r="L2115" i="14" s="1"/>
  <c r="I2116" i="14" s="1"/>
  <c r="N2279" i="14"/>
  <c r="J2278" i="14" a="1"/>
  <c r="J2278" i="14" s="1"/>
  <c r="J2279" i="13" a="1"/>
  <c r="J2279" i="13" s="1"/>
  <c r="N2280" i="13"/>
  <c r="M2283" i="14"/>
  <c r="M2282" i="13"/>
  <c r="K2093" i="13" l="1"/>
  <c r="L2093" i="13" s="1"/>
  <c r="I2094" i="13" s="1"/>
  <c r="K2116" i="14"/>
  <c r="L2116" i="14" s="1"/>
  <c r="I2117" i="14" s="1"/>
  <c r="J2280" i="13" a="1"/>
  <c r="J2280" i="13" s="1"/>
  <c r="N2281" i="13"/>
  <c r="M2283" i="13"/>
  <c r="M2284" i="14"/>
  <c r="N2280" i="14"/>
  <c r="J2279" i="14" a="1"/>
  <c r="J2279" i="14" s="1"/>
  <c r="K2094" i="13" l="1"/>
  <c r="L2094" i="13" s="1"/>
  <c r="I2095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5" i="13" l="1"/>
  <c r="L2095" i="13" s="1"/>
  <c r="I2096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6" i="13" l="1"/>
  <c r="L2096" i="13" s="1"/>
  <c r="I2097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097" i="13" l="1"/>
  <c r="L2097" i="13" s="1"/>
  <c r="I2098" i="13" s="1"/>
  <c r="K2120" i="14"/>
  <c r="L2120" i="14" s="1"/>
  <c r="I2121" i="14" s="1"/>
  <c r="J2284" i="13" a="1"/>
  <c r="J2284" i="13" s="1"/>
  <c r="N2285" i="13"/>
  <c r="N2284" i="14"/>
  <c r="J2283" i="14" a="1"/>
  <c r="J2283" i="14" s="1"/>
  <c r="M2288" i="14"/>
  <c r="M2287" i="13"/>
  <c r="K2098" i="13" l="1"/>
  <c r="L2098" i="13" s="1"/>
  <c r="I2099" i="13" s="1"/>
  <c r="K2121" i="14"/>
  <c r="L2121" i="14" s="1"/>
  <c r="I2122" i="14" s="1"/>
  <c r="M2288" i="13"/>
  <c r="J2284" i="14" a="1"/>
  <c r="J2284" i="14" s="1"/>
  <c r="N2285" i="14"/>
  <c r="N2286" i="13"/>
  <c r="J2285" i="13" a="1"/>
  <c r="J2285" i="13" s="1"/>
  <c r="M2289" i="14"/>
  <c r="K2099" i="13" l="1"/>
  <c r="L2099" i="13" s="1"/>
  <c r="I2100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00" i="13" l="1"/>
  <c r="L2100" i="13" s="1"/>
  <c r="I2101" i="13" s="1"/>
  <c r="K2123" i="14"/>
  <c r="L2123" i="14" s="1"/>
  <c r="I2124" i="14" s="1"/>
  <c r="M2290" i="13"/>
  <c r="J2287" i="13" a="1"/>
  <c r="J2287" i="13" s="1"/>
  <c r="N2288" i="13"/>
  <c r="M2291" i="14"/>
  <c r="N2287" i="14"/>
  <c r="J2286" i="14" a="1"/>
  <c r="J2286" i="14" s="1"/>
  <c r="K2101" i="13" l="1"/>
  <c r="L2101" i="13" s="1"/>
  <c r="I2102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2" i="13" l="1"/>
  <c r="L2102" i="13" s="1"/>
  <c r="I2103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03" i="13" l="1"/>
  <c r="L2103" i="13" s="1"/>
  <c r="I2104" i="13" s="1"/>
  <c r="K2126" i="14"/>
  <c r="L2126" i="14" s="1"/>
  <c r="I2127" i="14" s="1"/>
  <c r="J2289" i="14" a="1"/>
  <c r="J2289" i="14" s="1"/>
  <c r="N2290" i="14"/>
  <c r="M2294" i="14"/>
  <c r="J2290" i="13" a="1"/>
  <c r="J2290" i="13" s="1"/>
  <c r="N2291" i="13"/>
  <c r="M2293" i="13"/>
  <c r="K2104" i="13" l="1"/>
  <c r="L2104" i="13" s="1"/>
  <c r="I2105" i="13" s="1"/>
  <c r="K2127" i="14"/>
  <c r="L2127" i="14" s="1"/>
  <c r="I2128" i="14" s="1"/>
  <c r="J2291" i="13" a="1"/>
  <c r="J2291" i="13" s="1"/>
  <c r="N2292" i="13"/>
  <c r="M2295" i="14"/>
  <c r="M2294" i="13"/>
  <c r="J2290" i="14" a="1"/>
  <c r="J2290" i="14" s="1"/>
  <c r="N2291" i="14"/>
  <c r="K2105" i="13" l="1"/>
  <c r="L2105" i="13" s="1"/>
  <c r="I2106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6" i="13" l="1"/>
  <c r="L2106" i="13" s="1"/>
  <c r="I2107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07" i="13" l="1"/>
  <c r="L2107" i="13" s="1"/>
  <c r="I2108" i="13" s="1"/>
  <c r="K2130" i="14"/>
  <c r="L2130" i="14" s="1"/>
  <c r="I2131" i="14" s="1"/>
  <c r="J2293" i="14" a="1"/>
  <c r="J2293" i="14" s="1"/>
  <c r="N2294" i="14"/>
  <c r="M2297" i="13"/>
  <c r="M2298" i="14"/>
  <c r="J2294" i="13" a="1"/>
  <c r="J2294" i="13" s="1"/>
  <c r="N2295" i="13"/>
  <c r="K2108" i="13" l="1"/>
  <c r="L2108" i="13" s="1"/>
  <c r="I2109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09" i="13" l="1"/>
  <c r="L2109" i="13" s="1"/>
  <c r="I2110" i="13" s="1"/>
  <c r="K2132" i="14"/>
  <c r="L2132" i="14" s="1"/>
  <c r="I2133" i="14" s="1"/>
  <c r="J2296" i="13" a="1"/>
  <c r="J2296" i="13" s="1"/>
  <c r="N2297" i="13"/>
  <c r="N2296" i="14"/>
  <c r="J2295" i="14" a="1"/>
  <c r="J2295" i="14" s="1"/>
  <c r="M2299" i="13"/>
  <c r="M2300" i="14"/>
  <c r="K2110" i="13" l="1"/>
  <c r="L2110" i="13" s="1"/>
  <c r="I2111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K2111" i="13" l="1"/>
  <c r="L2111" i="13" s="1"/>
  <c r="I2112" i="13" s="1"/>
  <c r="J2297" i="14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 l="1"/>
  <c r="L2112" i="13" s="1"/>
  <c r="I2113" i="13" s="1"/>
  <c r="K2135" i="14"/>
  <c r="L2135" i="14" s="1"/>
  <c r="I2136" i="14" s="1"/>
  <c r="M2302" i="13"/>
  <c r="M2303" i="14"/>
  <c r="J2299" i="13" a="1"/>
  <c r="J2299" i="13" s="1"/>
  <c r="N2300" i="13"/>
  <c r="J2298" i="14" a="1"/>
  <c r="J2298" i="14" s="1"/>
  <c r="N2299" i="14"/>
  <c r="K2113" i="13" l="1"/>
  <c r="L2113" i="13" s="1"/>
  <c r="I2114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4" i="13" l="1"/>
  <c r="L2114" i="13" s="1"/>
  <c r="I2115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5" i="13" l="1"/>
  <c r="L2115" i="13" s="1"/>
  <c r="I2116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16" i="13" l="1"/>
  <c r="L2116" i="13" s="1"/>
  <c r="I2117" i="13" s="1"/>
  <c r="K2139" i="14"/>
  <c r="L2139" i="14" s="1"/>
  <c r="I2140" i="14" s="1"/>
  <c r="J2303" i="13" a="1"/>
  <c r="J2303" i="13" s="1"/>
  <c r="N2304" i="13"/>
  <c r="N2303" i="14"/>
  <c r="J2302" i="14" a="1"/>
  <c r="J2302" i="14" s="1"/>
  <c r="M2307" i="14"/>
  <c r="M2306" i="13"/>
  <c r="K2117" i="13" l="1"/>
  <c r="L2117" i="13" s="1"/>
  <c r="I2118" i="13" s="1"/>
  <c r="K2140" i="14"/>
  <c r="L2140" i="14" s="1"/>
  <c r="I2141" i="14" s="1"/>
  <c r="M2307" i="13"/>
  <c r="N2304" i="14"/>
  <c r="J2303" i="14" a="1"/>
  <c r="J2303" i="14" s="1"/>
  <c r="J2304" i="13" a="1"/>
  <c r="J2304" i="13" s="1"/>
  <c r="N2305" i="13"/>
  <c r="M2308" i="14"/>
  <c r="K2118" i="13" l="1"/>
  <c r="L2118" i="13" s="1"/>
  <c r="I2119" i="13" s="1"/>
  <c r="K2141" i="14"/>
  <c r="L2141" i="14" s="1"/>
  <c r="I2142" i="14" s="1"/>
  <c r="M2309" i="14"/>
  <c r="M2308" i="13"/>
  <c r="N2306" i="13"/>
  <c r="J2305" i="13" a="1"/>
  <c r="J2305" i="13" s="1"/>
  <c r="J2304" i="14" a="1"/>
  <c r="J2304" i="14" s="1"/>
  <c r="N2305" i="14"/>
  <c r="K2119" i="13" l="1"/>
  <c r="L2119" i="13" s="1"/>
  <c r="I2120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0" i="13" l="1"/>
  <c r="L2120" i="13" s="1"/>
  <c r="I2121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21" i="13" l="1"/>
  <c r="L2121" i="13" s="1"/>
  <c r="I2122" i="13" s="1"/>
  <c r="K2144" i="14"/>
  <c r="L2144" i="14" s="1"/>
  <c r="I2145" i="14" s="1"/>
  <c r="M2312" i="14"/>
  <c r="N2308" i="14"/>
  <c r="J2307" i="14" a="1"/>
  <c r="J2307" i="14" s="1"/>
  <c r="J2308" i="13" a="1"/>
  <c r="J2308" i="13" s="1"/>
  <c r="N2309" i="13"/>
  <c r="M2311" i="13"/>
  <c r="K2122" i="13" l="1"/>
  <c r="L2122" i="13" s="1"/>
  <c r="I2123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23" i="13" l="1"/>
  <c r="L2123" i="13" s="1"/>
  <c r="I2124" i="13" s="1"/>
  <c r="K2146" i="14"/>
  <c r="L2146" i="14" s="1"/>
  <c r="I2147" i="14" s="1"/>
  <c r="J2309" i="14" a="1"/>
  <c r="J2309" i="14" s="1"/>
  <c r="N2310" i="14"/>
  <c r="M2314" i="14"/>
  <c r="M2313" i="13"/>
  <c r="J2310" i="13" a="1"/>
  <c r="J2310" i="13" s="1"/>
  <c r="N2311" i="13"/>
  <c r="K2124" i="13" l="1"/>
  <c r="L2124" i="13" s="1"/>
  <c r="I2125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5" i="13" l="1"/>
  <c r="L2125" i="13" s="1"/>
  <c r="I2126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26" i="13" l="1"/>
  <c r="L2126" i="13" s="1"/>
  <c r="I2127" i="13" s="1"/>
  <c r="K2149" i="14"/>
  <c r="L2149" i="14" s="1"/>
  <c r="I2150" i="14" s="1"/>
  <c r="M2316" i="13"/>
  <c r="N2314" i="13"/>
  <c r="J2313" i="13" a="1"/>
  <c r="J2313" i="13" s="1"/>
  <c r="M2317" i="14"/>
  <c r="J2312" i="14" a="1"/>
  <c r="J2312" i="14" s="1"/>
  <c r="N2313" i="14"/>
  <c r="K2127" i="13" l="1"/>
  <c r="L2127" i="13" s="1"/>
  <c r="I2128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8" i="13" l="1"/>
  <c r="L2128" i="13" s="1"/>
  <c r="I2129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29" i="13" l="1"/>
  <c r="L2129" i="13" s="1"/>
  <c r="I2130" i="13" s="1"/>
  <c r="K2152" i="14"/>
  <c r="L2152" i="14" s="1"/>
  <c r="I2153" i="14" s="1"/>
  <c r="J2316" i="13" a="1"/>
  <c r="J2316" i="13" s="1"/>
  <c r="N2317" i="13"/>
  <c r="M2319" i="13"/>
  <c r="M2320" i="14"/>
  <c r="N2316" i="14"/>
  <c r="J2315" i="14" a="1"/>
  <c r="J2315" i="14" s="1"/>
  <c r="K2130" i="13" l="1"/>
  <c r="L2130" i="13" s="1"/>
  <c r="I2131" i="13" s="1"/>
  <c r="M2321" i="14"/>
  <c r="M2320" i="13"/>
  <c r="J2316" i="14" a="1"/>
  <c r="J2316" i="14" s="1"/>
  <c r="N2317" i="14"/>
  <c r="N2318" i="13"/>
  <c r="J2317" i="13" a="1"/>
  <c r="J2317" i="13" s="1"/>
  <c r="K2153" i="14"/>
  <c r="L2153" i="14" s="1"/>
  <c r="I2154" i="14" s="1"/>
  <c r="K2131" i="13" l="1"/>
  <c r="L2131" i="13" s="1"/>
  <c r="I2132" i="13" s="1"/>
  <c r="K2154" i="14"/>
  <c r="L2154" i="14" s="1"/>
  <c r="I2155" i="14" s="1"/>
  <c r="J2317" i="14" a="1"/>
  <c r="J2317" i="14" s="1"/>
  <c r="N2318" i="14"/>
  <c r="M2321" i="13"/>
  <c r="J2318" i="13" a="1"/>
  <c r="J2318" i="13" s="1"/>
  <c r="N2319" i="13"/>
  <c r="M2322" i="14"/>
  <c r="K2132" i="13" l="1"/>
  <c r="L2132" i="13" s="1"/>
  <c r="I2133" i="13" s="1"/>
  <c r="K2155" i="14"/>
  <c r="L2155" i="14" s="1"/>
  <c r="I2156" i="14" s="1"/>
  <c r="M2323" i="14"/>
  <c r="M2322" i="13"/>
  <c r="J2319" i="13" a="1"/>
  <c r="J2319" i="13" s="1"/>
  <c r="N2320" i="13"/>
  <c r="N2319" i="14"/>
  <c r="J2318" i="14" a="1"/>
  <c r="J2318" i="14" s="1"/>
  <c r="K2133" i="13" l="1"/>
  <c r="L2133" i="13" s="1"/>
  <c r="I2134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34" i="13" l="1"/>
  <c r="L2134" i="13" s="1"/>
  <c r="I2135" i="13" s="1"/>
  <c r="K2157" i="14"/>
  <c r="L2157" i="14" s="1"/>
  <c r="I2158" i="14" s="1"/>
  <c r="N2322" i="13"/>
  <c r="J2321" i="13" a="1"/>
  <c r="J2321" i="13" s="1"/>
  <c r="M2325" i="14"/>
  <c r="M2324" i="13"/>
  <c r="J2320" i="14" a="1"/>
  <c r="J2320" i="14" s="1"/>
  <c r="N2321" i="14"/>
  <c r="K2135" i="13" l="1"/>
  <c r="L2135" i="13" s="1"/>
  <c r="I2136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6" i="13" l="1"/>
  <c r="L2136" i="13" s="1"/>
  <c r="I2137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37" i="13" l="1"/>
  <c r="L2137" i="13" s="1"/>
  <c r="I2138" i="13" s="1"/>
  <c r="K2160" i="14"/>
  <c r="L2160" i="14" s="1"/>
  <c r="I2161" i="14" s="1"/>
  <c r="J2324" i="13" a="1"/>
  <c r="J2324" i="13" s="1"/>
  <c r="N2325" i="13"/>
  <c r="M2327" i="13"/>
  <c r="N2324" i="14"/>
  <c r="J2323" i="14" a="1"/>
  <c r="J2323" i="14" s="1"/>
  <c r="M2328" i="14"/>
  <c r="K2138" i="13" l="1"/>
  <c r="L2138" i="13" s="1"/>
  <c r="I2139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39" i="13" l="1"/>
  <c r="L2139" i="13" s="1"/>
  <c r="I2140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0" i="13" l="1"/>
  <c r="L2140" i="13" s="1"/>
  <c r="I2141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1" i="13" l="1"/>
  <c r="L2141" i="13" s="1"/>
  <c r="I2142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2" i="13" l="1"/>
  <c r="L2142" i="13" s="1"/>
  <c r="I2143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43" i="13" l="1"/>
  <c r="L2143" i="13" s="1"/>
  <c r="I2144" i="13" s="1"/>
  <c r="K2166" i="14"/>
  <c r="L2166" i="14" s="1"/>
  <c r="I2167" i="14" s="1"/>
  <c r="J2329" i="14" a="1"/>
  <c r="J2329" i="14" s="1"/>
  <c r="N2330" i="14"/>
  <c r="M2334" i="14"/>
  <c r="J2330" i="13" a="1"/>
  <c r="J2330" i="13" s="1"/>
  <c r="N2331" i="13"/>
  <c r="M2333" i="13"/>
  <c r="K2144" i="13" l="1"/>
  <c r="L2144" i="13" s="1"/>
  <c r="I2145" i="13" s="1"/>
  <c r="K2167" i="14"/>
  <c r="L2167" i="14" s="1"/>
  <c r="I2168" i="14" s="1"/>
  <c r="M2335" i="14"/>
  <c r="J2330" i="14" a="1"/>
  <c r="J2330" i="14" s="1"/>
  <c r="N2331" i="14"/>
  <c r="M2334" i="13"/>
  <c r="J2331" i="13" a="1"/>
  <c r="J2331" i="13" s="1"/>
  <c r="N2332" i="13"/>
  <c r="K2145" i="13" l="1"/>
  <c r="L2145" i="13" s="1"/>
  <c r="I2146" i="13" s="1"/>
  <c r="K2168" i="14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 l="1"/>
  <c r="L2146" i="13" s="1"/>
  <c r="I2147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47" i="13" l="1"/>
  <c r="L2147" i="13" s="1"/>
  <c r="I2148" i="13" s="1"/>
  <c r="K2170" i="14"/>
  <c r="L2170" i="14" s="1"/>
  <c r="I2171" i="14" s="1"/>
  <c r="J2333" i="14" a="1"/>
  <c r="J2333" i="14" s="1"/>
  <c r="N2334" i="14"/>
  <c r="M2337" i="13"/>
  <c r="M2338" i="14"/>
  <c r="J2334" i="13" a="1"/>
  <c r="J2334" i="13" s="1"/>
  <c r="N2335" i="13"/>
  <c r="K2148" i="13" l="1"/>
  <c r="L2148" i="13" s="1"/>
  <c r="I2149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49" i="13" l="1"/>
  <c r="L2149" i="13" s="1"/>
  <c r="I2150" i="13" s="1"/>
  <c r="K2172" i="14"/>
  <c r="L2172" i="14" s="1"/>
  <c r="I2173" i="14" s="1"/>
  <c r="J2336" i="13" a="1"/>
  <c r="J2336" i="13" s="1"/>
  <c r="N2337" i="13"/>
  <c r="M2340" i="14"/>
  <c r="M2339" i="13"/>
  <c r="N2336" i="14"/>
  <c r="J2335" i="14" a="1"/>
  <c r="J2335" i="14" s="1"/>
  <c r="K2150" i="13" l="1"/>
  <c r="L2150" i="13" s="1"/>
  <c r="I2151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51" i="13" l="1"/>
  <c r="L2151" i="13" s="1"/>
  <c r="I2152" i="13" s="1"/>
  <c r="K2174" i="14"/>
  <c r="L2174" i="14" s="1"/>
  <c r="I2175" i="14" s="1"/>
  <c r="J2338" i="13" a="1"/>
  <c r="J2338" i="13" s="1"/>
  <c r="N2339" i="13"/>
  <c r="M2341" i="13"/>
  <c r="M2342" i="14"/>
  <c r="J2337" i="14" a="1"/>
  <c r="J2337" i="14" s="1"/>
  <c r="N2338" i="14"/>
  <c r="K2152" i="13" l="1"/>
  <c r="L2152" i="13" s="1"/>
  <c r="I2153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3" i="13" l="1"/>
  <c r="L2153" i="13" s="1"/>
  <c r="I2154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54" i="13" l="1"/>
  <c r="L2154" i="13" s="1"/>
  <c r="I2155" i="13" s="1"/>
  <c r="K2177" i="14"/>
  <c r="L2177" i="14" s="1"/>
  <c r="I2178" i="14" s="1"/>
  <c r="N2342" i="13"/>
  <c r="J2341" i="13" a="1"/>
  <c r="J2341" i="13" s="1"/>
  <c r="M2345" i="14"/>
  <c r="M2344" i="13"/>
  <c r="J2340" i="14" a="1"/>
  <c r="J2340" i="14" s="1"/>
  <c r="N2341" i="14"/>
  <c r="K2155" i="13" l="1"/>
  <c r="L2155" i="13" s="1"/>
  <c r="I2156" i="13" s="1"/>
  <c r="K2178" i="14"/>
  <c r="L2178" i="14" s="1"/>
  <c r="I2179" i="14" s="1"/>
  <c r="J2341" i="14" a="1"/>
  <c r="J2341" i="14" s="1"/>
  <c r="N2342" i="14"/>
  <c r="M2346" i="14"/>
  <c r="M2345" i="13"/>
  <c r="J2342" i="13" a="1"/>
  <c r="J2342" i="13" s="1"/>
  <c r="N2343" i="13"/>
  <c r="K2156" i="13" l="1"/>
  <c r="L2156" i="13" s="1"/>
  <c r="I2157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57" i="13" l="1"/>
  <c r="L2157" i="13" s="1"/>
  <c r="I2158" i="13" s="1"/>
  <c r="K2180" i="14"/>
  <c r="L2180" i="14" s="1"/>
  <c r="I2181" i="14" s="1"/>
  <c r="N2344" i="14"/>
  <c r="J2343" i="14" a="1"/>
  <c r="J2343" i="14" s="1"/>
  <c r="M2347" i="13"/>
  <c r="M2348" i="14"/>
  <c r="J2344" i="13" a="1"/>
  <c r="J2344" i="13" s="1"/>
  <c r="N2345" i="13"/>
  <c r="K2158" i="13" l="1"/>
  <c r="L2158" i="13" s="1"/>
  <c r="I2159" i="13" s="1"/>
  <c r="K2181" i="14"/>
  <c r="L2181" i="14" s="1"/>
  <c r="I2182" i="14" s="1"/>
  <c r="N2346" i="13"/>
  <c r="J2345" i="13" a="1"/>
  <c r="J2345" i="13" s="1"/>
  <c r="M2348" i="13"/>
  <c r="M2349" i="14"/>
  <c r="J2344" i="14" a="1"/>
  <c r="J2344" i="14" s="1"/>
  <c r="N2345" i="14"/>
  <c r="K2159" i="13" l="1"/>
  <c r="L2159" i="13" s="1"/>
  <c r="I2160" i="13" s="1"/>
  <c r="K2160" i="13" s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<sst xmlns="http://schemas.openxmlformats.org/spreadsheetml/2006/main" count="3540" uniqueCount="947">
  <si>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</si>
  <si>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</si>
  <si>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</si>
  <si>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</si>
  <si>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</si>
  <si>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</si>
  <si>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</si>
  <si>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</si>
  <si>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</si>
  <si>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</si>
  <si>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</si>
  <si>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</si>
  <si>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</si>
  <si>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</si>
  <si>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</si>
  <si>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</si>
  <si>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</si>
  <si>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</si>
  <si>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</si>
  <si>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</si>
  <si>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</si>
  <si>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</si>
  <si>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</si>
  <si>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</si>
  <si>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</si>
  <si>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</si>
  <si>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</si>
  <si>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</si>
  <si>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</si>
  <si>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</si>
  <si>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</si>
  <si>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</si>
  <si>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</si>
  <si>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</si>
  <si>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</si>
  <si>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</si>
  <si>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</si>
  <si>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</si>
  <si>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</si>
  <si>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</si>
  <si>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</si>
  <si>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</si>
  <si>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</si>
  <si>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</si>
  <si>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</si>
  <si>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</si>
  <si>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</si>
  <si>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</si>
  <si>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</si>
  <si>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</si>
  <si>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</si>
  <si>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</si>
  <si>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</si>
  <si>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</si>
  <si>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</si>
  <si>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</si>
  <si>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</si>
  <si>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</si>
  <si>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</si>
  <si>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</si>
  <si>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</si>
  <si>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</si>
  <si>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</si>
  <si>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</si>
  <si>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</si>
  <si>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</si>
  <si>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</si>
  <si>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</si>
  <si>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</si>
  <si>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</si>
  <si>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</si>
  <si>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</si>
  <si>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</si>
  <si>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</si>
  <si>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</si>
  <si>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</si>
  <si>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</si>
  <si>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</si>
  <si>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</si>
  <si>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</si>
  <si>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</si>
  <si>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</si>
  <si>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</si>
  <si>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</si>
  <si>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</si>
  <si>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</si>
  <si>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</si>
  <si>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</si>
  <si>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</si>
  <si>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</si>
  <si>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</si>
  <si>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</si>
  <si>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</si>
  <si>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</si>
  <si>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</si>
  <si>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</si>
  <si>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</si>
  <si>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</si>
  <si>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</si>
  <si>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</si>
  <si>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</si>
  <si>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</si>
  <si>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</si>
  <si>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</si>
  <si>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</si>
  <si>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</si>
  <si>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</si>
  <si>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</si>
  <si>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</si>
  <si>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</si>
  <si>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</si>
  <si>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</si>
  <si>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</si>
  <si>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</si>
  <si>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</si>
  <si>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</si>
  <si>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</si>
  <si>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</si>
  <si>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</si>
  <si>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</si>
  <si>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</si>
  <si>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</si>
  <si>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</si>
  <si>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</si>
  <si>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</si>
  <si>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</si>
  <si>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</si>
  <si>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</si>
  <si>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</si>
  <si>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</si>
  <si>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</si>
  <si>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</si>
  <si>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</si>
  <si>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</si>
  <si>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</si>
  <si>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</si>
  <si>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</si>
  <si>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</si>
  <si>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</si>
  <si>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</si>
  <si>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</si>
  <si>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</si>
  <si>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</si>
  <si>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</si>
  <si>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</si>
  <si>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</si>
  <si>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</si>
  <si>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</si>
  <si>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</si>
  <si>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</si>
  <si>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</si>
  <si>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</si>
  <si>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</si>
  <si>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</si>
  <si>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</si>
  <si>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</si>
  <si>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</si>
  <si>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</si>
  <si>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</si>
  <si>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</si>
  <si>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</si>
  <si>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</si>
  <si>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</si>
  <si>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</si>
  <si>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</si>
  <si>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</si>
  <si>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</si>
  <si>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</si>
  <si>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</si>
  <si>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</si>
  <si>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</si>
  <si>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</si>
  <si>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</si>
  <si>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</si>
  <si>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</si>
  <si>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</si>
  <si>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</si>
  <si>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</si>
  <si>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</si>
  <si>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</si>
  <si>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</si>
  <si>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</si>
  <si>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</si>
  <si>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</si>
  <si>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</si>
  <si>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</si>
  <si>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</si>
  <si>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</si>
  <si>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</si>
  <si>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</si>
  <si>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</si>
  <si>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</si>
  <si>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</si>
  <si>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</si>
  <si>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</si>
  <si>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</si>
  <si>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</si>
  <si>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</si>
  <si>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</si>
  <si>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</si>
  <si>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</si>
  <si>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</si>
  <si>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</si>
  <si>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</si>
  <si>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</si>
  <si>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</si>
  <si>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</si>
  <si>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</si>
  <si>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</si>
  <si>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</si>
  <si>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</si>
  <si>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</si>
  <si>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</si>
  <si>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</si>
  <si>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</si>
  <si>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</si>
  <si>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</si>
  <si>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</si>
  <si>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</si>
  <si>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</si>
  <si>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</si>
  <si>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</si>
  <si>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</si>
  <si>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</si>
  <si>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</si>
  <si>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</si>
  <si>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</si>
  <si>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</si>
  <si>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</si>
  <si>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</si>
  <si>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</si>
  <si>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</si>
  <si>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</si>
  <si>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</si>
  <si>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</si>
  <si>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</si>
  <si>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</si>
  <si>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</si>
  <si>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</si>
  <si>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</si>
  <si>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</si>
  <si>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</si>
  <si>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</si>
  <si>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</si>
  <si>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</si>
  <si>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</si>
  <si>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</si>
  <si>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</si>
  <si>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</si>
  <si>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</si>
  <si>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</si>
  <si>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</si>
  <si>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</si>
  <si>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</si>
  <si>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</si>
  <si>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</si>
  <si>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</si>
  <si>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</si>
  <si>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</si>
  <si>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</si>
  <si>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</si>
  <si>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</si>
  <si>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</si>
  <si>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</si>
  <si>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</si>
  <si>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</si>
  <si>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</si>
  <si>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</si>
  <si>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</si>
  <si>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</si>
  <si>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</si>
  <si>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</si>
  <si>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</si>
  <si>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</si>
  <si>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</si>
  <si>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</si>
  <si>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</si>
  <si>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</si>
  <si>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</si>
  <si>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</si>
  <si>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</si>
  <si>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</si>
  <si>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</si>
  <si>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</si>
  <si>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</si>
  <si>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</si>
  <si>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</si>
  <si>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</si>
  <si>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</si>
  <si>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</si>
  <si>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</si>
  <si>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</si>
  <si>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</si>
  <si>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</si>
  <si>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</si>
  <si>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</si>
  <si>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</si>
  <si>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</si>
  <si>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</si>
  <si>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</si>
  <si>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</si>
  <si>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</si>
  <si>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</si>
  <si>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</si>
  <si>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</si>
  <si>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</si>
  <si>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</si>
  <si>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</si>
  <si>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</si>
  <si>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</si>
  <si>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</si>
  <si>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</si>
  <si>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</si>
  <si>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</si>
  <si>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</si>
  <si>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</si>
  <si>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</si>
  <si>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</si>
  <si>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</si>
  <si>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</si>
  <si>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</si>
  <si>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</si>
  <si>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</si>
  <si>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</si>
  <si>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</si>
  <si>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</si>
  <si>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</si>
  <si>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</si>
  <si>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</si>
  <si>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</si>
  <si>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</si>
  <si>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</si>
  <si>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</si>
  <si>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</si>
  <si>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</si>
  <si>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</si>
  <si>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</si>
  <si>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</si>
  <si>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</si>
  <si>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</si>
  <si>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</si>
  <si>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</si>
  <si>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</si>
  <si>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</si>
  <si>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</si>
  <si>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</si>
  <si>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</si>
  <si>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</si>
  <si>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</si>
  <si>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</si>
  <si>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</si>
  <si>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</si>
  <si>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</si>
  <si>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</si>
  <si>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</si>
  <si>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</si>
  <si>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</si>
  <si>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</si>
  <si>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</si>
  <si>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</si>
  <si>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</si>
  <si>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</si>
  <si>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</si>
  <si>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</si>
  <si>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</si>
  <si>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</si>
  <si>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</si>
  <si>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</si>
  <si>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</si>
  <si>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</si>
  <si>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</si>
  <si>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</si>
  <si>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</si>
  <si>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</si>
  <si>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</si>
  <si>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</si>
  <si>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</si>
  <si>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</si>
  <si>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</si>
  <si>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</si>
  <si>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</si>
  <si>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</si>
  <si>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</si>
  <si>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</si>
  <si>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</si>
  <si>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</si>
  <si>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</si>
  <si>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</si>
  <si>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</si>
  <si>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</si>
  <si>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</si>
  <si>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</si>
  <si>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</si>
  <si>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</si>
  <si>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</si>
  <si>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</si>
  <si>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</si>
  <si>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Lowes</t>
  </si>
  <si>
    <t>Action Network</t>
  </si>
  <si>
    <t>Northfield Park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</si>
  <si>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</si>
  <si>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</si>
  <si>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</si>
  <si>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</si>
  <si>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</si>
  <si>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</si>
  <si>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</si>
  <si>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</si>
  <si>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</si>
  <si>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</si>
  <si>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</si>
  <si>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</si>
  <si>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</si>
  <si>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</si>
  <si>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</si>
  <si>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</si>
  <si>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</si>
  <si>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</si>
  <si>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</si>
  <si>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</si>
  <si>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</si>
  <si>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</si>
  <si>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</si>
  <si>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</si>
  <si>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</si>
  <si>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</si>
  <si>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</si>
  <si>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</si>
  <si>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</si>
  <si>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</si>
  <si>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X-Golf</t>
  </si>
  <si>
    <t>GetGo</t>
  </si>
  <si>
    <t>Luckys Bar and Grill</t>
  </si>
  <si>
    <t>Julie - Car Insurance</t>
  </si>
  <si>
    <t>Austin Food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</si>
  <si>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</si>
  <si>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</si>
  <si>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</si>
  <si>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</si>
  <si>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</si>
  <si>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</si>
  <si>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</si>
  <si>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</si>
  <si>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</si>
  <si>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</si>
  <si>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</si>
  <si>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</si>
  <si>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</si>
  <si>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</si>
  <si>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</si>
  <si>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</si>
  <si>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</si>
  <si>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</si>
  <si>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</si>
  <si>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</si>
  <si>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</si>
  <si>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</si>
  <si>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</si>
  <si>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</si>
  <si>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</si>
  <si>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</si>
  <si>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Frontier Airlines</t>
  </si>
  <si>
    <t>Home Depot - Kitchen Remodel</t>
  </si>
  <si>
    <t>Shotz Bar</t>
  </si>
  <si>
    <t>Transfer to Venmo - Kathleen Chambers;Challenge</t>
  </si>
  <si>
    <t>Sorrento</t>
  </si>
  <si>
    <t>Cash from Casino</t>
  </si>
  <si>
    <t>Garretts Mill Diner</t>
  </si>
  <si>
    <t>Accelerated Fitness</t>
  </si>
  <si>
    <t>Guard Hotel</t>
  </si>
  <si>
    <t>Fairview Tavern</t>
  </si>
  <si>
    <t>PJ McIntyres</t>
  </si>
  <si>
    <t>Zack Drzik - Oil Change</t>
  </si>
  <si>
    <t>Winking Lizard</t>
  </si>
  <si>
    <t>January Rent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</si>
  <si>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</si>
  <si>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</si>
  <si>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</si>
  <si>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</si>
  <si>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</si>
  <si>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</si>
  <si>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</si>
  <si>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</si>
  <si>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</si>
  <si>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</si>
  <si>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</si>
  <si>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</si>
  <si>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</si>
  <si>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</si>
  <si>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</si>
  <si>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</si>
  <si>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</si>
  <si>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</si>
  <si>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</si>
  <si>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</si>
  <si>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</si>
  <si>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</si>
  <si>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</si>
  <si>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</si>
  <si>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</si>
  <si>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</si>
  <si>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</si>
  <si>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</si>
  <si>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</si>
  <si>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</si>
  <si>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</si>
  <si>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</si>
  <si>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</si>
  <si>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</si>
  <si>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</si>
  <si>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</si>
  <si>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</si>
  <si>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</si>
  <si>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</si>
  <si>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</si>
  <si>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</si>
  <si>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</si>
  <si>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</si>
  <si>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</si>
  <si>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</si>
  <si>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</si>
  <si>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</si>
  <si>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</si>
  <si>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</si>
  <si>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</si>
  <si>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</si>
  <si>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</si>
  <si>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</si>
  <si>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</si>
  <si>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</si>
  <si>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</si>
  <si>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</si>
  <si>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</si>
  <si>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</si>
  <si>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</si>
  <si>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</si>
  <si>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</si>
  <si>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</si>
  <si>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</si>
  <si>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</si>
  <si>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</si>
  <si>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</si>
  <si>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</si>
  <si>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</si>
  <si>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</si>
  <si>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</si>
  <si>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</si>
  <si>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</si>
  <si>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</si>
  <si>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</si>
  <si>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</si>
  <si>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</si>
  <si>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</si>
  <si>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</si>
  <si>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</si>
  <si>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</si>
  <si>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</si>
  <si>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</si>
  <si>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</si>
  <si>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</si>
  <si>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</si>
  <si>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</si>
  <si>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</si>
  <si>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</si>
  <si>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</si>
  <si>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</si>
  <si>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</si>
  <si>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</si>
  <si>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</si>
  <si>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</si>
  <si>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</si>
  <si>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</si>
  <si>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</si>
  <si>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</si>
  <si>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</si>
  <si>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</si>
  <si>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</si>
  <si>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</si>
  <si>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</si>
  <si>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</si>
  <si>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</si>
  <si>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</si>
  <si>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</si>
  <si>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</si>
  <si>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</si>
  <si>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</si>
  <si>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</si>
  <si>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</si>
  <si>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</si>
  <si>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</si>
  <si>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</si>
  <si>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</si>
  <si>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</si>
  <si>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</si>
  <si>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</si>
  <si>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</si>
  <si>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</si>
  <si>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</si>
  <si>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</si>
  <si>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</si>
  <si>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</si>
  <si>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</si>
  <si>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</si>
  <si>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</si>
  <si>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</si>
  <si>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</si>
  <si>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</si>
  <si>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</si>
  <si>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</si>
  <si>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</si>
  <si>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</si>
  <si>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</si>
  <si>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</si>
  <si>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</si>
  <si>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</si>
  <si>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</si>
  <si>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</si>
  <si>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</si>
  <si>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</si>
  <si>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</si>
  <si>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</si>
  <si>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</si>
  <si>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</si>
  <si>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</si>
  <si>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</si>
  <si>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</si>
  <si>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</si>
  <si>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</si>
  <si>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</si>
  <si>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</si>
  <si>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</si>
  <si>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</si>
  <si>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</si>
  <si>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</si>
  <si>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</si>
  <si>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</si>
  <si>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</si>
  <si>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</si>
  <si>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</si>
  <si>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</si>
  <si>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</si>
  <si>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</si>
  <si>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</si>
  <si>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</si>
  <si>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</si>
  <si>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</si>
  <si>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</si>
  <si>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</si>
  <si>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</si>
  <si>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</si>
  <si>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</si>
  <si>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</si>
  <si>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</si>
  <si>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</si>
  <si>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</si>
  <si>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</si>
  <si>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</si>
  <si>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</si>
  <si>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</si>
  <si>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</si>
  <si>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</si>
  <si>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</si>
  <si>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</si>
  <si>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</si>
  <si>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</si>
  <si>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</si>
  <si>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</si>
  <si>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</si>
  <si>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</si>
  <si>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</si>
  <si>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</si>
  <si>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</si>
  <si>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</si>
  <si>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</si>
  <si>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</si>
  <si>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</si>
  <si>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</si>
  <si>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</si>
  <si>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</si>
  <si>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</si>
  <si>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</si>
  <si>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</si>
  <si>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</si>
  <si>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</si>
  <si>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</si>
  <si>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</si>
  <si>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</si>
  <si>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</si>
  <si>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</si>
  <si>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</si>
  <si>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</si>
  <si>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</si>
  <si>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</si>
  <si>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</si>
  <si>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</si>
  <si>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</si>
  <si>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</si>
  <si>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</si>
  <si>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</si>
  <si>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</si>
  <si>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</si>
  <si>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</si>
  <si>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</si>
  <si>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</si>
  <si>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</si>
  <si>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</si>
  <si>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</si>
  <si>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</si>
  <si>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</si>
  <si>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</si>
  <si>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</si>
  <si>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</si>
  <si>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</si>
  <si>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</si>
  <si>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</si>
  <si>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</si>
  <si>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</si>
  <si>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</si>
  <si>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</si>
  <si>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</si>
  <si>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</si>
  <si>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</si>
  <si>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</si>
  <si>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</si>
  <si>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</si>
  <si>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</si>
  <si>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</si>
  <si>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</si>
  <si>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</si>
  <si>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</si>
  <si>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</si>
  <si>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</si>
  <si>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</si>
  <si>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</si>
  <si>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</si>
  <si>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</si>
  <si>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</si>
  <si>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</si>
  <si>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</si>
  <si>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</si>
  <si>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</si>
  <si>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</si>
  <si>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</si>
  <si>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</si>
  <si>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</si>
  <si>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</si>
  <si>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</si>
  <si>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</si>
  <si>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</si>
  <si>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</si>
  <si>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</si>
  <si>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</si>
  <si>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</si>
  <si>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</si>
  <si>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</si>
  <si>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</si>
  <si>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</si>
  <si>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</si>
  <si>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</si>
  <si>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</si>
  <si>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</si>
  <si>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</si>
  <si>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</si>
  <si>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</si>
  <si>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</si>
  <si>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</si>
  <si>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</si>
  <si>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</si>
  <si>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</si>
  <si>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</si>
  <si>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</si>
  <si>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</si>
  <si>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</si>
  <si>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</si>
  <si>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</si>
  <si>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</si>
  <si>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</si>
  <si>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</si>
  <si>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</si>
  <si>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</si>
  <si>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</si>
  <si>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</si>
  <si>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</si>
  <si>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</si>
  <si>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</si>
  <si>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</si>
  <si>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</si>
  <si>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</si>
  <si>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</si>
  <si>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</si>
  <si>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</si>
  <si>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</si>
  <si>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</si>
  <si>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</si>
  <si>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</si>
  <si>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</si>
  <si>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</si>
  <si>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</si>
  <si>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</si>
  <si>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</si>
  <si>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</si>
  <si>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</si>
  <si>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</si>
  <si>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</si>
  <si>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</si>
  <si>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</si>
  <si>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</si>
  <si>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</si>
  <si>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</si>
  <si>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</si>
  <si>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</si>
  <si>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</si>
  <si>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</si>
  <si>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</si>
  <si>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</si>
  <si>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</si>
  <si>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</si>
  <si>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</si>
  <si>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</si>
  <si>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</si>
  <si>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</si>
  <si>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</si>
  <si>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</si>
  <si>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</si>
  <si>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</si>
  <si>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</si>
  <si>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</si>
  <si>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</si>
  <si>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</si>
  <si>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</si>
  <si>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</si>
  <si>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</si>
  <si>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</si>
  <si>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</si>
  <si>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</si>
  <si>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</si>
  <si>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</si>
  <si>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</si>
  <si>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</si>
  <si>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</si>
  <si>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</si>
  <si>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</si>
  <si>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</si>
  <si>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</si>
  <si>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</si>
  <si>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</si>
  <si>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</si>
  <si>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</si>
  <si>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</si>
  <si>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</si>
  <si>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</si>
  <si>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</si>
  <si>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</si>
  <si>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</si>
  <si>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</si>
  <si>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</si>
  <si>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</si>
  <si>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</si>
  <si>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</si>
  <si>
    <t>Sportsbooks Withdrawal</t>
  </si>
  <si>
    <t>E-Zpass</t>
  </si>
  <si>
    <t>Amazon - Kindle Unlimited</t>
  </si>
  <si>
    <t>Amazon - Prime Video</t>
  </si>
  <si>
    <t>Cash App - Yasmary</t>
  </si>
  <si>
    <t>Cash App - Superbowl Squares</t>
  </si>
  <si>
    <t>Cash App - Starbucks</t>
  </si>
  <si>
    <t>Cash App - McDonalds</t>
  </si>
  <si>
    <t>Backstage Bar</t>
  </si>
  <si>
    <t>Fujiyama</t>
  </si>
  <si>
    <t>Coastal Local Seafood</t>
  </si>
  <si>
    <t>El Vaquero</t>
  </si>
  <si>
    <t>ATM Withdrawal - Columbus</t>
  </si>
  <si>
    <t>Transfer to Venmo - Kate Thomas</t>
  </si>
  <si>
    <t>Cash App - Shop Funds</t>
  </si>
  <si>
    <t>Barleys Brewing Compnay</t>
  </si>
  <si>
    <t>Barrel &amp; Bottle</t>
  </si>
  <si>
    <t>Pool Maintenance - Robot (Amazon)</t>
  </si>
  <si>
    <t>Cash - Misc</t>
  </si>
  <si>
    <t>Cash - Food</t>
  </si>
  <si>
    <t>Cash - Entertainment</t>
  </si>
  <si>
    <t>World Market</t>
  </si>
  <si>
    <t>PJ McIntyre's Irish Pub</t>
  </si>
  <si>
    <t>Dantes Pizza - Lorri Refund</t>
  </si>
  <si>
    <t>Amazon Marketplace - Robot Vacuum</t>
  </si>
  <si>
    <t>BP</t>
  </si>
  <si>
    <t>ATM Withdrawal - Grad Party</t>
  </si>
  <si>
    <t>May Transfer</t>
  </si>
  <si>
    <t>Dantes Pizza - Cleveland Clinic</t>
  </si>
  <si>
    <t>Transfer to Venmo - Dominic Cruz; Golf Outing</t>
  </si>
  <si>
    <t>Transfer to Venmo - Stroke Awareness</t>
  </si>
  <si>
    <t>Lowes - Landscaping</t>
  </si>
  <si>
    <t>Pandys Garden Center - Landscaping</t>
  </si>
  <si>
    <t>Five Below</t>
  </si>
  <si>
    <t>2003 Toyota Corolla</t>
  </si>
  <si>
    <t>Le Petit</t>
  </si>
  <si>
    <t>May Savings</t>
  </si>
  <si>
    <t>Transfer to Kraken</t>
  </si>
  <si>
    <t>Transfer to M1</t>
  </si>
  <si>
    <t>Uber One Membership</t>
  </si>
  <si>
    <t>Online Food Order</t>
  </si>
  <si>
    <t>GM Financial (1 payment left)</t>
  </si>
  <si>
    <t>Lowes Rewards CC - Kitchen</t>
  </si>
  <si>
    <t>First Energy - Main</t>
  </si>
  <si>
    <t>Water My Battery</t>
  </si>
  <si>
    <t>Marathon</t>
  </si>
  <si>
    <t>The Clean Plate</t>
  </si>
  <si>
    <t>HDSA.org</t>
  </si>
  <si>
    <t>Interest Income</t>
  </si>
  <si>
    <t>Amazon Prime</t>
  </si>
  <si>
    <t>May Rent</t>
  </si>
  <si>
    <t>Rays Auto - RV Service</t>
  </si>
  <si>
    <t>Progressive Insurance</t>
  </si>
  <si>
    <t>RV Service/Repair</t>
  </si>
  <si>
    <t>Golf Outing - Dominic Cruz</t>
  </si>
  <si>
    <t>Amazon Marketplace - Tom Extra</t>
  </si>
  <si>
    <t>Amazon Marketplace - Tom Payment</t>
  </si>
  <si>
    <t>Pappasito's Cantina</t>
  </si>
  <si>
    <t>Sorrento Ristorante</t>
  </si>
  <si>
    <t>Cherry Ridge Golf Course</t>
  </si>
  <si>
    <t>Transfer to Regan - Food/Grades</t>
  </si>
  <si>
    <t>Nashville - Lainey Wilson</t>
  </si>
  <si>
    <t>Nashville - Lucky Bastard</t>
  </si>
  <si>
    <t>Nashville - Uber</t>
  </si>
  <si>
    <t>Disney Plus</t>
  </si>
  <si>
    <t>Nashville - Honky Tonk</t>
  </si>
  <si>
    <t>Nashville - Postys</t>
  </si>
  <si>
    <t>Nashville - Kid Rock</t>
  </si>
  <si>
    <t>Nashville - Jelly Rolls</t>
  </si>
  <si>
    <t>Nashville - Marathon</t>
  </si>
  <si>
    <t>Nashville - Bucee's</t>
  </si>
  <si>
    <t>AppleTV</t>
  </si>
  <si>
    <t>Nashville - Jungle Jims</t>
  </si>
  <si>
    <t>Nashville - Taco Bell</t>
  </si>
  <si>
    <t>Nashville - Walmart</t>
  </si>
  <si>
    <t>Nashville - Pizza</t>
  </si>
  <si>
    <t>Nashville - Misc Cash</t>
  </si>
  <si>
    <t>Nashville - Sheetz</t>
  </si>
  <si>
    <t>Nashville - Speedway</t>
  </si>
  <si>
    <t>Nashville - Coyote Ugly</t>
  </si>
  <si>
    <t>Nashvill - IHOP</t>
  </si>
  <si>
    <t>Transfer to Venmo - Kristin Hanes; Cyclebar</t>
  </si>
  <si>
    <t>Hello Bistro</t>
  </si>
  <si>
    <t>Nashville - Venmo Brittany Food</t>
  </si>
  <si>
    <t>Lake Erie Liberty 5k</t>
  </si>
  <si>
    <t>June Transfer</t>
  </si>
  <si>
    <t>Florida - Frontier</t>
  </si>
  <si>
    <t>Floria - Lorri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</si>
</sst>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1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75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6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37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38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37" xfId="0" applyNumberFormat="1" applyFont="1" applyFill="1" applyBorder="1" applyAlignment="1">
      <alignment horizontal="center"/>
    </xf>
    <xf numFmtId="44" fontId="11" fillId="9" borderId="39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37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0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1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0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38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38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37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1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1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0" xfId="0" applyNumberFormat="1" applyFont="1" applyFill="1" applyBorder="1"/>
    <xf numFmtId="44" fontId="11" fillId="13" borderId="11" xfId="0" applyNumberFormat="1" applyFont="1" applyFill="1" applyBorder="1"/>
    <xf numFmtId="164" fontId="11" fillId="5" borderId="43" xfId="0" applyFont="1" applyFill="1" applyBorder="1"/>
    <xf numFmtId="1" fontId="11" fillId="5" borderId="43" xfId="0" applyNumberFormat="1" applyFont="1" applyFill="1" applyBorder="1"/>
    <xf numFmtId="16" fontId="11" fillId="5" borderId="43" xfId="0" applyNumberFormat="1" applyFont="1" applyFill="1" applyBorder="1" applyAlignment="1">
      <alignment horizontal="left" vertical="center"/>
    </xf>
    <xf numFmtId="16" fontId="11" fillId="5" borderId="43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2" xfId="0" applyNumberFormat="1" applyFont="1" applyFill="1" applyBorder="1" applyAlignment="1">
      <alignment horizontal="left" vertical="center"/>
    </xf>
    <xf numFmtId="16" fontId="11" fillId="5" borderId="42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2" xfId="0" applyFont="1" applyFill="1" applyBorder="1" applyAlignment="1">
      <alignment horizontal="left" vertical="center"/>
    </xf>
    <xf numFmtId="164" fontId="11" fillId="5" borderId="42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2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2" xfId="0" applyNumberFormat="1" applyFont="1" applyFill="1" applyBorder="1" applyAlignment="1">
      <alignment horizontal="center" vertical="center"/>
    </xf>
    <xf numFmtId="44" fontId="12" fillId="5" borderId="42" xfId="0" applyNumberFormat="1" applyFont="1" applyFill="1" applyBorder="1" applyAlignment="1">
      <alignment horizontal="center"/>
    </xf>
    <xf numFmtId="164" fontId="12" fillId="5" borderId="42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3" xfId="0" applyNumberFormat="1" applyFont="1" applyFill="1" applyBorder="1"/>
    <xf numFmtId="44" fontId="13" fillId="10" borderId="43" xfId="0" applyNumberFormat="1" applyFont="1" applyFill="1" applyBorder="1"/>
    <xf numFmtId="164" fontId="13" fillId="13" borderId="43" xfId="0" applyFont="1" applyFill="1" applyBorder="1"/>
    <xf numFmtId="44" fontId="13" fillId="13" borderId="43" xfId="0" applyNumberFormat="1" applyFont="1" applyFill="1" applyBorder="1"/>
    <xf numFmtId="164" fontId="13" fillId="15" borderId="43" xfId="0" applyFont="1" applyFill="1" applyBorder="1"/>
    <xf numFmtId="44" fontId="13" fillId="15" borderId="43" xfId="0" applyNumberFormat="1" applyFont="1" applyFill="1" applyBorder="1"/>
    <xf numFmtId="164" fontId="13" fillId="8" borderId="43" xfId="0" applyFont="1" applyFill="1" applyBorder="1"/>
    <xf numFmtId="44" fontId="13" fillId="8" borderId="43" xfId="0" applyNumberFormat="1" applyFont="1" applyFill="1" applyBorder="1"/>
    <xf numFmtId="164" fontId="13" fillId="12" borderId="43" xfId="0" applyFont="1" applyFill="1" applyBorder="1"/>
    <xf numFmtId="44" fontId="13" fillId="12" borderId="43" xfId="0" applyNumberFormat="1" applyFont="1" applyFill="1" applyBorder="1"/>
    <xf numFmtId="164" fontId="13" fillId="9" borderId="43" xfId="0" applyFont="1" applyFill="1" applyBorder="1"/>
    <xf numFmtId="44" fontId="13" fillId="9" borderId="43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2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1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2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2" xfId="0" applyNumberFormat="1" applyFont="1" applyFill="1" applyBorder="1" applyAlignment="1">
      <alignment horizontal="center"/>
    </xf>
    <xf numFmtId="165" fontId="11" fillId="5" borderId="42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39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2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6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2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6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4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3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3" xfId="0" applyNumberFormat="1" applyFont="1" applyFill="1" applyBorder="1" applyAlignment="1">
      <alignment horizontal="center"/>
    </xf>
    <xf numFmtId="165" fontId="12" fillId="18" borderId="43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3" xfId="0" applyNumberFormat="1" applyFont="1" applyFill="1" applyBorder="1" applyAlignment="1">
      <alignment horizontal="center"/>
    </xf>
    <xf numFmtId="165" fontId="6" fillId="4" borderId="43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3" xfId="0" applyNumberFormat="1" applyFont="1" applyFill="1" applyBorder="1"/>
    <xf numFmtId="165" fontId="6" fillId="2" borderId="43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  <xf numFmtId="164" fontId="6" fillId="2" borderId="50" xfId="0" applyFont="1" applyFill="1" applyBorder="1"/>
    <xf numFmtId="44" fontId="6" fillId="3" borderId="50" xfId="0" applyNumberFormat="1" applyFont="1" applyFill="1" applyBorder="1" applyAlignment="1">
      <alignment horizontal="center"/>
    </xf>
    <xf numFmtId="10" fontId="6" fillId="3" borderId="50" xfId="0" applyNumberFormat="1" applyFont="1" applyFill="1" applyBorder="1" applyAlignment="1">
      <alignment horizontal="center"/>
    </xf>
    <xf numFmtId="44" fontId="6" fillId="4" borderId="50" xfId="0" applyNumberFormat="1" applyFont="1" applyFill="1" applyBorder="1" applyAlignment="1">
      <alignment horizontal="center"/>
    </xf>
    <xf numFmtId="10" fontId="6" fillId="4" borderId="50" xfId="0" applyNumberFormat="1" applyFont="1" applyFill="1" applyBorder="1" applyAlignment="1">
      <alignment horizontal="center"/>
    </xf>
    <xf numFmtId="164" fontId="13" fillId="0" borderId="44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4" xfId="0" applyNumberFormat="1" applyFont="1" applyBorder="1" applyAlignment="1">
      <alignment horizontal="center"/>
    </xf>
    <xf numFmtId="164" fontId="13" fillId="12" borderId="44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4" xfId="0" applyFont="1" applyFill="1" applyBorder="1" applyAlignment="1">
      <alignment horizontal="center"/>
    </xf>
    <xf numFmtId="0" fontId="5" fillId="0" borderId="45" xfId="0" applyNumberFormat="1" applyFont="1" applyBorder="1"/>
    <xf numFmtId="165" fontId="11" fillId="4" borderId="44" xfId="0" applyNumberFormat="1" applyFont="1" applyFill="1" applyBorder="1" applyAlignment="1">
      <alignment horizontal="center"/>
    </xf>
    <xf numFmtId="165" fontId="11" fillId="14" borderId="44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4" xfId="0" applyNumberFormat="1" applyFont="1" applyFill="1" applyBorder="1" applyAlignment="1">
      <alignment horizontal="center"/>
    </xf>
    <xf numFmtId="8" fontId="11" fillId="14" borderId="44" xfId="0" applyNumberFormat="1" applyFont="1" applyFill="1" applyBorder="1" applyAlignment="1">
      <alignment horizontal="center"/>
    </xf>
    <xf numFmtId="8" fontId="11" fillId="3" borderId="44" xfId="0" applyNumberFormat="1" applyFont="1" applyFill="1" applyBorder="1" applyAlignment="1">
      <alignment horizontal="center"/>
    </xf>
    <xf numFmtId="164" fontId="14" fillId="0" borderId="44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47" xfId="0" applyNumberFormat="1" applyFont="1" applyFill="1" applyBorder="1" applyAlignment="1">
      <alignment horizontal="center"/>
    </xf>
    <xf numFmtId="0" fontId="5" fillId="0" borderId="48" xfId="0" applyNumberFormat="1" applyFont="1" applyBorder="1"/>
    <xf numFmtId="0" fontId="5" fillId="0" borderId="49" xfId="0" applyNumberFormat="1" applyFont="1" applyBorder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C22" sqref="C22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24" bestFit="1" customWidth="1"/>
    <col min="4" max="7" width="11.33203125" bestFit="1" customWidth="1"/>
  </cols>
  <sheetData>
    <row r="1" spans="1:3" x14ac:dyDescent="0.3">
      <c r="A1" t="s">
        <v>776</v>
      </c>
      <c r="B1" t="s">
        <v>806</v>
      </c>
      <c r="C1" s="523" t="s">
        <v>830</v>
      </c>
    </row>
    <row r="2" spans="1:3" x14ac:dyDescent="0.3">
      <c r="A2" t="s">
        <v>106</v>
      </c>
      <c r="B2" t="s">
        <v>807</v>
      </c>
      <c r="C2" s="524">
        <v>1982.4145510000001</v>
      </c>
    </row>
    <row r="3" spans="1:3" x14ac:dyDescent="0.3">
      <c r="A3" t="s">
        <v>106</v>
      </c>
      <c r="B3" t="s">
        <v>808</v>
      </c>
      <c r="C3" s="524">
        <v>954.87030600000003</v>
      </c>
    </row>
    <row r="4" spans="1:3" x14ac:dyDescent="0.3">
      <c r="A4" t="s">
        <v>106</v>
      </c>
      <c r="B4" t="s">
        <v>809</v>
      </c>
      <c r="C4" s="524">
        <v>1358.06962</v>
      </c>
    </row>
    <row r="5" spans="1:3" x14ac:dyDescent="0.3">
      <c r="A5" t="s">
        <v>810</v>
      </c>
      <c r="B5" t="s">
        <v>807</v>
      </c>
      <c r="C5" s="524">
        <v>462.26206400000001</v>
      </c>
    </row>
    <row r="6" spans="1:3" x14ac:dyDescent="0.3">
      <c r="A6" t="s">
        <v>810</v>
      </c>
      <c r="B6" t="s">
        <v>808</v>
      </c>
      <c r="C6" s="524">
        <v>734.75816199999997</v>
      </c>
    </row>
    <row r="7" spans="1:3" x14ac:dyDescent="0.3">
      <c r="A7" t="s">
        <v>812</v>
      </c>
      <c r="B7" t="s">
        <v>811</v>
      </c>
      <c r="C7" s="524">
        <v>205.21</v>
      </c>
    </row>
    <row r="8" spans="1:3" x14ac:dyDescent="0.3">
      <c r="A8" t="s">
        <v>812</v>
      </c>
      <c r="B8" t="s">
        <v>813</v>
      </c>
      <c r="C8" s="524">
        <v>1228.934</v>
      </c>
    </row>
    <row r="9" spans="1:3" x14ac:dyDescent="0.3">
      <c r="A9" t="s">
        <v>812</v>
      </c>
      <c r="B9" t="s">
        <v>814</v>
      </c>
      <c r="C9" s="524">
        <v>139.673</v>
      </c>
    </row>
    <row r="10" spans="1:3" x14ac:dyDescent="0.3">
      <c r="A10" t="s">
        <v>815</v>
      </c>
      <c r="B10" t="s">
        <v>813</v>
      </c>
      <c r="C10" s="524">
        <v>686.61099999999999</v>
      </c>
    </row>
    <row r="11" spans="1:3" x14ac:dyDescent="0.3">
      <c r="A11" t="s">
        <v>54</v>
      </c>
      <c r="B11" t="s">
        <v>816</v>
      </c>
      <c r="C11" s="524">
        <v>51.368160000000003</v>
      </c>
    </row>
    <row r="12" spans="1:3" x14ac:dyDescent="0.3">
      <c r="A12" t="s">
        <v>54</v>
      </c>
      <c r="B12" t="s">
        <v>817</v>
      </c>
      <c r="C12" s="524">
        <v>32.164059999999999</v>
      </c>
    </row>
    <row r="13" spans="1:3" x14ac:dyDescent="0.3">
      <c r="A13" t="s">
        <v>54</v>
      </c>
      <c r="B13" t="s">
        <v>818</v>
      </c>
      <c r="C13" s="524">
        <v>238.14445000000001</v>
      </c>
    </row>
    <row r="14" spans="1:3" x14ac:dyDescent="0.3">
      <c r="A14" t="s">
        <v>54</v>
      </c>
      <c r="B14" t="s">
        <v>819</v>
      </c>
      <c r="C14" s="524">
        <v>221.08779999999999</v>
      </c>
    </row>
    <row r="15" spans="1:3" x14ac:dyDescent="0.3">
      <c r="A15" t="s">
        <v>54</v>
      </c>
      <c r="B15" t="s">
        <v>820</v>
      </c>
      <c r="C15" s="524">
        <v>211.67950999999999</v>
      </c>
    </row>
    <row r="16" spans="1:3" x14ac:dyDescent="0.3">
      <c r="A16" t="s">
        <v>59</v>
      </c>
      <c r="B16" t="s">
        <v>821</v>
      </c>
      <c r="C16" s="524">
        <v>0.13134000000000001</v>
      </c>
    </row>
    <row r="17" spans="1:3" x14ac:dyDescent="0.3">
      <c r="A17" t="s">
        <v>59</v>
      </c>
      <c r="B17" t="s">
        <v>822</v>
      </c>
      <c r="C17" s="524">
        <v>1.6399900000000001</v>
      </c>
    </row>
    <row r="18" spans="1:3" x14ac:dyDescent="0.3">
      <c r="A18" t="s">
        <v>59</v>
      </c>
      <c r="B18" t="s">
        <v>823</v>
      </c>
      <c r="C18" s="524">
        <v>24.516359999999999</v>
      </c>
    </row>
    <row r="19" spans="1:3" x14ac:dyDescent="0.3">
      <c r="A19" t="s">
        <v>59</v>
      </c>
      <c r="B19" t="s">
        <v>824</v>
      </c>
      <c r="C19" s="524">
        <v>5.3246029999999998</v>
      </c>
    </row>
    <row r="20" spans="1:3" x14ac:dyDescent="0.3">
      <c r="A20" t="s">
        <v>59</v>
      </c>
      <c r="B20" t="s">
        <v>825</v>
      </c>
      <c r="C20" s="524">
        <v>17.658840000000001</v>
      </c>
    </row>
    <row r="21" spans="1:3" x14ac:dyDescent="0.3">
      <c r="A21" t="s">
        <v>59</v>
      </c>
      <c r="B21" t="s">
        <v>826</v>
      </c>
      <c r="C21" s="524">
        <v>183.82106999999999</v>
      </c>
    </row>
    <row r="22" spans="1:3" x14ac:dyDescent="0.3">
      <c r="A22" t="s">
        <v>59</v>
      </c>
      <c r="B22" t="s">
        <v>827</v>
      </c>
      <c r="C22" s="524">
        <v>364.74335000000002</v>
      </c>
    </row>
    <row r="23" spans="1:3" x14ac:dyDescent="0.3">
      <c r="A23" s="521" t="s">
        <v>828</v>
      </c>
      <c r="B23" s="521" t="s">
        <v>816</v>
      </c>
      <c r="C23" s="524">
        <v>8.5647800000000007</v>
      </c>
    </row>
    <row r="24" spans="1:3" x14ac:dyDescent="0.3">
      <c r="A24" s="521" t="s">
        <v>828</v>
      </c>
      <c r="B24" s="521" t="s">
        <v>818</v>
      </c>
      <c r="C24" s="524">
        <v>26.340599999999998</v>
      </c>
    </row>
    <row r="25" spans="1:3" x14ac:dyDescent="0.3">
      <c r="A25" s="521" t="s">
        <v>828</v>
      </c>
      <c r="B25" s="521" t="s">
        <v>829</v>
      </c>
      <c r="C25" s="524">
        <v>29.661580000000001</v>
      </c>
    </row>
    <row r="26" spans="1:3" x14ac:dyDescent="0.3">
      <c r="A26" s="521" t="s">
        <v>828</v>
      </c>
      <c r="B26" s="521" t="s">
        <v>819</v>
      </c>
      <c r="C26" s="524">
        <v>23.59262</v>
      </c>
    </row>
    <row r="27" spans="1:3" x14ac:dyDescent="0.3">
      <c r="A27" s="521" t="s">
        <v>828</v>
      </c>
      <c r="B27" s="521" t="s">
        <v>820</v>
      </c>
      <c r="C27" s="524">
        <v>19.2333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zoomScale="80" zoomScaleNormal="80" workbookViewId="0">
      <selection activeCell="B11" sqref="B11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50" t="s">
        <v>34</v>
      </c>
      <c r="B1" s="551"/>
      <c r="C1" s="552"/>
      <c r="E1" s="5" t="s">
        <v>35</v>
      </c>
      <c r="F1" s="6">
        <f ca="1">SUM($B$7,$B$19,$B$26,$B$31,$B$39)</f>
        <v>1725042.8499999999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270</v>
      </c>
      <c r="C2" s="15">
        <f t="shared" ref="C2:C6" ca="1" si="0">TODAY()</f>
        <v>46203</v>
      </c>
      <c r="E2" s="13" t="s">
        <v>40</v>
      </c>
      <c r="F2" s="16">
        <f>F14</f>
        <v>180225.99</v>
      </c>
      <c r="H2" s="17"/>
      <c r="J2" s="18" t="s">
        <v>41</v>
      </c>
      <c r="K2" s="19">
        <v>0.75</v>
      </c>
      <c r="L2" s="20">
        <f>K5/(K5+K6)</f>
        <v>0.85290278176580714</v>
      </c>
      <c r="N2" s="21" t="s">
        <v>42</v>
      </c>
      <c r="O2" s="22">
        <f>B12-O1</f>
        <v>-12240</v>
      </c>
      <c r="P2" s="11"/>
      <c r="Q2" s="23" t="s">
        <v>43</v>
      </c>
      <c r="R2" s="23">
        <f ca="1">E20*(1+$Q$1)</f>
        <v>1776539.3889999997</v>
      </c>
    </row>
    <row r="3" spans="1:18" ht="14.4" x14ac:dyDescent="0.3">
      <c r="A3" s="13" t="s">
        <v>44</v>
      </c>
      <c r="B3" s="14">
        <v>0</v>
      </c>
      <c r="C3" s="15">
        <f t="shared" ca="1" si="0"/>
        <v>46203</v>
      </c>
      <c r="E3" s="21" t="s">
        <v>45</v>
      </c>
      <c r="F3" s="22">
        <f ca="1">F1-F2</f>
        <v>1544816.8599999999</v>
      </c>
      <c r="H3" s="17"/>
      <c r="J3" s="18" t="s">
        <v>46</v>
      </c>
      <c r="K3" s="19">
        <v>0.25</v>
      </c>
      <c r="L3" s="20">
        <f>K6/(K5+K6)</f>
        <v>0.14709721823419289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2043020.2973499994</v>
      </c>
    </row>
    <row r="4" spans="1:18" ht="14.4" x14ac:dyDescent="0.3">
      <c r="A4" s="13" t="s">
        <v>49</v>
      </c>
      <c r="B4" s="14">
        <v>0</v>
      </c>
      <c r="C4" s="15">
        <f t="shared" ca="1" si="0"/>
        <v>46203</v>
      </c>
      <c r="F4" s="7"/>
      <c r="H4" s="17"/>
      <c r="J4" s="24"/>
      <c r="K4" s="25"/>
      <c r="L4" s="26"/>
      <c r="N4" s="27" t="s">
        <v>50</v>
      </c>
      <c r="O4" s="28">
        <f>B10-O3</f>
        <v>26409.059999999998</v>
      </c>
      <c r="P4" s="11"/>
      <c r="Q4" s="23" t="s">
        <v>51</v>
      </c>
      <c r="R4" s="23">
        <f t="shared" ca="1" si="1"/>
        <v>2349473.341952499</v>
      </c>
    </row>
    <row r="5" spans="1:18" ht="14.4" x14ac:dyDescent="0.3">
      <c r="A5" s="13" t="s">
        <v>52</v>
      </c>
      <c r="B5" s="14">
        <f ca="1">'Checking Transaction Log'!G1</f>
        <v>9589.819999999987</v>
      </c>
      <c r="C5" s="15">
        <f t="shared" ca="1" si="0"/>
        <v>46203</v>
      </c>
      <c r="E5" s="553" t="s">
        <v>53</v>
      </c>
      <c r="F5" s="551"/>
      <c r="G5" s="552"/>
      <c r="H5" s="17"/>
      <c r="J5" s="29" t="s">
        <v>54</v>
      </c>
      <c r="K5" s="30">
        <f>B10</f>
        <v>94279.14</v>
      </c>
      <c r="L5" s="20">
        <f ca="1">K5/F3</f>
        <v>6.1029331334459938E-2</v>
      </c>
      <c r="N5" s="5" t="s">
        <v>55</v>
      </c>
      <c r="O5" s="6"/>
      <c r="P5" s="11"/>
      <c r="Q5" s="23" t="s">
        <v>56</v>
      </c>
      <c r="R5" s="23">
        <f t="shared" ca="1" si="1"/>
        <v>2701894.3432453736</v>
      </c>
    </row>
    <row r="6" spans="1:18" ht="14.4" x14ac:dyDescent="0.3">
      <c r="A6" s="13" t="s">
        <v>57</v>
      </c>
      <c r="B6" s="14">
        <f>'Savings Transaction Log'!A3</f>
        <v>9129.9900000000016</v>
      </c>
      <c r="C6" s="15">
        <f t="shared" ca="1" si="0"/>
        <v>46203</v>
      </c>
      <c r="E6" s="31" t="s">
        <v>58</v>
      </c>
      <c r="F6" s="14">
        <v>135885.85999999999</v>
      </c>
      <c r="G6" s="32">
        <v>46186</v>
      </c>
      <c r="H6" s="17"/>
      <c r="J6" s="18" t="s">
        <v>59</v>
      </c>
      <c r="K6" s="30">
        <f>B12</f>
        <v>16260</v>
      </c>
      <c r="L6" s="20">
        <f ca="1">K6/F3</f>
        <v>1.0525519510448637E-2</v>
      </c>
      <c r="N6" s="21" t="s">
        <v>60</v>
      </c>
      <c r="O6" s="22"/>
      <c r="P6" s="11"/>
      <c r="Q6" s="23" t="s">
        <v>61</v>
      </c>
      <c r="R6" s="23">
        <f t="shared" ca="1" si="1"/>
        <v>3107178.4947321792</v>
      </c>
    </row>
    <row r="7" spans="1:18" ht="14.4" x14ac:dyDescent="0.3">
      <c r="A7" s="21" t="s">
        <v>62</v>
      </c>
      <c r="B7" s="33">
        <f ca="1">SUM(B2:B6)</f>
        <v>18989.80999999999</v>
      </c>
      <c r="C7" s="34">
        <f ca="1">B7/F3</f>
        <v>1.2292596288727708E-2</v>
      </c>
      <c r="E7" s="529" t="s">
        <v>836</v>
      </c>
      <c r="F7" s="14">
        <v>18535</v>
      </c>
      <c r="G7" s="32">
        <v>46173</v>
      </c>
      <c r="H7" s="7"/>
      <c r="J7" s="18" t="s">
        <v>64</v>
      </c>
      <c r="K7" s="30">
        <f>IF((B3+B4+B6)&gt;10000,(B3+B4+B6-10000),0)</f>
        <v>0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3573255.2689420059</v>
      </c>
    </row>
    <row r="8" spans="1:18" ht="14.4" x14ac:dyDescent="0.3">
      <c r="B8" s="7"/>
      <c r="C8" s="37"/>
      <c r="E8" s="529" t="s">
        <v>900</v>
      </c>
      <c r="F8" s="14">
        <v>0</v>
      </c>
      <c r="G8" s="32">
        <v>46186</v>
      </c>
      <c r="H8" s="7"/>
      <c r="I8" s="7"/>
      <c r="J8" s="18" t="s">
        <v>68</v>
      </c>
      <c r="K8" s="30">
        <f>SUM(K5:K7)</f>
        <v>110539.14</v>
      </c>
      <c r="L8" s="20">
        <f ca="1">K8/F3</f>
        <v>7.1554850844908577E-2</v>
      </c>
      <c r="N8" s="21" t="s">
        <v>69</v>
      </c>
      <c r="O8" s="22">
        <f t="shared" si="2"/>
        <v>14169.059999999998</v>
      </c>
      <c r="P8" s="11"/>
      <c r="Q8" s="23" t="s">
        <v>70</v>
      </c>
      <c r="R8" s="23">
        <f t="shared" ca="1" si="1"/>
        <v>4109243.5592833064</v>
      </c>
    </row>
    <row r="9" spans="1:18" ht="14.4" x14ac:dyDescent="0.3">
      <c r="A9" s="550" t="s">
        <v>71</v>
      </c>
      <c r="B9" s="551"/>
      <c r="C9" s="552"/>
      <c r="E9" s="528" t="s">
        <v>841</v>
      </c>
      <c r="F9" s="526">
        <v>9640</v>
      </c>
      <c r="G9" s="527">
        <v>46186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4725630.0931758024</v>
      </c>
    </row>
    <row r="10" spans="1:18" ht="14.4" x14ac:dyDescent="0.3">
      <c r="A10" s="31" t="s">
        <v>74</v>
      </c>
      <c r="B10" s="14">
        <v>94279.14</v>
      </c>
      <c r="C10" s="15">
        <v>46200</v>
      </c>
      <c r="D10" s="17"/>
      <c r="E10" s="528" t="s">
        <v>837</v>
      </c>
      <c r="F10" s="526">
        <v>11365.33</v>
      </c>
      <c r="G10" s="527">
        <v>46178</v>
      </c>
      <c r="H10" s="17"/>
      <c r="I10" s="7"/>
      <c r="J10" s="18" t="s">
        <v>54</v>
      </c>
      <c r="K10" s="30">
        <f>(K8*K2)-K5</f>
        <v>-11374.785000000003</v>
      </c>
      <c r="L10" s="40">
        <f t="shared" ref="L10:L11" si="3">K10+K5</f>
        <v>82904.354999999996</v>
      </c>
      <c r="P10" s="11"/>
      <c r="Q10" s="23" t="s">
        <v>75</v>
      </c>
      <c r="R10" s="23">
        <f t="shared" ca="1" si="1"/>
        <v>5434474.6071521724</v>
      </c>
    </row>
    <row r="11" spans="1:18" ht="14.4" x14ac:dyDescent="0.3">
      <c r="A11" s="31" t="s">
        <v>76</v>
      </c>
      <c r="B11" s="14">
        <v>12595.26</v>
      </c>
      <c r="C11" s="15">
        <v>46200</v>
      </c>
      <c r="D11" s="17"/>
      <c r="E11" s="528" t="s">
        <v>838</v>
      </c>
      <c r="F11" s="526">
        <v>40.630000000000003</v>
      </c>
      <c r="G11" s="527">
        <v>46186</v>
      </c>
      <c r="H11" s="17"/>
      <c r="I11" s="7"/>
      <c r="J11" s="43" t="s">
        <v>78</v>
      </c>
      <c r="K11" s="44">
        <f>(K8*K3)-K6</f>
        <v>11374.785</v>
      </c>
      <c r="L11" s="45">
        <f t="shared" si="3"/>
        <v>27634.785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6249645.7982249977</v>
      </c>
    </row>
    <row r="12" spans="1:18" ht="14.4" x14ac:dyDescent="0.3">
      <c r="A12" s="47" t="s">
        <v>81</v>
      </c>
      <c r="B12" s="48">
        <v>16260</v>
      </c>
      <c r="C12" s="15">
        <v>46200</v>
      </c>
      <c r="D12" s="17"/>
      <c r="E12" s="525" t="s">
        <v>839</v>
      </c>
      <c r="F12" s="526">
        <v>3944.13</v>
      </c>
      <c r="G12" s="527">
        <v>46186</v>
      </c>
      <c r="I12" s="7"/>
      <c r="J12" s="49"/>
      <c r="K12" s="25"/>
      <c r="L12" s="50">
        <f ca="1">L11/F3</f>
        <v>1.7888712711227144E-2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25" t="s">
        <v>840</v>
      </c>
      <c r="F13" s="526">
        <v>815.04</v>
      </c>
      <c r="G13" s="527">
        <v>46186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180225.99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106874.4</v>
      </c>
      <c r="L15" s="59">
        <f ca="1">K15/F3</f>
        <v>6.9182569641297154E-2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129528.94999999998</v>
      </c>
      <c r="I16" s="7"/>
      <c r="J16" s="18" t="s">
        <v>46</v>
      </c>
      <c r="K16" s="63">
        <f>B12</f>
        <v>16260</v>
      </c>
      <c r="L16" s="20">
        <f ca="1">K16/F3</f>
        <v>1.0525519510448637E-2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1498667.1799999997</v>
      </c>
      <c r="P18" s="11"/>
    </row>
    <row r="19" spans="1:17" ht="14.4" x14ac:dyDescent="0.3">
      <c r="A19" s="68" t="s">
        <v>92</v>
      </c>
      <c r="B19" s="33">
        <f>SUM(B10:B18)</f>
        <v>123134.39999999999</v>
      </c>
      <c r="C19" s="34">
        <f ca="1">B19/F3</f>
        <v>7.9708089151745792E-2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286715.53499999997</v>
      </c>
      <c r="P19" s="73">
        <f t="shared" ref="P19:P32" si="4">O19/$O$18</f>
        <v>0.19131368113365907</v>
      </c>
      <c r="Q19" s="74" t="s">
        <v>97</v>
      </c>
    </row>
    <row r="20" spans="1:17" ht="14.4" x14ac:dyDescent="0.3">
      <c r="B20" s="7"/>
      <c r="C20" s="37"/>
      <c r="E20" s="56">
        <f ca="1">F3</f>
        <v>1544816.8599999999</v>
      </c>
      <c r="F20" s="44">
        <f ca="1">E20-E22</f>
        <v>129814.42999999993</v>
      </c>
      <c r="G20" s="34">
        <f ca="1">(E20-E22)/E22</f>
        <v>9.1741489094121165E-2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265493.78499999997</v>
      </c>
      <c r="P20" s="78">
        <f t="shared" si="4"/>
        <v>0.17715326561031383</v>
      </c>
      <c r="Q20" s="79" t="s">
        <v>101</v>
      </c>
    </row>
    <row r="21" spans="1:17" ht="15.75" customHeight="1" x14ac:dyDescent="0.3">
      <c r="A21" s="550" t="s">
        <v>102</v>
      </c>
      <c r="B21" s="551"/>
      <c r="C21" s="55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0.22759157000000008</v>
      </c>
      <c r="L21" s="11"/>
      <c r="N21" s="27" t="s">
        <v>104</v>
      </c>
      <c r="O21" s="51">
        <f>($B$10+$B$11)*0.25</f>
        <v>26718.6</v>
      </c>
      <c r="P21" s="82">
        <f t="shared" si="4"/>
        <v>1.7828241224312393E-2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432921.27999999997</v>
      </c>
      <c r="C22" s="15">
        <v>46200</v>
      </c>
      <c r="E22" s="56">
        <v>1415002.43</v>
      </c>
      <c r="F22" s="45">
        <f ca="1">((F20/(C2-E21))*365)+E22</f>
        <v>1678237.2463888887</v>
      </c>
      <c r="G22" s="34">
        <f ca="1">(F22-E22)/E22</f>
        <v>0.18603135288530123</v>
      </c>
      <c r="I22" s="7"/>
      <c r="J22" s="81">
        <v>3000000</v>
      </c>
      <c r="K22" s="50">
        <f ca="1">1-($E$20/J22)</f>
        <v>0.48506104666666672</v>
      </c>
      <c r="L22" s="11"/>
      <c r="N22" s="5" t="s">
        <v>108</v>
      </c>
      <c r="O22" s="72">
        <f>($B$22+$B$23)*0.3</f>
        <v>172029.32099999997</v>
      </c>
      <c r="P22" s="73">
        <f t="shared" si="4"/>
        <v>0.11478820868019543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140509.78999999995</v>
      </c>
      <c r="C23" s="15">
        <f>C22</f>
        <v>46200</v>
      </c>
      <c r="E23" s="7"/>
      <c r="G23" s="65"/>
      <c r="I23" s="7"/>
      <c r="J23" s="81">
        <v>4000000</v>
      </c>
      <c r="K23" s="50">
        <f ca="1">1-($E$20/J23)</f>
        <v>0.61379578499999998</v>
      </c>
      <c r="L23" s="11"/>
      <c r="N23" s="13" t="s">
        <v>111</v>
      </c>
      <c r="O23" s="14">
        <f>($B$24+$B$25)*0.3</f>
        <v>159296.27099999998</v>
      </c>
      <c r="P23" s="78">
        <f t="shared" si="4"/>
        <v>0.10629195936618831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406614.84999999992</v>
      </c>
      <c r="C24" s="15">
        <f>C22</f>
        <v>46200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0.69103662799999999</v>
      </c>
      <c r="L24" s="11"/>
      <c r="N24" s="13" t="s">
        <v>113</v>
      </c>
      <c r="O24" s="14">
        <f t="shared" ref="O24:O25" si="5">($B$10+$B$11)*0.25</f>
        <v>26718.6</v>
      </c>
      <c r="P24" s="78">
        <f t="shared" si="4"/>
        <v>1.7828241224312393E-2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124372.72000000006</v>
      </c>
      <c r="C25" s="15">
        <f>C22</f>
        <v>46200</v>
      </c>
      <c r="E25" s="75" t="s">
        <v>34</v>
      </c>
      <c r="F25" s="76">
        <f ca="1">B7</f>
        <v>18989.80999999999</v>
      </c>
      <c r="G25" s="77">
        <f t="shared" ref="G25:G31" ca="1" si="6">F25/SUM($F$25:$F$31)</f>
        <v>1.2090630413241567E-2</v>
      </c>
      <c r="I25" s="7"/>
      <c r="J25" s="84"/>
      <c r="K25" s="25"/>
      <c r="L25" s="11"/>
      <c r="N25" s="27" t="s">
        <v>116</v>
      </c>
      <c r="O25" s="51">
        <f t="shared" si="5"/>
        <v>26718.6</v>
      </c>
      <c r="P25" s="82">
        <f t="shared" si="4"/>
        <v>1.7828241224312393E-2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1104418.6399999999</v>
      </c>
      <c r="C26" s="34">
        <f ca="1">B26/F3</f>
        <v>0.71491881568408056</v>
      </c>
      <c r="E26" s="80" t="s">
        <v>103</v>
      </c>
      <c r="F26" s="30">
        <f>(B11)</f>
        <v>12595.26</v>
      </c>
      <c r="G26" s="20">
        <f t="shared" ca="1" si="6"/>
        <v>8.0192815841066897E-3</v>
      </c>
      <c r="I26" s="7"/>
      <c r="J26" s="49"/>
      <c r="K26" s="25"/>
      <c r="L26" s="11"/>
      <c r="N26" s="5" t="s">
        <v>119</v>
      </c>
      <c r="O26" s="72">
        <f>($B$22+$B$23)*0.2</f>
        <v>114686.21399999999</v>
      </c>
      <c r="P26" s="73">
        <f t="shared" si="4"/>
        <v>7.6525472453463625E-2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94279.14</v>
      </c>
      <c r="G27" s="20">
        <f t="shared" ca="1" si="6"/>
        <v>6.0026626776058328E-2</v>
      </c>
      <c r="I27" s="7"/>
      <c r="J27" s="49"/>
      <c r="K27" s="25"/>
      <c r="L27" s="11"/>
      <c r="N27" s="13" t="s">
        <v>120</v>
      </c>
      <c r="O27" s="14">
        <f>($B$24+$B$25)*0.2</f>
        <v>106197.514</v>
      </c>
      <c r="P27" s="78">
        <f t="shared" si="4"/>
        <v>7.0861306244125538E-2</v>
      </c>
      <c r="Q27" s="79" t="s">
        <v>101</v>
      </c>
    </row>
    <row r="28" spans="1:17" ht="15.75" customHeight="1" x14ac:dyDescent="0.3">
      <c r="A28" s="550" t="s">
        <v>115</v>
      </c>
      <c r="B28" s="551"/>
      <c r="C28" s="552"/>
      <c r="E28" s="80" t="s">
        <v>110</v>
      </c>
      <c r="F28" s="30">
        <f>B12</f>
        <v>16260</v>
      </c>
      <c r="G28" s="20">
        <f t="shared" ca="1" si="6"/>
        <v>1.0352586493456647E-2</v>
      </c>
      <c r="I28" s="7"/>
      <c r="J28" s="49"/>
      <c r="K28" s="25"/>
      <c r="L28" s="11"/>
      <c r="N28" s="13" t="s">
        <v>121</v>
      </c>
      <c r="O28" s="14">
        <f t="shared" ref="O28:O29" si="7">($B$10+$B$11)*0.1</f>
        <v>10687.44</v>
      </c>
      <c r="P28" s="78">
        <f t="shared" si="4"/>
        <v>7.1312964897249581E-3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46174</v>
      </c>
      <c r="E29" s="80" t="s">
        <v>102</v>
      </c>
      <c r="F29" s="30">
        <f>B26</f>
        <v>1104418.6399999999</v>
      </c>
      <c r="G29" s="20">
        <f t="shared" ca="1" si="6"/>
        <v>0.7031727857063812</v>
      </c>
      <c r="H29" s="86"/>
      <c r="I29" s="7"/>
      <c r="J29" s="49"/>
      <c r="K29" s="25"/>
      <c r="L29" s="11"/>
      <c r="N29" s="27" t="s">
        <v>123</v>
      </c>
      <c r="O29" s="51">
        <f t="shared" si="7"/>
        <v>10687.44</v>
      </c>
      <c r="P29" s="82">
        <f t="shared" si="4"/>
        <v>7.1312964897249581E-3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46174</v>
      </c>
      <c r="E30" s="80" t="s">
        <v>115</v>
      </c>
      <c r="F30" s="30">
        <f>B31-F6</f>
        <v>271114.14</v>
      </c>
      <c r="G30" s="20">
        <f t="shared" ca="1" si="6"/>
        <v>0.17261578007067127</v>
      </c>
      <c r="H30" s="86"/>
      <c r="I30" s="7"/>
      <c r="J30" s="49"/>
      <c r="K30" s="25"/>
      <c r="L30" s="11"/>
      <c r="N30" s="5" t="s">
        <v>115</v>
      </c>
      <c r="O30" s="72">
        <f>B31-F6</f>
        <v>271114.14</v>
      </c>
      <c r="P30" s="73">
        <f t="shared" si="4"/>
        <v>0.18090350120298229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0.17549921095501253</v>
      </c>
      <c r="E31" s="85" t="s">
        <v>118</v>
      </c>
      <c r="F31" s="44">
        <f>B39-F8-F7</f>
        <v>52965</v>
      </c>
      <c r="G31" s="34">
        <f t="shared" ca="1" si="6"/>
        <v>3.3722308956084343E-2</v>
      </c>
      <c r="I31" s="7"/>
      <c r="J31" s="49"/>
      <c r="K31" s="25"/>
      <c r="L31" s="11"/>
      <c r="N31" s="27" t="s">
        <v>127</v>
      </c>
      <c r="O31" s="51">
        <f>($B$10+$B$11)*0.05</f>
        <v>5343.72</v>
      </c>
      <c r="P31" s="82">
        <f t="shared" si="4"/>
        <v>3.5656482448624791E-3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16260</v>
      </c>
      <c r="P32" s="88">
        <f t="shared" si="4"/>
        <v>1.0849640411822459E-2</v>
      </c>
      <c r="Q32" s="89" t="s">
        <v>59</v>
      </c>
    </row>
    <row r="33" spans="1:16" ht="15.75" customHeight="1" x14ac:dyDescent="0.3">
      <c r="A33" s="550" t="s">
        <v>118</v>
      </c>
      <c r="B33" s="551"/>
      <c r="C33" s="55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18500</v>
      </c>
      <c r="C34" s="15">
        <v>46174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19000</v>
      </c>
      <c r="C35" s="15">
        <v>46174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578927.91999999993</v>
      </c>
      <c r="P35" s="59">
        <f t="shared" ref="P35:P39" si="8">O35/$O$18</f>
        <v>0.38629518796828527</v>
      </c>
    </row>
    <row r="36" spans="1:16" ht="15.75" customHeight="1" x14ac:dyDescent="0.3">
      <c r="A36" s="13" t="s">
        <v>131</v>
      </c>
      <c r="B36" s="14">
        <v>7000</v>
      </c>
      <c r="C36" s="15">
        <v>46174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384762.7919999999</v>
      </c>
      <c r="P36" s="20">
        <f t="shared" si="8"/>
        <v>0.25673665049500849</v>
      </c>
    </row>
    <row r="37" spans="1:16" ht="15.75" customHeight="1" x14ac:dyDescent="0.3">
      <c r="A37" s="13" t="s">
        <v>893</v>
      </c>
      <c r="B37" s="14">
        <v>2000</v>
      </c>
      <c r="C37" s="15">
        <v>46174</v>
      </c>
      <c r="D37" s="86"/>
      <c r="I37" s="7"/>
      <c r="N37" s="13" t="s">
        <v>134</v>
      </c>
      <c r="O37" s="14">
        <f>SUM(O26:O29)</f>
        <v>242258.60800000001</v>
      </c>
      <c r="P37" s="20">
        <f t="shared" si="8"/>
        <v>0.16164937167703911</v>
      </c>
    </row>
    <row r="38" spans="1:16" ht="15.75" customHeight="1" x14ac:dyDescent="0.3">
      <c r="A38" s="13" t="s">
        <v>133</v>
      </c>
      <c r="B38" s="14">
        <v>25000</v>
      </c>
      <c r="C38" s="15">
        <v>46174</v>
      </c>
      <c r="D38" s="86"/>
      <c r="E38" s="39"/>
      <c r="F38" s="11"/>
      <c r="G38" s="39"/>
      <c r="I38" s="7"/>
      <c r="N38" s="13" t="s">
        <v>115</v>
      </c>
      <c r="O38" s="14">
        <f>O30+O31</f>
        <v>276457.86</v>
      </c>
      <c r="P38" s="20">
        <f t="shared" si="8"/>
        <v>0.18446914944784473</v>
      </c>
    </row>
    <row r="39" spans="1:16" ht="15" customHeight="1" x14ac:dyDescent="0.3">
      <c r="A39" s="21" t="s">
        <v>135</v>
      </c>
      <c r="B39" s="33">
        <f>SUM(B34:B38)</f>
        <v>71500</v>
      </c>
      <c r="C39" s="34">
        <f ca="1">(B39-F8-F7)/F3</f>
        <v>3.4285617519736293E-2</v>
      </c>
      <c r="E39" s="25"/>
      <c r="F39" s="25"/>
      <c r="G39" s="25"/>
      <c r="N39" s="27" t="s">
        <v>46</v>
      </c>
      <c r="O39" s="51">
        <f>O32</f>
        <v>16260</v>
      </c>
      <c r="P39" s="91">
        <f t="shared" si="8"/>
        <v>1.0849640411822459E-2</v>
      </c>
    </row>
    <row r="40" spans="1:16" ht="15" customHeight="1" x14ac:dyDescent="0.3">
      <c r="E40" s="25"/>
      <c r="F40" s="25"/>
      <c r="G40" s="25"/>
      <c r="N40" s="93" t="s">
        <v>137</v>
      </c>
      <c r="O40" s="94">
        <f t="shared" ref="O40:P40" si="9">SUM(O35:O39)</f>
        <v>1498667.1799999997</v>
      </c>
      <c r="P40" s="95">
        <f t="shared" si="9"/>
        <v>1</v>
      </c>
    </row>
    <row r="41" spans="1:16" ht="15" customHeight="1" x14ac:dyDescent="0.3">
      <c r="A41" s="92" t="s">
        <v>136</v>
      </c>
      <c r="E41" s="25"/>
      <c r="F41" s="25"/>
      <c r="G41" s="25"/>
      <c r="P41" s="11"/>
    </row>
    <row r="42" spans="1:16" ht="15" customHeight="1" x14ac:dyDescent="0.3">
      <c r="A42" s="92" t="s">
        <v>138</v>
      </c>
      <c r="E42" s="7"/>
      <c r="G42" s="7"/>
      <c r="P42" s="11"/>
    </row>
    <row r="43" spans="1:16" ht="15.75" customHeight="1" x14ac:dyDescent="0.3">
      <c r="A43" s="92" t="s">
        <v>139</v>
      </c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D20" sqref="D20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57" t="s">
        <v>36</v>
      </c>
      <c r="C1" s="556"/>
      <c r="D1" s="558" t="s">
        <v>140</v>
      </c>
      <c r="E1" s="552"/>
      <c r="G1" s="96"/>
      <c r="H1" s="555" t="s">
        <v>36</v>
      </c>
      <c r="I1" s="556"/>
      <c r="J1" s="554" t="s">
        <v>140</v>
      </c>
      <c r="K1" s="552"/>
      <c r="M1" s="96"/>
      <c r="N1" s="555" t="s">
        <v>36</v>
      </c>
      <c r="O1" s="556"/>
      <c r="P1" s="554" t="s">
        <v>140</v>
      </c>
      <c r="Q1" s="552"/>
      <c r="S1" s="96"/>
      <c r="T1" s="555" t="s">
        <v>36</v>
      </c>
      <c r="U1" s="556"/>
      <c r="V1" s="554" t="s">
        <v>140</v>
      </c>
      <c r="W1" s="55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100825.92000000001</v>
      </c>
      <c r="E2" s="20"/>
      <c r="G2" s="98" t="s">
        <v>142</v>
      </c>
      <c r="H2" s="99">
        <f>SUM(H4:H30)</f>
        <v>88260</v>
      </c>
      <c r="I2" s="100">
        <f>H2/B2</f>
        <v>0.43094398075560214</v>
      </c>
      <c r="J2" s="101">
        <f>SUM(J4:J30)</f>
        <v>49428.525000000001</v>
      </c>
      <c r="K2" s="102">
        <f>J2/D2</f>
        <v>0.49023629043007982</v>
      </c>
      <c r="M2" s="98" t="s">
        <v>143</v>
      </c>
      <c r="N2" s="99">
        <f>SUM(N4:N19)</f>
        <v>67740</v>
      </c>
      <c r="O2" s="100">
        <f>N2/B2</f>
        <v>0.33075170242901075</v>
      </c>
      <c r="P2" s="101">
        <f>SUM(P4:P19)</f>
        <v>42518.274999999994</v>
      </c>
      <c r="Q2" s="102">
        <f>P2/D2</f>
        <v>0.42169984662674032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8879.1199999999972</v>
      </c>
      <c r="W2" s="102">
        <f>V2/D2</f>
        <v>8.8063862943179652E-2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54002.64</v>
      </c>
      <c r="E4" s="20">
        <f t="shared" ref="E4:E7" si="1">D4/$D$2</f>
        <v>0.53560274976910693</v>
      </c>
      <c r="G4" s="541" t="str">
        <f>'Proposed Budget'!C5</f>
        <v>Groceries/Household</v>
      </c>
      <c r="H4" s="542">
        <f>'Proposed Budget'!F5</f>
        <v>14400</v>
      </c>
      <c r="I4" s="543">
        <f>H4/$B$2</f>
        <v>7.0310370755502727E-2</v>
      </c>
      <c r="J4" s="544">
        <f>'Monthly Breakdown'!E5</f>
        <v>7199.130000000001</v>
      </c>
      <c r="K4" s="545">
        <f>J4/$D$2</f>
        <v>7.1401580069886797E-2</v>
      </c>
      <c r="M4" s="541" t="str">
        <f>'Proposed Budget'!C6</f>
        <v>Dining Out</v>
      </c>
      <c r="N4" s="542">
        <f>'Proposed Budget'!F6</f>
        <v>14400</v>
      </c>
      <c r="O4" s="543">
        <f t="shared" ref="O4:O12" si="2">N4/$B$2</f>
        <v>7.0310370755502727E-2</v>
      </c>
      <c r="P4" s="544">
        <f>'Monthly Breakdown'!E6</f>
        <v>6764.8600000000006</v>
      </c>
      <c r="Q4" s="545">
        <f t="shared" ref="Q4:Q12" si="3">P4/$D$2</f>
        <v>6.7094453489737554E-2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4">T4/$B$2</f>
        <v>0.23537471803390783</v>
      </c>
      <c r="V4" s="104">
        <f>'Monthly Breakdown'!E46</f>
        <v>18046.309999999998</v>
      </c>
      <c r="W4" s="102">
        <f t="shared" ref="W4:W7" si="5">V4/$D$2</f>
        <v>0.17898482850441627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36509.620000000003</v>
      </c>
      <c r="E5" s="20">
        <f t="shared" si="1"/>
        <v>0.36210549826869914</v>
      </c>
      <c r="G5" s="541" t="str">
        <f>'Proposed Budget'!C7</f>
        <v>Misc Food</v>
      </c>
      <c r="H5" s="542">
        <f>'Proposed Budget'!F7*0.5</f>
        <v>900</v>
      </c>
      <c r="I5" s="543">
        <f>H5/$B$2</f>
        <v>4.3943981722189204E-3</v>
      </c>
      <c r="J5" s="544">
        <f>'Monthly Breakdown'!E7*0.5</f>
        <v>367.66499999999996</v>
      </c>
      <c r="K5" s="545">
        <f t="shared" ref="K5:K30" si="6">J5/$D$2</f>
        <v>3.6465325582945331E-3</v>
      </c>
      <c r="M5" s="541" t="str">
        <f>'Proposed Budget'!C7</f>
        <v>Misc Food</v>
      </c>
      <c r="N5" s="542">
        <f>'Proposed Budget'!F7*0.5</f>
        <v>900</v>
      </c>
      <c r="O5" s="543">
        <f>N5/$B$2</f>
        <v>4.3943981722189204E-3</v>
      </c>
      <c r="P5" s="544">
        <f>'Monthly Breakdown'!E7*0.5</f>
        <v>367.66499999999996</v>
      </c>
      <c r="Q5" s="545">
        <f>P5/$D$2</f>
        <v>3.6465325582945331E-3</v>
      </c>
      <c r="S5" s="98" t="str">
        <f>'Proposed Budget'!C45</f>
        <v>Kids Savings</v>
      </c>
      <c r="T5" s="103">
        <f>'Proposed Budget'!F45</f>
        <v>600</v>
      </c>
      <c r="U5" s="100">
        <f t="shared" si="4"/>
        <v>2.9295987814792804E-3</v>
      </c>
      <c r="V5" s="104">
        <f>'Monthly Breakdown'!E45</f>
        <v>300</v>
      </c>
      <c r="W5" s="102">
        <f t="shared" si="5"/>
        <v>2.9754253668104387E-3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6313.66</v>
      </c>
      <c r="E6" s="20">
        <f t="shared" si="1"/>
        <v>6.2619413738054644E-2</v>
      </c>
      <c r="G6" s="541" t="str">
        <f>'Proposed Budget'!C8</f>
        <v>Gasoline</v>
      </c>
      <c r="H6" s="542">
        <f>'Proposed Budget'!F8</f>
        <v>7200</v>
      </c>
      <c r="I6" s="543">
        <f>H6/$B$2</f>
        <v>3.5155185377751363E-2</v>
      </c>
      <c r="J6" s="544">
        <f>'Monthly Breakdown'!E8</f>
        <v>3852.67</v>
      </c>
      <c r="K6" s="545">
        <f>J6/$D$2</f>
        <v>3.821110682649858E-2</v>
      </c>
      <c r="M6" s="541" t="str">
        <f>'Proposed Budget'!C9</f>
        <v>Family Entertainment</v>
      </c>
      <c r="N6" s="542">
        <f>'Proposed Budget'!F9</f>
        <v>8400</v>
      </c>
      <c r="O6" s="543">
        <f t="shared" si="2"/>
        <v>4.1014382940709929E-2</v>
      </c>
      <c r="P6" s="544">
        <f>'Monthly Breakdown'!E9</f>
        <v>4234.8099999999995</v>
      </c>
      <c r="Q6" s="545">
        <f t="shared" si="3"/>
        <v>4.2001203658741708E-2</v>
      </c>
      <c r="S6" s="98" t="s">
        <v>148</v>
      </c>
      <c r="T6" s="103"/>
      <c r="U6" s="100"/>
      <c r="V6" s="104">
        <f>'Budget Breakdown'!T16</f>
        <v>6661.5599999999977</v>
      </c>
      <c r="W6" s="102">
        <f t="shared" si="5"/>
        <v>6.6069915355099137E-2</v>
      </c>
    </row>
    <row r="7" spans="1:23" ht="14.4" x14ac:dyDescent="0.3">
      <c r="A7" s="21" t="s">
        <v>149</v>
      </c>
      <c r="B7" s="33">
        <f>'Proposed Budget'!J22</f>
        <v>9600</v>
      </c>
      <c r="C7" s="111">
        <f t="shared" si="0"/>
        <v>4.6873580503668487E-2</v>
      </c>
      <c r="D7" s="44">
        <f>'Monthly Breakdown'!E52</f>
        <v>4000</v>
      </c>
      <c r="E7" s="34">
        <f t="shared" si="1"/>
        <v>3.9672338224139188E-2</v>
      </c>
      <c r="G7" s="541" t="str">
        <f>'Proposed Budget'!C14</f>
        <v>Rocket Mortgage</v>
      </c>
      <c r="H7" s="542">
        <f>'Proposed Budget'!F14</f>
        <v>15420</v>
      </c>
      <c r="I7" s="543">
        <f t="shared" ref="I7:I30" si="7">H7/$B$2</f>
        <v>7.5290688684017504E-2</v>
      </c>
      <c r="J7" s="544">
        <f>'Monthly Breakdown'!E14</f>
        <v>7589.48</v>
      </c>
      <c r="K7" s="545">
        <f t="shared" si="6"/>
        <v>7.5273104376334957E-2</v>
      </c>
      <c r="M7" s="541" t="str">
        <f>'Proposed Budget'!C10</f>
        <v>Miscellaneous Spending</v>
      </c>
      <c r="N7" s="542">
        <f>'Proposed Budget'!F10</f>
        <v>10800</v>
      </c>
      <c r="O7" s="543">
        <f>N7/$B$2</f>
        <v>5.2732778066627045E-2</v>
      </c>
      <c r="P7" s="544">
        <f>'Monthly Breakdown'!E10</f>
        <v>4826.43</v>
      </c>
      <c r="Q7" s="545">
        <f>P7/$D$2</f>
        <v>4.7868940843783021E-2</v>
      </c>
      <c r="S7" s="112" t="s">
        <v>150</v>
      </c>
      <c r="T7" s="113"/>
      <c r="U7" s="114"/>
      <c r="V7" s="115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-16128.749999999998</v>
      </c>
      <c r="W7" s="116">
        <f t="shared" si="5"/>
        <v>-0.1599663062831462</v>
      </c>
    </row>
    <row r="8" spans="1:23" ht="14.4" x14ac:dyDescent="0.3">
      <c r="B8" s="7"/>
      <c r="C8" s="117"/>
      <c r="D8" s="39"/>
      <c r="E8" s="50"/>
      <c r="G8" s="541" t="str">
        <f>'Proposed Budget'!C15</f>
        <v>EH Roberts</v>
      </c>
      <c r="H8" s="542">
        <f>'Proposed Budget'!F15</f>
        <v>240</v>
      </c>
      <c r="I8" s="543">
        <f t="shared" ref="I8:I16" si="8">H8/$B$2</f>
        <v>1.1718395125917122E-3</v>
      </c>
      <c r="J8" s="544">
        <f>'Monthly Breakdown'!E15</f>
        <v>89.5</v>
      </c>
      <c r="K8" s="545">
        <f t="shared" ref="K8:K16" si="9">J8/$D$2</f>
        <v>8.8766856776511421E-4</v>
      </c>
      <c r="M8" s="541" t="str">
        <f>'Proposed Budget'!C11</f>
        <v>Department Stores/Clothes</v>
      </c>
      <c r="N8" s="542">
        <f>'Proposed Budget'!F11</f>
        <v>4200</v>
      </c>
      <c r="O8" s="543">
        <f>N8/$B$2</f>
        <v>2.0507191470354964E-2</v>
      </c>
      <c r="P8" s="544">
        <f>'Monthly Breakdown'!E11</f>
        <v>2164.16</v>
      </c>
      <c r="Q8" s="545">
        <f>P8/$D$2</f>
        <v>2.1464321872788263E-2</v>
      </c>
      <c r="T8" s="7"/>
      <c r="U8" s="11"/>
      <c r="V8" s="7"/>
      <c r="W8" s="50"/>
    </row>
    <row r="9" spans="1:23" ht="14.4" x14ac:dyDescent="0.3">
      <c r="D9" s="39"/>
      <c r="E9" s="50"/>
      <c r="G9" s="541" t="str">
        <f>'Proposed Budget'!C16</f>
        <v>Verizon Wireless</v>
      </c>
      <c r="H9" s="542">
        <f>'Proposed Budget'!F16</f>
        <v>3240</v>
      </c>
      <c r="I9" s="543">
        <f t="shared" si="8"/>
        <v>1.5819833419988116E-2</v>
      </c>
      <c r="J9" s="544">
        <f>'Monthly Breakdown'!E16</f>
        <v>1820.1200000000003</v>
      </c>
      <c r="K9" s="545">
        <f t="shared" si="9"/>
        <v>1.8052104062130057E-2</v>
      </c>
      <c r="M9" s="541" t="str">
        <f>'Proposed Budget'!C12</f>
        <v>Alcohol/Bars</v>
      </c>
      <c r="N9" s="542">
        <f>'Proposed Budget'!F12</f>
        <v>8400</v>
      </c>
      <c r="O9" s="543">
        <f t="shared" si="2"/>
        <v>4.1014382940709929E-2</v>
      </c>
      <c r="P9" s="544">
        <f>'Monthly Breakdown'!E12</f>
        <v>4547.42</v>
      </c>
      <c r="Q9" s="545">
        <f t="shared" si="3"/>
        <v>4.5101696071803754E-2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541" t="str">
        <f>'Proposed Budget'!C17</f>
        <v>Spectrum TV/Internet</v>
      </c>
      <c r="H10" s="542">
        <f>'Proposed Budget'!F17*0.5</f>
        <v>1230</v>
      </c>
      <c r="I10" s="543">
        <f t="shared" si="8"/>
        <v>6.005677502032525E-3</v>
      </c>
      <c r="J10" s="544">
        <f>'Monthly Breakdown'!E17*0.5</f>
        <v>618.73500000000001</v>
      </c>
      <c r="K10" s="545">
        <f t="shared" si="9"/>
        <v>6.1366660477781901E-3</v>
      </c>
      <c r="M10" s="541" t="str">
        <f>'Proposed Budget'!C17</f>
        <v>Spectrum TV/Internet</v>
      </c>
      <c r="N10" s="542">
        <f>'Proposed Budget'!F17*0.5</f>
        <v>1230</v>
      </c>
      <c r="O10" s="543">
        <f>N10/$B$2</f>
        <v>6.005677502032525E-3</v>
      </c>
      <c r="P10" s="544">
        <f>'Monthly Breakdown'!E17*0.5</f>
        <v>618.73500000000001</v>
      </c>
      <c r="Q10" s="545">
        <f>P10/$D$2</f>
        <v>6.1366660477781901E-3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541" t="str">
        <f>'Proposed Budget'!C18</f>
        <v>First Energy</v>
      </c>
      <c r="H11" s="542">
        <f>'Proposed Budget'!F18</f>
        <v>2160</v>
      </c>
      <c r="I11" s="543">
        <f t="shared" si="8"/>
        <v>1.0546555613325409E-2</v>
      </c>
      <c r="J11" s="544">
        <f>'Monthly Breakdown'!E18</f>
        <v>811.31999999999994</v>
      </c>
      <c r="K11" s="545">
        <f t="shared" si="9"/>
        <v>8.0467403620021506E-3</v>
      </c>
      <c r="M11" s="541" t="str">
        <f>'Proposed Budget'!C22</f>
        <v>Planet Fitness</v>
      </c>
      <c r="N11" s="542">
        <f>'Proposed Budget'!F22</f>
        <v>1740</v>
      </c>
      <c r="O11" s="543">
        <f>N11/$B$2</f>
        <v>8.4958364662899126E-3</v>
      </c>
      <c r="P11" s="544">
        <f>'Monthly Breakdown'!E22</f>
        <v>1072.48</v>
      </c>
      <c r="Q11" s="545">
        <f>P11/$D$2</f>
        <v>1.0636947324656199E-2</v>
      </c>
      <c r="T11" s="7"/>
      <c r="U11" s="11"/>
      <c r="V11" s="7"/>
      <c r="W11" s="50"/>
    </row>
    <row r="12" spans="1:23" ht="14.4" x14ac:dyDescent="0.3">
      <c r="D12" s="39"/>
      <c r="E12" s="50"/>
      <c r="G12" s="541" t="str">
        <f>'Proposed Budget'!C19</f>
        <v>Vivint Home Security</v>
      </c>
      <c r="H12" s="542">
        <f>'Proposed Budget'!F19</f>
        <v>1680</v>
      </c>
      <c r="I12" s="543">
        <f t="shared" si="8"/>
        <v>8.2028765881419843E-3</v>
      </c>
      <c r="J12" s="544">
        <f>'Monthly Breakdown'!E19</f>
        <v>816.99</v>
      </c>
      <c r="K12" s="545">
        <f t="shared" si="9"/>
        <v>8.1029759014348678E-3</v>
      </c>
      <c r="M12" s="541" t="str">
        <f>'Proposed Budget'!C23</f>
        <v>Lowes Rewards</v>
      </c>
      <c r="N12" s="542">
        <f>'Proposed Budget'!F23*0.5</f>
        <v>2400</v>
      </c>
      <c r="O12" s="543">
        <f t="shared" si="2"/>
        <v>1.1718395125917122E-2</v>
      </c>
      <c r="P12" s="544">
        <f>'Monthly Breakdown'!E23*0.5</f>
        <v>1000</v>
      </c>
      <c r="Q12" s="545">
        <f t="shared" si="3"/>
        <v>9.918084556034797E-3</v>
      </c>
      <c r="T12" s="7"/>
      <c r="U12" s="11"/>
      <c r="V12" s="7"/>
      <c r="W12" s="50"/>
    </row>
    <row r="13" spans="1:23" ht="14.4" x14ac:dyDescent="0.3">
      <c r="A13" s="118"/>
      <c r="D13" s="39"/>
      <c r="E13" s="50"/>
      <c r="G13" s="541" t="str">
        <f>'Proposed Budget'!C20</f>
        <v>Columbia Gas</v>
      </c>
      <c r="H13" s="542">
        <f>'Proposed Budget'!F20</f>
        <v>1200</v>
      </c>
      <c r="I13" s="543">
        <f t="shared" si="8"/>
        <v>5.8591975629585609E-3</v>
      </c>
      <c r="J13" s="544">
        <f>'Monthly Breakdown'!E20</f>
        <v>815.66000000000008</v>
      </c>
      <c r="K13" s="545">
        <f t="shared" si="9"/>
        <v>8.0897848489753423E-3</v>
      </c>
      <c r="M13" s="541" t="str">
        <f>'Proposed Budget'!C24</f>
        <v>Wells Fargo - Pool</v>
      </c>
      <c r="N13" s="542">
        <f>'Proposed Budget'!F24</f>
        <v>2400</v>
      </c>
      <c r="O13" s="543">
        <f t="shared" ref="O13:O18" si="10">N13/$B$2</f>
        <v>1.1718395125917122E-2</v>
      </c>
      <c r="P13" s="544">
        <f>'Monthly Breakdown'!E24</f>
        <v>1200</v>
      </c>
      <c r="Q13" s="545">
        <f t="shared" ref="Q13:Q18" si="11">P13/$D$2</f>
        <v>1.1901701467241755E-2</v>
      </c>
      <c r="T13" s="7"/>
      <c r="U13" s="11"/>
      <c r="V13" s="7"/>
      <c r="W13" s="50"/>
    </row>
    <row r="14" spans="1:23" ht="14.4" x14ac:dyDescent="0.3">
      <c r="D14" s="39"/>
      <c r="E14" s="50"/>
      <c r="G14" s="541" t="str">
        <f>'Proposed Budget'!C21</f>
        <v>Medical Bills</v>
      </c>
      <c r="H14" s="542">
        <f>'Proposed Budget'!F21</f>
        <v>0</v>
      </c>
      <c r="I14" s="543">
        <f t="shared" si="8"/>
        <v>0</v>
      </c>
      <c r="J14" s="544">
        <f>'Monthly Breakdown'!E21</f>
        <v>897.36999999999989</v>
      </c>
      <c r="K14" s="545">
        <f t="shared" si="9"/>
        <v>8.9001915380489439E-3</v>
      </c>
      <c r="M14" s="541" t="str">
        <f>'Proposed Budget'!C25</f>
        <v>Wells Fargo - Deck</v>
      </c>
      <c r="N14" s="542">
        <f>'Proposed Budget'!F25*0.5</f>
        <v>3600</v>
      </c>
      <c r="O14" s="543">
        <f t="shared" si="10"/>
        <v>1.7577592688875682E-2</v>
      </c>
      <c r="P14" s="544">
        <f>'Monthly Breakdown'!E25*0.5</f>
        <v>600</v>
      </c>
      <c r="Q14" s="545">
        <f t="shared" si="11"/>
        <v>5.9508507336208773E-3</v>
      </c>
      <c r="T14" s="7"/>
      <c r="U14" s="11"/>
      <c r="V14" s="7"/>
      <c r="W14" s="50"/>
    </row>
    <row r="15" spans="1:23" ht="14.4" x14ac:dyDescent="0.3">
      <c r="D15" s="39"/>
      <c r="E15" s="50"/>
      <c r="G15" s="541" t="str">
        <f>'Proposed Budget'!C23</f>
        <v>Lowes Rewards</v>
      </c>
      <c r="H15" s="542">
        <f>'Proposed Budget'!F23*0.5</f>
        <v>2400</v>
      </c>
      <c r="I15" s="543">
        <f t="shared" si="8"/>
        <v>1.1718395125917122E-2</v>
      </c>
      <c r="J15" s="544">
        <f>'Monthly Breakdown'!E23*0.5</f>
        <v>1000</v>
      </c>
      <c r="K15" s="545">
        <f t="shared" si="9"/>
        <v>9.918084556034797E-3</v>
      </c>
      <c r="M15" s="541" t="str">
        <f>'Proposed Budget'!C26</f>
        <v>Massage Envy</v>
      </c>
      <c r="N15" s="542">
        <f>'Proposed Budget'!F26</f>
        <v>1020</v>
      </c>
      <c r="O15" s="543">
        <f t="shared" si="10"/>
        <v>4.9803179285147769E-3</v>
      </c>
      <c r="P15" s="544">
        <f>'Monthly Breakdown'!E26</f>
        <v>563.05999999999995</v>
      </c>
      <c r="Q15" s="545">
        <f t="shared" si="11"/>
        <v>5.5844766901209514E-3</v>
      </c>
      <c r="T15" s="7"/>
      <c r="U15" s="11"/>
      <c r="V15" s="7"/>
      <c r="W15" s="50"/>
    </row>
    <row r="16" spans="1:23" ht="14.4" x14ac:dyDescent="0.3">
      <c r="D16" s="39"/>
      <c r="E16" s="50"/>
      <c r="G16" s="541" t="str">
        <f>'Proposed Budget'!C25</f>
        <v>Wells Fargo - Deck</v>
      </c>
      <c r="H16" s="542">
        <f>'Proposed Budget'!F25*0.5</f>
        <v>3600</v>
      </c>
      <c r="I16" s="543">
        <f t="shared" si="8"/>
        <v>1.7577592688875682E-2</v>
      </c>
      <c r="J16" s="544">
        <f>'Monthly Breakdown'!E25*0.5</f>
        <v>600</v>
      </c>
      <c r="K16" s="545">
        <f t="shared" si="9"/>
        <v>5.9508507336208773E-3</v>
      </c>
      <c r="M16" s="541" t="str">
        <f>'Proposed Budget'!C27</f>
        <v>Streaming/Music</v>
      </c>
      <c r="N16" s="542">
        <f>'Proposed Budget'!F27</f>
        <v>1200</v>
      </c>
      <c r="O16" s="543">
        <f t="shared" si="10"/>
        <v>5.8591975629585609E-3</v>
      </c>
      <c r="P16" s="544">
        <f>'Monthly Breakdown'!E27</f>
        <v>667.35</v>
      </c>
      <c r="Q16" s="545">
        <f t="shared" si="11"/>
        <v>6.6188337284698211E-3</v>
      </c>
      <c r="T16" s="7"/>
      <c r="U16" s="11"/>
      <c r="V16" s="7"/>
      <c r="W16" s="50"/>
    </row>
    <row r="17" spans="7:17" ht="14.4" x14ac:dyDescent="0.3">
      <c r="G17" s="541" t="str">
        <f>'Proposed Budget'!C28</f>
        <v>GM Financial/Toyota</v>
      </c>
      <c r="H17" s="542">
        <f>'Proposed Budget'!F28</f>
        <v>14400</v>
      </c>
      <c r="I17" s="543">
        <f t="shared" si="7"/>
        <v>7.0310370755502727E-2</v>
      </c>
      <c r="J17" s="544">
        <f>'Monthly Breakdown'!E28</f>
        <v>7031.02</v>
      </c>
      <c r="K17" s="545">
        <f t="shared" si="6"/>
        <v>6.973425087517178E-2</v>
      </c>
      <c r="M17" s="541" t="str">
        <f>'Proposed Budget'!C38</f>
        <v>Camping/Vacation</v>
      </c>
      <c r="N17" s="542">
        <f>'Proposed Budget'!F38</f>
        <v>4800</v>
      </c>
      <c r="O17" s="543">
        <f t="shared" si="10"/>
        <v>2.3436790251834243E-2</v>
      </c>
      <c r="P17" s="544">
        <f>'Savings Transaction Log'!R5</f>
        <v>5745.84</v>
      </c>
      <c r="Q17" s="545">
        <f t="shared" si="11"/>
        <v>5.6987726965446975E-2</v>
      </c>
    </row>
    <row r="18" spans="7:17" ht="14.4" x14ac:dyDescent="0.3">
      <c r="G18" s="541" t="str">
        <f>'Proposed Budget'!C29</f>
        <v>Ohio Turnpike</v>
      </c>
      <c r="H18" s="542">
        <f>'Proposed Budget'!F29</f>
        <v>1440</v>
      </c>
      <c r="I18" s="543">
        <f t="shared" ref="I18:I25" si="12">H18/$B$2</f>
        <v>7.031037075550273E-3</v>
      </c>
      <c r="J18" s="544">
        <f>'Monthly Breakdown'!E29</f>
        <v>663.16000000000008</v>
      </c>
      <c r="K18" s="545">
        <f t="shared" ref="K18:K25" si="13">J18/$D$2</f>
        <v>6.5772769541800362E-3</v>
      </c>
      <c r="M18" s="541" t="str">
        <f>'Proposed Budget'!C39</f>
        <v>Home Maintenance</v>
      </c>
      <c r="N18" s="542">
        <f>'Proposed Budget'!F39*0.5</f>
        <v>2250</v>
      </c>
      <c r="O18" s="543">
        <f t="shared" si="10"/>
        <v>1.0985995430547301E-2</v>
      </c>
      <c r="P18" s="544">
        <f>'Savings Transaction Log'!T5*0.5</f>
        <v>8145.4649999999992</v>
      </c>
      <c r="Q18" s="545">
        <f t="shared" si="11"/>
        <v>8.0787410618221964E-2</v>
      </c>
    </row>
    <row r="19" spans="7:17" ht="14.4" x14ac:dyDescent="0.3">
      <c r="G19" s="541" t="str">
        <f>'Proposed Budget'!C30</f>
        <v>Water Bill - Main</v>
      </c>
      <c r="H19" s="542">
        <f>'Proposed Budget'!F30</f>
        <v>900</v>
      </c>
      <c r="I19" s="543">
        <f t="shared" si="12"/>
        <v>4.3943981722189204E-3</v>
      </c>
      <c r="J19" s="544">
        <f>'Monthly Breakdown'!E30</f>
        <v>608.46999999999991</v>
      </c>
      <c r="K19" s="545">
        <f t="shared" si="13"/>
        <v>6.0348569098104916E-3</v>
      </c>
      <c r="N19" s="11"/>
      <c r="O19" s="11"/>
      <c r="P19" s="11"/>
      <c r="Q19" s="11"/>
    </row>
    <row r="20" spans="7:17" ht="14.4" x14ac:dyDescent="0.3">
      <c r="G20" s="541" t="str">
        <f>'Proposed Budget'!C31</f>
        <v>Water Bill - Rental</v>
      </c>
      <c r="H20" s="542">
        <f>'Proposed Budget'!F31</f>
        <v>900</v>
      </c>
      <c r="I20" s="543">
        <f t="shared" si="12"/>
        <v>4.3943981722189204E-3</v>
      </c>
      <c r="J20" s="544">
        <f>'Monthly Breakdown'!E31</f>
        <v>409.78999999999996</v>
      </c>
      <c r="K20" s="545">
        <f t="shared" si="13"/>
        <v>4.0643318702174988E-3</v>
      </c>
      <c r="N20" s="39"/>
      <c r="O20" s="50"/>
      <c r="P20" s="39"/>
      <c r="Q20" s="50"/>
    </row>
    <row r="21" spans="7:17" ht="15.75" customHeight="1" x14ac:dyDescent="0.3">
      <c r="G21" s="541" t="str">
        <f>'Proposed Budget'!C33</f>
        <v>Vehicle Maintenance</v>
      </c>
      <c r="H21" s="542">
        <f>'Proposed Budget'!F33</f>
        <v>4200</v>
      </c>
      <c r="I21" s="543">
        <f t="shared" si="12"/>
        <v>2.0507191470354964E-2</v>
      </c>
      <c r="J21" s="544">
        <f>'Savings Transaction Log'!H5</f>
        <v>1345.2400000000002</v>
      </c>
      <c r="K21" s="545">
        <f t="shared" si="13"/>
        <v>1.3342204068160252E-2</v>
      </c>
      <c r="N21" s="39"/>
      <c r="O21" s="50"/>
      <c r="P21" s="39"/>
      <c r="Q21" s="50"/>
    </row>
    <row r="22" spans="7:17" ht="15.75" customHeight="1" x14ac:dyDescent="0.3">
      <c r="G22" s="541" t="str">
        <f>'Proposed Budget'!C34</f>
        <v>Car Insurance</v>
      </c>
      <c r="H22" s="542">
        <f>'Proposed Budget'!F34</f>
        <v>3840</v>
      </c>
      <c r="I22" s="543">
        <f t="shared" si="12"/>
        <v>1.8749432201467395E-2</v>
      </c>
      <c r="J22" s="544">
        <f>'Savings Transaction Log'!J5</f>
        <v>2159</v>
      </c>
      <c r="K22" s="545">
        <f t="shared" si="13"/>
        <v>2.1413144556479125E-2</v>
      </c>
      <c r="N22" s="39"/>
      <c r="O22" s="11"/>
      <c r="P22" s="39"/>
      <c r="Q22" s="50"/>
    </row>
    <row r="23" spans="7:17" ht="15.75" customHeight="1" x14ac:dyDescent="0.3">
      <c r="G23" s="541" t="str">
        <f>'Proposed Budget'!C35</f>
        <v>Rental Garbage</v>
      </c>
      <c r="H23" s="542">
        <f>'Proposed Budget'!F35</f>
        <v>300</v>
      </c>
      <c r="I23" s="543">
        <f t="shared" si="12"/>
        <v>1.4647993907396402E-3</v>
      </c>
      <c r="J23" s="544">
        <f>'Savings Transaction Log'!L5</f>
        <v>126.96000000000001</v>
      </c>
      <c r="K23" s="545">
        <f t="shared" si="13"/>
        <v>1.2592000152341779E-3</v>
      </c>
      <c r="N23" s="39"/>
      <c r="O23" s="11"/>
      <c r="P23" s="39"/>
      <c r="Q23" s="50"/>
    </row>
    <row r="24" spans="7:17" ht="15.75" customHeight="1" x14ac:dyDescent="0.3">
      <c r="G24" s="541" t="str">
        <f>'Proposed Budget'!C36</f>
        <v>Garbage</v>
      </c>
      <c r="H24" s="542">
        <f>'Proposed Budget'!F36</f>
        <v>300</v>
      </c>
      <c r="I24" s="543">
        <f t="shared" si="12"/>
        <v>1.4647993907396402E-3</v>
      </c>
      <c r="J24" s="544">
        <f>'Savings Transaction Log'!N5</f>
        <v>126.96000000000001</v>
      </c>
      <c r="K24" s="545">
        <f t="shared" si="13"/>
        <v>1.2592000152341779E-3</v>
      </c>
      <c r="N24" s="11"/>
      <c r="O24" s="11"/>
      <c r="P24" s="11"/>
      <c r="Q24" s="11"/>
    </row>
    <row r="25" spans="7:17" ht="15.75" customHeight="1" x14ac:dyDescent="0.3">
      <c r="G25" s="541" t="str">
        <f>'Proposed Budget'!C37</f>
        <v>Sanitation - Main</v>
      </c>
      <c r="H25" s="542">
        <f>'Proposed Budget'!F37</f>
        <v>540</v>
      </c>
      <c r="I25" s="543">
        <f t="shared" si="12"/>
        <v>2.6366389033313522E-3</v>
      </c>
      <c r="J25" s="544">
        <f>'Savings Transaction Log'!P5</f>
        <v>278.45999999999998</v>
      </c>
      <c r="K25" s="545">
        <f t="shared" si="13"/>
        <v>2.7617898254734493E-3</v>
      </c>
      <c r="N25" s="11"/>
      <c r="O25" s="11"/>
      <c r="P25" s="11"/>
      <c r="Q25" s="11"/>
    </row>
    <row r="26" spans="7:17" ht="15.75" customHeight="1" x14ac:dyDescent="0.3">
      <c r="G26" s="541" t="str">
        <f>'Proposed Budget'!C39</f>
        <v>Home Maintenance</v>
      </c>
      <c r="H26" s="542">
        <f>'Proposed Budget'!F39*0.5</f>
        <v>2250</v>
      </c>
      <c r="I26" s="543">
        <f t="shared" si="7"/>
        <v>1.0985995430547301E-2</v>
      </c>
      <c r="J26" s="544">
        <f>'Savings Transaction Log'!T5*0.5</f>
        <v>8145.4649999999992</v>
      </c>
      <c r="K26" s="545">
        <f t="shared" si="6"/>
        <v>8.0787410618221964E-2</v>
      </c>
      <c r="N26" s="11"/>
      <c r="O26" s="11"/>
      <c r="P26" s="11"/>
      <c r="Q26" s="11"/>
    </row>
    <row r="27" spans="7:17" ht="15.75" customHeight="1" x14ac:dyDescent="0.3">
      <c r="G27" s="541" t="str">
        <f>'Proposed Budget'!C40</f>
        <v>Rental Repairs</v>
      </c>
      <c r="H27" s="542">
        <f>'Proposed Budget'!F40</f>
        <v>1200</v>
      </c>
      <c r="I27" s="543">
        <f>H27/$B$2</f>
        <v>5.8591975629585609E-3</v>
      </c>
      <c r="J27" s="544">
        <f>'Savings Transaction Log'!V5</f>
        <v>0</v>
      </c>
      <c r="K27" s="545">
        <f>J27/$D$2</f>
        <v>0</v>
      </c>
      <c r="N27" s="11"/>
      <c r="O27" s="11"/>
      <c r="P27" s="11"/>
      <c r="Q27" s="11"/>
    </row>
    <row r="28" spans="7:17" ht="15.75" customHeight="1" x14ac:dyDescent="0.3">
      <c r="G28" s="541" t="str">
        <f>'Proposed Budget'!C41</f>
        <v>Rental Insurance</v>
      </c>
      <c r="H28" s="542">
        <f>'Proposed Budget'!F41</f>
        <v>1020</v>
      </c>
      <c r="I28" s="543">
        <f>H28/$B$2</f>
        <v>4.9803179285147769E-3</v>
      </c>
      <c r="J28" s="544">
        <f>'Savings Transaction Log'!X5</f>
        <v>500.5</v>
      </c>
      <c r="K28" s="545">
        <f>J28/$D$2</f>
        <v>4.9640013202954152E-3</v>
      </c>
      <c r="N28" s="11"/>
      <c r="O28" s="11"/>
      <c r="P28" s="11"/>
      <c r="Q28" s="11"/>
    </row>
    <row r="29" spans="7:17" ht="15.75" customHeight="1" x14ac:dyDescent="0.3">
      <c r="G29" s="541" t="str">
        <f>'Proposed Budget'!C42</f>
        <v>Rental Property Taxes</v>
      </c>
      <c r="H29" s="542">
        <f>'Proposed Budget'!F42</f>
        <v>2760</v>
      </c>
      <c r="I29" s="543">
        <f t="shared" si="7"/>
        <v>1.347615439480469E-2</v>
      </c>
      <c r="J29" s="544">
        <f>'Savings Transaction Log'!Z5</f>
        <v>1276.4000000000001</v>
      </c>
      <c r="K29" s="545">
        <f t="shared" si="6"/>
        <v>1.2659443127322815E-2</v>
      </c>
      <c r="N29" s="11"/>
      <c r="O29" s="11"/>
      <c r="P29" s="11"/>
      <c r="Q29" s="11"/>
    </row>
    <row r="30" spans="7:17" ht="15.75" customHeight="1" x14ac:dyDescent="0.3">
      <c r="G30" s="541" t="str">
        <f>'Proposed Budget'!C43</f>
        <v>Rental Sanitation</v>
      </c>
      <c r="H30" s="542">
        <f>'Proposed Budget'!F43</f>
        <v>540</v>
      </c>
      <c r="I30" s="543">
        <f t="shared" si="7"/>
        <v>2.6366389033313522E-3</v>
      </c>
      <c r="J30" s="544">
        <f>'Savings Transaction Log'!AB5</f>
        <v>278.45999999999998</v>
      </c>
      <c r="K30" s="545">
        <f t="shared" si="6"/>
        <v>2.7617898254734493E-3</v>
      </c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/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E22" sqref="E22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59" t="s">
        <v>151</v>
      </c>
      <c r="B1" s="560"/>
      <c r="C1" s="560"/>
      <c r="D1" s="560"/>
      <c r="E1" s="560"/>
      <c r="F1" s="560"/>
      <c r="G1" s="560"/>
      <c r="H1" s="560"/>
      <c r="I1" s="560"/>
      <c r="J1" s="560"/>
      <c r="K1" s="560"/>
      <c r="L1" s="560"/>
      <c r="M1" s="560"/>
      <c r="N1" s="119"/>
      <c r="O1" s="120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</row>
    <row r="2" spans="1:26" ht="11.25" customHeight="1" x14ac:dyDescent="0.3">
      <c r="A2" s="122"/>
      <c r="B2" s="123"/>
      <c r="C2" s="119"/>
      <c r="D2" s="124" t="s">
        <v>152</v>
      </c>
      <c r="E2" s="125" t="s">
        <v>153</v>
      </c>
      <c r="F2" s="125" t="s">
        <v>154</v>
      </c>
      <c r="G2" s="126" t="s">
        <v>155</v>
      </c>
      <c r="H2" s="119"/>
      <c r="I2" s="127"/>
      <c r="J2" s="125" t="s">
        <v>154</v>
      </c>
      <c r="K2" s="125" t="s">
        <v>153</v>
      </c>
      <c r="L2" s="126" t="s">
        <v>152</v>
      </c>
      <c r="M2" s="122"/>
      <c r="N2" s="119"/>
      <c r="O2" s="120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</row>
    <row r="3" spans="1:26" ht="11.25" customHeight="1" x14ac:dyDescent="0.3">
      <c r="A3" s="122"/>
      <c r="B3" s="123"/>
      <c r="C3" s="128" t="s">
        <v>156</v>
      </c>
      <c r="D3" s="129">
        <f t="shared" ref="D3:F3" si="0">SUM(D5:D61)</f>
        <v>17067.183505159996</v>
      </c>
      <c r="E3" s="130">
        <f t="shared" si="0"/>
        <v>1</v>
      </c>
      <c r="F3" s="131">
        <f t="shared" si="0"/>
        <v>204806.20206191996</v>
      </c>
      <c r="G3" s="132">
        <f>F3/52</f>
        <v>3938.5808088830763</v>
      </c>
      <c r="H3" s="119"/>
      <c r="I3" s="133" t="s">
        <v>157</v>
      </c>
      <c r="J3" s="134">
        <f>L29+L49</f>
        <v>276499.56874399999</v>
      </c>
      <c r="K3" s="135"/>
      <c r="L3" s="136">
        <f>J3/12</f>
        <v>23041.630728666667</v>
      </c>
      <c r="M3" s="122"/>
      <c r="N3" s="119"/>
      <c r="O3" s="120"/>
      <c r="P3" s="121"/>
      <c r="Q3" s="121"/>
      <c r="R3" s="121"/>
      <c r="S3" s="121"/>
      <c r="T3" s="121"/>
      <c r="U3" s="121"/>
      <c r="V3" s="121"/>
      <c r="W3" s="121"/>
      <c r="X3" s="121"/>
      <c r="Y3" s="121"/>
      <c r="Z3" s="121"/>
    </row>
    <row r="4" spans="1:26" ht="11.25" customHeight="1" x14ac:dyDescent="0.3">
      <c r="A4" s="122"/>
      <c r="B4" s="123"/>
      <c r="C4" s="119"/>
      <c r="D4" s="137"/>
      <c r="E4" s="138"/>
      <c r="F4" s="137"/>
      <c r="G4" s="137"/>
      <c r="H4" s="119"/>
      <c r="I4" s="139"/>
      <c r="J4" s="140"/>
      <c r="K4" s="141"/>
      <c r="L4" s="142"/>
      <c r="M4" s="122"/>
      <c r="N4" s="119"/>
      <c r="O4" s="120"/>
      <c r="P4" s="121"/>
      <c r="Q4" s="121"/>
      <c r="R4" s="121"/>
      <c r="S4" s="121"/>
      <c r="T4" s="121"/>
      <c r="U4" s="121"/>
      <c r="V4" s="121"/>
      <c r="W4" s="121"/>
      <c r="X4" s="121"/>
      <c r="Y4" s="121"/>
      <c r="Z4" s="121"/>
    </row>
    <row r="5" spans="1:26" ht="11.25" customHeight="1" x14ac:dyDescent="0.3">
      <c r="A5" s="124" t="s">
        <v>158</v>
      </c>
      <c r="B5" s="143">
        <v>1</v>
      </c>
      <c r="C5" s="144" t="s">
        <v>159</v>
      </c>
      <c r="D5" s="145">
        <v>1200</v>
      </c>
      <c r="E5" s="146">
        <f t="shared" ref="E5:E12" si="1">D5/$O$24</f>
        <v>7.0310370755502741E-2</v>
      </c>
      <c r="F5" s="145">
        <f t="shared" ref="F5:F12" si="2">D5*12</f>
        <v>14400</v>
      </c>
      <c r="G5" s="147">
        <f t="shared" ref="G5:G12" si="3">F5/52</f>
        <v>276.92307692307691</v>
      </c>
      <c r="H5" s="119"/>
      <c r="I5" s="139" t="s">
        <v>160</v>
      </c>
      <c r="J5" s="140">
        <f>L31+L53+L54+L55</f>
        <v>4120.8999999999996</v>
      </c>
      <c r="K5" s="148">
        <f>J5/J3</f>
        <v>1.4903820713787E-2</v>
      </c>
      <c r="L5" s="142">
        <f t="shared" ref="L5:L6" si="4">J5/12</f>
        <v>343.4083333333333</v>
      </c>
      <c r="M5" s="122"/>
      <c r="N5" s="119"/>
      <c r="O5" s="120"/>
      <c r="P5" s="121"/>
      <c r="Q5" s="121"/>
      <c r="R5" s="121"/>
      <c r="S5" s="121"/>
      <c r="T5" s="121"/>
      <c r="U5" s="121"/>
      <c r="V5" s="121"/>
      <c r="W5" s="121"/>
      <c r="X5" s="121"/>
      <c r="Y5" s="121"/>
      <c r="Z5" s="121"/>
    </row>
    <row r="6" spans="1:26" ht="11.25" customHeight="1" x14ac:dyDescent="0.3">
      <c r="A6" s="149" t="s">
        <v>158</v>
      </c>
      <c r="B6" s="150">
        <v>2</v>
      </c>
      <c r="C6" s="151" t="s">
        <v>161</v>
      </c>
      <c r="D6" s="140">
        <v>1200</v>
      </c>
      <c r="E6" s="148">
        <f t="shared" si="1"/>
        <v>7.0310370755502741E-2</v>
      </c>
      <c r="F6" s="140">
        <f t="shared" si="2"/>
        <v>14400</v>
      </c>
      <c r="G6" s="142">
        <f t="shared" si="3"/>
        <v>276.92307692307691</v>
      </c>
      <c r="H6" s="119"/>
      <c r="I6" s="139" t="s">
        <v>162</v>
      </c>
      <c r="J6" s="140">
        <f>L32+L56</f>
        <v>17269.97781208</v>
      </c>
      <c r="K6" s="148">
        <f>J6/J3</f>
        <v>6.2459330010997557E-2</v>
      </c>
      <c r="L6" s="142">
        <f t="shared" si="4"/>
        <v>1439.1648176733333</v>
      </c>
      <c r="M6" s="122"/>
      <c r="N6" s="119"/>
      <c r="O6" s="120"/>
      <c r="P6" s="121"/>
      <c r="Q6" s="121"/>
      <c r="R6" s="121"/>
      <c r="S6" s="121"/>
      <c r="T6" s="121"/>
      <c r="U6" s="121"/>
      <c r="V6" s="121"/>
      <c r="W6" s="121"/>
      <c r="X6" s="121"/>
      <c r="Y6" s="121"/>
      <c r="Z6" s="121"/>
    </row>
    <row r="7" spans="1:26" ht="11.25" customHeight="1" x14ac:dyDescent="0.3">
      <c r="A7" s="149" t="s">
        <v>158</v>
      </c>
      <c r="B7" s="150">
        <v>3</v>
      </c>
      <c r="C7" s="151" t="s">
        <v>163</v>
      </c>
      <c r="D7" s="140">
        <v>150</v>
      </c>
      <c r="E7" s="148">
        <f t="shared" si="1"/>
        <v>8.7887963444378426E-3</v>
      </c>
      <c r="F7" s="140">
        <f t="shared" si="2"/>
        <v>1800</v>
      </c>
      <c r="G7" s="142">
        <f t="shared" si="3"/>
        <v>34.615384615384613</v>
      </c>
      <c r="H7" s="119"/>
      <c r="I7" s="133" t="s">
        <v>164</v>
      </c>
      <c r="J7" s="134">
        <f>SUM(J5:J6)</f>
        <v>21390.877812079998</v>
      </c>
      <c r="K7" s="152">
        <f>J7/J3</f>
        <v>7.7363150724784543E-2</v>
      </c>
      <c r="L7" s="136">
        <f>SUM(L5:L6)</f>
        <v>1782.5731510066666</v>
      </c>
      <c r="M7" s="122"/>
      <c r="N7" s="119"/>
      <c r="O7" s="120"/>
      <c r="P7" s="121"/>
      <c r="Q7" s="121"/>
      <c r="R7" s="121"/>
      <c r="S7" s="121"/>
      <c r="T7" s="121"/>
      <c r="U7" s="121"/>
      <c r="V7" s="121"/>
      <c r="W7" s="121"/>
      <c r="X7" s="121"/>
      <c r="Y7" s="121"/>
      <c r="Z7" s="121"/>
    </row>
    <row r="8" spans="1:26" ht="11.25" customHeight="1" x14ac:dyDescent="0.3">
      <c r="A8" s="149" t="s">
        <v>158</v>
      </c>
      <c r="B8" s="150">
        <v>4</v>
      </c>
      <c r="C8" s="151" t="s">
        <v>165</v>
      </c>
      <c r="D8" s="140">
        <v>600</v>
      </c>
      <c r="E8" s="148">
        <f t="shared" si="1"/>
        <v>3.515518537775137E-2</v>
      </c>
      <c r="F8" s="140">
        <f t="shared" si="2"/>
        <v>7200</v>
      </c>
      <c r="G8" s="142">
        <f t="shared" si="3"/>
        <v>138.46153846153845</v>
      </c>
      <c r="H8" s="119"/>
      <c r="I8" s="139"/>
      <c r="J8" s="141"/>
      <c r="K8" s="148"/>
      <c r="L8" s="142"/>
      <c r="M8" s="122"/>
      <c r="N8" s="119"/>
      <c r="O8" s="120"/>
      <c r="P8" s="121"/>
      <c r="Q8" s="121"/>
      <c r="R8" s="121"/>
      <c r="S8" s="121"/>
      <c r="T8" s="121"/>
      <c r="U8" s="121"/>
      <c r="V8" s="121"/>
      <c r="W8" s="121"/>
      <c r="X8" s="121"/>
      <c r="Y8" s="121"/>
      <c r="Z8" s="121"/>
    </row>
    <row r="9" spans="1:26" ht="11.25" customHeight="1" x14ac:dyDescent="0.3">
      <c r="A9" s="149" t="s">
        <v>158</v>
      </c>
      <c r="B9" s="150">
        <v>5</v>
      </c>
      <c r="C9" s="151" t="s">
        <v>166</v>
      </c>
      <c r="D9" s="140">
        <v>700</v>
      </c>
      <c r="E9" s="148">
        <f t="shared" si="1"/>
        <v>4.1014382940709929E-2</v>
      </c>
      <c r="F9" s="140">
        <f t="shared" si="2"/>
        <v>8400</v>
      </c>
      <c r="G9" s="142">
        <f t="shared" si="3"/>
        <v>161.53846153846155</v>
      </c>
      <c r="H9" s="119"/>
      <c r="I9" s="133" t="s">
        <v>167</v>
      </c>
      <c r="J9" s="134">
        <f>L35+L59</f>
        <v>255924.69093192002</v>
      </c>
      <c r="K9" s="152"/>
      <c r="L9" s="136">
        <f>J9/12</f>
        <v>21327.057577660002</v>
      </c>
      <c r="M9" s="137"/>
      <c r="N9" s="119"/>
      <c r="O9" s="120"/>
      <c r="P9" s="121"/>
      <c r="Q9" s="121"/>
      <c r="R9" s="121"/>
      <c r="S9" s="121"/>
      <c r="T9" s="121"/>
      <c r="U9" s="121"/>
      <c r="V9" s="121"/>
      <c r="W9" s="121"/>
      <c r="X9" s="121"/>
      <c r="Y9" s="121"/>
      <c r="Z9" s="121"/>
    </row>
    <row r="10" spans="1:26" ht="11.25" customHeight="1" x14ac:dyDescent="0.3">
      <c r="A10" s="149" t="s">
        <v>158</v>
      </c>
      <c r="B10" s="150">
        <v>6</v>
      </c>
      <c r="C10" s="151" t="s">
        <v>168</v>
      </c>
      <c r="D10" s="140">
        <v>900</v>
      </c>
      <c r="E10" s="148">
        <f t="shared" si="1"/>
        <v>5.2732778066627052E-2</v>
      </c>
      <c r="F10" s="140">
        <f t="shared" si="2"/>
        <v>10800</v>
      </c>
      <c r="G10" s="142">
        <f t="shared" si="3"/>
        <v>207.69230769230768</v>
      </c>
      <c r="H10" s="119"/>
      <c r="I10" s="139"/>
      <c r="J10" s="140"/>
      <c r="K10" s="148"/>
      <c r="L10" s="142"/>
      <c r="M10" s="137"/>
      <c r="N10" s="119"/>
      <c r="O10" s="120"/>
      <c r="P10" s="121"/>
      <c r="Q10" s="121"/>
      <c r="R10" s="121"/>
      <c r="S10" s="121"/>
      <c r="T10" s="121"/>
      <c r="U10" s="121"/>
      <c r="V10" s="121"/>
      <c r="W10" s="121"/>
      <c r="X10" s="121"/>
      <c r="Y10" s="121"/>
      <c r="Z10" s="121"/>
    </row>
    <row r="11" spans="1:26" ht="11.25" customHeight="1" x14ac:dyDescent="0.3">
      <c r="A11" s="153" t="s">
        <v>158</v>
      </c>
      <c r="B11" s="154">
        <v>7</v>
      </c>
      <c r="C11" s="155" t="s">
        <v>169</v>
      </c>
      <c r="D11" s="156">
        <v>350</v>
      </c>
      <c r="E11" s="157">
        <f t="shared" si="1"/>
        <v>2.0507191470354964E-2</v>
      </c>
      <c r="F11" s="156">
        <f t="shared" si="2"/>
        <v>4200</v>
      </c>
      <c r="G11" s="158">
        <f t="shared" si="3"/>
        <v>80.769230769230774</v>
      </c>
      <c r="H11" s="119"/>
      <c r="I11" s="139" t="s">
        <v>170</v>
      </c>
      <c r="J11" s="140">
        <f t="shared" ref="J11:J14" si="5">L37+L61</f>
        <v>39427.360000000001</v>
      </c>
      <c r="K11" s="148">
        <f>J11/J9</f>
        <v>0.15405844530447552</v>
      </c>
      <c r="L11" s="142">
        <f t="shared" ref="L11:L16" si="6">J11/12</f>
        <v>3285.6133333333332</v>
      </c>
      <c r="M11" s="122"/>
      <c r="N11" s="119"/>
      <c r="O11" s="120"/>
      <c r="P11" s="121"/>
      <c r="Q11" s="121"/>
      <c r="R11" s="121"/>
      <c r="S11" s="121"/>
      <c r="T11" s="121"/>
      <c r="U11" s="121"/>
      <c r="V11" s="121"/>
      <c r="W11" s="121"/>
      <c r="X11" s="121"/>
      <c r="Y11" s="121"/>
      <c r="Z11" s="121"/>
    </row>
    <row r="12" spans="1:26" ht="11.25" customHeight="1" x14ac:dyDescent="0.3">
      <c r="A12" s="159" t="s">
        <v>158</v>
      </c>
      <c r="B12" s="160">
        <v>8</v>
      </c>
      <c r="C12" s="161" t="s">
        <v>171</v>
      </c>
      <c r="D12" s="131">
        <v>700</v>
      </c>
      <c r="E12" s="130">
        <f t="shared" si="1"/>
        <v>4.1014382940709929E-2</v>
      </c>
      <c r="F12" s="131">
        <f t="shared" si="2"/>
        <v>8400</v>
      </c>
      <c r="G12" s="132">
        <f t="shared" si="3"/>
        <v>161.53846153846155</v>
      </c>
      <c r="H12" s="119"/>
      <c r="I12" s="139" t="s">
        <v>172</v>
      </c>
      <c r="J12" s="140">
        <f t="shared" si="5"/>
        <v>7415.6</v>
      </c>
      <c r="K12" s="148">
        <f>J12/J9</f>
        <v>2.8975711460261823E-2</v>
      </c>
      <c r="L12" s="142">
        <f t="shared" si="6"/>
        <v>617.9666666666667</v>
      </c>
      <c r="M12" s="122"/>
      <c r="N12" s="119"/>
      <c r="O12" s="120"/>
      <c r="P12" s="121"/>
      <c r="Q12" s="121"/>
      <c r="R12" s="121"/>
      <c r="S12" s="121"/>
      <c r="T12" s="121"/>
      <c r="U12" s="121"/>
      <c r="V12" s="121"/>
      <c r="W12" s="121"/>
      <c r="X12" s="121"/>
      <c r="Y12" s="121"/>
      <c r="Z12" s="121"/>
    </row>
    <row r="13" spans="1:26" ht="11.25" customHeight="1" x14ac:dyDescent="0.3">
      <c r="A13" s="122"/>
      <c r="B13" s="123"/>
      <c r="C13" s="162"/>
      <c r="D13" s="137"/>
      <c r="E13" s="138"/>
      <c r="F13" s="137"/>
      <c r="G13" s="137"/>
      <c r="H13" s="119"/>
      <c r="I13" s="139" t="s">
        <v>173</v>
      </c>
      <c r="J13" s="140">
        <f t="shared" si="5"/>
        <v>3961.26451</v>
      </c>
      <c r="K13" s="148">
        <f>J13/(J9+J6)</f>
        <v>1.4499787013457225E-2</v>
      </c>
      <c r="L13" s="142">
        <f t="shared" si="6"/>
        <v>330.10537583333331</v>
      </c>
      <c r="M13" s="122"/>
      <c r="N13" s="119"/>
      <c r="O13" s="120"/>
      <c r="P13" s="121"/>
      <c r="Q13" s="121"/>
      <c r="R13" s="121"/>
      <c r="S13" s="121"/>
      <c r="T13" s="121"/>
      <c r="U13" s="121"/>
      <c r="V13" s="121"/>
      <c r="W13" s="121"/>
      <c r="X13" s="121"/>
      <c r="Y13" s="121"/>
      <c r="Z13" s="121"/>
    </row>
    <row r="14" spans="1:26" ht="11.25" customHeight="1" x14ac:dyDescent="0.3">
      <c r="A14" s="124" t="s">
        <v>174</v>
      </c>
      <c r="B14" s="143">
        <v>9</v>
      </c>
      <c r="C14" s="163" t="s">
        <v>58</v>
      </c>
      <c r="D14" s="145">
        <v>1285</v>
      </c>
      <c r="E14" s="146">
        <f t="shared" ref="E14:E31" si="7">D14/$O$24</f>
        <v>7.5290688684017518E-2</v>
      </c>
      <c r="F14" s="145">
        <f t="shared" ref="F14:F31" si="8">D14*12</f>
        <v>15420</v>
      </c>
      <c r="G14" s="147">
        <f t="shared" ref="G14:G31" si="9">F14/52</f>
        <v>296.53846153846155</v>
      </c>
      <c r="H14" s="119"/>
      <c r="I14" s="139" t="s">
        <v>175</v>
      </c>
      <c r="J14" s="140">
        <f t="shared" si="5"/>
        <v>16938.027560000002</v>
      </c>
      <c r="K14" s="148">
        <f>J14/(J9+J6)</f>
        <v>6.1999846621721456E-2</v>
      </c>
      <c r="L14" s="142">
        <f t="shared" si="6"/>
        <v>1411.5022966666668</v>
      </c>
      <c r="M14" s="122"/>
      <c r="N14" s="119"/>
      <c r="O14" s="120"/>
      <c r="P14" s="121"/>
      <c r="Q14" s="121"/>
      <c r="R14" s="121"/>
      <c r="S14" s="121"/>
      <c r="T14" s="121"/>
      <c r="U14" s="121"/>
      <c r="V14" s="121"/>
      <c r="W14" s="121"/>
      <c r="X14" s="121"/>
      <c r="Y14" s="121"/>
      <c r="Z14" s="121"/>
    </row>
    <row r="15" spans="1:26" ht="11.25" customHeight="1" x14ac:dyDescent="0.3">
      <c r="A15" s="149" t="s">
        <v>174</v>
      </c>
      <c r="B15" s="150">
        <v>10</v>
      </c>
      <c r="C15" s="164" t="s">
        <v>176</v>
      </c>
      <c r="D15" s="140">
        <v>20</v>
      </c>
      <c r="E15" s="148">
        <f t="shared" si="7"/>
        <v>1.1718395125917122E-3</v>
      </c>
      <c r="F15" s="140">
        <f t="shared" si="8"/>
        <v>240</v>
      </c>
      <c r="G15" s="142">
        <f t="shared" si="9"/>
        <v>4.615384615384615</v>
      </c>
      <c r="H15" s="119"/>
      <c r="I15" s="139" t="s">
        <v>177</v>
      </c>
      <c r="J15" s="140">
        <f>L41</f>
        <v>833.99680000000001</v>
      </c>
      <c r="K15" s="148">
        <f>J15/J3</f>
        <v>3.0162679956009793E-3</v>
      </c>
      <c r="L15" s="142">
        <f t="shared" si="6"/>
        <v>69.499733333333339</v>
      </c>
      <c r="M15" s="122"/>
      <c r="N15" s="119"/>
      <c r="O15" s="120"/>
      <c r="P15" s="121"/>
      <c r="Q15" s="121"/>
      <c r="R15" s="121"/>
      <c r="S15" s="121"/>
      <c r="T15" s="121"/>
      <c r="U15" s="121"/>
      <c r="V15" s="121"/>
      <c r="W15" s="121"/>
      <c r="X15" s="121"/>
      <c r="Y15" s="121"/>
      <c r="Z15" s="121"/>
    </row>
    <row r="16" spans="1:26" ht="11.25" customHeight="1" x14ac:dyDescent="0.3">
      <c r="A16" s="149" t="s">
        <v>174</v>
      </c>
      <c r="B16" s="150">
        <v>11</v>
      </c>
      <c r="C16" s="164" t="s">
        <v>178</v>
      </c>
      <c r="D16" s="140">
        <v>270</v>
      </c>
      <c r="E16" s="148">
        <f t="shared" si="7"/>
        <v>1.5819833419988116E-2</v>
      </c>
      <c r="F16" s="140">
        <f t="shared" si="8"/>
        <v>3240</v>
      </c>
      <c r="G16" s="142">
        <f t="shared" si="9"/>
        <v>62.307692307692307</v>
      </c>
      <c r="H16" s="119"/>
      <c r="I16" s="139" t="s">
        <v>179</v>
      </c>
      <c r="J16" s="140">
        <f>L65</f>
        <v>4326.24</v>
      </c>
      <c r="K16" s="148">
        <f>J16/J9</f>
        <v>1.6904347854232039E-2</v>
      </c>
      <c r="L16" s="142">
        <f t="shared" si="6"/>
        <v>360.52</v>
      </c>
      <c r="M16" s="122"/>
      <c r="N16" s="119"/>
      <c r="O16" s="120"/>
      <c r="P16" s="121"/>
      <c r="Q16" s="121"/>
      <c r="R16" s="121"/>
      <c r="S16" s="121"/>
      <c r="T16" s="121"/>
      <c r="U16" s="121"/>
      <c r="V16" s="121"/>
      <c r="W16" s="121"/>
      <c r="X16" s="121"/>
      <c r="Y16" s="121"/>
      <c r="Z16" s="121"/>
    </row>
    <row r="17" spans="1:26" ht="11.25" customHeight="1" x14ac:dyDescent="0.3">
      <c r="A17" s="149" t="s">
        <v>174</v>
      </c>
      <c r="B17" s="150">
        <v>12</v>
      </c>
      <c r="C17" s="151" t="s">
        <v>180</v>
      </c>
      <c r="D17" s="140">
        <v>205</v>
      </c>
      <c r="E17" s="148">
        <f t="shared" si="7"/>
        <v>1.201135500406505E-2</v>
      </c>
      <c r="F17" s="140">
        <f t="shared" si="8"/>
        <v>2460</v>
      </c>
      <c r="G17" s="142">
        <f t="shared" si="9"/>
        <v>47.307692307692307</v>
      </c>
      <c r="H17" s="119"/>
      <c r="I17" s="133" t="s">
        <v>181</v>
      </c>
      <c r="J17" s="134">
        <f>SUM(J11:J16)</f>
        <v>72902.488870000001</v>
      </c>
      <c r="K17" s="152">
        <f>J17/J3</f>
        <v>0.26366221546442098</v>
      </c>
      <c r="L17" s="136">
        <f>SUM(L11:L16)</f>
        <v>6075.2074058333328</v>
      </c>
      <c r="M17" s="122"/>
      <c r="N17" s="119"/>
      <c r="O17" s="120"/>
      <c r="P17" s="121"/>
      <c r="Q17" s="121"/>
      <c r="R17" s="121"/>
      <c r="S17" s="121"/>
      <c r="T17" s="121"/>
      <c r="U17" s="121"/>
      <c r="V17" s="121"/>
      <c r="W17" s="121"/>
      <c r="X17" s="121"/>
      <c r="Y17" s="121"/>
      <c r="Z17" s="121"/>
    </row>
    <row r="18" spans="1:26" ht="11.25" customHeight="1" x14ac:dyDescent="0.3">
      <c r="A18" s="149" t="s">
        <v>174</v>
      </c>
      <c r="B18" s="150">
        <v>13</v>
      </c>
      <c r="C18" s="151" t="s">
        <v>182</v>
      </c>
      <c r="D18" s="140">
        <v>180</v>
      </c>
      <c r="E18" s="148">
        <f t="shared" si="7"/>
        <v>1.054655561332541E-2</v>
      </c>
      <c r="F18" s="140">
        <f t="shared" si="8"/>
        <v>2160</v>
      </c>
      <c r="G18" s="142">
        <f t="shared" si="9"/>
        <v>41.53846153846154</v>
      </c>
      <c r="H18" s="119"/>
      <c r="I18" s="139"/>
      <c r="J18" s="140"/>
      <c r="K18" s="148"/>
      <c r="L18" s="142"/>
      <c r="M18" s="122"/>
      <c r="N18" s="119"/>
      <c r="O18" s="120"/>
      <c r="P18" s="121"/>
      <c r="Q18" s="121"/>
      <c r="R18" s="121"/>
      <c r="S18" s="121"/>
      <c r="T18" s="121"/>
      <c r="U18" s="121"/>
      <c r="V18" s="121"/>
      <c r="W18" s="121"/>
      <c r="X18" s="121"/>
      <c r="Y18" s="121"/>
      <c r="Z18" s="121"/>
    </row>
    <row r="19" spans="1:26" ht="11.25" customHeight="1" x14ac:dyDescent="0.3">
      <c r="A19" s="149" t="s">
        <v>174</v>
      </c>
      <c r="B19" s="150">
        <v>14</v>
      </c>
      <c r="C19" s="165" t="s">
        <v>183</v>
      </c>
      <c r="D19" s="140">
        <v>140</v>
      </c>
      <c r="E19" s="148">
        <f t="shared" si="7"/>
        <v>8.2028765881419861E-3</v>
      </c>
      <c r="F19" s="140">
        <f t="shared" si="8"/>
        <v>1680</v>
      </c>
      <c r="G19" s="142">
        <f t="shared" si="9"/>
        <v>32.307692307692307</v>
      </c>
      <c r="H19" s="119"/>
      <c r="I19" s="166" t="s">
        <v>184</v>
      </c>
      <c r="J19" s="167">
        <f>L44+L68</f>
        <v>182206.20206191996</v>
      </c>
      <c r="K19" s="168">
        <f>J19/J3</f>
        <v>0.65897463381079435</v>
      </c>
      <c r="L19" s="169"/>
      <c r="M19" s="122"/>
      <c r="N19" s="119"/>
      <c r="O19" s="120"/>
      <c r="P19" s="121"/>
      <c r="Q19" s="121"/>
      <c r="R19" s="121"/>
      <c r="S19" s="121"/>
      <c r="T19" s="121"/>
      <c r="U19" s="121"/>
      <c r="V19" s="121"/>
      <c r="W19" s="121"/>
      <c r="X19" s="121"/>
      <c r="Y19" s="121"/>
      <c r="Z19" s="121"/>
    </row>
    <row r="20" spans="1:26" ht="11.25" customHeight="1" x14ac:dyDescent="0.3">
      <c r="A20" s="149" t="s">
        <v>174</v>
      </c>
      <c r="B20" s="150">
        <v>15</v>
      </c>
      <c r="C20" s="151" t="s">
        <v>185</v>
      </c>
      <c r="D20" s="140">
        <v>100</v>
      </c>
      <c r="E20" s="148">
        <f t="shared" si="7"/>
        <v>5.8591975629585609E-3</v>
      </c>
      <c r="F20" s="140">
        <f t="shared" si="8"/>
        <v>1200</v>
      </c>
      <c r="G20" s="142">
        <f t="shared" si="9"/>
        <v>23.076923076923077</v>
      </c>
      <c r="H20" s="119"/>
      <c r="I20" s="139"/>
      <c r="J20" s="140"/>
      <c r="K20" s="148"/>
      <c r="L20" s="142"/>
      <c r="M20" s="122"/>
      <c r="N20" s="119"/>
      <c r="O20" s="120"/>
      <c r="P20" s="121"/>
      <c r="Q20" s="121"/>
      <c r="R20" s="121"/>
      <c r="S20" s="121"/>
      <c r="T20" s="121"/>
      <c r="U20" s="121"/>
      <c r="V20" s="121"/>
      <c r="W20" s="121"/>
      <c r="X20" s="121"/>
      <c r="Y20" s="121"/>
      <c r="Z20" s="121"/>
    </row>
    <row r="21" spans="1:26" ht="11.25" customHeight="1" x14ac:dyDescent="0.3">
      <c r="A21" s="149" t="s">
        <v>174</v>
      </c>
      <c r="B21" s="150">
        <v>16</v>
      </c>
      <c r="C21" s="164" t="s">
        <v>186</v>
      </c>
      <c r="D21" s="140">
        <v>0</v>
      </c>
      <c r="E21" s="148">
        <f t="shared" si="7"/>
        <v>0</v>
      </c>
      <c r="F21" s="140">
        <f t="shared" si="8"/>
        <v>0</v>
      </c>
      <c r="G21" s="142">
        <f t="shared" si="9"/>
        <v>0</v>
      </c>
      <c r="H21" s="119"/>
      <c r="I21" s="139" t="s">
        <v>187</v>
      </c>
      <c r="J21" s="140">
        <v>13000</v>
      </c>
      <c r="K21" s="148"/>
      <c r="L21" s="142">
        <f t="shared" ref="L21:L22" si="10">J21/12</f>
        <v>1083.3333333333333</v>
      </c>
      <c r="M21" s="122"/>
      <c r="N21" s="119"/>
      <c r="O21" s="120"/>
      <c r="P21" s="121"/>
      <c r="Q21" s="121"/>
      <c r="R21" s="121"/>
      <c r="S21" s="121"/>
      <c r="T21" s="121"/>
      <c r="U21" s="121"/>
      <c r="V21" s="121"/>
      <c r="W21" s="121"/>
      <c r="X21" s="121"/>
      <c r="Y21" s="121"/>
      <c r="Z21" s="121"/>
    </row>
    <row r="22" spans="1:26" ht="11.25" customHeight="1" x14ac:dyDescent="0.3">
      <c r="A22" s="149" t="s">
        <v>174</v>
      </c>
      <c r="B22" s="150">
        <v>17</v>
      </c>
      <c r="C22" s="151" t="s">
        <v>188</v>
      </c>
      <c r="D22" s="140">
        <v>145</v>
      </c>
      <c r="E22" s="148">
        <f t="shared" si="7"/>
        <v>8.4958364662899143E-3</v>
      </c>
      <c r="F22" s="140">
        <f t="shared" si="8"/>
        <v>1740</v>
      </c>
      <c r="G22" s="142">
        <f t="shared" si="9"/>
        <v>33.46153846153846</v>
      </c>
      <c r="H22" s="119"/>
      <c r="I22" s="139" t="s">
        <v>189</v>
      </c>
      <c r="J22" s="140">
        <v>9600</v>
      </c>
      <c r="K22" s="148"/>
      <c r="L22" s="142">
        <f t="shared" si="10"/>
        <v>800</v>
      </c>
      <c r="M22" s="137">
        <f>L22-D31-D35-D40-D41-D42-D43</f>
        <v>240</v>
      </c>
      <c r="N22" s="120">
        <f>M22*12</f>
        <v>2880</v>
      </c>
      <c r="O22" s="120"/>
      <c r="P22" s="121"/>
      <c r="Q22" s="121"/>
      <c r="R22" s="121"/>
      <c r="S22" s="121"/>
      <c r="T22" s="121"/>
      <c r="U22" s="121"/>
      <c r="V22" s="121"/>
      <c r="W22" s="121"/>
      <c r="X22" s="121"/>
      <c r="Y22" s="121"/>
      <c r="Z22" s="121"/>
    </row>
    <row r="23" spans="1:26" ht="11.25" customHeight="1" x14ac:dyDescent="0.3">
      <c r="A23" s="149" t="s">
        <v>174</v>
      </c>
      <c r="B23" s="150">
        <v>18</v>
      </c>
      <c r="C23" s="165" t="s">
        <v>190</v>
      </c>
      <c r="D23" s="140">
        <v>400</v>
      </c>
      <c r="E23" s="148">
        <f t="shared" si="7"/>
        <v>2.3436790251834243E-2</v>
      </c>
      <c r="F23" s="140">
        <f t="shared" si="8"/>
        <v>4800</v>
      </c>
      <c r="G23" s="142">
        <f t="shared" si="9"/>
        <v>92.307692307692307</v>
      </c>
      <c r="H23" s="119"/>
      <c r="I23" s="139"/>
      <c r="J23" s="141"/>
      <c r="K23" s="141"/>
      <c r="L23" s="142"/>
      <c r="M23" s="122"/>
      <c r="N23" s="119"/>
      <c r="O23" s="120"/>
      <c r="P23" s="121"/>
      <c r="Q23" s="121"/>
      <c r="R23" s="121"/>
      <c r="S23" s="121"/>
      <c r="T23" s="121"/>
      <c r="U23" s="121"/>
      <c r="V23" s="121"/>
      <c r="W23" s="121"/>
      <c r="X23" s="121"/>
      <c r="Y23" s="121"/>
      <c r="Z23" s="121"/>
    </row>
    <row r="24" spans="1:26" ht="11.25" customHeight="1" x14ac:dyDescent="0.3">
      <c r="A24" s="149" t="s">
        <v>174</v>
      </c>
      <c r="B24" s="150">
        <v>19</v>
      </c>
      <c r="C24" s="165" t="s">
        <v>191</v>
      </c>
      <c r="D24" s="140">
        <v>200</v>
      </c>
      <c r="E24" s="148">
        <f t="shared" si="7"/>
        <v>1.1718395125917122E-2</v>
      </c>
      <c r="F24" s="140">
        <f t="shared" si="8"/>
        <v>2400</v>
      </c>
      <c r="G24" s="142">
        <f t="shared" si="9"/>
        <v>46.153846153846153</v>
      </c>
      <c r="H24" s="119"/>
      <c r="I24" s="170" t="s">
        <v>192</v>
      </c>
      <c r="J24" s="171">
        <f>J19+J22+J21</f>
        <v>204806.20206191996</v>
      </c>
      <c r="K24" s="172">
        <f>(J24+J6)/J3</f>
        <v>0.80317007683875097</v>
      </c>
      <c r="L24" s="173">
        <f>J24/12</f>
        <v>17067.183505159996</v>
      </c>
      <c r="M24" s="122"/>
      <c r="N24" s="174">
        <f>J21+J22+N44+N68</f>
        <v>204806.20206191996</v>
      </c>
      <c r="O24" s="120">
        <f>N24/12</f>
        <v>17067.183505159996</v>
      </c>
      <c r="P24" s="121"/>
      <c r="Q24" s="121"/>
      <c r="R24" s="121"/>
      <c r="S24" s="121"/>
      <c r="T24" s="121"/>
      <c r="U24" s="121"/>
      <c r="V24" s="121"/>
      <c r="W24" s="121"/>
      <c r="X24" s="121"/>
      <c r="Y24" s="121"/>
      <c r="Z24" s="121"/>
    </row>
    <row r="25" spans="1:26" ht="11.25" customHeight="1" x14ac:dyDescent="0.3">
      <c r="A25" s="149" t="s">
        <v>174</v>
      </c>
      <c r="B25" s="150">
        <v>20</v>
      </c>
      <c r="C25" s="165" t="s">
        <v>193</v>
      </c>
      <c r="D25" s="140">
        <v>600</v>
      </c>
      <c r="E25" s="148">
        <f t="shared" si="7"/>
        <v>3.515518537775137E-2</v>
      </c>
      <c r="F25" s="140">
        <f t="shared" si="8"/>
        <v>7200</v>
      </c>
      <c r="G25" s="142">
        <f t="shared" si="9"/>
        <v>138.46153846153845</v>
      </c>
      <c r="H25" s="119"/>
      <c r="I25" s="119"/>
      <c r="J25" s="137"/>
      <c r="K25" s="138"/>
      <c r="L25" s="137"/>
      <c r="M25" s="122"/>
      <c r="N25" s="119"/>
      <c r="O25" s="120"/>
      <c r="P25" s="121"/>
      <c r="Q25" s="121"/>
      <c r="R25" s="121"/>
      <c r="S25" s="121"/>
      <c r="T25" s="121"/>
      <c r="U25" s="121"/>
      <c r="V25" s="121"/>
      <c r="W25" s="121"/>
      <c r="X25" s="121"/>
      <c r="Y25" s="121"/>
      <c r="Z25" s="121"/>
    </row>
    <row r="26" spans="1:26" ht="11.25" customHeight="1" x14ac:dyDescent="0.3">
      <c r="A26" s="149" t="s">
        <v>174</v>
      </c>
      <c r="B26" s="150">
        <v>21</v>
      </c>
      <c r="C26" s="164" t="s">
        <v>194</v>
      </c>
      <c r="D26" s="140">
        <v>85</v>
      </c>
      <c r="E26" s="148">
        <f t="shared" si="7"/>
        <v>4.9803179285147769E-3</v>
      </c>
      <c r="F26" s="140">
        <f t="shared" si="8"/>
        <v>1020</v>
      </c>
      <c r="G26" s="142">
        <f t="shared" si="9"/>
        <v>19.615384615384617</v>
      </c>
      <c r="H26" s="119"/>
      <c r="I26" s="119"/>
      <c r="J26" s="137"/>
      <c r="K26" s="138"/>
      <c r="L26" s="137"/>
      <c r="M26" s="122"/>
      <c r="N26" s="119"/>
      <c r="O26" s="120"/>
      <c r="P26" s="121"/>
      <c r="Q26" s="121"/>
      <c r="R26" s="121"/>
      <c r="S26" s="121"/>
      <c r="T26" s="121"/>
      <c r="U26" s="121"/>
      <c r="V26" s="121"/>
      <c r="W26" s="121"/>
      <c r="X26" s="121"/>
      <c r="Y26" s="121"/>
      <c r="Z26" s="121"/>
    </row>
    <row r="27" spans="1:26" ht="11.25" customHeight="1" x14ac:dyDescent="0.3">
      <c r="A27" s="149" t="s">
        <v>174</v>
      </c>
      <c r="B27" s="150">
        <v>22</v>
      </c>
      <c r="C27" s="164" t="s">
        <v>195</v>
      </c>
      <c r="D27" s="140">
        <v>100</v>
      </c>
      <c r="E27" s="148">
        <f t="shared" si="7"/>
        <v>5.8591975629585609E-3</v>
      </c>
      <c r="F27" s="140">
        <f t="shared" si="8"/>
        <v>1200</v>
      </c>
      <c r="G27" s="142">
        <f t="shared" si="9"/>
        <v>23.076923076923077</v>
      </c>
      <c r="H27" s="119"/>
      <c r="I27" s="127" t="s">
        <v>196</v>
      </c>
      <c r="J27" s="175">
        <v>50.12</v>
      </c>
      <c r="K27" s="163"/>
      <c r="L27" s="163"/>
      <c r="M27" s="176"/>
      <c r="N27" s="119"/>
      <c r="O27" s="120"/>
      <c r="P27" s="121"/>
      <c r="Q27" s="121"/>
      <c r="R27" s="121"/>
      <c r="S27" s="121"/>
      <c r="T27" s="121"/>
      <c r="U27" s="121"/>
      <c r="V27" s="121"/>
      <c r="W27" s="121"/>
      <c r="X27" s="121"/>
      <c r="Y27" s="121"/>
      <c r="Z27" s="121"/>
    </row>
    <row r="28" spans="1:26" ht="11.25" customHeight="1" x14ac:dyDescent="0.3">
      <c r="A28" s="149" t="s">
        <v>174</v>
      </c>
      <c r="B28" s="150">
        <v>23</v>
      </c>
      <c r="C28" s="165" t="s">
        <v>197</v>
      </c>
      <c r="D28" s="140">
        <v>1200</v>
      </c>
      <c r="E28" s="148">
        <f t="shared" si="7"/>
        <v>7.0310370755502741E-2</v>
      </c>
      <c r="F28" s="140">
        <f t="shared" si="8"/>
        <v>14400</v>
      </c>
      <c r="G28" s="142">
        <f t="shared" si="9"/>
        <v>276.92307692307691</v>
      </c>
      <c r="H28" s="119"/>
      <c r="I28" s="139"/>
      <c r="J28" s="141" t="s">
        <v>198</v>
      </c>
      <c r="K28" s="141" t="s">
        <v>153</v>
      </c>
      <c r="L28" s="141" t="s">
        <v>154</v>
      </c>
      <c r="M28" s="177" t="s">
        <v>152</v>
      </c>
      <c r="N28" s="119"/>
      <c r="O28" s="120"/>
      <c r="P28" s="121"/>
      <c r="Q28" s="121"/>
      <c r="R28" s="121"/>
      <c r="S28" s="121"/>
      <c r="T28" s="121"/>
      <c r="U28" s="121"/>
      <c r="V28" s="121"/>
      <c r="W28" s="121"/>
      <c r="X28" s="121"/>
      <c r="Y28" s="121"/>
      <c r="Z28" s="121"/>
    </row>
    <row r="29" spans="1:26" ht="11.25" customHeight="1" x14ac:dyDescent="0.3">
      <c r="A29" s="149" t="s">
        <v>174</v>
      </c>
      <c r="B29" s="150">
        <v>24</v>
      </c>
      <c r="C29" s="164" t="s">
        <v>199</v>
      </c>
      <c r="D29" s="140">
        <v>120</v>
      </c>
      <c r="E29" s="148">
        <f t="shared" si="7"/>
        <v>7.031037075550273E-3</v>
      </c>
      <c r="F29" s="140">
        <f t="shared" si="8"/>
        <v>1440</v>
      </c>
      <c r="G29" s="142">
        <f t="shared" si="9"/>
        <v>27.692307692307693</v>
      </c>
      <c r="H29" s="119"/>
      <c r="I29" s="133" t="s">
        <v>157</v>
      </c>
      <c r="J29" s="134">
        <f>J27*80</f>
        <v>4009.6</v>
      </c>
      <c r="K29" s="135"/>
      <c r="L29" s="134">
        <f>J29*26</f>
        <v>104249.59999999999</v>
      </c>
      <c r="M29" s="136">
        <f>L29/12</f>
        <v>8687.4666666666653</v>
      </c>
      <c r="N29" s="119"/>
      <c r="O29" s="120"/>
      <c r="P29" s="121"/>
      <c r="Q29" s="121"/>
      <c r="R29" s="121"/>
      <c r="S29" s="121"/>
      <c r="T29" s="121"/>
      <c r="U29" s="121"/>
      <c r="V29" s="121"/>
      <c r="W29" s="121"/>
      <c r="X29" s="121"/>
      <c r="Y29" s="121"/>
      <c r="Z29" s="121"/>
    </row>
    <row r="30" spans="1:26" ht="11.25" customHeight="1" x14ac:dyDescent="0.3">
      <c r="A30" s="149" t="s">
        <v>174</v>
      </c>
      <c r="B30" s="150">
        <v>42</v>
      </c>
      <c r="C30" s="164" t="s">
        <v>200</v>
      </c>
      <c r="D30" s="140">
        <v>75</v>
      </c>
      <c r="E30" s="148">
        <f t="shared" si="7"/>
        <v>4.3943981722189213E-3</v>
      </c>
      <c r="F30" s="140">
        <f t="shared" si="8"/>
        <v>900</v>
      </c>
      <c r="G30" s="142">
        <f t="shared" si="9"/>
        <v>17.307692307692307</v>
      </c>
      <c r="H30" s="119"/>
      <c r="I30" s="139"/>
      <c r="J30" s="140"/>
      <c r="K30" s="141"/>
      <c r="L30" s="140"/>
      <c r="M30" s="142"/>
      <c r="N30" s="119"/>
      <c r="O30" s="120"/>
      <c r="P30" s="121"/>
      <c r="Q30" s="121"/>
      <c r="R30" s="121"/>
      <c r="S30" s="121"/>
      <c r="T30" s="121"/>
      <c r="U30" s="121"/>
      <c r="V30" s="121"/>
      <c r="W30" s="121"/>
      <c r="X30" s="121"/>
      <c r="Y30" s="121"/>
      <c r="Z30" s="121"/>
    </row>
    <row r="31" spans="1:26" ht="11.25" customHeight="1" x14ac:dyDescent="0.3">
      <c r="A31" s="159" t="s">
        <v>174</v>
      </c>
      <c r="B31" s="160">
        <v>43</v>
      </c>
      <c r="C31" s="178" t="s">
        <v>201</v>
      </c>
      <c r="D31" s="131">
        <v>75</v>
      </c>
      <c r="E31" s="130">
        <f t="shared" si="7"/>
        <v>4.3943981722189213E-3</v>
      </c>
      <c r="F31" s="131">
        <f t="shared" si="8"/>
        <v>900</v>
      </c>
      <c r="G31" s="132">
        <f t="shared" si="9"/>
        <v>17.307692307692307</v>
      </c>
      <c r="H31" s="119"/>
      <c r="I31" s="139" t="s">
        <v>202</v>
      </c>
      <c r="J31" s="140">
        <v>157.97</v>
      </c>
      <c r="K31" s="148">
        <f>J31/J29</f>
        <v>3.9397944932162809E-2</v>
      </c>
      <c r="L31" s="140">
        <f t="shared" ref="L31:L32" si="11">J31*26</f>
        <v>4107.22</v>
      </c>
      <c r="M31" s="142">
        <f t="shared" ref="M31:M32" si="12">L31/12</f>
        <v>342.26833333333337</v>
      </c>
      <c r="N31" s="119"/>
      <c r="O31" s="120"/>
      <c r="P31" s="121"/>
      <c r="Q31" s="121"/>
      <c r="R31" s="121"/>
      <c r="S31" s="121"/>
      <c r="T31" s="121"/>
      <c r="U31" s="121"/>
      <c r="V31" s="121"/>
      <c r="W31" s="121"/>
      <c r="X31" s="121"/>
      <c r="Y31" s="121"/>
      <c r="Z31" s="121"/>
    </row>
    <row r="32" spans="1:26" ht="11.25" customHeight="1" x14ac:dyDescent="0.3">
      <c r="A32" s="122"/>
      <c r="B32" s="123"/>
      <c r="C32" s="119"/>
      <c r="D32" s="137"/>
      <c r="E32" s="138"/>
      <c r="F32" s="137"/>
      <c r="G32" s="137"/>
      <c r="H32" s="119"/>
      <c r="I32" s="139" t="s">
        <v>97</v>
      </c>
      <c r="J32" s="140">
        <f>K32*J29</f>
        <v>200.48000000000002</v>
      </c>
      <c r="K32" s="148">
        <v>0.05</v>
      </c>
      <c r="L32" s="140">
        <f t="shared" si="11"/>
        <v>5212.4800000000005</v>
      </c>
      <c r="M32" s="142">
        <f t="shared" si="12"/>
        <v>434.37333333333339</v>
      </c>
      <c r="N32" s="119"/>
      <c r="O32" s="120"/>
      <c r="P32" s="121"/>
      <c r="Q32" s="121"/>
      <c r="R32" s="121"/>
      <c r="S32" s="121"/>
      <c r="T32" s="121"/>
      <c r="U32" s="121"/>
      <c r="V32" s="121"/>
      <c r="W32" s="121"/>
      <c r="X32" s="121"/>
      <c r="Y32" s="121"/>
      <c r="Z32" s="121"/>
    </row>
    <row r="33" spans="1:26" ht="11.25" customHeight="1" x14ac:dyDescent="0.3">
      <c r="A33" s="124" t="s">
        <v>203</v>
      </c>
      <c r="B33" s="143">
        <v>25</v>
      </c>
      <c r="C33" s="144" t="s">
        <v>204</v>
      </c>
      <c r="D33" s="145">
        <v>350</v>
      </c>
      <c r="E33" s="146">
        <f t="shared" ref="E33:E43" si="13">D33/$O$24</f>
        <v>2.0507191470354964E-2</v>
      </c>
      <c r="F33" s="145">
        <f t="shared" ref="F33:F43" si="14">D33*12</f>
        <v>4200</v>
      </c>
      <c r="G33" s="147">
        <f t="shared" ref="G33:G43" si="15">F33/52</f>
        <v>80.769230769230774</v>
      </c>
      <c r="H33" s="119"/>
      <c r="I33" s="133" t="s">
        <v>164</v>
      </c>
      <c r="J33" s="134">
        <f>SUM(J31:J32)</f>
        <v>358.45000000000005</v>
      </c>
      <c r="K33" s="152"/>
      <c r="L33" s="134"/>
      <c r="M33" s="136"/>
      <c r="N33" s="119"/>
      <c r="O33" s="120"/>
      <c r="P33" s="121"/>
      <c r="Q33" s="121"/>
      <c r="R33" s="121"/>
      <c r="S33" s="121"/>
      <c r="T33" s="121"/>
      <c r="U33" s="121"/>
      <c r="V33" s="121"/>
      <c r="W33" s="121"/>
      <c r="X33" s="121"/>
      <c r="Y33" s="121"/>
      <c r="Z33" s="121"/>
    </row>
    <row r="34" spans="1:26" ht="11.25" customHeight="1" x14ac:dyDescent="0.3">
      <c r="A34" s="149" t="s">
        <v>203</v>
      </c>
      <c r="B34" s="150">
        <v>26</v>
      </c>
      <c r="C34" s="164" t="s">
        <v>205</v>
      </c>
      <c r="D34" s="140">
        <v>320</v>
      </c>
      <c r="E34" s="148">
        <f t="shared" si="13"/>
        <v>1.8749432201467395E-2</v>
      </c>
      <c r="F34" s="140">
        <f t="shared" si="14"/>
        <v>3840</v>
      </c>
      <c r="G34" s="142">
        <f t="shared" si="15"/>
        <v>73.84615384615384</v>
      </c>
      <c r="H34" s="119"/>
      <c r="I34" s="139"/>
      <c r="J34" s="140"/>
      <c r="K34" s="148"/>
      <c r="L34" s="140"/>
      <c r="M34" s="142"/>
      <c r="N34" s="119"/>
      <c r="O34" s="120"/>
      <c r="P34" s="121"/>
      <c r="Q34" s="121"/>
      <c r="R34" s="121"/>
      <c r="S34" s="121"/>
      <c r="T34" s="121"/>
      <c r="U34" s="121"/>
      <c r="V34" s="121"/>
      <c r="W34" s="121"/>
      <c r="X34" s="121"/>
      <c r="Y34" s="121"/>
      <c r="Z34" s="121"/>
    </row>
    <row r="35" spans="1:26" ht="11.25" customHeight="1" x14ac:dyDescent="0.3">
      <c r="A35" s="149" t="s">
        <v>203</v>
      </c>
      <c r="B35" s="150">
        <v>27</v>
      </c>
      <c r="C35" s="164" t="s">
        <v>206</v>
      </c>
      <c r="D35" s="140">
        <v>25</v>
      </c>
      <c r="E35" s="148">
        <f t="shared" si="13"/>
        <v>1.4647993907396402E-3</v>
      </c>
      <c r="F35" s="140">
        <f t="shared" si="14"/>
        <v>300</v>
      </c>
      <c r="G35" s="142">
        <f t="shared" si="15"/>
        <v>5.7692307692307692</v>
      </c>
      <c r="H35" s="119"/>
      <c r="I35" s="133" t="s">
        <v>167</v>
      </c>
      <c r="J35" s="134">
        <f>J29+J30-J31-J32</f>
        <v>3651.15</v>
      </c>
      <c r="K35" s="152">
        <f>J35/J29</f>
        <v>0.9106020550678372</v>
      </c>
      <c r="L35" s="134">
        <f>J35*26</f>
        <v>94929.900000000009</v>
      </c>
      <c r="M35" s="136">
        <f>L35/12</f>
        <v>7910.8250000000007</v>
      </c>
      <c r="N35" s="119"/>
      <c r="O35" s="120"/>
      <c r="P35" s="121"/>
      <c r="Q35" s="121"/>
      <c r="R35" s="121"/>
      <c r="S35" s="121"/>
      <c r="T35" s="121"/>
      <c r="U35" s="121"/>
      <c r="V35" s="121"/>
      <c r="W35" s="121"/>
      <c r="X35" s="121"/>
      <c r="Y35" s="121"/>
      <c r="Z35" s="121"/>
    </row>
    <row r="36" spans="1:26" ht="11.25" customHeight="1" x14ac:dyDescent="0.3">
      <c r="A36" s="149" t="s">
        <v>203</v>
      </c>
      <c r="B36" s="150">
        <v>28</v>
      </c>
      <c r="C36" s="164" t="s">
        <v>207</v>
      </c>
      <c r="D36" s="140">
        <v>25</v>
      </c>
      <c r="E36" s="148">
        <f t="shared" si="13"/>
        <v>1.4647993907396402E-3</v>
      </c>
      <c r="F36" s="140">
        <f t="shared" si="14"/>
        <v>300</v>
      </c>
      <c r="G36" s="142">
        <f t="shared" si="15"/>
        <v>5.7692307692307692</v>
      </c>
      <c r="H36" s="119"/>
      <c r="I36" s="139"/>
      <c r="J36" s="140"/>
      <c r="K36" s="148"/>
      <c r="L36" s="140"/>
      <c r="M36" s="142"/>
      <c r="N36" s="119"/>
      <c r="O36" s="120"/>
      <c r="P36" s="121"/>
      <c r="Q36" s="121"/>
      <c r="R36" s="121"/>
      <c r="S36" s="121"/>
      <c r="T36" s="121"/>
      <c r="U36" s="121"/>
      <c r="V36" s="121"/>
      <c r="W36" s="121"/>
      <c r="X36" s="121"/>
      <c r="Y36" s="121"/>
      <c r="Z36" s="121"/>
    </row>
    <row r="37" spans="1:26" ht="11.25" customHeight="1" x14ac:dyDescent="0.3">
      <c r="A37" s="149" t="s">
        <v>203</v>
      </c>
      <c r="B37" s="150">
        <v>29</v>
      </c>
      <c r="C37" s="164" t="s">
        <v>208</v>
      </c>
      <c r="D37" s="140">
        <v>45</v>
      </c>
      <c r="E37" s="148">
        <f t="shared" si="13"/>
        <v>2.6366389033313526E-3</v>
      </c>
      <c r="F37" s="140">
        <f t="shared" si="14"/>
        <v>540</v>
      </c>
      <c r="G37" s="142">
        <f t="shared" si="15"/>
        <v>10.384615384615385</v>
      </c>
      <c r="H37" s="119"/>
      <c r="I37" s="139" t="s">
        <v>170</v>
      </c>
      <c r="J37" s="140">
        <v>463.64</v>
      </c>
      <c r="K37" s="148">
        <f>J37/J35</f>
        <v>0.12698464867233611</v>
      </c>
      <c r="L37" s="140">
        <f t="shared" ref="L37:L41" si="16">J37*26</f>
        <v>12054.64</v>
      </c>
      <c r="M37" s="142">
        <f t="shared" ref="M37:M41" si="17">L37/12</f>
        <v>1004.5533333333333</v>
      </c>
      <c r="N37" s="119"/>
      <c r="O37" s="120"/>
      <c r="P37" s="121"/>
      <c r="Q37" s="121"/>
      <c r="R37" s="121"/>
      <c r="S37" s="121"/>
      <c r="T37" s="121"/>
      <c r="U37" s="121"/>
      <c r="V37" s="121"/>
      <c r="W37" s="121"/>
      <c r="X37" s="121"/>
      <c r="Y37" s="121"/>
      <c r="Z37" s="121"/>
    </row>
    <row r="38" spans="1:26" ht="11.25" customHeight="1" x14ac:dyDescent="0.3">
      <c r="A38" s="149" t="s">
        <v>203</v>
      </c>
      <c r="B38" s="150">
        <v>30</v>
      </c>
      <c r="C38" s="164" t="s">
        <v>209</v>
      </c>
      <c r="D38" s="140">
        <v>400</v>
      </c>
      <c r="E38" s="148">
        <f t="shared" si="13"/>
        <v>2.3436790251834243E-2</v>
      </c>
      <c r="F38" s="140">
        <f t="shared" si="14"/>
        <v>4800</v>
      </c>
      <c r="G38" s="142">
        <f t="shared" si="15"/>
        <v>92.307692307692307</v>
      </c>
      <c r="H38" s="119"/>
      <c r="I38" s="139" t="s">
        <v>172</v>
      </c>
      <c r="J38" s="140">
        <v>97</v>
      </c>
      <c r="K38" s="148">
        <f>J38/J35</f>
        <v>2.6566972049902084E-2</v>
      </c>
      <c r="L38" s="140">
        <f t="shared" si="16"/>
        <v>2522</v>
      </c>
      <c r="M38" s="142">
        <f t="shared" si="17"/>
        <v>210.16666666666666</v>
      </c>
      <c r="N38" s="119"/>
      <c r="O38" s="120"/>
      <c r="P38" s="121"/>
      <c r="Q38" s="121"/>
      <c r="R38" s="121"/>
      <c r="S38" s="121"/>
      <c r="T38" s="121"/>
      <c r="U38" s="121"/>
      <c r="V38" s="121"/>
      <c r="W38" s="121"/>
      <c r="X38" s="121"/>
      <c r="Y38" s="121"/>
      <c r="Z38" s="121"/>
    </row>
    <row r="39" spans="1:26" ht="11.25" customHeight="1" x14ac:dyDescent="0.3">
      <c r="A39" s="149" t="s">
        <v>203</v>
      </c>
      <c r="B39" s="150">
        <v>31</v>
      </c>
      <c r="C39" s="164" t="s">
        <v>210</v>
      </c>
      <c r="D39" s="140">
        <v>375</v>
      </c>
      <c r="E39" s="148">
        <f t="shared" si="13"/>
        <v>2.1971990861094606E-2</v>
      </c>
      <c r="F39" s="140">
        <f t="shared" si="14"/>
        <v>4500</v>
      </c>
      <c r="G39" s="142">
        <f t="shared" si="15"/>
        <v>86.538461538461533</v>
      </c>
      <c r="H39" s="119"/>
      <c r="I39" s="139" t="s">
        <v>173</v>
      </c>
      <c r="J39" s="140">
        <f>(J35+J32)*K39</f>
        <v>55.848635000000002</v>
      </c>
      <c r="K39" s="148">
        <v>1.4500000000000001E-2</v>
      </c>
      <c r="L39" s="140">
        <f t="shared" si="16"/>
        <v>1452.0645100000002</v>
      </c>
      <c r="M39" s="142">
        <f t="shared" si="17"/>
        <v>121.00537583333335</v>
      </c>
      <c r="N39" s="119"/>
      <c r="O39" s="120"/>
      <c r="P39" s="121"/>
      <c r="Q39" s="121"/>
      <c r="R39" s="121"/>
      <c r="S39" s="121"/>
      <c r="T39" s="121"/>
      <c r="U39" s="121"/>
      <c r="V39" s="121"/>
      <c r="W39" s="121"/>
      <c r="X39" s="121"/>
      <c r="Y39" s="121"/>
      <c r="Z39" s="121"/>
    </row>
    <row r="40" spans="1:26" ht="11.25" customHeight="1" x14ac:dyDescent="0.3">
      <c r="A40" s="149" t="s">
        <v>203</v>
      </c>
      <c r="B40" s="150">
        <v>32</v>
      </c>
      <c r="C40" s="164" t="s">
        <v>211</v>
      </c>
      <c r="D40" s="140">
        <v>100</v>
      </c>
      <c r="E40" s="148">
        <f t="shared" si="13"/>
        <v>5.8591975629585609E-3</v>
      </c>
      <c r="F40" s="140">
        <f t="shared" si="14"/>
        <v>1200</v>
      </c>
      <c r="G40" s="142">
        <f t="shared" si="15"/>
        <v>23.076923076923077</v>
      </c>
      <c r="H40" s="119"/>
      <c r="I40" s="139" t="s">
        <v>175</v>
      </c>
      <c r="J40" s="140">
        <f>(J35+J32)*K40</f>
        <v>238.80106000000001</v>
      </c>
      <c r="K40" s="148">
        <v>6.2E-2</v>
      </c>
      <c r="L40" s="140">
        <f t="shared" si="16"/>
        <v>6208.8275599999997</v>
      </c>
      <c r="M40" s="142">
        <f t="shared" si="17"/>
        <v>517.40229666666664</v>
      </c>
      <c r="N40" s="119"/>
      <c r="O40" s="120"/>
      <c r="P40" s="121"/>
      <c r="Q40" s="121"/>
      <c r="R40" s="121"/>
      <c r="S40" s="121"/>
      <c r="T40" s="121"/>
      <c r="U40" s="121"/>
      <c r="V40" s="121"/>
      <c r="W40" s="121"/>
      <c r="X40" s="121"/>
      <c r="Y40" s="121"/>
      <c r="Z40" s="121"/>
    </row>
    <row r="41" spans="1:26" ht="11.25" customHeight="1" x14ac:dyDescent="0.3">
      <c r="A41" s="149" t="s">
        <v>203</v>
      </c>
      <c r="B41" s="150">
        <v>33</v>
      </c>
      <c r="C41" s="164" t="s">
        <v>212</v>
      </c>
      <c r="D41" s="140">
        <v>85</v>
      </c>
      <c r="E41" s="148">
        <f t="shared" si="13"/>
        <v>4.9803179285147769E-3</v>
      </c>
      <c r="F41" s="140">
        <f t="shared" si="14"/>
        <v>1020</v>
      </c>
      <c r="G41" s="142">
        <f t="shared" si="15"/>
        <v>19.615384615384617</v>
      </c>
      <c r="H41" s="119"/>
      <c r="I41" s="139" t="s">
        <v>177</v>
      </c>
      <c r="J41" s="140">
        <f>K41*J29</f>
        <v>32.076799999999999</v>
      </c>
      <c r="K41" s="148">
        <v>8.0000000000000002E-3</v>
      </c>
      <c r="L41" s="140">
        <f t="shared" si="16"/>
        <v>833.99680000000001</v>
      </c>
      <c r="M41" s="142">
        <f t="shared" si="17"/>
        <v>69.499733333333339</v>
      </c>
      <c r="N41" s="119"/>
      <c r="O41" s="122"/>
      <c r="P41" s="121"/>
      <c r="Q41" s="121"/>
      <c r="R41" s="121"/>
      <c r="S41" s="121"/>
      <c r="T41" s="121"/>
      <c r="U41" s="121"/>
      <c r="V41" s="121"/>
      <c r="W41" s="121"/>
      <c r="X41" s="121"/>
      <c r="Y41" s="121"/>
      <c r="Z41" s="121"/>
    </row>
    <row r="42" spans="1:26" ht="11.25" customHeight="1" x14ac:dyDescent="0.3">
      <c r="A42" s="149" t="s">
        <v>203</v>
      </c>
      <c r="B42" s="150">
        <v>34</v>
      </c>
      <c r="C42" s="164" t="s">
        <v>213</v>
      </c>
      <c r="D42" s="140">
        <v>230</v>
      </c>
      <c r="E42" s="148">
        <f t="shared" si="13"/>
        <v>1.3476154394804691E-2</v>
      </c>
      <c r="F42" s="140">
        <f t="shared" si="14"/>
        <v>2760</v>
      </c>
      <c r="G42" s="142">
        <f t="shared" si="15"/>
        <v>53.07692307692308</v>
      </c>
      <c r="H42" s="119"/>
      <c r="I42" s="133" t="s">
        <v>181</v>
      </c>
      <c r="J42" s="134">
        <f>SUM(J37:J41)</f>
        <v>887.36649499999999</v>
      </c>
      <c r="K42" s="152">
        <f>J42/J29</f>
        <v>0.22131047860135675</v>
      </c>
      <c r="L42" s="134"/>
      <c r="M42" s="136"/>
      <c r="N42" s="119"/>
      <c r="O42" s="122"/>
      <c r="P42" s="121"/>
      <c r="Q42" s="121"/>
      <c r="R42" s="121"/>
      <c r="S42" s="121"/>
      <c r="T42" s="121"/>
      <c r="U42" s="121"/>
      <c r="V42" s="121"/>
      <c r="W42" s="121"/>
      <c r="X42" s="121"/>
      <c r="Y42" s="121"/>
      <c r="Z42" s="121"/>
    </row>
    <row r="43" spans="1:26" ht="11.25" customHeight="1" x14ac:dyDescent="0.3">
      <c r="A43" s="159" t="s">
        <v>203</v>
      </c>
      <c r="B43" s="160">
        <v>35</v>
      </c>
      <c r="C43" s="178" t="s">
        <v>214</v>
      </c>
      <c r="D43" s="131">
        <v>45</v>
      </c>
      <c r="E43" s="130">
        <f t="shared" si="13"/>
        <v>2.6366389033313526E-3</v>
      </c>
      <c r="F43" s="131">
        <f t="shared" si="14"/>
        <v>540</v>
      </c>
      <c r="G43" s="132">
        <f t="shared" si="15"/>
        <v>10.384615384615385</v>
      </c>
      <c r="H43" s="119"/>
      <c r="I43" s="139"/>
      <c r="J43" s="140"/>
      <c r="K43" s="148"/>
      <c r="L43" s="140"/>
      <c r="M43" s="142"/>
      <c r="N43" s="119"/>
      <c r="O43" s="122"/>
      <c r="P43" s="121"/>
      <c r="Q43" s="121"/>
      <c r="R43" s="121"/>
      <c r="S43" s="121"/>
      <c r="T43" s="121"/>
      <c r="U43" s="121"/>
      <c r="V43" s="121"/>
      <c r="W43" s="121"/>
      <c r="X43" s="121"/>
      <c r="Y43" s="121"/>
      <c r="Z43" s="121"/>
    </row>
    <row r="44" spans="1:26" ht="11.25" customHeight="1" x14ac:dyDescent="0.3">
      <c r="A44" s="122"/>
      <c r="B44" s="123"/>
      <c r="C44" s="119"/>
      <c r="D44" s="122"/>
      <c r="E44" s="137"/>
      <c r="F44" s="137"/>
      <c r="G44" s="137"/>
      <c r="H44" s="119"/>
      <c r="I44" s="179" t="s">
        <v>215</v>
      </c>
      <c r="J44" s="180">
        <f>J29-J33-J42</f>
        <v>2763.7835049999994</v>
      </c>
      <c r="K44" s="181">
        <f>(J44+J32)/J29</f>
        <v>0.73929157646648036</v>
      </c>
      <c r="L44" s="180">
        <f>J44*26</f>
        <v>71858.371129999985</v>
      </c>
      <c r="M44" s="182">
        <f>L44/12</f>
        <v>5988.1975941666651</v>
      </c>
      <c r="N44" s="174">
        <f>L44</f>
        <v>71858.371129999985</v>
      </c>
      <c r="O44" s="120">
        <f>N44/26</f>
        <v>2763.7835049999994</v>
      </c>
      <c r="P44" s="121"/>
      <c r="Q44" s="121"/>
      <c r="R44" s="121"/>
      <c r="S44" s="121"/>
      <c r="T44" s="121"/>
      <c r="U44" s="121"/>
      <c r="V44" s="121"/>
      <c r="W44" s="121"/>
      <c r="X44" s="121"/>
      <c r="Y44" s="121"/>
      <c r="Z44" s="121"/>
    </row>
    <row r="45" spans="1:26" ht="11.25" customHeight="1" x14ac:dyDescent="0.3">
      <c r="A45" s="124" t="s">
        <v>216</v>
      </c>
      <c r="B45" s="143">
        <v>36</v>
      </c>
      <c r="C45" s="163" t="s">
        <v>103</v>
      </c>
      <c r="D45" s="145">
        <f t="shared" ref="D45:D46" si="18">F45/12</f>
        <v>50</v>
      </c>
      <c r="E45" s="146">
        <f t="shared" ref="E45:E46" si="19">D45/$O$24</f>
        <v>2.9295987814792804E-3</v>
      </c>
      <c r="F45" s="145">
        <f>50*12</f>
        <v>600</v>
      </c>
      <c r="G45" s="147">
        <f t="shared" ref="G45:G46" si="20">F45/52</f>
        <v>11.538461538461538</v>
      </c>
      <c r="H45" s="119"/>
      <c r="I45" s="119"/>
      <c r="J45" s="122"/>
      <c r="K45" s="122"/>
      <c r="L45" s="122"/>
      <c r="M45" s="137"/>
      <c r="N45" s="119"/>
      <c r="O45" s="120"/>
      <c r="P45" s="121"/>
      <c r="Q45" s="121"/>
      <c r="R45" s="121"/>
      <c r="S45" s="121"/>
      <c r="T45" s="121"/>
      <c r="U45" s="121"/>
      <c r="V45" s="121"/>
      <c r="W45" s="121"/>
      <c r="X45" s="121"/>
      <c r="Y45" s="121"/>
      <c r="Z45" s="121"/>
    </row>
    <row r="46" spans="1:26" ht="11.25" customHeight="1" x14ac:dyDescent="0.3">
      <c r="A46" s="159" t="s">
        <v>216</v>
      </c>
      <c r="B46" s="160">
        <v>37</v>
      </c>
      <c r="C46" s="178" t="s">
        <v>217</v>
      </c>
      <c r="D46" s="131">
        <f t="shared" si="18"/>
        <v>4017.1835051599969</v>
      </c>
      <c r="E46" s="130">
        <f t="shared" si="19"/>
        <v>0.23537471803390783</v>
      </c>
      <c r="F46" s="183">
        <f>(N24-SUM(F5:F45))</f>
        <v>48206.202061919961</v>
      </c>
      <c r="G46" s="132">
        <f t="shared" si="20"/>
        <v>927.04234734461465</v>
      </c>
      <c r="H46" s="119"/>
      <c r="I46" s="119"/>
      <c r="J46" s="122"/>
      <c r="K46" s="122"/>
      <c r="L46" s="122"/>
      <c r="M46" s="137"/>
      <c r="N46" s="119"/>
      <c r="O46" s="120"/>
      <c r="P46" s="121"/>
      <c r="Q46" s="121"/>
      <c r="R46" s="121"/>
      <c r="S46" s="121"/>
      <c r="T46" s="121"/>
      <c r="U46" s="121"/>
      <c r="V46" s="121"/>
      <c r="W46" s="121"/>
      <c r="X46" s="121"/>
      <c r="Y46" s="121"/>
      <c r="Z46" s="121"/>
    </row>
    <row r="47" spans="1:26" ht="11.25" customHeight="1" x14ac:dyDescent="0.3">
      <c r="A47" s="122"/>
      <c r="B47" s="123"/>
      <c r="C47" s="119"/>
      <c r="D47" s="137"/>
      <c r="E47" s="138"/>
      <c r="F47" s="137"/>
      <c r="G47" s="137"/>
      <c r="H47" s="119"/>
      <c r="I47" s="127" t="s">
        <v>218</v>
      </c>
      <c r="J47" s="175">
        <v>82.809299999999993</v>
      </c>
      <c r="K47" s="163"/>
      <c r="L47" s="163"/>
      <c r="M47" s="176"/>
      <c r="N47" s="119"/>
      <c r="O47" s="120"/>
      <c r="P47" s="121"/>
      <c r="Q47" s="121"/>
      <c r="R47" s="121"/>
      <c r="S47" s="121"/>
      <c r="T47" s="121"/>
      <c r="U47" s="121"/>
      <c r="V47" s="121"/>
      <c r="W47" s="121"/>
      <c r="X47" s="121"/>
      <c r="Y47" s="121"/>
      <c r="Z47" s="121"/>
    </row>
    <row r="48" spans="1:26" ht="11.25" customHeight="1" x14ac:dyDescent="0.3">
      <c r="A48" s="122"/>
      <c r="B48" s="123"/>
      <c r="C48" s="119"/>
      <c r="D48" s="122"/>
      <c r="E48" s="122"/>
      <c r="F48" s="122"/>
      <c r="G48" s="122"/>
      <c r="H48" s="119"/>
      <c r="I48" s="139"/>
      <c r="J48" s="141" t="s">
        <v>198</v>
      </c>
      <c r="K48" s="141" t="s">
        <v>153</v>
      </c>
      <c r="L48" s="141" t="s">
        <v>154</v>
      </c>
      <c r="M48" s="177" t="s">
        <v>152</v>
      </c>
      <c r="N48" s="119"/>
      <c r="O48" s="120"/>
      <c r="P48" s="121"/>
      <c r="Q48" s="121"/>
      <c r="R48" s="121"/>
      <c r="S48" s="121"/>
      <c r="T48" s="121"/>
      <c r="U48" s="121"/>
      <c r="V48" s="121"/>
      <c r="W48" s="121"/>
      <c r="X48" s="121"/>
      <c r="Y48" s="121"/>
      <c r="Z48" s="121"/>
    </row>
    <row r="49" spans="1:26" ht="11.25" customHeight="1" x14ac:dyDescent="0.3">
      <c r="A49" s="122"/>
      <c r="B49" s="123"/>
      <c r="C49" s="119"/>
      <c r="D49" s="122"/>
      <c r="E49" s="122"/>
      <c r="F49" s="122"/>
      <c r="G49" s="122"/>
      <c r="H49" s="119"/>
      <c r="I49" s="139" t="s">
        <v>157</v>
      </c>
      <c r="J49" s="140">
        <f>J47*86.67</f>
        <v>7177.0820309999999</v>
      </c>
      <c r="K49" s="141"/>
      <c r="L49" s="140">
        <f>J49*24</f>
        <v>172249.96874400001</v>
      </c>
      <c r="M49" s="142">
        <f>L49/12</f>
        <v>14354.164062000002</v>
      </c>
      <c r="N49" s="119"/>
      <c r="O49" s="120"/>
      <c r="P49" s="121"/>
      <c r="Q49" s="121"/>
      <c r="R49" s="121"/>
      <c r="S49" s="121"/>
      <c r="T49" s="121"/>
      <c r="U49" s="121"/>
      <c r="V49" s="121"/>
      <c r="W49" s="121"/>
      <c r="X49" s="121"/>
      <c r="Y49" s="121"/>
      <c r="Z49" s="121"/>
    </row>
    <row r="50" spans="1:26" ht="11.25" customHeight="1" x14ac:dyDescent="0.3">
      <c r="A50" s="122"/>
      <c r="B50" s="123"/>
      <c r="C50" s="119"/>
      <c r="D50" s="122"/>
      <c r="E50" s="122"/>
      <c r="F50" s="122"/>
      <c r="G50" s="122"/>
      <c r="H50" s="119"/>
      <c r="I50" s="139" t="s">
        <v>219</v>
      </c>
      <c r="J50" s="140">
        <v>34</v>
      </c>
      <c r="K50" s="141"/>
      <c r="L50" s="140"/>
      <c r="M50" s="142"/>
      <c r="N50" s="119"/>
      <c r="O50" s="120"/>
      <c r="P50" s="121"/>
      <c r="Q50" s="121"/>
      <c r="R50" s="121"/>
      <c r="S50" s="121"/>
      <c r="T50" s="121"/>
      <c r="U50" s="121"/>
      <c r="V50" s="121"/>
      <c r="W50" s="121"/>
      <c r="X50" s="121"/>
      <c r="Y50" s="121"/>
      <c r="Z50" s="121"/>
    </row>
    <row r="51" spans="1:26" ht="11.25" customHeight="1" x14ac:dyDescent="0.3">
      <c r="A51" s="122"/>
      <c r="B51" s="123"/>
      <c r="C51" s="119"/>
      <c r="D51" s="122"/>
      <c r="E51" s="122"/>
      <c r="F51" s="122"/>
      <c r="G51" s="122"/>
      <c r="H51" s="119"/>
      <c r="I51" s="133" t="s">
        <v>220</v>
      </c>
      <c r="J51" s="134">
        <f>J49+J50</f>
        <v>7211.0820309999999</v>
      </c>
      <c r="K51" s="135"/>
      <c r="L51" s="134"/>
      <c r="M51" s="136"/>
      <c r="N51" s="119"/>
      <c r="O51" s="120"/>
      <c r="P51" s="121"/>
      <c r="Q51" s="121"/>
      <c r="R51" s="121"/>
      <c r="S51" s="121"/>
      <c r="T51" s="121"/>
      <c r="U51" s="121"/>
      <c r="V51" s="121"/>
      <c r="W51" s="121"/>
      <c r="X51" s="121"/>
      <c r="Y51" s="121"/>
      <c r="Z51" s="121"/>
    </row>
    <row r="52" spans="1:26" ht="11.25" customHeight="1" x14ac:dyDescent="0.3">
      <c r="A52" s="122"/>
      <c r="B52" s="123"/>
      <c r="C52" s="119"/>
      <c r="D52" s="184"/>
      <c r="E52" s="122"/>
      <c r="F52" s="122"/>
      <c r="G52" s="122"/>
      <c r="H52" s="119"/>
      <c r="I52" s="139"/>
      <c r="J52" s="140"/>
      <c r="K52" s="141"/>
      <c r="L52" s="140"/>
      <c r="M52" s="142"/>
      <c r="N52" s="119"/>
      <c r="O52" s="120"/>
      <c r="P52" s="121"/>
      <c r="Q52" s="121"/>
      <c r="R52" s="121"/>
      <c r="S52" s="121"/>
      <c r="T52" s="121"/>
      <c r="U52" s="121"/>
      <c r="V52" s="121"/>
      <c r="W52" s="121"/>
      <c r="X52" s="121"/>
      <c r="Y52" s="121"/>
      <c r="Z52" s="121"/>
    </row>
    <row r="53" spans="1:26" ht="11.25" customHeight="1" x14ac:dyDescent="0.3">
      <c r="A53" s="121"/>
      <c r="B53" s="121"/>
      <c r="C53" s="121"/>
      <c r="D53" s="121"/>
      <c r="E53" s="121"/>
      <c r="F53" s="121"/>
      <c r="G53" s="121"/>
      <c r="H53" s="121"/>
      <c r="I53" s="139" t="s">
        <v>221</v>
      </c>
      <c r="J53" s="140">
        <v>9.0500000000000007</v>
      </c>
      <c r="K53" s="148">
        <f>J53/J49</f>
        <v>1.2609581388244274E-3</v>
      </c>
      <c r="L53" s="140">
        <f t="shared" ref="L53:L56" si="21">J53*24</f>
        <v>217.20000000000002</v>
      </c>
      <c r="M53" s="142">
        <f t="shared" ref="M53:M56" si="22">L53/12</f>
        <v>18.100000000000001</v>
      </c>
      <c r="N53" s="119"/>
      <c r="O53" s="120"/>
      <c r="P53" s="121"/>
      <c r="Q53" s="121"/>
      <c r="R53" s="121"/>
      <c r="S53" s="121"/>
      <c r="T53" s="121"/>
      <c r="U53" s="121"/>
      <c r="V53" s="121"/>
      <c r="W53" s="121"/>
      <c r="X53" s="121"/>
      <c r="Y53" s="121"/>
      <c r="Z53" s="121"/>
    </row>
    <row r="54" spans="1:26" ht="11.25" customHeight="1" x14ac:dyDescent="0.3">
      <c r="A54" s="121"/>
      <c r="B54" s="121"/>
      <c r="C54" s="121"/>
      <c r="D54" s="121"/>
      <c r="E54" s="121"/>
      <c r="F54" s="121"/>
      <c r="G54" s="121"/>
      <c r="H54" s="121"/>
      <c r="I54" s="139" t="s">
        <v>222</v>
      </c>
      <c r="J54" s="140">
        <v>23.67</v>
      </c>
      <c r="K54" s="148">
        <f>J54/J49</f>
        <v>3.2979976956877561E-3</v>
      </c>
      <c r="L54" s="140">
        <f t="shared" si="21"/>
        <v>568.08000000000004</v>
      </c>
      <c r="M54" s="142">
        <f t="shared" si="22"/>
        <v>47.34</v>
      </c>
      <c r="N54" s="119"/>
      <c r="O54" s="120"/>
      <c r="P54" s="121"/>
      <c r="Q54" s="121"/>
      <c r="R54" s="121"/>
      <c r="S54" s="121"/>
      <c r="T54" s="121"/>
      <c r="U54" s="121"/>
      <c r="V54" s="121"/>
      <c r="W54" s="121"/>
      <c r="X54" s="121"/>
      <c r="Y54" s="121"/>
      <c r="Z54" s="121"/>
    </row>
    <row r="55" spans="1:26" ht="11.25" customHeight="1" x14ac:dyDescent="0.3">
      <c r="A55" s="121"/>
      <c r="B55" s="121"/>
      <c r="C55" s="121"/>
      <c r="D55" s="121"/>
      <c r="E55" s="121"/>
      <c r="F55" s="121"/>
      <c r="G55" s="121"/>
      <c r="H55" s="121"/>
      <c r="I55" s="139" t="s">
        <v>223</v>
      </c>
      <c r="J55" s="140">
        <v>-32.15</v>
      </c>
      <c r="K55" s="148">
        <f>J55/J49</f>
        <v>-4.4795363716248985E-3</v>
      </c>
      <c r="L55" s="140">
        <f t="shared" si="21"/>
        <v>-771.59999999999991</v>
      </c>
      <c r="M55" s="142">
        <f t="shared" si="22"/>
        <v>-64.3</v>
      </c>
      <c r="N55" s="119"/>
      <c r="O55" s="120"/>
      <c r="P55" s="121"/>
      <c r="Q55" s="121"/>
      <c r="R55" s="121"/>
      <c r="S55" s="121"/>
      <c r="T55" s="121"/>
      <c r="U55" s="121"/>
      <c r="V55" s="121"/>
      <c r="W55" s="121"/>
      <c r="X55" s="121"/>
      <c r="Y55" s="121"/>
      <c r="Z55" s="121"/>
    </row>
    <row r="56" spans="1:26" ht="11.25" customHeight="1" x14ac:dyDescent="0.3">
      <c r="A56" s="121"/>
      <c r="B56" s="121"/>
      <c r="C56" s="121"/>
      <c r="D56" s="121"/>
      <c r="E56" s="121"/>
      <c r="F56" s="121"/>
      <c r="G56" s="121"/>
      <c r="H56" s="121"/>
      <c r="I56" s="139" t="s">
        <v>162</v>
      </c>
      <c r="J56" s="140">
        <f>J49*K56</f>
        <v>502.39574217000006</v>
      </c>
      <c r="K56" s="148">
        <v>7.0000000000000007E-2</v>
      </c>
      <c r="L56" s="140">
        <f t="shared" si="21"/>
        <v>12057.497812080001</v>
      </c>
      <c r="M56" s="142">
        <f t="shared" si="22"/>
        <v>1004.79148434</v>
      </c>
      <c r="N56" s="119"/>
      <c r="O56" s="120"/>
      <c r="P56" s="121"/>
      <c r="Q56" s="121"/>
      <c r="R56" s="121"/>
      <c r="S56" s="121"/>
      <c r="T56" s="121"/>
      <c r="U56" s="121"/>
      <c r="V56" s="121"/>
      <c r="W56" s="121"/>
      <c r="X56" s="121"/>
      <c r="Y56" s="121"/>
      <c r="Z56" s="121"/>
    </row>
    <row r="57" spans="1:26" ht="11.25" customHeight="1" x14ac:dyDescent="0.3">
      <c r="A57" s="121"/>
      <c r="B57" s="121"/>
      <c r="C57" s="121"/>
      <c r="D57" s="121"/>
      <c r="E57" s="121"/>
      <c r="F57" s="121"/>
      <c r="G57" s="121"/>
      <c r="H57" s="121"/>
      <c r="I57" s="133" t="s">
        <v>164</v>
      </c>
      <c r="J57" s="134">
        <f>SUM(J53:J56)</f>
        <v>502.96574217000006</v>
      </c>
      <c r="K57" s="135"/>
      <c r="L57" s="134"/>
      <c r="M57" s="136"/>
      <c r="N57" s="120"/>
      <c r="O57" s="120"/>
      <c r="P57" s="121"/>
      <c r="Q57" s="121"/>
      <c r="R57" s="121"/>
      <c r="S57" s="121"/>
      <c r="T57" s="121"/>
      <c r="U57" s="121"/>
      <c r="V57" s="121"/>
      <c r="W57" s="121"/>
      <c r="X57" s="121"/>
      <c r="Y57" s="121"/>
      <c r="Z57" s="121"/>
    </row>
    <row r="58" spans="1:26" ht="11.25" customHeight="1" x14ac:dyDescent="0.3">
      <c r="A58" s="121"/>
      <c r="B58" s="121"/>
      <c r="C58" s="121"/>
      <c r="D58" s="121"/>
      <c r="E58" s="121"/>
      <c r="F58" s="121"/>
      <c r="G58" s="121"/>
      <c r="H58" s="121"/>
      <c r="I58" s="139"/>
      <c r="J58" s="140"/>
      <c r="K58" s="141"/>
      <c r="L58" s="140"/>
      <c r="M58" s="142"/>
      <c r="N58" s="120"/>
      <c r="O58" s="120"/>
      <c r="P58" s="121"/>
      <c r="Q58" s="121"/>
      <c r="R58" s="121"/>
      <c r="S58" s="121"/>
      <c r="T58" s="121"/>
      <c r="U58" s="121"/>
      <c r="V58" s="121"/>
      <c r="W58" s="121"/>
      <c r="X58" s="121"/>
      <c r="Y58" s="121"/>
      <c r="Z58" s="121"/>
    </row>
    <row r="59" spans="1:26" ht="11.25" customHeight="1" x14ac:dyDescent="0.3">
      <c r="A59" s="121"/>
      <c r="B59" s="121"/>
      <c r="C59" s="121"/>
      <c r="D59" s="121"/>
      <c r="E59" s="121"/>
      <c r="F59" s="121"/>
      <c r="G59" s="121"/>
      <c r="H59" s="121"/>
      <c r="I59" s="133" t="s">
        <v>167</v>
      </c>
      <c r="J59" s="134">
        <f>J51-J57</f>
        <v>6708.1162888299996</v>
      </c>
      <c r="K59" s="135"/>
      <c r="L59" s="134">
        <f>J59*24</f>
        <v>160994.79093192</v>
      </c>
      <c r="M59" s="136">
        <f>L59/12</f>
        <v>13416.232577659999</v>
      </c>
      <c r="N59" s="119"/>
      <c r="O59" s="120"/>
      <c r="P59" s="121"/>
      <c r="Q59" s="121"/>
      <c r="R59" s="121"/>
      <c r="S59" s="121"/>
      <c r="T59" s="121"/>
      <c r="U59" s="121"/>
      <c r="V59" s="121"/>
      <c r="W59" s="121"/>
      <c r="X59" s="121"/>
      <c r="Y59" s="121"/>
      <c r="Z59" s="121"/>
    </row>
    <row r="60" spans="1:26" ht="11.25" customHeight="1" x14ac:dyDescent="0.3">
      <c r="A60" s="121"/>
      <c r="B60" s="121"/>
      <c r="C60" s="121"/>
      <c r="D60" s="121"/>
      <c r="E60" s="121"/>
      <c r="F60" s="121"/>
      <c r="G60" s="121"/>
      <c r="H60" s="121"/>
      <c r="I60" s="139"/>
      <c r="J60" s="140"/>
      <c r="K60" s="141"/>
      <c r="L60" s="140"/>
      <c r="M60" s="142"/>
      <c r="N60" s="119"/>
      <c r="O60" s="120"/>
      <c r="P60" s="121"/>
      <c r="Q60" s="121"/>
      <c r="R60" s="121"/>
      <c r="S60" s="121"/>
      <c r="T60" s="121"/>
      <c r="U60" s="121"/>
      <c r="V60" s="121"/>
      <c r="W60" s="121"/>
      <c r="X60" s="121"/>
      <c r="Y60" s="121"/>
      <c r="Z60" s="121"/>
    </row>
    <row r="61" spans="1:26" ht="11.25" customHeight="1" x14ac:dyDescent="0.3">
      <c r="A61" s="121"/>
      <c r="B61" s="121"/>
      <c r="C61" s="121"/>
      <c r="D61" s="121"/>
      <c r="E61" s="121"/>
      <c r="F61" s="121"/>
      <c r="G61" s="121"/>
      <c r="H61" s="121"/>
      <c r="I61" s="139" t="s">
        <v>170</v>
      </c>
      <c r="J61" s="140">
        <v>1140.53</v>
      </c>
      <c r="K61" s="148">
        <f>J61/J59</f>
        <v>0.17002239539274985</v>
      </c>
      <c r="L61" s="140">
        <f t="shared" ref="L61:L65" si="23">J61*24</f>
        <v>27372.720000000001</v>
      </c>
      <c r="M61" s="142">
        <f t="shared" ref="M61:M65" si="24">L61/12</f>
        <v>2281.06</v>
      </c>
      <c r="N61" s="119"/>
      <c r="O61" s="120"/>
      <c r="P61" s="121"/>
      <c r="Q61" s="121"/>
      <c r="R61" s="121"/>
      <c r="S61" s="121"/>
      <c r="T61" s="121"/>
      <c r="U61" s="121"/>
      <c r="V61" s="121"/>
      <c r="W61" s="121"/>
      <c r="X61" s="121"/>
      <c r="Y61" s="121"/>
      <c r="Z61" s="121"/>
    </row>
    <row r="62" spans="1:26" ht="11.25" customHeight="1" x14ac:dyDescent="0.3">
      <c r="A62" s="121"/>
      <c r="B62" s="121"/>
      <c r="C62" s="121"/>
      <c r="D62" s="121"/>
      <c r="E62" s="121"/>
      <c r="F62" s="121"/>
      <c r="G62" s="121"/>
      <c r="H62" s="121"/>
      <c r="I62" s="139" t="s">
        <v>172</v>
      </c>
      <c r="J62" s="140">
        <v>203.9</v>
      </c>
      <c r="K62" s="148">
        <f>J62/J59</f>
        <v>3.0396014502539783E-2</v>
      </c>
      <c r="L62" s="140">
        <f t="shared" si="23"/>
        <v>4893.6000000000004</v>
      </c>
      <c r="M62" s="142">
        <f t="shared" si="24"/>
        <v>407.8</v>
      </c>
      <c r="N62" s="119"/>
      <c r="O62" s="120"/>
      <c r="P62" s="121"/>
      <c r="Q62" s="121"/>
      <c r="R62" s="121"/>
      <c r="S62" s="121"/>
      <c r="T62" s="121"/>
      <c r="U62" s="121"/>
      <c r="V62" s="121"/>
      <c r="W62" s="121"/>
      <c r="X62" s="121"/>
      <c r="Y62" s="121"/>
      <c r="Z62" s="121"/>
    </row>
    <row r="63" spans="1:26" ht="11.25" customHeight="1" x14ac:dyDescent="0.3">
      <c r="A63" s="121"/>
      <c r="B63" s="121"/>
      <c r="C63" s="121"/>
      <c r="D63" s="121"/>
      <c r="E63" s="121"/>
      <c r="F63" s="121"/>
      <c r="G63" s="121"/>
      <c r="H63" s="121"/>
      <c r="I63" s="139" t="s">
        <v>173</v>
      </c>
      <c r="J63" s="140">
        <v>104.55</v>
      </c>
      <c r="K63" s="148">
        <f>J63/J51</f>
        <v>1.4498517635847984E-2</v>
      </c>
      <c r="L63" s="140">
        <f t="shared" si="23"/>
        <v>2509.1999999999998</v>
      </c>
      <c r="M63" s="142">
        <f t="shared" si="24"/>
        <v>209.1</v>
      </c>
      <c r="N63" s="119"/>
      <c r="O63" s="120"/>
      <c r="P63" s="121"/>
      <c r="Q63" s="121"/>
      <c r="R63" s="121"/>
      <c r="S63" s="121"/>
      <c r="T63" s="121"/>
      <c r="U63" s="121"/>
      <c r="V63" s="121"/>
      <c r="W63" s="121"/>
      <c r="X63" s="121"/>
      <c r="Y63" s="121"/>
      <c r="Z63" s="121"/>
    </row>
    <row r="64" spans="1:26" ht="11.25" customHeight="1" x14ac:dyDescent="0.3">
      <c r="A64" s="121"/>
      <c r="B64" s="121"/>
      <c r="C64" s="121"/>
      <c r="D64" s="121"/>
      <c r="E64" s="121"/>
      <c r="F64" s="121"/>
      <c r="G64" s="121"/>
      <c r="H64" s="121"/>
      <c r="I64" s="139" t="s">
        <v>175</v>
      </c>
      <c r="J64" s="140">
        <v>447.05</v>
      </c>
      <c r="K64" s="148">
        <f>J64/J51</f>
        <v>6.1994857093312691E-2</v>
      </c>
      <c r="L64" s="140">
        <f t="shared" si="23"/>
        <v>10729.2</v>
      </c>
      <c r="M64" s="142">
        <f t="shared" si="24"/>
        <v>894.1</v>
      </c>
      <c r="N64" s="119"/>
      <c r="O64" s="120"/>
      <c r="P64" s="121"/>
      <c r="Q64" s="121"/>
      <c r="R64" s="121"/>
      <c r="S64" s="121"/>
      <c r="T64" s="121"/>
      <c r="U64" s="121"/>
      <c r="V64" s="121"/>
      <c r="W64" s="121"/>
      <c r="X64" s="121"/>
      <c r="Y64" s="121"/>
      <c r="Z64" s="121"/>
    </row>
    <row r="65" spans="1:26" ht="11.25" customHeight="1" x14ac:dyDescent="0.3">
      <c r="A65" s="121"/>
      <c r="B65" s="121"/>
      <c r="C65" s="121"/>
      <c r="D65" s="121"/>
      <c r="E65" s="121"/>
      <c r="F65" s="121"/>
      <c r="G65" s="121"/>
      <c r="H65" s="121"/>
      <c r="I65" s="139" t="s">
        <v>179</v>
      </c>
      <c r="J65" s="140">
        <v>180.26</v>
      </c>
      <c r="K65" s="148">
        <f>J65/J51</f>
        <v>2.4997635476211932E-2</v>
      </c>
      <c r="L65" s="140">
        <f t="shared" si="23"/>
        <v>4326.24</v>
      </c>
      <c r="M65" s="142">
        <f t="shared" si="24"/>
        <v>360.52</v>
      </c>
      <c r="N65" s="119"/>
      <c r="O65" s="120"/>
      <c r="P65" s="121"/>
      <c r="Q65" s="121"/>
      <c r="R65" s="121"/>
      <c r="S65" s="121"/>
      <c r="T65" s="121"/>
      <c r="U65" s="121"/>
      <c r="V65" s="121"/>
      <c r="W65" s="121"/>
      <c r="X65" s="121"/>
      <c r="Y65" s="121"/>
      <c r="Z65" s="121"/>
    </row>
    <row r="66" spans="1:26" ht="11.25" customHeight="1" x14ac:dyDescent="0.3">
      <c r="A66" s="121"/>
      <c r="B66" s="121"/>
      <c r="C66" s="121"/>
      <c r="D66" s="121"/>
      <c r="E66" s="121"/>
      <c r="F66" s="121"/>
      <c r="G66" s="121"/>
      <c r="H66" s="121"/>
      <c r="I66" s="133" t="s">
        <v>181</v>
      </c>
      <c r="J66" s="134">
        <f>SUM(J61:J65)</f>
        <v>2076.29</v>
      </c>
      <c r="K66" s="152">
        <f>J66/J49</f>
        <v>0.28929445017235028</v>
      </c>
      <c r="L66" s="134"/>
      <c r="M66" s="136"/>
      <c r="N66" s="119"/>
      <c r="O66" s="120"/>
      <c r="P66" s="121"/>
      <c r="Q66" s="121"/>
      <c r="R66" s="121"/>
      <c r="S66" s="121"/>
      <c r="T66" s="121"/>
      <c r="U66" s="121"/>
      <c r="V66" s="121"/>
      <c r="W66" s="121"/>
      <c r="X66" s="121"/>
      <c r="Y66" s="121"/>
      <c r="Z66" s="121"/>
    </row>
    <row r="67" spans="1:26" ht="11.25" customHeight="1" x14ac:dyDescent="0.3">
      <c r="A67" s="121"/>
      <c r="B67" s="121"/>
      <c r="C67" s="121"/>
      <c r="D67" s="121"/>
      <c r="E67" s="121"/>
      <c r="F67" s="121"/>
      <c r="G67" s="121"/>
      <c r="H67" s="121"/>
      <c r="I67" s="139"/>
      <c r="J67" s="140"/>
      <c r="K67" s="141"/>
      <c r="L67" s="140"/>
      <c r="M67" s="142"/>
      <c r="N67" s="119"/>
      <c r="O67" s="120"/>
      <c r="P67" s="121"/>
      <c r="Q67" s="121"/>
      <c r="R67" s="121"/>
      <c r="S67" s="121"/>
      <c r="T67" s="121"/>
      <c r="U67" s="121"/>
      <c r="V67" s="121"/>
      <c r="W67" s="121"/>
      <c r="X67" s="121"/>
      <c r="Y67" s="121"/>
      <c r="Z67" s="121"/>
    </row>
    <row r="68" spans="1:26" ht="11.25" customHeight="1" x14ac:dyDescent="0.3">
      <c r="A68" s="121"/>
      <c r="B68" s="121"/>
      <c r="C68" s="121"/>
      <c r="D68" s="121"/>
      <c r="E68" s="121"/>
      <c r="F68" s="121"/>
      <c r="G68" s="121"/>
      <c r="H68" s="121"/>
      <c r="I68" s="179" t="s">
        <v>215</v>
      </c>
      <c r="J68" s="180">
        <f>J49-J57-J66</f>
        <v>4597.8262888299996</v>
      </c>
      <c r="K68" s="181">
        <f>(J68+J56)/J49</f>
        <v>0.71062613036476241</v>
      </c>
      <c r="L68" s="180">
        <f>J68*24</f>
        <v>110347.83093191999</v>
      </c>
      <c r="M68" s="182">
        <f>L68/12</f>
        <v>9195.6525776599992</v>
      </c>
      <c r="N68" s="174">
        <f>L68</f>
        <v>110347.83093191999</v>
      </c>
      <c r="O68" s="120">
        <f>N68/24</f>
        <v>4597.8262888299996</v>
      </c>
      <c r="P68" s="121"/>
      <c r="Q68" s="121"/>
      <c r="R68" s="121"/>
      <c r="S68" s="121"/>
      <c r="T68" s="121"/>
      <c r="U68" s="121"/>
      <c r="V68" s="121"/>
      <c r="W68" s="121"/>
      <c r="X68" s="121"/>
      <c r="Y68" s="121"/>
      <c r="Z68" s="121"/>
    </row>
    <row r="69" spans="1:26" ht="11.25" customHeight="1" x14ac:dyDescent="0.3">
      <c r="A69" s="121"/>
      <c r="B69" s="121"/>
      <c r="C69" s="121"/>
      <c r="D69" s="121"/>
      <c r="E69" s="121"/>
      <c r="F69" s="121"/>
      <c r="G69" s="121"/>
      <c r="H69" s="121"/>
      <c r="I69" s="121"/>
      <c r="J69" s="121"/>
      <c r="K69" s="121"/>
      <c r="L69" s="121"/>
      <c r="M69" s="121"/>
      <c r="N69" s="121"/>
      <c r="O69" s="121"/>
      <c r="P69" s="121"/>
      <c r="Q69" s="121"/>
      <c r="R69" s="121"/>
      <c r="S69" s="121"/>
      <c r="T69" s="121"/>
      <c r="U69" s="121"/>
      <c r="V69" s="121"/>
      <c r="W69" s="121"/>
      <c r="X69" s="121"/>
      <c r="Y69" s="121"/>
      <c r="Z69" s="121"/>
    </row>
    <row r="70" spans="1:26" ht="11.25" customHeight="1" x14ac:dyDescent="0.3">
      <c r="A70" s="121"/>
      <c r="B70" s="121"/>
      <c r="C70" s="121"/>
      <c r="D70" s="121"/>
      <c r="E70" s="121"/>
      <c r="F70" s="121"/>
      <c r="G70" s="121"/>
      <c r="H70" s="121"/>
      <c r="I70" s="121"/>
      <c r="J70" s="121"/>
      <c r="K70" s="121"/>
      <c r="L70" s="121"/>
      <c r="M70" s="121"/>
      <c r="N70" s="121"/>
      <c r="O70" s="121"/>
      <c r="P70" s="121"/>
      <c r="Q70" s="121"/>
      <c r="R70" s="121"/>
      <c r="S70" s="121"/>
      <c r="T70" s="121"/>
      <c r="U70" s="121"/>
      <c r="V70" s="121"/>
      <c r="W70" s="121"/>
      <c r="X70" s="121"/>
      <c r="Y70" s="121"/>
      <c r="Z70" s="121"/>
    </row>
    <row r="71" spans="1:26" ht="11.25" customHeight="1" x14ac:dyDescent="0.3">
      <c r="A71" s="121"/>
      <c r="B71" s="121"/>
      <c r="C71" s="121"/>
      <c r="D71" s="121"/>
      <c r="E71" s="121"/>
      <c r="F71" s="121"/>
      <c r="G71" s="121"/>
      <c r="H71" s="121"/>
      <c r="I71" s="121"/>
      <c r="J71" s="121"/>
      <c r="K71" s="121"/>
      <c r="L71" s="121"/>
      <c r="M71" s="121"/>
      <c r="N71" s="121"/>
      <c r="O71" s="121"/>
      <c r="P71" s="121"/>
      <c r="Q71" s="121"/>
      <c r="R71" s="121"/>
      <c r="S71" s="121"/>
      <c r="T71" s="121"/>
      <c r="U71" s="121"/>
      <c r="V71" s="121"/>
      <c r="W71" s="121"/>
      <c r="X71" s="121"/>
      <c r="Y71" s="121"/>
      <c r="Z71" s="121"/>
    </row>
    <row r="72" spans="1:26" ht="11.25" customHeight="1" x14ac:dyDescent="0.3">
      <c r="A72" s="121"/>
      <c r="B72" s="121"/>
      <c r="C72" s="121"/>
      <c r="D72" s="121"/>
      <c r="E72" s="121"/>
      <c r="F72" s="121"/>
      <c r="G72" s="121"/>
      <c r="H72" s="121"/>
      <c r="I72" s="121"/>
      <c r="J72" s="121"/>
      <c r="K72" s="121"/>
      <c r="L72" s="121"/>
      <c r="M72" s="121"/>
      <c r="N72" s="121"/>
      <c r="O72" s="121"/>
      <c r="P72" s="121"/>
      <c r="Q72" s="121"/>
      <c r="R72" s="121"/>
      <c r="S72" s="121"/>
      <c r="T72" s="121"/>
      <c r="U72" s="121"/>
      <c r="V72" s="121"/>
      <c r="W72" s="121"/>
      <c r="X72" s="121"/>
      <c r="Y72" s="121"/>
      <c r="Z72" s="121"/>
    </row>
    <row r="73" spans="1:26" ht="11.25" customHeight="1" x14ac:dyDescent="0.3">
      <c r="A73" s="121"/>
      <c r="B73" s="121"/>
      <c r="C73" s="121"/>
      <c r="D73" s="121"/>
      <c r="E73" s="121"/>
      <c r="F73" s="121"/>
      <c r="G73" s="121"/>
      <c r="H73" s="121"/>
      <c r="I73" s="121"/>
      <c r="J73" s="121"/>
      <c r="K73" s="121"/>
      <c r="L73" s="121"/>
      <c r="M73" s="121"/>
      <c r="N73" s="121"/>
      <c r="O73" s="121"/>
      <c r="P73" s="121"/>
      <c r="Q73" s="121"/>
      <c r="R73" s="121"/>
      <c r="S73" s="121"/>
      <c r="T73" s="121"/>
      <c r="U73" s="121"/>
      <c r="V73" s="121"/>
      <c r="W73" s="121"/>
      <c r="X73" s="121"/>
      <c r="Y73" s="121"/>
      <c r="Z73" s="121"/>
    </row>
    <row r="74" spans="1:26" ht="11.25" customHeight="1" x14ac:dyDescent="0.3">
      <c r="A74" s="121"/>
      <c r="B74" s="121"/>
      <c r="C74" s="121"/>
      <c r="D74" s="121"/>
      <c r="E74" s="121"/>
      <c r="F74" s="121"/>
      <c r="G74" s="121"/>
      <c r="H74" s="121"/>
      <c r="I74" s="121"/>
      <c r="J74" s="121"/>
      <c r="K74" s="121"/>
      <c r="L74" s="121"/>
      <c r="M74" s="121"/>
      <c r="N74" s="121"/>
      <c r="O74" s="121"/>
      <c r="P74" s="121"/>
      <c r="Q74" s="121"/>
      <c r="R74" s="121"/>
      <c r="S74" s="121"/>
      <c r="T74" s="121"/>
      <c r="U74" s="121"/>
      <c r="V74" s="121"/>
      <c r="W74" s="121"/>
      <c r="X74" s="121"/>
      <c r="Y74" s="121"/>
      <c r="Z74" s="121"/>
    </row>
    <row r="75" spans="1:26" ht="11.25" customHeight="1" x14ac:dyDescent="0.3">
      <c r="A75" s="121"/>
      <c r="B75" s="121"/>
      <c r="C75" s="121"/>
      <c r="D75" s="121"/>
      <c r="E75" s="121"/>
      <c r="F75" s="121"/>
      <c r="G75" s="121"/>
      <c r="H75" s="121"/>
      <c r="I75" s="121"/>
      <c r="J75" s="121"/>
      <c r="K75" s="121"/>
      <c r="L75" s="121"/>
      <c r="M75" s="121"/>
      <c r="N75" s="121"/>
      <c r="O75" s="121"/>
      <c r="P75" s="121"/>
      <c r="Q75" s="121"/>
      <c r="R75" s="121"/>
      <c r="S75" s="121"/>
      <c r="T75" s="121"/>
      <c r="U75" s="121"/>
      <c r="V75" s="121"/>
      <c r="W75" s="121"/>
      <c r="X75" s="121"/>
      <c r="Y75" s="121"/>
      <c r="Z75" s="121"/>
    </row>
    <row r="76" spans="1:26" ht="11.25" customHeight="1" x14ac:dyDescent="0.3">
      <c r="A76" s="121"/>
      <c r="B76" s="121"/>
      <c r="C76" s="121"/>
      <c r="D76" s="121"/>
      <c r="E76" s="121"/>
      <c r="F76" s="121"/>
      <c r="G76" s="121"/>
      <c r="H76" s="121"/>
      <c r="I76" s="121"/>
      <c r="J76" s="121"/>
      <c r="K76" s="121"/>
      <c r="L76" s="121"/>
      <c r="M76" s="121"/>
      <c r="N76" s="121"/>
      <c r="O76" s="121"/>
      <c r="P76" s="121"/>
      <c r="Q76" s="121"/>
      <c r="R76" s="121"/>
      <c r="S76" s="121"/>
      <c r="T76" s="121"/>
      <c r="U76" s="121"/>
      <c r="V76" s="121"/>
      <c r="W76" s="121"/>
      <c r="X76" s="121"/>
      <c r="Y76" s="121"/>
      <c r="Z76" s="121"/>
    </row>
    <row r="77" spans="1:26" ht="11.25" customHeight="1" x14ac:dyDescent="0.3">
      <c r="A77" s="121"/>
      <c r="B77" s="121"/>
      <c r="C77" s="121"/>
      <c r="D77" s="121"/>
      <c r="E77" s="121"/>
      <c r="F77" s="121"/>
      <c r="G77" s="121"/>
      <c r="H77" s="121"/>
      <c r="I77" s="121"/>
      <c r="J77" s="121"/>
      <c r="K77" s="121"/>
      <c r="L77" s="121"/>
      <c r="M77" s="121"/>
      <c r="N77" s="121"/>
      <c r="O77" s="121"/>
      <c r="P77" s="121"/>
      <c r="Q77" s="121"/>
      <c r="R77" s="121"/>
      <c r="S77" s="121"/>
      <c r="T77" s="121"/>
      <c r="U77" s="121"/>
      <c r="V77" s="121"/>
      <c r="W77" s="121"/>
      <c r="X77" s="121"/>
      <c r="Y77" s="121"/>
      <c r="Z77" s="121"/>
    </row>
    <row r="78" spans="1:26" ht="11.25" customHeight="1" x14ac:dyDescent="0.3">
      <c r="A78" s="121"/>
      <c r="B78" s="121"/>
      <c r="C78" s="121"/>
      <c r="D78" s="121"/>
      <c r="E78" s="121"/>
      <c r="F78" s="121"/>
      <c r="G78" s="121"/>
      <c r="H78" s="121"/>
      <c r="I78" s="121"/>
      <c r="J78" s="121"/>
      <c r="K78" s="121"/>
      <c r="L78" s="121"/>
      <c r="M78" s="121"/>
      <c r="N78" s="121"/>
      <c r="O78" s="121"/>
      <c r="P78" s="121"/>
      <c r="Q78" s="121"/>
      <c r="R78" s="121"/>
      <c r="S78" s="121"/>
      <c r="T78" s="121"/>
      <c r="U78" s="121"/>
      <c r="V78" s="121"/>
      <c r="W78" s="121"/>
      <c r="X78" s="121"/>
      <c r="Y78" s="121"/>
      <c r="Z78" s="121"/>
    </row>
    <row r="79" spans="1:26" ht="11.25" customHeight="1" x14ac:dyDescent="0.3">
      <c r="A79" s="121"/>
      <c r="B79" s="121"/>
      <c r="C79" s="121"/>
      <c r="D79" s="121"/>
      <c r="E79" s="121"/>
      <c r="F79" s="121"/>
      <c r="G79" s="121"/>
      <c r="H79" s="121"/>
      <c r="I79" s="121"/>
      <c r="J79" s="121"/>
      <c r="K79" s="121"/>
      <c r="L79" s="121"/>
      <c r="M79" s="121"/>
      <c r="N79" s="121"/>
      <c r="O79" s="121"/>
      <c r="P79" s="121"/>
      <c r="Q79" s="121"/>
      <c r="R79" s="121"/>
      <c r="S79" s="121"/>
      <c r="T79" s="121"/>
      <c r="U79" s="121"/>
      <c r="V79" s="121"/>
      <c r="W79" s="121"/>
      <c r="X79" s="121"/>
      <c r="Y79" s="121"/>
      <c r="Z79" s="121"/>
    </row>
    <row r="80" spans="1:26" ht="11.25" customHeight="1" x14ac:dyDescent="0.3">
      <c r="A80" s="121"/>
      <c r="B80" s="121"/>
      <c r="C80" s="121"/>
      <c r="D80" s="121"/>
      <c r="E80" s="121"/>
      <c r="F80" s="121"/>
      <c r="G80" s="121"/>
      <c r="H80" s="121"/>
      <c r="I80" s="121"/>
      <c r="J80" s="121"/>
      <c r="K80" s="121"/>
      <c r="L80" s="121"/>
      <c r="M80" s="121"/>
      <c r="N80" s="121"/>
      <c r="O80" s="121"/>
      <c r="P80" s="121"/>
      <c r="Q80" s="121"/>
      <c r="R80" s="121"/>
      <c r="S80" s="121"/>
      <c r="T80" s="121"/>
      <c r="U80" s="121"/>
      <c r="V80" s="121"/>
      <c r="W80" s="121"/>
      <c r="X80" s="121"/>
      <c r="Y80" s="121"/>
      <c r="Z80" s="121"/>
    </row>
    <row r="81" spans="1:26" ht="11.25" customHeight="1" x14ac:dyDescent="0.3">
      <c r="A81" s="121"/>
      <c r="B81" s="121"/>
      <c r="C81" s="121"/>
      <c r="D81" s="121"/>
      <c r="E81" s="121"/>
      <c r="F81" s="121"/>
      <c r="G81" s="121"/>
      <c r="H81" s="121"/>
      <c r="I81" s="121"/>
      <c r="J81" s="121"/>
      <c r="K81" s="121"/>
      <c r="L81" s="121"/>
      <c r="M81" s="121"/>
      <c r="N81" s="121"/>
      <c r="O81" s="121"/>
      <c r="P81" s="121"/>
      <c r="Q81" s="121"/>
      <c r="R81" s="121"/>
      <c r="S81" s="121"/>
      <c r="T81" s="121"/>
      <c r="U81" s="121"/>
      <c r="V81" s="121"/>
      <c r="W81" s="121"/>
      <c r="X81" s="121"/>
      <c r="Y81" s="121"/>
      <c r="Z81" s="121"/>
    </row>
    <row r="82" spans="1:26" ht="11.25" customHeight="1" x14ac:dyDescent="0.3">
      <c r="A82" s="121"/>
      <c r="B82" s="121"/>
      <c r="C82" s="121"/>
      <c r="D82" s="121"/>
      <c r="E82" s="121"/>
      <c r="F82" s="121"/>
      <c r="G82" s="121"/>
      <c r="H82" s="121"/>
      <c r="I82" s="121"/>
      <c r="J82" s="121"/>
      <c r="K82" s="121"/>
      <c r="L82" s="121"/>
      <c r="M82" s="121"/>
      <c r="N82" s="121"/>
      <c r="O82" s="121"/>
      <c r="P82" s="121"/>
      <c r="Q82" s="121"/>
      <c r="R82" s="121"/>
      <c r="S82" s="121"/>
      <c r="T82" s="121"/>
      <c r="U82" s="121"/>
      <c r="V82" s="121"/>
      <c r="W82" s="121"/>
      <c r="X82" s="121"/>
      <c r="Y82" s="121"/>
      <c r="Z82" s="121"/>
    </row>
    <row r="83" spans="1:26" ht="11.25" customHeight="1" x14ac:dyDescent="0.3">
      <c r="A83" s="121"/>
      <c r="B83" s="121"/>
      <c r="C83" s="121"/>
      <c r="D83" s="121"/>
      <c r="E83" s="121"/>
      <c r="F83" s="121"/>
      <c r="G83" s="121"/>
      <c r="H83" s="121"/>
      <c r="I83" s="121"/>
      <c r="J83" s="121"/>
      <c r="K83" s="121"/>
      <c r="L83" s="121"/>
      <c r="M83" s="121"/>
      <c r="N83" s="121"/>
      <c r="O83" s="121"/>
      <c r="P83" s="121"/>
      <c r="Q83" s="121"/>
      <c r="R83" s="121"/>
      <c r="S83" s="121"/>
      <c r="T83" s="121"/>
      <c r="U83" s="121"/>
      <c r="V83" s="121"/>
      <c r="W83" s="121"/>
      <c r="X83" s="121"/>
      <c r="Y83" s="121"/>
      <c r="Z83" s="121"/>
    </row>
    <row r="84" spans="1:26" ht="11.25" customHeight="1" x14ac:dyDescent="0.3">
      <c r="A84" s="121"/>
      <c r="B84" s="121"/>
      <c r="C84" s="121"/>
      <c r="D84" s="121"/>
      <c r="E84" s="121"/>
      <c r="F84" s="121"/>
      <c r="G84" s="121"/>
      <c r="H84" s="121"/>
      <c r="I84" s="121"/>
      <c r="J84" s="121"/>
      <c r="K84" s="121"/>
      <c r="L84" s="121"/>
      <c r="M84" s="121"/>
      <c r="N84" s="121"/>
      <c r="O84" s="121"/>
      <c r="P84" s="121"/>
      <c r="Q84" s="121"/>
      <c r="R84" s="121"/>
      <c r="S84" s="121"/>
      <c r="T84" s="121"/>
      <c r="U84" s="121"/>
      <c r="V84" s="121"/>
      <c r="W84" s="121"/>
      <c r="X84" s="121"/>
      <c r="Y84" s="121"/>
      <c r="Z84" s="121"/>
    </row>
    <row r="85" spans="1:26" ht="11.25" customHeight="1" x14ac:dyDescent="0.3">
      <c r="A85" s="121"/>
      <c r="B85" s="121"/>
      <c r="C85" s="121"/>
      <c r="D85" s="121"/>
      <c r="E85" s="121"/>
      <c r="F85" s="121"/>
      <c r="G85" s="121"/>
      <c r="H85" s="121"/>
      <c r="I85" s="121"/>
      <c r="J85" s="121"/>
      <c r="K85" s="121"/>
      <c r="L85" s="121"/>
      <c r="M85" s="121"/>
      <c r="N85" s="121"/>
      <c r="O85" s="121"/>
      <c r="P85" s="121"/>
      <c r="Q85" s="121"/>
      <c r="R85" s="121"/>
      <c r="S85" s="121"/>
      <c r="T85" s="121"/>
      <c r="U85" s="121"/>
      <c r="V85" s="121"/>
      <c r="W85" s="121"/>
      <c r="X85" s="121"/>
      <c r="Y85" s="121"/>
      <c r="Z85" s="121"/>
    </row>
    <row r="86" spans="1:26" ht="11.25" customHeight="1" x14ac:dyDescent="0.3">
      <c r="A86" s="121"/>
      <c r="B86" s="121"/>
      <c r="C86" s="121"/>
      <c r="D86" s="121"/>
      <c r="E86" s="121"/>
      <c r="F86" s="121"/>
      <c r="G86" s="121"/>
      <c r="H86" s="121"/>
      <c r="I86" s="121"/>
      <c r="J86" s="121"/>
      <c r="K86" s="121"/>
      <c r="L86" s="121"/>
      <c r="M86" s="121"/>
      <c r="N86" s="121"/>
      <c r="O86" s="121"/>
      <c r="P86" s="121"/>
      <c r="Q86" s="121"/>
      <c r="R86" s="121"/>
      <c r="S86" s="121"/>
      <c r="T86" s="121"/>
      <c r="U86" s="121"/>
      <c r="V86" s="121"/>
      <c r="W86" s="121"/>
      <c r="X86" s="121"/>
      <c r="Y86" s="121"/>
      <c r="Z86" s="121"/>
    </row>
    <row r="87" spans="1:26" ht="11.25" customHeight="1" x14ac:dyDescent="0.3">
      <c r="A87" s="121"/>
      <c r="B87" s="121"/>
      <c r="C87" s="121"/>
      <c r="D87" s="121"/>
      <c r="E87" s="121"/>
      <c r="F87" s="121"/>
      <c r="G87" s="121"/>
      <c r="H87" s="121"/>
      <c r="I87" s="121"/>
      <c r="J87" s="121"/>
      <c r="K87" s="121"/>
      <c r="L87" s="121"/>
      <c r="M87" s="121"/>
      <c r="N87" s="121"/>
      <c r="O87" s="121"/>
      <c r="P87" s="121"/>
      <c r="Q87" s="121"/>
      <c r="R87" s="121"/>
      <c r="S87" s="121"/>
      <c r="T87" s="121"/>
      <c r="U87" s="121"/>
      <c r="V87" s="121"/>
      <c r="W87" s="121"/>
      <c r="X87" s="121"/>
      <c r="Y87" s="121"/>
      <c r="Z87" s="121"/>
    </row>
    <row r="88" spans="1:26" ht="11.25" customHeight="1" x14ac:dyDescent="0.3">
      <c r="A88" s="121"/>
      <c r="B88" s="121"/>
      <c r="C88" s="121"/>
      <c r="D88" s="121"/>
      <c r="E88" s="121"/>
      <c r="F88" s="121"/>
      <c r="G88" s="121"/>
      <c r="H88" s="121"/>
      <c r="I88" s="121"/>
      <c r="J88" s="121"/>
      <c r="K88" s="121"/>
      <c r="L88" s="121"/>
      <c r="M88" s="121"/>
      <c r="N88" s="121"/>
      <c r="O88" s="121"/>
      <c r="P88" s="121"/>
      <c r="Q88" s="121"/>
      <c r="R88" s="121"/>
      <c r="S88" s="121"/>
      <c r="T88" s="121"/>
      <c r="U88" s="121"/>
      <c r="V88" s="121"/>
      <c r="W88" s="121"/>
      <c r="X88" s="121"/>
      <c r="Y88" s="121"/>
      <c r="Z88" s="121"/>
    </row>
    <row r="89" spans="1:26" ht="11.25" customHeight="1" x14ac:dyDescent="0.3">
      <c r="A89" s="121"/>
      <c r="B89" s="121"/>
      <c r="C89" s="121"/>
      <c r="D89" s="121"/>
      <c r="E89" s="121"/>
      <c r="F89" s="121"/>
      <c r="G89" s="121"/>
      <c r="H89" s="121"/>
      <c r="I89" s="121"/>
      <c r="J89" s="121"/>
      <c r="K89" s="121"/>
      <c r="L89" s="121"/>
      <c r="M89" s="121"/>
      <c r="N89" s="121"/>
      <c r="O89" s="121"/>
      <c r="P89" s="121"/>
      <c r="Q89" s="121"/>
      <c r="R89" s="121"/>
      <c r="S89" s="121"/>
      <c r="T89" s="121"/>
      <c r="U89" s="121"/>
      <c r="V89" s="121"/>
      <c r="W89" s="121"/>
      <c r="X89" s="121"/>
      <c r="Y89" s="121"/>
      <c r="Z89" s="121"/>
    </row>
    <row r="90" spans="1:26" ht="11.25" customHeight="1" x14ac:dyDescent="0.3">
      <c r="A90" s="121"/>
      <c r="B90" s="121"/>
      <c r="C90" s="121"/>
      <c r="D90" s="121"/>
      <c r="E90" s="121"/>
      <c r="F90" s="121"/>
      <c r="G90" s="121"/>
      <c r="H90" s="121"/>
      <c r="I90" s="121"/>
      <c r="J90" s="121"/>
      <c r="K90" s="121"/>
      <c r="L90" s="121"/>
      <c r="M90" s="121"/>
      <c r="N90" s="121"/>
      <c r="O90" s="121"/>
      <c r="P90" s="121"/>
      <c r="Q90" s="121"/>
      <c r="R90" s="121"/>
      <c r="S90" s="121"/>
      <c r="T90" s="121"/>
      <c r="U90" s="121"/>
      <c r="V90" s="121"/>
      <c r="W90" s="121"/>
      <c r="X90" s="121"/>
      <c r="Y90" s="121"/>
      <c r="Z90" s="121"/>
    </row>
    <row r="91" spans="1:26" ht="11.25" customHeight="1" x14ac:dyDescent="0.3">
      <c r="A91" s="121"/>
      <c r="B91" s="121"/>
      <c r="C91" s="121"/>
      <c r="D91" s="121"/>
      <c r="E91" s="121"/>
      <c r="F91" s="121"/>
      <c r="G91" s="121"/>
      <c r="H91" s="121"/>
      <c r="I91" s="121"/>
      <c r="J91" s="121"/>
      <c r="K91" s="121"/>
      <c r="L91" s="121"/>
      <c r="M91" s="121"/>
      <c r="N91" s="121"/>
      <c r="O91" s="121"/>
      <c r="P91" s="121"/>
      <c r="Q91" s="121"/>
      <c r="R91" s="121"/>
      <c r="S91" s="121"/>
      <c r="T91" s="121"/>
      <c r="U91" s="121"/>
      <c r="V91" s="121"/>
      <c r="W91" s="121"/>
      <c r="X91" s="121"/>
      <c r="Y91" s="121"/>
      <c r="Z91" s="121"/>
    </row>
    <row r="92" spans="1:26" ht="11.25" customHeight="1" x14ac:dyDescent="0.3">
      <c r="A92" s="121"/>
      <c r="B92" s="121"/>
      <c r="C92" s="121"/>
      <c r="D92" s="121"/>
      <c r="E92" s="121"/>
      <c r="F92" s="121"/>
      <c r="G92" s="121"/>
      <c r="H92" s="121"/>
      <c r="I92" s="121"/>
      <c r="J92" s="121"/>
      <c r="K92" s="121"/>
      <c r="L92" s="121"/>
      <c r="M92" s="121"/>
      <c r="N92" s="121"/>
      <c r="O92" s="121"/>
      <c r="P92" s="121"/>
      <c r="Q92" s="121"/>
      <c r="R92" s="121"/>
      <c r="S92" s="121"/>
      <c r="T92" s="121"/>
      <c r="U92" s="121"/>
      <c r="V92" s="121"/>
      <c r="W92" s="121"/>
      <c r="X92" s="121"/>
      <c r="Y92" s="121"/>
      <c r="Z92" s="121"/>
    </row>
    <row r="93" spans="1:26" ht="11.25" customHeight="1" x14ac:dyDescent="0.3">
      <c r="A93" s="121"/>
      <c r="B93" s="121"/>
      <c r="C93" s="121"/>
      <c r="D93" s="121"/>
      <c r="E93" s="121"/>
      <c r="F93" s="121"/>
      <c r="G93" s="121"/>
      <c r="H93" s="121"/>
      <c r="I93" s="121"/>
      <c r="J93" s="121"/>
      <c r="K93" s="121"/>
      <c r="L93" s="121"/>
      <c r="M93" s="121"/>
      <c r="N93" s="121"/>
      <c r="O93" s="121"/>
      <c r="P93" s="121"/>
      <c r="Q93" s="121"/>
      <c r="R93" s="121"/>
      <c r="S93" s="121"/>
      <c r="T93" s="121"/>
      <c r="U93" s="121"/>
      <c r="V93" s="121"/>
      <c r="W93" s="121"/>
      <c r="X93" s="121"/>
      <c r="Y93" s="121"/>
      <c r="Z93" s="121"/>
    </row>
    <row r="94" spans="1:26" ht="11.25" customHeight="1" x14ac:dyDescent="0.3">
      <c r="A94" s="121"/>
      <c r="B94" s="121"/>
      <c r="C94" s="121"/>
      <c r="D94" s="121"/>
      <c r="E94" s="121"/>
      <c r="F94" s="121"/>
      <c r="G94" s="121"/>
      <c r="H94" s="121"/>
      <c r="I94" s="121"/>
      <c r="J94" s="121"/>
      <c r="K94" s="121"/>
      <c r="L94" s="121"/>
      <c r="M94" s="121"/>
      <c r="N94" s="121"/>
      <c r="O94" s="121"/>
      <c r="P94" s="121"/>
      <c r="Q94" s="121"/>
      <c r="R94" s="121"/>
      <c r="S94" s="121"/>
      <c r="T94" s="121"/>
      <c r="U94" s="121"/>
      <c r="V94" s="121"/>
      <c r="W94" s="121"/>
      <c r="X94" s="121"/>
      <c r="Y94" s="121"/>
      <c r="Z94" s="121"/>
    </row>
    <row r="95" spans="1:26" ht="11.25" customHeight="1" x14ac:dyDescent="0.3">
      <c r="A95" s="121"/>
      <c r="B95" s="121"/>
      <c r="C95" s="121"/>
      <c r="D95" s="121"/>
      <c r="E95" s="121"/>
      <c r="F95" s="121"/>
      <c r="G95" s="121"/>
      <c r="H95" s="121"/>
      <c r="I95" s="121"/>
      <c r="J95" s="121"/>
      <c r="K95" s="121"/>
      <c r="L95" s="121"/>
      <c r="M95" s="121"/>
      <c r="N95" s="121"/>
      <c r="O95" s="121"/>
      <c r="P95" s="121"/>
      <c r="Q95" s="121"/>
      <c r="R95" s="121"/>
      <c r="S95" s="121"/>
      <c r="T95" s="121"/>
      <c r="U95" s="121"/>
      <c r="V95" s="121"/>
      <c r="W95" s="121"/>
      <c r="X95" s="121"/>
      <c r="Y95" s="121"/>
      <c r="Z95" s="121"/>
    </row>
    <row r="96" spans="1:26" ht="11.25" customHeight="1" x14ac:dyDescent="0.3">
      <c r="A96" s="121"/>
      <c r="B96" s="121"/>
      <c r="C96" s="121"/>
      <c r="D96" s="121"/>
      <c r="E96" s="121"/>
      <c r="F96" s="121"/>
      <c r="G96" s="121"/>
      <c r="H96" s="121"/>
      <c r="I96" s="121"/>
      <c r="J96" s="121"/>
      <c r="K96" s="121"/>
      <c r="L96" s="121"/>
      <c r="M96" s="121"/>
      <c r="N96" s="121"/>
      <c r="O96" s="121"/>
      <c r="P96" s="121"/>
      <c r="Q96" s="121"/>
      <c r="R96" s="121"/>
      <c r="S96" s="121"/>
      <c r="T96" s="121"/>
      <c r="U96" s="121"/>
      <c r="V96" s="121"/>
      <c r="W96" s="121"/>
      <c r="X96" s="121"/>
      <c r="Y96" s="121"/>
      <c r="Z96" s="121"/>
    </row>
    <row r="97" spans="1:26" ht="11.25" customHeight="1" x14ac:dyDescent="0.3">
      <c r="A97" s="121"/>
      <c r="B97" s="121"/>
      <c r="C97" s="121"/>
      <c r="D97" s="121"/>
      <c r="E97" s="121"/>
      <c r="F97" s="121"/>
      <c r="G97" s="121"/>
      <c r="H97" s="121"/>
      <c r="I97" s="121"/>
      <c r="J97" s="121"/>
      <c r="K97" s="121"/>
      <c r="L97" s="121"/>
      <c r="M97" s="121"/>
      <c r="N97" s="121"/>
      <c r="O97" s="121"/>
      <c r="P97" s="121"/>
      <c r="Q97" s="121"/>
      <c r="R97" s="121"/>
      <c r="S97" s="121"/>
      <c r="T97" s="121"/>
      <c r="U97" s="121"/>
      <c r="V97" s="121"/>
      <c r="W97" s="121"/>
      <c r="X97" s="121"/>
      <c r="Y97" s="121"/>
      <c r="Z97" s="121"/>
    </row>
    <row r="98" spans="1:26" ht="11.25" customHeight="1" x14ac:dyDescent="0.3">
      <c r="A98" s="121"/>
      <c r="B98" s="121"/>
      <c r="C98" s="121"/>
      <c r="D98" s="121"/>
      <c r="E98" s="121"/>
      <c r="F98" s="121"/>
      <c r="G98" s="121"/>
      <c r="H98" s="121"/>
      <c r="I98" s="121"/>
      <c r="J98" s="121"/>
      <c r="K98" s="121"/>
      <c r="L98" s="121"/>
      <c r="M98" s="121"/>
      <c r="N98" s="121"/>
      <c r="O98" s="121"/>
      <c r="P98" s="121"/>
      <c r="Q98" s="121"/>
      <c r="R98" s="121"/>
      <c r="S98" s="121"/>
      <c r="T98" s="121"/>
      <c r="U98" s="121"/>
      <c r="V98" s="121"/>
      <c r="W98" s="121"/>
      <c r="X98" s="121"/>
      <c r="Y98" s="121"/>
      <c r="Z98" s="121"/>
    </row>
    <row r="99" spans="1:26" ht="11.25" customHeight="1" x14ac:dyDescent="0.3">
      <c r="A99" s="121"/>
      <c r="B99" s="121"/>
      <c r="C99" s="121"/>
      <c r="D99" s="121"/>
      <c r="E99" s="121"/>
      <c r="F99" s="121"/>
      <c r="G99" s="121"/>
      <c r="H99" s="121"/>
      <c r="I99" s="121"/>
      <c r="J99" s="121"/>
      <c r="K99" s="121"/>
      <c r="L99" s="121"/>
      <c r="M99" s="121"/>
      <c r="N99" s="121"/>
      <c r="O99" s="121"/>
      <c r="P99" s="121"/>
      <c r="Q99" s="121"/>
      <c r="R99" s="121"/>
      <c r="S99" s="121"/>
      <c r="T99" s="121"/>
      <c r="U99" s="121"/>
      <c r="V99" s="121"/>
      <c r="W99" s="121"/>
      <c r="X99" s="121"/>
      <c r="Y99" s="121"/>
      <c r="Z99" s="121"/>
    </row>
    <row r="100" spans="1:26" ht="11.25" customHeight="1" x14ac:dyDescent="0.3">
      <c r="A100" s="121"/>
      <c r="B100" s="121"/>
      <c r="C100" s="121"/>
      <c r="D100" s="121"/>
      <c r="E100" s="121"/>
      <c r="F100" s="121"/>
      <c r="G100" s="121"/>
      <c r="H100" s="121"/>
      <c r="I100" s="121"/>
      <c r="J100" s="121"/>
      <c r="K100" s="121"/>
      <c r="L100" s="121"/>
      <c r="M100" s="121"/>
      <c r="N100" s="121"/>
      <c r="O100" s="121"/>
      <c r="P100" s="121"/>
      <c r="Q100" s="121"/>
      <c r="R100" s="121"/>
      <c r="S100" s="121"/>
      <c r="T100" s="121"/>
      <c r="U100" s="121"/>
      <c r="V100" s="121"/>
      <c r="W100" s="121"/>
      <c r="X100" s="121"/>
      <c r="Y100" s="121"/>
      <c r="Z100" s="121"/>
    </row>
    <row r="101" spans="1:26" ht="11.25" customHeight="1" x14ac:dyDescent="0.3">
      <c r="A101" s="121"/>
      <c r="B101" s="121"/>
      <c r="C101" s="121"/>
      <c r="D101" s="121"/>
      <c r="E101" s="121"/>
      <c r="F101" s="121"/>
      <c r="G101" s="121"/>
      <c r="H101" s="121"/>
      <c r="I101" s="121"/>
      <c r="J101" s="121"/>
      <c r="K101" s="121"/>
      <c r="L101" s="121"/>
      <c r="M101" s="121"/>
      <c r="N101" s="121"/>
      <c r="O101" s="121"/>
      <c r="P101" s="121"/>
      <c r="Q101" s="121"/>
      <c r="R101" s="121"/>
      <c r="S101" s="121"/>
      <c r="T101" s="121"/>
      <c r="U101" s="121"/>
      <c r="V101" s="121"/>
      <c r="W101" s="121"/>
      <c r="X101" s="121"/>
      <c r="Y101" s="121"/>
      <c r="Z101" s="121"/>
    </row>
    <row r="102" spans="1:26" ht="11.25" customHeight="1" x14ac:dyDescent="0.3">
      <c r="A102" s="121"/>
      <c r="B102" s="121"/>
      <c r="C102" s="121"/>
      <c r="D102" s="121"/>
      <c r="E102" s="121"/>
      <c r="F102" s="121"/>
      <c r="G102" s="121"/>
      <c r="H102" s="121"/>
      <c r="I102" s="121"/>
      <c r="J102" s="121"/>
      <c r="K102" s="121"/>
      <c r="L102" s="121"/>
      <c r="M102" s="121"/>
      <c r="N102" s="121"/>
      <c r="O102" s="121"/>
      <c r="P102" s="121"/>
      <c r="Q102" s="121"/>
      <c r="R102" s="121"/>
      <c r="S102" s="121"/>
      <c r="T102" s="121"/>
      <c r="U102" s="121"/>
      <c r="V102" s="121"/>
      <c r="W102" s="121"/>
      <c r="X102" s="121"/>
      <c r="Y102" s="121"/>
      <c r="Z102" s="121"/>
    </row>
    <row r="103" spans="1:26" ht="11.25" customHeight="1" x14ac:dyDescent="0.3">
      <c r="A103" s="121"/>
      <c r="B103" s="121"/>
      <c r="C103" s="121"/>
      <c r="D103" s="121"/>
      <c r="E103" s="121"/>
      <c r="F103" s="121"/>
      <c r="G103" s="121"/>
      <c r="H103" s="121"/>
      <c r="I103" s="121"/>
      <c r="J103" s="121"/>
      <c r="K103" s="121"/>
      <c r="L103" s="121"/>
      <c r="M103" s="121"/>
      <c r="N103" s="121"/>
      <c r="O103" s="121"/>
      <c r="P103" s="121"/>
      <c r="Q103" s="121"/>
      <c r="R103" s="121"/>
      <c r="S103" s="121"/>
      <c r="T103" s="121"/>
      <c r="U103" s="121"/>
      <c r="V103" s="121"/>
      <c r="W103" s="121"/>
      <c r="X103" s="121"/>
      <c r="Y103" s="121"/>
      <c r="Z103" s="121"/>
    </row>
    <row r="104" spans="1:26" ht="11.25" customHeight="1" x14ac:dyDescent="0.3">
      <c r="A104" s="121"/>
      <c r="B104" s="121"/>
      <c r="C104" s="121"/>
      <c r="D104" s="121"/>
      <c r="E104" s="121"/>
      <c r="F104" s="121"/>
      <c r="G104" s="121"/>
      <c r="H104" s="121"/>
      <c r="I104" s="121"/>
      <c r="J104" s="121"/>
      <c r="K104" s="121"/>
      <c r="L104" s="121"/>
      <c r="M104" s="121"/>
      <c r="N104" s="121"/>
      <c r="O104" s="121"/>
      <c r="P104" s="121"/>
      <c r="Q104" s="121"/>
      <c r="R104" s="121"/>
      <c r="S104" s="121"/>
      <c r="T104" s="121"/>
      <c r="U104" s="121"/>
      <c r="V104" s="121"/>
      <c r="W104" s="121"/>
      <c r="X104" s="121"/>
      <c r="Y104" s="121"/>
      <c r="Z104" s="121"/>
    </row>
    <row r="105" spans="1:26" ht="11.25" customHeight="1" x14ac:dyDescent="0.3">
      <c r="A105" s="121"/>
      <c r="B105" s="121"/>
      <c r="C105" s="121"/>
      <c r="D105" s="121"/>
      <c r="E105" s="121"/>
      <c r="F105" s="121"/>
      <c r="G105" s="121"/>
      <c r="H105" s="121"/>
      <c r="I105" s="121"/>
      <c r="J105" s="121"/>
      <c r="K105" s="121"/>
      <c r="L105" s="121"/>
      <c r="M105" s="121"/>
      <c r="N105" s="121"/>
      <c r="O105" s="121"/>
      <c r="P105" s="121"/>
      <c r="Q105" s="121"/>
      <c r="R105" s="121"/>
      <c r="S105" s="121"/>
      <c r="T105" s="121"/>
      <c r="U105" s="121"/>
      <c r="V105" s="121"/>
      <c r="W105" s="121"/>
      <c r="X105" s="121"/>
      <c r="Y105" s="121"/>
      <c r="Z105" s="121"/>
    </row>
    <row r="106" spans="1:26" ht="11.25" customHeight="1" x14ac:dyDescent="0.3">
      <c r="A106" s="121"/>
      <c r="B106" s="121"/>
      <c r="C106" s="121"/>
      <c r="D106" s="121"/>
      <c r="E106" s="121"/>
      <c r="F106" s="121"/>
      <c r="G106" s="121"/>
      <c r="H106" s="121"/>
      <c r="I106" s="121"/>
      <c r="J106" s="121"/>
      <c r="K106" s="121"/>
      <c r="L106" s="121"/>
      <c r="M106" s="121"/>
      <c r="N106" s="121"/>
      <c r="O106" s="121"/>
      <c r="P106" s="121"/>
      <c r="Q106" s="121"/>
      <c r="R106" s="121"/>
      <c r="S106" s="121"/>
      <c r="T106" s="121"/>
      <c r="U106" s="121"/>
      <c r="V106" s="121"/>
      <c r="W106" s="121"/>
      <c r="X106" s="121"/>
      <c r="Y106" s="121"/>
      <c r="Z106" s="121"/>
    </row>
    <row r="107" spans="1:26" ht="11.25" customHeight="1" x14ac:dyDescent="0.3">
      <c r="A107" s="121"/>
      <c r="B107" s="121"/>
      <c r="C107" s="121"/>
      <c r="D107" s="121"/>
      <c r="E107" s="121"/>
      <c r="F107" s="121"/>
      <c r="G107" s="121"/>
      <c r="H107" s="121"/>
      <c r="I107" s="121"/>
      <c r="J107" s="121"/>
      <c r="K107" s="121"/>
      <c r="L107" s="121"/>
      <c r="M107" s="121"/>
      <c r="N107" s="121"/>
      <c r="O107" s="121"/>
      <c r="P107" s="121"/>
      <c r="Q107" s="121"/>
      <c r="R107" s="121"/>
      <c r="S107" s="121"/>
      <c r="T107" s="121"/>
      <c r="U107" s="121"/>
      <c r="V107" s="121"/>
      <c r="W107" s="121"/>
      <c r="X107" s="121"/>
      <c r="Y107" s="121"/>
      <c r="Z107" s="121"/>
    </row>
    <row r="108" spans="1:26" ht="11.25" customHeight="1" x14ac:dyDescent="0.3">
      <c r="A108" s="121"/>
      <c r="B108" s="121"/>
      <c r="C108" s="121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1"/>
      <c r="O108" s="121"/>
      <c r="P108" s="121"/>
      <c r="Q108" s="121"/>
      <c r="R108" s="121"/>
      <c r="S108" s="121"/>
      <c r="T108" s="121"/>
      <c r="U108" s="121"/>
      <c r="V108" s="121"/>
      <c r="W108" s="121"/>
      <c r="X108" s="121"/>
      <c r="Y108" s="121"/>
      <c r="Z108" s="121"/>
    </row>
    <row r="109" spans="1:26" ht="11.25" customHeight="1" x14ac:dyDescent="0.3">
      <c r="A109" s="121"/>
      <c r="B109" s="121"/>
      <c r="C109" s="121"/>
      <c r="D109" s="121"/>
      <c r="E109" s="121"/>
      <c r="F109" s="121"/>
      <c r="G109" s="121"/>
      <c r="H109" s="121"/>
      <c r="I109" s="121"/>
      <c r="J109" s="121"/>
      <c r="K109" s="121"/>
      <c r="L109" s="121"/>
      <c r="M109" s="121"/>
      <c r="N109" s="121"/>
      <c r="O109" s="121"/>
      <c r="P109" s="121"/>
      <c r="Q109" s="121"/>
      <c r="R109" s="121"/>
      <c r="S109" s="121"/>
      <c r="T109" s="121"/>
      <c r="U109" s="121"/>
      <c r="V109" s="121"/>
      <c r="W109" s="121"/>
      <c r="X109" s="121"/>
      <c r="Y109" s="121"/>
      <c r="Z109" s="121"/>
    </row>
    <row r="110" spans="1:26" ht="11.25" customHeight="1" x14ac:dyDescent="0.3">
      <c r="A110" s="121"/>
      <c r="B110" s="121"/>
      <c r="C110" s="121"/>
      <c r="D110" s="121"/>
      <c r="E110" s="121"/>
      <c r="F110" s="121"/>
      <c r="G110" s="121"/>
      <c r="H110" s="121"/>
      <c r="I110" s="121"/>
      <c r="J110" s="121"/>
      <c r="K110" s="121"/>
      <c r="L110" s="121"/>
      <c r="M110" s="121"/>
      <c r="N110" s="121"/>
      <c r="O110" s="121"/>
      <c r="P110" s="121"/>
      <c r="Q110" s="121"/>
      <c r="R110" s="121"/>
      <c r="S110" s="121"/>
      <c r="T110" s="121"/>
      <c r="U110" s="121"/>
      <c r="V110" s="121"/>
      <c r="W110" s="121"/>
      <c r="X110" s="121"/>
      <c r="Y110" s="121"/>
      <c r="Z110" s="121"/>
    </row>
    <row r="111" spans="1:26" ht="11.25" customHeight="1" x14ac:dyDescent="0.3">
      <c r="A111" s="121"/>
      <c r="B111" s="121"/>
      <c r="C111" s="121"/>
      <c r="D111" s="121"/>
      <c r="E111" s="121"/>
      <c r="F111" s="121"/>
      <c r="G111" s="121"/>
      <c r="H111" s="121"/>
      <c r="I111" s="121"/>
      <c r="J111" s="121"/>
      <c r="K111" s="121"/>
      <c r="L111" s="121"/>
      <c r="M111" s="121"/>
      <c r="N111" s="121"/>
      <c r="O111" s="121"/>
      <c r="P111" s="121"/>
      <c r="Q111" s="121"/>
      <c r="R111" s="121"/>
      <c r="S111" s="121"/>
      <c r="T111" s="121"/>
      <c r="U111" s="121"/>
      <c r="V111" s="121"/>
      <c r="W111" s="121"/>
      <c r="X111" s="121"/>
      <c r="Y111" s="121"/>
      <c r="Z111" s="121"/>
    </row>
    <row r="112" spans="1:26" ht="11.25" customHeight="1" x14ac:dyDescent="0.3">
      <c r="A112" s="121"/>
      <c r="B112" s="121"/>
      <c r="C112" s="121"/>
      <c r="D112" s="121"/>
      <c r="E112" s="121"/>
      <c r="F112" s="121"/>
      <c r="G112" s="121"/>
      <c r="H112" s="121"/>
      <c r="I112" s="121"/>
      <c r="J112" s="121"/>
      <c r="K112" s="121"/>
      <c r="L112" s="121"/>
      <c r="M112" s="121"/>
      <c r="N112" s="121"/>
      <c r="O112" s="121"/>
      <c r="P112" s="121"/>
      <c r="Q112" s="121"/>
      <c r="R112" s="121"/>
      <c r="S112" s="121"/>
      <c r="T112" s="121"/>
      <c r="U112" s="121"/>
      <c r="V112" s="121"/>
      <c r="W112" s="121"/>
      <c r="X112" s="121"/>
      <c r="Y112" s="121"/>
      <c r="Z112" s="121"/>
    </row>
    <row r="113" spans="1:26" ht="11.25" customHeight="1" x14ac:dyDescent="0.3">
      <c r="A113" s="121"/>
      <c r="B113" s="121"/>
      <c r="C113" s="121"/>
      <c r="D113" s="121"/>
      <c r="E113" s="121"/>
      <c r="F113" s="121"/>
      <c r="G113" s="121"/>
      <c r="H113" s="121"/>
      <c r="I113" s="121"/>
      <c r="J113" s="121"/>
      <c r="K113" s="121"/>
      <c r="L113" s="121"/>
      <c r="M113" s="121"/>
      <c r="N113" s="121"/>
      <c r="O113" s="121"/>
      <c r="P113" s="121"/>
      <c r="Q113" s="121"/>
      <c r="R113" s="121"/>
      <c r="S113" s="121"/>
      <c r="T113" s="121"/>
      <c r="U113" s="121"/>
      <c r="V113" s="121"/>
      <c r="W113" s="121"/>
      <c r="X113" s="121"/>
      <c r="Y113" s="121"/>
      <c r="Z113" s="121"/>
    </row>
    <row r="114" spans="1:26" ht="11.25" customHeight="1" x14ac:dyDescent="0.3">
      <c r="A114" s="121"/>
      <c r="B114" s="121"/>
      <c r="C114" s="121"/>
      <c r="D114" s="121"/>
      <c r="E114" s="121"/>
      <c r="F114" s="121"/>
      <c r="G114" s="121"/>
      <c r="H114" s="121"/>
      <c r="I114" s="121"/>
      <c r="J114" s="121"/>
      <c r="K114" s="121"/>
      <c r="L114" s="121"/>
      <c r="M114" s="121"/>
      <c r="N114" s="121"/>
      <c r="O114" s="121"/>
      <c r="P114" s="121"/>
      <c r="Q114" s="121"/>
      <c r="R114" s="121"/>
      <c r="S114" s="121"/>
      <c r="T114" s="121"/>
      <c r="U114" s="121"/>
      <c r="V114" s="121"/>
      <c r="W114" s="121"/>
      <c r="X114" s="121"/>
      <c r="Y114" s="121"/>
      <c r="Z114" s="121"/>
    </row>
    <row r="115" spans="1:26" ht="11.25" customHeight="1" x14ac:dyDescent="0.3">
      <c r="A115" s="121"/>
      <c r="B115" s="121"/>
      <c r="C115" s="121"/>
      <c r="D115" s="121"/>
      <c r="E115" s="121"/>
      <c r="F115" s="121"/>
      <c r="G115" s="121"/>
      <c r="H115" s="121"/>
      <c r="I115" s="121"/>
      <c r="J115" s="121"/>
      <c r="K115" s="121"/>
      <c r="L115" s="121"/>
      <c r="M115" s="121"/>
      <c r="N115" s="121"/>
      <c r="O115" s="121"/>
      <c r="P115" s="121"/>
      <c r="Q115" s="121"/>
      <c r="R115" s="121"/>
      <c r="S115" s="121"/>
      <c r="T115" s="121"/>
      <c r="U115" s="121"/>
      <c r="V115" s="121"/>
      <c r="W115" s="121"/>
      <c r="X115" s="121"/>
      <c r="Y115" s="121"/>
      <c r="Z115" s="121"/>
    </row>
    <row r="116" spans="1:26" ht="11.25" customHeight="1" x14ac:dyDescent="0.3">
      <c r="A116" s="121"/>
      <c r="B116" s="121"/>
      <c r="C116" s="121"/>
      <c r="D116" s="121"/>
      <c r="E116" s="121"/>
      <c r="F116" s="121"/>
      <c r="G116" s="121"/>
      <c r="H116" s="121"/>
      <c r="I116" s="121"/>
      <c r="J116" s="121"/>
      <c r="K116" s="121"/>
      <c r="L116" s="121"/>
      <c r="M116" s="121"/>
      <c r="N116" s="121"/>
      <c r="O116" s="121"/>
      <c r="P116" s="121"/>
      <c r="Q116" s="121"/>
      <c r="R116" s="121"/>
      <c r="S116" s="121"/>
      <c r="T116" s="121"/>
      <c r="U116" s="121"/>
      <c r="V116" s="121"/>
      <c r="W116" s="121"/>
      <c r="X116" s="121"/>
      <c r="Y116" s="121"/>
      <c r="Z116" s="121"/>
    </row>
    <row r="117" spans="1:26" ht="11.25" customHeight="1" x14ac:dyDescent="0.3">
      <c r="A117" s="121"/>
      <c r="B117" s="121"/>
      <c r="C117" s="121"/>
      <c r="D117" s="121"/>
      <c r="E117" s="121"/>
      <c r="F117" s="121"/>
      <c r="G117" s="121"/>
      <c r="H117" s="121"/>
      <c r="I117" s="121"/>
      <c r="J117" s="121"/>
      <c r="K117" s="121"/>
      <c r="L117" s="121"/>
      <c r="M117" s="121"/>
      <c r="N117" s="121"/>
      <c r="O117" s="121"/>
      <c r="P117" s="121"/>
      <c r="Q117" s="121"/>
      <c r="R117" s="121"/>
      <c r="S117" s="121"/>
      <c r="T117" s="121"/>
      <c r="U117" s="121"/>
      <c r="V117" s="121"/>
      <c r="W117" s="121"/>
      <c r="X117" s="121"/>
      <c r="Y117" s="121"/>
      <c r="Z117" s="121"/>
    </row>
    <row r="118" spans="1:26" ht="11.25" customHeight="1" x14ac:dyDescent="0.3">
      <c r="A118" s="121"/>
      <c r="B118" s="121"/>
      <c r="C118" s="121"/>
      <c r="D118" s="121"/>
      <c r="E118" s="121"/>
      <c r="F118" s="121"/>
      <c r="G118" s="121"/>
      <c r="H118" s="121"/>
      <c r="I118" s="121"/>
      <c r="J118" s="121"/>
      <c r="K118" s="121"/>
      <c r="L118" s="121"/>
      <c r="M118" s="121"/>
      <c r="N118" s="121"/>
      <c r="O118" s="121"/>
      <c r="P118" s="121"/>
      <c r="Q118" s="121"/>
      <c r="R118" s="121"/>
      <c r="S118" s="121"/>
      <c r="T118" s="121"/>
      <c r="U118" s="121"/>
      <c r="V118" s="121"/>
      <c r="W118" s="121"/>
      <c r="X118" s="121"/>
      <c r="Y118" s="121"/>
      <c r="Z118" s="121"/>
    </row>
    <row r="119" spans="1:26" ht="11.25" customHeight="1" x14ac:dyDescent="0.3">
      <c r="A119" s="121"/>
      <c r="B119" s="121"/>
      <c r="C119" s="121"/>
      <c r="D119" s="121"/>
      <c r="E119" s="121"/>
      <c r="F119" s="121"/>
      <c r="G119" s="121"/>
      <c r="H119" s="121"/>
      <c r="I119" s="121"/>
      <c r="J119" s="121"/>
      <c r="K119" s="121"/>
      <c r="L119" s="121"/>
      <c r="M119" s="121"/>
      <c r="N119" s="121"/>
      <c r="O119" s="121"/>
      <c r="P119" s="121"/>
      <c r="Q119" s="121"/>
      <c r="R119" s="121"/>
      <c r="S119" s="121"/>
      <c r="T119" s="121"/>
      <c r="U119" s="121"/>
      <c r="V119" s="121"/>
      <c r="W119" s="121"/>
      <c r="X119" s="121"/>
      <c r="Y119" s="121"/>
      <c r="Z119" s="121"/>
    </row>
    <row r="120" spans="1:26" ht="11.25" customHeight="1" x14ac:dyDescent="0.3">
      <c r="A120" s="121"/>
      <c r="B120" s="121"/>
      <c r="C120" s="121"/>
      <c r="D120" s="121"/>
      <c r="E120" s="121"/>
      <c r="F120" s="121"/>
      <c r="G120" s="121"/>
      <c r="H120" s="121"/>
      <c r="I120" s="121"/>
      <c r="J120" s="121"/>
      <c r="K120" s="121"/>
      <c r="L120" s="121"/>
      <c r="M120" s="121"/>
      <c r="N120" s="121"/>
      <c r="O120" s="121"/>
      <c r="P120" s="121"/>
      <c r="Q120" s="121"/>
      <c r="R120" s="121"/>
      <c r="S120" s="121"/>
      <c r="T120" s="121"/>
      <c r="U120" s="121"/>
      <c r="V120" s="121"/>
      <c r="W120" s="121"/>
      <c r="X120" s="121"/>
      <c r="Y120" s="121"/>
      <c r="Z120" s="121"/>
    </row>
    <row r="121" spans="1:26" ht="11.25" customHeight="1" x14ac:dyDescent="0.3">
      <c r="A121" s="121"/>
      <c r="B121" s="121"/>
      <c r="C121" s="121"/>
      <c r="D121" s="121"/>
      <c r="E121" s="121"/>
      <c r="F121" s="121"/>
      <c r="G121" s="121"/>
      <c r="H121" s="121"/>
      <c r="I121" s="121"/>
      <c r="J121" s="121"/>
      <c r="K121" s="121"/>
      <c r="L121" s="121"/>
      <c r="M121" s="121"/>
      <c r="N121" s="121"/>
      <c r="O121" s="121"/>
      <c r="P121" s="121"/>
      <c r="Q121" s="121"/>
      <c r="R121" s="121"/>
      <c r="S121" s="121"/>
      <c r="T121" s="121"/>
      <c r="U121" s="121"/>
      <c r="V121" s="121"/>
      <c r="W121" s="121"/>
      <c r="X121" s="121"/>
      <c r="Y121" s="121"/>
      <c r="Z121" s="121"/>
    </row>
    <row r="122" spans="1:26" ht="11.25" customHeight="1" x14ac:dyDescent="0.3">
      <c r="A122" s="121"/>
      <c r="B122" s="121"/>
      <c r="C122" s="121"/>
      <c r="D122" s="121"/>
      <c r="E122" s="121"/>
      <c r="F122" s="121"/>
      <c r="G122" s="121"/>
      <c r="H122" s="121"/>
      <c r="I122" s="121"/>
      <c r="J122" s="121"/>
      <c r="K122" s="121"/>
      <c r="L122" s="121"/>
      <c r="M122" s="121"/>
      <c r="N122" s="121"/>
      <c r="O122" s="121"/>
      <c r="P122" s="121"/>
      <c r="Q122" s="121"/>
      <c r="R122" s="121"/>
      <c r="S122" s="121"/>
      <c r="T122" s="121"/>
      <c r="U122" s="121"/>
      <c r="V122" s="121"/>
      <c r="W122" s="121"/>
      <c r="X122" s="121"/>
      <c r="Y122" s="121"/>
      <c r="Z122" s="121"/>
    </row>
    <row r="123" spans="1:26" ht="11.25" customHeight="1" x14ac:dyDescent="0.3">
      <c r="A123" s="121"/>
      <c r="B123" s="121"/>
      <c r="C123" s="121"/>
      <c r="D123" s="121"/>
      <c r="E123" s="121"/>
      <c r="F123" s="121"/>
      <c r="G123" s="121"/>
      <c r="H123" s="121"/>
      <c r="I123" s="121"/>
      <c r="J123" s="121"/>
      <c r="K123" s="121"/>
      <c r="L123" s="121"/>
      <c r="M123" s="121"/>
      <c r="N123" s="121"/>
      <c r="O123" s="121"/>
      <c r="P123" s="121"/>
      <c r="Q123" s="121"/>
      <c r="R123" s="121"/>
      <c r="S123" s="121"/>
      <c r="T123" s="121"/>
      <c r="U123" s="121"/>
      <c r="V123" s="121"/>
      <c r="W123" s="121"/>
      <c r="X123" s="121"/>
      <c r="Y123" s="121"/>
      <c r="Z123" s="121"/>
    </row>
    <row r="124" spans="1:26" ht="11.25" customHeight="1" x14ac:dyDescent="0.3">
      <c r="A124" s="121"/>
      <c r="B124" s="121"/>
      <c r="C124" s="121"/>
      <c r="D124" s="121"/>
      <c r="E124" s="121"/>
      <c r="F124" s="121"/>
      <c r="G124" s="121"/>
      <c r="H124" s="121"/>
      <c r="I124" s="121"/>
      <c r="J124" s="121"/>
      <c r="K124" s="121"/>
      <c r="L124" s="121"/>
      <c r="M124" s="121"/>
      <c r="N124" s="121"/>
      <c r="O124" s="121"/>
      <c r="P124" s="121"/>
      <c r="Q124" s="121"/>
      <c r="R124" s="121"/>
      <c r="S124" s="121"/>
      <c r="T124" s="121"/>
      <c r="U124" s="121"/>
      <c r="V124" s="121"/>
      <c r="W124" s="121"/>
      <c r="X124" s="121"/>
      <c r="Y124" s="121"/>
      <c r="Z124" s="121"/>
    </row>
    <row r="125" spans="1:26" ht="11.25" customHeight="1" x14ac:dyDescent="0.3">
      <c r="A125" s="121"/>
      <c r="B125" s="121"/>
      <c r="C125" s="121"/>
      <c r="D125" s="121"/>
      <c r="E125" s="121"/>
      <c r="F125" s="121"/>
      <c r="G125" s="121"/>
      <c r="H125" s="121"/>
      <c r="I125" s="121"/>
      <c r="J125" s="121"/>
      <c r="K125" s="121"/>
      <c r="L125" s="121"/>
      <c r="M125" s="121"/>
      <c r="N125" s="121"/>
      <c r="O125" s="121"/>
      <c r="P125" s="121"/>
      <c r="Q125" s="121"/>
      <c r="R125" s="121"/>
      <c r="S125" s="121"/>
      <c r="T125" s="121"/>
      <c r="U125" s="121"/>
      <c r="V125" s="121"/>
      <c r="W125" s="121"/>
      <c r="X125" s="121"/>
      <c r="Y125" s="121"/>
      <c r="Z125" s="121"/>
    </row>
    <row r="126" spans="1:26" ht="11.25" customHeight="1" x14ac:dyDescent="0.3">
      <c r="A126" s="121"/>
      <c r="B126" s="121"/>
      <c r="C126" s="121"/>
      <c r="D126" s="121"/>
      <c r="E126" s="121"/>
      <c r="F126" s="121"/>
      <c r="G126" s="121"/>
      <c r="H126" s="121"/>
      <c r="I126" s="121"/>
      <c r="J126" s="121"/>
      <c r="K126" s="121"/>
      <c r="L126" s="121"/>
      <c r="M126" s="121"/>
      <c r="N126" s="121"/>
      <c r="O126" s="121"/>
      <c r="P126" s="121"/>
      <c r="Q126" s="121"/>
      <c r="R126" s="121"/>
      <c r="S126" s="121"/>
      <c r="T126" s="121"/>
      <c r="U126" s="121"/>
      <c r="V126" s="121"/>
      <c r="W126" s="121"/>
      <c r="X126" s="121"/>
      <c r="Y126" s="121"/>
      <c r="Z126" s="121"/>
    </row>
    <row r="127" spans="1:26" ht="11.25" customHeight="1" x14ac:dyDescent="0.3">
      <c r="A127" s="121"/>
      <c r="B127" s="121"/>
      <c r="C127" s="121"/>
      <c r="D127" s="121"/>
      <c r="E127" s="121"/>
      <c r="F127" s="121"/>
      <c r="G127" s="121"/>
      <c r="H127" s="121"/>
      <c r="I127" s="121"/>
      <c r="J127" s="121"/>
      <c r="K127" s="121"/>
      <c r="L127" s="121"/>
      <c r="M127" s="121"/>
      <c r="N127" s="121"/>
      <c r="O127" s="121"/>
      <c r="P127" s="121"/>
      <c r="Q127" s="121"/>
      <c r="R127" s="121"/>
      <c r="S127" s="121"/>
      <c r="T127" s="121"/>
      <c r="U127" s="121"/>
      <c r="V127" s="121"/>
      <c r="W127" s="121"/>
      <c r="X127" s="121"/>
      <c r="Y127" s="121"/>
      <c r="Z127" s="121"/>
    </row>
    <row r="128" spans="1:26" ht="11.25" customHeight="1" x14ac:dyDescent="0.3">
      <c r="A128" s="121"/>
      <c r="B128" s="121"/>
      <c r="C128" s="121"/>
      <c r="D128" s="121"/>
      <c r="E128" s="121"/>
      <c r="F128" s="121"/>
      <c r="G128" s="121"/>
      <c r="H128" s="121"/>
      <c r="I128" s="121"/>
      <c r="J128" s="121"/>
      <c r="K128" s="121"/>
      <c r="L128" s="121"/>
      <c r="M128" s="121"/>
      <c r="N128" s="121"/>
      <c r="O128" s="121"/>
      <c r="P128" s="121"/>
      <c r="Q128" s="121"/>
      <c r="R128" s="121"/>
      <c r="S128" s="121"/>
      <c r="T128" s="121"/>
      <c r="U128" s="121"/>
      <c r="V128" s="121"/>
      <c r="W128" s="121"/>
      <c r="X128" s="121"/>
      <c r="Y128" s="121"/>
      <c r="Z128" s="121"/>
    </row>
    <row r="129" spans="1:26" ht="11.25" customHeight="1" x14ac:dyDescent="0.3">
      <c r="A129" s="121"/>
      <c r="B129" s="121"/>
      <c r="C129" s="121"/>
      <c r="D129" s="121"/>
      <c r="E129" s="121"/>
      <c r="F129" s="121"/>
      <c r="G129" s="121"/>
      <c r="H129" s="121"/>
      <c r="I129" s="121"/>
      <c r="J129" s="121"/>
      <c r="K129" s="121"/>
      <c r="L129" s="121"/>
      <c r="M129" s="121"/>
      <c r="N129" s="121"/>
      <c r="O129" s="121"/>
      <c r="P129" s="121"/>
      <c r="Q129" s="121"/>
      <c r="R129" s="121"/>
      <c r="S129" s="121"/>
      <c r="T129" s="121"/>
      <c r="U129" s="121"/>
      <c r="V129" s="121"/>
      <c r="W129" s="121"/>
      <c r="X129" s="121"/>
      <c r="Y129" s="121"/>
      <c r="Z129" s="121"/>
    </row>
    <row r="130" spans="1:26" ht="11.25" customHeight="1" x14ac:dyDescent="0.3">
      <c r="A130" s="121"/>
      <c r="B130" s="121"/>
      <c r="C130" s="121"/>
      <c r="D130" s="121"/>
      <c r="E130" s="121"/>
      <c r="F130" s="121"/>
      <c r="G130" s="121"/>
      <c r="H130" s="121"/>
      <c r="I130" s="121"/>
      <c r="J130" s="121"/>
      <c r="K130" s="121"/>
      <c r="L130" s="121"/>
      <c r="M130" s="121"/>
      <c r="N130" s="121"/>
      <c r="O130" s="121"/>
      <c r="P130" s="121"/>
      <c r="Q130" s="121"/>
      <c r="R130" s="121"/>
      <c r="S130" s="121"/>
      <c r="T130" s="121"/>
      <c r="U130" s="121"/>
      <c r="V130" s="121"/>
      <c r="W130" s="121"/>
      <c r="X130" s="121"/>
      <c r="Y130" s="121"/>
      <c r="Z130" s="121"/>
    </row>
    <row r="131" spans="1:26" ht="11.25" customHeight="1" x14ac:dyDescent="0.3">
      <c r="A131" s="121"/>
      <c r="B131" s="121"/>
      <c r="C131" s="121"/>
      <c r="D131" s="121"/>
      <c r="E131" s="121"/>
      <c r="F131" s="121"/>
      <c r="G131" s="121"/>
      <c r="H131" s="121"/>
      <c r="I131" s="121"/>
      <c r="J131" s="121"/>
      <c r="K131" s="121"/>
      <c r="L131" s="121"/>
      <c r="M131" s="121"/>
      <c r="N131" s="121"/>
      <c r="O131" s="121"/>
      <c r="P131" s="121"/>
      <c r="Q131" s="121"/>
      <c r="R131" s="121"/>
      <c r="S131" s="121"/>
      <c r="T131" s="121"/>
      <c r="U131" s="121"/>
      <c r="V131" s="121"/>
      <c r="W131" s="121"/>
      <c r="X131" s="121"/>
      <c r="Y131" s="121"/>
      <c r="Z131" s="121"/>
    </row>
    <row r="132" spans="1:26" ht="11.25" customHeight="1" x14ac:dyDescent="0.3">
      <c r="A132" s="121"/>
      <c r="B132" s="121"/>
      <c r="C132" s="121"/>
      <c r="D132" s="121"/>
      <c r="E132" s="121"/>
      <c r="F132" s="121"/>
      <c r="G132" s="121"/>
      <c r="H132" s="121"/>
      <c r="I132" s="121"/>
      <c r="J132" s="121"/>
      <c r="K132" s="121"/>
      <c r="L132" s="121"/>
      <c r="M132" s="121"/>
      <c r="N132" s="121"/>
      <c r="O132" s="121"/>
      <c r="P132" s="121"/>
      <c r="Q132" s="121"/>
      <c r="R132" s="121"/>
      <c r="S132" s="121"/>
      <c r="T132" s="121"/>
      <c r="U132" s="121"/>
      <c r="V132" s="121"/>
      <c r="W132" s="121"/>
      <c r="X132" s="121"/>
      <c r="Y132" s="121"/>
      <c r="Z132" s="121"/>
    </row>
    <row r="133" spans="1:26" ht="11.25" customHeight="1" x14ac:dyDescent="0.3">
      <c r="A133" s="121"/>
      <c r="B133" s="121"/>
      <c r="C133" s="121"/>
      <c r="D133" s="121"/>
      <c r="E133" s="121"/>
      <c r="F133" s="121"/>
      <c r="G133" s="121"/>
      <c r="H133" s="121"/>
      <c r="I133" s="121"/>
      <c r="J133" s="121"/>
      <c r="K133" s="121"/>
      <c r="L133" s="121"/>
      <c r="M133" s="121"/>
      <c r="N133" s="121"/>
      <c r="O133" s="121"/>
      <c r="P133" s="121"/>
      <c r="Q133" s="121"/>
      <c r="R133" s="121"/>
      <c r="S133" s="121"/>
      <c r="T133" s="121"/>
      <c r="U133" s="121"/>
      <c r="V133" s="121"/>
      <c r="W133" s="121"/>
      <c r="X133" s="121"/>
      <c r="Y133" s="121"/>
      <c r="Z133" s="121"/>
    </row>
    <row r="134" spans="1:26" ht="11.25" customHeight="1" x14ac:dyDescent="0.3">
      <c r="A134" s="121"/>
      <c r="B134" s="121"/>
      <c r="C134" s="121"/>
      <c r="D134" s="121"/>
      <c r="E134" s="121"/>
      <c r="F134" s="121"/>
      <c r="G134" s="121"/>
      <c r="H134" s="121"/>
      <c r="I134" s="121"/>
      <c r="J134" s="121"/>
      <c r="K134" s="121"/>
      <c r="L134" s="121"/>
      <c r="M134" s="121"/>
      <c r="N134" s="121"/>
      <c r="O134" s="121"/>
      <c r="P134" s="121"/>
      <c r="Q134" s="121"/>
      <c r="R134" s="121"/>
      <c r="S134" s="121"/>
      <c r="T134" s="121"/>
      <c r="U134" s="121"/>
      <c r="V134" s="121"/>
      <c r="W134" s="121"/>
      <c r="X134" s="121"/>
      <c r="Y134" s="121"/>
      <c r="Z134" s="121"/>
    </row>
    <row r="135" spans="1:26" ht="11.25" customHeight="1" x14ac:dyDescent="0.3">
      <c r="A135" s="121"/>
      <c r="B135" s="121"/>
      <c r="C135" s="121"/>
      <c r="D135" s="121"/>
      <c r="E135" s="121"/>
      <c r="F135" s="121"/>
      <c r="G135" s="121"/>
      <c r="H135" s="121"/>
      <c r="I135" s="121"/>
      <c r="J135" s="121"/>
      <c r="K135" s="121"/>
      <c r="L135" s="121"/>
      <c r="M135" s="121"/>
      <c r="N135" s="121"/>
      <c r="O135" s="121"/>
      <c r="P135" s="121"/>
      <c r="Q135" s="121"/>
      <c r="R135" s="121"/>
      <c r="S135" s="121"/>
      <c r="T135" s="121"/>
      <c r="U135" s="121"/>
      <c r="V135" s="121"/>
      <c r="W135" s="121"/>
      <c r="X135" s="121"/>
      <c r="Y135" s="121"/>
      <c r="Z135" s="121"/>
    </row>
    <row r="136" spans="1:26" ht="11.25" customHeight="1" x14ac:dyDescent="0.3">
      <c r="A136" s="121"/>
      <c r="B136" s="121"/>
      <c r="C136" s="121"/>
      <c r="D136" s="121"/>
      <c r="E136" s="121"/>
      <c r="F136" s="121"/>
      <c r="G136" s="121"/>
      <c r="H136" s="121"/>
      <c r="I136" s="121"/>
      <c r="J136" s="121"/>
      <c r="K136" s="121"/>
      <c r="L136" s="121"/>
      <c r="M136" s="121"/>
      <c r="N136" s="121"/>
      <c r="O136" s="121"/>
      <c r="P136" s="121"/>
      <c r="Q136" s="121"/>
      <c r="R136" s="121"/>
      <c r="S136" s="121"/>
      <c r="T136" s="121"/>
      <c r="U136" s="121"/>
      <c r="V136" s="121"/>
      <c r="W136" s="121"/>
      <c r="X136" s="121"/>
      <c r="Y136" s="121"/>
      <c r="Z136" s="121"/>
    </row>
    <row r="137" spans="1:26" ht="11.25" customHeight="1" x14ac:dyDescent="0.3">
      <c r="A137" s="121"/>
      <c r="B137" s="121"/>
      <c r="C137" s="121"/>
      <c r="D137" s="121"/>
      <c r="E137" s="121"/>
      <c r="F137" s="121"/>
      <c r="G137" s="121"/>
      <c r="H137" s="121"/>
      <c r="I137" s="121"/>
      <c r="J137" s="121"/>
      <c r="K137" s="121"/>
      <c r="L137" s="121"/>
      <c r="M137" s="121"/>
      <c r="N137" s="121"/>
      <c r="O137" s="121"/>
      <c r="P137" s="121"/>
      <c r="Q137" s="121"/>
      <c r="R137" s="121"/>
      <c r="S137" s="121"/>
      <c r="T137" s="121"/>
      <c r="U137" s="121"/>
      <c r="V137" s="121"/>
      <c r="W137" s="121"/>
      <c r="X137" s="121"/>
      <c r="Y137" s="121"/>
      <c r="Z137" s="121"/>
    </row>
    <row r="138" spans="1:26" ht="11.25" customHeight="1" x14ac:dyDescent="0.3">
      <c r="A138" s="121"/>
      <c r="B138" s="121"/>
      <c r="C138" s="121"/>
      <c r="D138" s="121"/>
      <c r="E138" s="121"/>
      <c r="F138" s="121"/>
      <c r="G138" s="121"/>
      <c r="H138" s="121"/>
      <c r="I138" s="121"/>
      <c r="J138" s="121"/>
      <c r="K138" s="121"/>
      <c r="L138" s="121"/>
      <c r="M138" s="121"/>
      <c r="N138" s="121"/>
      <c r="O138" s="121"/>
      <c r="P138" s="121"/>
      <c r="Q138" s="121"/>
      <c r="R138" s="121"/>
      <c r="S138" s="121"/>
      <c r="T138" s="121"/>
      <c r="U138" s="121"/>
      <c r="V138" s="121"/>
      <c r="W138" s="121"/>
      <c r="X138" s="121"/>
      <c r="Y138" s="121"/>
      <c r="Z138" s="121"/>
    </row>
    <row r="139" spans="1:26" ht="11.25" customHeight="1" x14ac:dyDescent="0.3">
      <c r="A139" s="121"/>
      <c r="B139" s="121"/>
      <c r="C139" s="121"/>
      <c r="D139" s="121"/>
      <c r="E139" s="121"/>
      <c r="F139" s="121"/>
      <c r="G139" s="121"/>
      <c r="H139" s="121"/>
      <c r="I139" s="121"/>
      <c r="J139" s="121"/>
      <c r="K139" s="121"/>
      <c r="L139" s="121"/>
      <c r="M139" s="121"/>
      <c r="N139" s="121"/>
      <c r="O139" s="121"/>
      <c r="P139" s="121"/>
      <c r="Q139" s="121"/>
      <c r="R139" s="121"/>
      <c r="S139" s="121"/>
      <c r="T139" s="121"/>
      <c r="U139" s="121"/>
      <c r="V139" s="121"/>
      <c r="W139" s="121"/>
      <c r="X139" s="121"/>
      <c r="Y139" s="121"/>
      <c r="Z139" s="121"/>
    </row>
    <row r="140" spans="1:26" ht="11.25" customHeight="1" x14ac:dyDescent="0.3">
      <c r="A140" s="121"/>
      <c r="B140" s="121"/>
      <c r="C140" s="121"/>
      <c r="D140" s="121"/>
      <c r="E140" s="121"/>
      <c r="F140" s="121"/>
      <c r="G140" s="121"/>
      <c r="H140" s="121"/>
      <c r="I140" s="121"/>
      <c r="J140" s="121"/>
      <c r="K140" s="121"/>
      <c r="L140" s="121"/>
      <c r="M140" s="121"/>
      <c r="N140" s="121"/>
      <c r="O140" s="121"/>
      <c r="P140" s="121"/>
      <c r="Q140" s="121"/>
      <c r="R140" s="121"/>
      <c r="S140" s="121"/>
      <c r="T140" s="121"/>
      <c r="U140" s="121"/>
      <c r="V140" s="121"/>
      <c r="W140" s="121"/>
      <c r="X140" s="121"/>
      <c r="Y140" s="121"/>
      <c r="Z140" s="121"/>
    </row>
    <row r="141" spans="1:26" ht="11.25" customHeight="1" x14ac:dyDescent="0.3">
      <c r="A141" s="121"/>
      <c r="B141" s="121"/>
      <c r="C141" s="121"/>
      <c r="D141" s="121"/>
      <c r="E141" s="121"/>
      <c r="F141" s="121"/>
      <c r="G141" s="121"/>
      <c r="H141" s="121"/>
      <c r="I141" s="121"/>
      <c r="J141" s="121"/>
      <c r="K141" s="121"/>
      <c r="L141" s="121"/>
      <c r="M141" s="121"/>
      <c r="N141" s="121"/>
      <c r="O141" s="121"/>
      <c r="P141" s="121"/>
      <c r="Q141" s="121"/>
      <c r="R141" s="121"/>
      <c r="S141" s="121"/>
      <c r="T141" s="121"/>
      <c r="U141" s="121"/>
      <c r="V141" s="121"/>
      <c r="W141" s="121"/>
      <c r="X141" s="121"/>
      <c r="Y141" s="121"/>
      <c r="Z141" s="121"/>
    </row>
    <row r="142" spans="1:26" ht="11.25" customHeight="1" x14ac:dyDescent="0.3">
      <c r="A142" s="121"/>
      <c r="B142" s="121"/>
      <c r="C142" s="121"/>
      <c r="D142" s="121"/>
      <c r="E142" s="121"/>
      <c r="F142" s="121"/>
      <c r="G142" s="121"/>
      <c r="H142" s="121"/>
      <c r="I142" s="121"/>
      <c r="J142" s="121"/>
      <c r="K142" s="121"/>
      <c r="L142" s="121"/>
      <c r="M142" s="121"/>
      <c r="N142" s="121"/>
      <c r="O142" s="121"/>
      <c r="P142" s="121"/>
      <c r="Q142" s="121"/>
      <c r="R142" s="121"/>
      <c r="S142" s="121"/>
      <c r="T142" s="121"/>
      <c r="U142" s="121"/>
      <c r="V142" s="121"/>
      <c r="W142" s="121"/>
      <c r="X142" s="121"/>
      <c r="Y142" s="121"/>
      <c r="Z142" s="121"/>
    </row>
    <row r="143" spans="1:26" ht="11.25" customHeight="1" x14ac:dyDescent="0.3">
      <c r="A143" s="121"/>
      <c r="B143" s="121"/>
      <c r="C143" s="12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1"/>
      <c r="O143" s="121"/>
      <c r="P143" s="121"/>
      <c r="Q143" s="121"/>
      <c r="R143" s="121"/>
      <c r="S143" s="121"/>
      <c r="T143" s="121"/>
      <c r="U143" s="121"/>
      <c r="V143" s="121"/>
      <c r="W143" s="121"/>
      <c r="X143" s="121"/>
      <c r="Y143" s="121"/>
      <c r="Z143" s="121"/>
    </row>
    <row r="144" spans="1:26" ht="11.25" customHeight="1" x14ac:dyDescent="0.3">
      <c r="A144" s="121"/>
      <c r="B144" s="121"/>
      <c r="C144" s="121"/>
      <c r="D144" s="121"/>
      <c r="E144" s="121"/>
      <c r="F144" s="121"/>
      <c r="G144" s="121"/>
      <c r="H144" s="121"/>
      <c r="I144" s="121"/>
      <c r="J144" s="121"/>
      <c r="K144" s="121"/>
      <c r="L144" s="121"/>
      <c r="M144" s="121"/>
      <c r="N144" s="121"/>
      <c r="O144" s="121"/>
      <c r="P144" s="121"/>
      <c r="Q144" s="121"/>
      <c r="R144" s="121"/>
      <c r="S144" s="121"/>
      <c r="T144" s="121"/>
      <c r="U144" s="121"/>
      <c r="V144" s="121"/>
      <c r="W144" s="121"/>
      <c r="X144" s="121"/>
      <c r="Y144" s="121"/>
      <c r="Z144" s="121"/>
    </row>
    <row r="145" spans="1:26" ht="11.25" customHeight="1" x14ac:dyDescent="0.3">
      <c r="A145" s="121"/>
      <c r="B145" s="121"/>
      <c r="C145" s="121"/>
      <c r="D145" s="121"/>
      <c r="E145" s="121"/>
      <c r="F145" s="121"/>
      <c r="G145" s="121"/>
      <c r="H145" s="121"/>
      <c r="I145" s="121"/>
      <c r="J145" s="121"/>
      <c r="K145" s="121"/>
      <c r="L145" s="121"/>
      <c r="M145" s="121"/>
      <c r="N145" s="121"/>
      <c r="O145" s="121"/>
      <c r="P145" s="121"/>
      <c r="Q145" s="121"/>
      <c r="R145" s="121"/>
      <c r="S145" s="121"/>
      <c r="T145" s="121"/>
      <c r="U145" s="121"/>
      <c r="V145" s="121"/>
      <c r="W145" s="121"/>
      <c r="X145" s="121"/>
      <c r="Y145" s="121"/>
      <c r="Z145" s="121"/>
    </row>
    <row r="146" spans="1:26" ht="11.25" customHeight="1" x14ac:dyDescent="0.3">
      <c r="A146" s="121"/>
      <c r="B146" s="121"/>
      <c r="C146" s="121"/>
      <c r="D146" s="121"/>
      <c r="E146" s="121"/>
      <c r="F146" s="121"/>
      <c r="G146" s="121"/>
      <c r="H146" s="121"/>
      <c r="I146" s="121"/>
      <c r="J146" s="121"/>
      <c r="K146" s="121"/>
      <c r="L146" s="121"/>
      <c r="M146" s="121"/>
      <c r="N146" s="121"/>
      <c r="O146" s="121"/>
      <c r="P146" s="121"/>
      <c r="Q146" s="121"/>
      <c r="R146" s="121"/>
      <c r="S146" s="121"/>
      <c r="T146" s="121"/>
      <c r="U146" s="121"/>
      <c r="V146" s="121"/>
      <c r="W146" s="121"/>
      <c r="X146" s="121"/>
      <c r="Y146" s="121"/>
      <c r="Z146" s="121"/>
    </row>
    <row r="147" spans="1:26" ht="11.25" customHeight="1" x14ac:dyDescent="0.3">
      <c r="A147" s="121"/>
      <c r="B147" s="121"/>
      <c r="C147" s="121"/>
      <c r="D147" s="121"/>
      <c r="E147" s="121"/>
      <c r="F147" s="121"/>
      <c r="G147" s="121"/>
      <c r="H147" s="121"/>
      <c r="I147" s="121"/>
      <c r="J147" s="121"/>
      <c r="K147" s="121"/>
      <c r="L147" s="121"/>
      <c r="M147" s="121"/>
      <c r="N147" s="121"/>
      <c r="O147" s="121"/>
      <c r="P147" s="121"/>
      <c r="Q147" s="121"/>
      <c r="R147" s="121"/>
      <c r="S147" s="121"/>
      <c r="T147" s="121"/>
      <c r="U147" s="121"/>
      <c r="V147" s="121"/>
      <c r="W147" s="121"/>
      <c r="X147" s="121"/>
      <c r="Y147" s="121"/>
      <c r="Z147" s="121"/>
    </row>
    <row r="148" spans="1:26" ht="11.25" customHeight="1" x14ac:dyDescent="0.3">
      <c r="A148" s="121"/>
      <c r="B148" s="121"/>
      <c r="C148" s="121"/>
      <c r="D148" s="121"/>
      <c r="E148" s="121"/>
      <c r="F148" s="121"/>
      <c r="G148" s="121"/>
      <c r="H148" s="121"/>
      <c r="I148" s="121"/>
      <c r="J148" s="121"/>
      <c r="K148" s="121"/>
      <c r="L148" s="121"/>
      <c r="M148" s="121"/>
      <c r="N148" s="121"/>
      <c r="O148" s="121"/>
      <c r="P148" s="121"/>
      <c r="Q148" s="121"/>
      <c r="R148" s="121"/>
      <c r="S148" s="121"/>
      <c r="T148" s="121"/>
      <c r="U148" s="121"/>
      <c r="V148" s="121"/>
      <c r="W148" s="121"/>
      <c r="X148" s="121"/>
      <c r="Y148" s="121"/>
      <c r="Z148" s="121"/>
    </row>
    <row r="149" spans="1:26" ht="11.25" customHeight="1" x14ac:dyDescent="0.3">
      <c r="A149" s="121"/>
      <c r="B149" s="121"/>
      <c r="C149" s="121"/>
      <c r="D149" s="121"/>
      <c r="E149" s="121"/>
      <c r="F149" s="121"/>
      <c r="G149" s="121"/>
      <c r="H149" s="121"/>
      <c r="I149" s="121"/>
      <c r="J149" s="121"/>
      <c r="K149" s="121"/>
      <c r="L149" s="121"/>
      <c r="M149" s="121"/>
      <c r="N149" s="121"/>
      <c r="O149" s="121"/>
      <c r="P149" s="121"/>
      <c r="Q149" s="121"/>
      <c r="R149" s="121"/>
      <c r="S149" s="121"/>
      <c r="T149" s="121"/>
      <c r="U149" s="121"/>
      <c r="V149" s="121"/>
      <c r="W149" s="121"/>
      <c r="X149" s="121"/>
      <c r="Y149" s="121"/>
      <c r="Z149" s="121"/>
    </row>
    <row r="150" spans="1:26" ht="11.25" customHeight="1" x14ac:dyDescent="0.3">
      <c r="A150" s="121"/>
      <c r="B150" s="121"/>
      <c r="C150" s="121"/>
      <c r="D150" s="121"/>
      <c r="E150" s="121"/>
      <c r="F150" s="121"/>
      <c r="G150" s="121"/>
      <c r="H150" s="121"/>
      <c r="I150" s="121"/>
      <c r="J150" s="121"/>
      <c r="K150" s="121"/>
      <c r="L150" s="121"/>
      <c r="M150" s="121"/>
      <c r="N150" s="121"/>
      <c r="O150" s="121"/>
      <c r="P150" s="121"/>
      <c r="Q150" s="121"/>
      <c r="R150" s="121"/>
      <c r="S150" s="121"/>
      <c r="T150" s="121"/>
      <c r="U150" s="121"/>
      <c r="V150" s="121"/>
      <c r="W150" s="121"/>
      <c r="X150" s="121"/>
      <c r="Y150" s="121"/>
      <c r="Z150" s="121"/>
    </row>
    <row r="151" spans="1:26" ht="11.25" customHeight="1" x14ac:dyDescent="0.3">
      <c r="A151" s="121"/>
      <c r="B151" s="121"/>
      <c r="C151" s="121"/>
      <c r="D151" s="121"/>
      <c r="E151" s="121"/>
      <c r="F151" s="121"/>
      <c r="G151" s="121"/>
      <c r="H151" s="121"/>
      <c r="I151" s="121"/>
      <c r="J151" s="121"/>
      <c r="K151" s="121"/>
      <c r="L151" s="121"/>
      <c r="M151" s="121"/>
      <c r="N151" s="121"/>
      <c r="O151" s="121"/>
      <c r="P151" s="121"/>
      <c r="Q151" s="121"/>
      <c r="R151" s="121"/>
      <c r="S151" s="121"/>
      <c r="T151" s="121"/>
      <c r="U151" s="121"/>
      <c r="V151" s="121"/>
      <c r="W151" s="121"/>
      <c r="X151" s="121"/>
      <c r="Y151" s="121"/>
      <c r="Z151" s="121"/>
    </row>
    <row r="152" spans="1:26" ht="11.25" customHeight="1" x14ac:dyDescent="0.3">
      <c r="A152" s="121"/>
      <c r="B152" s="121"/>
      <c r="C152" s="121"/>
      <c r="D152" s="121"/>
      <c r="E152" s="121"/>
      <c r="F152" s="121"/>
      <c r="G152" s="121"/>
      <c r="H152" s="121"/>
      <c r="I152" s="121"/>
      <c r="J152" s="121"/>
      <c r="K152" s="121"/>
      <c r="L152" s="121"/>
      <c r="M152" s="121"/>
      <c r="N152" s="121"/>
      <c r="O152" s="121"/>
      <c r="P152" s="121"/>
      <c r="Q152" s="121"/>
      <c r="R152" s="121"/>
      <c r="S152" s="121"/>
      <c r="T152" s="121"/>
      <c r="U152" s="121"/>
      <c r="V152" s="121"/>
      <c r="W152" s="121"/>
      <c r="X152" s="121"/>
      <c r="Y152" s="121"/>
      <c r="Z152" s="121"/>
    </row>
    <row r="153" spans="1:26" ht="11.25" customHeight="1" x14ac:dyDescent="0.3">
      <c r="A153" s="121"/>
      <c r="B153" s="121"/>
      <c r="C153" s="121"/>
      <c r="D153" s="121"/>
      <c r="E153" s="121"/>
      <c r="F153" s="121"/>
      <c r="G153" s="121"/>
      <c r="H153" s="121"/>
      <c r="I153" s="121"/>
      <c r="J153" s="121"/>
      <c r="K153" s="121"/>
      <c r="L153" s="121"/>
      <c r="M153" s="121"/>
      <c r="N153" s="121"/>
      <c r="O153" s="121"/>
      <c r="P153" s="121"/>
      <c r="Q153" s="121"/>
      <c r="R153" s="121"/>
      <c r="S153" s="121"/>
      <c r="T153" s="121"/>
      <c r="U153" s="121"/>
      <c r="V153" s="121"/>
      <c r="W153" s="121"/>
      <c r="X153" s="121"/>
      <c r="Y153" s="121"/>
      <c r="Z153" s="121"/>
    </row>
    <row r="154" spans="1:26" ht="11.25" customHeight="1" x14ac:dyDescent="0.3">
      <c r="A154" s="121"/>
      <c r="B154" s="121"/>
      <c r="C154" s="121"/>
      <c r="D154" s="121"/>
      <c r="E154" s="121"/>
      <c r="F154" s="121"/>
      <c r="G154" s="121"/>
      <c r="H154" s="121"/>
      <c r="I154" s="121"/>
      <c r="J154" s="121"/>
      <c r="K154" s="121"/>
      <c r="L154" s="121"/>
      <c r="M154" s="121"/>
      <c r="N154" s="121"/>
      <c r="O154" s="121"/>
      <c r="P154" s="121"/>
      <c r="Q154" s="121"/>
      <c r="R154" s="121"/>
      <c r="S154" s="121"/>
      <c r="T154" s="121"/>
      <c r="U154" s="121"/>
      <c r="V154" s="121"/>
      <c r="W154" s="121"/>
      <c r="X154" s="121"/>
      <c r="Y154" s="121"/>
      <c r="Z154" s="121"/>
    </row>
    <row r="155" spans="1:26" ht="11.25" customHeight="1" x14ac:dyDescent="0.3">
      <c r="A155" s="121"/>
      <c r="B155" s="121"/>
      <c r="C155" s="121"/>
      <c r="D155" s="121"/>
      <c r="E155" s="121"/>
      <c r="F155" s="121"/>
      <c r="G155" s="121"/>
      <c r="H155" s="121"/>
      <c r="I155" s="121"/>
      <c r="J155" s="121"/>
      <c r="K155" s="121"/>
      <c r="L155" s="121"/>
      <c r="M155" s="121"/>
      <c r="N155" s="121"/>
      <c r="O155" s="121"/>
      <c r="P155" s="121"/>
      <c r="Q155" s="121"/>
      <c r="R155" s="121"/>
      <c r="S155" s="121"/>
      <c r="T155" s="121"/>
      <c r="U155" s="121"/>
      <c r="V155" s="121"/>
      <c r="W155" s="121"/>
      <c r="X155" s="121"/>
      <c r="Y155" s="121"/>
      <c r="Z155" s="121"/>
    </row>
    <row r="156" spans="1:26" ht="11.25" customHeight="1" x14ac:dyDescent="0.3">
      <c r="A156" s="121"/>
      <c r="B156" s="121"/>
      <c r="C156" s="121"/>
      <c r="D156" s="121"/>
      <c r="E156" s="121"/>
      <c r="F156" s="121"/>
      <c r="G156" s="121"/>
      <c r="H156" s="121"/>
      <c r="I156" s="121"/>
      <c r="J156" s="121"/>
      <c r="K156" s="121"/>
      <c r="L156" s="121"/>
      <c r="M156" s="121"/>
      <c r="N156" s="121"/>
      <c r="O156" s="121"/>
      <c r="P156" s="121"/>
      <c r="Q156" s="121"/>
      <c r="R156" s="121"/>
      <c r="S156" s="121"/>
      <c r="T156" s="121"/>
      <c r="U156" s="121"/>
      <c r="V156" s="121"/>
      <c r="W156" s="121"/>
      <c r="X156" s="121"/>
      <c r="Y156" s="121"/>
      <c r="Z156" s="121"/>
    </row>
    <row r="157" spans="1:26" ht="11.25" customHeight="1" x14ac:dyDescent="0.3">
      <c r="A157" s="121"/>
      <c r="B157" s="121"/>
      <c r="C157" s="121"/>
      <c r="D157" s="121"/>
      <c r="E157" s="121"/>
      <c r="F157" s="121"/>
      <c r="G157" s="121"/>
      <c r="H157" s="121"/>
      <c r="I157" s="121"/>
      <c r="J157" s="121"/>
      <c r="K157" s="121"/>
      <c r="L157" s="121"/>
      <c r="M157" s="121"/>
      <c r="N157" s="121"/>
      <c r="O157" s="121"/>
      <c r="P157" s="121"/>
      <c r="Q157" s="121"/>
      <c r="R157" s="121"/>
      <c r="S157" s="121"/>
      <c r="T157" s="121"/>
      <c r="U157" s="121"/>
      <c r="V157" s="121"/>
      <c r="W157" s="121"/>
      <c r="X157" s="121"/>
      <c r="Y157" s="121"/>
      <c r="Z157" s="121"/>
    </row>
    <row r="158" spans="1:26" ht="11.25" customHeight="1" x14ac:dyDescent="0.3">
      <c r="A158" s="121"/>
      <c r="B158" s="121"/>
      <c r="C158" s="121"/>
      <c r="D158" s="121"/>
      <c r="E158" s="121"/>
      <c r="F158" s="121"/>
      <c r="G158" s="121"/>
      <c r="H158" s="121"/>
      <c r="I158" s="121"/>
      <c r="J158" s="121"/>
      <c r="K158" s="121"/>
      <c r="L158" s="121"/>
      <c r="M158" s="121"/>
      <c r="N158" s="121"/>
      <c r="O158" s="121"/>
      <c r="P158" s="121"/>
      <c r="Q158" s="121"/>
      <c r="R158" s="121"/>
      <c r="S158" s="121"/>
      <c r="T158" s="121"/>
      <c r="U158" s="121"/>
      <c r="V158" s="121"/>
      <c r="W158" s="121"/>
      <c r="X158" s="121"/>
      <c r="Y158" s="121"/>
      <c r="Z158" s="121"/>
    </row>
    <row r="159" spans="1:26" ht="11.25" customHeight="1" x14ac:dyDescent="0.3">
      <c r="A159" s="121"/>
      <c r="B159" s="121"/>
      <c r="C159" s="121"/>
      <c r="D159" s="121"/>
      <c r="E159" s="121"/>
      <c r="F159" s="121"/>
      <c r="G159" s="121"/>
      <c r="H159" s="121"/>
      <c r="I159" s="121"/>
      <c r="J159" s="121"/>
      <c r="K159" s="121"/>
      <c r="L159" s="121"/>
      <c r="M159" s="121"/>
      <c r="N159" s="121"/>
      <c r="O159" s="121"/>
      <c r="P159" s="121"/>
      <c r="Q159" s="121"/>
      <c r="R159" s="121"/>
      <c r="S159" s="121"/>
      <c r="T159" s="121"/>
      <c r="U159" s="121"/>
      <c r="V159" s="121"/>
      <c r="W159" s="121"/>
      <c r="X159" s="121"/>
      <c r="Y159" s="121"/>
      <c r="Z159" s="121"/>
    </row>
    <row r="160" spans="1:26" ht="11.25" customHeight="1" x14ac:dyDescent="0.3">
      <c r="A160" s="121"/>
      <c r="B160" s="121"/>
      <c r="C160" s="121"/>
      <c r="D160" s="121"/>
      <c r="E160" s="121"/>
      <c r="F160" s="121"/>
      <c r="G160" s="121"/>
      <c r="H160" s="121"/>
      <c r="I160" s="121"/>
      <c r="J160" s="121"/>
      <c r="K160" s="121"/>
      <c r="L160" s="121"/>
      <c r="M160" s="121"/>
      <c r="N160" s="121"/>
      <c r="O160" s="121"/>
      <c r="P160" s="121"/>
      <c r="Q160" s="121"/>
      <c r="R160" s="121"/>
      <c r="S160" s="121"/>
      <c r="T160" s="121"/>
      <c r="U160" s="121"/>
      <c r="V160" s="121"/>
      <c r="W160" s="121"/>
      <c r="X160" s="121"/>
      <c r="Y160" s="121"/>
      <c r="Z160" s="121"/>
    </row>
    <row r="161" spans="1:26" ht="11.25" customHeight="1" x14ac:dyDescent="0.3">
      <c r="A161" s="121"/>
      <c r="B161" s="121"/>
      <c r="C161" s="121"/>
      <c r="D161" s="121"/>
      <c r="E161" s="121"/>
      <c r="F161" s="121"/>
      <c r="G161" s="121"/>
      <c r="H161" s="121"/>
      <c r="I161" s="121"/>
      <c r="J161" s="121"/>
      <c r="K161" s="121"/>
      <c r="L161" s="121"/>
      <c r="M161" s="121"/>
      <c r="N161" s="121"/>
      <c r="O161" s="121"/>
      <c r="P161" s="121"/>
      <c r="Q161" s="121"/>
      <c r="R161" s="121"/>
      <c r="S161" s="121"/>
      <c r="T161" s="121"/>
      <c r="U161" s="121"/>
      <c r="V161" s="121"/>
      <c r="W161" s="121"/>
      <c r="X161" s="121"/>
      <c r="Y161" s="121"/>
      <c r="Z161" s="121"/>
    </row>
    <row r="162" spans="1:26" ht="11.25" customHeight="1" x14ac:dyDescent="0.3">
      <c r="A162" s="121"/>
      <c r="B162" s="121"/>
      <c r="C162" s="121"/>
      <c r="D162" s="121"/>
      <c r="E162" s="121"/>
      <c r="F162" s="121"/>
      <c r="G162" s="121"/>
      <c r="H162" s="121"/>
      <c r="I162" s="121"/>
      <c r="J162" s="121"/>
      <c r="K162" s="121"/>
      <c r="L162" s="121"/>
      <c r="M162" s="121"/>
      <c r="N162" s="121"/>
      <c r="O162" s="121"/>
      <c r="P162" s="121"/>
      <c r="Q162" s="121"/>
      <c r="R162" s="121"/>
      <c r="S162" s="121"/>
      <c r="T162" s="121"/>
      <c r="U162" s="121"/>
      <c r="V162" s="121"/>
      <c r="W162" s="121"/>
      <c r="X162" s="121"/>
      <c r="Y162" s="121"/>
      <c r="Z162" s="121"/>
    </row>
    <row r="163" spans="1:26" ht="11.25" customHeight="1" x14ac:dyDescent="0.3">
      <c r="A163" s="121"/>
      <c r="B163" s="121"/>
      <c r="C163" s="121"/>
      <c r="D163" s="121"/>
      <c r="E163" s="121"/>
      <c r="F163" s="121"/>
      <c r="G163" s="121"/>
      <c r="H163" s="121"/>
      <c r="I163" s="121"/>
      <c r="J163" s="121"/>
      <c r="K163" s="121"/>
      <c r="L163" s="121"/>
      <c r="M163" s="121"/>
      <c r="N163" s="121"/>
      <c r="O163" s="121"/>
      <c r="P163" s="121"/>
      <c r="Q163" s="121"/>
      <c r="R163" s="121"/>
      <c r="S163" s="121"/>
      <c r="T163" s="121"/>
      <c r="U163" s="121"/>
      <c r="V163" s="121"/>
      <c r="W163" s="121"/>
      <c r="X163" s="121"/>
      <c r="Y163" s="121"/>
      <c r="Z163" s="121"/>
    </row>
    <row r="164" spans="1:26" ht="11.25" customHeight="1" x14ac:dyDescent="0.3">
      <c r="A164" s="121"/>
      <c r="B164" s="121"/>
      <c r="C164" s="121"/>
      <c r="D164" s="121"/>
      <c r="E164" s="121"/>
      <c r="F164" s="121"/>
      <c r="G164" s="121"/>
      <c r="H164" s="121"/>
      <c r="I164" s="121"/>
      <c r="J164" s="121"/>
      <c r="K164" s="121"/>
      <c r="L164" s="121"/>
      <c r="M164" s="121"/>
      <c r="N164" s="121"/>
      <c r="O164" s="121"/>
      <c r="P164" s="121"/>
      <c r="Q164" s="121"/>
      <c r="R164" s="121"/>
      <c r="S164" s="121"/>
      <c r="T164" s="121"/>
      <c r="U164" s="121"/>
      <c r="V164" s="121"/>
      <c r="W164" s="121"/>
      <c r="X164" s="121"/>
      <c r="Y164" s="121"/>
      <c r="Z164" s="121"/>
    </row>
    <row r="165" spans="1:26" ht="11.25" customHeight="1" x14ac:dyDescent="0.3">
      <c r="A165" s="121"/>
      <c r="B165" s="121"/>
      <c r="C165" s="121"/>
      <c r="D165" s="121"/>
      <c r="E165" s="121"/>
      <c r="F165" s="121"/>
      <c r="G165" s="121"/>
      <c r="H165" s="121"/>
      <c r="I165" s="121"/>
      <c r="J165" s="121"/>
      <c r="K165" s="121"/>
      <c r="L165" s="121"/>
      <c r="M165" s="121"/>
      <c r="N165" s="121"/>
      <c r="O165" s="121"/>
      <c r="P165" s="121"/>
      <c r="Q165" s="121"/>
      <c r="R165" s="121"/>
      <c r="S165" s="121"/>
      <c r="T165" s="121"/>
      <c r="U165" s="121"/>
      <c r="V165" s="121"/>
      <c r="W165" s="121"/>
      <c r="X165" s="121"/>
      <c r="Y165" s="121"/>
      <c r="Z165" s="121"/>
    </row>
    <row r="166" spans="1:26" ht="11.25" customHeight="1" x14ac:dyDescent="0.3">
      <c r="A166" s="121"/>
      <c r="B166" s="121"/>
      <c r="C166" s="121"/>
      <c r="D166" s="121"/>
      <c r="E166" s="121"/>
      <c r="F166" s="121"/>
      <c r="G166" s="121"/>
      <c r="H166" s="121"/>
      <c r="I166" s="121"/>
      <c r="J166" s="121"/>
      <c r="K166" s="121"/>
      <c r="L166" s="121"/>
      <c r="M166" s="121"/>
      <c r="N166" s="121"/>
      <c r="O166" s="121"/>
      <c r="P166" s="121"/>
      <c r="Q166" s="121"/>
      <c r="R166" s="121"/>
      <c r="S166" s="121"/>
      <c r="T166" s="121"/>
      <c r="U166" s="121"/>
      <c r="V166" s="121"/>
      <c r="W166" s="121"/>
      <c r="X166" s="121"/>
      <c r="Y166" s="121"/>
      <c r="Z166" s="121"/>
    </row>
    <row r="167" spans="1:26" ht="11.25" customHeight="1" x14ac:dyDescent="0.3">
      <c r="A167" s="121"/>
      <c r="B167" s="121"/>
      <c r="C167" s="121"/>
      <c r="D167" s="121"/>
      <c r="E167" s="121"/>
      <c r="F167" s="121"/>
      <c r="G167" s="121"/>
      <c r="H167" s="121"/>
      <c r="I167" s="121"/>
      <c r="J167" s="121"/>
      <c r="K167" s="121"/>
      <c r="L167" s="121"/>
      <c r="M167" s="121"/>
      <c r="N167" s="121"/>
      <c r="O167" s="121"/>
      <c r="P167" s="121"/>
      <c r="Q167" s="121"/>
      <c r="R167" s="121"/>
      <c r="S167" s="121"/>
      <c r="T167" s="121"/>
      <c r="U167" s="121"/>
      <c r="V167" s="121"/>
      <c r="W167" s="121"/>
      <c r="X167" s="121"/>
      <c r="Y167" s="121"/>
      <c r="Z167" s="121"/>
    </row>
    <row r="168" spans="1:26" ht="11.25" customHeight="1" x14ac:dyDescent="0.3">
      <c r="A168" s="121"/>
      <c r="B168" s="121"/>
      <c r="C168" s="121"/>
      <c r="D168" s="121"/>
      <c r="E168" s="121"/>
      <c r="F168" s="121"/>
      <c r="G168" s="121"/>
      <c r="H168" s="121"/>
      <c r="I168" s="121"/>
      <c r="J168" s="121"/>
      <c r="K168" s="121"/>
      <c r="L168" s="121"/>
      <c r="M168" s="121"/>
      <c r="N168" s="121"/>
      <c r="O168" s="121"/>
      <c r="P168" s="121"/>
      <c r="Q168" s="121"/>
      <c r="R168" s="121"/>
      <c r="S168" s="121"/>
      <c r="T168" s="121"/>
      <c r="U168" s="121"/>
      <c r="V168" s="121"/>
      <c r="W168" s="121"/>
      <c r="X168" s="121"/>
      <c r="Y168" s="121"/>
      <c r="Z168" s="121"/>
    </row>
    <row r="169" spans="1:26" ht="11.25" customHeight="1" x14ac:dyDescent="0.3">
      <c r="A169" s="121"/>
      <c r="B169" s="121"/>
      <c r="C169" s="121"/>
      <c r="D169" s="121"/>
      <c r="E169" s="121"/>
      <c r="F169" s="121"/>
      <c r="G169" s="121"/>
      <c r="H169" s="121"/>
      <c r="I169" s="121"/>
      <c r="J169" s="121"/>
      <c r="K169" s="121"/>
      <c r="L169" s="121"/>
      <c r="M169" s="121"/>
      <c r="N169" s="121"/>
      <c r="O169" s="121"/>
      <c r="P169" s="121"/>
      <c r="Q169" s="121"/>
      <c r="R169" s="121"/>
      <c r="S169" s="121"/>
      <c r="T169" s="121"/>
      <c r="U169" s="121"/>
      <c r="V169" s="121"/>
      <c r="W169" s="121"/>
      <c r="X169" s="121"/>
      <c r="Y169" s="121"/>
      <c r="Z169" s="121"/>
    </row>
    <row r="170" spans="1:26" ht="11.25" customHeight="1" x14ac:dyDescent="0.3">
      <c r="A170" s="121"/>
      <c r="B170" s="121"/>
      <c r="C170" s="121"/>
      <c r="D170" s="121"/>
      <c r="E170" s="121"/>
      <c r="F170" s="121"/>
      <c r="G170" s="121"/>
      <c r="H170" s="121"/>
      <c r="I170" s="121"/>
      <c r="J170" s="121"/>
      <c r="K170" s="121"/>
      <c r="L170" s="121"/>
      <c r="M170" s="121"/>
      <c r="N170" s="121"/>
      <c r="O170" s="121"/>
      <c r="P170" s="121"/>
      <c r="Q170" s="121"/>
      <c r="R170" s="121"/>
      <c r="S170" s="121"/>
      <c r="T170" s="121"/>
      <c r="U170" s="121"/>
      <c r="V170" s="121"/>
      <c r="W170" s="121"/>
      <c r="X170" s="121"/>
      <c r="Y170" s="121"/>
      <c r="Z170" s="121"/>
    </row>
    <row r="171" spans="1:26" ht="11.25" customHeight="1" x14ac:dyDescent="0.3">
      <c r="A171" s="121"/>
      <c r="B171" s="121"/>
      <c r="C171" s="121"/>
      <c r="D171" s="121"/>
      <c r="E171" s="121"/>
      <c r="F171" s="121"/>
      <c r="G171" s="121"/>
      <c r="H171" s="121"/>
      <c r="I171" s="121"/>
      <c r="J171" s="121"/>
      <c r="K171" s="121"/>
      <c r="L171" s="121"/>
      <c r="M171" s="121"/>
      <c r="N171" s="121"/>
      <c r="O171" s="121"/>
      <c r="P171" s="121"/>
      <c r="Q171" s="121"/>
      <c r="R171" s="121"/>
      <c r="S171" s="121"/>
      <c r="T171" s="121"/>
      <c r="U171" s="121"/>
      <c r="V171" s="121"/>
      <c r="W171" s="121"/>
      <c r="X171" s="121"/>
      <c r="Y171" s="121"/>
      <c r="Z171" s="121"/>
    </row>
    <row r="172" spans="1:26" ht="11.25" customHeight="1" x14ac:dyDescent="0.3">
      <c r="A172" s="121"/>
      <c r="B172" s="121"/>
      <c r="C172" s="121"/>
      <c r="D172" s="121"/>
      <c r="E172" s="121"/>
      <c r="F172" s="121"/>
      <c r="G172" s="121"/>
      <c r="H172" s="121"/>
      <c r="I172" s="121"/>
      <c r="J172" s="121"/>
      <c r="K172" s="121"/>
      <c r="L172" s="121"/>
      <c r="M172" s="121"/>
      <c r="N172" s="121"/>
      <c r="O172" s="121"/>
      <c r="P172" s="121"/>
      <c r="Q172" s="121"/>
      <c r="R172" s="121"/>
      <c r="S172" s="121"/>
      <c r="T172" s="121"/>
      <c r="U172" s="121"/>
      <c r="V172" s="121"/>
      <c r="W172" s="121"/>
      <c r="X172" s="121"/>
      <c r="Y172" s="121"/>
      <c r="Z172" s="121"/>
    </row>
    <row r="173" spans="1:26" ht="11.25" customHeight="1" x14ac:dyDescent="0.3">
      <c r="A173" s="121"/>
      <c r="B173" s="121"/>
      <c r="C173" s="121"/>
      <c r="D173" s="121"/>
      <c r="E173" s="121"/>
      <c r="F173" s="121"/>
      <c r="G173" s="121"/>
      <c r="H173" s="121"/>
      <c r="I173" s="121"/>
      <c r="J173" s="121"/>
      <c r="K173" s="121"/>
      <c r="L173" s="121"/>
      <c r="M173" s="121"/>
      <c r="N173" s="121"/>
      <c r="O173" s="121"/>
      <c r="P173" s="121"/>
      <c r="Q173" s="121"/>
      <c r="R173" s="121"/>
      <c r="S173" s="121"/>
      <c r="T173" s="121"/>
      <c r="U173" s="121"/>
      <c r="V173" s="121"/>
      <c r="W173" s="121"/>
      <c r="X173" s="121"/>
      <c r="Y173" s="121"/>
      <c r="Z173" s="121"/>
    </row>
    <row r="174" spans="1:26" ht="11.25" customHeight="1" x14ac:dyDescent="0.3">
      <c r="A174" s="121"/>
      <c r="B174" s="121"/>
      <c r="C174" s="121"/>
      <c r="D174" s="121"/>
      <c r="E174" s="121"/>
      <c r="F174" s="121"/>
      <c r="G174" s="121"/>
      <c r="H174" s="121"/>
      <c r="I174" s="121"/>
      <c r="J174" s="121"/>
      <c r="K174" s="121"/>
      <c r="L174" s="121"/>
      <c r="M174" s="121"/>
      <c r="N174" s="121"/>
      <c r="O174" s="121"/>
      <c r="P174" s="121"/>
      <c r="Q174" s="121"/>
      <c r="R174" s="121"/>
      <c r="S174" s="121"/>
      <c r="T174" s="121"/>
      <c r="U174" s="121"/>
      <c r="V174" s="121"/>
      <c r="W174" s="121"/>
      <c r="X174" s="121"/>
      <c r="Y174" s="121"/>
      <c r="Z174" s="121"/>
    </row>
    <row r="175" spans="1:26" ht="11.25" customHeight="1" x14ac:dyDescent="0.3">
      <c r="A175" s="121"/>
      <c r="B175" s="121"/>
      <c r="C175" s="121"/>
      <c r="D175" s="121"/>
      <c r="E175" s="121"/>
      <c r="F175" s="121"/>
      <c r="G175" s="121"/>
      <c r="H175" s="121"/>
      <c r="I175" s="121"/>
      <c r="J175" s="121"/>
      <c r="K175" s="121"/>
      <c r="L175" s="121"/>
      <c r="M175" s="121"/>
      <c r="N175" s="121"/>
      <c r="O175" s="121"/>
      <c r="P175" s="121"/>
      <c r="Q175" s="121"/>
      <c r="R175" s="121"/>
      <c r="S175" s="121"/>
      <c r="T175" s="121"/>
      <c r="U175" s="121"/>
      <c r="V175" s="121"/>
      <c r="W175" s="121"/>
      <c r="X175" s="121"/>
      <c r="Y175" s="121"/>
      <c r="Z175" s="121"/>
    </row>
    <row r="176" spans="1:26" ht="11.25" customHeight="1" x14ac:dyDescent="0.3">
      <c r="A176" s="121"/>
      <c r="B176" s="121"/>
      <c r="C176" s="121"/>
      <c r="D176" s="121"/>
      <c r="E176" s="121"/>
      <c r="F176" s="121"/>
      <c r="G176" s="121"/>
      <c r="H176" s="121"/>
      <c r="I176" s="121"/>
      <c r="J176" s="121"/>
      <c r="K176" s="121"/>
      <c r="L176" s="121"/>
      <c r="M176" s="121"/>
      <c r="N176" s="121"/>
      <c r="O176" s="121"/>
      <c r="P176" s="121"/>
      <c r="Q176" s="121"/>
      <c r="R176" s="121"/>
      <c r="S176" s="121"/>
      <c r="T176" s="121"/>
      <c r="U176" s="121"/>
      <c r="V176" s="121"/>
      <c r="W176" s="121"/>
      <c r="X176" s="121"/>
      <c r="Y176" s="121"/>
      <c r="Z176" s="121"/>
    </row>
    <row r="177" spans="1:26" ht="11.25" customHeight="1" x14ac:dyDescent="0.3">
      <c r="A177" s="121"/>
      <c r="B177" s="121"/>
      <c r="C177" s="121"/>
      <c r="D177" s="121"/>
      <c r="E177" s="121"/>
      <c r="F177" s="121"/>
      <c r="G177" s="121"/>
      <c r="H177" s="121"/>
      <c r="I177" s="121"/>
      <c r="J177" s="121"/>
      <c r="K177" s="121"/>
      <c r="L177" s="121"/>
      <c r="M177" s="121"/>
      <c r="N177" s="121"/>
      <c r="O177" s="121"/>
      <c r="P177" s="121"/>
      <c r="Q177" s="121"/>
      <c r="R177" s="121"/>
      <c r="S177" s="121"/>
      <c r="T177" s="121"/>
      <c r="U177" s="121"/>
      <c r="V177" s="121"/>
      <c r="W177" s="121"/>
      <c r="X177" s="121"/>
      <c r="Y177" s="121"/>
      <c r="Z177" s="121"/>
    </row>
    <row r="178" spans="1:26" ht="11.25" customHeight="1" x14ac:dyDescent="0.3">
      <c r="A178" s="121"/>
      <c r="B178" s="121"/>
      <c r="C178" s="121"/>
      <c r="D178" s="121"/>
      <c r="E178" s="121"/>
      <c r="F178" s="121"/>
      <c r="G178" s="121"/>
      <c r="H178" s="121"/>
      <c r="I178" s="121"/>
      <c r="J178" s="121"/>
      <c r="K178" s="121"/>
      <c r="L178" s="121"/>
      <c r="M178" s="121"/>
      <c r="N178" s="121"/>
      <c r="O178" s="121"/>
      <c r="P178" s="121"/>
      <c r="Q178" s="121"/>
      <c r="R178" s="121"/>
      <c r="S178" s="121"/>
      <c r="T178" s="121"/>
      <c r="U178" s="121"/>
      <c r="V178" s="121"/>
      <c r="W178" s="121"/>
      <c r="X178" s="121"/>
      <c r="Y178" s="121"/>
      <c r="Z178" s="121"/>
    </row>
    <row r="179" spans="1:26" ht="11.25" customHeight="1" x14ac:dyDescent="0.3">
      <c r="A179" s="121"/>
      <c r="B179" s="121"/>
      <c r="C179" s="121"/>
      <c r="D179" s="121"/>
      <c r="E179" s="121"/>
      <c r="F179" s="121"/>
      <c r="G179" s="121"/>
      <c r="H179" s="121"/>
      <c r="I179" s="121"/>
      <c r="J179" s="121"/>
      <c r="K179" s="121"/>
      <c r="L179" s="121"/>
      <c r="M179" s="121"/>
      <c r="N179" s="121"/>
      <c r="O179" s="121"/>
      <c r="P179" s="121"/>
      <c r="Q179" s="121"/>
      <c r="R179" s="121"/>
      <c r="S179" s="121"/>
      <c r="T179" s="121"/>
      <c r="U179" s="121"/>
      <c r="V179" s="121"/>
      <c r="W179" s="121"/>
      <c r="X179" s="121"/>
      <c r="Y179" s="121"/>
      <c r="Z179" s="121"/>
    </row>
    <row r="180" spans="1:26" ht="11.25" customHeight="1" x14ac:dyDescent="0.3">
      <c r="A180" s="121"/>
      <c r="B180" s="121"/>
      <c r="C180" s="121"/>
      <c r="D180" s="121"/>
      <c r="E180" s="121"/>
      <c r="F180" s="121"/>
      <c r="G180" s="121"/>
      <c r="H180" s="121"/>
      <c r="I180" s="121"/>
      <c r="J180" s="121"/>
      <c r="K180" s="121"/>
      <c r="L180" s="121"/>
      <c r="M180" s="121"/>
      <c r="N180" s="121"/>
      <c r="O180" s="121"/>
      <c r="P180" s="121"/>
      <c r="Q180" s="121"/>
      <c r="R180" s="121"/>
      <c r="S180" s="121"/>
      <c r="T180" s="121"/>
      <c r="U180" s="121"/>
      <c r="V180" s="121"/>
      <c r="W180" s="121"/>
      <c r="X180" s="121"/>
      <c r="Y180" s="121"/>
      <c r="Z180" s="121"/>
    </row>
    <row r="181" spans="1:26" ht="11.25" customHeight="1" x14ac:dyDescent="0.3">
      <c r="A181" s="121"/>
      <c r="B181" s="121"/>
      <c r="C181" s="121"/>
      <c r="D181" s="121"/>
      <c r="E181" s="121"/>
      <c r="F181" s="121"/>
      <c r="G181" s="121"/>
      <c r="H181" s="121"/>
      <c r="I181" s="121"/>
      <c r="J181" s="121"/>
      <c r="K181" s="121"/>
      <c r="L181" s="121"/>
      <c r="M181" s="121"/>
      <c r="N181" s="121"/>
      <c r="O181" s="121"/>
      <c r="P181" s="121"/>
      <c r="Q181" s="121"/>
      <c r="R181" s="121"/>
      <c r="S181" s="121"/>
      <c r="T181" s="121"/>
      <c r="U181" s="121"/>
      <c r="V181" s="121"/>
      <c r="W181" s="121"/>
      <c r="X181" s="121"/>
      <c r="Y181" s="121"/>
      <c r="Z181" s="121"/>
    </row>
    <row r="182" spans="1:26" ht="11.25" customHeight="1" x14ac:dyDescent="0.3">
      <c r="A182" s="121"/>
      <c r="B182" s="121"/>
      <c r="C182" s="121"/>
      <c r="D182" s="121"/>
      <c r="E182" s="121"/>
      <c r="F182" s="121"/>
      <c r="G182" s="121"/>
      <c r="H182" s="121"/>
      <c r="I182" s="121"/>
      <c r="J182" s="121"/>
      <c r="K182" s="121"/>
      <c r="L182" s="121"/>
      <c r="M182" s="121"/>
      <c r="N182" s="121"/>
      <c r="O182" s="121"/>
      <c r="P182" s="121"/>
      <c r="Q182" s="121"/>
      <c r="R182" s="121"/>
      <c r="S182" s="121"/>
      <c r="T182" s="121"/>
      <c r="U182" s="121"/>
      <c r="V182" s="121"/>
      <c r="W182" s="121"/>
      <c r="X182" s="121"/>
      <c r="Y182" s="121"/>
      <c r="Z182" s="121"/>
    </row>
    <row r="183" spans="1:26" ht="11.25" customHeight="1" x14ac:dyDescent="0.3">
      <c r="A183" s="121"/>
      <c r="B183" s="121"/>
      <c r="C183" s="121"/>
      <c r="D183" s="121"/>
      <c r="E183" s="121"/>
      <c r="F183" s="121"/>
      <c r="G183" s="121"/>
      <c r="H183" s="121"/>
      <c r="I183" s="121"/>
      <c r="J183" s="121"/>
      <c r="K183" s="121"/>
      <c r="L183" s="121"/>
      <c r="M183" s="121"/>
      <c r="N183" s="121"/>
      <c r="O183" s="121"/>
      <c r="P183" s="121"/>
      <c r="Q183" s="121"/>
      <c r="R183" s="121"/>
      <c r="S183" s="121"/>
      <c r="T183" s="121"/>
      <c r="U183" s="121"/>
      <c r="V183" s="121"/>
      <c r="W183" s="121"/>
      <c r="X183" s="121"/>
      <c r="Y183" s="121"/>
      <c r="Z183" s="121"/>
    </row>
    <row r="184" spans="1:26" ht="11.25" customHeight="1" x14ac:dyDescent="0.3">
      <c r="A184" s="121"/>
      <c r="B184" s="121"/>
      <c r="C184" s="121"/>
      <c r="D184" s="121"/>
      <c r="E184" s="121"/>
      <c r="F184" s="121"/>
      <c r="G184" s="121"/>
      <c r="H184" s="121"/>
      <c r="I184" s="121"/>
      <c r="J184" s="121"/>
      <c r="K184" s="121"/>
      <c r="L184" s="121"/>
      <c r="M184" s="121"/>
      <c r="N184" s="121"/>
      <c r="O184" s="121"/>
      <c r="P184" s="121"/>
      <c r="Q184" s="121"/>
      <c r="R184" s="121"/>
      <c r="S184" s="121"/>
      <c r="T184" s="121"/>
      <c r="U184" s="121"/>
      <c r="V184" s="121"/>
      <c r="W184" s="121"/>
      <c r="X184" s="121"/>
      <c r="Y184" s="121"/>
      <c r="Z184" s="121"/>
    </row>
    <row r="185" spans="1:26" ht="11.25" customHeight="1" x14ac:dyDescent="0.3">
      <c r="A185" s="121"/>
      <c r="B185" s="121"/>
      <c r="C185" s="121"/>
      <c r="D185" s="121"/>
      <c r="E185" s="121"/>
      <c r="F185" s="121"/>
      <c r="G185" s="121"/>
      <c r="H185" s="121"/>
      <c r="I185" s="121"/>
      <c r="J185" s="121"/>
      <c r="K185" s="121"/>
      <c r="L185" s="121"/>
      <c r="M185" s="121"/>
      <c r="N185" s="121"/>
      <c r="O185" s="121"/>
      <c r="P185" s="121"/>
      <c r="Q185" s="121"/>
      <c r="R185" s="121"/>
      <c r="S185" s="121"/>
      <c r="T185" s="121"/>
      <c r="U185" s="121"/>
      <c r="V185" s="121"/>
      <c r="W185" s="121"/>
      <c r="X185" s="121"/>
      <c r="Y185" s="121"/>
      <c r="Z185" s="121"/>
    </row>
    <row r="186" spans="1:26" ht="11.25" customHeight="1" x14ac:dyDescent="0.3">
      <c r="A186" s="121"/>
      <c r="B186" s="121"/>
      <c r="C186" s="121"/>
      <c r="D186" s="121"/>
      <c r="E186" s="121"/>
      <c r="F186" s="121"/>
      <c r="G186" s="121"/>
      <c r="H186" s="121"/>
      <c r="I186" s="121"/>
      <c r="J186" s="121"/>
      <c r="K186" s="121"/>
      <c r="L186" s="121"/>
      <c r="M186" s="121"/>
      <c r="N186" s="121"/>
      <c r="O186" s="121"/>
      <c r="P186" s="121"/>
      <c r="Q186" s="121"/>
      <c r="R186" s="121"/>
      <c r="S186" s="121"/>
      <c r="T186" s="121"/>
      <c r="U186" s="121"/>
      <c r="V186" s="121"/>
      <c r="W186" s="121"/>
      <c r="X186" s="121"/>
      <c r="Y186" s="121"/>
      <c r="Z186" s="121"/>
    </row>
    <row r="187" spans="1:26" ht="11.25" customHeight="1" x14ac:dyDescent="0.3">
      <c r="A187" s="121"/>
      <c r="B187" s="121"/>
      <c r="C187" s="121"/>
      <c r="D187" s="121"/>
      <c r="E187" s="121"/>
      <c r="F187" s="121"/>
      <c r="G187" s="121"/>
      <c r="H187" s="121"/>
      <c r="I187" s="121"/>
      <c r="J187" s="121"/>
      <c r="K187" s="121"/>
      <c r="L187" s="121"/>
      <c r="M187" s="121"/>
      <c r="N187" s="121"/>
      <c r="O187" s="121"/>
      <c r="P187" s="121"/>
      <c r="Q187" s="121"/>
      <c r="R187" s="121"/>
      <c r="S187" s="121"/>
      <c r="T187" s="121"/>
      <c r="U187" s="121"/>
      <c r="V187" s="121"/>
      <c r="W187" s="121"/>
      <c r="X187" s="121"/>
      <c r="Y187" s="121"/>
      <c r="Z187" s="121"/>
    </row>
    <row r="188" spans="1:26" ht="11.25" customHeight="1" x14ac:dyDescent="0.3">
      <c r="A188" s="121"/>
      <c r="B188" s="121"/>
      <c r="C188" s="121"/>
      <c r="D188" s="121"/>
      <c r="E188" s="121"/>
      <c r="F188" s="121"/>
      <c r="G188" s="121"/>
      <c r="H188" s="121"/>
      <c r="I188" s="121"/>
      <c r="J188" s="121"/>
      <c r="K188" s="121"/>
      <c r="L188" s="121"/>
      <c r="M188" s="121"/>
      <c r="N188" s="121"/>
      <c r="O188" s="121"/>
      <c r="P188" s="121"/>
      <c r="Q188" s="121"/>
      <c r="R188" s="121"/>
      <c r="S188" s="121"/>
      <c r="T188" s="121"/>
      <c r="U188" s="121"/>
      <c r="V188" s="121"/>
      <c r="W188" s="121"/>
      <c r="X188" s="121"/>
      <c r="Y188" s="121"/>
      <c r="Z188" s="121"/>
    </row>
    <row r="189" spans="1:26" ht="11.25" customHeight="1" x14ac:dyDescent="0.3">
      <c r="A189" s="121"/>
      <c r="B189" s="121"/>
      <c r="C189" s="121"/>
      <c r="D189" s="121"/>
      <c r="E189" s="121"/>
      <c r="F189" s="121"/>
      <c r="G189" s="121"/>
      <c r="H189" s="121"/>
      <c r="I189" s="121"/>
      <c r="J189" s="121"/>
      <c r="K189" s="121"/>
      <c r="L189" s="121"/>
      <c r="M189" s="121"/>
      <c r="N189" s="121"/>
      <c r="O189" s="121"/>
      <c r="P189" s="121"/>
      <c r="Q189" s="121"/>
      <c r="R189" s="121"/>
      <c r="S189" s="121"/>
      <c r="T189" s="121"/>
      <c r="U189" s="121"/>
      <c r="V189" s="121"/>
      <c r="W189" s="121"/>
      <c r="X189" s="121"/>
      <c r="Y189" s="121"/>
      <c r="Z189" s="121"/>
    </row>
    <row r="190" spans="1:26" ht="11.25" customHeight="1" x14ac:dyDescent="0.3">
      <c r="A190" s="121"/>
      <c r="B190" s="121"/>
      <c r="C190" s="121"/>
      <c r="D190" s="121"/>
      <c r="E190" s="121"/>
      <c r="F190" s="121"/>
      <c r="G190" s="121"/>
      <c r="H190" s="121"/>
      <c r="I190" s="121"/>
      <c r="J190" s="121"/>
      <c r="K190" s="121"/>
      <c r="L190" s="121"/>
      <c r="M190" s="121"/>
      <c r="N190" s="121"/>
      <c r="O190" s="121"/>
      <c r="P190" s="121"/>
      <c r="Q190" s="121"/>
      <c r="R190" s="121"/>
      <c r="S190" s="121"/>
      <c r="T190" s="121"/>
      <c r="U190" s="121"/>
      <c r="V190" s="121"/>
      <c r="W190" s="121"/>
      <c r="X190" s="121"/>
      <c r="Y190" s="121"/>
      <c r="Z190" s="121"/>
    </row>
    <row r="191" spans="1:26" ht="11.25" customHeight="1" x14ac:dyDescent="0.3">
      <c r="A191" s="121"/>
      <c r="B191" s="121"/>
      <c r="C191" s="121"/>
      <c r="D191" s="121"/>
      <c r="E191" s="121"/>
      <c r="F191" s="121"/>
      <c r="G191" s="121"/>
      <c r="H191" s="121"/>
      <c r="I191" s="121"/>
      <c r="J191" s="121"/>
      <c r="K191" s="121"/>
      <c r="L191" s="121"/>
      <c r="M191" s="121"/>
      <c r="N191" s="121"/>
      <c r="O191" s="121"/>
      <c r="P191" s="121"/>
      <c r="Q191" s="121"/>
      <c r="R191" s="121"/>
      <c r="S191" s="121"/>
      <c r="T191" s="121"/>
      <c r="U191" s="121"/>
      <c r="V191" s="121"/>
      <c r="W191" s="121"/>
      <c r="X191" s="121"/>
      <c r="Y191" s="121"/>
      <c r="Z191" s="121"/>
    </row>
    <row r="192" spans="1:26" ht="11.25" customHeight="1" x14ac:dyDescent="0.3">
      <c r="A192" s="121"/>
      <c r="B192" s="121"/>
      <c r="C192" s="121"/>
      <c r="D192" s="121"/>
      <c r="E192" s="121"/>
      <c r="F192" s="121"/>
      <c r="G192" s="121"/>
      <c r="H192" s="121"/>
      <c r="I192" s="121"/>
      <c r="J192" s="121"/>
      <c r="K192" s="121"/>
      <c r="L192" s="121"/>
      <c r="M192" s="121"/>
      <c r="N192" s="121"/>
      <c r="O192" s="121"/>
      <c r="P192" s="121"/>
      <c r="Q192" s="121"/>
      <c r="R192" s="121"/>
      <c r="S192" s="121"/>
      <c r="T192" s="121"/>
      <c r="U192" s="121"/>
      <c r="V192" s="121"/>
      <c r="W192" s="121"/>
      <c r="X192" s="121"/>
      <c r="Y192" s="121"/>
      <c r="Z192" s="121"/>
    </row>
    <row r="193" spans="1:26" ht="11.25" customHeight="1" x14ac:dyDescent="0.3">
      <c r="A193" s="121"/>
      <c r="B193" s="121"/>
      <c r="C193" s="121"/>
      <c r="D193" s="121"/>
      <c r="E193" s="121"/>
      <c r="F193" s="121"/>
      <c r="G193" s="121"/>
      <c r="H193" s="121"/>
      <c r="I193" s="121"/>
      <c r="J193" s="121"/>
      <c r="K193" s="121"/>
      <c r="L193" s="121"/>
      <c r="M193" s="121"/>
      <c r="N193" s="121"/>
      <c r="O193" s="121"/>
      <c r="P193" s="121"/>
      <c r="Q193" s="121"/>
      <c r="R193" s="121"/>
      <c r="S193" s="121"/>
      <c r="T193" s="121"/>
      <c r="U193" s="121"/>
      <c r="V193" s="121"/>
      <c r="W193" s="121"/>
      <c r="X193" s="121"/>
      <c r="Y193" s="121"/>
      <c r="Z193" s="121"/>
    </row>
    <row r="194" spans="1:26" ht="11.25" customHeight="1" x14ac:dyDescent="0.3">
      <c r="A194" s="121"/>
      <c r="B194" s="121"/>
      <c r="C194" s="121"/>
      <c r="D194" s="121"/>
      <c r="E194" s="121"/>
      <c r="F194" s="121"/>
      <c r="G194" s="121"/>
      <c r="H194" s="121"/>
      <c r="I194" s="121"/>
      <c r="J194" s="121"/>
      <c r="K194" s="121"/>
      <c r="L194" s="121"/>
      <c r="M194" s="121"/>
      <c r="N194" s="121"/>
      <c r="O194" s="121"/>
      <c r="P194" s="121"/>
      <c r="Q194" s="121"/>
      <c r="R194" s="121"/>
      <c r="S194" s="121"/>
      <c r="T194" s="121"/>
      <c r="U194" s="121"/>
      <c r="V194" s="121"/>
      <c r="W194" s="121"/>
      <c r="X194" s="121"/>
      <c r="Y194" s="121"/>
      <c r="Z194" s="121"/>
    </row>
    <row r="195" spans="1:26" ht="11.25" customHeight="1" x14ac:dyDescent="0.3">
      <c r="A195" s="121"/>
      <c r="B195" s="121"/>
      <c r="C195" s="121"/>
      <c r="D195" s="121"/>
      <c r="E195" s="121"/>
      <c r="F195" s="121"/>
      <c r="G195" s="121"/>
      <c r="H195" s="121"/>
      <c r="I195" s="121"/>
      <c r="J195" s="121"/>
      <c r="K195" s="121"/>
      <c r="L195" s="121"/>
      <c r="M195" s="121"/>
      <c r="N195" s="121"/>
      <c r="O195" s="121"/>
      <c r="P195" s="121"/>
      <c r="Q195" s="121"/>
      <c r="R195" s="121"/>
      <c r="S195" s="121"/>
      <c r="T195" s="121"/>
      <c r="U195" s="121"/>
      <c r="V195" s="121"/>
      <c r="W195" s="121"/>
      <c r="X195" s="121"/>
      <c r="Y195" s="121"/>
      <c r="Z195" s="121"/>
    </row>
    <row r="196" spans="1:26" ht="11.25" customHeight="1" x14ac:dyDescent="0.3">
      <c r="A196" s="121"/>
      <c r="B196" s="121"/>
      <c r="C196" s="121"/>
      <c r="D196" s="121"/>
      <c r="E196" s="121"/>
      <c r="F196" s="121"/>
      <c r="G196" s="121"/>
      <c r="H196" s="121"/>
      <c r="I196" s="121"/>
      <c r="J196" s="121"/>
      <c r="K196" s="121"/>
      <c r="L196" s="121"/>
      <c r="M196" s="121"/>
      <c r="N196" s="121"/>
      <c r="O196" s="121"/>
      <c r="P196" s="121"/>
      <c r="Q196" s="121"/>
      <c r="R196" s="121"/>
      <c r="S196" s="121"/>
      <c r="T196" s="121"/>
      <c r="U196" s="121"/>
      <c r="V196" s="121"/>
      <c r="W196" s="121"/>
      <c r="X196" s="121"/>
      <c r="Y196" s="121"/>
      <c r="Z196" s="121"/>
    </row>
    <row r="197" spans="1:26" ht="11.25" customHeight="1" x14ac:dyDescent="0.3">
      <c r="A197" s="121"/>
      <c r="B197" s="121"/>
      <c r="C197" s="121"/>
      <c r="D197" s="121"/>
      <c r="E197" s="121"/>
      <c r="F197" s="121"/>
      <c r="G197" s="121"/>
      <c r="H197" s="121"/>
      <c r="I197" s="121"/>
      <c r="J197" s="121"/>
      <c r="K197" s="121"/>
      <c r="L197" s="121"/>
      <c r="M197" s="121"/>
      <c r="N197" s="121"/>
      <c r="O197" s="121"/>
      <c r="P197" s="121"/>
      <c r="Q197" s="121"/>
      <c r="R197" s="121"/>
      <c r="S197" s="121"/>
      <c r="T197" s="121"/>
      <c r="U197" s="121"/>
      <c r="V197" s="121"/>
      <c r="W197" s="121"/>
      <c r="X197" s="121"/>
      <c r="Y197" s="121"/>
      <c r="Z197" s="121"/>
    </row>
    <row r="198" spans="1:26" ht="11.25" customHeight="1" x14ac:dyDescent="0.3">
      <c r="A198" s="121"/>
      <c r="B198" s="121"/>
      <c r="C198" s="121"/>
      <c r="D198" s="121"/>
      <c r="E198" s="121"/>
      <c r="F198" s="121"/>
      <c r="G198" s="121"/>
      <c r="H198" s="121"/>
      <c r="I198" s="121"/>
      <c r="J198" s="121"/>
      <c r="K198" s="121"/>
      <c r="L198" s="121"/>
      <c r="M198" s="121"/>
      <c r="N198" s="121"/>
      <c r="O198" s="121"/>
      <c r="P198" s="121"/>
      <c r="Q198" s="121"/>
      <c r="R198" s="121"/>
      <c r="S198" s="121"/>
      <c r="T198" s="121"/>
      <c r="U198" s="121"/>
      <c r="V198" s="121"/>
      <c r="W198" s="121"/>
      <c r="X198" s="121"/>
      <c r="Y198" s="121"/>
      <c r="Z198" s="121"/>
    </row>
    <row r="199" spans="1:26" ht="11.25" customHeight="1" x14ac:dyDescent="0.3">
      <c r="A199" s="121"/>
      <c r="B199" s="121"/>
      <c r="C199" s="121"/>
      <c r="D199" s="121"/>
      <c r="E199" s="121"/>
      <c r="F199" s="121"/>
      <c r="G199" s="121"/>
      <c r="H199" s="121"/>
      <c r="I199" s="121"/>
      <c r="J199" s="121"/>
      <c r="K199" s="121"/>
      <c r="L199" s="121"/>
      <c r="M199" s="121"/>
      <c r="N199" s="121"/>
      <c r="O199" s="121"/>
      <c r="P199" s="121"/>
      <c r="Q199" s="121"/>
      <c r="R199" s="121"/>
      <c r="S199" s="121"/>
      <c r="T199" s="121"/>
      <c r="U199" s="121"/>
      <c r="V199" s="121"/>
      <c r="W199" s="121"/>
      <c r="X199" s="121"/>
      <c r="Y199" s="121"/>
      <c r="Z199" s="121"/>
    </row>
    <row r="200" spans="1:26" ht="11.25" customHeight="1" x14ac:dyDescent="0.3">
      <c r="A200" s="121"/>
      <c r="B200" s="121"/>
      <c r="C200" s="121"/>
      <c r="D200" s="121"/>
      <c r="E200" s="121"/>
      <c r="F200" s="121"/>
      <c r="G200" s="121"/>
      <c r="H200" s="121"/>
      <c r="I200" s="121"/>
      <c r="J200" s="121"/>
      <c r="K200" s="121"/>
      <c r="L200" s="121"/>
      <c r="M200" s="121"/>
      <c r="N200" s="121"/>
      <c r="O200" s="121"/>
      <c r="P200" s="121"/>
      <c r="Q200" s="121"/>
      <c r="R200" s="121"/>
      <c r="S200" s="121"/>
      <c r="T200" s="121"/>
      <c r="U200" s="121"/>
      <c r="V200" s="121"/>
      <c r="W200" s="121"/>
      <c r="X200" s="121"/>
      <c r="Y200" s="121"/>
      <c r="Z200" s="121"/>
    </row>
    <row r="201" spans="1:26" ht="11.25" customHeight="1" x14ac:dyDescent="0.3">
      <c r="A201" s="121"/>
      <c r="B201" s="121"/>
      <c r="C201" s="121"/>
      <c r="D201" s="121"/>
      <c r="E201" s="121"/>
      <c r="F201" s="121"/>
      <c r="G201" s="121"/>
      <c r="H201" s="121"/>
      <c r="I201" s="121"/>
      <c r="J201" s="121"/>
      <c r="K201" s="121"/>
      <c r="L201" s="121"/>
      <c r="M201" s="121"/>
      <c r="N201" s="121"/>
      <c r="O201" s="121"/>
      <c r="P201" s="121"/>
      <c r="Q201" s="121"/>
      <c r="R201" s="121"/>
      <c r="S201" s="121"/>
      <c r="T201" s="121"/>
      <c r="U201" s="121"/>
      <c r="V201" s="121"/>
      <c r="W201" s="121"/>
      <c r="X201" s="121"/>
      <c r="Y201" s="121"/>
      <c r="Z201" s="121"/>
    </row>
    <row r="202" spans="1:26" ht="11.25" customHeight="1" x14ac:dyDescent="0.3">
      <c r="A202" s="121"/>
      <c r="B202" s="121"/>
      <c r="C202" s="121"/>
      <c r="D202" s="121"/>
      <c r="E202" s="121"/>
      <c r="F202" s="121"/>
      <c r="G202" s="121"/>
      <c r="H202" s="121"/>
      <c r="I202" s="121"/>
      <c r="J202" s="121"/>
      <c r="K202" s="121"/>
      <c r="L202" s="121"/>
      <c r="M202" s="121"/>
      <c r="N202" s="121"/>
      <c r="O202" s="121"/>
      <c r="P202" s="121"/>
      <c r="Q202" s="121"/>
      <c r="R202" s="121"/>
      <c r="S202" s="121"/>
      <c r="T202" s="121"/>
      <c r="U202" s="121"/>
      <c r="V202" s="121"/>
      <c r="W202" s="121"/>
      <c r="X202" s="121"/>
      <c r="Y202" s="121"/>
      <c r="Z202" s="121"/>
    </row>
    <row r="203" spans="1:26" ht="11.25" customHeight="1" x14ac:dyDescent="0.3">
      <c r="A203" s="121"/>
      <c r="B203" s="121"/>
      <c r="C203" s="121"/>
      <c r="D203" s="121"/>
      <c r="E203" s="121"/>
      <c r="F203" s="121"/>
      <c r="G203" s="121"/>
      <c r="H203" s="121"/>
      <c r="I203" s="121"/>
      <c r="J203" s="121"/>
      <c r="K203" s="121"/>
      <c r="L203" s="121"/>
      <c r="M203" s="121"/>
      <c r="N203" s="121"/>
      <c r="O203" s="121"/>
      <c r="P203" s="121"/>
      <c r="Q203" s="121"/>
      <c r="R203" s="121"/>
      <c r="S203" s="121"/>
      <c r="T203" s="121"/>
      <c r="U203" s="121"/>
      <c r="V203" s="121"/>
      <c r="W203" s="121"/>
      <c r="X203" s="121"/>
      <c r="Y203" s="121"/>
      <c r="Z203" s="121"/>
    </row>
    <row r="204" spans="1:26" ht="11.25" customHeight="1" x14ac:dyDescent="0.3">
      <c r="A204" s="121"/>
      <c r="B204" s="121"/>
      <c r="C204" s="121"/>
      <c r="D204" s="121"/>
      <c r="E204" s="121"/>
      <c r="F204" s="121"/>
      <c r="G204" s="121"/>
      <c r="H204" s="121"/>
      <c r="I204" s="121"/>
      <c r="J204" s="121"/>
      <c r="K204" s="121"/>
      <c r="L204" s="121"/>
      <c r="M204" s="121"/>
      <c r="N204" s="121"/>
      <c r="O204" s="121"/>
      <c r="P204" s="121"/>
      <c r="Q204" s="121"/>
      <c r="R204" s="121"/>
      <c r="S204" s="121"/>
      <c r="T204" s="121"/>
      <c r="U204" s="121"/>
      <c r="V204" s="121"/>
      <c r="W204" s="121"/>
      <c r="X204" s="121"/>
      <c r="Y204" s="121"/>
      <c r="Z204" s="121"/>
    </row>
    <row r="205" spans="1:26" ht="11.25" customHeight="1" x14ac:dyDescent="0.3">
      <c r="A205" s="121"/>
      <c r="B205" s="121"/>
      <c r="C205" s="121"/>
      <c r="D205" s="121"/>
      <c r="E205" s="121"/>
      <c r="F205" s="121"/>
      <c r="G205" s="121"/>
      <c r="H205" s="121"/>
      <c r="I205" s="121"/>
      <c r="J205" s="121"/>
      <c r="K205" s="121"/>
      <c r="L205" s="121"/>
      <c r="M205" s="121"/>
      <c r="N205" s="121"/>
      <c r="O205" s="121"/>
      <c r="P205" s="121"/>
      <c r="Q205" s="121"/>
      <c r="R205" s="121"/>
      <c r="S205" s="121"/>
      <c r="T205" s="121"/>
      <c r="U205" s="121"/>
      <c r="V205" s="121"/>
      <c r="W205" s="121"/>
      <c r="X205" s="121"/>
      <c r="Y205" s="121"/>
      <c r="Z205" s="121"/>
    </row>
    <row r="206" spans="1:26" ht="11.25" customHeight="1" x14ac:dyDescent="0.3">
      <c r="A206" s="121"/>
      <c r="B206" s="121"/>
      <c r="C206" s="121"/>
      <c r="D206" s="121"/>
      <c r="E206" s="121"/>
      <c r="F206" s="121"/>
      <c r="G206" s="121"/>
      <c r="H206" s="121"/>
      <c r="I206" s="121"/>
      <c r="J206" s="121"/>
      <c r="K206" s="121"/>
      <c r="L206" s="121"/>
      <c r="M206" s="121"/>
      <c r="N206" s="121"/>
      <c r="O206" s="121"/>
      <c r="P206" s="121"/>
      <c r="Q206" s="121"/>
      <c r="R206" s="121"/>
      <c r="S206" s="121"/>
      <c r="T206" s="121"/>
      <c r="U206" s="121"/>
      <c r="V206" s="121"/>
      <c r="W206" s="121"/>
      <c r="X206" s="121"/>
      <c r="Y206" s="121"/>
      <c r="Z206" s="121"/>
    </row>
    <row r="207" spans="1:26" ht="11.25" customHeight="1" x14ac:dyDescent="0.3">
      <c r="A207" s="121"/>
      <c r="B207" s="121"/>
      <c r="C207" s="121"/>
      <c r="D207" s="121"/>
      <c r="E207" s="121"/>
      <c r="F207" s="121"/>
      <c r="G207" s="121"/>
      <c r="H207" s="121"/>
      <c r="I207" s="121"/>
      <c r="J207" s="121"/>
      <c r="K207" s="121"/>
      <c r="L207" s="121"/>
      <c r="M207" s="121"/>
      <c r="N207" s="121"/>
      <c r="O207" s="121"/>
      <c r="P207" s="121"/>
      <c r="Q207" s="121"/>
      <c r="R207" s="121"/>
      <c r="S207" s="121"/>
      <c r="T207" s="121"/>
      <c r="U207" s="121"/>
      <c r="V207" s="121"/>
      <c r="W207" s="121"/>
      <c r="X207" s="121"/>
      <c r="Y207" s="121"/>
      <c r="Z207" s="121"/>
    </row>
    <row r="208" spans="1:26" ht="11.25" customHeight="1" x14ac:dyDescent="0.3">
      <c r="A208" s="121"/>
      <c r="B208" s="121"/>
      <c r="C208" s="121"/>
      <c r="D208" s="121"/>
      <c r="E208" s="121"/>
      <c r="F208" s="121"/>
      <c r="G208" s="121"/>
      <c r="H208" s="121"/>
      <c r="I208" s="121"/>
      <c r="J208" s="121"/>
      <c r="K208" s="121"/>
      <c r="L208" s="121"/>
      <c r="M208" s="121"/>
      <c r="N208" s="121"/>
      <c r="O208" s="121"/>
      <c r="P208" s="121"/>
      <c r="Q208" s="121"/>
      <c r="R208" s="121"/>
      <c r="S208" s="121"/>
      <c r="T208" s="121"/>
      <c r="U208" s="121"/>
      <c r="V208" s="121"/>
      <c r="W208" s="121"/>
      <c r="X208" s="121"/>
      <c r="Y208" s="121"/>
      <c r="Z208" s="121"/>
    </row>
    <row r="209" spans="1:26" ht="11.25" customHeight="1" x14ac:dyDescent="0.3">
      <c r="A209" s="121"/>
      <c r="B209" s="121"/>
      <c r="C209" s="121"/>
      <c r="D209" s="121"/>
      <c r="E209" s="121"/>
      <c r="F209" s="121"/>
      <c r="G209" s="121"/>
      <c r="H209" s="121"/>
      <c r="I209" s="121"/>
      <c r="J209" s="121"/>
      <c r="K209" s="121"/>
      <c r="L209" s="121"/>
      <c r="M209" s="121"/>
      <c r="N209" s="121"/>
      <c r="O209" s="121"/>
      <c r="P209" s="121"/>
      <c r="Q209" s="121"/>
      <c r="R209" s="121"/>
      <c r="S209" s="121"/>
      <c r="T209" s="121"/>
      <c r="U209" s="121"/>
      <c r="V209" s="121"/>
      <c r="W209" s="121"/>
      <c r="X209" s="121"/>
      <c r="Y209" s="121"/>
      <c r="Z209" s="121"/>
    </row>
    <row r="210" spans="1:26" ht="11.25" customHeight="1" x14ac:dyDescent="0.3">
      <c r="A210" s="121"/>
      <c r="B210" s="121"/>
      <c r="C210" s="121"/>
      <c r="D210" s="121"/>
      <c r="E210" s="121"/>
      <c r="F210" s="121"/>
      <c r="G210" s="121"/>
      <c r="H210" s="121"/>
      <c r="I210" s="121"/>
      <c r="J210" s="121"/>
      <c r="K210" s="121"/>
      <c r="L210" s="121"/>
      <c r="M210" s="121"/>
      <c r="N210" s="121"/>
      <c r="O210" s="121"/>
      <c r="P210" s="121"/>
      <c r="Q210" s="121"/>
      <c r="R210" s="121"/>
      <c r="S210" s="121"/>
      <c r="T210" s="121"/>
      <c r="U210" s="121"/>
      <c r="V210" s="121"/>
      <c r="W210" s="121"/>
      <c r="X210" s="121"/>
      <c r="Y210" s="121"/>
      <c r="Z210" s="121"/>
    </row>
    <row r="211" spans="1:26" ht="11.25" customHeight="1" x14ac:dyDescent="0.3">
      <c r="A211" s="121"/>
      <c r="B211" s="121"/>
      <c r="C211" s="121"/>
      <c r="D211" s="121"/>
      <c r="E211" s="121"/>
      <c r="F211" s="121"/>
      <c r="G211" s="121"/>
      <c r="H211" s="121"/>
      <c r="I211" s="121"/>
      <c r="J211" s="121"/>
      <c r="K211" s="121"/>
      <c r="L211" s="121"/>
      <c r="M211" s="121"/>
      <c r="N211" s="121"/>
      <c r="O211" s="121"/>
      <c r="P211" s="121"/>
      <c r="Q211" s="121"/>
      <c r="R211" s="121"/>
      <c r="S211" s="121"/>
      <c r="T211" s="121"/>
      <c r="U211" s="121"/>
      <c r="V211" s="121"/>
      <c r="W211" s="121"/>
      <c r="X211" s="121"/>
      <c r="Y211" s="121"/>
      <c r="Z211" s="121"/>
    </row>
    <row r="212" spans="1:26" ht="11.25" customHeight="1" x14ac:dyDescent="0.3">
      <c r="A212" s="121"/>
      <c r="B212" s="121"/>
      <c r="C212" s="121"/>
      <c r="D212" s="121"/>
      <c r="E212" s="121"/>
      <c r="F212" s="121"/>
      <c r="G212" s="121"/>
      <c r="H212" s="121"/>
      <c r="I212" s="121"/>
      <c r="J212" s="121"/>
      <c r="K212" s="121"/>
      <c r="L212" s="121"/>
      <c r="M212" s="121"/>
      <c r="N212" s="121"/>
      <c r="O212" s="121"/>
      <c r="P212" s="121"/>
      <c r="Q212" s="121"/>
      <c r="R212" s="121"/>
      <c r="S212" s="121"/>
      <c r="T212" s="121"/>
      <c r="U212" s="121"/>
      <c r="V212" s="121"/>
      <c r="W212" s="121"/>
      <c r="X212" s="121"/>
      <c r="Y212" s="121"/>
      <c r="Z212" s="121"/>
    </row>
    <row r="213" spans="1:26" ht="11.25" customHeight="1" x14ac:dyDescent="0.3">
      <c r="A213" s="121"/>
      <c r="B213" s="121"/>
      <c r="C213" s="121"/>
      <c r="D213" s="121"/>
      <c r="E213" s="121"/>
      <c r="F213" s="121"/>
      <c r="G213" s="121"/>
      <c r="H213" s="121"/>
      <c r="I213" s="121"/>
      <c r="J213" s="121"/>
      <c r="K213" s="121"/>
      <c r="L213" s="121"/>
      <c r="M213" s="121"/>
      <c r="N213" s="121"/>
      <c r="O213" s="121"/>
      <c r="P213" s="121"/>
      <c r="Q213" s="121"/>
      <c r="R213" s="121"/>
      <c r="S213" s="121"/>
      <c r="T213" s="121"/>
      <c r="U213" s="121"/>
      <c r="V213" s="121"/>
      <c r="W213" s="121"/>
      <c r="X213" s="121"/>
      <c r="Y213" s="121"/>
      <c r="Z213" s="121"/>
    </row>
    <row r="214" spans="1:26" ht="11.25" customHeight="1" x14ac:dyDescent="0.3">
      <c r="A214" s="121"/>
      <c r="B214" s="121"/>
      <c r="C214" s="121"/>
      <c r="D214" s="121"/>
      <c r="E214" s="121"/>
      <c r="F214" s="121"/>
      <c r="G214" s="121"/>
      <c r="H214" s="121"/>
      <c r="I214" s="121"/>
      <c r="J214" s="121"/>
      <c r="K214" s="121"/>
      <c r="L214" s="121"/>
      <c r="M214" s="121"/>
      <c r="N214" s="121"/>
      <c r="O214" s="121"/>
      <c r="P214" s="121"/>
      <c r="Q214" s="121"/>
      <c r="R214" s="121"/>
      <c r="S214" s="121"/>
      <c r="T214" s="121"/>
      <c r="U214" s="121"/>
      <c r="V214" s="121"/>
      <c r="W214" s="121"/>
      <c r="X214" s="121"/>
      <c r="Y214" s="121"/>
      <c r="Z214" s="121"/>
    </row>
    <row r="215" spans="1:26" ht="11.25" customHeight="1" x14ac:dyDescent="0.3">
      <c r="A215" s="121"/>
      <c r="B215" s="121"/>
      <c r="C215" s="121"/>
      <c r="D215" s="121"/>
      <c r="E215" s="121"/>
      <c r="F215" s="121"/>
      <c r="G215" s="121"/>
      <c r="H215" s="121"/>
      <c r="I215" s="121"/>
      <c r="J215" s="121"/>
      <c r="K215" s="121"/>
      <c r="L215" s="121"/>
      <c r="M215" s="121"/>
      <c r="N215" s="121"/>
      <c r="O215" s="121"/>
      <c r="P215" s="121"/>
      <c r="Q215" s="121"/>
      <c r="R215" s="121"/>
      <c r="S215" s="121"/>
      <c r="T215" s="121"/>
      <c r="U215" s="121"/>
      <c r="V215" s="121"/>
      <c r="W215" s="121"/>
      <c r="X215" s="121"/>
      <c r="Y215" s="121"/>
      <c r="Z215" s="121"/>
    </row>
    <row r="216" spans="1:26" ht="11.25" customHeight="1" x14ac:dyDescent="0.3">
      <c r="A216" s="121"/>
      <c r="B216" s="121"/>
      <c r="C216" s="121"/>
      <c r="D216" s="121"/>
      <c r="E216" s="121"/>
      <c r="F216" s="121"/>
      <c r="G216" s="121"/>
      <c r="H216" s="121"/>
      <c r="I216" s="121"/>
      <c r="J216" s="121"/>
      <c r="K216" s="121"/>
      <c r="L216" s="121"/>
      <c r="M216" s="121"/>
      <c r="N216" s="121"/>
      <c r="O216" s="121"/>
      <c r="P216" s="121"/>
      <c r="Q216" s="121"/>
      <c r="R216" s="121"/>
      <c r="S216" s="121"/>
      <c r="T216" s="121"/>
      <c r="U216" s="121"/>
      <c r="V216" s="121"/>
      <c r="W216" s="121"/>
      <c r="X216" s="121"/>
      <c r="Y216" s="121"/>
      <c r="Z216" s="121"/>
    </row>
    <row r="217" spans="1:26" ht="11.25" customHeight="1" x14ac:dyDescent="0.3">
      <c r="A217" s="121"/>
      <c r="B217" s="121"/>
      <c r="C217" s="121"/>
      <c r="D217" s="121"/>
      <c r="E217" s="121"/>
      <c r="F217" s="121"/>
      <c r="G217" s="121"/>
      <c r="H217" s="121"/>
      <c r="I217" s="121"/>
      <c r="J217" s="121"/>
      <c r="K217" s="121"/>
      <c r="L217" s="121"/>
      <c r="M217" s="121"/>
      <c r="N217" s="121"/>
      <c r="O217" s="121"/>
      <c r="P217" s="121"/>
      <c r="Q217" s="121"/>
      <c r="R217" s="121"/>
      <c r="S217" s="121"/>
      <c r="T217" s="121"/>
      <c r="U217" s="121"/>
      <c r="V217" s="121"/>
      <c r="W217" s="121"/>
      <c r="X217" s="121"/>
      <c r="Y217" s="121"/>
      <c r="Z217" s="121"/>
    </row>
    <row r="218" spans="1:26" ht="11.25" customHeight="1" x14ac:dyDescent="0.3">
      <c r="A218" s="121"/>
      <c r="B218" s="121"/>
      <c r="C218" s="121"/>
      <c r="D218" s="121"/>
      <c r="E218" s="121"/>
      <c r="F218" s="121"/>
      <c r="G218" s="121"/>
      <c r="H218" s="121"/>
      <c r="I218" s="121"/>
      <c r="J218" s="121"/>
      <c r="K218" s="121"/>
      <c r="L218" s="121"/>
      <c r="M218" s="121"/>
      <c r="N218" s="121"/>
      <c r="O218" s="121"/>
      <c r="P218" s="121"/>
      <c r="Q218" s="121"/>
      <c r="R218" s="121"/>
      <c r="S218" s="121"/>
      <c r="T218" s="121"/>
      <c r="U218" s="121"/>
      <c r="V218" s="121"/>
      <c r="W218" s="121"/>
      <c r="X218" s="121"/>
      <c r="Y218" s="121"/>
      <c r="Z218" s="121"/>
    </row>
    <row r="219" spans="1:26" ht="11.25" customHeight="1" x14ac:dyDescent="0.3">
      <c r="A219" s="121"/>
      <c r="B219" s="121"/>
      <c r="C219" s="121"/>
      <c r="D219" s="121"/>
      <c r="E219" s="121"/>
      <c r="F219" s="121"/>
      <c r="G219" s="121"/>
      <c r="H219" s="121"/>
      <c r="I219" s="121"/>
      <c r="J219" s="121"/>
      <c r="K219" s="121"/>
      <c r="L219" s="121"/>
      <c r="M219" s="121"/>
      <c r="N219" s="121"/>
      <c r="O219" s="121"/>
      <c r="P219" s="121"/>
      <c r="Q219" s="121"/>
      <c r="R219" s="121"/>
      <c r="S219" s="121"/>
      <c r="T219" s="121"/>
      <c r="U219" s="121"/>
      <c r="V219" s="121"/>
      <c r="W219" s="121"/>
      <c r="X219" s="121"/>
      <c r="Y219" s="121"/>
      <c r="Z219" s="121"/>
    </row>
    <row r="220" spans="1:26" ht="11.25" customHeight="1" x14ac:dyDescent="0.3">
      <c r="A220" s="121"/>
      <c r="B220" s="121"/>
      <c r="C220" s="121"/>
      <c r="D220" s="121"/>
      <c r="E220" s="121"/>
      <c r="F220" s="121"/>
      <c r="G220" s="121"/>
      <c r="H220" s="121"/>
      <c r="I220" s="121"/>
      <c r="J220" s="121"/>
      <c r="K220" s="121"/>
      <c r="L220" s="121"/>
      <c r="M220" s="121"/>
      <c r="N220" s="121"/>
      <c r="O220" s="121"/>
      <c r="P220" s="121"/>
      <c r="Q220" s="121"/>
      <c r="R220" s="121"/>
      <c r="S220" s="121"/>
      <c r="T220" s="121"/>
      <c r="U220" s="121"/>
      <c r="V220" s="121"/>
      <c r="W220" s="121"/>
      <c r="X220" s="121"/>
      <c r="Y220" s="121"/>
      <c r="Z220" s="121"/>
    </row>
    <row r="221" spans="1:26" ht="11.25" customHeight="1" x14ac:dyDescent="0.3">
      <c r="A221" s="121"/>
      <c r="B221" s="121"/>
      <c r="C221" s="121"/>
      <c r="D221" s="121"/>
      <c r="E221" s="121"/>
      <c r="F221" s="121"/>
      <c r="G221" s="121"/>
      <c r="H221" s="121"/>
      <c r="I221" s="121"/>
      <c r="J221" s="121"/>
      <c r="K221" s="121"/>
      <c r="L221" s="121"/>
      <c r="M221" s="121"/>
      <c r="N221" s="121"/>
      <c r="O221" s="121"/>
      <c r="P221" s="121"/>
      <c r="Q221" s="121"/>
      <c r="R221" s="121"/>
      <c r="S221" s="121"/>
      <c r="T221" s="121"/>
      <c r="U221" s="121"/>
      <c r="V221" s="121"/>
      <c r="W221" s="121"/>
      <c r="X221" s="121"/>
      <c r="Y221" s="121"/>
      <c r="Z221" s="121"/>
    </row>
    <row r="222" spans="1:26" ht="11.25" customHeight="1" x14ac:dyDescent="0.3">
      <c r="A222" s="121"/>
      <c r="B222" s="121"/>
      <c r="C222" s="121"/>
      <c r="D222" s="121"/>
      <c r="E222" s="121"/>
      <c r="F222" s="121"/>
      <c r="G222" s="121"/>
      <c r="H222" s="121"/>
      <c r="I222" s="121"/>
      <c r="J222" s="121"/>
      <c r="K222" s="121"/>
      <c r="L222" s="121"/>
      <c r="M222" s="121"/>
      <c r="N222" s="121"/>
      <c r="O222" s="121"/>
      <c r="P222" s="121"/>
      <c r="Q222" s="121"/>
      <c r="R222" s="121"/>
      <c r="S222" s="121"/>
      <c r="T222" s="121"/>
      <c r="U222" s="121"/>
      <c r="V222" s="121"/>
      <c r="W222" s="121"/>
      <c r="X222" s="121"/>
      <c r="Y222" s="121"/>
      <c r="Z222" s="121"/>
    </row>
    <row r="223" spans="1:26" ht="11.25" customHeight="1" x14ac:dyDescent="0.3">
      <c r="A223" s="121"/>
      <c r="B223" s="121"/>
      <c r="C223" s="121"/>
      <c r="D223" s="121"/>
      <c r="E223" s="121"/>
      <c r="F223" s="121"/>
      <c r="G223" s="121"/>
      <c r="H223" s="121"/>
      <c r="I223" s="121"/>
      <c r="J223" s="121"/>
      <c r="K223" s="121"/>
      <c r="L223" s="121"/>
      <c r="M223" s="121"/>
      <c r="N223" s="121"/>
      <c r="O223" s="121"/>
      <c r="P223" s="121"/>
      <c r="Q223" s="121"/>
      <c r="R223" s="121"/>
      <c r="S223" s="121"/>
      <c r="T223" s="121"/>
      <c r="U223" s="121"/>
      <c r="V223" s="121"/>
      <c r="W223" s="121"/>
      <c r="X223" s="121"/>
      <c r="Y223" s="121"/>
      <c r="Z223" s="121"/>
    </row>
    <row r="224" spans="1:26" ht="11.25" customHeight="1" x14ac:dyDescent="0.3">
      <c r="A224" s="121"/>
      <c r="B224" s="121"/>
      <c r="C224" s="121"/>
      <c r="D224" s="121"/>
      <c r="E224" s="121"/>
      <c r="F224" s="121"/>
      <c r="G224" s="121"/>
      <c r="H224" s="121"/>
      <c r="I224" s="121"/>
      <c r="J224" s="121"/>
      <c r="K224" s="121"/>
      <c r="L224" s="121"/>
      <c r="M224" s="121"/>
      <c r="N224" s="121"/>
      <c r="O224" s="121"/>
      <c r="P224" s="121"/>
      <c r="Q224" s="121"/>
      <c r="R224" s="121"/>
      <c r="S224" s="121"/>
      <c r="T224" s="121"/>
      <c r="U224" s="121"/>
      <c r="V224" s="121"/>
      <c r="W224" s="121"/>
      <c r="X224" s="121"/>
      <c r="Y224" s="121"/>
      <c r="Z224" s="121"/>
    </row>
    <row r="225" spans="1:26" ht="11.25" customHeight="1" x14ac:dyDescent="0.3">
      <c r="A225" s="121"/>
      <c r="B225" s="121"/>
      <c r="C225" s="121"/>
      <c r="D225" s="121"/>
      <c r="E225" s="121"/>
      <c r="F225" s="121"/>
      <c r="G225" s="121"/>
      <c r="H225" s="121"/>
      <c r="I225" s="121"/>
      <c r="J225" s="121"/>
      <c r="K225" s="121"/>
      <c r="L225" s="121"/>
      <c r="M225" s="121"/>
      <c r="N225" s="121"/>
      <c r="O225" s="121"/>
      <c r="P225" s="121"/>
      <c r="Q225" s="121"/>
      <c r="R225" s="121"/>
      <c r="S225" s="121"/>
      <c r="T225" s="121"/>
      <c r="U225" s="121"/>
      <c r="V225" s="121"/>
      <c r="W225" s="121"/>
      <c r="X225" s="121"/>
      <c r="Y225" s="121"/>
      <c r="Z225" s="121"/>
    </row>
    <row r="226" spans="1:26" ht="11.25" customHeight="1" x14ac:dyDescent="0.3">
      <c r="A226" s="121"/>
      <c r="B226" s="121"/>
      <c r="C226" s="121"/>
      <c r="D226" s="121"/>
      <c r="E226" s="121"/>
      <c r="F226" s="121"/>
      <c r="G226" s="121"/>
      <c r="H226" s="121"/>
      <c r="I226" s="121"/>
      <c r="J226" s="121"/>
      <c r="K226" s="121"/>
      <c r="L226" s="121"/>
      <c r="M226" s="121"/>
      <c r="N226" s="121"/>
      <c r="O226" s="121"/>
      <c r="P226" s="121"/>
      <c r="Q226" s="121"/>
      <c r="R226" s="121"/>
      <c r="S226" s="121"/>
      <c r="T226" s="121"/>
      <c r="U226" s="121"/>
      <c r="V226" s="121"/>
      <c r="W226" s="121"/>
      <c r="X226" s="121"/>
      <c r="Y226" s="121"/>
      <c r="Z226" s="121"/>
    </row>
    <row r="227" spans="1:26" ht="11.25" customHeight="1" x14ac:dyDescent="0.3">
      <c r="A227" s="121"/>
      <c r="B227" s="121"/>
      <c r="C227" s="121"/>
      <c r="D227" s="121"/>
      <c r="E227" s="121"/>
      <c r="F227" s="121"/>
      <c r="G227" s="121"/>
      <c r="H227" s="121"/>
      <c r="I227" s="121"/>
      <c r="J227" s="121"/>
      <c r="K227" s="121"/>
      <c r="L227" s="121"/>
      <c r="M227" s="121"/>
      <c r="N227" s="121"/>
      <c r="O227" s="121"/>
      <c r="P227" s="121"/>
      <c r="Q227" s="121"/>
      <c r="R227" s="121"/>
      <c r="S227" s="121"/>
      <c r="T227" s="121"/>
      <c r="U227" s="121"/>
      <c r="V227" s="121"/>
      <c r="W227" s="121"/>
      <c r="X227" s="121"/>
      <c r="Y227" s="121"/>
      <c r="Z227" s="121"/>
    </row>
    <row r="228" spans="1:26" ht="11.25" customHeight="1" x14ac:dyDescent="0.3">
      <c r="A228" s="121"/>
      <c r="B228" s="121"/>
      <c r="C228" s="121"/>
      <c r="D228" s="121"/>
      <c r="E228" s="121"/>
      <c r="F228" s="121"/>
      <c r="G228" s="121"/>
      <c r="H228" s="121"/>
      <c r="I228" s="121"/>
      <c r="J228" s="121"/>
      <c r="K228" s="121"/>
      <c r="L228" s="121"/>
      <c r="M228" s="121"/>
      <c r="N228" s="121"/>
      <c r="O228" s="121"/>
      <c r="P228" s="121"/>
      <c r="Q228" s="121"/>
      <c r="R228" s="121"/>
      <c r="S228" s="121"/>
      <c r="T228" s="121"/>
      <c r="U228" s="121"/>
      <c r="V228" s="121"/>
      <c r="W228" s="121"/>
      <c r="X228" s="121"/>
      <c r="Y228" s="121"/>
      <c r="Z228" s="121"/>
    </row>
    <row r="229" spans="1:26" ht="11.25" customHeight="1" x14ac:dyDescent="0.3">
      <c r="A229" s="121"/>
      <c r="B229" s="121"/>
      <c r="C229" s="121"/>
      <c r="D229" s="121"/>
      <c r="E229" s="121"/>
      <c r="F229" s="121"/>
      <c r="G229" s="121"/>
      <c r="H229" s="121"/>
      <c r="I229" s="121"/>
      <c r="J229" s="121"/>
      <c r="K229" s="121"/>
      <c r="L229" s="121"/>
      <c r="M229" s="121"/>
      <c r="N229" s="121"/>
      <c r="O229" s="121"/>
      <c r="P229" s="121"/>
      <c r="Q229" s="121"/>
      <c r="R229" s="121"/>
      <c r="S229" s="121"/>
      <c r="T229" s="121"/>
      <c r="U229" s="121"/>
      <c r="V229" s="121"/>
      <c r="W229" s="121"/>
      <c r="X229" s="121"/>
      <c r="Y229" s="121"/>
      <c r="Z229" s="121"/>
    </row>
    <row r="230" spans="1:26" ht="11.25" customHeight="1" x14ac:dyDescent="0.3">
      <c r="A230" s="121"/>
      <c r="B230" s="121"/>
      <c r="C230" s="121"/>
      <c r="D230" s="121"/>
      <c r="E230" s="121"/>
      <c r="F230" s="121"/>
      <c r="G230" s="121"/>
      <c r="H230" s="121"/>
      <c r="I230" s="121"/>
      <c r="J230" s="121"/>
      <c r="K230" s="121"/>
      <c r="L230" s="121"/>
      <c r="M230" s="121"/>
      <c r="N230" s="121"/>
      <c r="O230" s="121"/>
      <c r="P230" s="121"/>
      <c r="Q230" s="121"/>
      <c r="R230" s="121"/>
      <c r="S230" s="121"/>
      <c r="T230" s="121"/>
      <c r="U230" s="121"/>
      <c r="V230" s="121"/>
      <c r="W230" s="121"/>
      <c r="X230" s="121"/>
      <c r="Y230" s="121"/>
      <c r="Z230" s="121"/>
    </row>
    <row r="231" spans="1:26" ht="11.25" customHeight="1" x14ac:dyDescent="0.3">
      <c r="A231" s="121"/>
      <c r="B231" s="121"/>
      <c r="C231" s="121"/>
      <c r="D231" s="121"/>
      <c r="E231" s="121"/>
      <c r="F231" s="121"/>
      <c r="G231" s="121"/>
      <c r="H231" s="121"/>
      <c r="I231" s="121"/>
      <c r="J231" s="121"/>
      <c r="K231" s="121"/>
      <c r="L231" s="121"/>
      <c r="M231" s="121"/>
      <c r="N231" s="121"/>
      <c r="O231" s="121"/>
      <c r="P231" s="121"/>
      <c r="Q231" s="121"/>
      <c r="R231" s="121"/>
      <c r="S231" s="121"/>
      <c r="T231" s="121"/>
      <c r="U231" s="121"/>
      <c r="V231" s="121"/>
      <c r="W231" s="121"/>
      <c r="X231" s="121"/>
      <c r="Y231" s="121"/>
      <c r="Z231" s="121"/>
    </row>
    <row r="232" spans="1:26" ht="11.25" customHeight="1" x14ac:dyDescent="0.3">
      <c r="A232" s="121"/>
      <c r="B232" s="121"/>
      <c r="C232" s="121"/>
      <c r="D232" s="121"/>
      <c r="E232" s="121"/>
      <c r="F232" s="121"/>
      <c r="G232" s="121"/>
      <c r="H232" s="121"/>
      <c r="I232" s="121"/>
      <c r="J232" s="121"/>
      <c r="K232" s="121"/>
      <c r="L232" s="121"/>
      <c r="M232" s="121"/>
      <c r="N232" s="121"/>
      <c r="O232" s="121"/>
      <c r="P232" s="121"/>
      <c r="Q232" s="121"/>
      <c r="R232" s="121"/>
      <c r="S232" s="121"/>
      <c r="T232" s="121"/>
      <c r="U232" s="121"/>
      <c r="V232" s="121"/>
      <c r="W232" s="121"/>
      <c r="X232" s="121"/>
      <c r="Y232" s="121"/>
      <c r="Z232" s="121"/>
    </row>
    <row r="233" spans="1:26" ht="11.25" customHeight="1" x14ac:dyDescent="0.3">
      <c r="A233" s="121"/>
      <c r="B233" s="121"/>
      <c r="C233" s="121"/>
      <c r="D233" s="121"/>
      <c r="E233" s="121"/>
      <c r="F233" s="121"/>
      <c r="G233" s="121"/>
      <c r="H233" s="121"/>
      <c r="I233" s="121"/>
      <c r="J233" s="121"/>
      <c r="K233" s="121"/>
      <c r="L233" s="121"/>
      <c r="M233" s="121"/>
      <c r="N233" s="121"/>
      <c r="O233" s="121"/>
      <c r="P233" s="121"/>
      <c r="Q233" s="121"/>
      <c r="R233" s="121"/>
      <c r="S233" s="121"/>
      <c r="T233" s="121"/>
      <c r="U233" s="121"/>
      <c r="V233" s="121"/>
      <c r="W233" s="121"/>
      <c r="X233" s="121"/>
      <c r="Y233" s="121"/>
      <c r="Z233" s="121"/>
    </row>
    <row r="234" spans="1:26" ht="11.25" customHeight="1" x14ac:dyDescent="0.3">
      <c r="A234" s="121"/>
      <c r="B234" s="121"/>
      <c r="C234" s="121"/>
      <c r="D234" s="121"/>
      <c r="E234" s="121"/>
      <c r="F234" s="121"/>
      <c r="G234" s="121"/>
      <c r="H234" s="121"/>
      <c r="I234" s="121"/>
      <c r="J234" s="121"/>
      <c r="K234" s="121"/>
      <c r="L234" s="121"/>
      <c r="M234" s="121"/>
      <c r="N234" s="121"/>
      <c r="O234" s="121"/>
      <c r="P234" s="121"/>
      <c r="Q234" s="121"/>
      <c r="R234" s="121"/>
      <c r="S234" s="121"/>
      <c r="T234" s="121"/>
      <c r="U234" s="121"/>
      <c r="V234" s="121"/>
      <c r="W234" s="121"/>
      <c r="X234" s="121"/>
      <c r="Y234" s="121"/>
      <c r="Z234" s="121"/>
    </row>
    <row r="235" spans="1:26" ht="11.25" customHeight="1" x14ac:dyDescent="0.3">
      <c r="A235" s="121"/>
      <c r="B235" s="121"/>
      <c r="C235" s="121"/>
      <c r="D235" s="121"/>
      <c r="E235" s="121"/>
      <c r="F235" s="121"/>
      <c r="G235" s="121"/>
      <c r="H235" s="121"/>
      <c r="I235" s="121"/>
      <c r="J235" s="121"/>
      <c r="K235" s="121"/>
      <c r="L235" s="121"/>
      <c r="M235" s="121"/>
      <c r="N235" s="121"/>
      <c r="O235" s="121"/>
      <c r="P235" s="121"/>
      <c r="Q235" s="121"/>
      <c r="R235" s="121"/>
      <c r="S235" s="121"/>
      <c r="T235" s="121"/>
      <c r="U235" s="121"/>
      <c r="V235" s="121"/>
      <c r="W235" s="121"/>
      <c r="X235" s="121"/>
      <c r="Y235" s="121"/>
      <c r="Z235" s="121"/>
    </row>
    <row r="236" spans="1:26" ht="11.25" customHeight="1" x14ac:dyDescent="0.3">
      <c r="A236" s="121"/>
      <c r="B236" s="121"/>
      <c r="C236" s="121"/>
      <c r="D236" s="121"/>
      <c r="E236" s="121"/>
      <c r="F236" s="121"/>
      <c r="G236" s="121"/>
      <c r="H236" s="121"/>
      <c r="I236" s="121"/>
      <c r="J236" s="121"/>
      <c r="K236" s="121"/>
      <c r="L236" s="121"/>
      <c r="M236" s="121"/>
      <c r="N236" s="121"/>
      <c r="O236" s="121"/>
      <c r="P236" s="121"/>
      <c r="Q236" s="121"/>
      <c r="R236" s="121"/>
      <c r="S236" s="121"/>
      <c r="T236" s="121"/>
      <c r="U236" s="121"/>
      <c r="V236" s="121"/>
      <c r="W236" s="121"/>
      <c r="X236" s="121"/>
      <c r="Y236" s="121"/>
      <c r="Z236" s="121"/>
    </row>
    <row r="237" spans="1:26" ht="11.25" customHeight="1" x14ac:dyDescent="0.3">
      <c r="A237" s="121"/>
      <c r="B237" s="121"/>
      <c r="C237" s="121"/>
      <c r="D237" s="121"/>
      <c r="E237" s="121"/>
      <c r="F237" s="121"/>
      <c r="G237" s="121"/>
      <c r="H237" s="121"/>
      <c r="I237" s="121"/>
      <c r="J237" s="121"/>
      <c r="K237" s="121"/>
      <c r="L237" s="121"/>
      <c r="M237" s="121"/>
      <c r="N237" s="121"/>
      <c r="O237" s="121"/>
      <c r="P237" s="121"/>
      <c r="Q237" s="121"/>
      <c r="R237" s="121"/>
      <c r="S237" s="121"/>
      <c r="T237" s="121"/>
      <c r="U237" s="121"/>
      <c r="V237" s="121"/>
      <c r="W237" s="121"/>
      <c r="X237" s="121"/>
      <c r="Y237" s="121"/>
      <c r="Z237" s="121"/>
    </row>
    <row r="238" spans="1:26" ht="11.25" customHeight="1" x14ac:dyDescent="0.3">
      <c r="A238" s="121"/>
      <c r="B238" s="121"/>
      <c r="C238" s="121"/>
      <c r="D238" s="121"/>
      <c r="E238" s="121"/>
      <c r="F238" s="121"/>
      <c r="G238" s="121"/>
      <c r="H238" s="121"/>
      <c r="I238" s="121"/>
      <c r="J238" s="121"/>
      <c r="K238" s="121"/>
      <c r="L238" s="121"/>
      <c r="M238" s="121"/>
      <c r="N238" s="121"/>
      <c r="O238" s="121"/>
      <c r="P238" s="121"/>
      <c r="Q238" s="121"/>
      <c r="R238" s="121"/>
      <c r="S238" s="121"/>
      <c r="T238" s="121"/>
      <c r="U238" s="121"/>
      <c r="V238" s="121"/>
      <c r="W238" s="121"/>
      <c r="X238" s="121"/>
      <c r="Y238" s="121"/>
      <c r="Z238" s="121"/>
    </row>
    <row r="239" spans="1:26" ht="11.25" customHeight="1" x14ac:dyDescent="0.3">
      <c r="A239" s="121"/>
      <c r="B239" s="121"/>
      <c r="C239" s="121"/>
      <c r="D239" s="121"/>
      <c r="E239" s="121"/>
      <c r="F239" s="121"/>
      <c r="G239" s="121"/>
      <c r="H239" s="121"/>
      <c r="I239" s="121"/>
      <c r="J239" s="121"/>
      <c r="K239" s="121"/>
      <c r="L239" s="121"/>
      <c r="M239" s="121"/>
      <c r="N239" s="121"/>
      <c r="O239" s="121"/>
      <c r="P239" s="121"/>
      <c r="Q239" s="121"/>
      <c r="R239" s="121"/>
      <c r="S239" s="121"/>
      <c r="T239" s="121"/>
      <c r="U239" s="121"/>
      <c r="V239" s="121"/>
      <c r="W239" s="121"/>
      <c r="X239" s="121"/>
      <c r="Y239" s="121"/>
      <c r="Z239" s="121"/>
    </row>
    <row r="240" spans="1:26" ht="11.25" customHeight="1" x14ac:dyDescent="0.3">
      <c r="A240" s="121"/>
      <c r="B240" s="121"/>
      <c r="C240" s="121"/>
      <c r="D240" s="121"/>
      <c r="E240" s="121"/>
      <c r="F240" s="121"/>
      <c r="G240" s="121"/>
      <c r="H240" s="121"/>
      <c r="I240" s="121"/>
      <c r="J240" s="121"/>
      <c r="K240" s="121"/>
      <c r="L240" s="121"/>
      <c r="M240" s="121"/>
      <c r="N240" s="121"/>
      <c r="O240" s="121"/>
      <c r="P240" s="121"/>
      <c r="Q240" s="121"/>
      <c r="R240" s="121"/>
      <c r="S240" s="121"/>
      <c r="T240" s="121"/>
      <c r="U240" s="121"/>
      <c r="V240" s="121"/>
      <c r="W240" s="121"/>
      <c r="X240" s="121"/>
      <c r="Y240" s="121"/>
      <c r="Z240" s="121"/>
    </row>
    <row r="241" spans="1:26" ht="11.25" customHeight="1" x14ac:dyDescent="0.3">
      <c r="A241" s="121"/>
      <c r="B241" s="121"/>
      <c r="C241" s="121"/>
      <c r="D241" s="121"/>
      <c r="E241" s="121"/>
      <c r="F241" s="121"/>
      <c r="G241" s="121"/>
      <c r="H241" s="121"/>
      <c r="I241" s="121"/>
      <c r="J241" s="121"/>
      <c r="K241" s="121"/>
      <c r="L241" s="121"/>
      <c r="M241" s="121"/>
      <c r="N241" s="121"/>
      <c r="O241" s="121"/>
      <c r="P241" s="121"/>
      <c r="Q241" s="121"/>
      <c r="R241" s="121"/>
      <c r="S241" s="121"/>
      <c r="T241" s="121"/>
      <c r="U241" s="121"/>
      <c r="V241" s="121"/>
      <c r="W241" s="121"/>
      <c r="X241" s="121"/>
      <c r="Y241" s="121"/>
      <c r="Z241" s="121"/>
    </row>
    <row r="242" spans="1:26" ht="11.25" customHeight="1" x14ac:dyDescent="0.3">
      <c r="A242" s="121"/>
      <c r="B242" s="121"/>
      <c r="C242" s="121"/>
      <c r="D242" s="121"/>
      <c r="E242" s="121"/>
      <c r="F242" s="121"/>
      <c r="G242" s="121"/>
      <c r="H242" s="121"/>
      <c r="I242" s="121"/>
      <c r="J242" s="121"/>
      <c r="K242" s="121"/>
      <c r="L242" s="121"/>
      <c r="M242" s="121"/>
      <c r="N242" s="121"/>
      <c r="O242" s="121"/>
      <c r="P242" s="121"/>
      <c r="Q242" s="121"/>
      <c r="R242" s="121"/>
      <c r="S242" s="121"/>
      <c r="T242" s="121"/>
      <c r="U242" s="121"/>
      <c r="V242" s="121"/>
      <c r="W242" s="121"/>
      <c r="X242" s="121"/>
      <c r="Y242" s="121"/>
      <c r="Z242" s="121"/>
    </row>
    <row r="243" spans="1:26" ht="11.25" customHeight="1" x14ac:dyDescent="0.3">
      <c r="A243" s="121"/>
      <c r="B243" s="121"/>
      <c r="C243" s="121"/>
      <c r="D243" s="121"/>
      <c r="E243" s="121"/>
      <c r="F243" s="121"/>
      <c r="G243" s="121"/>
      <c r="H243" s="121"/>
      <c r="I243" s="121"/>
      <c r="J243" s="121"/>
      <c r="K243" s="121"/>
      <c r="L243" s="121"/>
      <c r="M243" s="121"/>
      <c r="N243" s="121"/>
      <c r="O243" s="121"/>
      <c r="P243" s="121"/>
      <c r="Q243" s="121"/>
      <c r="R243" s="121"/>
      <c r="S243" s="121"/>
      <c r="T243" s="121"/>
      <c r="U243" s="121"/>
      <c r="V243" s="121"/>
      <c r="W243" s="121"/>
      <c r="X243" s="121"/>
      <c r="Y243" s="121"/>
      <c r="Z243" s="121"/>
    </row>
    <row r="244" spans="1:26" ht="11.25" customHeight="1" x14ac:dyDescent="0.3">
      <c r="A244" s="121"/>
      <c r="B244" s="121"/>
      <c r="C244" s="121"/>
      <c r="D244" s="121"/>
      <c r="E244" s="121"/>
      <c r="F244" s="121"/>
      <c r="G244" s="121"/>
      <c r="H244" s="121"/>
      <c r="I244" s="121"/>
      <c r="J244" s="121"/>
      <c r="K244" s="121"/>
      <c r="L244" s="121"/>
      <c r="M244" s="121"/>
      <c r="N244" s="121"/>
      <c r="O244" s="121"/>
      <c r="P244" s="121"/>
      <c r="Q244" s="121"/>
      <c r="R244" s="121"/>
      <c r="S244" s="121"/>
      <c r="T244" s="121"/>
      <c r="U244" s="121"/>
      <c r="V244" s="121"/>
      <c r="W244" s="121"/>
      <c r="X244" s="121"/>
      <c r="Y244" s="121"/>
      <c r="Z244" s="121"/>
    </row>
    <row r="245" spans="1:26" ht="11.25" customHeight="1" x14ac:dyDescent="0.3">
      <c r="A245" s="121"/>
      <c r="B245" s="121"/>
      <c r="C245" s="121"/>
      <c r="D245" s="121"/>
      <c r="E245" s="121"/>
      <c r="F245" s="121"/>
      <c r="G245" s="121"/>
      <c r="H245" s="121"/>
      <c r="I245" s="121"/>
      <c r="J245" s="121"/>
      <c r="K245" s="121"/>
      <c r="L245" s="121"/>
      <c r="M245" s="121"/>
      <c r="N245" s="121"/>
      <c r="O245" s="121"/>
      <c r="P245" s="121"/>
      <c r="Q245" s="121"/>
      <c r="R245" s="121"/>
      <c r="S245" s="121"/>
      <c r="T245" s="121"/>
      <c r="U245" s="121"/>
      <c r="V245" s="121"/>
      <c r="W245" s="121"/>
      <c r="X245" s="121"/>
      <c r="Y245" s="121"/>
      <c r="Z245" s="121"/>
    </row>
    <row r="246" spans="1:26" ht="11.25" customHeight="1" x14ac:dyDescent="0.3">
      <c r="A246" s="121"/>
      <c r="B246" s="121"/>
      <c r="C246" s="121"/>
      <c r="D246" s="121"/>
      <c r="E246" s="121"/>
      <c r="F246" s="121"/>
      <c r="G246" s="121"/>
      <c r="H246" s="121"/>
      <c r="I246" s="121"/>
      <c r="J246" s="121"/>
      <c r="K246" s="121"/>
      <c r="L246" s="121"/>
      <c r="M246" s="121"/>
      <c r="N246" s="121"/>
      <c r="O246" s="121"/>
      <c r="P246" s="121"/>
      <c r="Q246" s="121"/>
      <c r="R246" s="121"/>
      <c r="S246" s="121"/>
      <c r="T246" s="121"/>
      <c r="U246" s="121"/>
      <c r="V246" s="121"/>
      <c r="W246" s="121"/>
      <c r="X246" s="121"/>
      <c r="Y246" s="121"/>
      <c r="Z246" s="121"/>
    </row>
    <row r="247" spans="1:26" ht="11.25" customHeight="1" x14ac:dyDescent="0.3">
      <c r="A247" s="121"/>
      <c r="B247" s="121"/>
      <c r="C247" s="121"/>
      <c r="D247" s="121"/>
      <c r="E247" s="121"/>
      <c r="F247" s="121"/>
      <c r="G247" s="121"/>
      <c r="H247" s="121"/>
      <c r="I247" s="121"/>
      <c r="J247" s="121"/>
      <c r="K247" s="121"/>
      <c r="L247" s="121"/>
      <c r="M247" s="121"/>
      <c r="N247" s="121"/>
      <c r="O247" s="121"/>
      <c r="P247" s="121"/>
      <c r="Q247" s="121"/>
      <c r="R247" s="121"/>
      <c r="S247" s="121"/>
      <c r="T247" s="121"/>
      <c r="U247" s="121"/>
      <c r="V247" s="121"/>
      <c r="W247" s="121"/>
      <c r="X247" s="121"/>
      <c r="Y247" s="121"/>
      <c r="Z247" s="121"/>
    </row>
    <row r="248" spans="1:26" ht="11.25" customHeight="1" x14ac:dyDescent="0.3">
      <c r="A248" s="121"/>
      <c r="B248" s="121"/>
      <c r="C248" s="121"/>
      <c r="D248" s="121"/>
      <c r="E248" s="121"/>
      <c r="F248" s="121"/>
      <c r="G248" s="121"/>
      <c r="H248" s="121"/>
      <c r="I248" s="121"/>
      <c r="J248" s="121"/>
      <c r="K248" s="121"/>
      <c r="L248" s="121"/>
      <c r="M248" s="121"/>
      <c r="N248" s="121"/>
      <c r="O248" s="121"/>
      <c r="P248" s="121"/>
      <c r="Q248" s="121"/>
      <c r="R248" s="121"/>
      <c r="S248" s="121"/>
      <c r="T248" s="121"/>
      <c r="U248" s="121"/>
      <c r="V248" s="121"/>
      <c r="W248" s="121"/>
      <c r="X248" s="121"/>
      <c r="Y248" s="121"/>
      <c r="Z248" s="121"/>
    </row>
    <row r="249" spans="1:26" ht="11.25" customHeight="1" x14ac:dyDescent="0.3">
      <c r="A249" s="121"/>
      <c r="B249" s="121"/>
      <c r="C249" s="121"/>
      <c r="D249" s="121"/>
      <c r="E249" s="121"/>
      <c r="F249" s="121"/>
      <c r="G249" s="121"/>
      <c r="H249" s="121"/>
      <c r="I249" s="121"/>
      <c r="J249" s="121"/>
      <c r="K249" s="121"/>
      <c r="L249" s="121"/>
      <c r="M249" s="121"/>
      <c r="N249" s="121"/>
      <c r="O249" s="121"/>
      <c r="P249" s="121"/>
      <c r="Q249" s="121"/>
      <c r="R249" s="121"/>
      <c r="S249" s="121"/>
      <c r="T249" s="121"/>
      <c r="U249" s="121"/>
      <c r="V249" s="121"/>
      <c r="W249" s="121"/>
      <c r="X249" s="121"/>
      <c r="Y249" s="121"/>
      <c r="Z249" s="121"/>
    </row>
    <row r="250" spans="1:26" ht="11.25" customHeight="1" x14ac:dyDescent="0.3">
      <c r="A250" s="121"/>
      <c r="B250" s="121"/>
      <c r="C250" s="121"/>
      <c r="D250" s="121"/>
      <c r="E250" s="121"/>
      <c r="F250" s="121"/>
      <c r="G250" s="121"/>
      <c r="H250" s="121"/>
      <c r="I250" s="121"/>
      <c r="J250" s="121"/>
      <c r="K250" s="121"/>
      <c r="L250" s="121"/>
      <c r="M250" s="121"/>
      <c r="N250" s="121"/>
      <c r="O250" s="121"/>
      <c r="P250" s="121"/>
      <c r="Q250" s="121"/>
      <c r="R250" s="121"/>
      <c r="S250" s="121"/>
      <c r="T250" s="121"/>
      <c r="U250" s="121"/>
      <c r="V250" s="121"/>
      <c r="W250" s="121"/>
      <c r="X250" s="121"/>
      <c r="Y250" s="121"/>
      <c r="Z250" s="121"/>
    </row>
    <row r="251" spans="1:26" ht="11.25" customHeight="1" x14ac:dyDescent="0.3">
      <c r="A251" s="121"/>
      <c r="B251" s="121"/>
      <c r="C251" s="121"/>
      <c r="D251" s="121"/>
      <c r="E251" s="121"/>
      <c r="F251" s="121"/>
      <c r="G251" s="121"/>
      <c r="H251" s="121"/>
      <c r="I251" s="121"/>
      <c r="J251" s="121"/>
      <c r="K251" s="121"/>
      <c r="L251" s="121"/>
      <c r="M251" s="121"/>
      <c r="N251" s="121"/>
      <c r="O251" s="121"/>
      <c r="P251" s="121"/>
      <c r="Q251" s="121"/>
      <c r="R251" s="121"/>
      <c r="S251" s="121"/>
      <c r="T251" s="121"/>
      <c r="U251" s="121"/>
      <c r="V251" s="121"/>
      <c r="W251" s="121"/>
      <c r="X251" s="121"/>
      <c r="Y251" s="121"/>
      <c r="Z251" s="121"/>
    </row>
    <row r="252" spans="1:26" ht="11.25" customHeight="1" x14ac:dyDescent="0.3">
      <c r="A252" s="121"/>
      <c r="B252" s="121"/>
      <c r="C252" s="121"/>
      <c r="D252" s="121"/>
      <c r="E252" s="121"/>
      <c r="F252" s="121"/>
      <c r="G252" s="121"/>
      <c r="H252" s="121"/>
      <c r="I252" s="121"/>
      <c r="J252" s="121"/>
      <c r="K252" s="121"/>
      <c r="L252" s="121"/>
      <c r="M252" s="121"/>
      <c r="N252" s="121"/>
      <c r="O252" s="121"/>
      <c r="P252" s="121"/>
      <c r="Q252" s="121"/>
      <c r="R252" s="121"/>
      <c r="S252" s="121"/>
      <c r="T252" s="121"/>
      <c r="U252" s="121"/>
      <c r="V252" s="121"/>
      <c r="W252" s="121"/>
      <c r="X252" s="121"/>
      <c r="Y252" s="121"/>
      <c r="Z252" s="121"/>
    </row>
    <row r="253" spans="1:26" ht="11.25" customHeight="1" x14ac:dyDescent="0.3">
      <c r="A253" s="121"/>
      <c r="B253" s="121"/>
      <c r="C253" s="121"/>
      <c r="D253" s="121"/>
      <c r="E253" s="121"/>
      <c r="F253" s="121"/>
      <c r="G253" s="121"/>
      <c r="H253" s="121"/>
      <c r="I253" s="121"/>
      <c r="J253" s="121"/>
      <c r="K253" s="121"/>
      <c r="L253" s="121"/>
      <c r="M253" s="121"/>
      <c r="N253" s="121"/>
      <c r="O253" s="121"/>
      <c r="P253" s="121"/>
      <c r="Q253" s="121"/>
      <c r="R253" s="121"/>
      <c r="S253" s="121"/>
      <c r="T253" s="121"/>
      <c r="U253" s="121"/>
      <c r="V253" s="121"/>
      <c r="W253" s="121"/>
      <c r="X253" s="121"/>
      <c r="Y253" s="121"/>
      <c r="Z253" s="121"/>
    </row>
    <row r="254" spans="1:26" ht="11.25" customHeight="1" x14ac:dyDescent="0.3">
      <c r="A254" s="121"/>
      <c r="B254" s="121"/>
      <c r="C254" s="121"/>
      <c r="D254" s="121"/>
      <c r="E254" s="121"/>
      <c r="F254" s="121"/>
      <c r="G254" s="121"/>
      <c r="H254" s="121"/>
      <c r="I254" s="121"/>
      <c r="J254" s="121"/>
      <c r="K254" s="121"/>
      <c r="L254" s="121"/>
      <c r="M254" s="121"/>
      <c r="N254" s="121"/>
      <c r="O254" s="121"/>
      <c r="P254" s="121"/>
      <c r="Q254" s="121"/>
      <c r="R254" s="121"/>
      <c r="S254" s="121"/>
      <c r="T254" s="121"/>
      <c r="U254" s="121"/>
      <c r="V254" s="121"/>
      <c r="W254" s="121"/>
      <c r="X254" s="121"/>
      <c r="Y254" s="121"/>
      <c r="Z254" s="121"/>
    </row>
    <row r="255" spans="1:26" ht="11.25" customHeight="1" x14ac:dyDescent="0.3">
      <c r="A255" s="121"/>
      <c r="B255" s="121"/>
      <c r="C255" s="121"/>
      <c r="D255" s="121"/>
      <c r="E255" s="121"/>
      <c r="F255" s="121"/>
      <c r="G255" s="121"/>
      <c r="H255" s="121"/>
      <c r="I255" s="121"/>
      <c r="J255" s="121"/>
      <c r="K255" s="121"/>
      <c r="L255" s="121"/>
      <c r="M255" s="121"/>
      <c r="N255" s="121"/>
      <c r="O255" s="121"/>
      <c r="P255" s="121"/>
      <c r="Q255" s="121"/>
      <c r="R255" s="121"/>
      <c r="S255" s="121"/>
      <c r="T255" s="121"/>
      <c r="U255" s="121"/>
      <c r="V255" s="121"/>
      <c r="W255" s="121"/>
      <c r="X255" s="121"/>
      <c r="Y255" s="121"/>
      <c r="Z255" s="121"/>
    </row>
    <row r="256" spans="1:26" ht="11.25" customHeight="1" x14ac:dyDescent="0.3">
      <c r="A256" s="121"/>
      <c r="B256" s="121"/>
      <c r="C256" s="121"/>
      <c r="D256" s="121"/>
      <c r="E256" s="121"/>
      <c r="F256" s="121"/>
      <c r="G256" s="121"/>
      <c r="H256" s="121"/>
      <c r="I256" s="121"/>
      <c r="J256" s="121"/>
      <c r="K256" s="121"/>
      <c r="L256" s="121"/>
      <c r="M256" s="121"/>
      <c r="N256" s="121"/>
      <c r="O256" s="121"/>
      <c r="P256" s="121"/>
      <c r="Q256" s="121"/>
      <c r="R256" s="121"/>
      <c r="S256" s="121"/>
      <c r="T256" s="121"/>
      <c r="U256" s="121"/>
      <c r="V256" s="121"/>
      <c r="W256" s="121"/>
      <c r="X256" s="121"/>
      <c r="Y256" s="121"/>
      <c r="Z256" s="121"/>
    </row>
    <row r="257" spans="1:26" ht="11.25" customHeight="1" x14ac:dyDescent="0.3">
      <c r="A257" s="121"/>
      <c r="B257" s="121"/>
      <c r="C257" s="121"/>
      <c r="D257" s="121"/>
      <c r="E257" s="121"/>
      <c r="F257" s="121"/>
      <c r="G257" s="121"/>
      <c r="H257" s="121"/>
      <c r="I257" s="121"/>
      <c r="J257" s="121"/>
      <c r="K257" s="121"/>
      <c r="L257" s="121"/>
      <c r="M257" s="121"/>
      <c r="N257" s="121"/>
      <c r="O257" s="121"/>
      <c r="P257" s="121"/>
      <c r="Q257" s="121"/>
      <c r="R257" s="121"/>
      <c r="S257" s="121"/>
      <c r="T257" s="121"/>
      <c r="U257" s="121"/>
      <c r="V257" s="121"/>
      <c r="W257" s="121"/>
      <c r="X257" s="121"/>
      <c r="Y257" s="121"/>
      <c r="Z257" s="121"/>
    </row>
    <row r="258" spans="1:26" ht="11.25" customHeight="1" x14ac:dyDescent="0.3">
      <c r="A258" s="121"/>
      <c r="B258" s="121"/>
      <c r="C258" s="121"/>
      <c r="D258" s="121"/>
      <c r="E258" s="121"/>
      <c r="F258" s="121"/>
      <c r="G258" s="121"/>
      <c r="H258" s="121"/>
      <c r="I258" s="121"/>
      <c r="J258" s="121"/>
      <c r="K258" s="121"/>
      <c r="L258" s="121"/>
      <c r="M258" s="121"/>
      <c r="N258" s="121"/>
      <c r="O258" s="121"/>
      <c r="P258" s="121"/>
      <c r="Q258" s="121"/>
      <c r="R258" s="121"/>
      <c r="S258" s="121"/>
      <c r="T258" s="121"/>
      <c r="U258" s="121"/>
      <c r="V258" s="121"/>
      <c r="W258" s="121"/>
      <c r="X258" s="121"/>
      <c r="Y258" s="121"/>
      <c r="Z258" s="121"/>
    </row>
    <row r="259" spans="1:26" ht="11.25" customHeight="1" x14ac:dyDescent="0.3">
      <c r="A259" s="121"/>
      <c r="B259" s="121"/>
      <c r="C259" s="121"/>
      <c r="D259" s="121"/>
      <c r="E259" s="121"/>
      <c r="F259" s="121"/>
      <c r="G259" s="121"/>
      <c r="H259" s="121"/>
      <c r="I259" s="121"/>
      <c r="J259" s="121"/>
      <c r="K259" s="121"/>
      <c r="L259" s="121"/>
      <c r="M259" s="121"/>
      <c r="N259" s="121"/>
      <c r="O259" s="121"/>
      <c r="P259" s="121"/>
      <c r="Q259" s="121"/>
      <c r="R259" s="121"/>
      <c r="S259" s="121"/>
      <c r="T259" s="121"/>
      <c r="U259" s="121"/>
      <c r="V259" s="121"/>
      <c r="W259" s="121"/>
      <c r="X259" s="121"/>
      <c r="Y259" s="121"/>
      <c r="Z259" s="121"/>
    </row>
    <row r="260" spans="1:26" ht="11.25" customHeight="1" x14ac:dyDescent="0.3">
      <c r="A260" s="121"/>
      <c r="B260" s="121"/>
      <c r="C260" s="121"/>
      <c r="D260" s="121"/>
      <c r="E260" s="121"/>
      <c r="F260" s="121"/>
      <c r="G260" s="121"/>
      <c r="H260" s="121"/>
      <c r="I260" s="121"/>
      <c r="J260" s="121"/>
      <c r="K260" s="121"/>
      <c r="L260" s="121"/>
      <c r="M260" s="121"/>
      <c r="N260" s="121"/>
      <c r="O260" s="121"/>
      <c r="P260" s="121"/>
      <c r="Q260" s="121"/>
      <c r="R260" s="121"/>
      <c r="S260" s="121"/>
      <c r="T260" s="121"/>
      <c r="U260" s="121"/>
      <c r="V260" s="121"/>
      <c r="W260" s="121"/>
      <c r="X260" s="121"/>
      <c r="Y260" s="121"/>
      <c r="Z260" s="121"/>
    </row>
    <row r="261" spans="1:26" ht="11.25" customHeight="1" x14ac:dyDescent="0.3">
      <c r="A261" s="121"/>
      <c r="B261" s="121"/>
      <c r="C261" s="121"/>
      <c r="D261" s="121"/>
      <c r="E261" s="121"/>
      <c r="F261" s="121"/>
      <c r="G261" s="121"/>
      <c r="H261" s="121"/>
      <c r="I261" s="121"/>
      <c r="J261" s="121"/>
      <c r="K261" s="121"/>
      <c r="L261" s="121"/>
      <c r="M261" s="121"/>
      <c r="N261" s="121"/>
      <c r="O261" s="121"/>
      <c r="P261" s="121"/>
      <c r="Q261" s="121"/>
      <c r="R261" s="121"/>
      <c r="S261" s="121"/>
      <c r="T261" s="121"/>
      <c r="U261" s="121"/>
      <c r="V261" s="121"/>
      <c r="W261" s="121"/>
      <c r="X261" s="121"/>
      <c r="Y261" s="121"/>
      <c r="Z261" s="121"/>
    </row>
    <row r="262" spans="1:26" ht="11.25" customHeight="1" x14ac:dyDescent="0.3">
      <c r="A262" s="121"/>
      <c r="B262" s="121"/>
      <c r="C262" s="121"/>
      <c r="D262" s="121"/>
      <c r="E262" s="121"/>
      <c r="F262" s="121"/>
      <c r="G262" s="121"/>
      <c r="H262" s="121"/>
      <c r="I262" s="121"/>
      <c r="J262" s="121"/>
      <c r="K262" s="121"/>
      <c r="L262" s="121"/>
      <c r="M262" s="121"/>
      <c r="N262" s="121"/>
      <c r="O262" s="121"/>
      <c r="P262" s="121"/>
      <c r="Q262" s="121"/>
      <c r="R262" s="121"/>
      <c r="S262" s="121"/>
      <c r="T262" s="121"/>
      <c r="U262" s="121"/>
      <c r="V262" s="121"/>
      <c r="W262" s="121"/>
      <c r="X262" s="121"/>
      <c r="Y262" s="121"/>
      <c r="Z262" s="121"/>
    </row>
    <row r="263" spans="1:26" ht="11.25" customHeight="1" x14ac:dyDescent="0.3">
      <c r="A263" s="121"/>
      <c r="B263" s="121"/>
      <c r="C263" s="121"/>
      <c r="D263" s="121"/>
      <c r="E263" s="121"/>
      <c r="F263" s="121"/>
      <c r="G263" s="121"/>
      <c r="H263" s="121"/>
      <c r="I263" s="121"/>
      <c r="J263" s="121"/>
      <c r="K263" s="121"/>
      <c r="L263" s="121"/>
      <c r="M263" s="121"/>
      <c r="N263" s="121"/>
      <c r="O263" s="121"/>
      <c r="P263" s="121"/>
      <c r="Q263" s="121"/>
      <c r="R263" s="121"/>
      <c r="S263" s="121"/>
      <c r="T263" s="121"/>
      <c r="U263" s="121"/>
      <c r="V263" s="121"/>
      <c r="W263" s="121"/>
      <c r="X263" s="121"/>
      <c r="Y263" s="121"/>
      <c r="Z263" s="121"/>
    </row>
    <row r="264" spans="1:26" ht="11.25" customHeight="1" x14ac:dyDescent="0.3">
      <c r="A264" s="121"/>
      <c r="B264" s="121"/>
      <c r="C264" s="121"/>
      <c r="D264" s="121"/>
      <c r="E264" s="121"/>
      <c r="F264" s="121"/>
      <c r="G264" s="121"/>
      <c r="H264" s="121"/>
      <c r="I264" s="121"/>
      <c r="J264" s="121"/>
      <c r="K264" s="121"/>
      <c r="L264" s="121"/>
      <c r="M264" s="121"/>
      <c r="N264" s="121"/>
      <c r="O264" s="121"/>
      <c r="P264" s="121"/>
      <c r="Q264" s="121"/>
      <c r="R264" s="121"/>
      <c r="S264" s="121"/>
      <c r="T264" s="121"/>
      <c r="U264" s="121"/>
      <c r="V264" s="121"/>
      <c r="W264" s="121"/>
      <c r="X264" s="121"/>
      <c r="Y264" s="121"/>
      <c r="Z264" s="121"/>
    </row>
    <row r="265" spans="1:26" ht="11.25" customHeight="1" x14ac:dyDescent="0.3">
      <c r="A265" s="121"/>
      <c r="B265" s="121"/>
      <c r="C265" s="121"/>
      <c r="D265" s="121"/>
      <c r="E265" s="121"/>
      <c r="F265" s="121"/>
      <c r="G265" s="121"/>
      <c r="H265" s="121"/>
      <c r="I265" s="121"/>
      <c r="J265" s="121"/>
      <c r="K265" s="121"/>
      <c r="L265" s="121"/>
      <c r="M265" s="121"/>
      <c r="N265" s="121"/>
      <c r="O265" s="121"/>
      <c r="P265" s="121"/>
      <c r="Q265" s="121"/>
      <c r="R265" s="121"/>
      <c r="S265" s="121"/>
      <c r="T265" s="121"/>
      <c r="U265" s="121"/>
      <c r="V265" s="121"/>
      <c r="W265" s="121"/>
      <c r="X265" s="121"/>
      <c r="Y265" s="121"/>
      <c r="Z265" s="121"/>
    </row>
    <row r="266" spans="1:26" ht="11.25" customHeight="1" x14ac:dyDescent="0.3">
      <c r="A266" s="121"/>
      <c r="B266" s="121"/>
      <c r="C266" s="121"/>
      <c r="D266" s="121"/>
      <c r="E266" s="121"/>
      <c r="F266" s="121"/>
      <c r="G266" s="121"/>
      <c r="H266" s="121"/>
      <c r="I266" s="121"/>
      <c r="J266" s="121"/>
      <c r="K266" s="121"/>
      <c r="L266" s="121"/>
      <c r="M266" s="121"/>
      <c r="N266" s="121"/>
      <c r="O266" s="121"/>
      <c r="P266" s="121"/>
      <c r="Q266" s="121"/>
      <c r="R266" s="121"/>
      <c r="S266" s="121"/>
      <c r="T266" s="121"/>
      <c r="U266" s="121"/>
      <c r="V266" s="121"/>
      <c r="W266" s="121"/>
      <c r="X266" s="121"/>
      <c r="Y266" s="121"/>
      <c r="Z266" s="121"/>
    </row>
    <row r="267" spans="1:26" ht="11.25" customHeight="1" x14ac:dyDescent="0.3">
      <c r="A267" s="121"/>
      <c r="B267" s="121"/>
      <c r="C267" s="121"/>
      <c r="D267" s="121"/>
      <c r="E267" s="121"/>
      <c r="F267" s="121"/>
      <c r="G267" s="121"/>
      <c r="H267" s="121"/>
      <c r="I267" s="121"/>
      <c r="J267" s="121"/>
      <c r="K267" s="121"/>
      <c r="L267" s="121"/>
      <c r="M267" s="121"/>
      <c r="N267" s="121"/>
      <c r="O267" s="121"/>
      <c r="P267" s="121"/>
      <c r="Q267" s="121"/>
      <c r="R267" s="121"/>
      <c r="S267" s="121"/>
      <c r="T267" s="121"/>
      <c r="U267" s="121"/>
      <c r="V267" s="121"/>
      <c r="W267" s="121"/>
      <c r="X267" s="121"/>
      <c r="Y267" s="121"/>
      <c r="Z267" s="121"/>
    </row>
    <row r="268" spans="1:26" ht="11.25" customHeight="1" x14ac:dyDescent="0.3">
      <c r="A268" s="121"/>
      <c r="B268" s="121"/>
      <c r="C268" s="121"/>
      <c r="D268" s="121"/>
      <c r="E268" s="121"/>
      <c r="F268" s="121"/>
      <c r="G268" s="121"/>
      <c r="H268" s="121"/>
      <c r="I268" s="121"/>
      <c r="J268" s="121"/>
      <c r="K268" s="121"/>
      <c r="L268" s="121"/>
      <c r="M268" s="121"/>
      <c r="N268" s="121"/>
      <c r="O268" s="121"/>
      <c r="P268" s="121"/>
      <c r="Q268" s="121"/>
      <c r="R268" s="121"/>
      <c r="S268" s="121"/>
      <c r="T268" s="121"/>
      <c r="U268" s="121"/>
      <c r="V268" s="121"/>
      <c r="W268" s="121"/>
      <c r="X268" s="121"/>
      <c r="Y268" s="121"/>
      <c r="Z268" s="121"/>
    </row>
    <row r="269" spans="1:26" ht="11.25" customHeight="1" x14ac:dyDescent="0.3">
      <c r="A269" s="121"/>
      <c r="B269" s="121"/>
      <c r="C269" s="121"/>
      <c r="D269" s="121"/>
      <c r="E269" s="121"/>
      <c r="F269" s="121"/>
      <c r="G269" s="121"/>
      <c r="H269" s="121"/>
      <c r="I269" s="121"/>
      <c r="J269" s="121"/>
      <c r="K269" s="121"/>
      <c r="L269" s="121"/>
      <c r="M269" s="121"/>
      <c r="N269" s="121"/>
      <c r="O269" s="121"/>
      <c r="P269" s="121"/>
      <c r="Q269" s="121"/>
      <c r="R269" s="121"/>
      <c r="S269" s="121"/>
      <c r="T269" s="121"/>
      <c r="U269" s="121"/>
      <c r="V269" s="121"/>
      <c r="W269" s="121"/>
      <c r="X269" s="121"/>
      <c r="Y269" s="121"/>
      <c r="Z269" s="121"/>
    </row>
    <row r="270" spans="1:26" ht="11.25" customHeight="1" x14ac:dyDescent="0.3">
      <c r="A270" s="121"/>
      <c r="B270" s="121"/>
      <c r="C270" s="121"/>
      <c r="D270" s="121"/>
      <c r="E270" s="121"/>
      <c r="F270" s="121"/>
      <c r="G270" s="121"/>
      <c r="H270" s="121"/>
      <c r="I270" s="121"/>
      <c r="J270" s="121"/>
      <c r="K270" s="121"/>
      <c r="L270" s="121"/>
      <c r="M270" s="121"/>
      <c r="N270" s="121"/>
      <c r="O270" s="121"/>
      <c r="P270" s="121"/>
      <c r="Q270" s="121"/>
      <c r="R270" s="121"/>
      <c r="S270" s="121"/>
      <c r="T270" s="121"/>
      <c r="U270" s="121"/>
      <c r="V270" s="121"/>
      <c r="W270" s="121"/>
      <c r="X270" s="121"/>
      <c r="Y270" s="121"/>
      <c r="Z270" s="121"/>
    </row>
    <row r="271" spans="1:26" ht="11.25" customHeight="1" x14ac:dyDescent="0.3">
      <c r="A271" s="121"/>
      <c r="B271" s="121"/>
      <c r="C271" s="121"/>
      <c r="D271" s="121"/>
      <c r="E271" s="121"/>
      <c r="F271" s="121"/>
      <c r="G271" s="121"/>
      <c r="H271" s="121"/>
      <c r="I271" s="121"/>
      <c r="J271" s="121"/>
      <c r="K271" s="121"/>
      <c r="L271" s="121"/>
      <c r="M271" s="121"/>
      <c r="N271" s="121"/>
      <c r="O271" s="121"/>
      <c r="P271" s="121"/>
      <c r="Q271" s="121"/>
      <c r="R271" s="121"/>
      <c r="S271" s="121"/>
      <c r="T271" s="121"/>
      <c r="U271" s="121"/>
      <c r="V271" s="121"/>
      <c r="W271" s="121"/>
      <c r="X271" s="121"/>
      <c r="Y271" s="121"/>
      <c r="Z271" s="121"/>
    </row>
    <row r="272" spans="1:26" ht="11.25" customHeight="1" x14ac:dyDescent="0.3">
      <c r="A272" s="121"/>
      <c r="B272" s="121"/>
      <c r="C272" s="121"/>
      <c r="D272" s="121"/>
      <c r="E272" s="121"/>
      <c r="F272" s="121"/>
      <c r="G272" s="121"/>
      <c r="H272" s="121"/>
      <c r="I272" s="121"/>
      <c r="J272" s="121"/>
      <c r="K272" s="121"/>
      <c r="L272" s="121"/>
      <c r="M272" s="121"/>
      <c r="N272" s="121"/>
      <c r="O272" s="121"/>
      <c r="P272" s="121"/>
      <c r="Q272" s="121"/>
      <c r="R272" s="121"/>
      <c r="S272" s="121"/>
      <c r="T272" s="121"/>
      <c r="U272" s="121"/>
      <c r="V272" s="121"/>
      <c r="W272" s="121"/>
      <c r="X272" s="121"/>
      <c r="Y272" s="121"/>
      <c r="Z272" s="121"/>
    </row>
    <row r="273" spans="1:26" ht="11.25" customHeight="1" x14ac:dyDescent="0.3">
      <c r="A273" s="121"/>
      <c r="B273" s="121"/>
      <c r="C273" s="121"/>
      <c r="D273" s="121"/>
      <c r="E273" s="121"/>
      <c r="F273" s="121"/>
      <c r="G273" s="121"/>
      <c r="H273" s="121"/>
      <c r="I273" s="121"/>
      <c r="J273" s="121"/>
      <c r="K273" s="121"/>
      <c r="L273" s="121"/>
      <c r="M273" s="121"/>
      <c r="N273" s="121"/>
      <c r="O273" s="121"/>
      <c r="P273" s="121"/>
      <c r="Q273" s="121"/>
      <c r="R273" s="121"/>
      <c r="S273" s="121"/>
      <c r="T273" s="121"/>
      <c r="U273" s="121"/>
      <c r="V273" s="121"/>
      <c r="W273" s="121"/>
      <c r="X273" s="121"/>
      <c r="Y273" s="121"/>
      <c r="Z273" s="121"/>
    </row>
    <row r="274" spans="1:26" ht="11.25" customHeight="1" x14ac:dyDescent="0.3">
      <c r="A274" s="121"/>
      <c r="B274" s="121"/>
      <c r="C274" s="121"/>
      <c r="D274" s="121"/>
      <c r="E274" s="121"/>
      <c r="F274" s="121"/>
      <c r="G274" s="121"/>
      <c r="H274" s="121"/>
      <c r="I274" s="121"/>
      <c r="J274" s="121"/>
      <c r="K274" s="121"/>
      <c r="L274" s="121"/>
      <c r="M274" s="121"/>
      <c r="N274" s="121"/>
      <c r="O274" s="121"/>
      <c r="P274" s="121"/>
      <c r="Q274" s="121"/>
      <c r="R274" s="121"/>
      <c r="S274" s="121"/>
      <c r="T274" s="121"/>
      <c r="U274" s="121"/>
      <c r="V274" s="121"/>
      <c r="W274" s="121"/>
      <c r="X274" s="121"/>
      <c r="Y274" s="121"/>
      <c r="Z274" s="121"/>
    </row>
    <row r="275" spans="1:26" ht="11.25" customHeight="1" x14ac:dyDescent="0.3">
      <c r="A275" s="121"/>
      <c r="B275" s="121"/>
      <c r="C275" s="121"/>
      <c r="D275" s="121"/>
      <c r="E275" s="121"/>
      <c r="F275" s="121"/>
      <c r="G275" s="121"/>
      <c r="H275" s="121"/>
      <c r="I275" s="121"/>
      <c r="J275" s="121"/>
      <c r="K275" s="121"/>
      <c r="L275" s="121"/>
      <c r="M275" s="121"/>
      <c r="N275" s="121"/>
      <c r="O275" s="121"/>
      <c r="P275" s="121"/>
      <c r="Q275" s="121"/>
      <c r="R275" s="121"/>
      <c r="S275" s="121"/>
      <c r="T275" s="121"/>
      <c r="U275" s="121"/>
      <c r="V275" s="121"/>
      <c r="W275" s="121"/>
      <c r="X275" s="121"/>
      <c r="Y275" s="121"/>
      <c r="Z275" s="121"/>
    </row>
    <row r="276" spans="1:26" ht="11.25" customHeight="1" x14ac:dyDescent="0.3">
      <c r="A276" s="121"/>
      <c r="B276" s="121"/>
      <c r="C276" s="121"/>
      <c r="D276" s="121"/>
      <c r="E276" s="121"/>
      <c r="F276" s="121"/>
      <c r="G276" s="121"/>
      <c r="H276" s="121"/>
      <c r="I276" s="121"/>
      <c r="J276" s="121"/>
      <c r="K276" s="121"/>
      <c r="L276" s="121"/>
      <c r="M276" s="121"/>
      <c r="N276" s="121"/>
      <c r="O276" s="121"/>
      <c r="P276" s="121"/>
      <c r="Q276" s="121"/>
      <c r="R276" s="121"/>
      <c r="S276" s="121"/>
      <c r="T276" s="121"/>
      <c r="U276" s="121"/>
      <c r="V276" s="121"/>
      <c r="W276" s="121"/>
      <c r="X276" s="121"/>
      <c r="Y276" s="121"/>
      <c r="Z276" s="121"/>
    </row>
    <row r="277" spans="1:26" ht="11.25" customHeight="1" x14ac:dyDescent="0.3">
      <c r="A277" s="121"/>
      <c r="B277" s="121"/>
      <c r="C277" s="121"/>
      <c r="D277" s="121"/>
      <c r="E277" s="121"/>
      <c r="F277" s="121"/>
      <c r="G277" s="121"/>
      <c r="H277" s="121"/>
      <c r="I277" s="121"/>
      <c r="J277" s="121"/>
      <c r="K277" s="121"/>
      <c r="L277" s="121"/>
      <c r="M277" s="121"/>
      <c r="N277" s="121"/>
      <c r="O277" s="121"/>
      <c r="P277" s="121"/>
      <c r="Q277" s="121"/>
      <c r="R277" s="121"/>
      <c r="S277" s="121"/>
      <c r="T277" s="121"/>
      <c r="U277" s="121"/>
      <c r="V277" s="121"/>
      <c r="W277" s="121"/>
      <c r="X277" s="121"/>
      <c r="Y277" s="121"/>
      <c r="Z277" s="121"/>
    </row>
    <row r="278" spans="1:26" ht="11.25" customHeight="1" x14ac:dyDescent="0.3">
      <c r="A278" s="121"/>
      <c r="B278" s="121"/>
      <c r="C278" s="121"/>
      <c r="D278" s="121"/>
      <c r="E278" s="121"/>
      <c r="F278" s="121"/>
      <c r="G278" s="121"/>
      <c r="H278" s="121"/>
      <c r="I278" s="121"/>
      <c r="J278" s="121"/>
      <c r="K278" s="121"/>
      <c r="L278" s="121"/>
      <c r="M278" s="121"/>
      <c r="N278" s="121"/>
      <c r="O278" s="121"/>
      <c r="P278" s="121"/>
      <c r="Q278" s="121"/>
      <c r="R278" s="121"/>
      <c r="S278" s="121"/>
      <c r="T278" s="121"/>
      <c r="U278" s="121"/>
      <c r="V278" s="121"/>
      <c r="W278" s="121"/>
      <c r="X278" s="121"/>
      <c r="Y278" s="121"/>
      <c r="Z278" s="121"/>
    </row>
    <row r="279" spans="1:26" ht="11.25" customHeight="1" x14ac:dyDescent="0.3">
      <c r="A279" s="121"/>
      <c r="B279" s="121"/>
      <c r="C279" s="121"/>
      <c r="D279" s="121"/>
      <c r="E279" s="121"/>
      <c r="F279" s="121"/>
      <c r="G279" s="121"/>
      <c r="H279" s="121"/>
      <c r="I279" s="121"/>
      <c r="J279" s="121"/>
      <c r="K279" s="121"/>
      <c r="L279" s="121"/>
      <c r="M279" s="121"/>
      <c r="N279" s="121"/>
      <c r="O279" s="121"/>
      <c r="P279" s="121"/>
      <c r="Q279" s="121"/>
      <c r="R279" s="121"/>
      <c r="S279" s="121"/>
      <c r="T279" s="121"/>
      <c r="U279" s="121"/>
      <c r="V279" s="121"/>
      <c r="W279" s="121"/>
      <c r="X279" s="121"/>
      <c r="Y279" s="121"/>
      <c r="Z279" s="121"/>
    </row>
    <row r="280" spans="1:26" ht="11.25" customHeight="1" x14ac:dyDescent="0.3">
      <c r="A280" s="121"/>
      <c r="B280" s="121"/>
      <c r="C280" s="121"/>
      <c r="D280" s="121"/>
      <c r="E280" s="121"/>
      <c r="F280" s="121"/>
      <c r="G280" s="121"/>
      <c r="H280" s="121"/>
      <c r="I280" s="121"/>
      <c r="J280" s="121"/>
      <c r="K280" s="121"/>
      <c r="L280" s="121"/>
      <c r="M280" s="121"/>
      <c r="N280" s="121"/>
      <c r="O280" s="121"/>
      <c r="P280" s="121"/>
      <c r="Q280" s="121"/>
      <c r="R280" s="121"/>
      <c r="S280" s="121"/>
      <c r="T280" s="121"/>
      <c r="U280" s="121"/>
      <c r="V280" s="121"/>
      <c r="W280" s="121"/>
      <c r="X280" s="121"/>
      <c r="Y280" s="121"/>
      <c r="Z280" s="121"/>
    </row>
    <row r="281" spans="1:26" ht="11.25" customHeight="1" x14ac:dyDescent="0.3">
      <c r="A281" s="121"/>
      <c r="B281" s="121"/>
      <c r="C281" s="121"/>
      <c r="D281" s="121"/>
      <c r="E281" s="121"/>
      <c r="F281" s="121"/>
      <c r="G281" s="121"/>
      <c r="H281" s="121"/>
      <c r="I281" s="121"/>
      <c r="J281" s="121"/>
      <c r="K281" s="121"/>
      <c r="L281" s="121"/>
      <c r="M281" s="121"/>
      <c r="N281" s="121"/>
      <c r="O281" s="121"/>
      <c r="P281" s="121"/>
      <c r="Q281" s="121"/>
      <c r="R281" s="121"/>
      <c r="S281" s="121"/>
      <c r="T281" s="121"/>
      <c r="U281" s="121"/>
      <c r="V281" s="121"/>
      <c r="W281" s="121"/>
      <c r="X281" s="121"/>
      <c r="Y281" s="121"/>
      <c r="Z281" s="121"/>
    </row>
    <row r="282" spans="1:26" ht="11.25" customHeight="1" x14ac:dyDescent="0.3">
      <c r="A282" s="121"/>
      <c r="B282" s="121"/>
      <c r="C282" s="121"/>
      <c r="D282" s="121"/>
      <c r="E282" s="121"/>
      <c r="F282" s="121"/>
      <c r="G282" s="121"/>
      <c r="H282" s="121"/>
      <c r="I282" s="121"/>
      <c r="J282" s="121"/>
      <c r="K282" s="121"/>
      <c r="L282" s="121"/>
      <c r="M282" s="121"/>
      <c r="N282" s="121"/>
      <c r="O282" s="121"/>
      <c r="P282" s="121"/>
      <c r="Q282" s="121"/>
      <c r="R282" s="121"/>
      <c r="S282" s="121"/>
      <c r="T282" s="121"/>
      <c r="U282" s="121"/>
      <c r="V282" s="121"/>
      <c r="W282" s="121"/>
      <c r="X282" s="121"/>
      <c r="Y282" s="121"/>
      <c r="Z282" s="121"/>
    </row>
    <row r="283" spans="1:26" ht="11.25" customHeight="1" x14ac:dyDescent="0.3">
      <c r="A283" s="121"/>
      <c r="B283" s="121"/>
      <c r="C283" s="121"/>
      <c r="D283" s="121"/>
      <c r="E283" s="121"/>
      <c r="F283" s="121"/>
      <c r="G283" s="121"/>
      <c r="H283" s="121"/>
      <c r="I283" s="121"/>
      <c r="J283" s="121"/>
      <c r="K283" s="121"/>
      <c r="L283" s="121"/>
      <c r="M283" s="121"/>
      <c r="N283" s="121"/>
      <c r="O283" s="121"/>
      <c r="P283" s="121"/>
      <c r="Q283" s="121"/>
      <c r="R283" s="121"/>
      <c r="S283" s="121"/>
      <c r="T283" s="121"/>
      <c r="U283" s="121"/>
      <c r="V283" s="121"/>
      <c r="W283" s="121"/>
      <c r="X283" s="121"/>
      <c r="Y283" s="121"/>
      <c r="Z283" s="121"/>
    </row>
    <row r="284" spans="1:26" ht="11.25" customHeight="1" x14ac:dyDescent="0.3">
      <c r="A284" s="121"/>
      <c r="B284" s="121"/>
      <c r="C284" s="121"/>
      <c r="D284" s="121"/>
      <c r="E284" s="121"/>
      <c r="F284" s="121"/>
      <c r="G284" s="121"/>
      <c r="H284" s="121"/>
      <c r="I284" s="121"/>
      <c r="J284" s="121"/>
      <c r="K284" s="121"/>
      <c r="L284" s="121"/>
      <c r="M284" s="121"/>
      <c r="N284" s="121"/>
      <c r="O284" s="121"/>
      <c r="P284" s="121"/>
      <c r="Q284" s="121"/>
      <c r="R284" s="121"/>
      <c r="S284" s="121"/>
      <c r="T284" s="121"/>
      <c r="U284" s="121"/>
      <c r="V284" s="121"/>
      <c r="W284" s="121"/>
      <c r="X284" s="121"/>
      <c r="Y284" s="121"/>
      <c r="Z284" s="121"/>
    </row>
    <row r="285" spans="1:26" ht="11.25" customHeight="1" x14ac:dyDescent="0.3">
      <c r="A285" s="121"/>
      <c r="B285" s="121"/>
      <c r="C285" s="121"/>
      <c r="D285" s="121"/>
      <c r="E285" s="121"/>
      <c r="F285" s="121"/>
      <c r="G285" s="121"/>
      <c r="H285" s="121"/>
      <c r="I285" s="121"/>
      <c r="J285" s="121"/>
      <c r="K285" s="121"/>
      <c r="L285" s="121"/>
      <c r="M285" s="121"/>
      <c r="N285" s="121"/>
      <c r="O285" s="121"/>
      <c r="P285" s="121"/>
      <c r="Q285" s="121"/>
      <c r="R285" s="121"/>
      <c r="S285" s="121"/>
      <c r="T285" s="121"/>
      <c r="U285" s="121"/>
      <c r="V285" s="121"/>
      <c r="W285" s="121"/>
      <c r="X285" s="121"/>
      <c r="Y285" s="121"/>
      <c r="Z285" s="121"/>
    </row>
    <row r="286" spans="1:26" ht="11.25" customHeight="1" x14ac:dyDescent="0.3">
      <c r="A286" s="121"/>
      <c r="B286" s="121"/>
      <c r="C286" s="121"/>
      <c r="D286" s="121"/>
      <c r="E286" s="121"/>
      <c r="F286" s="121"/>
      <c r="G286" s="121"/>
      <c r="H286" s="121"/>
      <c r="I286" s="121"/>
      <c r="J286" s="121"/>
      <c r="K286" s="121"/>
      <c r="L286" s="121"/>
      <c r="M286" s="121"/>
      <c r="N286" s="121"/>
      <c r="O286" s="121"/>
      <c r="P286" s="121"/>
      <c r="Q286" s="121"/>
      <c r="R286" s="121"/>
      <c r="S286" s="121"/>
      <c r="T286" s="121"/>
      <c r="U286" s="121"/>
      <c r="V286" s="121"/>
      <c r="W286" s="121"/>
      <c r="X286" s="121"/>
      <c r="Y286" s="121"/>
      <c r="Z286" s="121"/>
    </row>
    <row r="287" spans="1:26" ht="11.25" customHeight="1" x14ac:dyDescent="0.3">
      <c r="A287" s="121"/>
      <c r="B287" s="121"/>
      <c r="C287" s="121"/>
      <c r="D287" s="121"/>
      <c r="E287" s="121"/>
      <c r="F287" s="121"/>
      <c r="G287" s="121"/>
      <c r="H287" s="121"/>
      <c r="I287" s="121"/>
      <c r="J287" s="121"/>
      <c r="K287" s="121"/>
      <c r="L287" s="121"/>
      <c r="M287" s="121"/>
      <c r="N287" s="121"/>
      <c r="O287" s="121"/>
      <c r="P287" s="121"/>
      <c r="Q287" s="121"/>
      <c r="R287" s="121"/>
      <c r="S287" s="121"/>
      <c r="T287" s="121"/>
      <c r="U287" s="121"/>
      <c r="V287" s="121"/>
      <c r="W287" s="121"/>
      <c r="X287" s="121"/>
      <c r="Y287" s="121"/>
      <c r="Z287" s="121"/>
    </row>
    <row r="288" spans="1:26" ht="11.25" customHeight="1" x14ac:dyDescent="0.3">
      <c r="A288" s="121"/>
      <c r="B288" s="121"/>
      <c r="C288" s="121"/>
      <c r="D288" s="121"/>
      <c r="E288" s="121"/>
      <c r="F288" s="121"/>
      <c r="G288" s="121"/>
      <c r="H288" s="121"/>
      <c r="I288" s="121"/>
      <c r="J288" s="121"/>
      <c r="K288" s="121"/>
      <c r="L288" s="121"/>
      <c r="M288" s="121"/>
      <c r="N288" s="121"/>
      <c r="O288" s="121"/>
      <c r="P288" s="121"/>
      <c r="Q288" s="121"/>
      <c r="R288" s="121"/>
      <c r="S288" s="121"/>
      <c r="T288" s="121"/>
      <c r="U288" s="121"/>
      <c r="V288" s="121"/>
      <c r="W288" s="121"/>
      <c r="X288" s="121"/>
      <c r="Y288" s="121"/>
      <c r="Z288" s="121"/>
    </row>
    <row r="289" spans="1:26" ht="11.25" customHeight="1" x14ac:dyDescent="0.3">
      <c r="A289" s="121"/>
      <c r="B289" s="121"/>
      <c r="C289" s="121"/>
      <c r="D289" s="121"/>
      <c r="E289" s="121"/>
      <c r="F289" s="121"/>
      <c r="G289" s="121"/>
      <c r="H289" s="121"/>
      <c r="I289" s="121"/>
      <c r="J289" s="121"/>
      <c r="K289" s="121"/>
      <c r="L289" s="121"/>
      <c r="M289" s="121"/>
      <c r="N289" s="121"/>
      <c r="O289" s="121"/>
      <c r="P289" s="121"/>
      <c r="Q289" s="121"/>
      <c r="R289" s="121"/>
      <c r="S289" s="121"/>
      <c r="T289" s="121"/>
      <c r="U289" s="121"/>
      <c r="V289" s="121"/>
      <c r="W289" s="121"/>
      <c r="X289" s="121"/>
      <c r="Y289" s="121"/>
      <c r="Z289" s="121"/>
    </row>
    <row r="290" spans="1:26" ht="11.25" customHeight="1" x14ac:dyDescent="0.3">
      <c r="A290" s="121"/>
      <c r="B290" s="121"/>
      <c r="C290" s="121"/>
      <c r="D290" s="121"/>
      <c r="E290" s="121"/>
      <c r="F290" s="121"/>
      <c r="G290" s="121"/>
      <c r="H290" s="121"/>
      <c r="I290" s="121"/>
      <c r="J290" s="121"/>
      <c r="K290" s="121"/>
      <c r="L290" s="121"/>
      <c r="M290" s="121"/>
      <c r="N290" s="121"/>
      <c r="O290" s="121"/>
      <c r="P290" s="121"/>
      <c r="Q290" s="121"/>
      <c r="R290" s="121"/>
      <c r="S290" s="121"/>
      <c r="T290" s="121"/>
      <c r="U290" s="121"/>
      <c r="V290" s="121"/>
      <c r="W290" s="121"/>
      <c r="X290" s="121"/>
      <c r="Y290" s="121"/>
      <c r="Z290" s="121"/>
    </row>
    <row r="291" spans="1:26" ht="11.25" customHeight="1" x14ac:dyDescent="0.3">
      <c r="A291" s="121"/>
      <c r="B291" s="121"/>
      <c r="C291" s="121"/>
      <c r="D291" s="121"/>
      <c r="E291" s="121"/>
      <c r="F291" s="121"/>
      <c r="G291" s="121"/>
      <c r="H291" s="121"/>
      <c r="I291" s="121"/>
      <c r="J291" s="121"/>
      <c r="K291" s="121"/>
      <c r="L291" s="121"/>
      <c r="M291" s="121"/>
      <c r="N291" s="121"/>
      <c r="O291" s="121"/>
      <c r="P291" s="121"/>
      <c r="Q291" s="121"/>
      <c r="R291" s="121"/>
      <c r="S291" s="121"/>
      <c r="T291" s="121"/>
      <c r="U291" s="121"/>
      <c r="V291" s="121"/>
      <c r="W291" s="121"/>
      <c r="X291" s="121"/>
      <c r="Y291" s="121"/>
      <c r="Z291" s="121"/>
    </row>
    <row r="292" spans="1:26" ht="11.25" customHeight="1" x14ac:dyDescent="0.3">
      <c r="A292" s="121"/>
      <c r="B292" s="121"/>
      <c r="C292" s="121"/>
      <c r="D292" s="121"/>
      <c r="E292" s="121"/>
      <c r="F292" s="121"/>
      <c r="G292" s="121"/>
      <c r="H292" s="121"/>
      <c r="I292" s="121"/>
      <c r="J292" s="121"/>
      <c r="K292" s="121"/>
      <c r="L292" s="121"/>
      <c r="M292" s="121"/>
      <c r="N292" s="121"/>
      <c r="O292" s="121"/>
      <c r="P292" s="121"/>
      <c r="Q292" s="121"/>
      <c r="R292" s="121"/>
      <c r="S292" s="121"/>
      <c r="T292" s="121"/>
      <c r="U292" s="121"/>
      <c r="V292" s="121"/>
      <c r="W292" s="121"/>
      <c r="X292" s="121"/>
      <c r="Y292" s="121"/>
      <c r="Z292" s="121"/>
    </row>
    <row r="293" spans="1:26" ht="11.25" customHeight="1" x14ac:dyDescent="0.3">
      <c r="A293" s="121"/>
      <c r="B293" s="121"/>
      <c r="C293" s="121"/>
      <c r="D293" s="121"/>
      <c r="E293" s="121"/>
      <c r="F293" s="121"/>
      <c r="G293" s="121"/>
      <c r="H293" s="121"/>
      <c r="I293" s="121"/>
      <c r="J293" s="121"/>
      <c r="K293" s="121"/>
      <c r="L293" s="121"/>
      <c r="M293" s="121"/>
      <c r="N293" s="121"/>
      <c r="O293" s="121"/>
      <c r="P293" s="121"/>
      <c r="Q293" s="121"/>
      <c r="R293" s="121"/>
      <c r="S293" s="121"/>
      <c r="T293" s="121"/>
      <c r="U293" s="121"/>
      <c r="V293" s="121"/>
      <c r="W293" s="121"/>
      <c r="X293" s="121"/>
      <c r="Y293" s="121"/>
      <c r="Z293" s="121"/>
    </row>
    <row r="294" spans="1:26" ht="11.25" customHeight="1" x14ac:dyDescent="0.3">
      <c r="A294" s="121"/>
      <c r="B294" s="121"/>
      <c r="C294" s="121"/>
      <c r="D294" s="121"/>
      <c r="E294" s="121"/>
      <c r="F294" s="121"/>
      <c r="G294" s="121"/>
      <c r="H294" s="121"/>
      <c r="I294" s="121"/>
      <c r="J294" s="121"/>
      <c r="K294" s="121"/>
      <c r="L294" s="121"/>
      <c r="M294" s="121"/>
      <c r="N294" s="121"/>
      <c r="O294" s="121"/>
      <c r="P294" s="121"/>
      <c r="Q294" s="121"/>
      <c r="R294" s="121"/>
      <c r="S294" s="121"/>
      <c r="T294" s="121"/>
      <c r="U294" s="121"/>
      <c r="V294" s="121"/>
      <c r="W294" s="121"/>
      <c r="X294" s="121"/>
      <c r="Y294" s="121"/>
      <c r="Z294" s="121"/>
    </row>
    <row r="295" spans="1:26" ht="11.25" customHeight="1" x14ac:dyDescent="0.3">
      <c r="A295" s="121"/>
      <c r="B295" s="121"/>
      <c r="C295" s="121"/>
      <c r="D295" s="121"/>
      <c r="E295" s="121"/>
      <c r="F295" s="121"/>
      <c r="G295" s="121"/>
      <c r="H295" s="121"/>
      <c r="I295" s="121"/>
      <c r="J295" s="121"/>
      <c r="K295" s="121"/>
      <c r="L295" s="121"/>
      <c r="M295" s="121"/>
      <c r="N295" s="121"/>
      <c r="O295" s="121"/>
      <c r="P295" s="121"/>
      <c r="Q295" s="121"/>
      <c r="R295" s="121"/>
      <c r="S295" s="121"/>
      <c r="T295" s="121"/>
      <c r="U295" s="121"/>
      <c r="V295" s="121"/>
      <c r="W295" s="121"/>
      <c r="X295" s="121"/>
      <c r="Y295" s="121"/>
      <c r="Z295" s="121"/>
    </row>
    <row r="296" spans="1:26" ht="11.25" customHeight="1" x14ac:dyDescent="0.3">
      <c r="A296" s="121"/>
      <c r="B296" s="121"/>
      <c r="C296" s="121"/>
      <c r="D296" s="121"/>
      <c r="E296" s="121"/>
      <c r="F296" s="121"/>
      <c r="G296" s="121"/>
      <c r="H296" s="121"/>
      <c r="I296" s="121"/>
      <c r="J296" s="121"/>
      <c r="K296" s="121"/>
      <c r="L296" s="121"/>
      <c r="M296" s="121"/>
      <c r="N296" s="121"/>
      <c r="O296" s="121"/>
      <c r="P296" s="121"/>
      <c r="Q296" s="121"/>
      <c r="R296" s="121"/>
      <c r="S296" s="121"/>
      <c r="T296" s="121"/>
      <c r="U296" s="121"/>
      <c r="V296" s="121"/>
      <c r="W296" s="121"/>
      <c r="X296" s="121"/>
      <c r="Y296" s="121"/>
      <c r="Z296" s="121"/>
    </row>
    <row r="297" spans="1:26" ht="11.25" customHeight="1" x14ac:dyDescent="0.3">
      <c r="A297" s="121"/>
      <c r="B297" s="121"/>
      <c r="C297" s="121"/>
      <c r="D297" s="121"/>
      <c r="E297" s="121"/>
      <c r="F297" s="121"/>
      <c r="G297" s="121"/>
      <c r="H297" s="121"/>
      <c r="I297" s="121"/>
      <c r="J297" s="121"/>
      <c r="K297" s="121"/>
      <c r="L297" s="121"/>
      <c r="M297" s="121"/>
      <c r="N297" s="121"/>
      <c r="O297" s="121"/>
      <c r="P297" s="121"/>
      <c r="Q297" s="121"/>
      <c r="R297" s="121"/>
      <c r="S297" s="121"/>
      <c r="T297" s="121"/>
      <c r="U297" s="121"/>
      <c r="V297" s="121"/>
      <c r="W297" s="121"/>
      <c r="X297" s="121"/>
      <c r="Y297" s="121"/>
      <c r="Z297" s="121"/>
    </row>
    <row r="298" spans="1:26" ht="11.25" customHeight="1" x14ac:dyDescent="0.3">
      <c r="A298" s="121"/>
      <c r="B298" s="121"/>
      <c r="C298" s="121"/>
      <c r="D298" s="121"/>
      <c r="E298" s="121"/>
      <c r="F298" s="121"/>
      <c r="G298" s="121"/>
      <c r="H298" s="121"/>
      <c r="I298" s="121"/>
      <c r="J298" s="121"/>
      <c r="K298" s="121"/>
      <c r="L298" s="121"/>
      <c r="M298" s="121"/>
      <c r="N298" s="121"/>
      <c r="O298" s="121"/>
      <c r="P298" s="121"/>
      <c r="Q298" s="121"/>
      <c r="R298" s="121"/>
      <c r="S298" s="121"/>
      <c r="T298" s="121"/>
      <c r="U298" s="121"/>
      <c r="V298" s="121"/>
      <c r="W298" s="121"/>
      <c r="X298" s="121"/>
      <c r="Y298" s="121"/>
      <c r="Z298" s="121"/>
    </row>
    <row r="299" spans="1:26" ht="11.25" customHeight="1" x14ac:dyDescent="0.3">
      <c r="A299" s="121"/>
      <c r="B299" s="121"/>
      <c r="C299" s="121"/>
      <c r="D299" s="121"/>
      <c r="E299" s="121"/>
      <c r="F299" s="121"/>
      <c r="G299" s="121"/>
      <c r="H299" s="121"/>
      <c r="I299" s="121"/>
      <c r="J299" s="121"/>
      <c r="K299" s="121"/>
      <c r="L299" s="121"/>
      <c r="M299" s="121"/>
      <c r="N299" s="121"/>
      <c r="O299" s="121"/>
      <c r="P299" s="121"/>
      <c r="Q299" s="121"/>
      <c r="R299" s="121"/>
      <c r="S299" s="121"/>
      <c r="T299" s="121"/>
      <c r="U299" s="121"/>
      <c r="V299" s="121"/>
      <c r="W299" s="121"/>
      <c r="X299" s="121"/>
      <c r="Y299" s="121"/>
      <c r="Z299" s="121"/>
    </row>
    <row r="300" spans="1:26" ht="11.25" customHeight="1" x14ac:dyDescent="0.3">
      <c r="A300" s="121"/>
      <c r="B300" s="121"/>
      <c r="C300" s="121"/>
      <c r="D300" s="121"/>
      <c r="E300" s="121"/>
      <c r="F300" s="121"/>
      <c r="G300" s="121"/>
      <c r="H300" s="121"/>
      <c r="I300" s="121"/>
      <c r="J300" s="121"/>
      <c r="K300" s="121"/>
      <c r="L300" s="121"/>
      <c r="M300" s="121"/>
      <c r="N300" s="121"/>
      <c r="O300" s="121"/>
      <c r="P300" s="121"/>
      <c r="Q300" s="121"/>
      <c r="R300" s="121"/>
      <c r="S300" s="121"/>
      <c r="T300" s="121"/>
      <c r="U300" s="121"/>
      <c r="V300" s="121"/>
      <c r="W300" s="121"/>
      <c r="X300" s="121"/>
      <c r="Y300" s="121"/>
      <c r="Z300" s="121"/>
    </row>
    <row r="301" spans="1:26" ht="11.25" customHeight="1" x14ac:dyDescent="0.3">
      <c r="A301" s="121"/>
      <c r="B301" s="121"/>
      <c r="C301" s="121"/>
      <c r="D301" s="121"/>
      <c r="E301" s="121"/>
      <c r="F301" s="121"/>
      <c r="G301" s="121"/>
      <c r="H301" s="121"/>
      <c r="I301" s="121"/>
      <c r="J301" s="121"/>
      <c r="K301" s="121"/>
      <c r="L301" s="121"/>
      <c r="M301" s="121"/>
      <c r="N301" s="121"/>
      <c r="O301" s="121"/>
      <c r="P301" s="121"/>
      <c r="Q301" s="121"/>
      <c r="R301" s="121"/>
      <c r="S301" s="121"/>
      <c r="T301" s="121"/>
      <c r="U301" s="121"/>
      <c r="V301" s="121"/>
      <c r="W301" s="121"/>
      <c r="X301" s="121"/>
      <c r="Y301" s="121"/>
      <c r="Z301" s="121"/>
    </row>
    <row r="302" spans="1:26" ht="11.25" customHeight="1" x14ac:dyDescent="0.3">
      <c r="A302" s="121"/>
      <c r="B302" s="121"/>
      <c r="C302" s="121"/>
      <c r="D302" s="121"/>
      <c r="E302" s="121"/>
      <c r="F302" s="121"/>
      <c r="G302" s="121"/>
      <c r="H302" s="121"/>
      <c r="I302" s="121"/>
      <c r="J302" s="121"/>
      <c r="K302" s="121"/>
      <c r="L302" s="121"/>
      <c r="M302" s="121"/>
      <c r="N302" s="121"/>
      <c r="O302" s="121"/>
      <c r="P302" s="121"/>
      <c r="Q302" s="121"/>
      <c r="R302" s="121"/>
      <c r="S302" s="121"/>
      <c r="T302" s="121"/>
      <c r="U302" s="121"/>
      <c r="V302" s="121"/>
      <c r="W302" s="121"/>
      <c r="X302" s="121"/>
      <c r="Y302" s="121"/>
      <c r="Z302" s="121"/>
    </row>
    <row r="303" spans="1:26" ht="11.25" customHeight="1" x14ac:dyDescent="0.3">
      <c r="A303" s="121"/>
      <c r="B303" s="121"/>
      <c r="C303" s="121"/>
      <c r="D303" s="121"/>
      <c r="E303" s="121"/>
      <c r="F303" s="121"/>
      <c r="G303" s="121"/>
      <c r="H303" s="121"/>
      <c r="I303" s="121"/>
      <c r="J303" s="121"/>
      <c r="K303" s="121"/>
      <c r="L303" s="121"/>
      <c r="M303" s="121"/>
      <c r="N303" s="121"/>
      <c r="O303" s="121"/>
      <c r="P303" s="121"/>
      <c r="Q303" s="121"/>
      <c r="R303" s="121"/>
      <c r="S303" s="121"/>
      <c r="T303" s="121"/>
      <c r="U303" s="121"/>
      <c r="V303" s="121"/>
      <c r="W303" s="121"/>
      <c r="X303" s="121"/>
      <c r="Y303" s="121"/>
      <c r="Z303" s="121"/>
    </row>
    <row r="304" spans="1:26" ht="11.25" customHeight="1" x14ac:dyDescent="0.3">
      <c r="A304" s="121"/>
      <c r="B304" s="121"/>
      <c r="C304" s="121"/>
      <c r="D304" s="121"/>
      <c r="E304" s="121"/>
      <c r="F304" s="121"/>
      <c r="G304" s="121"/>
      <c r="H304" s="121"/>
      <c r="I304" s="121"/>
      <c r="J304" s="121"/>
      <c r="K304" s="121"/>
      <c r="L304" s="121"/>
      <c r="M304" s="121"/>
      <c r="N304" s="121"/>
      <c r="O304" s="121"/>
      <c r="P304" s="121"/>
      <c r="Q304" s="121"/>
      <c r="R304" s="121"/>
      <c r="S304" s="121"/>
      <c r="T304" s="121"/>
      <c r="U304" s="121"/>
      <c r="V304" s="121"/>
      <c r="W304" s="121"/>
      <c r="X304" s="121"/>
      <c r="Y304" s="121"/>
      <c r="Z304" s="121"/>
    </row>
    <row r="305" spans="1:26" ht="11.25" customHeight="1" x14ac:dyDescent="0.3">
      <c r="A305" s="121"/>
      <c r="B305" s="121"/>
      <c r="C305" s="121"/>
      <c r="D305" s="121"/>
      <c r="E305" s="121"/>
      <c r="F305" s="121"/>
      <c r="G305" s="121"/>
      <c r="H305" s="121"/>
      <c r="I305" s="121"/>
      <c r="J305" s="121"/>
      <c r="K305" s="121"/>
      <c r="L305" s="121"/>
      <c r="M305" s="121"/>
      <c r="N305" s="121"/>
      <c r="O305" s="121"/>
      <c r="P305" s="121"/>
      <c r="Q305" s="121"/>
      <c r="R305" s="121"/>
      <c r="S305" s="121"/>
      <c r="T305" s="121"/>
      <c r="U305" s="121"/>
      <c r="V305" s="121"/>
      <c r="W305" s="121"/>
      <c r="X305" s="121"/>
      <c r="Y305" s="121"/>
      <c r="Z305" s="121"/>
    </row>
    <row r="306" spans="1:26" ht="11.25" customHeight="1" x14ac:dyDescent="0.3">
      <c r="A306" s="121"/>
      <c r="B306" s="121"/>
      <c r="C306" s="121"/>
      <c r="D306" s="121"/>
      <c r="E306" s="121"/>
      <c r="F306" s="121"/>
      <c r="G306" s="121"/>
      <c r="H306" s="121"/>
      <c r="I306" s="121"/>
      <c r="J306" s="121"/>
      <c r="K306" s="121"/>
      <c r="L306" s="121"/>
      <c r="M306" s="121"/>
      <c r="N306" s="121"/>
      <c r="O306" s="121"/>
      <c r="P306" s="121"/>
      <c r="Q306" s="121"/>
      <c r="R306" s="121"/>
      <c r="S306" s="121"/>
      <c r="T306" s="121"/>
      <c r="U306" s="121"/>
      <c r="V306" s="121"/>
      <c r="W306" s="121"/>
      <c r="X306" s="121"/>
      <c r="Y306" s="121"/>
      <c r="Z306" s="121"/>
    </row>
    <row r="307" spans="1:26" ht="11.25" customHeight="1" x14ac:dyDescent="0.3">
      <c r="A307" s="121"/>
      <c r="B307" s="121"/>
      <c r="C307" s="121"/>
      <c r="D307" s="121"/>
      <c r="E307" s="121"/>
      <c r="F307" s="121"/>
      <c r="G307" s="121"/>
      <c r="H307" s="121"/>
      <c r="I307" s="121"/>
      <c r="J307" s="121"/>
      <c r="K307" s="121"/>
      <c r="L307" s="121"/>
      <c r="M307" s="121"/>
      <c r="N307" s="121"/>
      <c r="O307" s="121"/>
      <c r="P307" s="121"/>
      <c r="Q307" s="121"/>
      <c r="R307" s="121"/>
      <c r="S307" s="121"/>
      <c r="T307" s="121"/>
      <c r="U307" s="121"/>
      <c r="V307" s="121"/>
      <c r="W307" s="121"/>
      <c r="X307" s="121"/>
      <c r="Y307" s="121"/>
      <c r="Z307" s="121"/>
    </row>
    <row r="308" spans="1:26" ht="11.25" customHeight="1" x14ac:dyDescent="0.3">
      <c r="A308" s="121"/>
      <c r="B308" s="121"/>
      <c r="C308" s="121"/>
      <c r="D308" s="121"/>
      <c r="E308" s="121"/>
      <c r="F308" s="121"/>
      <c r="G308" s="121"/>
      <c r="H308" s="121"/>
      <c r="I308" s="121"/>
      <c r="J308" s="121"/>
      <c r="K308" s="121"/>
      <c r="L308" s="121"/>
      <c r="M308" s="121"/>
      <c r="N308" s="121"/>
      <c r="O308" s="121"/>
      <c r="P308" s="121"/>
      <c r="Q308" s="121"/>
      <c r="R308" s="121"/>
      <c r="S308" s="121"/>
      <c r="T308" s="121"/>
      <c r="U308" s="121"/>
      <c r="V308" s="121"/>
      <c r="W308" s="121"/>
      <c r="X308" s="121"/>
      <c r="Y308" s="121"/>
      <c r="Z308" s="121"/>
    </row>
    <row r="309" spans="1:26" ht="11.25" customHeight="1" x14ac:dyDescent="0.3">
      <c r="A309" s="121"/>
      <c r="B309" s="121"/>
      <c r="C309" s="121"/>
      <c r="D309" s="121"/>
      <c r="E309" s="121"/>
      <c r="F309" s="121"/>
      <c r="G309" s="121"/>
      <c r="H309" s="121"/>
      <c r="I309" s="121"/>
      <c r="J309" s="121"/>
      <c r="K309" s="121"/>
      <c r="L309" s="121"/>
      <c r="M309" s="121"/>
      <c r="N309" s="121"/>
      <c r="O309" s="121"/>
      <c r="P309" s="121"/>
      <c r="Q309" s="121"/>
      <c r="R309" s="121"/>
      <c r="S309" s="121"/>
      <c r="T309" s="121"/>
      <c r="U309" s="121"/>
      <c r="V309" s="121"/>
      <c r="W309" s="121"/>
      <c r="X309" s="121"/>
      <c r="Y309" s="121"/>
      <c r="Z309" s="121"/>
    </row>
    <row r="310" spans="1:26" ht="11.25" customHeight="1" x14ac:dyDescent="0.3">
      <c r="A310" s="121"/>
      <c r="B310" s="121"/>
      <c r="C310" s="121"/>
      <c r="D310" s="121"/>
      <c r="E310" s="121"/>
      <c r="F310" s="121"/>
      <c r="G310" s="121"/>
      <c r="H310" s="121"/>
      <c r="I310" s="121"/>
      <c r="J310" s="121"/>
      <c r="K310" s="121"/>
      <c r="L310" s="121"/>
      <c r="M310" s="121"/>
      <c r="N310" s="121"/>
      <c r="O310" s="121"/>
      <c r="P310" s="121"/>
      <c r="Q310" s="121"/>
      <c r="R310" s="121"/>
      <c r="S310" s="121"/>
      <c r="T310" s="121"/>
      <c r="U310" s="121"/>
      <c r="V310" s="121"/>
      <c r="W310" s="121"/>
      <c r="X310" s="121"/>
      <c r="Y310" s="121"/>
      <c r="Z310" s="121"/>
    </row>
    <row r="311" spans="1:26" ht="11.25" customHeight="1" x14ac:dyDescent="0.3">
      <c r="A311" s="121"/>
      <c r="B311" s="121"/>
      <c r="C311" s="121"/>
      <c r="D311" s="121"/>
      <c r="E311" s="121"/>
      <c r="F311" s="121"/>
      <c r="G311" s="121"/>
      <c r="H311" s="121"/>
      <c r="I311" s="121"/>
      <c r="J311" s="121"/>
      <c r="K311" s="121"/>
      <c r="L311" s="121"/>
      <c r="M311" s="121"/>
      <c r="N311" s="121"/>
      <c r="O311" s="121"/>
      <c r="P311" s="121"/>
      <c r="Q311" s="121"/>
      <c r="R311" s="121"/>
      <c r="S311" s="121"/>
      <c r="T311" s="121"/>
      <c r="U311" s="121"/>
      <c r="V311" s="121"/>
      <c r="W311" s="121"/>
      <c r="X311" s="121"/>
      <c r="Y311" s="121"/>
      <c r="Z311" s="121"/>
    </row>
    <row r="312" spans="1:26" ht="11.25" customHeight="1" x14ac:dyDescent="0.3">
      <c r="A312" s="121"/>
      <c r="B312" s="121"/>
      <c r="C312" s="121"/>
      <c r="D312" s="121"/>
      <c r="E312" s="121"/>
      <c r="F312" s="121"/>
      <c r="G312" s="121"/>
      <c r="H312" s="121"/>
      <c r="I312" s="121"/>
      <c r="J312" s="121"/>
      <c r="K312" s="121"/>
      <c r="L312" s="121"/>
      <c r="M312" s="121"/>
      <c r="N312" s="121"/>
      <c r="O312" s="121"/>
      <c r="P312" s="121"/>
      <c r="Q312" s="121"/>
      <c r="R312" s="121"/>
      <c r="S312" s="121"/>
      <c r="T312" s="121"/>
      <c r="U312" s="121"/>
      <c r="V312" s="121"/>
      <c r="W312" s="121"/>
      <c r="X312" s="121"/>
      <c r="Y312" s="121"/>
      <c r="Z312" s="121"/>
    </row>
    <row r="313" spans="1:26" ht="11.25" customHeight="1" x14ac:dyDescent="0.3">
      <c r="A313" s="121"/>
      <c r="B313" s="121"/>
      <c r="C313" s="121"/>
      <c r="D313" s="121"/>
      <c r="E313" s="121"/>
      <c r="F313" s="121"/>
      <c r="G313" s="121"/>
      <c r="H313" s="121"/>
      <c r="I313" s="121"/>
      <c r="J313" s="121"/>
      <c r="K313" s="121"/>
      <c r="L313" s="121"/>
      <c r="M313" s="121"/>
      <c r="N313" s="121"/>
      <c r="O313" s="121"/>
      <c r="P313" s="121"/>
      <c r="Q313" s="121"/>
      <c r="R313" s="121"/>
      <c r="S313" s="121"/>
      <c r="T313" s="121"/>
      <c r="U313" s="121"/>
      <c r="V313" s="121"/>
      <c r="W313" s="121"/>
      <c r="X313" s="121"/>
      <c r="Y313" s="121"/>
      <c r="Z313" s="121"/>
    </row>
    <row r="314" spans="1:26" ht="11.25" customHeight="1" x14ac:dyDescent="0.3">
      <c r="A314" s="121"/>
      <c r="B314" s="121"/>
      <c r="C314" s="121"/>
      <c r="D314" s="121"/>
      <c r="E314" s="121"/>
      <c r="F314" s="121"/>
      <c r="G314" s="121"/>
      <c r="H314" s="121"/>
      <c r="I314" s="121"/>
      <c r="J314" s="121"/>
      <c r="K314" s="121"/>
      <c r="L314" s="121"/>
      <c r="M314" s="121"/>
      <c r="N314" s="121"/>
      <c r="O314" s="121"/>
      <c r="P314" s="121"/>
      <c r="Q314" s="121"/>
      <c r="R314" s="121"/>
      <c r="S314" s="121"/>
      <c r="T314" s="121"/>
      <c r="U314" s="121"/>
      <c r="V314" s="121"/>
      <c r="W314" s="121"/>
      <c r="X314" s="121"/>
      <c r="Y314" s="121"/>
      <c r="Z314" s="121"/>
    </row>
    <row r="315" spans="1:26" ht="11.25" customHeight="1" x14ac:dyDescent="0.3">
      <c r="A315" s="121"/>
      <c r="B315" s="121"/>
      <c r="C315" s="121"/>
      <c r="D315" s="121"/>
      <c r="E315" s="121"/>
      <c r="F315" s="121"/>
      <c r="G315" s="121"/>
      <c r="H315" s="121"/>
      <c r="I315" s="121"/>
      <c r="J315" s="121"/>
      <c r="K315" s="121"/>
      <c r="L315" s="121"/>
      <c r="M315" s="121"/>
      <c r="N315" s="121"/>
      <c r="O315" s="121"/>
      <c r="P315" s="121"/>
      <c r="Q315" s="121"/>
      <c r="R315" s="121"/>
      <c r="S315" s="121"/>
      <c r="T315" s="121"/>
      <c r="U315" s="121"/>
      <c r="V315" s="121"/>
      <c r="W315" s="121"/>
      <c r="X315" s="121"/>
      <c r="Y315" s="121"/>
      <c r="Z315" s="121"/>
    </row>
    <row r="316" spans="1:26" ht="11.25" customHeight="1" x14ac:dyDescent="0.3">
      <c r="A316" s="121"/>
      <c r="B316" s="121"/>
      <c r="C316" s="121"/>
      <c r="D316" s="121"/>
      <c r="E316" s="121"/>
      <c r="F316" s="121"/>
      <c r="G316" s="121"/>
      <c r="H316" s="121"/>
      <c r="I316" s="121"/>
      <c r="J316" s="121"/>
      <c r="K316" s="121"/>
      <c r="L316" s="121"/>
      <c r="M316" s="121"/>
      <c r="N316" s="121"/>
      <c r="O316" s="121"/>
      <c r="P316" s="121"/>
      <c r="Q316" s="121"/>
      <c r="R316" s="121"/>
      <c r="S316" s="121"/>
      <c r="T316" s="121"/>
      <c r="U316" s="121"/>
      <c r="V316" s="121"/>
      <c r="W316" s="121"/>
      <c r="X316" s="121"/>
      <c r="Y316" s="121"/>
      <c r="Z316" s="121"/>
    </row>
    <row r="317" spans="1:26" ht="11.25" customHeight="1" x14ac:dyDescent="0.3">
      <c r="A317" s="121"/>
      <c r="B317" s="121"/>
      <c r="C317" s="121"/>
      <c r="D317" s="121"/>
      <c r="E317" s="121"/>
      <c r="F317" s="121"/>
      <c r="G317" s="121"/>
      <c r="H317" s="121"/>
      <c r="I317" s="121"/>
      <c r="J317" s="121"/>
      <c r="K317" s="121"/>
      <c r="L317" s="121"/>
      <c r="M317" s="121"/>
      <c r="N317" s="121"/>
      <c r="O317" s="121"/>
      <c r="P317" s="121"/>
      <c r="Q317" s="121"/>
      <c r="R317" s="121"/>
      <c r="S317" s="121"/>
      <c r="T317" s="121"/>
      <c r="U317" s="121"/>
      <c r="V317" s="121"/>
      <c r="W317" s="121"/>
      <c r="X317" s="121"/>
      <c r="Y317" s="121"/>
      <c r="Z317" s="121"/>
    </row>
    <row r="318" spans="1:26" ht="11.25" customHeight="1" x14ac:dyDescent="0.3">
      <c r="A318" s="121"/>
      <c r="B318" s="121"/>
      <c r="C318" s="121"/>
      <c r="D318" s="121"/>
      <c r="E318" s="121"/>
      <c r="F318" s="121"/>
      <c r="G318" s="121"/>
      <c r="H318" s="121"/>
      <c r="I318" s="121"/>
      <c r="J318" s="121"/>
      <c r="K318" s="121"/>
      <c r="L318" s="121"/>
      <c r="M318" s="121"/>
      <c r="N318" s="121"/>
      <c r="O318" s="121"/>
      <c r="P318" s="121"/>
      <c r="Q318" s="121"/>
      <c r="R318" s="121"/>
      <c r="S318" s="121"/>
      <c r="T318" s="121"/>
      <c r="U318" s="121"/>
      <c r="V318" s="121"/>
      <c r="W318" s="121"/>
      <c r="X318" s="121"/>
      <c r="Y318" s="121"/>
      <c r="Z318" s="121"/>
    </row>
    <row r="319" spans="1:26" ht="11.25" customHeight="1" x14ac:dyDescent="0.3">
      <c r="A319" s="121"/>
      <c r="B319" s="121"/>
      <c r="C319" s="121"/>
      <c r="D319" s="121"/>
      <c r="E319" s="121"/>
      <c r="F319" s="121"/>
      <c r="G319" s="121"/>
      <c r="H319" s="121"/>
      <c r="I319" s="121"/>
      <c r="J319" s="121"/>
      <c r="K319" s="121"/>
      <c r="L319" s="121"/>
      <c r="M319" s="121"/>
      <c r="N319" s="121"/>
      <c r="O319" s="121"/>
      <c r="P319" s="121"/>
      <c r="Q319" s="121"/>
      <c r="R319" s="121"/>
      <c r="S319" s="121"/>
      <c r="T319" s="121"/>
      <c r="U319" s="121"/>
      <c r="V319" s="121"/>
      <c r="W319" s="121"/>
      <c r="X319" s="121"/>
      <c r="Y319" s="121"/>
      <c r="Z319" s="121"/>
    </row>
    <row r="320" spans="1:26" ht="11.25" customHeight="1" x14ac:dyDescent="0.3">
      <c r="A320" s="121"/>
      <c r="B320" s="121"/>
      <c r="C320" s="121"/>
      <c r="D320" s="121"/>
      <c r="E320" s="121"/>
      <c r="F320" s="121"/>
      <c r="G320" s="121"/>
      <c r="H320" s="121"/>
      <c r="I320" s="121"/>
      <c r="J320" s="121"/>
      <c r="K320" s="121"/>
      <c r="L320" s="121"/>
      <c r="M320" s="121"/>
      <c r="N320" s="121"/>
      <c r="O320" s="121"/>
      <c r="P320" s="121"/>
      <c r="Q320" s="121"/>
      <c r="R320" s="121"/>
      <c r="S320" s="121"/>
      <c r="T320" s="121"/>
      <c r="U320" s="121"/>
      <c r="V320" s="121"/>
      <c r="W320" s="121"/>
      <c r="X320" s="121"/>
      <c r="Y320" s="121"/>
      <c r="Z320" s="121"/>
    </row>
    <row r="321" spans="1:26" ht="11.25" customHeight="1" x14ac:dyDescent="0.3">
      <c r="A321" s="121"/>
      <c r="B321" s="121"/>
      <c r="C321" s="121"/>
      <c r="D321" s="121"/>
      <c r="E321" s="121"/>
      <c r="F321" s="121"/>
      <c r="G321" s="121"/>
      <c r="H321" s="121"/>
      <c r="I321" s="121"/>
      <c r="J321" s="121"/>
      <c r="K321" s="121"/>
      <c r="L321" s="121"/>
      <c r="M321" s="121"/>
      <c r="N321" s="121"/>
      <c r="O321" s="121"/>
      <c r="P321" s="121"/>
      <c r="Q321" s="121"/>
      <c r="R321" s="121"/>
      <c r="S321" s="121"/>
      <c r="T321" s="121"/>
      <c r="U321" s="121"/>
      <c r="V321" s="121"/>
      <c r="W321" s="121"/>
      <c r="X321" s="121"/>
      <c r="Y321" s="121"/>
      <c r="Z321" s="121"/>
    </row>
    <row r="322" spans="1:26" ht="11.25" customHeight="1" x14ac:dyDescent="0.3">
      <c r="A322" s="121"/>
      <c r="B322" s="121"/>
      <c r="C322" s="121"/>
      <c r="D322" s="121"/>
      <c r="E322" s="121"/>
      <c r="F322" s="121"/>
      <c r="G322" s="121"/>
      <c r="H322" s="121"/>
      <c r="I322" s="121"/>
      <c r="J322" s="121"/>
      <c r="K322" s="121"/>
      <c r="L322" s="121"/>
      <c r="M322" s="121"/>
      <c r="N322" s="121"/>
      <c r="O322" s="121"/>
      <c r="P322" s="121"/>
      <c r="Q322" s="121"/>
      <c r="R322" s="121"/>
      <c r="S322" s="121"/>
      <c r="T322" s="121"/>
      <c r="U322" s="121"/>
      <c r="V322" s="121"/>
      <c r="W322" s="121"/>
      <c r="X322" s="121"/>
      <c r="Y322" s="121"/>
      <c r="Z322" s="121"/>
    </row>
    <row r="323" spans="1:26" ht="11.25" customHeight="1" x14ac:dyDescent="0.3">
      <c r="A323" s="121"/>
      <c r="B323" s="121"/>
      <c r="C323" s="121"/>
      <c r="D323" s="121"/>
      <c r="E323" s="121"/>
      <c r="F323" s="121"/>
      <c r="G323" s="121"/>
      <c r="H323" s="121"/>
      <c r="I323" s="121"/>
      <c r="J323" s="121"/>
      <c r="K323" s="121"/>
      <c r="L323" s="121"/>
      <c r="M323" s="121"/>
      <c r="N323" s="121"/>
      <c r="O323" s="121"/>
      <c r="P323" s="121"/>
      <c r="Q323" s="121"/>
      <c r="R323" s="121"/>
      <c r="S323" s="121"/>
      <c r="T323" s="121"/>
      <c r="U323" s="121"/>
      <c r="V323" s="121"/>
      <c r="W323" s="121"/>
      <c r="X323" s="121"/>
      <c r="Y323" s="121"/>
      <c r="Z323" s="121"/>
    </row>
    <row r="324" spans="1:26" ht="11.25" customHeight="1" x14ac:dyDescent="0.3">
      <c r="A324" s="121"/>
      <c r="B324" s="121"/>
      <c r="C324" s="121"/>
      <c r="D324" s="121"/>
      <c r="E324" s="121"/>
      <c r="F324" s="121"/>
      <c r="G324" s="121"/>
      <c r="H324" s="121"/>
      <c r="I324" s="121"/>
      <c r="J324" s="121"/>
      <c r="K324" s="121"/>
      <c r="L324" s="121"/>
      <c r="M324" s="121"/>
      <c r="N324" s="121"/>
      <c r="O324" s="121"/>
      <c r="P324" s="121"/>
      <c r="Q324" s="121"/>
      <c r="R324" s="121"/>
      <c r="S324" s="121"/>
      <c r="T324" s="121"/>
      <c r="U324" s="121"/>
      <c r="V324" s="121"/>
      <c r="W324" s="121"/>
      <c r="X324" s="121"/>
      <c r="Y324" s="121"/>
      <c r="Z324" s="121"/>
    </row>
    <row r="325" spans="1:26" ht="11.25" customHeight="1" x14ac:dyDescent="0.3">
      <c r="A325" s="121"/>
      <c r="B325" s="121"/>
      <c r="C325" s="121"/>
      <c r="D325" s="121"/>
      <c r="E325" s="121"/>
      <c r="F325" s="121"/>
      <c r="G325" s="121"/>
      <c r="H325" s="121"/>
      <c r="I325" s="121"/>
      <c r="J325" s="121"/>
      <c r="K325" s="121"/>
      <c r="L325" s="121"/>
      <c r="M325" s="121"/>
      <c r="N325" s="121"/>
      <c r="O325" s="121"/>
      <c r="P325" s="121"/>
      <c r="Q325" s="121"/>
      <c r="R325" s="121"/>
      <c r="S325" s="121"/>
      <c r="T325" s="121"/>
      <c r="U325" s="121"/>
      <c r="V325" s="121"/>
      <c r="W325" s="121"/>
      <c r="X325" s="121"/>
      <c r="Y325" s="121"/>
      <c r="Z325" s="121"/>
    </row>
    <row r="326" spans="1:26" ht="11.25" customHeight="1" x14ac:dyDescent="0.3">
      <c r="A326" s="121"/>
      <c r="B326" s="121"/>
      <c r="C326" s="121"/>
      <c r="D326" s="121"/>
      <c r="E326" s="121"/>
      <c r="F326" s="121"/>
      <c r="G326" s="121"/>
      <c r="H326" s="121"/>
      <c r="I326" s="121"/>
      <c r="J326" s="121"/>
      <c r="K326" s="121"/>
      <c r="L326" s="121"/>
      <c r="M326" s="121"/>
      <c r="N326" s="121"/>
      <c r="O326" s="121"/>
      <c r="P326" s="121"/>
      <c r="Q326" s="121"/>
      <c r="R326" s="121"/>
      <c r="S326" s="121"/>
      <c r="T326" s="121"/>
      <c r="U326" s="121"/>
      <c r="V326" s="121"/>
      <c r="W326" s="121"/>
      <c r="X326" s="121"/>
      <c r="Y326" s="121"/>
      <c r="Z326" s="121"/>
    </row>
    <row r="327" spans="1:26" ht="11.25" customHeight="1" x14ac:dyDescent="0.3">
      <c r="A327" s="121"/>
      <c r="B327" s="121"/>
      <c r="C327" s="121"/>
      <c r="D327" s="121"/>
      <c r="E327" s="121"/>
      <c r="F327" s="121"/>
      <c r="G327" s="121"/>
      <c r="H327" s="121"/>
      <c r="I327" s="121"/>
      <c r="J327" s="121"/>
      <c r="K327" s="121"/>
      <c r="L327" s="121"/>
      <c r="M327" s="121"/>
      <c r="N327" s="121"/>
      <c r="O327" s="121"/>
      <c r="P327" s="121"/>
      <c r="Q327" s="121"/>
      <c r="R327" s="121"/>
      <c r="S327" s="121"/>
      <c r="T327" s="121"/>
      <c r="U327" s="121"/>
      <c r="V327" s="121"/>
      <c r="W327" s="121"/>
      <c r="X327" s="121"/>
      <c r="Y327" s="121"/>
      <c r="Z327" s="121"/>
    </row>
    <row r="328" spans="1:26" ht="11.25" customHeight="1" x14ac:dyDescent="0.3">
      <c r="A328" s="121"/>
      <c r="B328" s="121"/>
      <c r="C328" s="121"/>
      <c r="D328" s="121"/>
      <c r="E328" s="121"/>
      <c r="F328" s="121"/>
      <c r="G328" s="121"/>
      <c r="H328" s="121"/>
      <c r="I328" s="121"/>
      <c r="J328" s="121"/>
      <c r="K328" s="121"/>
      <c r="L328" s="121"/>
      <c r="M328" s="121"/>
      <c r="N328" s="121"/>
      <c r="O328" s="121"/>
      <c r="P328" s="121"/>
      <c r="Q328" s="121"/>
      <c r="R328" s="121"/>
      <c r="S328" s="121"/>
      <c r="T328" s="121"/>
      <c r="U328" s="121"/>
      <c r="V328" s="121"/>
      <c r="W328" s="121"/>
      <c r="X328" s="121"/>
      <c r="Y328" s="121"/>
      <c r="Z328" s="121"/>
    </row>
    <row r="329" spans="1:26" ht="11.25" customHeight="1" x14ac:dyDescent="0.3">
      <c r="A329" s="121"/>
      <c r="B329" s="121"/>
      <c r="C329" s="121"/>
      <c r="D329" s="121"/>
      <c r="E329" s="121"/>
      <c r="F329" s="121"/>
      <c r="G329" s="121"/>
      <c r="H329" s="121"/>
      <c r="I329" s="121"/>
      <c r="J329" s="121"/>
      <c r="K329" s="121"/>
      <c r="L329" s="121"/>
      <c r="M329" s="121"/>
      <c r="N329" s="121"/>
      <c r="O329" s="121"/>
      <c r="P329" s="121"/>
      <c r="Q329" s="121"/>
      <c r="R329" s="121"/>
      <c r="S329" s="121"/>
      <c r="T329" s="121"/>
      <c r="U329" s="121"/>
      <c r="V329" s="121"/>
      <c r="W329" s="121"/>
      <c r="X329" s="121"/>
      <c r="Y329" s="121"/>
      <c r="Z329" s="121"/>
    </row>
    <row r="330" spans="1:26" ht="11.25" customHeight="1" x14ac:dyDescent="0.3">
      <c r="A330" s="121"/>
      <c r="B330" s="121"/>
      <c r="C330" s="121"/>
      <c r="D330" s="121"/>
      <c r="E330" s="121"/>
      <c r="F330" s="121"/>
      <c r="G330" s="121"/>
      <c r="H330" s="121"/>
      <c r="I330" s="121"/>
      <c r="J330" s="121"/>
      <c r="K330" s="121"/>
      <c r="L330" s="121"/>
      <c r="M330" s="121"/>
      <c r="N330" s="121"/>
      <c r="O330" s="121"/>
      <c r="P330" s="121"/>
      <c r="Q330" s="121"/>
      <c r="R330" s="121"/>
      <c r="S330" s="121"/>
      <c r="T330" s="121"/>
      <c r="U330" s="121"/>
      <c r="V330" s="121"/>
      <c r="W330" s="121"/>
      <c r="X330" s="121"/>
      <c r="Y330" s="121"/>
      <c r="Z330" s="121"/>
    </row>
    <row r="331" spans="1:26" ht="11.25" customHeight="1" x14ac:dyDescent="0.3">
      <c r="A331" s="121"/>
      <c r="B331" s="121"/>
      <c r="C331" s="121"/>
      <c r="D331" s="121"/>
      <c r="E331" s="121"/>
      <c r="F331" s="121"/>
      <c r="G331" s="121"/>
      <c r="H331" s="121"/>
      <c r="I331" s="121"/>
      <c r="J331" s="121"/>
      <c r="K331" s="121"/>
      <c r="L331" s="121"/>
      <c r="M331" s="121"/>
      <c r="N331" s="121"/>
      <c r="O331" s="121"/>
      <c r="P331" s="121"/>
      <c r="Q331" s="121"/>
      <c r="R331" s="121"/>
      <c r="S331" s="121"/>
      <c r="T331" s="121"/>
      <c r="U331" s="121"/>
      <c r="V331" s="121"/>
      <c r="W331" s="121"/>
      <c r="X331" s="121"/>
      <c r="Y331" s="121"/>
      <c r="Z331" s="121"/>
    </row>
    <row r="332" spans="1:26" ht="11.25" customHeight="1" x14ac:dyDescent="0.3">
      <c r="A332" s="121"/>
      <c r="B332" s="121"/>
      <c r="C332" s="121"/>
      <c r="D332" s="121"/>
      <c r="E332" s="121"/>
      <c r="F332" s="121"/>
      <c r="G332" s="121"/>
      <c r="H332" s="121"/>
      <c r="I332" s="121"/>
      <c r="J332" s="121"/>
      <c r="K332" s="121"/>
      <c r="L332" s="121"/>
      <c r="M332" s="121"/>
      <c r="N332" s="121"/>
      <c r="O332" s="121"/>
      <c r="P332" s="121"/>
      <c r="Q332" s="121"/>
      <c r="R332" s="121"/>
      <c r="S332" s="121"/>
      <c r="T332" s="121"/>
      <c r="U332" s="121"/>
      <c r="V332" s="121"/>
      <c r="W332" s="121"/>
      <c r="X332" s="121"/>
      <c r="Y332" s="121"/>
      <c r="Z332" s="121"/>
    </row>
    <row r="333" spans="1:26" ht="11.25" customHeight="1" x14ac:dyDescent="0.3">
      <c r="A333" s="121"/>
      <c r="B333" s="121"/>
      <c r="C333" s="121"/>
      <c r="D333" s="121"/>
      <c r="E333" s="121"/>
      <c r="F333" s="121"/>
      <c r="G333" s="121"/>
      <c r="H333" s="121"/>
      <c r="I333" s="121"/>
      <c r="J333" s="121"/>
      <c r="K333" s="121"/>
      <c r="L333" s="121"/>
      <c r="M333" s="121"/>
      <c r="N333" s="121"/>
      <c r="O333" s="121"/>
      <c r="P333" s="121"/>
      <c r="Q333" s="121"/>
      <c r="R333" s="121"/>
      <c r="S333" s="121"/>
      <c r="T333" s="121"/>
      <c r="U333" s="121"/>
      <c r="V333" s="121"/>
      <c r="W333" s="121"/>
      <c r="X333" s="121"/>
      <c r="Y333" s="121"/>
      <c r="Z333" s="121"/>
    </row>
    <row r="334" spans="1:26" ht="11.25" customHeight="1" x14ac:dyDescent="0.3">
      <c r="A334" s="121"/>
      <c r="B334" s="121"/>
      <c r="C334" s="121"/>
      <c r="D334" s="121"/>
      <c r="E334" s="121"/>
      <c r="F334" s="121"/>
      <c r="G334" s="121"/>
      <c r="H334" s="121"/>
      <c r="I334" s="121"/>
      <c r="J334" s="121"/>
      <c r="K334" s="121"/>
      <c r="L334" s="121"/>
      <c r="M334" s="121"/>
      <c r="N334" s="121"/>
      <c r="O334" s="121"/>
      <c r="P334" s="121"/>
      <c r="Q334" s="121"/>
      <c r="R334" s="121"/>
      <c r="S334" s="121"/>
      <c r="T334" s="121"/>
      <c r="U334" s="121"/>
      <c r="V334" s="121"/>
      <c r="W334" s="121"/>
      <c r="X334" s="121"/>
      <c r="Y334" s="121"/>
      <c r="Z334" s="121"/>
    </row>
    <row r="335" spans="1:26" ht="11.25" customHeight="1" x14ac:dyDescent="0.3">
      <c r="A335" s="121"/>
      <c r="B335" s="121"/>
      <c r="C335" s="121"/>
      <c r="D335" s="121"/>
      <c r="E335" s="121"/>
      <c r="F335" s="121"/>
      <c r="G335" s="121"/>
      <c r="H335" s="121"/>
      <c r="I335" s="121"/>
      <c r="J335" s="121"/>
      <c r="K335" s="121"/>
      <c r="L335" s="121"/>
      <c r="M335" s="121"/>
      <c r="N335" s="121"/>
      <c r="O335" s="121"/>
      <c r="P335" s="121"/>
      <c r="Q335" s="121"/>
      <c r="R335" s="121"/>
      <c r="S335" s="121"/>
      <c r="T335" s="121"/>
      <c r="U335" s="121"/>
      <c r="V335" s="121"/>
      <c r="W335" s="121"/>
      <c r="X335" s="121"/>
      <c r="Y335" s="121"/>
      <c r="Z335" s="121"/>
    </row>
    <row r="336" spans="1:26" ht="11.25" customHeight="1" x14ac:dyDescent="0.3">
      <c r="A336" s="121"/>
      <c r="B336" s="121"/>
      <c r="C336" s="121"/>
      <c r="D336" s="121"/>
      <c r="E336" s="121"/>
      <c r="F336" s="121"/>
      <c r="G336" s="121"/>
      <c r="H336" s="121"/>
      <c r="I336" s="121"/>
      <c r="J336" s="121"/>
      <c r="K336" s="121"/>
      <c r="L336" s="121"/>
      <c r="M336" s="121"/>
      <c r="N336" s="121"/>
      <c r="O336" s="121"/>
      <c r="P336" s="121"/>
      <c r="Q336" s="121"/>
      <c r="R336" s="121"/>
      <c r="S336" s="121"/>
      <c r="T336" s="121"/>
      <c r="U336" s="121"/>
      <c r="V336" s="121"/>
      <c r="W336" s="121"/>
      <c r="X336" s="121"/>
      <c r="Y336" s="121"/>
      <c r="Z336" s="121"/>
    </row>
    <row r="337" spans="1:26" ht="11.25" customHeight="1" x14ac:dyDescent="0.3">
      <c r="A337" s="121"/>
      <c r="B337" s="121"/>
      <c r="C337" s="121"/>
      <c r="D337" s="121"/>
      <c r="E337" s="121"/>
      <c r="F337" s="121"/>
      <c r="G337" s="121"/>
      <c r="H337" s="121"/>
      <c r="I337" s="121"/>
      <c r="J337" s="121"/>
      <c r="K337" s="121"/>
      <c r="L337" s="121"/>
      <c r="M337" s="121"/>
      <c r="N337" s="121"/>
      <c r="O337" s="121"/>
      <c r="P337" s="121"/>
      <c r="Q337" s="121"/>
      <c r="R337" s="121"/>
      <c r="S337" s="121"/>
      <c r="T337" s="121"/>
      <c r="U337" s="121"/>
      <c r="V337" s="121"/>
      <c r="W337" s="121"/>
      <c r="X337" s="121"/>
      <c r="Y337" s="121"/>
      <c r="Z337" s="121"/>
    </row>
    <row r="338" spans="1:26" ht="11.25" customHeight="1" x14ac:dyDescent="0.3">
      <c r="A338" s="121"/>
      <c r="B338" s="121"/>
      <c r="C338" s="121"/>
      <c r="D338" s="121"/>
      <c r="E338" s="121"/>
      <c r="F338" s="121"/>
      <c r="G338" s="121"/>
      <c r="H338" s="121"/>
      <c r="I338" s="121"/>
      <c r="J338" s="121"/>
      <c r="K338" s="121"/>
      <c r="L338" s="121"/>
      <c r="M338" s="121"/>
      <c r="N338" s="121"/>
      <c r="O338" s="121"/>
      <c r="P338" s="121"/>
      <c r="Q338" s="121"/>
      <c r="R338" s="121"/>
      <c r="S338" s="121"/>
      <c r="T338" s="121"/>
      <c r="U338" s="121"/>
      <c r="V338" s="121"/>
      <c r="W338" s="121"/>
      <c r="X338" s="121"/>
      <c r="Y338" s="121"/>
      <c r="Z338" s="121"/>
    </row>
    <row r="339" spans="1:26" ht="11.25" customHeight="1" x14ac:dyDescent="0.3">
      <c r="A339" s="121"/>
      <c r="B339" s="121"/>
      <c r="C339" s="121"/>
      <c r="D339" s="121"/>
      <c r="E339" s="121"/>
      <c r="F339" s="121"/>
      <c r="G339" s="121"/>
      <c r="H339" s="121"/>
      <c r="I339" s="121"/>
      <c r="J339" s="121"/>
      <c r="K339" s="121"/>
      <c r="L339" s="121"/>
      <c r="M339" s="121"/>
      <c r="N339" s="121"/>
      <c r="O339" s="121"/>
      <c r="P339" s="121"/>
      <c r="Q339" s="121"/>
      <c r="R339" s="121"/>
      <c r="S339" s="121"/>
      <c r="T339" s="121"/>
      <c r="U339" s="121"/>
      <c r="V339" s="121"/>
      <c r="W339" s="121"/>
      <c r="X339" s="121"/>
      <c r="Y339" s="121"/>
      <c r="Z339" s="121"/>
    </row>
    <row r="340" spans="1:26" ht="11.25" customHeight="1" x14ac:dyDescent="0.3">
      <c r="A340" s="121"/>
      <c r="B340" s="121"/>
      <c r="C340" s="121"/>
      <c r="D340" s="121"/>
      <c r="E340" s="121"/>
      <c r="F340" s="121"/>
      <c r="G340" s="121"/>
      <c r="H340" s="121"/>
      <c r="I340" s="121"/>
      <c r="J340" s="121"/>
      <c r="K340" s="121"/>
      <c r="L340" s="121"/>
      <c r="M340" s="121"/>
      <c r="N340" s="121"/>
      <c r="O340" s="121"/>
      <c r="P340" s="121"/>
      <c r="Q340" s="121"/>
      <c r="R340" s="121"/>
      <c r="S340" s="121"/>
      <c r="T340" s="121"/>
      <c r="U340" s="121"/>
      <c r="V340" s="121"/>
      <c r="W340" s="121"/>
      <c r="X340" s="121"/>
      <c r="Y340" s="121"/>
      <c r="Z340" s="121"/>
    </row>
    <row r="341" spans="1:26" ht="11.25" customHeight="1" x14ac:dyDescent="0.3">
      <c r="A341" s="121"/>
      <c r="B341" s="121"/>
      <c r="C341" s="121"/>
      <c r="D341" s="121"/>
      <c r="E341" s="121"/>
      <c r="F341" s="121"/>
      <c r="G341" s="121"/>
      <c r="H341" s="121"/>
      <c r="I341" s="121"/>
      <c r="J341" s="121"/>
      <c r="K341" s="121"/>
      <c r="L341" s="121"/>
      <c r="M341" s="121"/>
      <c r="N341" s="121"/>
      <c r="O341" s="121"/>
      <c r="P341" s="121"/>
      <c r="Q341" s="121"/>
      <c r="R341" s="121"/>
      <c r="S341" s="121"/>
      <c r="T341" s="121"/>
      <c r="U341" s="121"/>
      <c r="V341" s="121"/>
      <c r="W341" s="121"/>
      <c r="X341" s="121"/>
      <c r="Y341" s="121"/>
      <c r="Z341" s="121"/>
    </row>
    <row r="342" spans="1:26" ht="11.25" customHeight="1" x14ac:dyDescent="0.3">
      <c r="A342" s="121"/>
      <c r="B342" s="121"/>
      <c r="C342" s="121"/>
      <c r="D342" s="121"/>
      <c r="E342" s="121"/>
      <c r="F342" s="121"/>
      <c r="G342" s="121"/>
      <c r="H342" s="121"/>
      <c r="I342" s="121"/>
      <c r="J342" s="121"/>
      <c r="K342" s="121"/>
      <c r="L342" s="121"/>
      <c r="M342" s="121"/>
      <c r="N342" s="121"/>
      <c r="O342" s="121"/>
      <c r="P342" s="121"/>
      <c r="Q342" s="121"/>
      <c r="R342" s="121"/>
      <c r="S342" s="121"/>
      <c r="T342" s="121"/>
      <c r="U342" s="121"/>
      <c r="V342" s="121"/>
      <c r="W342" s="121"/>
      <c r="X342" s="121"/>
      <c r="Y342" s="121"/>
      <c r="Z342" s="121"/>
    </row>
    <row r="343" spans="1:26" ht="11.25" customHeight="1" x14ac:dyDescent="0.3">
      <c r="A343" s="121"/>
      <c r="B343" s="121"/>
      <c r="C343" s="121"/>
      <c r="D343" s="121"/>
      <c r="E343" s="121"/>
      <c r="F343" s="121"/>
      <c r="G343" s="121"/>
      <c r="H343" s="121"/>
      <c r="I343" s="121"/>
      <c r="J343" s="121"/>
      <c r="K343" s="121"/>
      <c r="L343" s="121"/>
      <c r="M343" s="121"/>
      <c r="N343" s="121"/>
      <c r="O343" s="121"/>
      <c r="P343" s="121"/>
      <c r="Q343" s="121"/>
      <c r="R343" s="121"/>
      <c r="S343" s="121"/>
      <c r="T343" s="121"/>
      <c r="U343" s="121"/>
      <c r="V343" s="121"/>
      <c r="W343" s="121"/>
      <c r="X343" s="121"/>
      <c r="Y343" s="121"/>
      <c r="Z343" s="121"/>
    </row>
    <row r="344" spans="1:26" ht="11.25" customHeight="1" x14ac:dyDescent="0.3">
      <c r="A344" s="121"/>
      <c r="B344" s="121"/>
      <c r="C344" s="121"/>
      <c r="D344" s="121"/>
      <c r="E344" s="121"/>
      <c r="F344" s="121"/>
      <c r="G344" s="121"/>
      <c r="H344" s="121"/>
      <c r="I344" s="121"/>
      <c r="J344" s="121"/>
      <c r="K344" s="121"/>
      <c r="L344" s="121"/>
      <c r="M344" s="121"/>
      <c r="N344" s="121"/>
      <c r="O344" s="121"/>
      <c r="P344" s="121"/>
      <c r="Q344" s="121"/>
      <c r="R344" s="121"/>
      <c r="S344" s="121"/>
      <c r="T344" s="121"/>
      <c r="U344" s="121"/>
      <c r="V344" s="121"/>
      <c r="W344" s="121"/>
      <c r="X344" s="121"/>
      <c r="Y344" s="121"/>
      <c r="Z344" s="121"/>
    </row>
    <row r="345" spans="1:26" ht="11.25" customHeight="1" x14ac:dyDescent="0.3">
      <c r="A345" s="121"/>
      <c r="B345" s="121"/>
      <c r="C345" s="121"/>
      <c r="D345" s="121"/>
      <c r="E345" s="121"/>
      <c r="F345" s="121"/>
      <c r="G345" s="121"/>
      <c r="H345" s="121"/>
      <c r="I345" s="121"/>
      <c r="J345" s="121"/>
      <c r="K345" s="121"/>
      <c r="L345" s="121"/>
      <c r="M345" s="121"/>
      <c r="N345" s="121"/>
      <c r="O345" s="121"/>
      <c r="P345" s="121"/>
      <c r="Q345" s="121"/>
      <c r="R345" s="121"/>
      <c r="S345" s="121"/>
      <c r="T345" s="121"/>
      <c r="U345" s="121"/>
      <c r="V345" s="121"/>
      <c r="W345" s="121"/>
      <c r="X345" s="121"/>
      <c r="Y345" s="121"/>
      <c r="Z345" s="121"/>
    </row>
    <row r="346" spans="1:26" ht="11.25" customHeight="1" x14ac:dyDescent="0.3">
      <c r="A346" s="121"/>
      <c r="B346" s="121"/>
      <c r="C346" s="121"/>
      <c r="D346" s="121"/>
      <c r="E346" s="121"/>
      <c r="F346" s="121"/>
      <c r="G346" s="121"/>
      <c r="H346" s="121"/>
      <c r="I346" s="121"/>
      <c r="J346" s="121"/>
      <c r="K346" s="121"/>
      <c r="L346" s="121"/>
      <c r="M346" s="121"/>
      <c r="N346" s="121"/>
      <c r="O346" s="121"/>
      <c r="P346" s="121"/>
      <c r="Q346" s="121"/>
      <c r="R346" s="121"/>
      <c r="S346" s="121"/>
      <c r="T346" s="121"/>
      <c r="U346" s="121"/>
      <c r="V346" s="121"/>
      <c r="W346" s="121"/>
      <c r="X346" s="121"/>
      <c r="Y346" s="121"/>
      <c r="Z346" s="121"/>
    </row>
    <row r="347" spans="1:26" ht="11.25" customHeight="1" x14ac:dyDescent="0.3">
      <c r="A347" s="121"/>
      <c r="B347" s="121"/>
      <c r="C347" s="121"/>
      <c r="D347" s="121"/>
      <c r="E347" s="121"/>
      <c r="F347" s="121"/>
      <c r="G347" s="121"/>
      <c r="H347" s="121"/>
      <c r="I347" s="121"/>
      <c r="J347" s="121"/>
      <c r="K347" s="121"/>
      <c r="L347" s="121"/>
      <c r="M347" s="121"/>
      <c r="N347" s="121"/>
      <c r="O347" s="121"/>
      <c r="P347" s="121"/>
      <c r="Q347" s="121"/>
      <c r="R347" s="121"/>
      <c r="S347" s="121"/>
      <c r="T347" s="121"/>
      <c r="U347" s="121"/>
      <c r="V347" s="121"/>
      <c r="W347" s="121"/>
      <c r="X347" s="121"/>
      <c r="Y347" s="121"/>
      <c r="Z347" s="121"/>
    </row>
    <row r="348" spans="1:26" ht="11.25" customHeight="1" x14ac:dyDescent="0.3">
      <c r="A348" s="121"/>
      <c r="B348" s="121"/>
      <c r="C348" s="121"/>
      <c r="D348" s="121"/>
      <c r="E348" s="121"/>
      <c r="F348" s="121"/>
      <c r="G348" s="121"/>
      <c r="H348" s="121"/>
      <c r="I348" s="121"/>
      <c r="J348" s="121"/>
      <c r="K348" s="121"/>
      <c r="L348" s="121"/>
      <c r="M348" s="121"/>
      <c r="N348" s="121"/>
      <c r="O348" s="121"/>
      <c r="P348" s="121"/>
      <c r="Q348" s="121"/>
      <c r="R348" s="121"/>
      <c r="S348" s="121"/>
      <c r="T348" s="121"/>
      <c r="U348" s="121"/>
      <c r="V348" s="121"/>
      <c r="W348" s="121"/>
      <c r="X348" s="121"/>
      <c r="Y348" s="121"/>
      <c r="Z348" s="121"/>
    </row>
    <row r="349" spans="1:26" ht="11.25" customHeight="1" x14ac:dyDescent="0.3">
      <c r="A349" s="121"/>
      <c r="B349" s="121"/>
      <c r="C349" s="121"/>
      <c r="D349" s="121"/>
      <c r="E349" s="121"/>
      <c r="F349" s="121"/>
      <c r="G349" s="121"/>
      <c r="H349" s="121"/>
      <c r="I349" s="121"/>
      <c r="J349" s="121"/>
      <c r="K349" s="121"/>
      <c r="L349" s="121"/>
      <c r="M349" s="121"/>
      <c r="N349" s="121"/>
      <c r="O349" s="121"/>
      <c r="P349" s="121"/>
      <c r="Q349" s="121"/>
      <c r="R349" s="121"/>
      <c r="S349" s="121"/>
      <c r="T349" s="121"/>
      <c r="U349" s="121"/>
      <c r="V349" s="121"/>
      <c r="W349" s="121"/>
      <c r="X349" s="121"/>
      <c r="Y349" s="121"/>
      <c r="Z349" s="121"/>
    </row>
    <row r="350" spans="1:26" ht="11.25" customHeight="1" x14ac:dyDescent="0.3">
      <c r="A350" s="121"/>
      <c r="B350" s="121"/>
      <c r="C350" s="121"/>
      <c r="D350" s="121"/>
      <c r="E350" s="121"/>
      <c r="F350" s="121"/>
      <c r="G350" s="121"/>
      <c r="H350" s="121"/>
      <c r="I350" s="121"/>
      <c r="J350" s="121"/>
      <c r="K350" s="121"/>
      <c r="L350" s="121"/>
      <c r="M350" s="121"/>
      <c r="N350" s="121"/>
      <c r="O350" s="121"/>
      <c r="P350" s="121"/>
      <c r="Q350" s="121"/>
      <c r="R350" s="121"/>
      <c r="S350" s="121"/>
      <c r="T350" s="121"/>
      <c r="U350" s="121"/>
      <c r="V350" s="121"/>
      <c r="W350" s="121"/>
      <c r="X350" s="121"/>
      <c r="Y350" s="121"/>
      <c r="Z350" s="121"/>
    </row>
    <row r="351" spans="1:26" ht="11.25" customHeight="1" x14ac:dyDescent="0.3">
      <c r="A351" s="121"/>
      <c r="B351" s="121"/>
      <c r="C351" s="121"/>
      <c r="D351" s="121"/>
      <c r="E351" s="121"/>
      <c r="F351" s="121"/>
      <c r="G351" s="121"/>
      <c r="H351" s="121"/>
      <c r="I351" s="121"/>
      <c r="J351" s="121"/>
      <c r="K351" s="121"/>
      <c r="L351" s="121"/>
      <c r="M351" s="121"/>
      <c r="N351" s="121"/>
      <c r="O351" s="121"/>
      <c r="P351" s="121"/>
      <c r="Q351" s="121"/>
      <c r="R351" s="121"/>
      <c r="S351" s="121"/>
      <c r="T351" s="121"/>
      <c r="U351" s="121"/>
      <c r="V351" s="121"/>
      <c r="W351" s="121"/>
      <c r="X351" s="121"/>
      <c r="Y351" s="121"/>
      <c r="Z351" s="121"/>
    </row>
    <row r="352" spans="1:26" ht="11.25" customHeight="1" x14ac:dyDescent="0.3">
      <c r="A352" s="121"/>
      <c r="B352" s="121"/>
      <c r="C352" s="121"/>
      <c r="D352" s="121"/>
      <c r="E352" s="121"/>
      <c r="F352" s="121"/>
      <c r="G352" s="121"/>
      <c r="H352" s="121"/>
      <c r="I352" s="121"/>
      <c r="J352" s="121"/>
      <c r="K352" s="121"/>
      <c r="L352" s="121"/>
      <c r="M352" s="121"/>
      <c r="N352" s="121"/>
      <c r="O352" s="121"/>
      <c r="P352" s="121"/>
      <c r="Q352" s="121"/>
      <c r="R352" s="121"/>
      <c r="S352" s="121"/>
      <c r="T352" s="121"/>
      <c r="U352" s="121"/>
      <c r="V352" s="121"/>
      <c r="W352" s="121"/>
      <c r="X352" s="121"/>
      <c r="Y352" s="121"/>
      <c r="Z352" s="121"/>
    </row>
    <row r="353" spans="1:26" ht="11.25" customHeight="1" x14ac:dyDescent="0.3">
      <c r="A353" s="121"/>
      <c r="B353" s="121"/>
      <c r="C353" s="121"/>
      <c r="D353" s="121"/>
      <c r="E353" s="121"/>
      <c r="F353" s="121"/>
      <c r="G353" s="121"/>
      <c r="H353" s="121"/>
      <c r="I353" s="121"/>
      <c r="J353" s="121"/>
      <c r="K353" s="121"/>
      <c r="L353" s="121"/>
      <c r="M353" s="121"/>
      <c r="N353" s="121"/>
      <c r="O353" s="121"/>
      <c r="P353" s="121"/>
      <c r="Q353" s="121"/>
      <c r="R353" s="121"/>
      <c r="S353" s="121"/>
      <c r="T353" s="121"/>
      <c r="U353" s="121"/>
      <c r="V353" s="121"/>
      <c r="W353" s="121"/>
      <c r="X353" s="121"/>
      <c r="Y353" s="121"/>
      <c r="Z353" s="121"/>
    </row>
    <row r="354" spans="1:26" ht="11.25" customHeight="1" x14ac:dyDescent="0.3">
      <c r="A354" s="121"/>
      <c r="B354" s="121"/>
      <c r="C354" s="121"/>
      <c r="D354" s="121"/>
      <c r="E354" s="121"/>
      <c r="F354" s="121"/>
      <c r="G354" s="121"/>
      <c r="H354" s="121"/>
      <c r="I354" s="121"/>
      <c r="J354" s="121"/>
      <c r="K354" s="121"/>
      <c r="L354" s="121"/>
      <c r="M354" s="121"/>
      <c r="N354" s="121"/>
      <c r="O354" s="121"/>
      <c r="P354" s="121"/>
      <c r="Q354" s="121"/>
      <c r="R354" s="121"/>
      <c r="S354" s="121"/>
      <c r="T354" s="121"/>
      <c r="U354" s="121"/>
      <c r="V354" s="121"/>
      <c r="W354" s="121"/>
      <c r="X354" s="121"/>
      <c r="Y354" s="121"/>
      <c r="Z354" s="121"/>
    </row>
    <row r="355" spans="1:26" ht="11.25" customHeight="1" x14ac:dyDescent="0.3">
      <c r="A355" s="121"/>
      <c r="B355" s="121"/>
      <c r="C355" s="121"/>
      <c r="D355" s="121"/>
      <c r="E355" s="121"/>
      <c r="F355" s="121"/>
      <c r="G355" s="121"/>
      <c r="H355" s="121"/>
      <c r="I355" s="121"/>
      <c r="J355" s="121"/>
      <c r="K355" s="121"/>
      <c r="L355" s="121"/>
      <c r="M355" s="121"/>
      <c r="N355" s="121"/>
      <c r="O355" s="121"/>
      <c r="P355" s="121"/>
      <c r="Q355" s="121"/>
      <c r="R355" s="121"/>
      <c r="S355" s="121"/>
      <c r="T355" s="121"/>
      <c r="U355" s="121"/>
      <c r="V355" s="121"/>
      <c r="W355" s="121"/>
      <c r="X355" s="121"/>
      <c r="Y355" s="121"/>
      <c r="Z355" s="121"/>
    </row>
    <row r="356" spans="1:26" ht="11.25" customHeight="1" x14ac:dyDescent="0.3">
      <c r="A356" s="121"/>
      <c r="B356" s="121"/>
      <c r="C356" s="121"/>
      <c r="D356" s="121"/>
      <c r="E356" s="121"/>
      <c r="F356" s="121"/>
      <c r="G356" s="121"/>
      <c r="H356" s="121"/>
      <c r="I356" s="121"/>
      <c r="J356" s="121"/>
      <c r="K356" s="121"/>
      <c r="L356" s="121"/>
      <c r="M356" s="121"/>
      <c r="N356" s="121"/>
      <c r="O356" s="121"/>
      <c r="P356" s="121"/>
      <c r="Q356" s="121"/>
      <c r="R356" s="121"/>
      <c r="S356" s="121"/>
      <c r="T356" s="121"/>
      <c r="U356" s="121"/>
      <c r="V356" s="121"/>
      <c r="W356" s="121"/>
      <c r="X356" s="121"/>
      <c r="Y356" s="121"/>
      <c r="Z356" s="121"/>
    </row>
    <row r="357" spans="1:26" ht="11.25" customHeight="1" x14ac:dyDescent="0.3">
      <c r="A357" s="121"/>
      <c r="B357" s="121"/>
      <c r="C357" s="121"/>
      <c r="D357" s="121"/>
      <c r="E357" s="121"/>
      <c r="F357" s="121"/>
      <c r="G357" s="121"/>
      <c r="H357" s="121"/>
      <c r="I357" s="121"/>
      <c r="J357" s="121"/>
      <c r="K357" s="121"/>
      <c r="L357" s="121"/>
      <c r="M357" s="121"/>
      <c r="N357" s="121"/>
      <c r="O357" s="121"/>
      <c r="P357" s="121"/>
      <c r="Q357" s="121"/>
      <c r="R357" s="121"/>
      <c r="S357" s="121"/>
      <c r="T357" s="121"/>
      <c r="U357" s="121"/>
      <c r="V357" s="121"/>
      <c r="W357" s="121"/>
      <c r="X357" s="121"/>
      <c r="Y357" s="121"/>
      <c r="Z357" s="121"/>
    </row>
    <row r="358" spans="1:26" ht="11.25" customHeight="1" x14ac:dyDescent="0.3">
      <c r="A358" s="121"/>
      <c r="B358" s="121"/>
      <c r="C358" s="121"/>
      <c r="D358" s="121"/>
      <c r="E358" s="121"/>
      <c r="F358" s="121"/>
      <c r="G358" s="121"/>
      <c r="H358" s="121"/>
      <c r="I358" s="121"/>
      <c r="J358" s="121"/>
      <c r="K358" s="121"/>
      <c r="L358" s="121"/>
      <c r="M358" s="121"/>
      <c r="N358" s="121"/>
      <c r="O358" s="121"/>
      <c r="P358" s="121"/>
      <c r="Q358" s="121"/>
      <c r="R358" s="121"/>
      <c r="S358" s="121"/>
      <c r="T358" s="121"/>
      <c r="U358" s="121"/>
      <c r="V358" s="121"/>
      <c r="W358" s="121"/>
      <c r="X358" s="121"/>
      <c r="Y358" s="121"/>
      <c r="Z358" s="121"/>
    </row>
    <row r="359" spans="1:26" ht="11.25" customHeight="1" x14ac:dyDescent="0.3">
      <c r="A359" s="121"/>
      <c r="B359" s="121"/>
      <c r="C359" s="121"/>
      <c r="D359" s="121"/>
      <c r="E359" s="121"/>
      <c r="F359" s="121"/>
      <c r="G359" s="121"/>
      <c r="H359" s="121"/>
      <c r="I359" s="121"/>
      <c r="J359" s="121"/>
      <c r="K359" s="121"/>
      <c r="L359" s="121"/>
      <c r="M359" s="121"/>
      <c r="N359" s="121"/>
      <c r="O359" s="121"/>
      <c r="P359" s="121"/>
      <c r="Q359" s="121"/>
      <c r="R359" s="121"/>
      <c r="S359" s="121"/>
      <c r="T359" s="121"/>
      <c r="U359" s="121"/>
      <c r="V359" s="121"/>
      <c r="W359" s="121"/>
      <c r="X359" s="121"/>
      <c r="Y359" s="121"/>
      <c r="Z359" s="121"/>
    </row>
    <row r="360" spans="1:26" ht="11.25" customHeight="1" x14ac:dyDescent="0.3">
      <c r="A360" s="121"/>
      <c r="B360" s="121"/>
      <c r="C360" s="121"/>
      <c r="D360" s="121"/>
      <c r="E360" s="121"/>
      <c r="F360" s="121"/>
      <c r="G360" s="121"/>
      <c r="H360" s="121"/>
      <c r="I360" s="121"/>
      <c r="J360" s="121"/>
      <c r="K360" s="121"/>
      <c r="L360" s="121"/>
      <c r="M360" s="121"/>
      <c r="N360" s="121"/>
      <c r="O360" s="121"/>
      <c r="P360" s="121"/>
      <c r="Q360" s="121"/>
      <c r="R360" s="121"/>
      <c r="S360" s="121"/>
      <c r="T360" s="121"/>
      <c r="U360" s="121"/>
      <c r="V360" s="121"/>
      <c r="W360" s="121"/>
      <c r="X360" s="121"/>
      <c r="Y360" s="121"/>
      <c r="Z360" s="121"/>
    </row>
    <row r="361" spans="1:26" ht="11.25" customHeight="1" x14ac:dyDescent="0.3">
      <c r="A361" s="121"/>
      <c r="B361" s="121"/>
      <c r="C361" s="121"/>
      <c r="D361" s="121"/>
      <c r="E361" s="121"/>
      <c r="F361" s="121"/>
      <c r="G361" s="121"/>
      <c r="H361" s="121"/>
      <c r="I361" s="121"/>
      <c r="J361" s="121"/>
      <c r="K361" s="121"/>
      <c r="L361" s="121"/>
      <c r="M361" s="121"/>
      <c r="N361" s="121"/>
      <c r="O361" s="121"/>
      <c r="P361" s="121"/>
      <c r="Q361" s="121"/>
      <c r="R361" s="121"/>
      <c r="S361" s="121"/>
      <c r="T361" s="121"/>
      <c r="U361" s="121"/>
      <c r="V361" s="121"/>
      <c r="W361" s="121"/>
      <c r="X361" s="121"/>
      <c r="Y361" s="121"/>
      <c r="Z361" s="121"/>
    </row>
    <row r="362" spans="1:26" ht="11.25" customHeight="1" x14ac:dyDescent="0.3">
      <c r="A362" s="121"/>
      <c r="B362" s="121"/>
      <c r="C362" s="121"/>
      <c r="D362" s="121"/>
      <c r="E362" s="121"/>
      <c r="F362" s="121"/>
      <c r="G362" s="121"/>
      <c r="H362" s="121"/>
      <c r="I362" s="121"/>
      <c r="J362" s="121"/>
      <c r="K362" s="121"/>
      <c r="L362" s="121"/>
      <c r="M362" s="121"/>
      <c r="N362" s="121"/>
      <c r="O362" s="121"/>
      <c r="P362" s="121"/>
      <c r="Q362" s="121"/>
      <c r="R362" s="121"/>
      <c r="S362" s="121"/>
      <c r="T362" s="121"/>
      <c r="U362" s="121"/>
      <c r="V362" s="121"/>
      <c r="W362" s="121"/>
      <c r="X362" s="121"/>
      <c r="Y362" s="121"/>
      <c r="Z362" s="121"/>
    </row>
    <row r="363" spans="1:26" ht="11.25" customHeight="1" x14ac:dyDescent="0.3">
      <c r="A363" s="121"/>
      <c r="B363" s="121"/>
      <c r="C363" s="121"/>
      <c r="D363" s="121"/>
      <c r="E363" s="121"/>
      <c r="F363" s="121"/>
      <c r="G363" s="121"/>
      <c r="H363" s="121"/>
      <c r="I363" s="121"/>
      <c r="J363" s="121"/>
      <c r="K363" s="121"/>
      <c r="L363" s="121"/>
      <c r="M363" s="121"/>
      <c r="N363" s="121"/>
      <c r="O363" s="121"/>
      <c r="P363" s="121"/>
      <c r="Q363" s="121"/>
      <c r="R363" s="121"/>
      <c r="S363" s="121"/>
      <c r="T363" s="121"/>
      <c r="U363" s="121"/>
      <c r="V363" s="121"/>
      <c r="W363" s="121"/>
      <c r="X363" s="121"/>
      <c r="Y363" s="121"/>
      <c r="Z363" s="121"/>
    </row>
    <row r="364" spans="1:26" ht="11.25" customHeight="1" x14ac:dyDescent="0.3">
      <c r="A364" s="121"/>
      <c r="B364" s="121"/>
      <c r="C364" s="121"/>
      <c r="D364" s="121"/>
      <c r="E364" s="121"/>
      <c r="F364" s="121"/>
      <c r="G364" s="121"/>
      <c r="H364" s="121"/>
      <c r="I364" s="121"/>
      <c r="J364" s="121"/>
      <c r="K364" s="121"/>
      <c r="L364" s="121"/>
      <c r="M364" s="121"/>
      <c r="N364" s="121"/>
      <c r="O364" s="121"/>
      <c r="P364" s="121"/>
      <c r="Q364" s="121"/>
      <c r="R364" s="121"/>
      <c r="S364" s="121"/>
      <c r="T364" s="121"/>
      <c r="U364" s="121"/>
      <c r="V364" s="121"/>
      <c r="W364" s="121"/>
      <c r="X364" s="121"/>
      <c r="Y364" s="121"/>
      <c r="Z364" s="121"/>
    </row>
    <row r="365" spans="1:26" ht="11.25" customHeight="1" x14ac:dyDescent="0.3">
      <c r="A365" s="121"/>
      <c r="B365" s="121"/>
      <c r="C365" s="121"/>
      <c r="D365" s="121"/>
      <c r="E365" s="121"/>
      <c r="F365" s="121"/>
      <c r="G365" s="121"/>
      <c r="H365" s="121"/>
      <c r="I365" s="121"/>
      <c r="J365" s="121"/>
      <c r="K365" s="121"/>
      <c r="L365" s="121"/>
      <c r="M365" s="121"/>
      <c r="N365" s="121"/>
      <c r="O365" s="121"/>
      <c r="P365" s="121"/>
      <c r="Q365" s="121"/>
      <c r="R365" s="121"/>
      <c r="S365" s="121"/>
      <c r="T365" s="121"/>
      <c r="U365" s="121"/>
      <c r="V365" s="121"/>
      <c r="W365" s="121"/>
      <c r="X365" s="121"/>
      <c r="Y365" s="121"/>
      <c r="Z365" s="121"/>
    </row>
    <row r="366" spans="1:26" ht="11.25" customHeight="1" x14ac:dyDescent="0.3">
      <c r="A366" s="121"/>
      <c r="B366" s="121"/>
      <c r="C366" s="121"/>
      <c r="D366" s="121"/>
      <c r="E366" s="121"/>
      <c r="F366" s="121"/>
      <c r="G366" s="121"/>
      <c r="H366" s="121"/>
      <c r="I366" s="121"/>
      <c r="J366" s="121"/>
      <c r="K366" s="121"/>
      <c r="L366" s="121"/>
      <c r="M366" s="121"/>
      <c r="N366" s="121"/>
      <c r="O366" s="121"/>
      <c r="P366" s="121"/>
      <c r="Q366" s="121"/>
      <c r="R366" s="121"/>
      <c r="S366" s="121"/>
      <c r="T366" s="121"/>
      <c r="U366" s="121"/>
      <c r="V366" s="121"/>
      <c r="W366" s="121"/>
      <c r="X366" s="121"/>
      <c r="Y366" s="121"/>
      <c r="Z366" s="121"/>
    </row>
    <row r="367" spans="1:26" ht="11.25" customHeight="1" x14ac:dyDescent="0.3">
      <c r="A367" s="121"/>
      <c r="B367" s="121"/>
      <c r="C367" s="121"/>
      <c r="D367" s="121"/>
      <c r="E367" s="121"/>
      <c r="F367" s="121"/>
      <c r="G367" s="121"/>
      <c r="H367" s="121"/>
      <c r="I367" s="121"/>
      <c r="J367" s="121"/>
      <c r="K367" s="121"/>
      <c r="L367" s="121"/>
      <c r="M367" s="121"/>
      <c r="N367" s="121"/>
      <c r="O367" s="121"/>
      <c r="P367" s="121"/>
      <c r="Q367" s="121"/>
      <c r="R367" s="121"/>
      <c r="S367" s="121"/>
      <c r="T367" s="121"/>
      <c r="U367" s="121"/>
      <c r="V367" s="121"/>
      <c r="W367" s="121"/>
      <c r="X367" s="121"/>
      <c r="Y367" s="121"/>
      <c r="Z367" s="121"/>
    </row>
    <row r="368" spans="1:26" ht="11.25" customHeight="1" x14ac:dyDescent="0.3">
      <c r="A368" s="121"/>
      <c r="B368" s="121"/>
      <c r="C368" s="121"/>
      <c r="D368" s="121"/>
      <c r="E368" s="121"/>
      <c r="F368" s="121"/>
      <c r="G368" s="121"/>
      <c r="H368" s="121"/>
      <c r="I368" s="121"/>
      <c r="J368" s="121"/>
      <c r="K368" s="121"/>
      <c r="L368" s="121"/>
      <c r="M368" s="121"/>
      <c r="N368" s="121"/>
      <c r="O368" s="121"/>
      <c r="P368" s="121"/>
      <c r="Q368" s="121"/>
      <c r="R368" s="121"/>
      <c r="S368" s="121"/>
      <c r="T368" s="121"/>
      <c r="U368" s="121"/>
      <c r="V368" s="121"/>
      <c r="W368" s="121"/>
      <c r="X368" s="121"/>
      <c r="Y368" s="121"/>
      <c r="Z368" s="121"/>
    </row>
    <row r="369" spans="1:26" ht="11.25" customHeight="1" x14ac:dyDescent="0.3">
      <c r="A369" s="121"/>
      <c r="B369" s="121"/>
      <c r="C369" s="121"/>
      <c r="D369" s="121"/>
      <c r="E369" s="121"/>
      <c r="F369" s="121"/>
      <c r="G369" s="121"/>
      <c r="H369" s="121"/>
      <c r="I369" s="121"/>
      <c r="J369" s="121"/>
      <c r="K369" s="121"/>
      <c r="L369" s="121"/>
      <c r="M369" s="121"/>
      <c r="N369" s="121"/>
      <c r="O369" s="121"/>
      <c r="P369" s="121"/>
      <c r="Q369" s="121"/>
      <c r="R369" s="121"/>
      <c r="S369" s="121"/>
      <c r="T369" s="121"/>
      <c r="U369" s="121"/>
      <c r="V369" s="121"/>
      <c r="W369" s="121"/>
      <c r="X369" s="121"/>
      <c r="Y369" s="121"/>
      <c r="Z369" s="121"/>
    </row>
    <row r="370" spans="1:26" ht="11.25" customHeight="1" x14ac:dyDescent="0.3">
      <c r="A370" s="121"/>
      <c r="B370" s="121"/>
      <c r="C370" s="121"/>
      <c r="D370" s="121"/>
      <c r="E370" s="121"/>
      <c r="F370" s="121"/>
      <c r="G370" s="121"/>
      <c r="H370" s="121"/>
      <c r="I370" s="121"/>
      <c r="J370" s="121"/>
      <c r="K370" s="121"/>
      <c r="L370" s="121"/>
      <c r="M370" s="121"/>
      <c r="N370" s="121"/>
      <c r="O370" s="121"/>
      <c r="P370" s="121"/>
      <c r="Q370" s="121"/>
      <c r="R370" s="121"/>
      <c r="S370" s="121"/>
      <c r="T370" s="121"/>
      <c r="U370" s="121"/>
      <c r="V370" s="121"/>
      <c r="W370" s="121"/>
      <c r="X370" s="121"/>
      <c r="Y370" s="121"/>
      <c r="Z370" s="121"/>
    </row>
    <row r="371" spans="1:26" ht="11.25" customHeight="1" x14ac:dyDescent="0.3">
      <c r="A371" s="121"/>
      <c r="B371" s="121"/>
      <c r="C371" s="121"/>
      <c r="D371" s="121"/>
      <c r="E371" s="121"/>
      <c r="F371" s="121"/>
      <c r="G371" s="121"/>
      <c r="H371" s="121"/>
      <c r="I371" s="121"/>
      <c r="J371" s="121"/>
      <c r="K371" s="121"/>
      <c r="L371" s="121"/>
      <c r="M371" s="121"/>
      <c r="N371" s="121"/>
      <c r="O371" s="121"/>
      <c r="P371" s="121"/>
      <c r="Q371" s="121"/>
      <c r="R371" s="121"/>
      <c r="S371" s="121"/>
      <c r="T371" s="121"/>
      <c r="U371" s="121"/>
      <c r="V371" s="121"/>
      <c r="W371" s="121"/>
      <c r="X371" s="121"/>
      <c r="Y371" s="121"/>
      <c r="Z371" s="121"/>
    </row>
    <row r="372" spans="1:26" ht="11.25" customHeight="1" x14ac:dyDescent="0.3">
      <c r="A372" s="121"/>
      <c r="B372" s="121"/>
      <c r="C372" s="121"/>
      <c r="D372" s="121"/>
      <c r="E372" s="121"/>
      <c r="F372" s="121"/>
      <c r="G372" s="121"/>
      <c r="H372" s="121"/>
      <c r="I372" s="121"/>
      <c r="J372" s="121"/>
      <c r="K372" s="121"/>
      <c r="L372" s="121"/>
      <c r="M372" s="121"/>
      <c r="N372" s="121"/>
      <c r="O372" s="121"/>
      <c r="P372" s="121"/>
      <c r="Q372" s="121"/>
      <c r="R372" s="121"/>
      <c r="S372" s="121"/>
      <c r="T372" s="121"/>
      <c r="U372" s="121"/>
      <c r="V372" s="121"/>
      <c r="W372" s="121"/>
      <c r="X372" s="121"/>
      <c r="Y372" s="121"/>
      <c r="Z372" s="121"/>
    </row>
    <row r="373" spans="1:26" ht="11.25" customHeight="1" x14ac:dyDescent="0.3">
      <c r="A373" s="121"/>
      <c r="B373" s="121"/>
      <c r="C373" s="121"/>
      <c r="D373" s="121"/>
      <c r="E373" s="121"/>
      <c r="F373" s="121"/>
      <c r="G373" s="121"/>
      <c r="H373" s="121"/>
      <c r="I373" s="121"/>
      <c r="J373" s="121"/>
      <c r="K373" s="121"/>
      <c r="L373" s="121"/>
      <c r="M373" s="121"/>
      <c r="N373" s="121"/>
      <c r="O373" s="121"/>
      <c r="P373" s="121"/>
      <c r="Q373" s="121"/>
      <c r="R373" s="121"/>
      <c r="S373" s="121"/>
      <c r="T373" s="121"/>
      <c r="U373" s="121"/>
      <c r="V373" s="121"/>
      <c r="W373" s="121"/>
      <c r="X373" s="121"/>
      <c r="Y373" s="121"/>
      <c r="Z373" s="121"/>
    </row>
    <row r="374" spans="1:26" ht="11.25" customHeight="1" x14ac:dyDescent="0.3">
      <c r="A374" s="121"/>
      <c r="B374" s="121"/>
      <c r="C374" s="121"/>
      <c r="D374" s="121"/>
      <c r="E374" s="121"/>
      <c r="F374" s="121"/>
      <c r="G374" s="121"/>
      <c r="H374" s="121"/>
      <c r="I374" s="121"/>
      <c r="J374" s="121"/>
      <c r="K374" s="121"/>
      <c r="L374" s="121"/>
      <c r="M374" s="121"/>
      <c r="N374" s="121"/>
      <c r="O374" s="121"/>
      <c r="P374" s="121"/>
      <c r="Q374" s="121"/>
      <c r="R374" s="121"/>
      <c r="S374" s="121"/>
      <c r="T374" s="121"/>
      <c r="U374" s="121"/>
      <c r="V374" s="121"/>
      <c r="W374" s="121"/>
      <c r="X374" s="121"/>
      <c r="Y374" s="121"/>
      <c r="Z374" s="121"/>
    </row>
    <row r="375" spans="1:26" ht="11.25" customHeight="1" x14ac:dyDescent="0.3">
      <c r="A375" s="121"/>
      <c r="B375" s="121"/>
      <c r="C375" s="121"/>
      <c r="D375" s="121"/>
      <c r="E375" s="121"/>
      <c r="F375" s="121"/>
      <c r="G375" s="121"/>
      <c r="H375" s="121"/>
      <c r="I375" s="121"/>
      <c r="J375" s="121"/>
      <c r="K375" s="121"/>
      <c r="L375" s="121"/>
      <c r="M375" s="121"/>
      <c r="N375" s="121"/>
      <c r="O375" s="121"/>
      <c r="P375" s="121"/>
      <c r="Q375" s="121"/>
      <c r="R375" s="121"/>
      <c r="S375" s="121"/>
      <c r="T375" s="121"/>
      <c r="U375" s="121"/>
      <c r="V375" s="121"/>
      <c r="W375" s="121"/>
      <c r="X375" s="121"/>
      <c r="Y375" s="121"/>
      <c r="Z375" s="121"/>
    </row>
    <row r="376" spans="1:26" ht="11.25" customHeight="1" x14ac:dyDescent="0.3">
      <c r="A376" s="121"/>
      <c r="B376" s="121"/>
      <c r="C376" s="121"/>
      <c r="D376" s="121"/>
      <c r="E376" s="121"/>
      <c r="F376" s="121"/>
      <c r="G376" s="121"/>
      <c r="H376" s="121"/>
      <c r="I376" s="121"/>
      <c r="J376" s="121"/>
      <c r="K376" s="121"/>
      <c r="L376" s="121"/>
      <c r="M376" s="121"/>
      <c r="N376" s="121"/>
      <c r="O376" s="121"/>
      <c r="P376" s="121"/>
      <c r="Q376" s="121"/>
      <c r="R376" s="121"/>
      <c r="S376" s="121"/>
      <c r="T376" s="121"/>
      <c r="U376" s="121"/>
      <c r="V376" s="121"/>
      <c r="W376" s="121"/>
      <c r="X376" s="121"/>
      <c r="Y376" s="121"/>
      <c r="Z376" s="121"/>
    </row>
    <row r="377" spans="1:26" ht="11.25" customHeight="1" x14ac:dyDescent="0.3">
      <c r="A377" s="121"/>
      <c r="B377" s="121"/>
      <c r="C377" s="121"/>
      <c r="D377" s="121"/>
      <c r="E377" s="121"/>
      <c r="F377" s="121"/>
      <c r="G377" s="121"/>
      <c r="H377" s="121"/>
      <c r="I377" s="121"/>
      <c r="J377" s="121"/>
      <c r="K377" s="121"/>
      <c r="L377" s="121"/>
      <c r="M377" s="121"/>
      <c r="N377" s="121"/>
      <c r="O377" s="121"/>
      <c r="P377" s="121"/>
      <c r="Q377" s="121"/>
      <c r="R377" s="121"/>
      <c r="S377" s="121"/>
      <c r="T377" s="121"/>
      <c r="U377" s="121"/>
      <c r="V377" s="121"/>
      <c r="W377" s="121"/>
      <c r="X377" s="121"/>
      <c r="Y377" s="121"/>
      <c r="Z377" s="121"/>
    </row>
    <row r="378" spans="1:26" ht="11.25" customHeight="1" x14ac:dyDescent="0.3">
      <c r="A378" s="121"/>
      <c r="B378" s="121"/>
      <c r="C378" s="121"/>
      <c r="D378" s="121"/>
      <c r="E378" s="121"/>
      <c r="F378" s="121"/>
      <c r="G378" s="121"/>
      <c r="H378" s="121"/>
      <c r="I378" s="121"/>
      <c r="J378" s="121"/>
      <c r="K378" s="121"/>
      <c r="L378" s="121"/>
      <c r="M378" s="121"/>
      <c r="N378" s="121"/>
      <c r="O378" s="121"/>
      <c r="P378" s="121"/>
      <c r="Q378" s="121"/>
      <c r="R378" s="121"/>
      <c r="S378" s="121"/>
      <c r="T378" s="121"/>
      <c r="U378" s="121"/>
      <c r="V378" s="121"/>
      <c r="W378" s="121"/>
      <c r="X378" s="121"/>
      <c r="Y378" s="121"/>
      <c r="Z378" s="121"/>
    </row>
    <row r="379" spans="1:26" ht="11.25" customHeight="1" x14ac:dyDescent="0.3">
      <c r="A379" s="121"/>
      <c r="B379" s="121"/>
      <c r="C379" s="121"/>
      <c r="D379" s="121"/>
      <c r="E379" s="121"/>
      <c r="F379" s="121"/>
      <c r="G379" s="121"/>
      <c r="H379" s="121"/>
      <c r="I379" s="121"/>
      <c r="J379" s="121"/>
      <c r="K379" s="121"/>
      <c r="L379" s="121"/>
      <c r="M379" s="121"/>
      <c r="N379" s="121"/>
      <c r="O379" s="121"/>
      <c r="P379" s="121"/>
      <c r="Q379" s="121"/>
      <c r="R379" s="121"/>
      <c r="S379" s="121"/>
      <c r="T379" s="121"/>
      <c r="U379" s="121"/>
      <c r="V379" s="121"/>
      <c r="W379" s="121"/>
      <c r="X379" s="121"/>
      <c r="Y379" s="121"/>
      <c r="Z379" s="121"/>
    </row>
    <row r="380" spans="1:26" ht="11.25" customHeight="1" x14ac:dyDescent="0.3">
      <c r="A380" s="121"/>
      <c r="B380" s="121"/>
      <c r="C380" s="121"/>
      <c r="D380" s="121"/>
      <c r="E380" s="121"/>
      <c r="F380" s="121"/>
      <c r="G380" s="121"/>
      <c r="H380" s="121"/>
      <c r="I380" s="121"/>
      <c r="J380" s="121"/>
      <c r="K380" s="121"/>
      <c r="L380" s="121"/>
      <c r="M380" s="121"/>
      <c r="N380" s="121"/>
      <c r="O380" s="121"/>
      <c r="P380" s="121"/>
      <c r="Q380" s="121"/>
      <c r="R380" s="121"/>
      <c r="S380" s="121"/>
      <c r="T380" s="121"/>
      <c r="U380" s="121"/>
      <c r="V380" s="121"/>
      <c r="W380" s="121"/>
      <c r="X380" s="121"/>
      <c r="Y380" s="121"/>
      <c r="Z380" s="121"/>
    </row>
    <row r="381" spans="1:26" ht="11.25" customHeight="1" x14ac:dyDescent="0.3">
      <c r="A381" s="121"/>
      <c r="B381" s="121"/>
      <c r="C381" s="121"/>
      <c r="D381" s="121"/>
      <c r="E381" s="121"/>
      <c r="F381" s="121"/>
      <c r="G381" s="121"/>
      <c r="H381" s="121"/>
      <c r="I381" s="121"/>
      <c r="J381" s="121"/>
      <c r="K381" s="121"/>
      <c r="L381" s="121"/>
      <c r="M381" s="121"/>
      <c r="N381" s="121"/>
      <c r="O381" s="121"/>
      <c r="P381" s="121"/>
      <c r="Q381" s="121"/>
      <c r="R381" s="121"/>
      <c r="S381" s="121"/>
      <c r="T381" s="121"/>
      <c r="U381" s="121"/>
      <c r="V381" s="121"/>
      <c r="W381" s="121"/>
      <c r="X381" s="121"/>
      <c r="Y381" s="121"/>
      <c r="Z381" s="121"/>
    </row>
    <row r="382" spans="1:26" ht="11.25" customHeight="1" x14ac:dyDescent="0.3">
      <c r="A382" s="121"/>
      <c r="B382" s="121"/>
      <c r="C382" s="121"/>
      <c r="D382" s="121"/>
      <c r="E382" s="121"/>
      <c r="F382" s="121"/>
      <c r="G382" s="121"/>
      <c r="H382" s="121"/>
      <c r="I382" s="121"/>
      <c r="J382" s="121"/>
      <c r="K382" s="121"/>
      <c r="L382" s="121"/>
      <c r="M382" s="121"/>
      <c r="N382" s="121"/>
      <c r="O382" s="121"/>
      <c r="P382" s="121"/>
      <c r="Q382" s="121"/>
      <c r="R382" s="121"/>
      <c r="S382" s="121"/>
      <c r="T382" s="121"/>
      <c r="U382" s="121"/>
      <c r="V382" s="121"/>
      <c r="W382" s="121"/>
      <c r="X382" s="121"/>
      <c r="Y382" s="121"/>
      <c r="Z382" s="121"/>
    </row>
    <row r="383" spans="1:26" ht="11.25" customHeight="1" x14ac:dyDescent="0.3">
      <c r="A383" s="121"/>
      <c r="B383" s="121"/>
      <c r="C383" s="121"/>
      <c r="D383" s="121"/>
      <c r="E383" s="121"/>
      <c r="F383" s="121"/>
      <c r="G383" s="121"/>
      <c r="H383" s="121"/>
      <c r="I383" s="121"/>
      <c r="J383" s="121"/>
      <c r="K383" s="121"/>
      <c r="L383" s="121"/>
      <c r="M383" s="121"/>
      <c r="N383" s="121"/>
      <c r="O383" s="121"/>
      <c r="P383" s="121"/>
      <c r="Q383" s="121"/>
      <c r="R383" s="121"/>
      <c r="S383" s="121"/>
      <c r="T383" s="121"/>
      <c r="U383" s="121"/>
      <c r="V383" s="121"/>
      <c r="W383" s="121"/>
      <c r="X383" s="121"/>
      <c r="Y383" s="121"/>
      <c r="Z383" s="121"/>
    </row>
    <row r="384" spans="1:26" ht="11.25" customHeight="1" x14ac:dyDescent="0.3">
      <c r="A384" s="121"/>
      <c r="B384" s="121"/>
      <c r="C384" s="121"/>
      <c r="D384" s="121"/>
      <c r="E384" s="121"/>
      <c r="F384" s="121"/>
      <c r="G384" s="121"/>
      <c r="H384" s="121"/>
      <c r="I384" s="121"/>
      <c r="J384" s="121"/>
      <c r="K384" s="121"/>
      <c r="L384" s="121"/>
      <c r="M384" s="121"/>
      <c r="N384" s="121"/>
      <c r="O384" s="121"/>
      <c r="P384" s="121"/>
      <c r="Q384" s="121"/>
      <c r="R384" s="121"/>
      <c r="S384" s="121"/>
      <c r="T384" s="121"/>
      <c r="U384" s="121"/>
      <c r="V384" s="121"/>
      <c r="W384" s="121"/>
      <c r="X384" s="121"/>
      <c r="Y384" s="121"/>
      <c r="Z384" s="121"/>
    </row>
    <row r="385" spans="1:26" ht="11.25" customHeight="1" x14ac:dyDescent="0.3">
      <c r="A385" s="121"/>
      <c r="B385" s="121"/>
      <c r="C385" s="121"/>
      <c r="D385" s="121"/>
      <c r="E385" s="121"/>
      <c r="F385" s="121"/>
      <c r="G385" s="121"/>
      <c r="H385" s="121"/>
      <c r="I385" s="121"/>
      <c r="J385" s="121"/>
      <c r="K385" s="121"/>
      <c r="L385" s="121"/>
      <c r="M385" s="121"/>
      <c r="N385" s="121"/>
      <c r="O385" s="121"/>
      <c r="P385" s="121"/>
      <c r="Q385" s="121"/>
      <c r="R385" s="121"/>
      <c r="S385" s="121"/>
      <c r="T385" s="121"/>
      <c r="U385" s="121"/>
      <c r="V385" s="121"/>
      <c r="W385" s="121"/>
      <c r="X385" s="121"/>
      <c r="Y385" s="121"/>
      <c r="Z385" s="121"/>
    </row>
    <row r="386" spans="1:26" ht="11.25" customHeight="1" x14ac:dyDescent="0.3">
      <c r="A386" s="121"/>
      <c r="B386" s="121"/>
      <c r="C386" s="121"/>
      <c r="D386" s="121"/>
      <c r="E386" s="121"/>
      <c r="F386" s="121"/>
      <c r="G386" s="121"/>
      <c r="H386" s="121"/>
      <c r="I386" s="121"/>
      <c r="J386" s="121"/>
      <c r="K386" s="121"/>
      <c r="L386" s="121"/>
      <c r="M386" s="121"/>
      <c r="N386" s="121"/>
      <c r="O386" s="121"/>
      <c r="P386" s="121"/>
      <c r="Q386" s="121"/>
      <c r="R386" s="121"/>
      <c r="S386" s="121"/>
      <c r="T386" s="121"/>
      <c r="U386" s="121"/>
      <c r="V386" s="121"/>
      <c r="W386" s="121"/>
      <c r="X386" s="121"/>
      <c r="Y386" s="121"/>
      <c r="Z386" s="121"/>
    </row>
    <row r="387" spans="1:26" ht="11.25" customHeight="1" x14ac:dyDescent="0.3">
      <c r="A387" s="121"/>
      <c r="B387" s="121"/>
      <c r="C387" s="121"/>
      <c r="D387" s="121"/>
      <c r="E387" s="121"/>
      <c r="F387" s="121"/>
      <c r="G387" s="121"/>
      <c r="H387" s="121"/>
      <c r="I387" s="121"/>
      <c r="J387" s="121"/>
      <c r="K387" s="121"/>
      <c r="L387" s="121"/>
      <c r="M387" s="121"/>
      <c r="N387" s="121"/>
      <c r="O387" s="121"/>
      <c r="P387" s="121"/>
      <c r="Q387" s="121"/>
      <c r="R387" s="121"/>
      <c r="S387" s="121"/>
      <c r="T387" s="121"/>
      <c r="U387" s="121"/>
      <c r="V387" s="121"/>
      <c r="W387" s="121"/>
      <c r="X387" s="121"/>
      <c r="Y387" s="121"/>
      <c r="Z387" s="121"/>
    </row>
    <row r="388" spans="1:26" ht="11.25" customHeight="1" x14ac:dyDescent="0.3">
      <c r="A388" s="121"/>
      <c r="B388" s="121"/>
      <c r="C388" s="121"/>
      <c r="D388" s="121"/>
      <c r="E388" s="121"/>
      <c r="F388" s="121"/>
      <c r="G388" s="121"/>
      <c r="H388" s="121"/>
      <c r="I388" s="121"/>
      <c r="J388" s="121"/>
      <c r="K388" s="121"/>
      <c r="L388" s="121"/>
      <c r="M388" s="121"/>
      <c r="N388" s="121"/>
      <c r="O388" s="121"/>
      <c r="P388" s="121"/>
      <c r="Q388" s="121"/>
      <c r="R388" s="121"/>
      <c r="S388" s="121"/>
      <c r="T388" s="121"/>
      <c r="U388" s="121"/>
      <c r="V388" s="121"/>
      <c r="W388" s="121"/>
      <c r="X388" s="121"/>
      <c r="Y388" s="121"/>
      <c r="Z388" s="121"/>
    </row>
    <row r="389" spans="1:26" ht="11.25" customHeight="1" x14ac:dyDescent="0.3">
      <c r="A389" s="121"/>
      <c r="B389" s="121"/>
      <c r="C389" s="121"/>
      <c r="D389" s="121"/>
      <c r="E389" s="121"/>
      <c r="F389" s="121"/>
      <c r="G389" s="121"/>
      <c r="H389" s="121"/>
      <c r="I389" s="121"/>
      <c r="J389" s="121"/>
      <c r="K389" s="121"/>
      <c r="L389" s="121"/>
      <c r="M389" s="121"/>
      <c r="N389" s="121"/>
      <c r="O389" s="121"/>
      <c r="P389" s="121"/>
      <c r="Q389" s="121"/>
      <c r="R389" s="121"/>
      <c r="S389" s="121"/>
      <c r="T389" s="121"/>
      <c r="U389" s="121"/>
      <c r="V389" s="121"/>
      <c r="W389" s="121"/>
      <c r="X389" s="121"/>
      <c r="Y389" s="121"/>
      <c r="Z389" s="121"/>
    </row>
    <row r="390" spans="1:26" ht="11.25" customHeight="1" x14ac:dyDescent="0.3">
      <c r="A390" s="121"/>
      <c r="B390" s="121"/>
      <c r="C390" s="121"/>
      <c r="D390" s="121"/>
      <c r="E390" s="121"/>
      <c r="F390" s="121"/>
      <c r="G390" s="121"/>
      <c r="H390" s="121"/>
      <c r="I390" s="121"/>
      <c r="J390" s="121"/>
      <c r="K390" s="121"/>
      <c r="L390" s="121"/>
      <c r="M390" s="121"/>
      <c r="N390" s="121"/>
      <c r="O390" s="121"/>
      <c r="P390" s="121"/>
      <c r="Q390" s="121"/>
      <c r="R390" s="121"/>
      <c r="S390" s="121"/>
      <c r="T390" s="121"/>
      <c r="U390" s="121"/>
      <c r="V390" s="121"/>
      <c r="W390" s="121"/>
      <c r="X390" s="121"/>
      <c r="Y390" s="121"/>
      <c r="Z390" s="121"/>
    </row>
    <row r="391" spans="1:26" ht="11.25" customHeight="1" x14ac:dyDescent="0.3">
      <c r="A391" s="121"/>
      <c r="B391" s="121"/>
      <c r="C391" s="121"/>
      <c r="D391" s="121"/>
      <c r="E391" s="121"/>
      <c r="F391" s="121"/>
      <c r="G391" s="121"/>
      <c r="H391" s="121"/>
      <c r="I391" s="121"/>
      <c r="J391" s="121"/>
      <c r="K391" s="121"/>
      <c r="L391" s="121"/>
      <c r="M391" s="121"/>
      <c r="N391" s="121"/>
      <c r="O391" s="121"/>
      <c r="P391" s="121"/>
      <c r="Q391" s="121"/>
      <c r="R391" s="121"/>
      <c r="S391" s="121"/>
      <c r="T391" s="121"/>
      <c r="U391" s="121"/>
      <c r="V391" s="121"/>
      <c r="W391" s="121"/>
      <c r="X391" s="121"/>
      <c r="Y391" s="121"/>
      <c r="Z391" s="121"/>
    </row>
    <row r="392" spans="1:26" ht="11.25" customHeight="1" x14ac:dyDescent="0.3">
      <c r="A392" s="121"/>
      <c r="B392" s="121"/>
      <c r="C392" s="121"/>
      <c r="D392" s="121"/>
      <c r="E392" s="121"/>
      <c r="F392" s="121"/>
      <c r="G392" s="121"/>
      <c r="H392" s="121"/>
      <c r="I392" s="121"/>
      <c r="J392" s="121"/>
      <c r="K392" s="121"/>
      <c r="L392" s="121"/>
      <c r="M392" s="121"/>
      <c r="N392" s="121"/>
      <c r="O392" s="121"/>
      <c r="P392" s="121"/>
      <c r="Q392" s="121"/>
      <c r="R392" s="121"/>
      <c r="S392" s="121"/>
      <c r="T392" s="121"/>
      <c r="U392" s="121"/>
      <c r="V392" s="121"/>
      <c r="W392" s="121"/>
      <c r="X392" s="121"/>
      <c r="Y392" s="121"/>
      <c r="Z392" s="121"/>
    </row>
    <row r="393" spans="1:26" ht="11.25" customHeight="1" x14ac:dyDescent="0.3">
      <c r="A393" s="121"/>
      <c r="B393" s="121"/>
      <c r="C393" s="121"/>
      <c r="D393" s="121"/>
      <c r="E393" s="121"/>
      <c r="F393" s="121"/>
      <c r="G393" s="121"/>
      <c r="H393" s="121"/>
      <c r="I393" s="121"/>
      <c r="J393" s="121"/>
      <c r="K393" s="121"/>
      <c r="L393" s="121"/>
      <c r="M393" s="121"/>
      <c r="N393" s="121"/>
      <c r="O393" s="121"/>
      <c r="P393" s="121"/>
      <c r="Q393" s="121"/>
      <c r="R393" s="121"/>
      <c r="S393" s="121"/>
      <c r="T393" s="121"/>
      <c r="U393" s="121"/>
      <c r="V393" s="121"/>
      <c r="W393" s="121"/>
      <c r="X393" s="121"/>
      <c r="Y393" s="121"/>
      <c r="Z393" s="121"/>
    </row>
    <row r="394" spans="1:26" ht="11.25" customHeight="1" x14ac:dyDescent="0.3">
      <c r="A394" s="121"/>
      <c r="B394" s="121"/>
      <c r="C394" s="121"/>
      <c r="D394" s="121"/>
      <c r="E394" s="121"/>
      <c r="F394" s="121"/>
      <c r="G394" s="121"/>
      <c r="H394" s="121"/>
      <c r="I394" s="121"/>
      <c r="J394" s="121"/>
      <c r="K394" s="121"/>
      <c r="L394" s="121"/>
      <c r="M394" s="121"/>
      <c r="N394" s="121"/>
      <c r="O394" s="121"/>
      <c r="P394" s="121"/>
      <c r="Q394" s="121"/>
      <c r="R394" s="121"/>
      <c r="S394" s="121"/>
      <c r="T394" s="121"/>
      <c r="U394" s="121"/>
      <c r="V394" s="121"/>
      <c r="W394" s="121"/>
      <c r="X394" s="121"/>
      <c r="Y394" s="121"/>
      <c r="Z394" s="121"/>
    </row>
    <row r="395" spans="1:26" ht="11.25" customHeight="1" x14ac:dyDescent="0.3">
      <c r="A395" s="121"/>
      <c r="B395" s="121"/>
      <c r="C395" s="121"/>
      <c r="D395" s="121"/>
      <c r="E395" s="121"/>
      <c r="F395" s="121"/>
      <c r="G395" s="121"/>
      <c r="H395" s="121"/>
      <c r="I395" s="121"/>
      <c r="J395" s="121"/>
      <c r="K395" s="121"/>
      <c r="L395" s="121"/>
      <c r="M395" s="121"/>
      <c r="N395" s="121"/>
      <c r="O395" s="121"/>
      <c r="P395" s="121"/>
      <c r="Q395" s="121"/>
      <c r="R395" s="121"/>
      <c r="S395" s="121"/>
      <c r="T395" s="121"/>
      <c r="U395" s="121"/>
      <c r="V395" s="121"/>
      <c r="W395" s="121"/>
      <c r="X395" s="121"/>
      <c r="Y395" s="121"/>
      <c r="Z395" s="121"/>
    </row>
    <row r="396" spans="1:26" ht="11.25" customHeight="1" x14ac:dyDescent="0.3">
      <c r="A396" s="121"/>
      <c r="B396" s="121"/>
      <c r="C396" s="121"/>
      <c r="D396" s="121"/>
      <c r="E396" s="121"/>
      <c r="F396" s="121"/>
      <c r="G396" s="121"/>
      <c r="H396" s="121"/>
      <c r="I396" s="121"/>
      <c r="J396" s="121"/>
      <c r="K396" s="121"/>
      <c r="L396" s="121"/>
      <c r="M396" s="121"/>
      <c r="N396" s="121"/>
      <c r="O396" s="121"/>
      <c r="P396" s="121"/>
      <c r="Q396" s="121"/>
      <c r="R396" s="121"/>
      <c r="S396" s="121"/>
      <c r="T396" s="121"/>
      <c r="U396" s="121"/>
      <c r="V396" s="121"/>
      <c r="W396" s="121"/>
      <c r="X396" s="121"/>
      <c r="Y396" s="121"/>
      <c r="Z396" s="121"/>
    </row>
    <row r="397" spans="1:26" ht="11.25" customHeight="1" x14ac:dyDescent="0.3">
      <c r="A397" s="121"/>
      <c r="B397" s="121"/>
      <c r="C397" s="121"/>
      <c r="D397" s="121"/>
      <c r="E397" s="121"/>
      <c r="F397" s="121"/>
      <c r="G397" s="121"/>
      <c r="H397" s="121"/>
      <c r="I397" s="121"/>
      <c r="J397" s="121"/>
      <c r="K397" s="121"/>
      <c r="L397" s="121"/>
      <c r="M397" s="121"/>
      <c r="N397" s="121"/>
      <c r="O397" s="121"/>
      <c r="P397" s="121"/>
      <c r="Q397" s="121"/>
      <c r="R397" s="121"/>
      <c r="S397" s="121"/>
      <c r="T397" s="121"/>
      <c r="U397" s="121"/>
      <c r="V397" s="121"/>
      <c r="W397" s="121"/>
      <c r="X397" s="121"/>
      <c r="Y397" s="121"/>
      <c r="Z397" s="121"/>
    </row>
    <row r="398" spans="1:26" ht="11.25" customHeight="1" x14ac:dyDescent="0.3">
      <c r="A398" s="121"/>
      <c r="B398" s="121"/>
      <c r="C398" s="121"/>
      <c r="D398" s="121"/>
      <c r="E398" s="121"/>
      <c r="F398" s="121"/>
      <c r="G398" s="121"/>
      <c r="H398" s="121"/>
      <c r="I398" s="121"/>
      <c r="J398" s="121"/>
      <c r="K398" s="121"/>
      <c r="L398" s="121"/>
      <c r="M398" s="121"/>
      <c r="N398" s="121"/>
      <c r="O398" s="121"/>
      <c r="P398" s="121"/>
      <c r="Q398" s="121"/>
      <c r="R398" s="121"/>
      <c r="S398" s="121"/>
      <c r="T398" s="121"/>
      <c r="U398" s="121"/>
      <c r="V398" s="121"/>
      <c r="W398" s="121"/>
      <c r="X398" s="121"/>
      <c r="Y398" s="121"/>
      <c r="Z398" s="121"/>
    </row>
    <row r="399" spans="1:26" ht="11.25" customHeight="1" x14ac:dyDescent="0.3">
      <c r="A399" s="121"/>
      <c r="B399" s="121"/>
      <c r="C399" s="121"/>
      <c r="D399" s="121"/>
      <c r="E399" s="121"/>
      <c r="F399" s="121"/>
      <c r="G399" s="121"/>
      <c r="H399" s="121"/>
      <c r="I399" s="121"/>
      <c r="J399" s="121"/>
      <c r="K399" s="121"/>
      <c r="L399" s="121"/>
      <c r="M399" s="121"/>
      <c r="N399" s="121"/>
      <c r="O399" s="121"/>
      <c r="P399" s="121"/>
      <c r="Q399" s="121"/>
      <c r="R399" s="121"/>
      <c r="S399" s="121"/>
      <c r="T399" s="121"/>
      <c r="U399" s="121"/>
      <c r="V399" s="121"/>
      <c r="W399" s="121"/>
      <c r="X399" s="121"/>
      <c r="Y399" s="121"/>
      <c r="Z399" s="121"/>
    </row>
    <row r="400" spans="1:26" ht="11.25" customHeight="1" x14ac:dyDescent="0.3">
      <c r="A400" s="121"/>
      <c r="B400" s="121"/>
      <c r="C400" s="121"/>
      <c r="D400" s="121"/>
      <c r="E400" s="121"/>
      <c r="F400" s="121"/>
      <c r="G400" s="121"/>
      <c r="H400" s="121"/>
      <c r="I400" s="121"/>
      <c r="J400" s="121"/>
      <c r="K400" s="121"/>
      <c r="L400" s="121"/>
      <c r="M400" s="121"/>
      <c r="N400" s="121"/>
      <c r="O400" s="121"/>
      <c r="P400" s="121"/>
      <c r="Q400" s="121"/>
      <c r="R400" s="121"/>
      <c r="S400" s="121"/>
      <c r="T400" s="121"/>
      <c r="U400" s="121"/>
      <c r="V400" s="121"/>
      <c r="W400" s="121"/>
      <c r="X400" s="121"/>
      <c r="Y400" s="121"/>
      <c r="Z400" s="121"/>
    </row>
    <row r="401" spans="1:26" ht="11.25" customHeight="1" x14ac:dyDescent="0.3">
      <c r="A401" s="121"/>
      <c r="B401" s="121"/>
      <c r="C401" s="121"/>
      <c r="D401" s="121"/>
      <c r="E401" s="121"/>
      <c r="F401" s="121"/>
      <c r="G401" s="121"/>
      <c r="H401" s="121"/>
      <c r="I401" s="121"/>
      <c r="J401" s="121"/>
      <c r="K401" s="121"/>
      <c r="L401" s="121"/>
      <c r="M401" s="121"/>
      <c r="N401" s="121"/>
      <c r="O401" s="121"/>
      <c r="P401" s="121"/>
      <c r="Q401" s="121"/>
      <c r="R401" s="121"/>
      <c r="S401" s="121"/>
      <c r="T401" s="121"/>
      <c r="U401" s="121"/>
      <c r="V401" s="121"/>
      <c r="W401" s="121"/>
      <c r="X401" s="121"/>
      <c r="Y401" s="121"/>
      <c r="Z401" s="121"/>
    </row>
    <row r="402" spans="1:26" ht="11.25" customHeight="1" x14ac:dyDescent="0.3">
      <c r="A402" s="121"/>
      <c r="B402" s="121"/>
      <c r="C402" s="121"/>
      <c r="D402" s="121"/>
      <c r="E402" s="121"/>
      <c r="F402" s="121"/>
      <c r="G402" s="121"/>
      <c r="H402" s="121"/>
      <c r="I402" s="121"/>
      <c r="J402" s="121"/>
      <c r="K402" s="121"/>
      <c r="L402" s="121"/>
      <c r="M402" s="121"/>
      <c r="N402" s="121"/>
      <c r="O402" s="121"/>
      <c r="P402" s="121"/>
      <c r="Q402" s="121"/>
      <c r="R402" s="121"/>
      <c r="S402" s="121"/>
      <c r="T402" s="121"/>
      <c r="U402" s="121"/>
      <c r="V402" s="121"/>
      <c r="W402" s="121"/>
      <c r="X402" s="121"/>
      <c r="Y402" s="121"/>
      <c r="Z402" s="121"/>
    </row>
    <row r="403" spans="1:26" ht="11.25" customHeight="1" x14ac:dyDescent="0.3">
      <c r="A403" s="121"/>
      <c r="B403" s="121"/>
      <c r="C403" s="121"/>
      <c r="D403" s="121"/>
      <c r="E403" s="121"/>
      <c r="F403" s="121"/>
      <c r="G403" s="121"/>
      <c r="H403" s="121"/>
      <c r="I403" s="121"/>
      <c r="J403" s="121"/>
      <c r="K403" s="121"/>
      <c r="L403" s="121"/>
      <c r="M403" s="121"/>
      <c r="N403" s="121"/>
      <c r="O403" s="121"/>
      <c r="P403" s="121"/>
      <c r="Q403" s="121"/>
      <c r="R403" s="121"/>
      <c r="S403" s="121"/>
      <c r="T403" s="121"/>
      <c r="U403" s="121"/>
      <c r="V403" s="121"/>
      <c r="W403" s="121"/>
      <c r="X403" s="121"/>
      <c r="Y403" s="121"/>
      <c r="Z403" s="121"/>
    </row>
    <row r="404" spans="1:26" ht="11.25" customHeight="1" x14ac:dyDescent="0.3">
      <c r="A404" s="121"/>
      <c r="B404" s="121"/>
      <c r="C404" s="121"/>
      <c r="D404" s="121"/>
      <c r="E404" s="121"/>
      <c r="F404" s="121"/>
      <c r="G404" s="121"/>
      <c r="H404" s="121"/>
      <c r="I404" s="121"/>
      <c r="J404" s="121"/>
      <c r="K404" s="121"/>
      <c r="L404" s="121"/>
      <c r="M404" s="121"/>
      <c r="N404" s="121"/>
      <c r="O404" s="121"/>
      <c r="P404" s="121"/>
      <c r="Q404" s="121"/>
      <c r="R404" s="121"/>
      <c r="S404" s="121"/>
      <c r="T404" s="121"/>
      <c r="U404" s="121"/>
      <c r="V404" s="121"/>
      <c r="W404" s="121"/>
      <c r="X404" s="121"/>
      <c r="Y404" s="121"/>
      <c r="Z404" s="121"/>
    </row>
    <row r="405" spans="1:26" ht="11.25" customHeight="1" x14ac:dyDescent="0.3">
      <c r="A405" s="121"/>
      <c r="B405" s="121"/>
      <c r="C405" s="121"/>
      <c r="D405" s="121"/>
      <c r="E405" s="121"/>
      <c r="F405" s="121"/>
      <c r="G405" s="121"/>
      <c r="H405" s="121"/>
      <c r="I405" s="121"/>
      <c r="J405" s="121"/>
      <c r="K405" s="121"/>
      <c r="L405" s="121"/>
      <c r="M405" s="121"/>
      <c r="N405" s="121"/>
      <c r="O405" s="121"/>
      <c r="P405" s="121"/>
      <c r="Q405" s="121"/>
      <c r="R405" s="121"/>
      <c r="S405" s="121"/>
      <c r="T405" s="121"/>
      <c r="U405" s="121"/>
      <c r="V405" s="121"/>
      <c r="W405" s="121"/>
      <c r="X405" s="121"/>
      <c r="Y405" s="121"/>
      <c r="Z405" s="121"/>
    </row>
    <row r="406" spans="1:26" ht="11.25" customHeight="1" x14ac:dyDescent="0.3">
      <c r="A406" s="121"/>
      <c r="B406" s="121"/>
      <c r="C406" s="121"/>
      <c r="D406" s="121"/>
      <c r="E406" s="121"/>
      <c r="F406" s="121"/>
      <c r="G406" s="121"/>
      <c r="H406" s="121"/>
      <c r="I406" s="121"/>
      <c r="J406" s="121"/>
      <c r="K406" s="121"/>
      <c r="L406" s="121"/>
      <c r="M406" s="121"/>
      <c r="N406" s="121"/>
      <c r="O406" s="121"/>
      <c r="P406" s="121"/>
      <c r="Q406" s="121"/>
      <c r="R406" s="121"/>
      <c r="S406" s="121"/>
      <c r="T406" s="121"/>
      <c r="U406" s="121"/>
      <c r="V406" s="121"/>
      <c r="W406" s="121"/>
      <c r="X406" s="121"/>
      <c r="Y406" s="121"/>
      <c r="Z406" s="121"/>
    </row>
    <row r="407" spans="1:26" ht="11.25" customHeight="1" x14ac:dyDescent="0.3">
      <c r="A407" s="121"/>
      <c r="B407" s="121"/>
      <c r="C407" s="121"/>
      <c r="D407" s="121"/>
      <c r="E407" s="121"/>
      <c r="F407" s="121"/>
      <c r="G407" s="121"/>
      <c r="H407" s="121"/>
      <c r="I407" s="121"/>
      <c r="J407" s="121"/>
      <c r="K407" s="121"/>
      <c r="L407" s="121"/>
      <c r="M407" s="121"/>
      <c r="N407" s="121"/>
      <c r="O407" s="121"/>
      <c r="P407" s="121"/>
      <c r="Q407" s="121"/>
      <c r="R407" s="121"/>
      <c r="S407" s="121"/>
      <c r="T407" s="121"/>
      <c r="U407" s="121"/>
      <c r="V407" s="121"/>
      <c r="W407" s="121"/>
      <c r="X407" s="121"/>
      <c r="Y407" s="121"/>
      <c r="Z407" s="121"/>
    </row>
    <row r="408" spans="1:26" ht="11.25" customHeight="1" x14ac:dyDescent="0.3">
      <c r="A408" s="121"/>
      <c r="B408" s="121"/>
      <c r="C408" s="121"/>
      <c r="D408" s="121"/>
      <c r="E408" s="121"/>
      <c r="F408" s="121"/>
      <c r="G408" s="121"/>
      <c r="H408" s="121"/>
      <c r="I408" s="121"/>
      <c r="J408" s="121"/>
      <c r="K408" s="121"/>
      <c r="L408" s="121"/>
      <c r="M408" s="121"/>
      <c r="N408" s="121"/>
      <c r="O408" s="121"/>
      <c r="P408" s="121"/>
      <c r="Q408" s="121"/>
      <c r="R408" s="121"/>
      <c r="S408" s="121"/>
      <c r="T408" s="121"/>
      <c r="U408" s="121"/>
      <c r="V408" s="121"/>
      <c r="W408" s="121"/>
      <c r="X408" s="121"/>
      <c r="Y408" s="121"/>
      <c r="Z408" s="121"/>
    </row>
    <row r="409" spans="1:26" ht="11.25" customHeight="1" x14ac:dyDescent="0.3">
      <c r="A409" s="121"/>
      <c r="B409" s="121"/>
      <c r="C409" s="121"/>
      <c r="D409" s="121"/>
      <c r="E409" s="121"/>
      <c r="F409" s="121"/>
      <c r="G409" s="121"/>
      <c r="H409" s="121"/>
      <c r="I409" s="121"/>
      <c r="J409" s="121"/>
      <c r="K409" s="121"/>
      <c r="L409" s="121"/>
      <c r="M409" s="121"/>
      <c r="N409" s="121"/>
      <c r="O409" s="121"/>
      <c r="P409" s="121"/>
      <c r="Q409" s="121"/>
      <c r="R409" s="121"/>
      <c r="S409" s="121"/>
      <c r="T409" s="121"/>
      <c r="U409" s="121"/>
      <c r="V409" s="121"/>
      <c r="W409" s="121"/>
      <c r="X409" s="121"/>
      <c r="Y409" s="121"/>
      <c r="Z409" s="121"/>
    </row>
    <row r="410" spans="1:26" ht="11.25" customHeight="1" x14ac:dyDescent="0.3">
      <c r="A410" s="121"/>
      <c r="B410" s="121"/>
      <c r="C410" s="121"/>
      <c r="D410" s="121"/>
      <c r="E410" s="121"/>
      <c r="F410" s="121"/>
      <c r="G410" s="121"/>
      <c r="H410" s="121"/>
      <c r="I410" s="121"/>
      <c r="J410" s="121"/>
      <c r="K410" s="121"/>
      <c r="L410" s="121"/>
      <c r="M410" s="121"/>
      <c r="N410" s="121"/>
      <c r="O410" s="121"/>
      <c r="P410" s="121"/>
      <c r="Q410" s="121"/>
      <c r="R410" s="121"/>
      <c r="S410" s="121"/>
      <c r="T410" s="121"/>
      <c r="U410" s="121"/>
      <c r="V410" s="121"/>
      <c r="W410" s="121"/>
      <c r="X410" s="121"/>
      <c r="Y410" s="121"/>
      <c r="Z410" s="121"/>
    </row>
    <row r="411" spans="1:26" ht="11.25" customHeight="1" x14ac:dyDescent="0.3">
      <c r="A411" s="121"/>
      <c r="B411" s="121"/>
      <c r="C411" s="121"/>
      <c r="D411" s="121"/>
      <c r="E411" s="121"/>
      <c r="F411" s="121"/>
      <c r="G411" s="121"/>
      <c r="H411" s="121"/>
      <c r="I411" s="121"/>
      <c r="J411" s="121"/>
      <c r="K411" s="121"/>
      <c r="L411" s="121"/>
      <c r="M411" s="121"/>
      <c r="N411" s="121"/>
      <c r="O411" s="121"/>
      <c r="P411" s="121"/>
      <c r="Q411" s="121"/>
      <c r="R411" s="121"/>
      <c r="S411" s="121"/>
      <c r="T411" s="121"/>
      <c r="U411" s="121"/>
      <c r="V411" s="121"/>
      <c r="W411" s="121"/>
      <c r="X411" s="121"/>
      <c r="Y411" s="121"/>
      <c r="Z411" s="121"/>
    </row>
    <row r="412" spans="1:26" ht="11.25" customHeight="1" x14ac:dyDescent="0.3">
      <c r="A412" s="121"/>
      <c r="B412" s="121"/>
      <c r="C412" s="121"/>
      <c r="D412" s="121"/>
      <c r="E412" s="121"/>
      <c r="F412" s="121"/>
      <c r="G412" s="121"/>
      <c r="H412" s="121"/>
      <c r="I412" s="121"/>
      <c r="J412" s="121"/>
      <c r="K412" s="121"/>
      <c r="L412" s="121"/>
      <c r="M412" s="121"/>
      <c r="N412" s="121"/>
      <c r="O412" s="121"/>
      <c r="P412" s="121"/>
      <c r="Q412" s="121"/>
      <c r="R412" s="121"/>
      <c r="S412" s="121"/>
      <c r="T412" s="121"/>
      <c r="U412" s="121"/>
      <c r="V412" s="121"/>
      <c r="W412" s="121"/>
      <c r="X412" s="121"/>
      <c r="Y412" s="121"/>
      <c r="Z412" s="121"/>
    </row>
    <row r="413" spans="1:26" ht="11.25" customHeight="1" x14ac:dyDescent="0.3">
      <c r="A413" s="121"/>
      <c r="B413" s="121"/>
      <c r="C413" s="121"/>
      <c r="D413" s="121"/>
      <c r="E413" s="121"/>
      <c r="F413" s="121"/>
      <c r="G413" s="121"/>
      <c r="H413" s="121"/>
      <c r="I413" s="121"/>
      <c r="J413" s="121"/>
      <c r="K413" s="121"/>
      <c r="L413" s="121"/>
      <c r="M413" s="121"/>
      <c r="N413" s="121"/>
      <c r="O413" s="121"/>
      <c r="P413" s="121"/>
      <c r="Q413" s="121"/>
      <c r="R413" s="121"/>
      <c r="S413" s="121"/>
      <c r="T413" s="121"/>
      <c r="U413" s="121"/>
      <c r="V413" s="121"/>
      <c r="W413" s="121"/>
      <c r="X413" s="121"/>
      <c r="Y413" s="121"/>
      <c r="Z413" s="121"/>
    </row>
    <row r="414" spans="1:26" ht="11.25" customHeight="1" x14ac:dyDescent="0.3">
      <c r="A414" s="121"/>
      <c r="B414" s="121"/>
      <c r="C414" s="121"/>
      <c r="D414" s="121"/>
      <c r="E414" s="121"/>
      <c r="F414" s="121"/>
      <c r="G414" s="121"/>
      <c r="H414" s="121"/>
      <c r="I414" s="121"/>
      <c r="J414" s="121"/>
      <c r="K414" s="121"/>
      <c r="L414" s="121"/>
      <c r="M414" s="121"/>
      <c r="N414" s="121"/>
      <c r="O414" s="121"/>
      <c r="P414" s="121"/>
      <c r="Q414" s="121"/>
      <c r="R414" s="121"/>
      <c r="S414" s="121"/>
      <c r="T414" s="121"/>
      <c r="U414" s="121"/>
      <c r="V414" s="121"/>
      <c r="W414" s="121"/>
      <c r="X414" s="121"/>
      <c r="Y414" s="121"/>
      <c r="Z414" s="121"/>
    </row>
    <row r="415" spans="1:26" ht="11.25" customHeight="1" x14ac:dyDescent="0.3">
      <c r="A415" s="121"/>
      <c r="B415" s="121"/>
      <c r="C415" s="121"/>
      <c r="D415" s="121"/>
      <c r="E415" s="121"/>
      <c r="F415" s="121"/>
      <c r="G415" s="121"/>
      <c r="H415" s="121"/>
      <c r="I415" s="121"/>
      <c r="J415" s="121"/>
      <c r="K415" s="121"/>
      <c r="L415" s="121"/>
      <c r="M415" s="121"/>
      <c r="N415" s="121"/>
      <c r="O415" s="121"/>
      <c r="P415" s="121"/>
      <c r="Q415" s="121"/>
      <c r="R415" s="121"/>
      <c r="S415" s="121"/>
      <c r="T415" s="121"/>
      <c r="U415" s="121"/>
      <c r="V415" s="121"/>
      <c r="W415" s="121"/>
      <c r="X415" s="121"/>
      <c r="Y415" s="121"/>
      <c r="Z415" s="121"/>
    </row>
    <row r="416" spans="1:26" ht="11.25" customHeight="1" x14ac:dyDescent="0.3">
      <c r="A416" s="121"/>
      <c r="B416" s="121"/>
      <c r="C416" s="121"/>
      <c r="D416" s="121"/>
      <c r="E416" s="121"/>
      <c r="F416" s="121"/>
      <c r="G416" s="121"/>
      <c r="H416" s="121"/>
      <c r="I416" s="121"/>
      <c r="J416" s="121"/>
      <c r="K416" s="121"/>
      <c r="L416" s="121"/>
      <c r="M416" s="121"/>
      <c r="N416" s="121"/>
      <c r="O416" s="121"/>
      <c r="P416" s="121"/>
      <c r="Q416" s="121"/>
      <c r="R416" s="121"/>
      <c r="S416" s="121"/>
      <c r="T416" s="121"/>
      <c r="U416" s="121"/>
      <c r="V416" s="121"/>
      <c r="W416" s="121"/>
      <c r="X416" s="121"/>
      <c r="Y416" s="121"/>
      <c r="Z416" s="121"/>
    </row>
    <row r="417" spans="1:26" ht="11.25" customHeight="1" x14ac:dyDescent="0.3">
      <c r="A417" s="121"/>
      <c r="B417" s="121"/>
      <c r="C417" s="121"/>
      <c r="D417" s="121"/>
      <c r="E417" s="121"/>
      <c r="F417" s="121"/>
      <c r="G417" s="121"/>
      <c r="H417" s="121"/>
      <c r="I417" s="121"/>
      <c r="J417" s="121"/>
      <c r="K417" s="121"/>
      <c r="L417" s="121"/>
      <c r="M417" s="121"/>
      <c r="N417" s="121"/>
      <c r="O417" s="121"/>
      <c r="P417" s="121"/>
      <c r="Q417" s="121"/>
      <c r="R417" s="121"/>
      <c r="S417" s="121"/>
      <c r="T417" s="121"/>
      <c r="U417" s="121"/>
      <c r="V417" s="121"/>
      <c r="W417" s="121"/>
      <c r="X417" s="121"/>
      <c r="Y417" s="121"/>
      <c r="Z417" s="121"/>
    </row>
    <row r="418" spans="1:26" ht="11.25" customHeight="1" x14ac:dyDescent="0.3">
      <c r="A418" s="121"/>
      <c r="B418" s="121"/>
      <c r="C418" s="121"/>
      <c r="D418" s="121"/>
      <c r="E418" s="121"/>
      <c r="F418" s="121"/>
      <c r="G418" s="121"/>
      <c r="H418" s="121"/>
      <c r="I418" s="121"/>
      <c r="J418" s="121"/>
      <c r="K418" s="121"/>
      <c r="L418" s="121"/>
      <c r="M418" s="121"/>
      <c r="N418" s="121"/>
      <c r="O418" s="121"/>
      <c r="P418" s="121"/>
      <c r="Q418" s="121"/>
      <c r="R418" s="121"/>
      <c r="S418" s="121"/>
      <c r="T418" s="121"/>
      <c r="U418" s="121"/>
      <c r="V418" s="121"/>
      <c r="W418" s="121"/>
      <c r="X418" s="121"/>
      <c r="Y418" s="121"/>
      <c r="Z418" s="121"/>
    </row>
    <row r="419" spans="1:26" ht="11.25" customHeight="1" x14ac:dyDescent="0.3">
      <c r="A419" s="121"/>
      <c r="B419" s="121"/>
      <c r="C419" s="121"/>
      <c r="D419" s="121"/>
      <c r="E419" s="121"/>
      <c r="F419" s="121"/>
      <c r="G419" s="121"/>
      <c r="H419" s="121"/>
      <c r="I419" s="121"/>
      <c r="J419" s="121"/>
      <c r="K419" s="121"/>
      <c r="L419" s="121"/>
      <c r="M419" s="121"/>
      <c r="N419" s="121"/>
      <c r="O419" s="121"/>
      <c r="P419" s="121"/>
      <c r="Q419" s="121"/>
      <c r="R419" s="121"/>
      <c r="S419" s="121"/>
      <c r="T419" s="121"/>
      <c r="U419" s="121"/>
      <c r="V419" s="121"/>
      <c r="W419" s="121"/>
      <c r="X419" s="121"/>
      <c r="Y419" s="121"/>
      <c r="Z419" s="121"/>
    </row>
    <row r="420" spans="1:26" ht="11.25" customHeight="1" x14ac:dyDescent="0.3">
      <c r="A420" s="121"/>
      <c r="B420" s="121"/>
      <c r="C420" s="121"/>
      <c r="D420" s="121"/>
      <c r="E420" s="121"/>
      <c r="F420" s="121"/>
      <c r="G420" s="121"/>
      <c r="H420" s="121"/>
      <c r="I420" s="121"/>
      <c r="J420" s="121"/>
      <c r="K420" s="121"/>
      <c r="L420" s="121"/>
      <c r="M420" s="121"/>
      <c r="N420" s="121"/>
      <c r="O420" s="121"/>
      <c r="P420" s="121"/>
      <c r="Q420" s="121"/>
      <c r="R420" s="121"/>
      <c r="S420" s="121"/>
      <c r="T420" s="121"/>
      <c r="U420" s="121"/>
      <c r="V420" s="121"/>
      <c r="W420" s="121"/>
      <c r="X420" s="121"/>
      <c r="Y420" s="121"/>
      <c r="Z420" s="121"/>
    </row>
    <row r="421" spans="1:26" ht="11.25" customHeight="1" x14ac:dyDescent="0.3">
      <c r="A421" s="121"/>
      <c r="B421" s="121"/>
      <c r="C421" s="121"/>
      <c r="D421" s="121"/>
      <c r="E421" s="121"/>
      <c r="F421" s="121"/>
      <c r="G421" s="121"/>
      <c r="H421" s="121"/>
      <c r="I421" s="121"/>
      <c r="J421" s="121"/>
      <c r="K421" s="121"/>
      <c r="L421" s="121"/>
      <c r="M421" s="121"/>
      <c r="N421" s="121"/>
      <c r="O421" s="121"/>
      <c r="P421" s="121"/>
      <c r="Q421" s="121"/>
      <c r="R421" s="121"/>
      <c r="S421" s="121"/>
      <c r="T421" s="121"/>
      <c r="U421" s="121"/>
      <c r="V421" s="121"/>
      <c r="W421" s="121"/>
      <c r="X421" s="121"/>
      <c r="Y421" s="121"/>
      <c r="Z421" s="121"/>
    </row>
    <row r="422" spans="1:26" ht="11.25" customHeight="1" x14ac:dyDescent="0.3">
      <c r="A422" s="121"/>
      <c r="B422" s="121"/>
      <c r="C422" s="121"/>
      <c r="D422" s="121"/>
      <c r="E422" s="121"/>
      <c r="F422" s="121"/>
      <c r="G422" s="121"/>
      <c r="H422" s="121"/>
      <c r="I422" s="121"/>
      <c r="J422" s="121"/>
      <c r="K422" s="121"/>
      <c r="L422" s="121"/>
      <c r="M422" s="121"/>
      <c r="N422" s="121"/>
      <c r="O422" s="121"/>
      <c r="P422" s="121"/>
      <c r="Q422" s="121"/>
      <c r="R422" s="121"/>
      <c r="S422" s="121"/>
      <c r="T422" s="121"/>
      <c r="U422" s="121"/>
      <c r="V422" s="121"/>
      <c r="W422" s="121"/>
      <c r="X422" s="121"/>
      <c r="Y422" s="121"/>
      <c r="Z422" s="121"/>
    </row>
    <row r="423" spans="1:26" ht="11.25" customHeight="1" x14ac:dyDescent="0.3">
      <c r="A423" s="121"/>
      <c r="B423" s="121"/>
      <c r="C423" s="121"/>
      <c r="D423" s="121"/>
      <c r="E423" s="121"/>
      <c r="F423" s="121"/>
      <c r="G423" s="121"/>
      <c r="H423" s="121"/>
      <c r="I423" s="121"/>
      <c r="J423" s="121"/>
      <c r="K423" s="121"/>
      <c r="L423" s="121"/>
      <c r="M423" s="121"/>
      <c r="N423" s="121"/>
      <c r="O423" s="121"/>
      <c r="P423" s="121"/>
      <c r="Q423" s="121"/>
      <c r="R423" s="121"/>
      <c r="S423" s="121"/>
      <c r="T423" s="121"/>
      <c r="U423" s="121"/>
      <c r="V423" s="121"/>
      <c r="W423" s="121"/>
      <c r="X423" s="121"/>
      <c r="Y423" s="121"/>
      <c r="Z423" s="121"/>
    </row>
    <row r="424" spans="1:26" ht="11.25" customHeight="1" x14ac:dyDescent="0.3">
      <c r="A424" s="121"/>
      <c r="B424" s="121"/>
      <c r="C424" s="121"/>
      <c r="D424" s="121"/>
      <c r="E424" s="121"/>
      <c r="F424" s="121"/>
      <c r="G424" s="121"/>
      <c r="H424" s="121"/>
      <c r="I424" s="121"/>
      <c r="J424" s="121"/>
      <c r="K424" s="121"/>
      <c r="L424" s="121"/>
      <c r="M424" s="121"/>
      <c r="N424" s="121"/>
      <c r="O424" s="121"/>
      <c r="P424" s="121"/>
      <c r="Q424" s="121"/>
      <c r="R424" s="121"/>
      <c r="S424" s="121"/>
      <c r="T424" s="121"/>
      <c r="U424" s="121"/>
      <c r="V424" s="121"/>
      <c r="W424" s="121"/>
      <c r="X424" s="121"/>
      <c r="Y424" s="121"/>
      <c r="Z424" s="121"/>
    </row>
    <row r="425" spans="1:26" ht="11.25" customHeight="1" x14ac:dyDescent="0.3">
      <c r="A425" s="121"/>
      <c r="B425" s="121"/>
      <c r="C425" s="121"/>
      <c r="D425" s="121"/>
      <c r="E425" s="121"/>
      <c r="F425" s="121"/>
      <c r="G425" s="121"/>
      <c r="H425" s="121"/>
      <c r="I425" s="121"/>
      <c r="J425" s="121"/>
      <c r="K425" s="121"/>
      <c r="L425" s="121"/>
      <c r="M425" s="121"/>
      <c r="N425" s="121"/>
      <c r="O425" s="121"/>
      <c r="P425" s="121"/>
      <c r="Q425" s="121"/>
      <c r="R425" s="121"/>
      <c r="S425" s="121"/>
      <c r="T425" s="121"/>
      <c r="U425" s="121"/>
      <c r="V425" s="121"/>
      <c r="W425" s="121"/>
      <c r="X425" s="121"/>
      <c r="Y425" s="121"/>
      <c r="Z425" s="121"/>
    </row>
    <row r="426" spans="1:26" ht="11.25" customHeight="1" x14ac:dyDescent="0.3">
      <c r="A426" s="121"/>
      <c r="B426" s="121"/>
      <c r="C426" s="121"/>
      <c r="D426" s="121"/>
      <c r="E426" s="121"/>
      <c r="F426" s="121"/>
      <c r="G426" s="121"/>
      <c r="H426" s="121"/>
      <c r="I426" s="121"/>
      <c r="J426" s="121"/>
      <c r="K426" s="121"/>
      <c r="L426" s="121"/>
      <c r="M426" s="121"/>
      <c r="N426" s="121"/>
      <c r="O426" s="121"/>
      <c r="P426" s="121"/>
      <c r="Q426" s="121"/>
      <c r="R426" s="121"/>
      <c r="S426" s="121"/>
      <c r="T426" s="121"/>
      <c r="U426" s="121"/>
      <c r="V426" s="121"/>
      <c r="W426" s="121"/>
      <c r="X426" s="121"/>
      <c r="Y426" s="121"/>
      <c r="Z426" s="121"/>
    </row>
    <row r="427" spans="1:26" ht="11.25" customHeight="1" x14ac:dyDescent="0.3">
      <c r="A427" s="121"/>
      <c r="B427" s="121"/>
      <c r="C427" s="121"/>
      <c r="D427" s="121"/>
      <c r="E427" s="121"/>
      <c r="F427" s="121"/>
      <c r="G427" s="121"/>
      <c r="H427" s="121"/>
      <c r="I427" s="121"/>
      <c r="J427" s="121"/>
      <c r="K427" s="121"/>
      <c r="L427" s="121"/>
      <c r="M427" s="121"/>
      <c r="N427" s="121"/>
      <c r="O427" s="121"/>
      <c r="P427" s="121"/>
      <c r="Q427" s="121"/>
      <c r="R427" s="121"/>
      <c r="S427" s="121"/>
      <c r="T427" s="121"/>
      <c r="U427" s="121"/>
      <c r="V427" s="121"/>
      <c r="W427" s="121"/>
      <c r="X427" s="121"/>
      <c r="Y427" s="121"/>
      <c r="Z427" s="121"/>
    </row>
    <row r="428" spans="1:26" ht="11.25" customHeight="1" x14ac:dyDescent="0.3">
      <c r="A428" s="121"/>
      <c r="B428" s="121"/>
      <c r="C428" s="121"/>
      <c r="D428" s="121"/>
      <c r="E428" s="121"/>
      <c r="F428" s="121"/>
      <c r="G428" s="121"/>
      <c r="H428" s="121"/>
      <c r="I428" s="121"/>
      <c r="J428" s="121"/>
      <c r="K428" s="121"/>
      <c r="L428" s="121"/>
      <c r="M428" s="121"/>
      <c r="N428" s="121"/>
      <c r="O428" s="121"/>
      <c r="P428" s="121"/>
      <c r="Q428" s="121"/>
      <c r="R428" s="121"/>
      <c r="S428" s="121"/>
      <c r="T428" s="121"/>
      <c r="U428" s="121"/>
      <c r="V428" s="121"/>
      <c r="W428" s="121"/>
      <c r="X428" s="121"/>
      <c r="Y428" s="121"/>
      <c r="Z428" s="121"/>
    </row>
    <row r="429" spans="1:26" ht="11.25" customHeight="1" x14ac:dyDescent="0.3">
      <c r="A429" s="121"/>
      <c r="B429" s="121"/>
      <c r="C429" s="121"/>
      <c r="D429" s="121"/>
      <c r="E429" s="121"/>
      <c r="F429" s="121"/>
      <c r="G429" s="121"/>
      <c r="H429" s="121"/>
      <c r="I429" s="121"/>
      <c r="J429" s="121"/>
      <c r="K429" s="121"/>
      <c r="L429" s="121"/>
      <c r="M429" s="121"/>
      <c r="N429" s="121"/>
      <c r="O429" s="121"/>
      <c r="P429" s="121"/>
      <c r="Q429" s="121"/>
      <c r="R429" s="121"/>
      <c r="S429" s="121"/>
      <c r="T429" s="121"/>
      <c r="U429" s="121"/>
      <c r="V429" s="121"/>
      <c r="W429" s="121"/>
      <c r="X429" s="121"/>
      <c r="Y429" s="121"/>
      <c r="Z429" s="121"/>
    </row>
    <row r="430" spans="1:26" ht="11.25" customHeight="1" x14ac:dyDescent="0.3">
      <c r="A430" s="121"/>
      <c r="B430" s="121"/>
      <c r="C430" s="121"/>
      <c r="D430" s="121"/>
      <c r="E430" s="121"/>
      <c r="F430" s="121"/>
      <c r="G430" s="121"/>
      <c r="H430" s="121"/>
      <c r="I430" s="121"/>
      <c r="J430" s="121"/>
      <c r="K430" s="121"/>
      <c r="L430" s="121"/>
      <c r="M430" s="121"/>
      <c r="N430" s="121"/>
      <c r="O430" s="121"/>
      <c r="P430" s="121"/>
      <c r="Q430" s="121"/>
      <c r="R430" s="121"/>
      <c r="S430" s="121"/>
      <c r="T430" s="121"/>
      <c r="U430" s="121"/>
      <c r="V430" s="121"/>
      <c r="W430" s="121"/>
      <c r="X430" s="121"/>
      <c r="Y430" s="121"/>
      <c r="Z430" s="121"/>
    </row>
    <row r="431" spans="1:26" ht="11.25" customHeight="1" x14ac:dyDescent="0.3">
      <c r="A431" s="121"/>
      <c r="B431" s="121"/>
      <c r="C431" s="121"/>
      <c r="D431" s="121"/>
      <c r="E431" s="121"/>
      <c r="F431" s="121"/>
      <c r="G431" s="121"/>
      <c r="H431" s="121"/>
      <c r="I431" s="121"/>
      <c r="J431" s="121"/>
      <c r="K431" s="121"/>
      <c r="L431" s="121"/>
      <c r="M431" s="121"/>
      <c r="N431" s="121"/>
      <c r="O431" s="121"/>
      <c r="P431" s="121"/>
      <c r="Q431" s="121"/>
      <c r="R431" s="121"/>
      <c r="S431" s="121"/>
      <c r="T431" s="121"/>
      <c r="U431" s="121"/>
      <c r="V431" s="121"/>
      <c r="W431" s="121"/>
      <c r="X431" s="121"/>
      <c r="Y431" s="121"/>
      <c r="Z431" s="121"/>
    </row>
    <row r="432" spans="1:26" ht="11.25" customHeight="1" x14ac:dyDescent="0.3">
      <c r="A432" s="121"/>
      <c r="B432" s="121"/>
      <c r="C432" s="121"/>
      <c r="D432" s="121"/>
      <c r="E432" s="121"/>
      <c r="F432" s="121"/>
      <c r="G432" s="121"/>
      <c r="H432" s="121"/>
      <c r="I432" s="121"/>
      <c r="J432" s="121"/>
      <c r="K432" s="121"/>
      <c r="L432" s="121"/>
      <c r="M432" s="121"/>
      <c r="N432" s="121"/>
      <c r="O432" s="121"/>
      <c r="P432" s="121"/>
      <c r="Q432" s="121"/>
      <c r="R432" s="121"/>
      <c r="S432" s="121"/>
      <c r="T432" s="121"/>
      <c r="U432" s="121"/>
      <c r="V432" s="121"/>
      <c r="W432" s="121"/>
      <c r="X432" s="121"/>
      <c r="Y432" s="121"/>
      <c r="Z432" s="121"/>
    </row>
    <row r="433" spans="1:26" ht="11.25" customHeight="1" x14ac:dyDescent="0.3">
      <c r="A433" s="121"/>
      <c r="B433" s="121"/>
      <c r="C433" s="121"/>
      <c r="D433" s="121"/>
      <c r="E433" s="121"/>
      <c r="F433" s="121"/>
      <c r="G433" s="121"/>
      <c r="H433" s="121"/>
      <c r="I433" s="121"/>
      <c r="J433" s="121"/>
      <c r="K433" s="121"/>
      <c r="L433" s="121"/>
      <c r="M433" s="121"/>
      <c r="N433" s="121"/>
      <c r="O433" s="121"/>
      <c r="P433" s="121"/>
      <c r="Q433" s="121"/>
      <c r="R433" s="121"/>
      <c r="S433" s="121"/>
      <c r="T433" s="121"/>
      <c r="U433" s="121"/>
      <c r="V433" s="121"/>
      <c r="W433" s="121"/>
      <c r="X433" s="121"/>
      <c r="Y433" s="121"/>
      <c r="Z433" s="121"/>
    </row>
    <row r="434" spans="1:26" ht="11.25" customHeight="1" x14ac:dyDescent="0.3">
      <c r="A434" s="121"/>
      <c r="B434" s="121"/>
      <c r="C434" s="121"/>
      <c r="D434" s="121"/>
      <c r="E434" s="121"/>
      <c r="F434" s="121"/>
      <c r="G434" s="121"/>
      <c r="H434" s="121"/>
      <c r="I434" s="121"/>
      <c r="J434" s="121"/>
      <c r="K434" s="121"/>
      <c r="L434" s="121"/>
      <c r="M434" s="121"/>
      <c r="N434" s="121"/>
      <c r="O434" s="121"/>
      <c r="P434" s="121"/>
      <c r="Q434" s="121"/>
      <c r="R434" s="121"/>
      <c r="S434" s="121"/>
      <c r="T434" s="121"/>
      <c r="U434" s="121"/>
      <c r="V434" s="121"/>
      <c r="W434" s="121"/>
      <c r="X434" s="121"/>
      <c r="Y434" s="121"/>
      <c r="Z434" s="121"/>
    </row>
    <row r="435" spans="1:26" ht="11.25" customHeight="1" x14ac:dyDescent="0.3">
      <c r="A435" s="121"/>
      <c r="B435" s="121"/>
      <c r="C435" s="121"/>
      <c r="D435" s="121"/>
      <c r="E435" s="121"/>
      <c r="F435" s="121"/>
      <c r="G435" s="121"/>
      <c r="H435" s="121"/>
      <c r="I435" s="121"/>
      <c r="J435" s="121"/>
      <c r="K435" s="121"/>
      <c r="L435" s="121"/>
      <c r="M435" s="121"/>
      <c r="N435" s="121"/>
      <c r="O435" s="121"/>
      <c r="P435" s="121"/>
      <c r="Q435" s="121"/>
      <c r="R435" s="121"/>
      <c r="S435" s="121"/>
      <c r="T435" s="121"/>
      <c r="U435" s="121"/>
      <c r="V435" s="121"/>
      <c r="W435" s="121"/>
      <c r="X435" s="121"/>
      <c r="Y435" s="121"/>
      <c r="Z435" s="121"/>
    </row>
    <row r="436" spans="1:26" ht="11.25" customHeight="1" x14ac:dyDescent="0.3">
      <c r="A436" s="121"/>
      <c r="B436" s="121"/>
      <c r="C436" s="121"/>
      <c r="D436" s="121"/>
      <c r="E436" s="121"/>
      <c r="F436" s="121"/>
      <c r="G436" s="121"/>
      <c r="H436" s="121"/>
      <c r="I436" s="121"/>
      <c r="J436" s="121"/>
      <c r="K436" s="121"/>
      <c r="L436" s="121"/>
      <c r="M436" s="121"/>
      <c r="N436" s="121"/>
      <c r="O436" s="121"/>
      <c r="P436" s="121"/>
      <c r="Q436" s="121"/>
      <c r="R436" s="121"/>
      <c r="S436" s="121"/>
      <c r="T436" s="121"/>
      <c r="U436" s="121"/>
      <c r="V436" s="121"/>
      <c r="W436" s="121"/>
      <c r="X436" s="121"/>
      <c r="Y436" s="121"/>
      <c r="Z436" s="121"/>
    </row>
    <row r="437" spans="1:26" ht="11.25" customHeight="1" x14ac:dyDescent="0.3">
      <c r="A437" s="121"/>
      <c r="B437" s="121"/>
      <c r="C437" s="121"/>
      <c r="D437" s="121"/>
      <c r="E437" s="121"/>
      <c r="F437" s="121"/>
      <c r="G437" s="121"/>
      <c r="H437" s="121"/>
      <c r="I437" s="121"/>
      <c r="J437" s="121"/>
      <c r="K437" s="121"/>
      <c r="L437" s="121"/>
      <c r="M437" s="121"/>
      <c r="N437" s="121"/>
      <c r="O437" s="121"/>
      <c r="P437" s="121"/>
      <c r="Q437" s="121"/>
      <c r="R437" s="121"/>
      <c r="S437" s="121"/>
      <c r="T437" s="121"/>
      <c r="U437" s="121"/>
      <c r="V437" s="121"/>
      <c r="W437" s="121"/>
      <c r="X437" s="121"/>
      <c r="Y437" s="121"/>
      <c r="Z437" s="121"/>
    </row>
    <row r="438" spans="1:26" ht="11.25" customHeight="1" x14ac:dyDescent="0.3">
      <c r="A438" s="121"/>
      <c r="B438" s="121"/>
      <c r="C438" s="121"/>
      <c r="D438" s="121"/>
      <c r="E438" s="121"/>
      <c r="F438" s="121"/>
      <c r="G438" s="121"/>
      <c r="H438" s="121"/>
      <c r="I438" s="121"/>
      <c r="J438" s="121"/>
      <c r="K438" s="121"/>
      <c r="L438" s="121"/>
      <c r="M438" s="121"/>
      <c r="N438" s="121"/>
      <c r="O438" s="121"/>
      <c r="P438" s="121"/>
      <c r="Q438" s="121"/>
      <c r="R438" s="121"/>
      <c r="S438" s="121"/>
      <c r="T438" s="121"/>
      <c r="U438" s="121"/>
      <c r="V438" s="121"/>
      <c r="W438" s="121"/>
      <c r="X438" s="121"/>
      <c r="Y438" s="121"/>
      <c r="Z438" s="121"/>
    </row>
    <row r="439" spans="1:26" ht="11.25" customHeight="1" x14ac:dyDescent="0.3">
      <c r="A439" s="121"/>
      <c r="B439" s="121"/>
      <c r="C439" s="121"/>
      <c r="D439" s="121"/>
      <c r="E439" s="121"/>
      <c r="F439" s="121"/>
      <c r="G439" s="121"/>
      <c r="H439" s="121"/>
      <c r="I439" s="121"/>
      <c r="J439" s="121"/>
      <c r="K439" s="121"/>
      <c r="L439" s="121"/>
      <c r="M439" s="121"/>
      <c r="N439" s="121"/>
      <c r="O439" s="121"/>
      <c r="P439" s="121"/>
      <c r="Q439" s="121"/>
      <c r="R439" s="121"/>
      <c r="S439" s="121"/>
      <c r="T439" s="121"/>
      <c r="U439" s="121"/>
      <c r="V439" s="121"/>
      <c r="W439" s="121"/>
      <c r="X439" s="121"/>
      <c r="Y439" s="121"/>
      <c r="Z439" s="121"/>
    </row>
    <row r="440" spans="1:26" ht="11.25" customHeight="1" x14ac:dyDescent="0.3">
      <c r="A440" s="121"/>
      <c r="B440" s="121"/>
      <c r="C440" s="121"/>
      <c r="D440" s="121"/>
      <c r="E440" s="121"/>
      <c r="F440" s="121"/>
      <c r="G440" s="121"/>
      <c r="H440" s="121"/>
      <c r="I440" s="121"/>
      <c r="J440" s="121"/>
      <c r="K440" s="121"/>
      <c r="L440" s="121"/>
      <c r="M440" s="121"/>
      <c r="N440" s="121"/>
      <c r="O440" s="121"/>
      <c r="P440" s="121"/>
      <c r="Q440" s="121"/>
      <c r="R440" s="121"/>
      <c r="S440" s="121"/>
      <c r="T440" s="121"/>
      <c r="U440" s="121"/>
      <c r="V440" s="121"/>
      <c r="W440" s="121"/>
      <c r="X440" s="121"/>
      <c r="Y440" s="121"/>
      <c r="Z440" s="121"/>
    </row>
    <row r="441" spans="1:26" ht="11.25" customHeight="1" x14ac:dyDescent="0.3">
      <c r="A441" s="121"/>
      <c r="B441" s="121"/>
      <c r="C441" s="121"/>
      <c r="D441" s="121"/>
      <c r="E441" s="121"/>
      <c r="F441" s="121"/>
      <c r="G441" s="121"/>
      <c r="H441" s="121"/>
      <c r="I441" s="121"/>
      <c r="J441" s="121"/>
      <c r="K441" s="121"/>
      <c r="L441" s="121"/>
      <c r="M441" s="121"/>
      <c r="N441" s="121"/>
      <c r="O441" s="121"/>
      <c r="P441" s="121"/>
      <c r="Q441" s="121"/>
      <c r="R441" s="121"/>
      <c r="S441" s="121"/>
      <c r="T441" s="121"/>
      <c r="U441" s="121"/>
      <c r="V441" s="121"/>
      <c r="W441" s="121"/>
      <c r="X441" s="121"/>
      <c r="Y441" s="121"/>
      <c r="Z441" s="121"/>
    </row>
    <row r="442" spans="1:26" ht="11.25" customHeight="1" x14ac:dyDescent="0.3">
      <c r="A442" s="121"/>
      <c r="B442" s="121"/>
      <c r="C442" s="121"/>
      <c r="D442" s="121"/>
      <c r="E442" s="121"/>
      <c r="F442" s="121"/>
      <c r="G442" s="121"/>
      <c r="H442" s="121"/>
      <c r="I442" s="121"/>
      <c r="J442" s="121"/>
      <c r="K442" s="121"/>
      <c r="L442" s="121"/>
      <c r="M442" s="121"/>
      <c r="N442" s="121"/>
      <c r="O442" s="121"/>
      <c r="P442" s="121"/>
      <c r="Q442" s="121"/>
      <c r="R442" s="121"/>
      <c r="S442" s="121"/>
      <c r="T442" s="121"/>
      <c r="U442" s="121"/>
      <c r="V442" s="121"/>
      <c r="W442" s="121"/>
      <c r="X442" s="121"/>
      <c r="Y442" s="121"/>
      <c r="Z442" s="121"/>
    </row>
    <row r="443" spans="1:26" ht="11.25" customHeight="1" x14ac:dyDescent="0.3">
      <c r="A443" s="121"/>
      <c r="B443" s="121"/>
      <c r="C443" s="121"/>
      <c r="D443" s="121"/>
      <c r="E443" s="121"/>
      <c r="F443" s="121"/>
      <c r="G443" s="121"/>
      <c r="H443" s="121"/>
      <c r="I443" s="121"/>
      <c r="J443" s="121"/>
      <c r="K443" s="121"/>
      <c r="L443" s="121"/>
      <c r="M443" s="121"/>
      <c r="N443" s="121"/>
      <c r="O443" s="121"/>
      <c r="P443" s="121"/>
      <c r="Q443" s="121"/>
      <c r="R443" s="121"/>
      <c r="S443" s="121"/>
      <c r="T443" s="121"/>
      <c r="U443" s="121"/>
      <c r="V443" s="121"/>
      <c r="W443" s="121"/>
      <c r="X443" s="121"/>
      <c r="Y443" s="121"/>
      <c r="Z443" s="121"/>
    </row>
    <row r="444" spans="1:26" ht="11.25" customHeight="1" x14ac:dyDescent="0.3">
      <c r="A444" s="121"/>
      <c r="B444" s="121"/>
      <c r="C444" s="121"/>
      <c r="D444" s="121"/>
      <c r="E444" s="121"/>
      <c r="F444" s="121"/>
      <c r="G444" s="121"/>
      <c r="H444" s="121"/>
      <c r="I444" s="121"/>
      <c r="J444" s="121"/>
      <c r="K444" s="121"/>
      <c r="L444" s="121"/>
      <c r="M444" s="121"/>
      <c r="N444" s="121"/>
      <c r="O444" s="121"/>
      <c r="P444" s="121"/>
      <c r="Q444" s="121"/>
      <c r="R444" s="121"/>
      <c r="S444" s="121"/>
      <c r="T444" s="121"/>
      <c r="U444" s="121"/>
      <c r="V444" s="121"/>
      <c r="W444" s="121"/>
      <c r="X444" s="121"/>
      <c r="Y444" s="121"/>
      <c r="Z444" s="121"/>
    </row>
    <row r="445" spans="1:26" ht="11.25" customHeight="1" x14ac:dyDescent="0.3">
      <c r="A445" s="121"/>
      <c r="B445" s="121"/>
      <c r="C445" s="121"/>
      <c r="D445" s="121"/>
      <c r="E445" s="121"/>
      <c r="F445" s="121"/>
      <c r="G445" s="121"/>
      <c r="H445" s="121"/>
      <c r="I445" s="121"/>
      <c r="J445" s="121"/>
      <c r="K445" s="121"/>
      <c r="L445" s="121"/>
      <c r="M445" s="121"/>
      <c r="N445" s="121"/>
      <c r="O445" s="121"/>
      <c r="P445" s="121"/>
      <c r="Q445" s="121"/>
      <c r="R445" s="121"/>
      <c r="S445" s="121"/>
      <c r="T445" s="121"/>
      <c r="U445" s="121"/>
      <c r="V445" s="121"/>
      <c r="W445" s="121"/>
      <c r="X445" s="121"/>
      <c r="Y445" s="121"/>
      <c r="Z445" s="121"/>
    </row>
    <row r="446" spans="1:26" ht="11.25" customHeight="1" x14ac:dyDescent="0.3">
      <c r="A446" s="121"/>
      <c r="B446" s="121"/>
      <c r="C446" s="121"/>
      <c r="D446" s="121"/>
      <c r="E446" s="121"/>
      <c r="F446" s="121"/>
      <c r="G446" s="121"/>
      <c r="H446" s="121"/>
      <c r="I446" s="121"/>
      <c r="J446" s="121"/>
      <c r="K446" s="121"/>
      <c r="L446" s="121"/>
      <c r="M446" s="121"/>
      <c r="N446" s="121"/>
      <c r="O446" s="121"/>
      <c r="P446" s="121"/>
      <c r="Q446" s="121"/>
      <c r="R446" s="121"/>
      <c r="S446" s="121"/>
      <c r="T446" s="121"/>
      <c r="U446" s="121"/>
      <c r="V446" s="121"/>
      <c r="W446" s="121"/>
      <c r="X446" s="121"/>
      <c r="Y446" s="121"/>
      <c r="Z446" s="121"/>
    </row>
    <row r="447" spans="1:26" ht="11.25" customHeight="1" x14ac:dyDescent="0.3">
      <c r="A447" s="121"/>
      <c r="B447" s="121"/>
      <c r="C447" s="121"/>
      <c r="D447" s="121"/>
      <c r="E447" s="121"/>
      <c r="F447" s="121"/>
      <c r="G447" s="121"/>
      <c r="H447" s="121"/>
      <c r="I447" s="121"/>
      <c r="J447" s="121"/>
      <c r="K447" s="121"/>
      <c r="L447" s="121"/>
      <c r="M447" s="121"/>
      <c r="N447" s="121"/>
      <c r="O447" s="121"/>
      <c r="P447" s="121"/>
      <c r="Q447" s="121"/>
      <c r="R447" s="121"/>
      <c r="S447" s="121"/>
      <c r="T447" s="121"/>
      <c r="U447" s="121"/>
      <c r="V447" s="121"/>
      <c r="W447" s="121"/>
      <c r="X447" s="121"/>
      <c r="Y447" s="121"/>
      <c r="Z447" s="121"/>
    </row>
    <row r="448" spans="1:26" ht="11.25" customHeight="1" x14ac:dyDescent="0.3">
      <c r="A448" s="121"/>
      <c r="B448" s="121"/>
      <c r="C448" s="121"/>
      <c r="D448" s="121"/>
      <c r="E448" s="121"/>
      <c r="F448" s="121"/>
      <c r="G448" s="121"/>
      <c r="H448" s="121"/>
      <c r="I448" s="121"/>
      <c r="J448" s="121"/>
      <c r="K448" s="121"/>
      <c r="L448" s="121"/>
      <c r="M448" s="121"/>
      <c r="N448" s="121"/>
      <c r="O448" s="121"/>
      <c r="P448" s="121"/>
      <c r="Q448" s="121"/>
      <c r="R448" s="121"/>
      <c r="S448" s="121"/>
      <c r="T448" s="121"/>
      <c r="U448" s="121"/>
      <c r="V448" s="121"/>
      <c r="W448" s="121"/>
      <c r="X448" s="121"/>
      <c r="Y448" s="121"/>
      <c r="Z448" s="121"/>
    </row>
    <row r="449" spans="1:26" ht="11.25" customHeight="1" x14ac:dyDescent="0.3">
      <c r="A449" s="121"/>
      <c r="B449" s="121"/>
      <c r="C449" s="121"/>
      <c r="D449" s="121"/>
      <c r="E449" s="121"/>
      <c r="F449" s="121"/>
      <c r="G449" s="121"/>
      <c r="H449" s="121"/>
      <c r="I449" s="121"/>
      <c r="J449" s="121"/>
      <c r="K449" s="121"/>
      <c r="L449" s="121"/>
      <c r="M449" s="121"/>
      <c r="N449" s="121"/>
      <c r="O449" s="121"/>
      <c r="P449" s="121"/>
      <c r="Q449" s="121"/>
      <c r="R449" s="121"/>
      <c r="S449" s="121"/>
      <c r="T449" s="121"/>
      <c r="U449" s="121"/>
      <c r="V449" s="121"/>
      <c r="W449" s="121"/>
      <c r="X449" s="121"/>
      <c r="Y449" s="121"/>
      <c r="Z449" s="121"/>
    </row>
    <row r="450" spans="1:26" ht="11.25" customHeight="1" x14ac:dyDescent="0.3">
      <c r="A450" s="121"/>
      <c r="B450" s="121"/>
      <c r="C450" s="121"/>
      <c r="D450" s="121"/>
      <c r="E450" s="121"/>
      <c r="F450" s="121"/>
      <c r="G450" s="121"/>
      <c r="H450" s="121"/>
      <c r="I450" s="121"/>
      <c r="J450" s="121"/>
      <c r="K450" s="121"/>
      <c r="L450" s="121"/>
      <c r="M450" s="121"/>
      <c r="N450" s="121"/>
      <c r="O450" s="121"/>
      <c r="P450" s="121"/>
      <c r="Q450" s="121"/>
      <c r="R450" s="121"/>
      <c r="S450" s="121"/>
      <c r="T450" s="121"/>
      <c r="U450" s="121"/>
      <c r="V450" s="121"/>
      <c r="W450" s="121"/>
      <c r="X450" s="121"/>
      <c r="Y450" s="121"/>
      <c r="Z450" s="121"/>
    </row>
    <row r="451" spans="1:26" ht="11.25" customHeight="1" x14ac:dyDescent="0.3">
      <c r="A451" s="121"/>
      <c r="B451" s="121"/>
      <c r="C451" s="121"/>
      <c r="D451" s="121"/>
      <c r="E451" s="121"/>
      <c r="F451" s="121"/>
      <c r="G451" s="121"/>
      <c r="H451" s="121"/>
      <c r="I451" s="121"/>
      <c r="J451" s="121"/>
      <c r="K451" s="121"/>
      <c r="L451" s="121"/>
      <c r="M451" s="121"/>
      <c r="N451" s="121"/>
      <c r="O451" s="121"/>
      <c r="P451" s="121"/>
      <c r="Q451" s="121"/>
      <c r="R451" s="121"/>
      <c r="S451" s="121"/>
      <c r="T451" s="121"/>
      <c r="U451" s="121"/>
      <c r="V451" s="121"/>
      <c r="W451" s="121"/>
      <c r="X451" s="121"/>
      <c r="Y451" s="121"/>
      <c r="Z451" s="121"/>
    </row>
    <row r="452" spans="1:26" ht="11.25" customHeight="1" x14ac:dyDescent="0.3">
      <c r="A452" s="121"/>
      <c r="B452" s="121"/>
      <c r="C452" s="121"/>
      <c r="D452" s="121"/>
      <c r="E452" s="121"/>
      <c r="F452" s="121"/>
      <c r="G452" s="121"/>
      <c r="H452" s="121"/>
      <c r="I452" s="121"/>
      <c r="J452" s="121"/>
      <c r="K452" s="121"/>
      <c r="L452" s="121"/>
      <c r="M452" s="121"/>
      <c r="N452" s="121"/>
      <c r="O452" s="121"/>
      <c r="P452" s="121"/>
      <c r="Q452" s="121"/>
      <c r="R452" s="121"/>
      <c r="S452" s="121"/>
      <c r="T452" s="121"/>
      <c r="U452" s="121"/>
      <c r="V452" s="121"/>
      <c r="W452" s="121"/>
      <c r="X452" s="121"/>
      <c r="Y452" s="121"/>
      <c r="Z452" s="121"/>
    </row>
    <row r="453" spans="1:26" ht="11.25" customHeight="1" x14ac:dyDescent="0.3">
      <c r="A453" s="121"/>
      <c r="B453" s="121"/>
      <c r="C453" s="121"/>
      <c r="D453" s="121"/>
      <c r="E453" s="121"/>
      <c r="F453" s="121"/>
      <c r="G453" s="121"/>
      <c r="H453" s="121"/>
      <c r="I453" s="121"/>
      <c r="J453" s="121"/>
      <c r="K453" s="121"/>
      <c r="L453" s="121"/>
      <c r="M453" s="121"/>
      <c r="N453" s="121"/>
      <c r="O453" s="121"/>
      <c r="P453" s="121"/>
      <c r="Q453" s="121"/>
      <c r="R453" s="121"/>
      <c r="S453" s="121"/>
      <c r="T453" s="121"/>
      <c r="U453" s="121"/>
      <c r="V453" s="121"/>
      <c r="W453" s="121"/>
      <c r="X453" s="121"/>
      <c r="Y453" s="121"/>
      <c r="Z453" s="121"/>
    </row>
    <row r="454" spans="1:26" ht="11.25" customHeight="1" x14ac:dyDescent="0.3">
      <c r="A454" s="121"/>
      <c r="B454" s="121"/>
      <c r="C454" s="121"/>
      <c r="D454" s="121"/>
      <c r="E454" s="121"/>
      <c r="F454" s="121"/>
      <c r="G454" s="121"/>
      <c r="H454" s="121"/>
      <c r="I454" s="121"/>
      <c r="J454" s="121"/>
      <c r="K454" s="121"/>
      <c r="L454" s="121"/>
      <c r="M454" s="121"/>
      <c r="N454" s="121"/>
      <c r="O454" s="121"/>
      <c r="P454" s="121"/>
      <c r="Q454" s="121"/>
      <c r="R454" s="121"/>
      <c r="S454" s="121"/>
      <c r="T454" s="121"/>
      <c r="U454" s="121"/>
      <c r="V454" s="121"/>
      <c r="W454" s="121"/>
      <c r="X454" s="121"/>
      <c r="Y454" s="121"/>
      <c r="Z454" s="121"/>
    </row>
    <row r="455" spans="1:26" ht="11.25" customHeight="1" x14ac:dyDescent="0.3">
      <c r="A455" s="121"/>
      <c r="B455" s="121"/>
      <c r="C455" s="121"/>
      <c r="D455" s="121"/>
      <c r="E455" s="121"/>
      <c r="F455" s="121"/>
      <c r="G455" s="121"/>
      <c r="H455" s="121"/>
      <c r="I455" s="121"/>
      <c r="J455" s="121"/>
      <c r="K455" s="121"/>
      <c r="L455" s="121"/>
      <c r="M455" s="121"/>
      <c r="N455" s="121"/>
      <c r="O455" s="121"/>
      <c r="P455" s="121"/>
      <c r="Q455" s="121"/>
      <c r="R455" s="121"/>
      <c r="S455" s="121"/>
      <c r="T455" s="121"/>
      <c r="U455" s="121"/>
      <c r="V455" s="121"/>
      <c r="W455" s="121"/>
      <c r="X455" s="121"/>
      <c r="Y455" s="121"/>
      <c r="Z455" s="121"/>
    </row>
    <row r="456" spans="1:26" ht="11.25" customHeight="1" x14ac:dyDescent="0.3">
      <c r="A456" s="121"/>
      <c r="B456" s="121"/>
      <c r="C456" s="121"/>
      <c r="D456" s="121"/>
      <c r="E456" s="121"/>
      <c r="F456" s="121"/>
      <c r="G456" s="121"/>
      <c r="H456" s="121"/>
      <c r="I456" s="121"/>
      <c r="J456" s="121"/>
      <c r="K456" s="121"/>
      <c r="L456" s="121"/>
      <c r="M456" s="121"/>
      <c r="N456" s="121"/>
      <c r="O456" s="121"/>
      <c r="P456" s="121"/>
      <c r="Q456" s="121"/>
      <c r="R456" s="121"/>
      <c r="S456" s="121"/>
      <c r="T456" s="121"/>
      <c r="U456" s="121"/>
      <c r="V456" s="121"/>
      <c r="W456" s="121"/>
      <c r="X456" s="121"/>
      <c r="Y456" s="121"/>
      <c r="Z456" s="121"/>
    </row>
    <row r="457" spans="1:26" ht="11.25" customHeight="1" x14ac:dyDescent="0.3">
      <c r="A457" s="121"/>
      <c r="B457" s="121"/>
      <c r="C457" s="121"/>
      <c r="D457" s="121"/>
      <c r="E457" s="121"/>
      <c r="F457" s="121"/>
      <c r="G457" s="121"/>
      <c r="H457" s="121"/>
      <c r="I457" s="121"/>
      <c r="J457" s="121"/>
      <c r="K457" s="121"/>
      <c r="L457" s="121"/>
      <c r="M457" s="121"/>
      <c r="N457" s="121"/>
      <c r="O457" s="121"/>
      <c r="P457" s="121"/>
      <c r="Q457" s="121"/>
      <c r="R457" s="121"/>
      <c r="S457" s="121"/>
      <c r="T457" s="121"/>
      <c r="U457" s="121"/>
      <c r="V457" s="121"/>
      <c r="W457" s="121"/>
      <c r="X457" s="121"/>
      <c r="Y457" s="121"/>
      <c r="Z457" s="121"/>
    </row>
    <row r="458" spans="1:26" ht="11.25" customHeight="1" x14ac:dyDescent="0.3">
      <c r="A458" s="121"/>
      <c r="B458" s="121"/>
      <c r="C458" s="121"/>
      <c r="D458" s="121"/>
      <c r="E458" s="121"/>
      <c r="F458" s="121"/>
      <c r="G458" s="121"/>
      <c r="H458" s="121"/>
      <c r="I458" s="121"/>
      <c r="J458" s="121"/>
      <c r="K458" s="121"/>
      <c r="L458" s="121"/>
      <c r="M458" s="121"/>
      <c r="N458" s="121"/>
      <c r="O458" s="121"/>
      <c r="P458" s="121"/>
      <c r="Q458" s="121"/>
      <c r="R458" s="121"/>
      <c r="S458" s="121"/>
      <c r="T458" s="121"/>
      <c r="U458" s="121"/>
      <c r="V458" s="121"/>
      <c r="W458" s="121"/>
      <c r="X458" s="121"/>
      <c r="Y458" s="121"/>
      <c r="Z458" s="121"/>
    </row>
    <row r="459" spans="1:26" ht="11.25" customHeight="1" x14ac:dyDescent="0.3">
      <c r="A459" s="121"/>
      <c r="B459" s="121"/>
      <c r="C459" s="121"/>
      <c r="D459" s="121"/>
      <c r="E459" s="121"/>
      <c r="F459" s="121"/>
      <c r="G459" s="121"/>
      <c r="H459" s="121"/>
      <c r="I459" s="121"/>
      <c r="J459" s="121"/>
      <c r="K459" s="121"/>
      <c r="L459" s="121"/>
      <c r="M459" s="121"/>
      <c r="N459" s="121"/>
      <c r="O459" s="121"/>
      <c r="P459" s="121"/>
      <c r="Q459" s="121"/>
      <c r="R459" s="121"/>
      <c r="S459" s="121"/>
      <c r="T459" s="121"/>
      <c r="U459" s="121"/>
      <c r="V459" s="121"/>
      <c r="W459" s="121"/>
      <c r="X459" s="121"/>
      <c r="Y459" s="121"/>
      <c r="Z459" s="121"/>
    </row>
    <row r="460" spans="1:26" ht="11.25" customHeight="1" x14ac:dyDescent="0.3">
      <c r="A460" s="121"/>
      <c r="B460" s="121"/>
      <c r="C460" s="121"/>
      <c r="D460" s="121"/>
      <c r="E460" s="121"/>
      <c r="F460" s="121"/>
      <c r="G460" s="121"/>
      <c r="H460" s="121"/>
      <c r="I460" s="121"/>
      <c r="J460" s="121"/>
      <c r="K460" s="121"/>
      <c r="L460" s="121"/>
      <c r="M460" s="121"/>
      <c r="N460" s="121"/>
      <c r="O460" s="121"/>
      <c r="P460" s="121"/>
      <c r="Q460" s="121"/>
      <c r="R460" s="121"/>
      <c r="S460" s="121"/>
      <c r="T460" s="121"/>
      <c r="U460" s="121"/>
      <c r="V460" s="121"/>
      <c r="W460" s="121"/>
      <c r="X460" s="121"/>
      <c r="Y460" s="121"/>
      <c r="Z460" s="121"/>
    </row>
    <row r="461" spans="1:26" ht="11.25" customHeight="1" x14ac:dyDescent="0.3">
      <c r="A461" s="121"/>
      <c r="B461" s="121"/>
      <c r="C461" s="121"/>
      <c r="D461" s="121"/>
      <c r="E461" s="121"/>
      <c r="F461" s="121"/>
      <c r="G461" s="121"/>
      <c r="H461" s="121"/>
      <c r="I461" s="121"/>
      <c r="J461" s="121"/>
      <c r="K461" s="121"/>
      <c r="L461" s="121"/>
      <c r="M461" s="121"/>
      <c r="N461" s="121"/>
      <c r="O461" s="121"/>
      <c r="P461" s="121"/>
      <c r="Q461" s="121"/>
      <c r="R461" s="121"/>
      <c r="S461" s="121"/>
      <c r="T461" s="121"/>
      <c r="U461" s="121"/>
      <c r="V461" s="121"/>
      <c r="W461" s="121"/>
      <c r="X461" s="121"/>
      <c r="Y461" s="121"/>
      <c r="Z461" s="121"/>
    </row>
    <row r="462" spans="1:26" ht="11.25" customHeight="1" x14ac:dyDescent="0.3">
      <c r="A462" s="121"/>
      <c r="B462" s="121"/>
      <c r="C462" s="121"/>
      <c r="D462" s="121"/>
      <c r="E462" s="121"/>
      <c r="F462" s="121"/>
      <c r="G462" s="121"/>
      <c r="H462" s="121"/>
      <c r="I462" s="121"/>
      <c r="J462" s="121"/>
      <c r="K462" s="121"/>
      <c r="L462" s="121"/>
      <c r="M462" s="121"/>
      <c r="N462" s="121"/>
      <c r="O462" s="121"/>
      <c r="P462" s="121"/>
      <c r="Q462" s="121"/>
      <c r="R462" s="121"/>
      <c r="S462" s="121"/>
      <c r="T462" s="121"/>
      <c r="U462" s="121"/>
      <c r="V462" s="121"/>
      <c r="W462" s="121"/>
      <c r="X462" s="121"/>
      <c r="Y462" s="121"/>
      <c r="Z462" s="121"/>
    </row>
    <row r="463" spans="1:26" ht="11.25" customHeight="1" x14ac:dyDescent="0.3">
      <c r="A463" s="121"/>
      <c r="B463" s="121"/>
      <c r="C463" s="121"/>
      <c r="D463" s="121"/>
      <c r="E463" s="121"/>
      <c r="F463" s="121"/>
      <c r="G463" s="121"/>
      <c r="H463" s="121"/>
      <c r="I463" s="121"/>
      <c r="J463" s="121"/>
      <c r="K463" s="121"/>
      <c r="L463" s="121"/>
      <c r="M463" s="121"/>
      <c r="N463" s="121"/>
      <c r="O463" s="121"/>
      <c r="P463" s="121"/>
      <c r="Q463" s="121"/>
      <c r="R463" s="121"/>
      <c r="S463" s="121"/>
      <c r="T463" s="121"/>
      <c r="U463" s="121"/>
      <c r="V463" s="121"/>
      <c r="W463" s="121"/>
      <c r="X463" s="121"/>
      <c r="Y463" s="121"/>
      <c r="Z463" s="121"/>
    </row>
    <row r="464" spans="1:26" ht="11.25" customHeight="1" x14ac:dyDescent="0.3">
      <c r="A464" s="121"/>
      <c r="B464" s="121"/>
      <c r="C464" s="121"/>
      <c r="D464" s="121"/>
      <c r="E464" s="121"/>
      <c r="F464" s="121"/>
      <c r="G464" s="121"/>
      <c r="H464" s="121"/>
      <c r="I464" s="121"/>
      <c r="J464" s="121"/>
      <c r="K464" s="121"/>
      <c r="L464" s="121"/>
      <c r="M464" s="121"/>
      <c r="N464" s="121"/>
      <c r="O464" s="121"/>
      <c r="P464" s="121"/>
      <c r="Q464" s="121"/>
      <c r="R464" s="121"/>
      <c r="S464" s="121"/>
      <c r="T464" s="121"/>
      <c r="U464" s="121"/>
      <c r="V464" s="121"/>
      <c r="W464" s="121"/>
      <c r="X464" s="121"/>
      <c r="Y464" s="121"/>
      <c r="Z464" s="121"/>
    </row>
    <row r="465" spans="1:26" ht="11.25" customHeight="1" x14ac:dyDescent="0.3">
      <c r="A465" s="121"/>
      <c r="B465" s="121"/>
      <c r="C465" s="121"/>
      <c r="D465" s="121"/>
      <c r="E465" s="121"/>
      <c r="F465" s="121"/>
      <c r="G465" s="121"/>
      <c r="H465" s="121"/>
      <c r="I465" s="121"/>
      <c r="J465" s="121"/>
      <c r="K465" s="121"/>
      <c r="L465" s="121"/>
      <c r="M465" s="121"/>
      <c r="N465" s="121"/>
      <c r="O465" s="121"/>
      <c r="P465" s="121"/>
      <c r="Q465" s="121"/>
      <c r="R465" s="121"/>
      <c r="S465" s="121"/>
      <c r="T465" s="121"/>
      <c r="U465" s="121"/>
      <c r="V465" s="121"/>
      <c r="W465" s="121"/>
      <c r="X465" s="121"/>
      <c r="Y465" s="121"/>
      <c r="Z465" s="121"/>
    </row>
    <row r="466" spans="1:26" ht="11.25" customHeight="1" x14ac:dyDescent="0.3">
      <c r="A466" s="121"/>
      <c r="B466" s="121"/>
      <c r="C466" s="121"/>
      <c r="D466" s="121"/>
      <c r="E466" s="121"/>
      <c r="F466" s="121"/>
      <c r="G466" s="121"/>
      <c r="H466" s="121"/>
      <c r="I466" s="121"/>
      <c r="J466" s="121"/>
      <c r="K466" s="121"/>
      <c r="L466" s="121"/>
      <c r="M466" s="121"/>
      <c r="N466" s="121"/>
      <c r="O466" s="121"/>
      <c r="P466" s="121"/>
      <c r="Q466" s="121"/>
      <c r="R466" s="121"/>
      <c r="S466" s="121"/>
      <c r="T466" s="121"/>
      <c r="U466" s="121"/>
      <c r="V466" s="121"/>
      <c r="W466" s="121"/>
      <c r="X466" s="121"/>
      <c r="Y466" s="121"/>
      <c r="Z466" s="121"/>
    </row>
    <row r="467" spans="1:26" ht="11.25" customHeight="1" x14ac:dyDescent="0.3">
      <c r="A467" s="121"/>
      <c r="B467" s="121"/>
      <c r="C467" s="121"/>
      <c r="D467" s="121"/>
      <c r="E467" s="121"/>
      <c r="F467" s="121"/>
      <c r="G467" s="121"/>
      <c r="H467" s="121"/>
      <c r="I467" s="121"/>
      <c r="J467" s="121"/>
      <c r="K467" s="121"/>
      <c r="L467" s="121"/>
      <c r="M467" s="121"/>
      <c r="N467" s="121"/>
      <c r="O467" s="121"/>
      <c r="P467" s="121"/>
      <c r="Q467" s="121"/>
      <c r="R467" s="121"/>
      <c r="S467" s="121"/>
      <c r="T467" s="121"/>
      <c r="U467" s="121"/>
      <c r="V467" s="121"/>
      <c r="W467" s="121"/>
      <c r="X467" s="121"/>
      <c r="Y467" s="121"/>
      <c r="Z467" s="121"/>
    </row>
    <row r="468" spans="1:26" ht="11.25" customHeight="1" x14ac:dyDescent="0.3">
      <c r="A468" s="121"/>
      <c r="B468" s="121"/>
      <c r="C468" s="121"/>
      <c r="D468" s="121"/>
      <c r="E468" s="121"/>
      <c r="F468" s="121"/>
      <c r="G468" s="121"/>
      <c r="H468" s="121"/>
      <c r="I468" s="121"/>
      <c r="J468" s="121"/>
      <c r="K468" s="121"/>
      <c r="L468" s="121"/>
      <c r="M468" s="121"/>
      <c r="N468" s="121"/>
      <c r="O468" s="121"/>
      <c r="P468" s="121"/>
      <c r="Q468" s="121"/>
      <c r="R468" s="121"/>
      <c r="S468" s="121"/>
      <c r="T468" s="121"/>
      <c r="U468" s="121"/>
      <c r="V468" s="121"/>
      <c r="W468" s="121"/>
      <c r="X468" s="121"/>
      <c r="Y468" s="121"/>
      <c r="Z468" s="121"/>
    </row>
    <row r="469" spans="1:26" ht="11.25" customHeight="1" x14ac:dyDescent="0.3">
      <c r="A469" s="121"/>
      <c r="B469" s="121"/>
      <c r="C469" s="121"/>
      <c r="D469" s="121"/>
      <c r="E469" s="121"/>
      <c r="F469" s="121"/>
      <c r="G469" s="121"/>
      <c r="H469" s="121"/>
      <c r="I469" s="121"/>
      <c r="J469" s="121"/>
      <c r="K469" s="121"/>
      <c r="L469" s="121"/>
      <c r="M469" s="121"/>
      <c r="N469" s="121"/>
      <c r="O469" s="121"/>
      <c r="P469" s="121"/>
      <c r="Q469" s="121"/>
      <c r="R469" s="121"/>
      <c r="S469" s="121"/>
      <c r="T469" s="121"/>
      <c r="U469" s="121"/>
      <c r="V469" s="121"/>
      <c r="W469" s="121"/>
      <c r="X469" s="121"/>
      <c r="Y469" s="121"/>
      <c r="Z469" s="121"/>
    </row>
    <row r="470" spans="1:26" ht="11.25" customHeight="1" x14ac:dyDescent="0.3">
      <c r="A470" s="121"/>
      <c r="B470" s="121"/>
      <c r="C470" s="121"/>
      <c r="D470" s="121"/>
      <c r="E470" s="121"/>
      <c r="F470" s="121"/>
      <c r="G470" s="121"/>
      <c r="H470" s="121"/>
      <c r="I470" s="121"/>
      <c r="J470" s="121"/>
      <c r="K470" s="121"/>
      <c r="L470" s="121"/>
      <c r="M470" s="121"/>
      <c r="N470" s="121"/>
      <c r="O470" s="121"/>
      <c r="P470" s="121"/>
      <c r="Q470" s="121"/>
      <c r="R470" s="121"/>
      <c r="S470" s="121"/>
      <c r="T470" s="121"/>
      <c r="U470" s="121"/>
      <c r="V470" s="121"/>
      <c r="W470" s="121"/>
      <c r="X470" s="121"/>
      <c r="Y470" s="121"/>
      <c r="Z470" s="121"/>
    </row>
    <row r="471" spans="1:26" ht="11.25" customHeight="1" x14ac:dyDescent="0.3">
      <c r="A471" s="121"/>
      <c r="B471" s="121"/>
      <c r="C471" s="121"/>
      <c r="D471" s="121"/>
      <c r="E471" s="121"/>
      <c r="F471" s="121"/>
      <c r="G471" s="121"/>
      <c r="H471" s="121"/>
      <c r="I471" s="121"/>
      <c r="J471" s="121"/>
      <c r="K471" s="121"/>
      <c r="L471" s="121"/>
      <c r="M471" s="121"/>
      <c r="N471" s="121"/>
      <c r="O471" s="121"/>
      <c r="P471" s="121"/>
      <c r="Q471" s="121"/>
      <c r="R471" s="121"/>
      <c r="S471" s="121"/>
      <c r="T471" s="121"/>
      <c r="U471" s="121"/>
      <c r="V471" s="121"/>
      <c r="W471" s="121"/>
      <c r="X471" s="121"/>
      <c r="Y471" s="121"/>
      <c r="Z471" s="121"/>
    </row>
    <row r="472" spans="1:26" ht="11.25" customHeight="1" x14ac:dyDescent="0.3">
      <c r="A472" s="121"/>
      <c r="B472" s="121"/>
      <c r="C472" s="121"/>
      <c r="D472" s="121"/>
      <c r="E472" s="121"/>
      <c r="F472" s="121"/>
      <c r="G472" s="121"/>
      <c r="H472" s="121"/>
      <c r="I472" s="121"/>
      <c r="J472" s="121"/>
      <c r="K472" s="121"/>
      <c r="L472" s="121"/>
      <c r="M472" s="121"/>
      <c r="N472" s="121"/>
      <c r="O472" s="121"/>
      <c r="P472" s="121"/>
      <c r="Q472" s="121"/>
      <c r="R472" s="121"/>
      <c r="S472" s="121"/>
      <c r="T472" s="121"/>
      <c r="U472" s="121"/>
      <c r="V472" s="121"/>
      <c r="W472" s="121"/>
      <c r="X472" s="121"/>
      <c r="Y472" s="121"/>
      <c r="Z472" s="121"/>
    </row>
    <row r="473" spans="1:26" ht="11.25" customHeight="1" x14ac:dyDescent="0.3">
      <c r="A473" s="121"/>
      <c r="B473" s="121"/>
      <c r="C473" s="121"/>
      <c r="D473" s="121"/>
      <c r="E473" s="121"/>
      <c r="F473" s="121"/>
      <c r="G473" s="121"/>
      <c r="H473" s="121"/>
      <c r="I473" s="121"/>
      <c r="J473" s="121"/>
      <c r="K473" s="121"/>
      <c r="L473" s="121"/>
      <c r="M473" s="121"/>
      <c r="N473" s="121"/>
      <c r="O473" s="121"/>
      <c r="P473" s="121"/>
      <c r="Q473" s="121"/>
      <c r="R473" s="121"/>
      <c r="S473" s="121"/>
      <c r="T473" s="121"/>
      <c r="U473" s="121"/>
      <c r="V473" s="121"/>
      <c r="W473" s="121"/>
      <c r="X473" s="121"/>
      <c r="Y473" s="121"/>
      <c r="Z473" s="121"/>
    </row>
    <row r="474" spans="1:26" ht="11.25" customHeight="1" x14ac:dyDescent="0.3">
      <c r="A474" s="121"/>
      <c r="B474" s="121"/>
      <c r="C474" s="121"/>
      <c r="D474" s="121"/>
      <c r="E474" s="121"/>
      <c r="F474" s="121"/>
      <c r="G474" s="121"/>
      <c r="H474" s="121"/>
      <c r="I474" s="121"/>
      <c r="J474" s="121"/>
      <c r="K474" s="121"/>
      <c r="L474" s="121"/>
      <c r="M474" s="121"/>
      <c r="N474" s="121"/>
      <c r="O474" s="121"/>
      <c r="P474" s="121"/>
      <c r="Q474" s="121"/>
      <c r="R474" s="121"/>
      <c r="S474" s="121"/>
      <c r="T474" s="121"/>
      <c r="U474" s="121"/>
      <c r="V474" s="121"/>
      <c r="W474" s="121"/>
      <c r="X474" s="121"/>
      <c r="Y474" s="121"/>
      <c r="Z474" s="121"/>
    </row>
    <row r="475" spans="1:26" ht="11.25" customHeight="1" x14ac:dyDescent="0.3">
      <c r="A475" s="121"/>
      <c r="B475" s="121"/>
      <c r="C475" s="121"/>
      <c r="D475" s="121"/>
      <c r="E475" s="121"/>
      <c r="F475" s="121"/>
      <c r="G475" s="121"/>
      <c r="H475" s="121"/>
      <c r="I475" s="121"/>
      <c r="J475" s="121"/>
      <c r="K475" s="121"/>
      <c r="L475" s="121"/>
      <c r="M475" s="121"/>
      <c r="N475" s="121"/>
      <c r="O475" s="121"/>
      <c r="P475" s="121"/>
      <c r="Q475" s="121"/>
      <c r="R475" s="121"/>
      <c r="S475" s="121"/>
      <c r="T475" s="121"/>
      <c r="U475" s="121"/>
      <c r="V475" s="121"/>
      <c r="W475" s="121"/>
      <c r="X475" s="121"/>
      <c r="Y475" s="121"/>
      <c r="Z475" s="121"/>
    </row>
    <row r="476" spans="1:26" ht="11.25" customHeight="1" x14ac:dyDescent="0.3">
      <c r="A476" s="121"/>
      <c r="B476" s="121"/>
      <c r="C476" s="121"/>
      <c r="D476" s="121"/>
      <c r="E476" s="121"/>
      <c r="F476" s="121"/>
      <c r="G476" s="121"/>
      <c r="H476" s="121"/>
      <c r="I476" s="121"/>
      <c r="J476" s="121"/>
      <c r="K476" s="121"/>
      <c r="L476" s="121"/>
      <c r="M476" s="121"/>
      <c r="N476" s="121"/>
      <c r="O476" s="121"/>
      <c r="P476" s="121"/>
      <c r="Q476" s="121"/>
      <c r="R476" s="121"/>
      <c r="S476" s="121"/>
      <c r="T476" s="121"/>
      <c r="U476" s="121"/>
      <c r="V476" s="121"/>
      <c r="W476" s="121"/>
      <c r="X476" s="121"/>
      <c r="Y476" s="121"/>
      <c r="Z476" s="121"/>
    </row>
    <row r="477" spans="1:26" ht="11.25" customHeight="1" x14ac:dyDescent="0.3">
      <c r="A477" s="121"/>
      <c r="B477" s="121"/>
      <c r="C477" s="121"/>
      <c r="D477" s="121"/>
      <c r="E477" s="121"/>
      <c r="F477" s="121"/>
      <c r="G477" s="121"/>
      <c r="H477" s="121"/>
      <c r="I477" s="121"/>
      <c r="J477" s="121"/>
      <c r="K477" s="121"/>
      <c r="L477" s="121"/>
      <c r="M477" s="121"/>
      <c r="N477" s="121"/>
      <c r="O477" s="121"/>
      <c r="P477" s="121"/>
      <c r="Q477" s="121"/>
      <c r="R477" s="121"/>
      <c r="S477" s="121"/>
      <c r="T477" s="121"/>
      <c r="U477" s="121"/>
      <c r="V477" s="121"/>
      <c r="W477" s="121"/>
      <c r="X477" s="121"/>
      <c r="Y477" s="121"/>
      <c r="Z477" s="121"/>
    </row>
    <row r="478" spans="1:26" ht="11.25" customHeight="1" x14ac:dyDescent="0.3">
      <c r="A478" s="121"/>
      <c r="B478" s="121"/>
      <c r="C478" s="121"/>
      <c r="D478" s="121"/>
      <c r="E478" s="121"/>
      <c r="F478" s="121"/>
      <c r="G478" s="121"/>
      <c r="H478" s="121"/>
      <c r="I478" s="121"/>
      <c r="J478" s="121"/>
      <c r="K478" s="121"/>
      <c r="L478" s="121"/>
      <c r="M478" s="121"/>
      <c r="N478" s="121"/>
      <c r="O478" s="121"/>
      <c r="P478" s="121"/>
      <c r="Q478" s="121"/>
      <c r="R478" s="121"/>
      <c r="S478" s="121"/>
      <c r="T478" s="121"/>
      <c r="U478" s="121"/>
      <c r="V478" s="121"/>
      <c r="W478" s="121"/>
      <c r="X478" s="121"/>
      <c r="Y478" s="121"/>
      <c r="Z478" s="121"/>
    </row>
    <row r="479" spans="1:26" ht="11.25" customHeight="1" x14ac:dyDescent="0.3">
      <c r="A479" s="121"/>
      <c r="B479" s="121"/>
      <c r="C479" s="121"/>
      <c r="D479" s="121"/>
      <c r="E479" s="121"/>
      <c r="F479" s="121"/>
      <c r="G479" s="121"/>
      <c r="H479" s="121"/>
      <c r="I479" s="121"/>
      <c r="J479" s="121"/>
      <c r="K479" s="121"/>
      <c r="L479" s="121"/>
      <c r="M479" s="121"/>
      <c r="N479" s="121"/>
      <c r="O479" s="121"/>
      <c r="P479" s="121"/>
      <c r="Q479" s="121"/>
      <c r="R479" s="121"/>
      <c r="S479" s="121"/>
      <c r="T479" s="121"/>
      <c r="U479" s="121"/>
      <c r="V479" s="121"/>
      <c r="W479" s="121"/>
      <c r="X479" s="121"/>
      <c r="Y479" s="121"/>
      <c r="Z479" s="121"/>
    </row>
    <row r="480" spans="1:26" ht="11.25" customHeight="1" x14ac:dyDescent="0.3">
      <c r="A480" s="121"/>
      <c r="B480" s="121"/>
      <c r="C480" s="121"/>
      <c r="D480" s="121"/>
      <c r="E480" s="121"/>
      <c r="F480" s="121"/>
      <c r="G480" s="121"/>
      <c r="H480" s="121"/>
      <c r="I480" s="121"/>
      <c r="J480" s="121"/>
      <c r="K480" s="121"/>
      <c r="L480" s="121"/>
      <c r="M480" s="121"/>
      <c r="N480" s="121"/>
      <c r="O480" s="121"/>
      <c r="P480" s="121"/>
      <c r="Q480" s="121"/>
      <c r="R480" s="121"/>
      <c r="S480" s="121"/>
      <c r="T480" s="121"/>
      <c r="U480" s="121"/>
      <c r="V480" s="121"/>
      <c r="W480" s="121"/>
      <c r="X480" s="121"/>
      <c r="Y480" s="121"/>
      <c r="Z480" s="121"/>
    </row>
    <row r="481" spans="1:26" ht="11.25" customHeight="1" x14ac:dyDescent="0.3">
      <c r="A481" s="121"/>
      <c r="B481" s="121"/>
      <c r="C481" s="121"/>
      <c r="D481" s="121"/>
      <c r="E481" s="121"/>
      <c r="F481" s="121"/>
      <c r="G481" s="121"/>
      <c r="H481" s="121"/>
      <c r="I481" s="121"/>
      <c r="J481" s="121"/>
      <c r="K481" s="121"/>
      <c r="L481" s="121"/>
      <c r="M481" s="121"/>
      <c r="N481" s="121"/>
      <c r="O481" s="121"/>
      <c r="P481" s="121"/>
      <c r="Q481" s="121"/>
      <c r="R481" s="121"/>
      <c r="S481" s="121"/>
      <c r="T481" s="121"/>
      <c r="U481" s="121"/>
      <c r="V481" s="121"/>
      <c r="W481" s="121"/>
      <c r="X481" s="121"/>
      <c r="Y481" s="121"/>
      <c r="Z481" s="121"/>
    </row>
    <row r="482" spans="1:26" ht="11.25" customHeight="1" x14ac:dyDescent="0.3">
      <c r="A482" s="121"/>
      <c r="B482" s="121"/>
      <c r="C482" s="121"/>
      <c r="D482" s="121"/>
      <c r="E482" s="121"/>
      <c r="F482" s="121"/>
      <c r="G482" s="121"/>
      <c r="H482" s="121"/>
      <c r="I482" s="121"/>
      <c r="J482" s="121"/>
      <c r="K482" s="121"/>
      <c r="L482" s="121"/>
      <c r="M482" s="121"/>
      <c r="N482" s="121"/>
      <c r="O482" s="121"/>
      <c r="P482" s="121"/>
      <c r="Q482" s="121"/>
      <c r="R482" s="121"/>
      <c r="S482" s="121"/>
      <c r="T482" s="121"/>
      <c r="U482" s="121"/>
      <c r="V482" s="121"/>
      <c r="W482" s="121"/>
      <c r="X482" s="121"/>
      <c r="Y482" s="121"/>
      <c r="Z482" s="121"/>
    </row>
    <row r="483" spans="1:26" ht="11.25" customHeight="1" x14ac:dyDescent="0.3">
      <c r="A483" s="121"/>
      <c r="B483" s="121"/>
      <c r="C483" s="121"/>
      <c r="D483" s="121"/>
      <c r="E483" s="121"/>
      <c r="F483" s="121"/>
      <c r="G483" s="121"/>
      <c r="H483" s="121"/>
      <c r="I483" s="121"/>
      <c r="J483" s="121"/>
      <c r="K483" s="121"/>
      <c r="L483" s="121"/>
      <c r="M483" s="121"/>
      <c r="N483" s="121"/>
      <c r="O483" s="121"/>
      <c r="P483" s="121"/>
      <c r="Q483" s="121"/>
      <c r="R483" s="121"/>
      <c r="S483" s="121"/>
      <c r="T483" s="121"/>
      <c r="U483" s="121"/>
      <c r="V483" s="121"/>
      <c r="W483" s="121"/>
      <c r="X483" s="121"/>
      <c r="Y483" s="121"/>
      <c r="Z483" s="121"/>
    </row>
    <row r="484" spans="1:26" ht="11.25" customHeight="1" x14ac:dyDescent="0.3">
      <c r="A484" s="121"/>
      <c r="B484" s="121"/>
      <c r="C484" s="121"/>
      <c r="D484" s="121"/>
      <c r="E484" s="121"/>
      <c r="F484" s="121"/>
      <c r="G484" s="121"/>
      <c r="H484" s="121"/>
      <c r="I484" s="121"/>
      <c r="J484" s="121"/>
      <c r="K484" s="121"/>
      <c r="L484" s="121"/>
      <c r="M484" s="121"/>
      <c r="N484" s="121"/>
      <c r="O484" s="121"/>
      <c r="P484" s="121"/>
      <c r="Q484" s="121"/>
      <c r="R484" s="121"/>
      <c r="S484" s="121"/>
      <c r="T484" s="121"/>
      <c r="U484" s="121"/>
      <c r="V484" s="121"/>
      <c r="W484" s="121"/>
      <c r="X484" s="121"/>
      <c r="Y484" s="121"/>
      <c r="Z484" s="121"/>
    </row>
    <row r="485" spans="1:26" ht="11.25" customHeight="1" x14ac:dyDescent="0.3">
      <c r="A485" s="121"/>
      <c r="B485" s="121"/>
      <c r="C485" s="121"/>
      <c r="D485" s="121"/>
      <c r="E485" s="121"/>
      <c r="F485" s="121"/>
      <c r="G485" s="121"/>
      <c r="H485" s="121"/>
      <c r="I485" s="121"/>
      <c r="J485" s="121"/>
      <c r="K485" s="121"/>
      <c r="L485" s="121"/>
      <c r="M485" s="121"/>
      <c r="N485" s="121"/>
      <c r="O485" s="121"/>
      <c r="P485" s="121"/>
      <c r="Q485" s="121"/>
      <c r="R485" s="121"/>
      <c r="S485" s="121"/>
      <c r="T485" s="121"/>
      <c r="U485" s="121"/>
      <c r="V485" s="121"/>
      <c r="W485" s="121"/>
      <c r="X485" s="121"/>
      <c r="Y485" s="121"/>
      <c r="Z485" s="121"/>
    </row>
    <row r="486" spans="1:26" ht="11.25" customHeight="1" x14ac:dyDescent="0.3">
      <c r="A486" s="121"/>
      <c r="B486" s="121"/>
      <c r="C486" s="121"/>
      <c r="D486" s="121"/>
      <c r="E486" s="121"/>
      <c r="F486" s="121"/>
      <c r="G486" s="121"/>
      <c r="H486" s="121"/>
      <c r="I486" s="121"/>
      <c r="J486" s="121"/>
      <c r="K486" s="121"/>
      <c r="L486" s="121"/>
      <c r="M486" s="121"/>
      <c r="N486" s="121"/>
      <c r="O486" s="121"/>
      <c r="P486" s="121"/>
      <c r="Q486" s="121"/>
      <c r="R486" s="121"/>
      <c r="S486" s="121"/>
      <c r="T486" s="121"/>
      <c r="U486" s="121"/>
      <c r="V486" s="121"/>
      <c r="W486" s="121"/>
      <c r="X486" s="121"/>
      <c r="Y486" s="121"/>
      <c r="Z486" s="121"/>
    </row>
    <row r="487" spans="1:26" ht="11.25" customHeight="1" x14ac:dyDescent="0.3">
      <c r="A487" s="121"/>
      <c r="B487" s="121"/>
      <c r="C487" s="121"/>
      <c r="D487" s="121"/>
      <c r="E487" s="121"/>
      <c r="F487" s="121"/>
      <c r="G487" s="121"/>
      <c r="H487" s="121"/>
      <c r="I487" s="121"/>
      <c r="J487" s="121"/>
      <c r="K487" s="121"/>
      <c r="L487" s="121"/>
      <c r="M487" s="121"/>
      <c r="N487" s="121"/>
      <c r="O487" s="121"/>
      <c r="P487" s="121"/>
      <c r="Q487" s="121"/>
      <c r="R487" s="121"/>
      <c r="S487" s="121"/>
      <c r="T487" s="121"/>
      <c r="U487" s="121"/>
      <c r="V487" s="121"/>
      <c r="W487" s="121"/>
      <c r="X487" s="121"/>
      <c r="Y487" s="121"/>
      <c r="Z487" s="121"/>
    </row>
    <row r="488" spans="1:26" ht="11.25" customHeight="1" x14ac:dyDescent="0.3">
      <c r="A488" s="121"/>
      <c r="B488" s="121"/>
      <c r="C488" s="121"/>
      <c r="D488" s="121"/>
      <c r="E488" s="121"/>
      <c r="F488" s="121"/>
      <c r="G488" s="121"/>
      <c r="H488" s="121"/>
      <c r="I488" s="121"/>
      <c r="J488" s="121"/>
      <c r="K488" s="121"/>
      <c r="L488" s="121"/>
      <c r="M488" s="121"/>
      <c r="N488" s="121"/>
      <c r="O488" s="121"/>
      <c r="P488" s="121"/>
      <c r="Q488" s="121"/>
      <c r="R488" s="121"/>
      <c r="S488" s="121"/>
      <c r="T488" s="121"/>
      <c r="U488" s="121"/>
      <c r="V488" s="121"/>
      <c r="W488" s="121"/>
      <c r="X488" s="121"/>
      <c r="Y488" s="121"/>
      <c r="Z488" s="121"/>
    </row>
    <row r="489" spans="1:26" ht="11.25" customHeight="1" x14ac:dyDescent="0.3">
      <c r="A489" s="121"/>
      <c r="B489" s="121"/>
      <c r="C489" s="121"/>
      <c r="D489" s="121"/>
      <c r="E489" s="121"/>
      <c r="F489" s="121"/>
      <c r="G489" s="121"/>
      <c r="H489" s="121"/>
      <c r="I489" s="121"/>
      <c r="J489" s="121"/>
      <c r="K489" s="121"/>
      <c r="L489" s="121"/>
      <c r="M489" s="121"/>
      <c r="N489" s="121"/>
      <c r="O489" s="121"/>
      <c r="P489" s="121"/>
      <c r="Q489" s="121"/>
      <c r="R489" s="121"/>
      <c r="S489" s="121"/>
      <c r="T489" s="121"/>
      <c r="U489" s="121"/>
      <c r="V489" s="121"/>
      <c r="W489" s="121"/>
      <c r="X489" s="121"/>
      <c r="Y489" s="121"/>
      <c r="Z489" s="121"/>
    </row>
    <row r="490" spans="1:26" ht="11.25" customHeight="1" x14ac:dyDescent="0.3">
      <c r="A490" s="121"/>
      <c r="B490" s="121"/>
      <c r="C490" s="121"/>
      <c r="D490" s="121"/>
      <c r="E490" s="121"/>
      <c r="F490" s="121"/>
      <c r="G490" s="121"/>
      <c r="H490" s="121"/>
      <c r="I490" s="121"/>
      <c r="J490" s="121"/>
      <c r="K490" s="121"/>
      <c r="L490" s="121"/>
      <c r="M490" s="121"/>
      <c r="N490" s="121"/>
      <c r="O490" s="121"/>
      <c r="P490" s="121"/>
      <c r="Q490" s="121"/>
      <c r="R490" s="121"/>
      <c r="S490" s="121"/>
      <c r="T490" s="121"/>
      <c r="U490" s="121"/>
      <c r="V490" s="121"/>
      <c r="W490" s="121"/>
      <c r="X490" s="121"/>
      <c r="Y490" s="121"/>
      <c r="Z490" s="121"/>
    </row>
    <row r="491" spans="1:26" ht="11.25" customHeight="1" x14ac:dyDescent="0.3">
      <c r="A491" s="121"/>
      <c r="B491" s="121"/>
      <c r="C491" s="121"/>
      <c r="D491" s="121"/>
      <c r="E491" s="121"/>
      <c r="F491" s="121"/>
      <c r="G491" s="121"/>
      <c r="H491" s="121"/>
      <c r="I491" s="121"/>
      <c r="J491" s="121"/>
      <c r="K491" s="121"/>
      <c r="L491" s="121"/>
      <c r="M491" s="121"/>
      <c r="N491" s="121"/>
      <c r="O491" s="121"/>
      <c r="P491" s="121"/>
      <c r="Q491" s="121"/>
      <c r="R491" s="121"/>
      <c r="S491" s="121"/>
      <c r="T491" s="121"/>
      <c r="U491" s="121"/>
      <c r="V491" s="121"/>
      <c r="W491" s="121"/>
      <c r="X491" s="121"/>
      <c r="Y491" s="121"/>
      <c r="Z491" s="121"/>
    </row>
    <row r="492" spans="1:26" ht="11.25" customHeight="1" x14ac:dyDescent="0.3">
      <c r="A492" s="121"/>
      <c r="B492" s="121"/>
      <c r="C492" s="121"/>
      <c r="D492" s="121"/>
      <c r="E492" s="121"/>
      <c r="F492" s="121"/>
      <c r="G492" s="121"/>
      <c r="H492" s="121"/>
      <c r="I492" s="121"/>
      <c r="J492" s="121"/>
      <c r="K492" s="121"/>
      <c r="L492" s="121"/>
      <c r="M492" s="121"/>
      <c r="N492" s="121"/>
      <c r="O492" s="121"/>
      <c r="P492" s="121"/>
      <c r="Q492" s="121"/>
      <c r="R492" s="121"/>
      <c r="S492" s="121"/>
      <c r="T492" s="121"/>
      <c r="U492" s="121"/>
      <c r="V492" s="121"/>
      <c r="W492" s="121"/>
      <c r="X492" s="121"/>
      <c r="Y492" s="121"/>
      <c r="Z492" s="121"/>
    </row>
    <row r="493" spans="1:26" ht="11.25" customHeight="1" x14ac:dyDescent="0.3">
      <c r="A493" s="121"/>
      <c r="B493" s="121"/>
      <c r="C493" s="121"/>
      <c r="D493" s="121"/>
      <c r="E493" s="121"/>
      <c r="F493" s="121"/>
      <c r="G493" s="121"/>
      <c r="H493" s="121"/>
      <c r="I493" s="121"/>
      <c r="J493" s="121"/>
      <c r="K493" s="121"/>
      <c r="L493" s="121"/>
      <c r="M493" s="121"/>
      <c r="N493" s="121"/>
      <c r="O493" s="121"/>
      <c r="P493" s="121"/>
      <c r="Q493" s="121"/>
      <c r="R493" s="121"/>
      <c r="S493" s="121"/>
      <c r="T493" s="121"/>
      <c r="U493" s="121"/>
      <c r="V493" s="121"/>
      <c r="W493" s="121"/>
      <c r="X493" s="121"/>
      <c r="Y493" s="121"/>
      <c r="Z493" s="121"/>
    </row>
    <row r="494" spans="1:26" ht="11.25" customHeight="1" x14ac:dyDescent="0.3">
      <c r="A494" s="121"/>
      <c r="B494" s="121"/>
      <c r="C494" s="121"/>
      <c r="D494" s="121"/>
      <c r="E494" s="121"/>
      <c r="F494" s="121"/>
      <c r="G494" s="121"/>
      <c r="H494" s="121"/>
      <c r="I494" s="121"/>
      <c r="J494" s="121"/>
      <c r="K494" s="121"/>
      <c r="L494" s="121"/>
      <c r="M494" s="121"/>
      <c r="N494" s="121"/>
      <c r="O494" s="121"/>
      <c r="P494" s="121"/>
      <c r="Q494" s="121"/>
      <c r="R494" s="121"/>
      <c r="S494" s="121"/>
      <c r="T494" s="121"/>
      <c r="U494" s="121"/>
      <c r="V494" s="121"/>
      <c r="W494" s="121"/>
      <c r="X494" s="121"/>
      <c r="Y494" s="121"/>
      <c r="Z494" s="121"/>
    </row>
    <row r="495" spans="1:26" ht="11.25" customHeight="1" x14ac:dyDescent="0.3">
      <c r="A495" s="121"/>
      <c r="B495" s="121"/>
      <c r="C495" s="121"/>
      <c r="D495" s="121"/>
      <c r="E495" s="121"/>
      <c r="F495" s="121"/>
      <c r="G495" s="121"/>
      <c r="H495" s="121"/>
      <c r="I495" s="121"/>
      <c r="J495" s="121"/>
      <c r="K495" s="121"/>
      <c r="L495" s="121"/>
      <c r="M495" s="121"/>
      <c r="N495" s="121"/>
      <c r="O495" s="121"/>
      <c r="P495" s="121"/>
      <c r="Q495" s="121"/>
      <c r="R495" s="121"/>
      <c r="S495" s="121"/>
      <c r="T495" s="121"/>
      <c r="U495" s="121"/>
      <c r="V495" s="121"/>
      <c r="W495" s="121"/>
      <c r="X495" s="121"/>
      <c r="Y495" s="121"/>
      <c r="Z495" s="121"/>
    </row>
    <row r="496" spans="1:26" ht="11.25" customHeight="1" x14ac:dyDescent="0.3">
      <c r="A496" s="121"/>
      <c r="B496" s="121"/>
      <c r="C496" s="121"/>
      <c r="D496" s="121"/>
      <c r="E496" s="121"/>
      <c r="F496" s="121"/>
      <c r="G496" s="121"/>
      <c r="H496" s="121"/>
      <c r="I496" s="121"/>
      <c r="J496" s="121"/>
      <c r="K496" s="121"/>
      <c r="L496" s="121"/>
      <c r="M496" s="121"/>
      <c r="N496" s="121"/>
      <c r="O496" s="121"/>
      <c r="P496" s="121"/>
      <c r="Q496" s="121"/>
      <c r="R496" s="121"/>
      <c r="S496" s="121"/>
      <c r="T496" s="121"/>
      <c r="U496" s="121"/>
      <c r="V496" s="121"/>
      <c r="W496" s="121"/>
      <c r="X496" s="121"/>
      <c r="Y496" s="121"/>
      <c r="Z496" s="121"/>
    </row>
    <row r="497" spans="1:26" ht="11.25" customHeight="1" x14ac:dyDescent="0.3">
      <c r="A497" s="121"/>
      <c r="B497" s="121"/>
      <c r="C497" s="121"/>
      <c r="D497" s="121"/>
      <c r="E497" s="121"/>
      <c r="F497" s="121"/>
      <c r="G497" s="121"/>
      <c r="H497" s="121"/>
      <c r="I497" s="121"/>
      <c r="J497" s="121"/>
      <c r="K497" s="121"/>
      <c r="L497" s="121"/>
      <c r="M497" s="121"/>
      <c r="N497" s="121"/>
      <c r="O497" s="121"/>
      <c r="P497" s="121"/>
      <c r="Q497" s="121"/>
      <c r="R497" s="121"/>
      <c r="S497" s="121"/>
      <c r="T497" s="121"/>
      <c r="U497" s="121"/>
      <c r="V497" s="121"/>
      <c r="W497" s="121"/>
      <c r="X497" s="121"/>
      <c r="Y497" s="121"/>
      <c r="Z497" s="121"/>
    </row>
    <row r="498" spans="1:26" ht="11.25" customHeight="1" x14ac:dyDescent="0.3">
      <c r="A498" s="121"/>
      <c r="B498" s="121"/>
      <c r="C498" s="121"/>
      <c r="D498" s="121"/>
      <c r="E498" s="121"/>
      <c r="F498" s="121"/>
      <c r="G498" s="121"/>
      <c r="H498" s="121"/>
      <c r="I498" s="121"/>
      <c r="J498" s="121"/>
      <c r="K498" s="121"/>
      <c r="L498" s="121"/>
      <c r="M498" s="121"/>
      <c r="N498" s="121"/>
      <c r="O498" s="121"/>
      <c r="P498" s="121"/>
      <c r="Q498" s="121"/>
      <c r="R498" s="121"/>
      <c r="S498" s="121"/>
      <c r="T498" s="121"/>
      <c r="U498" s="121"/>
      <c r="V498" s="121"/>
      <c r="W498" s="121"/>
      <c r="X498" s="121"/>
      <c r="Y498" s="121"/>
      <c r="Z498" s="121"/>
    </row>
    <row r="499" spans="1:26" ht="11.25" customHeight="1" x14ac:dyDescent="0.3">
      <c r="A499" s="121"/>
      <c r="B499" s="121"/>
      <c r="C499" s="121"/>
      <c r="D499" s="121"/>
      <c r="E499" s="121"/>
      <c r="F499" s="121"/>
      <c r="G499" s="121"/>
      <c r="H499" s="121"/>
      <c r="I499" s="121"/>
      <c r="J499" s="121"/>
      <c r="K499" s="121"/>
      <c r="L499" s="121"/>
      <c r="M499" s="121"/>
      <c r="N499" s="121"/>
      <c r="O499" s="121"/>
      <c r="P499" s="121"/>
      <c r="Q499" s="121"/>
      <c r="R499" s="121"/>
      <c r="S499" s="121"/>
      <c r="T499" s="121"/>
      <c r="U499" s="121"/>
      <c r="V499" s="121"/>
      <c r="W499" s="121"/>
      <c r="X499" s="121"/>
      <c r="Y499" s="121"/>
      <c r="Z499" s="121"/>
    </row>
    <row r="500" spans="1:26" ht="11.25" customHeight="1" x14ac:dyDescent="0.3">
      <c r="A500" s="121"/>
      <c r="B500" s="121"/>
      <c r="C500" s="121"/>
      <c r="D500" s="121"/>
      <c r="E500" s="121"/>
      <c r="F500" s="121"/>
      <c r="G500" s="121"/>
      <c r="H500" s="121"/>
      <c r="I500" s="121"/>
      <c r="J500" s="121"/>
      <c r="K500" s="121"/>
      <c r="L500" s="121"/>
      <c r="M500" s="121"/>
      <c r="N500" s="121"/>
      <c r="O500" s="121"/>
      <c r="P500" s="121"/>
      <c r="Q500" s="121"/>
      <c r="R500" s="121"/>
      <c r="S500" s="121"/>
      <c r="T500" s="121"/>
      <c r="U500" s="121"/>
      <c r="V500" s="121"/>
      <c r="W500" s="121"/>
      <c r="X500" s="121"/>
      <c r="Y500" s="121"/>
      <c r="Z500" s="121"/>
    </row>
    <row r="501" spans="1:26" ht="11.25" customHeight="1" x14ac:dyDescent="0.3">
      <c r="A501" s="121"/>
      <c r="B501" s="121"/>
      <c r="C501" s="121"/>
      <c r="D501" s="121"/>
      <c r="E501" s="121"/>
      <c r="F501" s="121"/>
      <c r="G501" s="121"/>
      <c r="H501" s="121"/>
      <c r="I501" s="121"/>
      <c r="J501" s="121"/>
      <c r="K501" s="121"/>
      <c r="L501" s="121"/>
      <c r="M501" s="121"/>
      <c r="N501" s="121"/>
      <c r="O501" s="121"/>
      <c r="P501" s="121"/>
      <c r="Q501" s="121"/>
      <c r="R501" s="121"/>
      <c r="S501" s="121"/>
      <c r="T501" s="121"/>
      <c r="U501" s="121"/>
      <c r="V501" s="121"/>
      <c r="W501" s="121"/>
      <c r="X501" s="121"/>
      <c r="Y501" s="121"/>
      <c r="Z501" s="121"/>
    </row>
    <row r="502" spans="1:26" ht="11.25" customHeight="1" x14ac:dyDescent="0.3">
      <c r="A502" s="121"/>
      <c r="B502" s="121"/>
      <c r="C502" s="121"/>
      <c r="D502" s="121"/>
      <c r="E502" s="121"/>
      <c r="F502" s="121"/>
      <c r="G502" s="121"/>
      <c r="H502" s="121"/>
      <c r="I502" s="121"/>
      <c r="J502" s="121"/>
      <c r="K502" s="121"/>
      <c r="L502" s="121"/>
      <c r="M502" s="121"/>
      <c r="N502" s="121"/>
      <c r="O502" s="121"/>
      <c r="P502" s="121"/>
      <c r="Q502" s="121"/>
      <c r="R502" s="121"/>
      <c r="S502" s="121"/>
      <c r="T502" s="121"/>
      <c r="U502" s="121"/>
      <c r="V502" s="121"/>
      <c r="W502" s="121"/>
      <c r="X502" s="121"/>
      <c r="Y502" s="121"/>
      <c r="Z502" s="121"/>
    </row>
    <row r="503" spans="1:26" ht="11.25" customHeight="1" x14ac:dyDescent="0.3">
      <c r="A503" s="121"/>
      <c r="B503" s="121"/>
      <c r="C503" s="121"/>
      <c r="D503" s="121"/>
      <c r="E503" s="121"/>
      <c r="F503" s="121"/>
      <c r="G503" s="121"/>
      <c r="H503" s="121"/>
      <c r="I503" s="121"/>
      <c r="J503" s="121"/>
      <c r="K503" s="121"/>
      <c r="L503" s="121"/>
      <c r="M503" s="121"/>
      <c r="N503" s="121"/>
      <c r="O503" s="121"/>
      <c r="P503" s="121"/>
      <c r="Q503" s="121"/>
      <c r="R503" s="121"/>
      <c r="S503" s="121"/>
      <c r="T503" s="121"/>
      <c r="U503" s="121"/>
      <c r="V503" s="121"/>
      <c r="W503" s="121"/>
      <c r="X503" s="121"/>
      <c r="Y503" s="121"/>
      <c r="Z503" s="121"/>
    </row>
    <row r="504" spans="1:26" ht="11.25" customHeight="1" x14ac:dyDescent="0.3">
      <c r="A504" s="121"/>
      <c r="B504" s="121"/>
      <c r="C504" s="121"/>
      <c r="D504" s="121"/>
      <c r="E504" s="121"/>
      <c r="F504" s="121"/>
      <c r="G504" s="121"/>
      <c r="H504" s="121"/>
      <c r="I504" s="121"/>
      <c r="J504" s="121"/>
      <c r="K504" s="121"/>
      <c r="L504" s="121"/>
      <c r="M504" s="121"/>
      <c r="N504" s="121"/>
      <c r="O504" s="121"/>
      <c r="P504" s="121"/>
      <c r="Q504" s="121"/>
      <c r="R504" s="121"/>
      <c r="S504" s="121"/>
      <c r="T504" s="121"/>
      <c r="U504" s="121"/>
      <c r="V504" s="121"/>
      <c r="W504" s="121"/>
      <c r="X504" s="121"/>
      <c r="Y504" s="121"/>
      <c r="Z504" s="121"/>
    </row>
    <row r="505" spans="1:26" ht="11.25" customHeight="1" x14ac:dyDescent="0.3">
      <c r="A505" s="121"/>
      <c r="B505" s="121"/>
      <c r="C505" s="121"/>
      <c r="D505" s="121"/>
      <c r="E505" s="121"/>
      <c r="F505" s="121"/>
      <c r="G505" s="121"/>
      <c r="H505" s="121"/>
      <c r="I505" s="121"/>
      <c r="J505" s="121"/>
      <c r="K505" s="121"/>
      <c r="L505" s="121"/>
      <c r="M505" s="121"/>
      <c r="N505" s="121"/>
      <c r="O505" s="121"/>
      <c r="P505" s="121"/>
      <c r="Q505" s="121"/>
      <c r="R505" s="121"/>
      <c r="S505" s="121"/>
      <c r="T505" s="121"/>
      <c r="U505" s="121"/>
      <c r="V505" s="121"/>
      <c r="W505" s="121"/>
      <c r="X505" s="121"/>
      <c r="Y505" s="121"/>
      <c r="Z505" s="121"/>
    </row>
    <row r="506" spans="1:26" ht="11.25" customHeight="1" x14ac:dyDescent="0.3">
      <c r="A506" s="121"/>
      <c r="B506" s="121"/>
      <c r="C506" s="121"/>
      <c r="D506" s="121"/>
      <c r="E506" s="121"/>
      <c r="F506" s="121"/>
      <c r="G506" s="121"/>
      <c r="H506" s="121"/>
      <c r="I506" s="121"/>
      <c r="J506" s="121"/>
      <c r="K506" s="121"/>
      <c r="L506" s="121"/>
      <c r="M506" s="121"/>
      <c r="N506" s="121"/>
      <c r="O506" s="121"/>
      <c r="P506" s="121"/>
      <c r="Q506" s="121"/>
      <c r="R506" s="121"/>
      <c r="S506" s="121"/>
      <c r="T506" s="121"/>
      <c r="U506" s="121"/>
      <c r="V506" s="121"/>
      <c r="W506" s="121"/>
      <c r="X506" s="121"/>
      <c r="Y506" s="121"/>
      <c r="Z506" s="121"/>
    </row>
    <row r="507" spans="1:26" ht="11.25" customHeight="1" x14ac:dyDescent="0.3">
      <c r="A507" s="121"/>
      <c r="B507" s="121"/>
      <c r="C507" s="121"/>
      <c r="D507" s="121"/>
      <c r="E507" s="121"/>
      <c r="F507" s="121"/>
      <c r="G507" s="121"/>
      <c r="H507" s="121"/>
      <c r="I507" s="121"/>
      <c r="J507" s="121"/>
      <c r="K507" s="121"/>
      <c r="L507" s="121"/>
      <c r="M507" s="121"/>
      <c r="N507" s="121"/>
      <c r="O507" s="121"/>
      <c r="P507" s="121"/>
      <c r="Q507" s="121"/>
      <c r="R507" s="121"/>
      <c r="S507" s="121"/>
      <c r="T507" s="121"/>
      <c r="U507" s="121"/>
      <c r="V507" s="121"/>
      <c r="W507" s="121"/>
      <c r="X507" s="121"/>
      <c r="Y507" s="121"/>
      <c r="Z507" s="121"/>
    </row>
    <row r="508" spans="1:26" ht="11.25" customHeight="1" x14ac:dyDescent="0.3">
      <c r="A508" s="121"/>
      <c r="B508" s="121"/>
      <c r="C508" s="121"/>
      <c r="D508" s="121"/>
      <c r="E508" s="121"/>
      <c r="F508" s="121"/>
      <c r="G508" s="121"/>
      <c r="H508" s="121"/>
      <c r="I508" s="121"/>
      <c r="J508" s="121"/>
      <c r="K508" s="121"/>
      <c r="L508" s="121"/>
      <c r="M508" s="121"/>
      <c r="N508" s="121"/>
      <c r="O508" s="121"/>
      <c r="P508" s="121"/>
      <c r="Q508" s="121"/>
      <c r="R508" s="121"/>
      <c r="S508" s="121"/>
      <c r="T508" s="121"/>
      <c r="U508" s="121"/>
      <c r="V508" s="121"/>
      <c r="W508" s="121"/>
      <c r="X508" s="121"/>
      <c r="Y508" s="121"/>
      <c r="Z508" s="121"/>
    </row>
    <row r="509" spans="1:26" ht="11.25" customHeight="1" x14ac:dyDescent="0.3">
      <c r="A509" s="121"/>
      <c r="B509" s="121"/>
      <c r="C509" s="121"/>
      <c r="D509" s="121"/>
      <c r="E509" s="121"/>
      <c r="F509" s="121"/>
      <c r="G509" s="121"/>
      <c r="H509" s="121"/>
      <c r="I509" s="121"/>
      <c r="J509" s="121"/>
      <c r="K509" s="121"/>
      <c r="L509" s="121"/>
      <c r="M509" s="121"/>
      <c r="N509" s="121"/>
      <c r="O509" s="121"/>
      <c r="P509" s="121"/>
      <c r="Q509" s="121"/>
      <c r="R509" s="121"/>
      <c r="S509" s="121"/>
      <c r="T509" s="121"/>
      <c r="U509" s="121"/>
      <c r="V509" s="121"/>
      <c r="W509" s="121"/>
      <c r="X509" s="121"/>
      <c r="Y509" s="121"/>
      <c r="Z509" s="121"/>
    </row>
    <row r="510" spans="1:26" ht="11.25" customHeight="1" x14ac:dyDescent="0.3">
      <c r="A510" s="121"/>
      <c r="B510" s="121"/>
      <c r="C510" s="121"/>
      <c r="D510" s="121"/>
      <c r="E510" s="121"/>
      <c r="F510" s="121"/>
      <c r="G510" s="121"/>
      <c r="H510" s="121"/>
      <c r="I510" s="121"/>
      <c r="J510" s="121"/>
      <c r="K510" s="121"/>
      <c r="L510" s="121"/>
      <c r="M510" s="121"/>
      <c r="N510" s="121"/>
      <c r="O510" s="121"/>
      <c r="P510" s="121"/>
      <c r="Q510" s="121"/>
      <c r="R510" s="121"/>
      <c r="S510" s="121"/>
      <c r="T510" s="121"/>
      <c r="U510" s="121"/>
      <c r="V510" s="121"/>
      <c r="W510" s="121"/>
      <c r="X510" s="121"/>
      <c r="Y510" s="121"/>
      <c r="Z510" s="121"/>
    </row>
    <row r="511" spans="1:26" ht="11.25" customHeight="1" x14ac:dyDescent="0.3">
      <c r="A511" s="121"/>
      <c r="B511" s="121"/>
      <c r="C511" s="121"/>
      <c r="D511" s="121"/>
      <c r="E511" s="121"/>
      <c r="F511" s="121"/>
      <c r="G511" s="121"/>
      <c r="H511" s="121"/>
      <c r="I511" s="121"/>
      <c r="J511" s="121"/>
      <c r="K511" s="121"/>
      <c r="L511" s="121"/>
      <c r="M511" s="121"/>
      <c r="N511" s="121"/>
      <c r="O511" s="121"/>
      <c r="P511" s="121"/>
      <c r="Q511" s="121"/>
      <c r="R511" s="121"/>
      <c r="S511" s="121"/>
      <c r="T511" s="121"/>
      <c r="U511" s="121"/>
      <c r="V511" s="121"/>
      <c r="W511" s="121"/>
      <c r="X511" s="121"/>
      <c r="Y511" s="121"/>
      <c r="Z511" s="121"/>
    </row>
    <row r="512" spans="1:26" ht="11.25" customHeight="1" x14ac:dyDescent="0.3">
      <c r="A512" s="121"/>
      <c r="B512" s="121"/>
      <c r="C512" s="121"/>
      <c r="D512" s="121"/>
      <c r="E512" s="121"/>
      <c r="F512" s="121"/>
      <c r="G512" s="121"/>
      <c r="H512" s="121"/>
      <c r="I512" s="121"/>
      <c r="J512" s="121"/>
      <c r="K512" s="121"/>
      <c r="L512" s="121"/>
      <c r="M512" s="121"/>
      <c r="N512" s="121"/>
      <c r="O512" s="121"/>
      <c r="P512" s="121"/>
      <c r="Q512" s="121"/>
      <c r="R512" s="121"/>
      <c r="S512" s="121"/>
      <c r="T512" s="121"/>
      <c r="U512" s="121"/>
      <c r="V512" s="121"/>
      <c r="W512" s="121"/>
      <c r="X512" s="121"/>
      <c r="Y512" s="121"/>
      <c r="Z512" s="121"/>
    </row>
    <row r="513" spans="1:26" ht="11.25" customHeight="1" x14ac:dyDescent="0.3">
      <c r="A513" s="121"/>
      <c r="B513" s="121"/>
      <c r="C513" s="121"/>
      <c r="D513" s="121"/>
      <c r="E513" s="121"/>
      <c r="F513" s="121"/>
      <c r="G513" s="121"/>
      <c r="H513" s="121"/>
      <c r="I513" s="121"/>
      <c r="J513" s="121"/>
      <c r="K513" s="121"/>
      <c r="L513" s="121"/>
      <c r="M513" s="121"/>
      <c r="N513" s="121"/>
      <c r="O513" s="121"/>
      <c r="P513" s="121"/>
      <c r="Q513" s="121"/>
      <c r="R513" s="121"/>
      <c r="S513" s="121"/>
      <c r="T513" s="121"/>
      <c r="U513" s="121"/>
      <c r="V513" s="121"/>
      <c r="W513" s="121"/>
      <c r="X513" s="121"/>
      <c r="Y513" s="121"/>
      <c r="Z513" s="121"/>
    </row>
    <row r="514" spans="1:26" ht="11.25" customHeight="1" x14ac:dyDescent="0.3">
      <c r="A514" s="121"/>
      <c r="B514" s="121"/>
      <c r="C514" s="121"/>
      <c r="D514" s="121"/>
      <c r="E514" s="121"/>
      <c r="F514" s="121"/>
      <c r="G514" s="121"/>
      <c r="H514" s="121"/>
      <c r="I514" s="121"/>
      <c r="J514" s="121"/>
      <c r="K514" s="121"/>
      <c r="L514" s="121"/>
      <c r="M514" s="121"/>
      <c r="N514" s="121"/>
      <c r="O514" s="121"/>
      <c r="P514" s="121"/>
      <c r="Q514" s="121"/>
      <c r="R514" s="121"/>
      <c r="S514" s="121"/>
      <c r="T514" s="121"/>
      <c r="U514" s="121"/>
      <c r="V514" s="121"/>
      <c r="W514" s="121"/>
      <c r="X514" s="121"/>
      <c r="Y514" s="121"/>
      <c r="Z514" s="121"/>
    </row>
    <row r="515" spans="1:26" ht="11.25" customHeight="1" x14ac:dyDescent="0.3">
      <c r="A515" s="121"/>
      <c r="B515" s="121"/>
      <c r="C515" s="121"/>
      <c r="D515" s="121"/>
      <c r="E515" s="121"/>
      <c r="F515" s="121"/>
      <c r="G515" s="121"/>
      <c r="H515" s="121"/>
      <c r="I515" s="121"/>
      <c r="J515" s="121"/>
      <c r="K515" s="121"/>
      <c r="L515" s="121"/>
      <c r="M515" s="121"/>
      <c r="N515" s="121"/>
      <c r="O515" s="121"/>
      <c r="P515" s="121"/>
      <c r="Q515" s="121"/>
      <c r="R515" s="121"/>
      <c r="S515" s="121"/>
      <c r="T515" s="121"/>
      <c r="U515" s="121"/>
      <c r="V515" s="121"/>
      <c r="W515" s="121"/>
      <c r="X515" s="121"/>
      <c r="Y515" s="121"/>
      <c r="Z515" s="121"/>
    </row>
    <row r="516" spans="1:26" ht="11.25" customHeight="1" x14ac:dyDescent="0.3">
      <c r="A516" s="121"/>
      <c r="B516" s="121"/>
      <c r="C516" s="121"/>
      <c r="D516" s="121"/>
      <c r="E516" s="121"/>
      <c r="F516" s="121"/>
      <c r="G516" s="121"/>
      <c r="H516" s="121"/>
      <c r="I516" s="121"/>
      <c r="J516" s="121"/>
      <c r="K516" s="121"/>
      <c r="L516" s="121"/>
      <c r="M516" s="121"/>
      <c r="N516" s="121"/>
      <c r="O516" s="121"/>
      <c r="P516" s="121"/>
      <c r="Q516" s="121"/>
      <c r="R516" s="121"/>
      <c r="S516" s="121"/>
      <c r="T516" s="121"/>
      <c r="U516" s="121"/>
      <c r="V516" s="121"/>
      <c r="W516" s="121"/>
      <c r="X516" s="121"/>
      <c r="Y516" s="121"/>
      <c r="Z516" s="121"/>
    </row>
    <row r="517" spans="1:26" ht="11.25" customHeight="1" x14ac:dyDescent="0.3">
      <c r="A517" s="121"/>
      <c r="B517" s="121"/>
      <c r="C517" s="121"/>
      <c r="D517" s="121"/>
      <c r="E517" s="121"/>
      <c r="F517" s="121"/>
      <c r="G517" s="121"/>
      <c r="H517" s="121"/>
      <c r="I517" s="121"/>
      <c r="J517" s="121"/>
      <c r="K517" s="121"/>
      <c r="L517" s="121"/>
      <c r="M517" s="121"/>
      <c r="N517" s="121"/>
      <c r="O517" s="121"/>
      <c r="P517" s="121"/>
      <c r="Q517" s="121"/>
      <c r="R517" s="121"/>
      <c r="S517" s="121"/>
      <c r="T517" s="121"/>
      <c r="U517" s="121"/>
      <c r="V517" s="121"/>
      <c r="W517" s="121"/>
      <c r="X517" s="121"/>
      <c r="Y517" s="121"/>
      <c r="Z517" s="121"/>
    </row>
    <row r="518" spans="1:26" ht="11.25" customHeight="1" x14ac:dyDescent="0.3">
      <c r="A518" s="121"/>
      <c r="B518" s="121"/>
      <c r="C518" s="121"/>
      <c r="D518" s="121"/>
      <c r="E518" s="121"/>
      <c r="F518" s="121"/>
      <c r="G518" s="121"/>
      <c r="H518" s="121"/>
      <c r="I518" s="121"/>
      <c r="J518" s="121"/>
      <c r="K518" s="121"/>
      <c r="L518" s="121"/>
      <c r="M518" s="121"/>
      <c r="N518" s="121"/>
      <c r="O518" s="121"/>
      <c r="P518" s="121"/>
      <c r="Q518" s="121"/>
      <c r="R518" s="121"/>
      <c r="S518" s="121"/>
      <c r="T518" s="121"/>
      <c r="U518" s="121"/>
      <c r="V518" s="121"/>
      <c r="W518" s="121"/>
      <c r="X518" s="121"/>
      <c r="Y518" s="121"/>
      <c r="Z518" s="121"/>
    </row>
    <row r="519" spans="1:26" ht="11.25" customHeight="1" x14ac:dyDescent="0.3">
      <c r="A519" s="121"/>
      <c r="B519" s="121"/>
      <c r="C519" s="121"/>
      <c r="D519" s="121"/>
      <c r="E519" s="121"/>
      <c r="F519" s="121"/>
      <c r="G519" s="121"/>
      <c r="H519" s="121"/>
      <c r="I519" s="121"/>
      <c r="J519" s="121"/>
      <c r="K519" s="121"/>
      <c r="L519" s="121"/>
      <c r="M519" s="121"/>
      <c r="N519" s="121"/>
      <c r="O519" s="121"/>
      <c r="P519" s="121"/>
      <c r="Q519" s="121"/>
      <c r="R519" s="121"/>
      <c r="S519" s="121"/>
      <c r="T519" s="121"/>
      <c r="U519" s="121"/>
      <c r="V519" s="121"/>
      <c r="W519" s="121"/>
      <c r="X519" s="121"/>
      <c r="Y519" s="121"/>
      <c r="Z519" s="121"/>
    </row>
    <row r="520" spans="1:26" ht="11.25" customHeight="1" x14ac:dyDescent="0.3">
      <c r="A520" s="121"/>
      <c r="B520" s="121"/>
      <c r="C520" s="121"/>
      <c r="D520" s="121"/>
      <c r="E520" s="121"/>
      <c r="F520" s="121"/>
      <c r="G520" s="121"/>
      <c r="H520" s="121"/>
      <c r="I520" s="121"/>
      <c r="J520" s="121"/>
      <c r="K520" s="121"/>
      <c r="L520" s="121"/>
      <c r="M520" s="121"/>
      <c r="N520" s="121"/>
      <c r="O520" s="121"/>
      <c r="P520" s="121"/>
      <c r="Q520" s="121"/>
      <c r="R520" s="121"/>
      <c r="S520" s="121"/>
      <c r="T520" s="121"/>
      <c r="U520" s="121"/>
      <c r="V520" s="121"/>
      <c r="W520" s="121"/>
      <c r="X520" s="121"/>
      <c r="Y520" s="121"/>
      <c r="Z520" s="121"/>
    </row>
    <row r="521" spans="1:26" ht="11.25" customHeight="1" x14ac:dyDescent="0.3">
      <c r="A521" s="121"/>
      <c r="B521" s="121"/>
      <c r="C521" s="121"/>
      <c r="D521" s="121"/>
      <c r="E521" s="121"/>
      <c r="F521" s="121"/>
      <c r="G521" s="121"/>
      <c r="H521" s="121"/>
      <c r="I521" s="121"/>
      <c r="J521" s="121"/>
      <c r="K521" s="121"/>
      <c r="L521" s="121"/>
      <c r="M521" s="121"/>
      <c r="N521" s="121"/>
      <c r="O521" s="121"/>
      <c r="P521" s="121"/>
      <c r="Q521" s="121"/>
      <c r="R521" s="121"/>
      <c r="S521" s="121"/>
      <c r="T521" s="121"/>
      <c r="U521" s="121"/>
      <c r="V521" s="121"/>
      <c r="W521" s="121"/>
      <c r="X521" s="121"/>
      <c r="Y521" s="121"/>
      <c r="Z521" s="121"/>
    </row>
    <row r="522" spans="1:26" ht="11.25" customHeight="1" x14ac:dyDescent="0.3">
      <c r="A522" s="121"/>
      <c r="B522" s="121"/>
      <c r="C522" s="121"/>
      <c r="D522" s="121"/>
      <c r="E522" s="121"/>
      <c r="F522" s="121"/>
      <c r="G522" s="121"/>
      <c r="H522" s="121"/>
      <c r="I522" s="121"/>
      <c r="J522" s="121"/>
      <c r="K522" s="121"/>
      <c r="L522" s="121"/>
      <c r="M522" s="121"/>
      <c r="N522" s="121"/>
      <c r="O522" s="121"/>
      <c r="P522" s="121"/>
      <c r="Q522" s="121"/>
      <c r="R522" s="121"/>
      <c r="S522" s="121"/>
      <c r="T522" s="121"/>
      <c r="U522" s="121"/>
      <c r="V522" s="121"/>
      <c r="W522" s="121"/>
      <c r="X522" s="121"/>
      <c r="Y522" s="121"/>
      <c r="Z522" s="121"/>
    </row>
    <row r="523" spans="1:26" ht="11.25" customHeight="1" x14ac:dyDescent="0.3">
      <c r="A523" s="121"/>
      <c r="B523" s="121"/>
      <c r="C523" s="121"/>
      <c r="D523" s="121"/>
      <c r="E523" s="121"/>
      <c r="F523" s="121"/>
      <c r="G523" s="121"/>
      <c r="H523" s="121"/>
      <c r="I523" s="121"/>
      <c r="J523" s="121"/>
      <c r="K523" s="121"/>
      <c r="L523" s="121"/>
      <c r="M523" s="121"/>
      <c r="N523" s="121"/>
      <c r="O523" s="121"/>
      <c r="P523" s="121"/>
      <c r="Q523" s="121"/>
      <c r="R523" s="121"/>
      <c r="S523" s="121"/>
      <c r="T523" s="121"/>
      <c r="U523" s="121"/>
      <c r="V523" s="121"/>
      <c r="W523" s="121"/>
      <c r="X523" s="121"/>
      <c r="Y523" s="121"/>
      <c r="Z523" s="121"/>
    </row>
    <row r="524" spans="1:26" ht="11.25" customHeight="1" x14ac:dyDescent="0.3">
      <c r="A524" s="121"/>
      <c r="B524" s="121"/>
      <c r="C524" s="121"/>
      <c r="D524" s="121"/>
      <c r="E524" s="121"/>
      <c r="F524" s="121"/>
      <c r="G524" s="121"/>
      <c r="H524" s="121"/>
      <c r="I524" s="121"/>
      <c r="J524" s="121"/>
      <c r="K524" s="121"/>
      <c r="L524" s="121"/>
      <c r="M524" s="121"/>
      <c r="N524" s="121"/>
      <c r="O524" s="121"/>
      <c r="P524" s="121"/>
      <c r="Q524" s="121"/>
      <c r="R524" s="121"/>
      <c r="S524" s="121"/>
      <c r="T524" s="121"/>
      <c r="U524" s="121"/>
      <c r="V524" s="121"/>
      <c r="W524" s="121"/>
      <c r="X524" s="121"/>
      <c r="Y524" s="121"/>
      <c r="Z524" s="121"/>
    </row>
    <row r="525" spans="1:26" ht="11.25" customHeight="1" x14ac:dyDescent="0.3">
      <c r="A525" s="121"/>
      <c r="B525" s="121"/>
      <c r="C525" s="121"/>
      <c r="D525" s="121"/>
      <c r="E525" s="121"/>
      <c r="F525" s="121"/>
      <c r="G525" s="121"/>
      <c r="H525" s="121"/>
      <c r="I525" s="121"/>
      <c r="J525" s="121"/>
      <c r="K525" s="121"/>
      <c r="L525" s="121"/>
      <c r="M525" s="121"/>
      <c r="N525" s="121"/>
      <c r="O525" s="121"/>
      <c r="P525" s="121"/>
      <c r="Q525" s="121"/>
      <c r="R525" s="121"/>
      <c r="S525" s="121"/>
      <c r="T525" s="121"/>
      <c r="U525" s="121"/>
      <c r="V525" s="121"/>
      <c r="W525" s="121"/>
      <c r="X525" s="121"/>
      <c r="Y525" s="121"/>
      <c r="Z525" s="121"/>
    </row>
    <row r="526" spans="1:26" ht="11.25" customHeight="1" x14ac:dyDescent="0.3">
      <c r="A526" s="121"/>
      <c r="B526" s="121"/>
      <c r="C526" s="121"/>
      <c r="D526" s="121"/>
      <c r="E526" s="121"/>
      <c r="F526" s="121"/>
      <c r="G526" s="121"/>
      <c r="H526" s="121"/>
      <c r="I526" s="121"/>
      <c r="J526" s="121"/>
      <c r="K526" s="121"/>
      <c r="L526" s="121"/>
      <c r="M526" s="121"/>
      <c r="N526" s="121"/>
      <c r="O526" s="121"/>
      <c r="P526" s="121"/>
      <c r="Q526" s="121"/>
      <c r="R526" s="121"/>
      <c r="S526" s="121"/>
      <c r="T526" s="121"/>
      <c r="U526" s="121"/>
      <c r="V526" s="121"/>
      <c r="W526" s="121"/>
      <c r="X526" s="121"/>
      <c r="Y526" s="121"/>
      <c r="Z526" s="121"/>
    </row>
    <row r="527" spans="1:26" ht="11.25" customHeight="1" x14ac:dyDescent="0.3">
      <c r="A527" s="121"/>
      <c r="B527" s="121"/>
      <c r="C527" s="121"/>
      <c r="D527" s="121"/>
      <c r="E527" s="121"/>
      <c r="F527" s="121"/>
      <c r="G527" s="121"/>
      <c r="H527" s="121"/>
      <c r="I527" s="121"/>
      <c r="J527" s="121"/>
      <c r="K527" s="121"/>
      <c r="L527" s="121"/>
      <c r="M527" s="121"/>
      <c r="N527" s="121"/>
      <c r="O527" s="121"/>
      <c r="P527" s="121"/>
      <c r="Q527" s="121"/>
      <c r="R527" s="121"/>
      <c r="S527" s="121"/>
      <c r="T527" s="121"/>
      <c r="U527" s="121"/>
      <c r="V527" s="121"/>
      <c r="W527" s="121"/>
      <c r="X527" s="121"/>
      <c r="Y527" s="121"/>
      <c r="Z527" s="121"/>
    </row>
    <row r="528" spans="1:26" ht="11.25" customHeight="1" x14ac:dyDescent="0.3">
      <c r="A528" s="121"/>
      <c r="B528" s="121"/>
      <c r="C528" s="121"/>
      <c r="D528" s="121"/>
      <c r="E528" s="121"/>
      <c r="F528" s="121"/>
      <c r="G528" s="121"/>
      <c r="H528" s="121"/>
      <c r="I528" s="121"/>
      <c r="J528" s="121"/>
      <c r="K528" s="121"/>
      <c r="L528" s="121"/>
      <c r="M528" s="121"/>
      <c r="N528" s="121"/>
      <c r="O528" s="121"/>
      <c r="P528" s="121"/>
      <c r="Q528" s="121"/>
      <c r="R528" s="121"/>
      <c r="S528" s="121"/>
      <c r="T528" s="121"/>
      <c r="U528" s="121"/>
      <c r="V528" s="121"/>
      <c r="W528" s="121"/>
      <c r="X528" s="121"/>
      <c r="Y528" s="121"/>
      <c r="Z528" s="121"/>
    </row>
    <row r="529" spans="1:26" ht="11.25" customHeight="1" x14ac:dyDescent="0.3">
      <c r="A529" s="121"/>
      <c r="B529" s="121"/>
      <c r="C529" s="121"/>
      <c r="D529" s="121"/>
      <c r="E529" s="121"/>
      <c r="F529" s="121"/>
      <c r="G529" s="121"/>
      <c r="H529" s="121"/>
      <c r="I529" s="121"/>
      <c r="J529" s="121"/>
      <c r="K529" s="121"/>
      <c r="L529" s="121"/>
      <c r="M529" s="121"/>
      <c r="N529" s="121"/>
      <c r="O529" s="121"/>
      <c r="P529" s="121"/>
      <c r="Q529" s="121"/>
      <c r="R529" s="121"/>
      <c r="S529" s="121"/>
      <c r="T529" s="121"/>
      <c r="U529" s="121"/>
      <c r="V529" s="121"/>
      <c r="W529" s="121"/>
      <c r="X529" s="121"/>
      <c r="Y529" s="121"/>
      <c r="Z529" s="121"/>
    </row>
    <row r="530" spans="1:26" ht="11.25" customHeight="1" x14ac:dyDescent="0.3">
      <c r="A530" s="121"/>
      <c r="B530" s="121"/>
      <c r="C530" s="121"/>
      <c r="D530" s="121"/>
      <c r="E530" s="121"/>
      <c r="F530" s="121"/>
      <c r="G530" s="121"/>
      <c r="H530" s="121"/>
      <c r="I530" s="121"/>
      <c r="J530" s="121"/>
      <c r="K530" s="121"/>
      <c r="L530" s="121"/>
      <c r="M530" s="121"/>
      <c r="N530" s="121"/>
      <c r="O530" s="121"/>
      <c r="P530" s="121"/>
      <c r="Q530" s="121"/>
      <c r="R530" s="121"/>
      <c r="S530" s="121"/>
      <c r="T530" s="121"/>
      <c r="U530" s="121"/>
      <c r="V530" s="121"/>
      <c r="W530" s="121"/>
      <c r="X530" s="121"/>
      <c r="Y530" s="121"/>
      <c r="Z530" s="121"/>
    </row>
    <row r="531" spans="1:26" ht="11.25" customHeight="1" x14ac:dyDescent="0.3">
      <c r="A531" s="121"/>
      <c r="B531" s="121"/>
      <c r="C531" s="121"/>
      <c r="D531" s="121"/>
      <c r="E531" s="121"/>
      <c r="F531" s="121"/>
      <c r="G531" s="121"/>
      <c r="H531" s="121"/>
      <c r="I531" s="121"/>
      <c r="J531" s="121"/>
      <c r="K531" s="121"/>
      <c r="L531" s="121"/>
      <c r="M531" s="121"/>
      <c r="N531" s="121"/>
      <c r="O531" s="121"/>
      <c r="P531" s="121"/>
      <c r="Q531" s="121"/>
      <c r="R531" s="121"/>
      <c r="S531" s="121"/>
      <c r="T531" s="121"/>
      <c r="U531" s="121"/>
      <c r="V531" s="121"/>
      <c r="W531" s="121"/>
      <c r="X531" s="121"/>
      <c r="Y531" s="121"/>
      <c r="Z531" s="121"/>
    </row>
    <row r="532" spans="1:26" ht="11.25" customHeight="1" x14ac:dyDescent="0.3">
      <c r="A532" s="121"/>
      <c r="B532" s="121"/>
      <c r="C532" s="121"/>
      <c r="D532" s="121"/>
      <c r="E532" s="121"/>
      <c r="F532" s="121"/>
      <c r="G532" s="121"/>
      <c r="H532" s="121"/>
      <c r="I532" s="121"/>
      <c r="J532" s="121"/>
      <c r="K532" s="121"/>
      <c r="L532" s="121"/>
      <c r="M532" s="121"/>
      <c r="N532" s="121"/>
      <c r="O532" s="121"/>
      <c r="P532" s="121"/>
      <c r="Q532" s="121"/>
      <c r="R532" s="121"/>
      <c r="S532" s="121"/>
      <c r="T532" s="121"/>
      <c r="U532" s="121"/>
      <c r="V532" s="121"/>
      <c r="W532" s="121"/>
      <c r="X532" s="121"/>
      <c r="Y532" s="121"/>
      <c r="Z532" s="121"/>
    </row>
    <row r="533" spans="1:26" ht="11.25" customHeight="1" x14ac:dyDescent="0.3">
      <c r="A533" s="121"/>
      <c r="B533" s="121"/>
      <c r="C533" s="121"/>
      <c r="D533" s="121"/>
      <c r="E533" s="121"/>
      <c r="F533" s="121"/>
      <c r="G533" s="121"/>
      <c r="H533" s="121"/>
      <c r="I533" s="121"/>
      <c r="J533" s="121"/>
      <c r="K533" s="121"/>
      <c r="L533" s="121"/>
      <c r="M533" s="121"/>
      <c r="N533" s="121"/>
      <c r="O533" s="121"/>
      <c r="P533" s="121"/>
      <c r="Q533" s="121"/>
      <c r="R533" s="121"/>
      <c r="S533" s="121"/>
      <c r="T533" s="121"/>
      <c r="U533" s="121"/>
      <c r="V533" s="121"/>
      <c r="W533" s="121"/>
      <c r="X533" s="121"/>
      <c r="Y533" s="121"/>
      <c r="Z533" s="121"/>
    </row>
    <row r="534" spans="1:26" ht="11.25" customHeight="1" x14ac:dyDescent="0.3">
      <c r="A534" s="121"/>
      <c r="B534" s="121"/>
      <c r="C534" s="121"/>
      <c r="D534" s="121"/>
      <c r="E534" s="121"/>
      <c r="F534" s="121"/>
      <c r="G534" s="121"/>
      <c r="H534" s="121"/>
      <c r="I534" s="121"/>
      <c r="J534" s="121"/>
      <c r="K534" s="121"/>
      <c r="L534" s="121"/>
      <c r="M534" s="121"/>
      <c r="N534" s="121"/>
      <c r="O534" s="121"/>
      <c r="P534" s="121"/>
      <c r="Q534" s="121"/>
      <c r="R534" s="121"/>
      <c r="S534" s="121"/>
      <c r="T534" s="121"/>
      <c r="U534" s="121"/>
      <c r="V534" s="121"/>
      <c r="W534" s="121"/>
      <c r="X534" s="121"/>
      <c r="Y534" s="121"/>
      <c r="Z534" s="121"/>
    </row>
    <row r="535" spans="1:26" ht="11.25" customHeight="1" x14ac:dyDescent="0.3">
      <c r="A535" s="121"/>
      <c r="B535" s="121"/>
      <c r="C535" s="121"/>
      <c r="D535" s="121"/>
      <c r="E535" s="121"/>
      <c r="F535" s="121"/>
      <c r="G535" s="121"/>
      <c r="H535" s="121"/>
      <c r="I535" s="121"/>
      <c r="J535" s="121"/>
      <c r="K535" s="121"/>
      <c r="L535" s="121"/>
      <c r="M535" s="121"/>
      <c r="N535" s="121"/>
      <c r="O535" s="121"/>
      <c r="P535" s="121"/>
      <c r="Q535" s="121"/>
      <c r="R535" s="121"/>
      <c r="S535" s="121"/>
      <c r="T535" s="121"/>
      <c r="U535" s="121"/>
      <c r="V535" s="121"/>
      <c r="W535" s="121"/>
      <c r="X535" s="121"/>
      <c r="Y535" s="121"/>
      <c r="Z535" s="121"/>
    </row>
    <row r="536" spans="1:26" ht="11.25" customHeight="1" x14ac:dyDescent="0.3">
      <c r="A536" s="121"/>
      <c r="B536" s="121"/>
      <c r="C536" s="121"/>
      <c r="D536" s="121"/>
      <c r="E536" s="121"/>
      <c r="F536" s="121"/>
      <c r="G536" s="121"/>
      <c r="H536" s="121"/>
      <c r="I536" s="121"/>
      <c r="J536" s="121"/>
      <c r="K536" s="121"/>
      <c r="L536" s="121"/>
      <c r="M536" s="121"/>
      <c r="N536" s="121"/>
      <c r="O536" s="121"/>
      <c r="P536" s="121"/>
      <c r="Q536" s="121"/>
      <c r="R536" s="121"/>
      <c r="S536" s="121"/>
      <c r="T536" s="121"/>
      <c r="U536" s="121"/>
      <c r="V536" s="121"/>
      <c r="W536" s="121"/>
      <c r="X536" s="121"/>
      <c r="Y536" s="121"/>
      <c r="Z536" s="121"/>
    </row>
    <row r="537" spans="1:26" ht="11.25" customHeight="1" x14ac:dyDescent="0.3">
      <c r="A537" s="121"/>
      <c r="B537" s="121"/>
      <c r="C537" s="121"/>
      <c r="D537" s="121"/>
      <c r="E537" s="121"/>
      <c r="F537" s="121"/>
      <c r="G537" s="121"/>
      <c r="H537" s="121"/>
      <c r="I537" s="121"/>
      <c r="J537" s="121"/>
      <c r="K537" s="121"/>
      <c r="L537" s="121"/>
      <c r="M537" s="121"/>
      <c r="N537" s="121"/>
      <c r="O537" s="121"/>
      <c r="P537" s="121"/>
      <c r="Q537" s="121"/>
      <c r="R537" s="121"/>
      <c r="S537" s="121"/>
      <c r="T537" s="121"/>
      <c r="U537" s="121"/>
      <c r="V537" s="121"/>
      <c r="W537" s="121"/>
      <c r="X537" s="121"/>
      <c r="Y537" s="121"/>
      <c r="Z537" s="121"/>
    </row>
    <row r="538" spans="1:26" ht="11.25" customHeight="1" x14ac:dyDescent="0.3">
      <c r="A538" s="121"/>
      <c r="B538" s="121"/>
      <c r="C538" s="121"/>
      <c r="D538" s="121"/>
      <c r="E538" s="121"/>
      <c r="F538" s="121"/>
      <c r="G538" s="121"/>
      <c r="H538" s="121"/>
      <c r="I538" s="121"/>
      <c r="J538" s="121"/>
      <c r="K538" s="121"/>
      <c r="L538" s="121"/>
      <c r="M538" s="121"/>
      <c r="N538" s="121"/>
      <c r="O538" s="121"/>
      <c r="P538" s="121"/>
      <c r="Q538" s="121"/>
      <c r="R538" s="121"/>
      <c r="S538" s="121"/>
      <c r="T538" s="121"/>
      <c r="U538" s="121"/>
      <c r="V538" s="121"/>
      <c r="W538" s="121"/>
      <c r="X538" s="121"/>
      <c r="Y538" s="121"/>
      <c r="Z538" s="121"/>
    </row>
    <row r="539" spans="1:26" ht="11.25" customHeight="1" x14ac:dyDescent="0.3">
      <c r="A539" s="121"/>
      <c r="B539" s="121"/>
      <c r="C539" s="121"/>
      <c r="D539" s="121"/>
      <c r="E539" s="121"/>
      <c r="F539" s="121"/>
      <c r="G539" s="121"/>
      <c r="H539" s="121"/>
      <c r="I539" s="121"/>
      <c r="J539" s="121"/>
      <c r="K539" s="121"/>
      <c r="L539" s="121"/>
      <c r="M539" s="121"/>
      <c r="N539" s="121"/>
      <c r="O539" s="121"/>
      <c r="P539" s="121"/>
      <c r="Q539" s="121"/>
      <c r="R539" s="121"/>
      <c r="S539" s="121"/>
      <c r="T539" s="121"/>
      <c r="U539" s="121"/>
      <c r="V539" s="121"/>
      <c r="W539" s="121"/>
      <c r="X539" s="121"/>
      <c r="Y539" s="121"/>
      <c r="Z539" s="121"/>
    </row>
    <row r="540" spans="1:26" ht="11.25" customHeight="1" x14ac:dyDescent="0.3">
      <c r="A540" s="121"/>
      <c r="B540" s="121"/>
      <c r="C540" s="121"/>
      <c r="D540" s="121"/>
      <c r="E540" s="121"/>
      <c r="F540" s="121"/>
      <c r="G540" s="121"/>
      <c r="H540" s="121"/>
      <c r="I540" s="121"/>
      <c r="J540" s="121"/>
      <c r="K540" s="121"/>
      <c r="L540" s="121"/>
      <c r="M540" s="121"/>
      <c r="N540" s="121"/>
      <c r="O540" s="121"/>
      <c r="P540" s="121"/>
      <c r="Q540" s="121"/>
      <c r="R540" s="121"/>
      <c r="S540" s="121"/>
      <c r="T540" s="121"/>
      <c r="U540" s="121"/>
      <c r="V540" s="121"/>
      <c r="W540" s="121"/>
      <c r="X540" s="121"/>
      <c r="Y540" s="121"/>
      <c r="Z540" s="121"/>
    </row>
    <row r="541" spans="1:26" ht="11.25" customHeight="1" x14ac:dyDescent="0.3">
      <c r="A541" s="121"/>
      <c r="B541" s="121"/>
      <c r="C541" s="121"/>
      <c r="D541" s="121"/>
      <c r="E541" s="121"/>
      <c r="F541" s="121"/>
      <c r="G541" s="121"/>
      <c r="H541" s="121"/>
      <c r="I541" s="121"/>
      <c r="J541" s="121"/>
      <c r="K541" s="121"/>
      <c r="L541" s="121"/>
      <c r="M541" s="121"/>
      <c r="N541" s="121"/>
      <c r="O541" s="121"/>
      <c r="P541" s="121"/>
      <c r="Q541" s="121"/>
      <c r="R541" s="121"/>
      <c r="S541" s="121"/>
      <c r="T541" s="121"/>
      <c r="U541" s="121"/>
      <c r="V541" s="121"/>
      <c r="W541" s="121"/>
      <c r="X541" s="121"/>
      <c r="Y541" s="121"/>
      <c r="Z541" s="121"/>
    </row>
    <row r="542" spans="1:26" ht="11.25" customHeight="1" x14ac:dyDescent="0.3">
      <c r="A542" s="121"/>
      <c r="B542" s="121"/>
      <c r="C542" s="121"/>
      <c r="D542" s="121"/>
      <c r="E542" s="121"/>
      <c r="F542" s="121"/>
      <c r="G542" s="121"/>
      <c r="H542" s="121"/>
      <c r="I542" s="121"/>
      <c r="J542" s="121"/>
      <c r="K542" s="121"/>
      <c r="L542" s="121"/>
      <c r="M542" s="121"/>
      <c r="N542" s="121"/>
      <c r="O542" s="121"/>
      <c r="P542" s="121"/>
      <c r="Q542" s="121"/>
      <c r="R542" s="121"/>
      <c r="S542" s="121"/>
      <c r="T542" s="121"/>
      <c r="U542" s="121"/>
      <c r="V542" s="121"/>
      <c r="W542" s="121"/>
      <c r="X542" s="121"/>
      <c r="Y542" s="121"/>
      <c r="Z542" s="121"/>
    </row>
    <row r="543" spans="1:26" ht="11.25" customHeight="1" x14ac:dyDescent="0.3">
      <c r="A543" s="121"/>
      <c r="B543" s="121"/>
      <c r="C543" s="121"/>
      <c r="D543" s="121"/>
      <c r="E543" s="121"/>
      <c r="F543" s="121"/>
      <c r="G543" s="121"/>
      <c r="H543" s="121"/>
      <c r="I543" s="121"/>
      <c r="J543" s="121"/>
      <c r="K543" s="121"/>
      <c r="L543" s="121"/>
      <c r="M543" s="121"/>
      <c r="N543" s="121"/>
      <c r="O543" s="121"/>
      <c r="P543" s="121"/>
      <c r="Q543" s="121"/>
      <c r="R543" s="121"/>
      <c r="S543" s="121"/>
      <c r="T543" s="121"/>
      <c r="U543" s="121"/>
      <c r="V543" s="121"/>
      <c r="W543" s="121"/>
      <c r="X543" s="121"/>
      <c r="Y543" s="121"/>
      <c r="Z543" s="121"/>
    </row>
    <row r="544" spans="1:26" ht="11.25" customHeight="1" x14ac:dyDescent="0.3">
      <c r="A544" s="121"/>
      <c r="B544" s="121"/>
      <c r="C544" s="121"/>
      <c r="D544" s="121"/>
      <c r="E544" s="121"/>
      <c r="F544" s="121"/>
      <c r="G544" s="121"/>
      <c r="H544" s="121"/>
      <c r="I544" s="121"/>
      <c r="J544" s="121"/>
      <c r="K544" s="121"/>
      <c r="L544" s="121"/>
      <c r="M544" s="121"/>
      <c r="N544" s="121"/>
      <c r="O544" s="121"/>
      <c r="P544" s="121"/>
      <c r="Q544" s="121"/>
      <c r="R544" s="121"/>
      <c r="S544" s="121"/>
      <c r="T544" s="121"/>
      <c r="U544" s="121"/>
      <c r="V544" s="121"/>
      <c r="W544" s="121"/>
      <c r="X544" s="121"/>
      <c r="Y544" s="121"/>
      <c r="Z544" s="121"/>
    </row>
    <row r="545" spans="1:26" ht="11.25" customHeight="1" x14ac:dyDescent="0.3">
      <c r="A545" s="121"/>
      <c r="B545" s="121"/>
      <c r="C545" s="121"/>
      <c r="D545" s="121"/>
      <c r="E545" s="121"/>
      <c r="F545" s="121"/>
      <c r="G545" s="121"/>
      <c r="H545" s="121"/>
      <c r="I545" s="121"/>
      <c r="J545" s="121"/>
      <c r="K545" s="121"/>
      <c r="L545" s="121"/>
      <c r="M545" s="121"/>
      <c r="N545" s="121"/>
      <c r="O545" s="121"/>
      <c r="P545" s="121"/>
      <c r="Q545" s="121"/>
      <c r="R545" s="121"/>
      <c r="S545" s="121"/>
      <c r="T545" s="121"/>
      <c r="U545" s="121"/>
      <c r="V545" s="121"/>
      <c r="W545" s="121"/>
      <c r="X545" s="121"/>
      <c r="Y545" s="121"/>
      <c r="Z545" s="121"/>
    </row>
    <row r="546" spans="1:26" ht="11.25" customHeight="1" x14ac:dyDescent="0.3">
      <c r="A546" s="121"/>
      <c r="B546" s="121"/>
      <c r="C546" s="121"/>
      <c r="D546" s="121"/>
      <c r="E546" s="121"/>
      <c r="F546" s="121"/>
      <c r="G546" s="121"/>
      <c r="H546" s="121"/>
      <c r="I546" s="121"/>
      <c r="J546" s="121"/>
      <c r="K546" s="121"/>
      <c r="L546" s="121"/>
      <c r="M546" s="121"/>
      <c r="N546" s="121"/>
      <c r="O546" s="121"/>
      <c r="P546" s="121"/>
      <c r="Q546" s="121"/>
      <c r="R546" s="121"/>
      <c r="S546" s="121"/>
      <c r="T546" s="121"/>
      <c r="U546" s="121"/>
      <c r="V546" s="121"/>
      <c r="W546" s="121"/>
      <c r="X546" s="121"/>
      <c r="Y546" s="121"/>
      <c r="Z546" s="121"/>
    </row>
    <row r="547" spans="1:26" ht="11.25" customHeight="1" x14ac:dyDescent="0.3">
      <c r="A547" s="121"/>
      <c r="B547" s="121"/>
      <c r="C547" s="121"/>
      <c r="D547" s="121"/>
      <c r="E547" s="121"/>
      <c r="F547" s="121"/>
      <c r="G547" s="121"/>
      <c r="H547" s="121"/>
      <c r="I547" s="121"/>
      <c r="J547" s="121"/>
      <c r="K547" s="121"/>
      <c r="L547" s="121"/>
      <c r="M547" s="121"/>
      <c r="N547" s="121"/>
      <c r="O547" s="121"/>
      <c r="P547" s="121"/>
      <c r="Q547" s="121"/>
      <c r="R547" s="121"/>
      <c r="S547" s="121"/>
      <c r="T547" s="121"/>
      <c r="U547" s="121"/>
      <c r="V547" s="121"/>
      <c r="W547" s="121"/>
      <c r="X547" s="121"/>
      <c r="Y547" s="121"/>
      <c r="Z547" s="121"/>
    </row>
    <row r="548" spans="1:26" ht="11.25" customHeight="1" x14ac:dyDescent="0.3">
      <c r="A548" s="121"/>
      <c r="B548" s="121"/>
      <c r="C548" s="121"/>
      <c r="D548" s="121"/>
      <c r="E548" s="121"/>
      <c r="F548" s="121"/>
      <c r="G548" s="121"/>
      <c r="H548" s="121"/>
      <c r="I548" s="121"/>
      <c r="J548" s="121"/>
      <c r="K548" s="121"/>
      <c r="L548" s="121"/>
      <c r="M548" s="121"/>
      <c r="N548" s="121"/>
      <c r="O548" s="121"/>
      <c r="P548" s="121"/>
      <c r="Q548" s="121"/>
      <c r="R548" s="121"/>
      <c r="S548" s="121"/>
      <c r="T548" s="121"/>
      <c r="U548" s="121"/>
      <c r="V548" s="121"/>
      <c r="W548" s="121"/>
      <c r="X548" s="121"/>
      <c r="Y548" s="121"/>
      <c r="Z548" s="121"/>
    </row>
    <row r="549" spans="1:26" ht="11.25" customHeight="1" x14ac:dyDescent="0.3">
      <c r="A549" s="121"/>
      <c r="B549" s="121"/>
      <c r="C549" s="121"/>
      <c r="D549" s="121"/>
      <c r="E549" s="121"/>
      <c r="F549" s="121"/>
      <c r="G549" s="121"/>
      <c r="H549" s="121"/>
      <c r="I549" s="121"/>
      <c r="J549" s="121"/>
      <c r="K549" s="121"/>
      <c r="L549" s="121"/>
      <c r="M549" s="121"/>
      <c r="N549" s="121"/>
      <c r="O549" s="121"/>
      <c r="P549" s="121"/>
      <c r="Q549" s="121"/>
      <c r="R549" s="121"/>
      <c r="S549" s="121"/>
      <c r="T549" s="121"/>
      <c r="U549" s="121"/>
      <c r="V549" s="121"/>
      <c r="W549" s="121"/>
      <c r="X549" s="121"/>
      <c r="Y549" s="121"/>
      <c r="Z549" s="121"/>
    </row>
    <row r="550" spans="1:26" ht="11.25" customHeight="1" x14ac:dyDescent="0.3">
      <c r="A550" s="121"/>
      <c r="B550" s="121"/>
      <c r="C550" s="121"/>
      <c r="D550" s="121"/>
      <c r="E550" s="121"/>
      <c r="F550" s="121"/>
      <c r="G550" s="121"/>
      <c r="H550" s="121"/>
      <c r="I550" s="121"/>
      <c r="J550" s="121"/>
      <c r="K550" s="121"/>
      <c r="L550" s="121"/>
      <c r="M550" s="121"/>
      <c r="N550" s="121"/>
      <c r="O550" s="121"/>
      <c r="P550" s="121"/>
      <c r="Q550" s="121"/>
      <c r="R550" s="121"/>
      <c r="S550" s="121"/>
      <c r="T550" s="121"/>
      <c r="U550" s="121"/>
      <c r="V550" s="121"/>
      <c r="W550" s="121"/>
      <c r="X550" s="121"/>
      <c r="Y550" s="121"/>
      <c r="Z550" s="121"/>
    </row>
    <row r="551" spans="1:26" ht="11.25" customHeight="1" x14ac:dyDescent="0.3">
      <c r="A551" s="121"/>
      <c r="B551" s="121"/>
      <c r="C551" s="121"/>
      <c r="D551" s="121"/>
      <c r="E551" s="121"/>
      <c r="F551" s="121"/>
      <c r="G551" s="121"/>
      <c r="H551" s="121"/>
      <c r="I551" s="121"/>
      <c r="J551" s="121"/>
      <c r="K551" s="121"/>
      <c r="L551" s="121"/>
      <c r="M551" s="121"/>
      <c r="N551" s="121"/>
      <c r="O551" s="121"/>
      <c r="P551" s="121"/>
      <c r="Q551" s="121"/>
      <c r="R551" s="121"/>
      <c r="S551" s="121"/>
      <c r="T551" s="121"/>
      <c r="U551" s="121"/>
      <c r="V551" s="121"/>
      <c r="W551" s="121"/>
      <c r="X551" s="121"/>
      <c r="Y551" s="121"/>
      <c r="Z551" s="121"/>
    </row>
    <row r="552" spans="1:26" ht="11.25" customHeight="1" x14ac:dyDescent="0.3">
      <c r="A552" s="121"/>
      <c r="B552" s="121"/>
      <c r="C552" s="121"/>
      <c r="D552" s="121"/>
      <c r="E552" s="121"/>
      <c r="F552" s="121"/>
      <c r="G552" s="121"/>
      <c r="H552" s="121"/>
      <c r="I552" s="121"/>
      <c r="J552" s="121"/>
      <c r="K552" s="121"/>
      <c r="L552" s="121"/>
      <c r="M552" s="121"/>
      <c r="N552" s="121"/>
      <c r="O552" s="121"/>
      <c r="P552" s="121"/>
      <c r="Q552" s="121"/>
      <c r="R552" s="121"/>
      <c r="S552" s="121"/>
      <c r="T552" s="121"/>
      <c r="U552" s="121"/>
      <c r="V552" s="121"/>
      <c r="W552" s="121"/>
      <c r="X552" s="121"/>
      <c r="Y552" s="121"/>
      <c r="Z552" s="121"/>
    </row>
    <row r="553" spans="1:26" ht="11.25" customHeight="1" x14ac:dyDescent="0.3">
      <c r="A553" s="121"/>
      <c r="B553" s="121"/>
      <c r="C553" s="121"/>
      <c r="D553" s="121"/>
      <c r="E553" s="121"/>
      <c r="F553" s="121"/>
      <c r="G553" s="121"/>
      <c r="H553" s="121"/>
      <c r="I553" s="121"/>
      <c r="J553" s="121"/>
      <c r="K553" s="121"/>
      <c r="L553" s="121"/>
      <c r="M553" s="121"/>
      <c r="N553" s="121"/>
      <c r="O553" s="121"/>
      <c r="P553" s="121"/>
      <c r="Q553" s="121"/>
      <c r="R553" s="121"/>
      <c r="S553" s="121"/>
      <c r="T553" s="121"/>
      <c r="U553" s="121"/>
      <c r="V553" s="121"/>
      <c r="W553" s="121"/>
      <c r="X553" s="121"/>
      <c r="Y553" s="121"/>
      <c r="Z553" s="121"/>
    </row>
    <row r="554" spans="1:26" ht="11.25" customHeight="1" x14ac:dyDescent="0.3">
      <c r="A554" s="121"/>
      <c r="B554" s="121"/>
      <c r="C554" s="121"/>
      <c r="D554" s="121"/>
      <c r="E554" s="121"/>
      <c r="F554" s="121"/>
      <c r="G554" s="121"/>
      <c r="H554" s="121"/>
      <c r="I554" s="121"/>
      <c r="J554" s="121"/>
      <c r="K554" s="121"/>
      <c r="L554" s="121"/>
      <c r="M554" s="121"/>
      <c r="N554" s="121"/>
      <c r="O554" s="121"/>
      <c r="P554" s="121"/>
      <c r="Q554" s="121"/>
      <c r="R554" s="121"/>
      <c r="S554" s="121"/>
      <c r="T554" s="121"/>
      <c r="U554" s="121"/>
      <c r="V554" s="121"/>
      <c r="W554" s="121"/>
      <c r="X554" s="121"/>
      <c r="Y554" s="121"/>
      <c r="Z554" s="121"/>
    </row>
    <row r="555" spans="1:26" ht="11.25" customHeight="1" x14ac:dyDescent="0.3">
      <c r="A555" s="121"/>
      <c r="B555" s="121"/>
      <c r="C555" s="121"/>
      <c r="D555" s="121"/>
      <c r="E555" s="121"/>
      <c r="F555" s="121"/>
      <c r="G555" s="121"/>
      <c r="H555" s="121"/>
      <c r="I555" s="121"/>
      <c r="J555" s="121"/>
      <c r="K555" s="121"/>
      <c r="L555" s="121"/>
      <c r="M555" s="121"/>
      <c r="N555" s="121"/>
      <c r="O555" s="121"/>
      <c r="P555" s="121"/>
      <c r="Q555" s="121"/>
      <c r="R555" s="121"/>
      <c r="S555" s="121"/>
      <c r="T555" s="121"/>
      <c r="U555" s="121"/>
      <c r="V555" s="121"/>
      <c r="W555" s="121"/>
      <c r="X555" s="121"/>
      <c r="Y555" s="121"/>
      <c r="Z555" s="121"/>
    </row>
    <row r="556" spans="1:26" ht="11.25" customHeight="1" x14ac:dyDescent="0.3">
      <c r="A556" s="121"/>
      <c r="B556" s="121"/>
      <c r="C556" s="121"/>
      <c r="D556" s="121"/>
      <c r="E556" s="121"/>
      <c r="F556" s="121"/>
      <c r="G556" s="121"/>
      <c r="H556" s="121"/>
      <c r="I556" s="121"/>
      <c r="J556" s="121"/>
      <c r="K556" s="121"/>
      <c r="L556" s="121"/>
      <c r="M556" s="121"/>
      <c r="N556" s="121"/>
      <c r="O556" s="121"/>
      <c r="P556" s="121"/>
      <c r="Q556" s="121"/>
      <c r="R556" s="121"/>
      <c r="S556" s="121"/>
      <c r="T556" s="121"/>
      <c r="U556" s="121"/>
      <c r="V556" s="121"/>
      <c r="W556" s="121"/>
      <c r="X556" s="121"/>
      <c r="Y556" s="121"/>
      <c r="Z556" s="121"/>
    </row>
    <row r="557" spans="1:26" ht="11.25" customHeight="1" x14ac:dyDescent="0.3">
      <c r="A557" s="121"/>
      <c r="B557" s="121"/>
      <c r="C557" s="121"/>
      <c r="D557" s="121"/>
      <c r="E557" s="121"/>
      <c r="F557" s="121"/>
      <c r="G557" s="121"/>
      <c r="H557" s="121"/>
      <c r="I557" s="121"/>
      <c r="J557" s="121"/>
      <c r="K557" s="121"/>
      <c r="L557" s="121"/>
      <c r="M557" s="121"/>
      <c r="N557" s="121"/>
      <c r="O557" s="121"/>
      <c r="P557" s="121"/>
      <c r="Q557" s="121"/>
      <c r="R557" s="121"/>
      <c r="S557" s="121"/>
      <c r="T557" s="121"/>
      <c r="U557" s="121"/>
      <c r="V557" s="121"/>
      <c r="W557" s="121"/>
      <c r="X557" s="121"/>
      <c r="Y557" s="121"/>
      <c r="Z557" s="121"/>
    </row>
    <row r="558" spans="1:26" ht="11.25" customHeight="1" x14ac:dyDescent="0.3">
      <c r="A558" s="121"/>
      <c r="B558" s="121"/>
      <c r="C558" s="121"/>
      <c r="D558" s="121"/>
      <c r="E558" s="121"/>
      <c r="F558" s="121"/>
      <c r="G558" s="121"/>
      <c r="H558" s="121"/>
      <c r="I558" s="121"/>
      <c r="J558" s="121"/>
      <c r="K558" s="121"/>
      <c r="L558" s="121"/>
      <c r="M558" s="121"/>
      <c r="N558" s="121"/>
      <c r="O558" s="121"/>
      <c r="P558" s="121"/>
      <c r="Q558" s="121"/>
      <c r="R558" s="121"/>
      <c r="S558" s="121"/>
      <c r="T558" s="121"/>
      <c r="U558" s="121"/>
      <c r="V558" s="121"/>
      <c r="W558" s="121"/>
      <c r="X558" s="121"/>
      <c r="Y558" s="121"/>
      <c r="Z558" s="121"/>
    </row>
    <row r="559" spans="1:26" ht="11.25" customHeight="1" x14ac:dyDescent="0.3">
      <c r="A559" s="121"/>
      <c r="B559" s="121"/>
      <c r="C559" s="121"/>
      <c r="D559" s="121"/>
      <c r="E559" s="121"/>
      <c r="F559" s="121"/>
      <c r="G559" s="121"/>
      <c r="H559" s="121"/>
      <c r="I559" s="121"/>
      <c r="J559" s="121"/>
      <c r="K559" s="121"/>
      <c r="L559" s="121"/>
      <c r="M559" s="121"/>
      <c r="N559" s="121"/>
      <c r="O559" s="121"/>
      <c r="P559" s="121"/>
      <c r="Q559" s="121"/>
      <c r="R559" s="121"/>
      <c r="S559" s="121"/>
      <c r="T559" s="121"/>
      <c r="U559" s="121"/>
      <c r="V559" s="121"/>
      <c r="W559" s="121"/>
      <c r="X559" s="121"/>
      <c r="Y559" s="121"/>
      <c r="Z559" s="121"/>
    </row>
    <row r="560" spans="1:26" ht="11.25" customHeight="1" x14ac:dyDescent="0.3">
      <c r="A560" s="121"/>
      <c r="B560" s="121"/>
      <c r="C560" s="121"/>
      <c r="D560" s="121"/>
      <c r="E560" s="121"/>
      <c r="F560" s="121"/>
      <c r="G560" s="121"/>
      <c r="H560" s="121"/>
      <c r="I560" s="121"/>
      <c r="J560" s="121"/>
      <c r="K560" s="121"/>
      <c r="L560" s="121"/>
      <c r="M560" s="121"/>
      <c r="N560" s="121"/>
      <c r="O560" s="121"/>
      <c r="P560" s="121"/>
      <c r="Q560" s="121"/>
      <c r="R560" s="121"/>
      <c r="S560" s="121"/>
      <c r="T560" s="121"/>
      <c r="U560" s="121"/>
      <c r="V560" s="121"/>
      <c r="W560" s="121"/>
      <c r="X560" s="121"/>
      <c r="Y560" s="121"/>
      <c r="Z560" s="121"/>
    </row>
    <row r="561" spans="1:26" ht="11.25" customHeight="1" x14ac:dyDescent="0.3">
      <c r="A561" s="121"/>
      <c r="B561" s="121"/>
      <c r="C561" s="121"/>
      <c r="D561" s="121"/>
      <c r="E561" s="121"/>
      <c r="F561" s="121"/>
      <c r="G561" s="121"/>
      <c r="H561" s="121"/>
      <c r="I561" s="121"/>
      <c r="J561" s="121"/>
      <c r="K561" s="121"/>
      <c r="L561" s="121"/>
      <c r="M561" s="121"/>
      <c r="N561" s="121"/>
      <c r="O561" s="121"/>
      <c r="P561" s="121"/>
      <c r="Q561" s="121"/>
      <c r="R561" s="121"/>
      <c r="S561" s="121"/>
      <c r="T561" s="121"/>
      <c r="U561" s="121"/>
      <c r="V561" s="121"/>
      <c r="W561" s="121"/>
      <c r="X561" s="121"/>
      <c r="Y561" s="121"/>
      <c r="Z561" s="121"/>
    </row>
    <row r="562" spans="1:26" ht="11.25" customHeight="1" x14ac:dyDescent="0.3">
      <c r="A562" s="121"/>
      <c r="B562" s="121"/>
      <c r="C562" s="121"/>
      <c r="D562" s="121"/>
      <c r="E562" s="121"/>
      <c r="F562" s="121"/>
      <c r="G562" s="121"/>
      <c r="H562" s="121"/>
      <c r="I562" s="121"/>
      <c r="J562" s="121"/>
      <c r="K562" s="121"/>
      <c r="L562" s="121"/>
      <c r="M562" s="121"/>
      <c r="N562" s="121"/>
      <c r="O562" s="121"/>
      <c r="P562" s="121"/>
      <c r="Q562" s="121"/>
      <c r="R562" s="121"/>
      <c r="S562" s="121"/>
      <c r="T562" s="121"/>
      <c r="U562" s="121"/>
      <c r="V562" s="121"/>
      <c r="W562" s="121"/>
      <c r="X562" s="121"/>
      <c r="Y562" s="121"/>
      <c r="Z562" s="121"/>
    </row>
    <row r="563" spans="1:26" ht="11.25" customHeight="1" x14ac:dyDescent="0.3">
      <c r="A563" s="121"/>
      <c r="B563" s="121"/>
      <c r="C563" s="121"/>
      <c r="D563" s="121"/>
      <c r="E563" s="121"/>
      <c r="F563" s="121"/>
      <c r="G563" s="121"/>
      <c r="H563" s="121"/>
      <c r="I563" s="121"/>
      <c r="J563" s="121"/>
      <c r="K563" s="121"/>
      <c r="L563" s="121"/>
      <c r="M563" s="121"/>
      <c r="N563" s="121"/>
      <c r="O563" s="121"/>
      <c r="P563" s="121"/>
      <c r="Q563" s="121"/>
      <c r="R563" s="121"/>
      <c r="S563" s="121"/>
      <c r="T563" s="121"/>
      <c r="U563" s="121"/>
      <c r="V563" s="121"/>
      <c r="W563" s="121"/>
      <c r="X563" s="121"/>
      <c r="Y563" s="121"/>
      <c r="Z563" s="121"/>
    </row>
    <row r="564" spans="1:26" ht="11.25" customHeight="1" x14ac:dyDescent="0.3">
      <c r="A564" s="121"/>
      <c r="B564" s="121"/>
      <c r="C564" s="121"/>
      <c r="D564" s="121"/>
      <c r="E564" s="121"/>
      <c r="F564" s="121"/>
      <c r="G564" s="121"/>
      <c r="H564" s="121"/>
      <c r="I564" s="121"/>
      <c r="J564" s="121"/>
      <c r="K564" s="121"/>
      <c r="L564" s="121"/>
      <c r="M564" s="121"/>
      <c r="N564" s="121"/>
      <c r="O564" s="121"/>
      <c r="P564" s="121"/>
      <c r="Q564" s="121"/>
      <c r="R564" s="121"/>
      <c r="S564" s="121"/>
      <c r="T564" s="121"/>
      <c r="U564" s="121"/>
      <c r="V564" s="121"/>
      <c r="W564" s="121"/>
      <c r="X564" s="121"/>
      <c r="Y564" s="121"/>
      <c r="Z564" s="121"/>
    </row>
    <row r="565" spans="1:26" ht="11.25" customHeight="1" x14ac:dyDescent="0.3">
      <c r="A565" s="121"/>
      <c r="B565" s="121"/>
      <c r="C565" s="121"/>
      <c r="D565" s="121"/>
      <c r="E565" s="121"/>
      <c r="F565" s="121"/>
      <c r="G565" s="121"/>
      <c r="H565" s="121"/>
      <c r="I565" s="121"/>
      <c r="J565" s="121"/>
      <c r="K565" s="121"/>
      <c r="L565" s="121"/>
      <c r="M565" s="121"/>
      <c r="N565" s="121"/>
      <c r="O565" s="121"/>
      <c r="P565" s="121"/>
      <c r="Q565" s="121"/>
      <c r="R565" s="121"/>
      <c r="S565" s="121"/>
      <c r="T565" s="121"/>
      <c r="U565" s="121"/>
      <c r="V565" s="121"/>
      <c r="W565" s="121"/>
      <c r="X565" s="121"/>
      <c r="Y565" s="121"/>
      <c r="Z565" s="121"/>
    </row>
    <row r="566" spans="1:26" ht="11.25" customHeight="1" x14ac:dyDescent="0.3">
      <c r="A566" s="121"/>
      <c r="B566" s="121"/>
      <c r="C566" s="121"/>
      <c r="D566" s="121"/>
      <c r="E566" s="121"/>
      <c r="F566" s="121"/>
      <c r="G566" s="121"/>
      <c r="H566" s="121"/>
      <c r="I566" s="121"/>
      <c r="J566" s="121"/>
      <c r="K566" s="121"/>
      <c r="L566" s="121"/>
      <c r="M566" s="121"/>
      <c r="N566" s="121"/>
      <c r="O566" s="121"/>
      <c r="P566" s="121"/>
      <c r="Q566" s="121"/>
      <c r="R566" s="121"/>
      <c r="S566" s="121"/>
      <c r="T566" s="121"/>
      <c r="U566" s="121"/>
      <c r="V566" s="121"/>
      <c r="W566" s="121"/>
      <c r="X566" s="121"/>
      <c r="Y566" s="121"/>
      <c r="Z566" s="121"/>
    </row>
    <row r="567" spans="1:26" ht="11.25" customHeight="1" x14ac:dyDescent="0.3">
      <c r="A567" s="121"/>
      <c r="B567" s="121"/>
      <c r="C567" s="121"/>
      <c r="D567" s="121"/>
      <c r="E567" s="121"/>
      <c r="F567" s="121"/>
      <c r="G567" s="121"/>
      <c r="H567" s="121"/>
      <c r="I567" s="121"/>
      <c r="J567" s="121"/>
      <c r="K567" s="121"/>
      <c r="L567" s="121"/>
      <c r="M567" s="121"/>
      <c r="N567" s="121"/>
      <c r="O567" s="121"/>
      <c r="P567" s="121"/>
      <c r="Q567" s="121"/>
      <c r="R567" s="121"/>
      <c r="S567" s="121"/>
      <c r="T567" s="121"/>
      <c r="U567" s="121"/>
      <c r="V567" s="121"/>
      <c r="W567" s="121"/>
      <c r="X567" s="121"/>
      <c r="Y567" s="121"/>
      <c r="Z567" s="121"/>
    </row>
    <row r="568" spans="1:26" ht="11.25" customHeight="1" x14ac:dyDescent="0.3">
      <c r="A568" s="121"/>
      <c r="B568" s="121"/>
      <c r="C568" s="121"/>
      <c r="D568" s="121"/>
      <c r="E568" s="121"/>
      <c r="F568" s="121"/>
      <c r="G568" s="121"/>
      <c r="H568" s="121"/>
      <c r="I568" s="121"/>
      <c r="J568" s="121"/>
      <c r="K568" s="121"/>
      <c r="L568" s="121"/>
      <c r="M568" s="121"/>
      <c r="N568" s="121"/>
      <c r="O568" s="121"/>
      <c r="P568" s="121"/>
      <c r="Q568" s="121"/>
      <c r="R568" s="121"/>
      <c r="S568" s="121"/>
      <c r="T568" s="121"/>
      <c r="U568" s="121"/>
      <c r="V568" s="121"/>
      <c r="W568" s="121"/>
      <c r="X568" s="121"/>
      <c r="Y568" s="121"/>
      <c r="Z568" s="121"/>
    </row>
    <row r="569" spans="1:26" ht="11.25" customHeight="1" x14ac:dyDescent="0.3">
      <c r="A569" s="121"/>
      <c r="B569" s="121"/>
      <c r="C569" s="121"/>
      <c r="D569" s="121"/>
      <c r="E569" s="121"/>
      <c r="F569" s="121"/>
      <c r="G569" s="121"/>
      <c r="H569" s="121"/>
      <c r="I569" s="121"/>
      <c r="J569" s="121"/>
      <c r="K569" s="121"/>
      <c r="L569" s="121"/>
      <c r="M569" s="121"/>
      <c r="N569" s="121"/>
      <c r="O569" s="121"/>
      <c r="P569" s="121"/>
      <c r="Q569" s="121"/>
      <c r="R569" s="121"/>
      <c r="S569" s="121"/>
      <c r="T569" s="121"/>
      <c r="U569" s="121"/>
      <c r="V569" s="121"/>
      <c r="W569" s="121"/>
      <c r="X569" s="121"/>
      <c r="Y569" s="121"/>
      <c r="Z569" s="121"/>
    </row>
    <row r="570" spans="1:26" ht="11.25" customHeight="1" x14ac:dyDescent="0.3">
      <c r="A570" s="121"/>
      <c r="B570" s="121"/>
      <c r="C570" s="121"/>
      <c r="D570" s="121"/>
      <c r="E570" s="121"/>
      <c r="F570" s="121"/>
      <c r="G570" s="121"/>
      <c r="H570" s="121"/>
      <c r="I570" s="121"/>
      <c r="J570" s="121"/>
      <c r="K570" s="121"/>
      <c r="L570" s="121"/>
      <c r="M570" s="121"/>
      <c r="N570" s="121"/>
      <c r="O570" s="121"/>
      <c r="P570" s="121"/>
      <c r="Q570" s="121"/>
      <c r="R570" s="121"/>
      <c r="S570" s="121"/>
      <c r="T570" s="121"/>
      <c r="U570" s="121"/>
      <c r="V570" s="121"/>
      <c r="W570" s="121"/>
      <c r="X570" s="121"/>
      <c r="Y570" s="121"/>
      <c r="Z570" s="121"/>
    </row>
    <row r="571" spans="1:26" ht="11.25" customHeight="1" x14ac:dyDescent="0.3">
      <c r="A571" s="121"/>
      <c r="B571" s="121"/>
      <c r="C571" s="121"/>
      <c r="D571" s="121"/>
      <c r="E571" s="121"/>
      <c r="F571" s="121"/>
      <c r="G571" s="121"/>
      <c r="H571" s="121"/>
      <c r="I571" s="121"/>
      <c r="J571" s="121"/>
      <c r="K571" s="121"/>
      <c r="L571" s="121"/>
      <c r="M571" s="121"/>
      <c r="N571" s="121"/>
      <c r="O571" s="121"/>
      <c r="P571" s="121"/>
      <c r="Q571" s="121"/>
      <c r="R571" s="121"/>
      <c r="S571" s="121"/>
      <c r="T571" s="121"/>
      <c r="U571" s="121"/>
      <c r="V571" s="121"/>
      <c r="W571" s="121"/>
      <c r="X571" s="121"/>
      <c r="Y571" s="121"/>
      <c r="Z571" s="121"/>
    </row>
    <row r="572" spans="1:26" ht="11.25" customHeight="1" x14ac:dyDescent="0.3">
      <c r="A572" s="121"/>
      <c r="B572" s="121"/>
      <c r="C572" s="121"/>
      <c r="D572" s="121"/>
      <c r="E572" s="121"/>
      <c r="F572" s="121"/>
      <c r="G572" s="121"/>
      <c r="H572" s="121"/>
      <c r="I572" s="121"/>
      <c r="J572" s="121"/>
      <c r="K572" s="121"/>
      <c r="L572" s="121"/>
      <c r="M572" s="121"/>
      <c r="N572" s="121"/>
      <c r="O572" s="121"/>
      <c r="P572" s="121"/>
      <c r="Q572" s="121"/>
      <c r="R572" s="121"/>
      <c r="S572" s="121"/>
      <c r="T572" s="121"/>
      <c r="U572" s="121"/>
      <c r="V572" s="121"/>
      <c r="W572" s="121"/>
      <c r="X572" s="121"/>
      <c r="Y572" s="121"/>
      <c r="Z572" s="121"/>
    </row>
    <row r="573" spans="1:26" ht="11.25" customHeight="1" x14ac:dyDescent="0.3">
      <c r="A573" s="121"/>
      <c r="B573" s="121"/>
      <c r="C573" s="121"/>
      <c r="D573" s="121"/>
      <c r="E573" s="121"/>
      <c r="F573" s="121"/>
      <c r="G573" s="121"/>
      <c r="H573" s="121"/>
      <c r="I573" s="121"/>
      <c r="J573" s="121"/>
      <c r="K573" s="121"/>
      <c r="L573" s="121"/>
      <c r="M573" s="121"/>
      <c r="N573" s="121"/>
      <c r="O573" s="121"/>
      <c r="P573" s="121"/>
      <c r="Q573" s="121"/>
      <c r="R573" s="121"/>
      <c r="S573" s="121"/>
      <c r="T573" s="121"/>
      <c r="U573" s="121"/>
      <c r="V573" s="121"/>
      <c r="W573" s="121"/>
      <c r="X573" s="121"/>
      <c r="Y573" s="121"/>
      <c r="Z573" s="121"/>
    </row>
    <row r="574" spans="1:26" ht="11.25" customHeight="1" x14ac:dyDescent="0.3">
      <c r="A574" s="121"/>
      <c r="B574" s="121"/>
      <c r="C574" s="121"/>
      <c r="D574" s="121"/>
      <c r="E574" s="121"/>
      <c r="F574" s="121"/>
      <c r="G574" s="121"/>
      <c r="H574" s="121"/>
      <c r="I574" s="121"/>
      <c r="J574" s="121"/>
      <c r="K574" s="121"/>
      <c r="L574" s="121"/>
      <c r="M574" s="121"/>
      <c r="N574" s="121"/>
      <c r="O574" s="121"/>
      <c r="P574" s="121"/>
      <c r="Q574" s="121"/>
      <c r="R574" s="121"/>
      <c r="S574" s="121"/>
      <c r="T574" s="121"/>
      <c r="U574" s="121"/>
      <c r="V574" s="121"/>
      <c r="W574" s="121"/>
      <c r="X574" s="121"/>
      <c r="Y574" s="121"/>
      <c r="Z574" s="121"/>
    </row>
    <row r="575" spans="1:26" ht="11.25" customHeight="1" x14ac:dyDescent="0.3">
      <c r="A575" s="121"/>
      <c r="B575" s="121"/>
      <c r="C575" s="121"/>
      <c r="D575" s="121"/>
      <c r="E575" s="121"/>
      <c r="F575" s="121"/>
      <c r="G575" s="121"/>
      <c r="H575" s="121"/>
      <c r="I575" s="121"/>
      <c r="J575" s="121"/>
      <c r="K575" s="121"/>
      <c r="L575" s="121"/>
      <c r="M575" s="121"/>
      <c r="N575" s="121"/>
      <c r="O575" s="121"/>
      <c r="P575" s="121"/>
      <c r="Q575" s="121"/>
      <c r="R575" s="121"/>
      <c r="S575" s="121"/>
      <c r="T575" s="121"/>
      <c r="U575" s="121"/>
      <c r="V575" s="121"/>
      <c r="W575" s="121"/>
      <c r="X575" s="121"/>
      <c r="Y575" s="121"/>
      <c r="Z575" s="121"/>
    </row>
    <row r="576" spans="1:26" ht="11.25" customHeight="1" x14ac:dyDescent="0.3">
      <c r="A576" s="121"/>
      <c r="B576" s="121"/>
      <c r="C576" s="121"/>
      <c r="D576" s="121"/>
      <c r="E576" s="121"/>
      <c r="F576" s="121"/>
      <c r="G576" s="121"/>
      <c r="H576" s="121"/>
      <c r="I576" s="121"/>
      <c r="J576" s="121"/>
      <c r="K576" s="121"/>
      <c r="L576" s="121"/>
      <c r="M576" s="121"/>
      <c r="N576" s="121"/>
      <c r="O576" s="121"/>
      <c r="P576" s="121"/>
      <c r="Q576" s="121"/>
      <c r="R576" s="121"/>
      <c r="S576" s="121"/>
      <c r="T576" s="121"/>
      <c r="U576" s="121"/>
      <c r="V576" s="121"/>
      <c r="W576" s="121"/>
      <c r="X576" s="121"/>
      <c r="Y576" s="121"/>
      <c r="Z576" s="121"/>
    </row>
    <row r="577" spans="1:26" ht="11.25" customHeight="1" x14ac:dyDescent="0.3">
      <c r="A577" s="121"/>
      <c r="B577" s="121"/>
      <c r="C577" s="121"/>
      <c r="D577" s="121"/>
      <c r="E577" s="121"/>
      <c r="F577" s="121"/>
      <c r="G577" s="121"/>
      <c r="H577" s="121"/>
      <c r="I577" s="121"/>
      <c r="J577" s="121"/>
      <c r="K577" s="121"/>
      <c r="L577" s="121"/>
      <c r="M577" s="121"/>
      <c r="N577" s="121"/>
      <c r="O577" s="121"/>
      <c r="P577" s="121"/>
      <c r="Q577" s="121"/>
      <c r="R577" s="121"/>
      <c r="S577" s="121"/>
      <c r="T577" s="121"/>
      <c r="U577" s="121"/>
      <c r="V577" s="121"/>
      <c r="W577" s="121"/>
      <c r="X577" s="121"/>
      <c r="Y577" s="121"/>
      <c r="Z577" s="121"/>
    </row>
    <row r="578" spans="1:26" ht="11.25" customHeight="1" x14ac:dyDescent="0.3">
      <c r="A578" s="121"/>
      <c r="B578" s="121"/>
      <c r="C578" s="121"/>
      <c r="D578" s="121"/>
      <c r="E578" s="121"/>
      <c r="F578" s="121"/>
      <c r="G578" s="121"/>
      <c r="H578" s="121"/>
      <c r="I578" s="121"/>
      <c r="J578" s="121"/>
      <c r="K578" s="121"/>
      <c r="L578" s="121"/>
      <c r="M578" s="121"/>
      <c r="N578" s="121"/>
      <c r="O578" s="121"/>
      <c r="P578" s="121"/>
      <c r="Q578" s="121"/>
      <c r="R578" s="121"/>
      <c r="S578" s="121"/>
      <c r="T578" s="121"/>
      <c r="U578" s="121"/>
      <c r="V578" s="121"/>
      <c r="W578" s="121"/>
      <c r="X578" s="121"/>
      <c r="Y578" s="121"/>
      <c r="Z578" s="121"/>
    </row>
    <row r="579" spans="1:26" ht="11.25" customHeight="1" x14ac:dyDescent="0.3">
      <c r="A579" s="121"/>
      <c r="B579" s="121"/>
      <c r="C579" s="121"/>
      <c r="D579" s="121"/>
      <c r="E579" s="121"/>
      <c r="F579" s="121"/>
      <c r="G579" s="121"/>
      <c r="H579" s="121"/>
      <c r="I579" s="121"/>
      <c r="J579" s="121"/>
      <c r="K579" s="121"/>
      <c r="L579" s="121"/>
      <c r="M579" s="121"/>
      <c r="N579" s="121"/>
      <c r="O579" s="121"/>
      <c r="P579" s="121"/>
      <c r="Q579" s="121"/>
      <c r="R579" s="121"/>
      <c r="S579" s="121"/>
      <c r="T579" s="121"/>
      <c r="U579" s="121"/>
      <c r="V579" s="121"/>
      <c r="W579" s="121"/>
      <c r="X579" s="121"/>
      <c r="Y579" s="121"/>
      <c r="Z579" s="121"/>
    </row>
    <row r="580" spans="1:26" ht="11.25" customHeight="1" x14ac:dyDescent="0.3">
      <c r="A580" s="121"/>
      <c r="B580" s="121"/>
      <c r="C580" s="121"/>
      <c r="D580" s="121"/>
      <c r="E580" s="121"/>
      <c r="F580" s="121"/>
      <c r="G580" s="121"/>
      <c r="H580" s="121"/>
      <c r="I580" s="121"/>
      <c r="J580" s="121"/>
      <c r="K580" s="121"/>
      <c r="L580" s="121"/>
      <c r="M580" s="121"/>
      <c r="N580" s="121"/>
      <c r="O580" s="121"/>
      <c r="P580" s="121"/>
      <c r="Q580" s="121"/>
      <c r="R580" s="121"/>
      <c r="S580" s="121"/>
      <c r="T580" s="121"/>
      <c r="U580" s="121"/>
      <c r="V580" s="121"/>
      <c r="W580" s="121"/>
      <c r="X580" s="121"/>
      <c r="Y580" s="121"/>
      <c r="Z580" s="121"/>
    </row>
    <row r="581" spans="1:26" ht="11.25" customHeight="1" x14ac:dyDescent="0.3">
      <c r="A581" s="121"/>
      <c r="B581" s="121"/>
      <c r="C581" s="121"/>
      <c r="D581" s="121"/>
      <c r="E581" s="121"/>
      <c r="F581" s="121"/>
      <c r="G581" s="121"/>
      <c r="H581" s="121"/>
      <c r="I581" s="121"/>
      <c r="J581" s="121"/>
      <c r="K581" s="121"/>
      <c r="L581" s="121"/>
      <c r="M581" s="121"/>
      <c r="N581" s="121"/>
      <c r="O581" s="121"/>
      <c r="P581" s="121"/>
      <c r="Q581" s="121"/>
      <c r="R581" s="121"/>
      <c r="S581" s="121"/>
      <c r="T581" s="121"/>
      <c r="U581" s="121"/>
      <c r="V581" s="121"/>
      <c r="W581" s="121"/>
      <c r="X581" s="121"/>
      <c r="Y581" s="121"/>
      <c r="Z581" s="121"/>
    </row>
    <row r="582" spans="1:26" ht="11.25" customHeight="1" x14ac:dyDescent="0.3">
      <c r="A582" s="121"/>
      <c r="B582" s="121"/>
      <c r="C582" s="121"/>
      <c r="D582" s="121"/>
      <c r="E582" s="121"/>
      <c r="F582" s="121"/>
      <c r="G582" s="121"/>
      <c r="H582" s="121"/>
      <c r="I582" s="121"/>
      <c r="J582" s="121"/>
      <c r="K582" s="121"/>
      <c r="L582" s="121"/>
      <c r="M582" s="121"/>
      <c r="N582" s="121"/>
      <c r="O582" s="121"/>
      <c r="P582" s="121"/>
      <c r="Q582" s="121"/>
      <c r="R582" s="121"/>
      <c r="S582" s="121"/>
      <c r="T582" s="121"/>
      <c r="U582" s="121"/>
      <c r="V582" s="121"/>
      <c r="W582" s="121"/>
      <c r="X582" s="121"/>
      <c r="Y582" s="121"/>
      <c r="Z582" s="121"/>
    </row>
    <row r="583" spans="1:26" ht="11.25" customHeight="1" x14ac:dyDescent="0.3">
      <c r="A583" s="121"/>
      <c r="B583" s="121"/>
      <c r="C583" s="121"/>
      <c r="D583" s="121"/>
      <c r="E583" s="121"/>
      <c r="F583" s="121"/>
      <c r="G583" s="121"/>
      <c r="H583" s="121"/>
      <c r="I583" s="121"/>
      <c r="J583" s="121"/>
      <c r="K583" s="121"/>
      <c r="L583" s="121"/>
      <c r="M583" s="121"/>
      <c r="N583" s="121"/>
      <c r="O583" s="121"/>
      <c r="P583" s="121"/>
      <c r="Q583" s="121"/>
      <c r="R583" s="121"/>
      <c r="S583" s="121"/>
      <c r="T583" s="121"/>
      <c r="U583" s="121"/>
      <c r="V583" s="121"/>
      <c r="W583" s="121"/>
      <c r="X583" s="121"/>
      <c r="Y583" s="121"/>
      <c r="Z583" s="121"/>
    </row>
    <row r="584" spans="1:26" ht="11.25" customHeight="1" x14ac:dyDescent="0.3">
      <c r="A584" s="121"/>
      <c r="B584" s="121"/>
      <c r="C584" s="121"/>
      <c r="D584" s="121"/>
      <c r="E584" s="121"/>
      <c r="F584" s="121"/>
      <c r="G584" s="121"/>
      <c r="H584" s="121"/>
      <c r="I584" s="121"/>
      <c r="J584" s="121"/>
      <c r="K584" s="121"/>
      <c r="L584" s="121"/>
      <c r="M584" s="121"/>
      <c r="N584" s="121"/>
      <c r="O584" s="121"/>
      <c r="P584" s="121"/>
      <c r="Q584" s="121"/>
      <c r="R584" s="121"/>
      <c r="S584" s="121"/>
      <c r="T584" s="121"/>
      <c r="U584" s="121"/>
      <c r="V584" s="121"/>
      <c r="W584" s="121"/>
      <c r="X584" s="121"/>
      <c r="Y584" s="121"/>
      <c r="Z584" s="121"/>
    </row>
    <row r="585" spans="1:26" ht="11.25" customHeight="1" x14ac:dyDescent="0.3">
      <c r="A585" s="121"/>
      <c r="B585" s="121"/>
      <c r="C585" s="121"/>
      <c r="D585" s="121"/>
      <c r="E585" s="121"/>
      <c r="F585" s="121"/>
      <c r="G585" s="121"/>
      <c r="H585" s="121"/>
      <c r="I585" s="121"/>
      <c r="J585" s="121"/>
      <c r="K585" s="121"/>
      <c r="L585" s="121"/>
      <c r="M585" s="121"/>
      <c r="N585" s="121"/>
      <c r="O585" s="121"/>
      <c r="P585" s="121"/>
      <c r="Q585" s="121"/>
      <c r="R585" s="121"/>
      <c r="S585" s="121"/>
      <c r="T585" s="121"/>
      <c r="U585" s="121"/>
      <c r="V585" s="121"/>
      <c r="W585" s="121"/>
      <c r="X585" s="121"/>
      <c r="Y585" s="121"/>
      <c r="Z585" s="121"/>
    </row>
    <row r="586" spans="1:26" ht="11.25" customHeight="1" x14ac:dyDescent="0.3">
      <c r="A586" s="121"/>
      <c r="B586" s="121"/>
      <c r="C586" s="121"/>
      <c r="D586" s="121"/>
      <c r="E586" s="121"/>
      <c r="F586" s="121"/>
      <c r="G586" s="121"/>
      <c r="H586" s="121"/>
      <c r="I586" s="121"/>
      <c r="J586" s="121"/>
      <c r="K586" s="121"/>
      <c r="L586" s="121"/>
      <c r="M586" s="121"/>
      <c r="N586" s="121"/>
      <c r="O586" s="121"/>
      <c r="P586" s="121"/>
      <c r="Q586" s="121"/>
      <c r="R586" s="121"/>
      <c r="S586" s="121"/>
      <c r="T586" s="121"/>
      <c r="U586" s="121"/>
      <c r="V586" s="121"/>
      <c r="W586" s="121"/>
      <c r="X586" s="121"/>
      <c r="Y586" s="121"/>
      <c r="Z586" s="121"/>
    </row>
    <row r="587" spans="1:26" ht="11.25" customHeight="1" x14ac:dyDescent="0.3">
      <c r="A587" s="121"/>
      <c r="B587" s="121"/>
      <c r="C587" s="121"/>
      <c r="D587" s="121"/>
      <c r="E587" s="121"/>
      <c r="F587" s="121"/>
      <c r="G587" s="121"/>
      <c r="H587" s="121"/>
      <c r="I587" s="121"/>
      <c r="J587" s="121"/>
      <c r="K587" s="121"/>
      <c r="L587" s="121"/>
      <c r="M587" s="121"/>
      <c r="N587" s="121"/>
      <c r="O587" s="121"/>
      <c r="P587" s="121"/>
      <c r="Q587" s="121"/>
      <c r="R587" s="121"/>
      <c r="S587" s="121"/>
      <c r="T587" s="121"/>
      <c r="U587" s="121"/>
      <c r="V587" s="121"/>
      <c r="W587" s="121"/>
      <c r="X587" s="121"/>
      <c r="Y587" s="121"/>
      <c r="Z587" s="121"/>
    </row>
    <row r="588" spans="1:26" ht="11.25" customHeight="1" x14ac:dyDescent="0.3">
      <c r="A588" s="121"/>
      <c r="B588" s="121"/>
      <c r="C588" s="121"/>
      <c r="D588" s="121"/>
      <c r="E588" s="121"/>
      <c r="F588" s="121"/>
      <c r="G588" s="121"/>
      <c r="H588" s="121"/>
      <c r="I588" s="121"/>
      <c r="J588" s="121"/>
      <c r="K588" s="121"/>
      <c r="L588" s="121"/>
      <c r="M588" s="121"/>
      <c r="N588" s="121"/>
      <c r="O588" s="121"/>
      <c r="P588" s="121"/>
      <c r="Q588" s="121"/>
      <c r="R588" s="121"/>
      <c r="S588" s="121"/>
      <c r="T588" s="121"/>
      <c r="U588" s="121"/>
      <c r="V588" s="121"/>
      <c r="W588" s="121"/>
      <c r="X588" s="121"/>
      <c r="Y588" s="121"/>
      <c r="Z588" s="121"/>
    </row>
    <row r="589" spans="1:26" ht="11.25" customHeight="1" x14ac:dyDescent="0.3">
      <c r="A589" s="121"/>
      <c r="B589" s="121"/>
      <c r="C589" s="121"/>
      <c r="D589" s="121"/>
      <c r="E589" s="121"/>
      <c r="F589" s="121"/>
      <c r="G589" s="121"/>
      <c r="H589" s="121"/>
      <c r="I589" s="121"/>
      <c r="J589" s="121"/>
      <c r="K589" s="121"/>
      <c r="L589" s="121"/>
      <c r="M589" s="121"/>
      <c r="N589" s="121"/>
      <c r="O589" s="121"/>
      <c r="P589" s="121"/>
      <c r="Q589" s="121"/>
      <c r="R589" s="121"/>
      <c r="S589" s="121"/>
      <c r="T589" s="121"/>
      <c r="U589" s="121"/>
      <c r="V589" s="121"/>
      <c r="W589" s="121"/>
      <c r="X589" s="121"/>
      <c r="Y589" s="121"/>
      <c r="Z589" s="121"/>
    </row>
    <row r="590" spans="1:26" ht="11.25" customHeight="1" x14ac:dyDescent="0.3">
      <c r="A590" s="121"/>
      <c r="B590" s="121"/>
      <c r="C590" s="121"/>
      <c r="D590" s="121"/>
      <c r="E590" s="121"/>
      <c r="F590" s="121"/>
      <c r="G590" s="121"/>
      <c r="H590" s="121"/>
      <c r="I590" s="121"/>
      <c r="J590" s="121"/>
      <c r="K590" s="121"/>
      <c r="L590" s="121"/>
      <c r="M590" s="121"/>
      <c r="N590" s="121"/>
      <c r="O590" s="121"/>
      <c r="P590" s="121"/>
      <c r="Q590" s="121"/>
      <c r="R590" s="121"/>
      <c r="S590" s="121"/>
      <c r="T590" s="121"/>
      <c r="U590" s="121"/>
      <c r="V590" s="121"/>
      <c r="W590" s="121"/>
      <c r="X590" s="121"/>
      <c r="Y590" s="121"/>
      <c r="Z590" s="121"/>
    </row>
    <row r="591" spans="1:26" ht="11.25" customHeight="1" x14ac:dyDescent="0.3">
      <c r="A591" s="121"/>
      <c r="B591" s="121"/>
      <c r="C591" s="121"/>
      <c r="D591" s="121"/>
      <c r="E591" s="121"/>
      <c r="F591" s="121"/>
      <c r="G591" s="121"/>
      <c r="H591" s="121"/>
      <c r="I591" s="121"/>
      <c r="J591" s="121"/>
      <c r="K591" s="121"/>
      <c r="L591" s="121"/>
      <c r="M591" s="121"/>
      <c r="N591" s="121"/>
      <c r="O591" s="121"/>
      <c r="P591" s="121"/>
      <c r="Q591" s="121"/>
      <c r="R591" s="121"/>
      <c r="S591" s="121"/>
      <c r="T591" s="121"/>
      <c r="U591" s="121"/>
      <c r="V591" s="121"/>
      <c r="W591" s="121"/>
      <c r="X591" s="121"/>
      <c r="Y591" s="121"/>
      <c r="Z591" s="121"/>
    </row>
    <row r="592" spans="1:26" ht="11.25" customHeight="1" x14ac:dyDescent="0.3">
      <c r="A592" s="121"/>
      <c r="B592" s="121"/>
      <c r="C592" s="121"/>
      <c r="D592" s="121"/>
      <c r="E592" s="121"/>
      <c r="F592" s="121"/>
      <c r="G592" s="121"/>
      <c r="H592" s="121"/>
      <c r="I592" s="121"/>
      <c r="J592" s="121"/>
      <c r="K592" s="121"/>
      <c r="L592" s="121"/>
      <c r="M592" s="121"/>
      <c r="N592" s="121"/>
      <c r="O592" s="121"/>
      <c r="P592" s="121"/>
      <c r="Q592" s="121"/>
      <c r="R592" s="121"/>
      <c r="S592" s="121"/>
      <c r="T592" s="121"/>
      <c r="U592" s="121"/>
      <c r="V592" s="121"/>
      <c r="W592" s="121"/>
      <c r="X592" s="121"/>
      <c r="Y592" s="121"/>
      <c r="Z592" s="121"/>
    </row>
    <row r="593" spans="1:26" ht="11.25" customHeight="1" x14ac:dyDescent="0.3">
      <c r="A593" s="121"/>
      <c r="B593" s="121"/>
      <c r="C593" s="121"/>
      <c r="D593" s="121"/>
      <c r="E593" s="121"/>
      <c r="F593" s="121"/>
      <c r="G593" s="121"/>
      <c r="H593" s="121"/>
      <c r="I593" s="121"/>
      <c r="J593" s="121"/>
      <c r="K593" s="121"/>
      <c r="L593" s="121"/>
      <c r="M593" s="121"/>
      <c r="N593" s="121"/>
      <c r="O593" s="121"/>
      <c r="P593" s="121"/>
      <c r="Q593" s="121"/>
      <c r="R593" s="121"/>
      <c r="S593" s="121"/>
      <c r="T593" s="121"/>
      <c r="U593" s="121"/>
      <c r="V593" s="121"/>
      <c r="W593" s="121"/>
      <c r="X593" s="121"/>
      <c r="Y593" s="121"/>
      <c r="Z593" s="121"/>
    </row>
    <row r="594" spans="1:26" ht="11.25" customHeight="1" x14ac:dyDescent="0.3">
      <c r="A594" s="121"/>
      <c r="B594" s="121"/>
      <c r="C594" s="121"/>
      <c r="D594" s="121"/>
      <c r="E594" s="121"/>
      <c r="F594" s="121"/>
      <c r="G594" s="121"/>
      <c r="H594" s="121"/>
      <c r="I594" s="121"/>
      <c r="J594" s="121"/>
      <c r="K594" s="121"/>
      <c r="L594" s="121"/>
      <c r="M594" s="121"/>
      <c r="N594" s="121"/>
      <c r="O594" s="121"/>
      <c r="P594" s="121"/>
      <c r="Q594" s="121"/>
      <c r="R594" s="121"/>
      <c r="S594" s="121"/>
      <c r="T594" s="121"/>
      <c r="U594" s="121"/>
      <c r="V594" s="121"/>
      <c r="W594" s="121"/>
      <c r="X594" s="121"/>
      <c r="Y594" s="121"/>
      <c r="Z594" s="121"/>
    </row>
    <row r="595" spans="1:26" ht="11.25" customHeight="1" x14ac:dyDescent="0.3">
      <c r="A595" s="121"/>
      <c r="B595" s="121"/>
      <c r="C595" s="121"/>
      <c r="D595" s="121"/>
      <c r="E595" s="121"/>
      <c r="F595" s="121"/>
      <c r="G595" s="121"/>
      <c r="H595" s="121"/>
      <c r="I595" s="121"/>
      <c r="J595" s="121"/>
      <c r="K595" s="121"/>
      <c r="L595" s="121"/>
      <c r="M595" s="121"/>
      <c r="N595" s="121"/>
      <c r="O595" s="121"/>
      <c r="P595" s="121"/>
      <c r="Q595" s="121"/>
      <c r="R595" s="121"/>
      <c r="S595" s="121"/>
      <c r="T595" s="121"/>
      <c r="U595" s="121"/>
      <c r="V595" s="121"/>
      <c r="W595" s="121"/>
      <c r="X595" s="121"/>
      <c r="Y595" s="121"/>
      <c r="Z595" s="121"/>
    </row>
    <row r="596" spans="1:26" ht="11.25" customHeight="1" x14ac:dyDescent="0.3">
      <c r="A596" s="121"/>
      <c r="B596" s="121"/>
      <c r="C596" s="121"/>
      <c r="D596" s="121"/>
      <c r="E596" s="121"/>
      <c r="F596" s="121"/>
      <c r="G596" s="121"/>
      <c r="H596" s="121"/>
      <c r="I596" s="121"/>
      <c r="J596" s="121"/>
      <c r="K596" s="121"/>
      <c r="L596" s="121"/>
      <c r="M596" s="121"/>
      <c r="N596" s="121"/>
      <c r="O596" s="121"/>
      <c r="P596" s="121"/>
      <c r="Q596" s="121"/>
      <c r="R596" s="121"/>
      <c r="S596" s="121"/>
      <c r="T596" s="121"/>
      <c r="U596" s="121"/>
      <c r="V596" s="121"/>
      <c r="W596" s="121"/>
      <c r="X596" s="121"/>
      <c r="Y596" s="121"/>
      <c r="Z596" s="121"/>
    </row>
    <row r="597" spans="1:26" ht="11.25" customHeight="1" x14ac:dyDescent="0.3">
      <c r="A597" s="121"/>
      <c r="B597" s="121"/>
      <c r="C597" s="121"/>
      <c r="D597" s="121"/>
      <c r="E597" s="121"/>
      <c r="F597" s="121"/>
      <c r="G597" s="121"/>
      <c r="H597" s="121"/>
      <c r="I597" s="121"/>
      <c r="J597" s="121"/>
      <c r="K597" s="121"/>
      <c r="L597" s="121"/>
      <c r="M597" s="121"/>
      <c r="N597" s="121"/>
      <c r="O597" s="121"/>
      <c r="P597" s="121"/>
      <c r="Q597" s="121"/>
      <c r="R597" s="121"/>
      <c r="S597" s="121"/>
      <c r="T597" s="121"/>
      <c r="U597" s="121"/>
      <c r="V597" s="121"/>
      <c r="W597" s="121"/>
      <c r="X597" s="121"/>
      <c r="Y597" s="121"/>
      <c r="Z597" s="121"/>
    </row>
    <row r="598" spans="1:26" ht="11.25" customHeight="1" x14ac:dyDescent="0.3">
      <c r="A598" s="121"/>
      <c r="B598" s="121"/>
      <c r="C598" s="121"/>
      <c r="D598" s="121"/>
      <c r="E598" s="121"/>
      <c r="F598" s="121"/>
      <c r="G598" s="121"/>
      <c r="H598" s="121"/>
      <c r="I598" s="121"/>
      <c r="J598" s="121"/>
      <c r="K598" s="121"/>
      <c r="L598" s="121"/>
      <c r="M598" s="121"/>
      <c r="N598" s="121"/>
      <c r="O598" s="121"/>
      <c r="P598" s="121"/>
      <c r="Q598" s="121"/>
      <c r="R598" s="121"/>
      <c r="S598" s="121"/>
      <c r="T598" s="121"/>
      <c r="U598" s="121"/>
      <c r="V598" s="121"/>
      <c r="W598" s="121"/>
      <c r="X598" s="121"/>
      <c r="Y598" s="121"/>
      <c r="Z598" s="121"/>
    </row>
    <row r="599" spans="1:26" ht="11.25" customHeight="1" x14ac:dyDescent="0.3">
      <c r="A599" s="121"/>
      <c r="B599" s="121"/>
      <c r="C599" s="121"/>
      <c r="D599" s="121"/>
      <c r="E599" s="121"/>
      <c r="F599" s="121"/>
      <c r="G599" s="121"/>
      <c r="H599" s="121"/>
      <c r="I599" s="121"/>
      <c r="J599" s="121"/>
      <c r="K599" s="121"/>
      <c r="L599" s="121"/>
      <c r="M599" s="121"/>
      <c r="N599" s="121"/>
      <c r="O599" s="121"/>
      <c r="P599" s="121"/>
      <c r="Q599" s="121"/>
      <c r="R599" s="121"/>
      <c r="S599" s="121"/>
      <c r="T599" s="121"/>
      <c r="U599" s="121"/>
      <c r="V599" s="121"/>
      <c r="W599" s="121"/>
      <c r="X599" s="121"/>
      <c r="Y599" s="121"/>
      <c r="Z599" s="121"/>
    </row>
    <row r="600" spans="1:26" ht="11.25" customHeight="1" x14ac:dyDescent="0.3">
      <c r="A600" s="121"/>
      <c r="B600" s="121"/>
      <c r="C600" s="121"/>
      <c r="D600" s="121"/>
      <c r="E600" s="121"/>
      <c r="F600" s="121"/>
      <c r="G600" s="121"/>
      <c r="H600" s="121"/>
      <c r="I600" s="121"/>
      <c r="J600" s="121"/>
      <c r="K600" s="121"/>
      <c r="L600" s="121"/>
      <c r="M600" s="121"/>
      <c r="N600" s="121"/>
      <c r="O600" s="121"/>
      <c r="P600" s="121"/>
      <c r="Q600" s="121"/>
      <c r="R600" s="121"/>
      <c r="S600" s="121"/>
      <c r="T600" s="121"/>
      <c r="U600" s="121"/>
      <c r="V600" s="121"/>
      <c r="W600" s="121"/>
      <c r="X600" s="121"/>
      <c r="Y600" s="121"/>
      <c r="Z600" s="121"/>
    </row>
    <row r="601" spans="1:26" ht="11.25" customHeight="1" x14ac:dyDescent="0.3">
      <c r="A601" s="121"/>
      <c r="B601" s="121"/>
      <c r="C601" s="121"/>
      <c r="D601" s="121"/>
      <c r="E601" s="121"/>
      <c r="F601" s="121"/>
      <c r="G601" s="121"/>
      <c r="H601" s="121"/>
      <c r="I601" s="121"/>
      <c r="J601" s="121"/>
      <c r="K601" s="121"/>
      <c r="L601" s="121"/>
      <c r="M601" s="121"/>
      <c r="N601" s="121"/>
      <c r="O601" s="121"/>
      <c r="P601" s="121"/>
      <c r="Q601" s="121"/>
      <c r="R601" s="121"/>
      <c r="S601" s="121"/>
      <c r="T601" s="121"/>
      <c r="U601" s="121"/>
      <c r="V601" s="121"/>
      <c r="W601" s="121"/>
      <c r="X601" s="121"/>
      <c r="Y601" s="121"/>
      <c r="Z601" s="121"/>
    </row>
    <row r="602" spans="1:26" ht="11.25" customHeight="1" x14ac:dyDescent="0.3">
      <c r="A602" s="121"/>
      <c r="B602" s="121"/>
      <c r="C602" s="121"/>
      <c r="D602" s="121"/>
      <c r="E602" s="121"/>
      <c r="F602" s="121"/>
      <c r="G602" s="121"/>
      <c r="H602" s="121"/>
      <c r="I602" s="121"/>
      <c r="J602" s="121"/>
      <c r="K602" s="121"/>
      <c r="L602" s="121"/>
      <c r="M602" s="121"/>
      <c r="N602" s="121"/>
      <c r="O602" s="121"/>
      <c r="P602" s="121"/>
      <c r="Q602" s="121"/>
      <c r="R602" s="121"/>
      <c r="S602" s="121"/>
      <c r="T602" s="121"/>
      <c r="U602" s="121"/>
      <c r="V602" s="121"/>
      <c r="W602" s="121"/>
      <c r="X602" s="121"/>
      <c r="Y602" s="121"/>
      <c r="Z602" s="121"/>
    </row>
    <row r="603" spans="1:26" ht="11.25" customHeight="1" x14ac:dyDescent="0.3">
      <c r="A603" s="121"/>
      <c r="B603" s="121"/>
      <c r="C603" s="121"/>
      <c r="D603" s="121"/>
      <c r="E603" s="121"/>
      <c r="F603" s="121"/>
      <c r="G603" s="121"/>
      <c r="H603" s="121"/>
      <c r="I603" s="121"/>
      <c r="J603" s="121"/>
      <c r="K603" s="121"/>
      <c r="L603" s="121"/>
      <c r="M603" s="121"/>
      <c r="N603" s="121"/>
      <c r="O603" s="121"/>
      <c r="P603" s="121"/>
      <c r="Q603" s="121"/>
      <c r="R603" s="121"/>
      <c r="S603" s="121"/>
      <c r="T603" s="121"/>
      <c r="U603" s="121"/>
      <c r="V603" s="121"/>
      <c r="W603" s="121"/>
      <c r="X603" s="121"/>
      <c r="Y603" s="121"/>
      <c r="Z603" s="121"/>
    </row>
    <row r="604" spans="1:26" ht="11.25" customHeight="1" x14ac:dyDescent="0.3">
      <c r="A604" s="121"/>
      <c r="B604" s="121"/>
      <c r="C604" s="121"/>
      <c r="D604" s="121"/>
      <c r="E604" s="121"/>
      <c r="F604" s="121"/>
      <c r="G604" s="121"/>
      <c r="H604" s="121"/>
      <c r="I604" s="121"/>
      <c r="J604" s="121"/>
      <c r="K604" s="121"/>
      <c r="L604" s="121"/>
      <c r="M604" s="121"/>
      <c r="N604" s="121"/>
      <c r="O604" s="121"/>
      <c r="P604" s="121"/>
      <c r="Q604" s="121"/>
      <c r="R604" s="121"/>
      <c r="S604" s="121"/>
      <c r="T604" s="121"/>
      <c r="U604" s="121"/>
      <c r="V604" s="121"/>
      <c r="W604" s="121"/>
      <c r="X604" s="121"/>
      <c r="Y604" s="121"/>
      <c r="Z604" s="121"/>
    </row>
    <row r="605" spans="1:26" ht="11.25" customHeight="1" x14ac:dyDescent="0.3">
      <c r="A605" s="121"/>
      <c r="B605" s="121"/>
      <c r="C605" s="121"/>
      <c r="D605" s="121"/>
      <c r="E605" s="121"/>
      <c r="F605" s="121"/>
      <c r="G605" s="121"/>
      <c r="H605" s="121"/>
      <c r="I605" s="121"/>
      <c r="J605" s="121"/>
      <c r="K605" s="121"/>
      <c r="L605" s="121"/>
      <c r="M605" s="121"/>
      <c r="N605" s="121"/>
      <c r="O605" s="121"/>
      <c r="P605" s="121"/>
      <c r="Q605" s="121"/>
      <c r="R605" s="121"/>
      <c r="S605" s="121"/>
      <c r="T605" s="121"/>
      <c r="U605" s="121"/>
      <c r="V605" s="121"/>
      <c r="W605" s="121"/>
      <c r="X605" s="121"/>
      <c r="Y605" s="121"/>
      <c r="Z605" s="121"/>
    </row>
    <row r="606" spans="1:26" ht="11.25" customHeight="1" x14ac:dyDescent="0.3">
      <c r="A606" s="121"/>
      <c r="B606" s="121"/>
      <c r="C606" s="121"/>
      <c r="D606" s="121"/>
      <c r="E606" s="121"/>
      <c r="F606" s="121"/>
      <c r="G606" s="121"/>
      <c r="H606" s="121"/>
      <c r="I606" s="121"/>
      <c r="J606" s="121"/>
      <c r="K606" s="121"/>
      <c r="L606" s="121"/>
      <c r="M606" s="121"/>
      <c r="N606" s="121"/>
      <c r="O606" s="121"/>
      <c r="P606" s="121"/>
      <c r="Q606" s="121"/>
      <c r="R606" s="121"/>
      <c r="S606" s="121"/>
      <c r="T606" s="121"/>
      <c r="U606" s="121"/>
      <c r="V606" s="121"/>
      <c r="W606" s="121"/>
      <c r="X606" s="121"/>
      <c r="Y606" s="121"/>
      <c r="Z606" s="121"/>
    </row>
    <row r="607" spans="1:26" ht="11.25" customHeight="1" x14ac:dyDescent="0.3">
      <c r="A607" s="121"/>
      <c r="B607" s="121"/>
      <c r="C607" s="121"/>
      <c r="D607" s="121"/>
      <c r="E607" s="121"/>
      <c r="F607" s="121"/>
      <c r="G607" s="121"/>
      <c r="H607" s="121"/>
      <c r="I607" s="121"/>
      <c r="J607" s="121"/>
      <c r="K607" s="121"/>
      <c r="L607" s="121"/>
      <c r="M607" s="121"/>
      <c r="N607" s="121"/>
      <c r="O607" s="121"/>
      <c r="P607" s="121"/>
      <c r="Q607" s="121"/>
      <c r="R607" s="121"/>
      <c r="S607" s="121"/>
      <c r="T607" s="121"/>
      <c r="U607" s="121"/>
      <c r="V607" s="121"/>
      <c r="W607" s="121"/>
      <c r="X607" s="121"/>
      <c r="Y607" s="121"/>
      <c r="Z607" s="121"/>
    </row>
    <row r="608" spans="1:26" ht="11.25" customHeight="1" x14ac:dyDescent="0.3">
      <c r="A608" s="121"/>
      <c r="B608" s="121"/>
      <c r="C608" s="121"/>
      <c r="D608" s="121"/>
      <c r="E608" s="121"/>
      <c r="F608" s="121"/>
      <c r="G608" s="121"/>
      <c r="H608" s="121"/>
      <c r="I608" s="121"/>
      <c r="J608" s="121"/>
      <c r="K608" s="121"/>
      <c r="L608" s="121"/>
      <c r="M608" s="121"/>
      <c r="N608" s="121"/>
      <c r="O608" s="121"/>
      <c r="P608" s="121"/>
      <c r="Q608" s="121"/>
      <c r="R608" s="121"/>
      <c r="S608" s="121"/>
      <c r="T608" s="121"/>
      <c r="U608" s="121"/>
      <c r="V608" s="121"/>
      <c r="W608" s="121"/>
      <c r="X608" s="121"/>
      <c r="Y608" s="121"/>
      <c r="Z608" s="121"/>
    </row>
    <row r="609" spans="1:26" ht="11.25" customHeight="1" x14ac:dyDescent="0.3">
      <c r="A609" s="121"/>
      <c r="B609" s="121"/>
      <c r="C609" s="121"/>
      <c r="D609" s="121"/>
      <c r="E609" s="121"/>
      <c r="F609" s="121"/>
      <c r="G609" s="121"/>
      <c r="H609" s="121"/>
      <c r="I609" s="121"/>
      <c r="J609" s="121"/>
      <c r="K609" s="121"/>
      <c r="L609" s="121"/>
      <c r="M609" s="121"/>
      <c r="N609" s="121"/>
      <c r="O609" s="121"/>
      <c r="P609" s="121"/>
      <c r="Q609" s="121"/>
      <c r="R609" s="121"/>
      <c r="S609" s="121"/>
      <c r="T609" s="121"/>
      <c r="U609" s="121"/>
      <c r="V609" s="121"/>
      <c r="W609" s="121"/>
      <c r="X609" s="121"/>
      <c r="Y609" s="121"/>
      <c r="Z609" s="121"/>
    </row>
    <row r="610" spans="1:26" ht="11.25" customHeight="1" x14ac:dyDescent="0.3">
      <c r="A610" s="121"/>
      <c r="B610" s="121"/>
      <c r="C610" s="121"/>
      <c r="D610" s="121"/>
      <c r="E610" s="121"/>
      <c r="F610" s="121"/>
      <c r="G610" s="121"/>
      <c r="H610" s="121"/>
      <c r="I610" s="121"/>
      <c r="J610" s="121"/>
      <c r="K610" s="121"/>
      <c r="L610" s="121"/>
      <c r="M610" s="121"/>
      <c r="N610" s="121"/>
      <c r="O610" s="121"/>
      <c r="P610" s="121"/>
      <c r="Q610" s="121"/>
      <c r="R610" s="121"/>
      <c r="S610" s="121"/>
      <c r="T610" s="121"/>
      <c r="U610" s="121"/>
      <c r="V610" s="121"/>
      <c r="W610" s="121"/>
      <c r="X610" s="121"/>
      <c r="Y610" s="121"/>
      <c r="Z610" s="121"/>
    </row>
    <row r="611" spans="1:26" ht="11.25" customHeight="1" x14ac:dyDescent="0.3">
      <c r="A611" s="121"/>
      <c r="B611" s="121"/>
      <c r="C611" s="121"/>
      <c r="D611" s="121"/>
      <c r="E611" s="121"/>
      <c r="F611" s="121"/>
      <c r="G611" s="121"/>
      <c r="H611" s="121"/>
      <c r="I611" s="121"/>
      <c r="J611" s="121"/>
      <c r="K611" s="121"/>
      <c r="L611" s="121"/>
      <c r="M611" s="121"/>
      <c r="N611" s="121"/>
      <c r="O611" s="121"/>
      <c r="P611" s="121"/>
      <c r="Q611" s="121"/>
      <c r="R611" s="121"/>
      <c r="S611" s="121"/>
      <c r="T611" s="121"/>
      <c r="U611" s="121"/>
      <c r="V611" s="121"/>
      <c r="W611" s="121"/>
      <c r="X611" s="121"/>
      <c r="Y611" s="121"/>
      <c r="Z611" s="121"/>
    </row>
    <row r="612" spans="1:26" ht="11.25" customHeight="1" x14ac:dyDescent="0.3">
      <c r="A612" s="121"/>
      <c r="B612" s="121"/>
      <c r="C612" s="121"/>
      <c r="D612" s="121"/>
      <c r="E612" s="121"/>
      <c r="F612" s="121"/>
      <c r="G612" s="121"/>
      <c r="H612" s="121"/>
      <c r="I612" s="121"/>
      <c r="J612" s="121"/>
      <c r="K612" s="121"/>
      <c r="L612" s="121"/>
      <c r="M612" s="121"/>
      <c r="N612" s="121"/>
      <c r="O612" s="121"/>
      <c r="P612" s="121"/>
      <c r="Q612" s="121"/>
      <c r="R612" s="121"/>
      <c r="S612" s="121"/>
      <c r="T612" s="121"/>
      <c r="U612" s="121"/>
      <c r="V612" s="121"/>
      <c r="W612" s="121"/>
      <c r="X612" s="121"/>
      <c r="Y612" s="121"/>
      <c r="Z612" s="121"/>
    </row>
    <row r="613" spans="1:26" ht="11.25" customHeight="1" x14ac:dyDescent="0.3">
      <c r="A613" s="121"/>
      <c r="B613" s="121"/>
      <c r="C613" s="121"/>
      <c r="D613" s="121"/>
      <c r="E613" s="121"/>
      <c r="F613" s="121"/>
      <c r="G613" s="121"/>
      <c r="H613" s="121"/>
      <c r="I613" s="121"/>
      <c r="J613" s="121"/>
      <c r="K613" s="121"/>
      <c r="L613" s="121"/>
      <c r="M613" s="121"/>
      <c r="N613" s="121"/>
      <c r="O613" s="121"/>
      <c r="P613" s="121"/>
      <c r="Q613" s="121"/>
      <c r="R613" s="121"/>
      <c r="S613" s="121"/>
      <c r="T613" s="121"/>
      <c r="U613" s="121"/>
      <c r="V613" s="121"/>
      <c r="W613" s="121"/>
      <c r="X613" s="121"/>
      <c r="Y613" s="121"/>
      <c r="Z613" s="121"/>
    </row>
    <row r="614" spans="1:26" ht="11.25" customHeight="1" x14ac:dyDescent="0.3">
      <c r="A614" s="121"/>
      <c r="B614" s="121"/>
      <c r="C614" s="121"/>
      <c r="D614" s="121"/>
      <c r="E614" s="121"/>
      <c r="F614" s="121"/>
      <c r="G614" s="121"/>
      <c r="H614" s="121"/>
      <c r="I614" s="121"/>
      <c r="J614" s="121"/>
      <c r="K614" s="121"/>
      <c r="L614" s="121"/>
      <c r="M614" s="121"/>
      <c r="N614" s="121"/>
      <c r="O614" s="121"/>
      <c r="P614" s="121"/>
      <c r="Q614" s="121"/>
      <c r="R614" s="121"/>
      <c r="S614" s="121"/>
      <c r="T614" s="121"/>
      <c r="U614" s="121"/>
      <c r="V614" s="121"/>
      <c r="W614" s="121"/>
      <c r="X614" s="121"/>
      <c r="Y614" s="121"/>
      <c r="Z614" s="121"/>
    </row>
    <row r="615" spans="1:26" ht="11.25" customHeight="1" x14ac:dyDescent="0.3">
      <c r="A615" s="121"/>
      <c r="B615" s="121"/>
      <c r="C615" s="121"/>
      <c r="D615" s="121"/>
      <c r="E615" s="121"/>
      <c r="F615" s="121"/>
      <c r="G615" s="121"/>
      <c r="H615" s="121"/>
      <c r="I615" s="121"/>
      <c r="J615" s="121"/>
      <c r="K615" s="121"/>
      <c r="L615" s="121"/>
      <c r="M615" s="121"/>
      <c r="N615" s="121"/>
      <c r="O615" s="121"/>
      <c r="P615" s="121"/>
      <c r="Q615" s="121"/>
      <c r="R615" s="121"/>
      <c r="S615" s="121"/>
      <c r="T615" s="121"/>
      <c r="U615" s="121"/>
      <c r="V615" s="121"/>
      <c r="W615" s="121"/>
      <c r="X615" s="121"/>
      <c r="Y615" s="121"/>
      <c r="Z615" s="121"/>
    </row>
    <row r="616" spans="1:26" ht="11.25" customHeight="1" x14ac:dyDescent="0.3">
      <c r="A616" s="121"/>
      <c r="B616" s="121"/>
      <c r="C616" s="121"/>
      <c r="D616" s="121"/>
      <c r="E616" s="121"/>
      <c r="F616" s="121"/>
      <c r="G616" s="121"/>
      <c r="H616" s="121"/>
      <c r="I616" s="121"/>
      <c r="J616" s="121"/>
      <c r="K616" s="121"/>
      <c r="L616" s="121"/>
      <c r="M616" s="121"/>
      <c r="N616" s="121"/>
      <c r="O616" s="121"/>
      <c r="P616" s="121"/>
      <c r="Q616" s="121"/>
      <c r="R616" s="121"/>
      <c r="S616" s="121"/>
      <c r="T616" s="121"/>
      <c r="U616" s="121"/>
      <c r="V616" s="121"/>
      <c r="W616" s="121"/>
      <c r="X616" s="121"/>
      <c r="Y616" s="121"/>
      <c r="Z616" s="121"/>
    </row>
    <row r="617" spans="1:26" ht="11.25" customHeight="1" x14ac:dyDescent="0.3">
      <c r="A617" s="121"/>
      <c r="B617" s="121"/>
      <c r="C617" s="121"/>
      <c r="D617" s="121"/>
      <c r="E617" s="121"/>
      <c r="F617" s="121"/>
      <c r="G617" s="121"/>
      <c r="H617" s="121"/>
      <c r="I617" s="121"/>
      <c r="J617" s="121"/>
      <c r="K617" s="121"/>
      <c r="L617" s="121"/>
      <c r="M617" s="121"/>
      <c r="N617" s="121"/>
      <c r="O617" s="121"/>
      <c r="P617" s="121"/>
      <c r="Q617" s="121"/>
      <c r="R617" s="121"/>
      <c r="S617" s="121"/>
      <c r="T617" s="121"/>
      <c r="U617" s="121"/>
      <c r="V617" s="121"/>
      <c r="W617" s="121"/>
      <c r="X617" s="121"/>
      <c r="Y617" s="121"/>
      <c r="Z617" s="121"/>
    </row>
    <row r="618" spans="1:26" ht="11.25" customHeight="1" x14ac:dyDescent="0.3">
      <c r="A618" s="121"/>
      <c r="B618" s="121"/>
      <c r="C618" s="121"/>
      <c r="D618" s="121"/>
      <c r="E618" s="121"/>
      <c r="F618" s="121"/>
      <c r="G618" s="121"/>
      <c r="H618" s="121"/>
      <c r="I618" s="121"/>
      <c r="J618" s="121"/>
      <c r="K618" s="121"/>
      <c r="L618" s="121"/>
      <c r="M618" s="121"/>
      <c r="N618" s="121"/>
      <c r="O618" s="121"/>
      <c r="P618" s="121"/>
      <c r="Q618" s="121"/>
      <c r="R618" s="121"/>
      <c r="S618" s="121"/>
      <c r="T618" s="121"/>
      <c r="U618" s="121"/>
      <c r="V618" s="121"/>
      <c r="W618" s="121"/>
      <c r="X618" s="121"/>
      <c r="Y618" s="121"/>
      <c r="Z618" s="121"/>
    </row>
    <row r="619" spans="1:26" ht="11.25" customHeight="1" x14ac:dyDescent="0.3">
      <c r="A619" s="121"/>
      <c r="B619" s="121"/>
      <c r="C619" s="121"/>
      <c r="D619" s="121"/>
      <c r="E619" s="121"/>
      <c r="F619" s="121"/>
      <c r="G619" s="121"/>
      <c r="H619" s="121"/>
      <c r="I619" s="121"/>
      <c r="J619" s="121"/>
      <c r="K619" s="121"/>
      <c r="L619" s="121"/>
      <c r="M619" s="121"/>
      <c r="N619" s="121"/>
      <c r="O619" s="121"/>
      <c r="P619" s="121"/>
      <c r="Q619" s="121"/>
      <c r="R619" s="121"/>
      <c r="S619" s="121"/>
      <c r="T619" s="121"/>
      <c r="U619" s="121"/>
      <c r="V619" s="121"/>
      <c r="W619" s="121"/>
      <c r="X619" s="121"/>
      <c r="Y619" s="121"/>
      <c r="Z619" s="121"/>
    </row>
    <row r="620" spans="1:26" ht="11.25" customHeight="1" x14ac:dyDescent="0.3">
      <c r="A620" s="121"/>
      <c r="B620" s="121"/>
      <c r="C620" s="121"/>
      <c r="D620" s="121"/>
      <c r="E620" s="121"/>
      <c r="F620" s="121"/>
      <c r="G620" s="121"/>
      <c r="H620" s="121"/>
      <c r="I620" s="121"/>
      <c r="J620" s="121"/>
      <c r="K620" s="121"/>
      <c r="L620" s="121"/>
      <c r="M620" s="121"/>
      <c r="N620" s="121"/>
      <c r="O620" s="121"/>
      <c r="P620" s="121"/>
      <c r="Q620" s="121"/>
      <c r="R620" s="121"/>
      <c r="S620" s="121"/>
      <c r="T620" s="121"/>
      <c r="U620" s="121"/>
      <c r="V620" s="121"/>
      <c r="W620" s="121"/>
      <c r="X620" s="121"/>
      <c r="Y620" s="121"/>
      <c r="Z620" s="121"/>
    </row>
    <row r="621" spans="1:26" ht="11.25" customHeight="1" x14ac:dyDescent="0.3">
      <c r="A621" s="121"/>
      <c r="B621" s="121"/>
      <c r="C621" s="121"/>
      <c r="D621" s="121"/>
      <c r="E621" s="121"/>
      <c r="F621" s="121"/>
      <c r="G621" s="121"/>
      <c r="H621" s="121"/>
      <c r="I621" s="121"/>
      <c r="J621" s="121"/>
      <c r="K621" s="121"/>
      <c r="L621" s="121"/>
      <c r="M621" s="121"/>
      <c r="N621" s="121"/>
      <c r="O621" s="121"/>
      <c r="P621" s="121"/>
      <c r="Q621" s="121"/>
      <c r="R621" s="121"/>
      <c r="S621" s="121"/>
      <c r="T621" s="121"/>
      <c r="U621" s="121"/>
      <c r="V621" s="121"/>
      <c r="W621" s="121"/>
      <c r="X621" s="121"/>
      <c r="Y621" s="121"/>
      <c r="Z621" s="121"/>
    </row>
    <row r="622" spans="1:26" ht="11.25" customHeight="1" x14ac:dyDescent="0.3">
      <c r="A622" s="121"/>
      <c r="B622" s="121"/>
      <c r="C622" s="121"/>
      <c r="D622" s="121"/>
      <c r="E622" s="121"/>
      <c r="F622" s="121"/>
      <c r="G622" s="121"/>
      <c r="H622" s="121"/>
      <c r="I622" s="121"/>
      <c r="J622" s="121"/>
      <c r="K622" s="121"/>
      <c r="L622" s="121"/>
      <c r="M622" s="121"/>
      <c r="N622" s="121"/>
      <c r="O622" s="121"/>
      <c r="P622" s="121"/>
      <c r="Q622" s="121"/>
      <c r="R622" s="121"/>
      <c r="S622" s="121"/>
      <c r="T622" s="121"/>
      <c r="U622" s="121"/>
      <c r="V622" s="121"/>
      <c r="W622" s="121"/>
      <c r="X622" s="121"/>
      <c r="Y622" s="121"/>
      <c r="Z622" s="121"/>
    </row>
    <row r="623" spans="1:26" ht="11.25" customHeight="1" x14ac:dyDescent="0.3">
      <c r="A623" s="121"/>
      <c r="B623" s="121"/>
      <c r="C623" s="121"/>
      <c r="D623" s="121"/>
      <c r="E623" s="121"/>
      <c r="F623" s="121"/>
      <c r="G623" s="121"/>
      <c r="H623" s="121"/>
      <c r="I623" s="121"/>
      <c r="J623" s="121"/>
      <c r="K623" s="121"/>
      <c r="L623" s="121"/>
      <c r="M623" s="121"/>
      <c r="N623" s="121"/>
      <c r="O623" s="121"/>
      <c r="P623" s="121"/>
      <c r="Q623" s="121"/>
      <c r="R623" s="121"/>
      <c r="S623" s="121"/>
      <c r="T623" s="121"/>
      <c r="U623" s="121"/>
      <c r="V623" s="121"/>
      <c r="W623" s="121"/>
      <c r="X623" s="121"/>
      <c r="Y623" s="121"/>
      <c r="Z623" s="121"/>
    </row>
    <row r="624" spans="1:26" ht="11.25" customHeight="1" x14ac:dyDescent="0.3">
      <c r="A624" s="121"/>
      <c r="B624" s="121"/>
      <c r="C624" s="121"/>
      <c r="D624" s="121"/>
      <c r="E624" s="121"/>
      <c r="F624" s="121"/>
      <c r="G624" s="121"/>
      <c r="H624" s="121"/>
      <c r="I624" s="121"/>
      <c r="J624" s="121"/>
      <c r="K624" s="121"/>
      <c r="L624" s="121"/>
      <c r="M624" s="121"/>
      <c r="N624" s="121"/>
      <c r="O624" s="121"/>
      <c r="P624" s="121"/>
      <c r="Q624" s="121"/>
      <c r="R624" s="121"/>
      <c r="S624" s="121"/>
      <c r="T624" s="121"/>
      <c r="U624" s="121"/>
      <c r="V624" s="121"/>
      <c r="W624" s="121"/>
      <c r="X624" s="121"/>
      <c r="Y624" s="121"/>
      <c r="Z624" s="121"/>
    </row>
    <row r="625" spans="1:26" ht="11.25" customHeight="1" x14ac:dyDescent="0.3">
      <c r="A625" s="121"/>
      <c r="B625" s="121"/>
      <c r="C625" s="121"/>
      <c r="D625" s="121"/>
      <c r="E625" s="121"/>
      <c r="F625" s="121"/>
      <c r="G625" s="121"/>
      <c r="H625" s="121"/>
      <c r="I625" s="121"/>
      <c r="J625" s="121"/>
      <c r="K625" s="121"/>
      <c r="L625" s="121"/>
      <c r="M625" s="121"/>
      <c r="N625" s="121"/>
      <c r="O625" s="121"/>
      <c r="P625" s="121"/>
      <c r="Q625" s="121"/>
      <c r="R625" s="121"/>
      <c r="S625" s="121"/>
      <c r="T625" s="121"/>
      <c r="U625" s="121"/>
      <c r="V625" s="121"/>
      <c r="W625" s="121"/>
      <c r="X625" s="121"/>
      <c r="Y625" s="121"/>
      <c r="Z625" s="121"/>
    </row>
    <row r="626" spans="1:26" ht="11.25" customHeight="1" x14ac:dyDescent="0.3">
      <c r="A626" s="121"/>
      <c r="B626" s="121"/>
      <c r="C626" s="121"/>
      <c r="D626" s="121"/>
      <c r="E626" s="121"/>
      <c r="F626" s="121"/>
      <c r="G626" s="121"/>
      <c r="H626" s="121"/>
      <c r="I626" s="121"/>
      <c r="J626" s="121"/>
      <c r="K626" s="121"/>
      <c r="L626" s="121"/>
      <c r="M626" s="121"/>
      <c r="N626" s="121"/>
      <c r="O626" s="121"/>
      <c r="P626" s="121"/>
      <c r="Q626" s="121"/>
      <c r="R626" s="121"/>
      <c r="S626" s="121"/>
      <c r="T626" s="121"/>
      <c r="U626" s="121"/>
      <c r="V626" s="121"/>
      <c r="W626" s="121"/>
      <c r="X626" s="121"/>
      <c r="Y626" s="121"/>
      <c r="Z626" s="121"/>
    </row>
    <row r="627" spans="1:26" ht="11.25" customHeight="1" x14ac:dyDescent="0.3">
      <c r="A627" s="121"/>
      <c r="B627" s="121"/>
      <c r="C627" s="121"/>
      <c r="D627" s="121"/>
      <c r="E627" s="121"/>
      <c r="F627" s="121"/>
      <c r="G627" s="121"/>
      <c r="H627" s="121"/>
      <c r="I627" s="121"/>
      <c r="J627" s="121"/>
      <c r="K627" s="121"/>
      <c r="L627" s="121"/>
      <c r="M627" s="121"/>
      <c r="N627" s="121"/>
      <c r="O627" s="121"/>
      <c r="P627" s="121"/>
      <c r="Q627" s="121"/>
      <c r="R627" s="121"/>
      <c r="S627" s="121"/>
      <c r="T627" s="121"/>
      <c r="U627" s="121"/>
      <c r="V627" s="121"/>
      <c r="W627" s="121"/>
      <c r="X627" s="121"/>
      <c r="Y627" s="121"/>
      <c r="Z627" s="121"/>
    </row>
    <row r="628" spans="1:26" ht="11.25" customHeight="1" x14ac:dyDescent="0.3">
      <c r="A628" s="121"/>
      <c r="B628" s="121"/>
      <c r="C628" s="121"/>
      <c r="D628" s="121"/>
      <c r="E628" s="121"/>
      <c r="F628" s="121"/>
      <c r="G628" s="121"/>
      <c r="H628" s="121"/>
      <c r="I628" s="121"/>
      <c r="J628" s="121"/>
      <c r="K628" s="121"/>
      <c r="L628" s="121"/>
      <c r="M628" s="121"/>
      <c r="N628" s="121"/>
      <c r="O628" s="121"/>
      <c r="P628" s="121"/>
      <c r="Q628" s="121"/>
      <c r="R628" s="121"/>
      <c r="S628" s="121"/>
      <c r="T628" s="121"/>
      <c r="U628" s="121"/>
      <c r="V628" s="121"/>
      <c r="W628" s="121"/>
      <c r="X628" s="121"/>
      <c r="Y628" s="121"/>
      <c r="Z628" s="121"/>
    </row>
    <row r="629" spans="1:26" ht="11.25" customHeight="1" x14ac:dyDescent="0.3">
      <c r="A629" s="121"/>
      <c r="B629" s="121"/>
      <c r="C629" s="121"/>
      <c r="D629" s="121"/>
      <c r="E629" s="121"/>
      <c r="F629" s="121"/>
      <c r="G629" s="121"/>
      <c r="H629" s="121"/>
      <c r="I629" s="121"/>
      <c r="J629" s="121"/>
      <c r="K629" s="121"/>
      <c r="L629" s="121"/>
      <c r="M629" s="121"/>
      <c r="N629" s="121"/>
      <c r="O629" s="121"/>
      <c r="P629" s="121"/>
      <c r="Q629" s="121"/>
      <c r="R629" s="121"/>
      <c r="S629" s="121"/>
      <c r="T629" s="121"/>
      <c r="U629" s="121"/>
      <c r="V629" s="121"/>
      <c r="W629" s="121"/>
      <c r="X629" s="121"/>
      <c r="Y629" s="121"/>
      <c r="Z629" s="121"/>
    </row>
    <row r="630" spans="1:26" ht="11.25" customHeight="1" x14ac:dyDescent="0.3">
      <c r="A630" s="121"/>
      <c r="B630" s="121"/>
      <c r="C630" s="121"/>
      <c r="D630" s="121"/>
      <c r="E630" s="121"/>
      <c r="F630" s="121"/>
      <c r="G630" s="121"/>
      <c r="H630" s="121"/>
      <c r="I630" s="121"/>
      <c r="J630" s="121"/>
      <c r="K630" s="121"/>
      <c r="L630" s="121"/>
      <c r="M630" s="121"/>
      <c r="N630" s="121"/>
      <c r="O630" s="121"/>
      <c r="P630" s="121"/>
      <c r="Q630" s="121"/>
      <c r="R630" s="121"/>
      <c r="S630" s="121"/>
      <c r="T630" s="121"/>
      <c r="U630" s="121"/>
      <c r="V630" s="121"/>
      <c r="W630" s="121"/>
      <c r="X630" s="121"/>
      <c r="Y630" s="121"/>
      <c r="Z630" s="121"/>
    </row>
    <row r="631" spans="1:26" ht="11.25" customHeight="1" x14ac:dyDescent="0.3">
      <c r="A631" s="121"/>
      <c r="B631" s="121"/>
      <c r="C631" s="121"/>
      <c r="D631" s="121"/>
      <c r="E631" s="121"/>
      <c r="F631" s="121"/>
      <c r="G631" s="121"/>
      <c r="H631" s="121"/>
      <c r="I631" s="121"/>
      <c r="J631" s="121"/>
      <c r="K631" s="121"/>
      <c r="L631" s="121"/>
      <c r="M631" s="121"/>
      <c r="N631" s="121"/>
      <c r="O631" s="121"/>
      <c r="P631" s="121"/>
      <c r="Q631" s="121"/>
      <c r="R631" s="121"/>
      <c r="S631" s="121"/>
      <c r="T631" s="121"/>
      <c r="U631" s="121"/>
      <c r="V631" s="121"/>
      <c r="W631" s="121"/>
      <c r="X631" s="121"/>
      <c r="Y631" s="121"/>
      <c r="Z631" s="121"/>
    </row>
    <row r="632" spans="1:26" ht="11.25" customHeight="1" x14ac:dyDescent="0.3">
      <c r="A632" s="121"/>
      <c r="B632" s="121"/>
      <c r="C632" s="121"/>
      <c r="D632" s="121"/>
      <c r="E632" s="121"/>
      <c r="F632" s="121"/>
      <c r="G632" s="121"/>
      <c r="H632" s="121"/>
      <c r="I632" s="121"/>
      <c r="J632" s="121"/>
      <c r="K632" s="121"/>
      <c r="L632" s="121"/>
      <c r="M632" s="121"/>
      <c r="N632" s="121"/>
      <c r="O632" s="121"/>
      <c r="P632" s="121"/>
      <c r="Q632" s="121"/>
      <c r="R632" s="121"/>
      <c r="S632" s="121"/>
      <c r="T632" s="121"/>
      <c r="U632" s="121"/>
      <c r="V632" s="121"/>
      <c r="W632" s="121"/>
      <c r="X632" s="121"/>
      <c r="Y632" s="121"/>
      <c r="Z632" s="121"/>
    </row>
    <row r="633" spans="1:26" ht="11.25" customHeight="1" x14ac:dyDescent="0.3">
      <c r="A633" s="121"/>
      <c r="B633" s="121"/>
      <c r="C633" s="121"/>
      <c r="D633" s="121"/>
      <c r="E633" s="121"/>
      <c r="F633" s="121"/>
      <c r="G633" s="121"/>
      <c r="H633" s="121"/>
      <c r="I633" s="121"/>
      <c r="J633" s="121"/>
      <c r="K633" s="121"/>
      <c r="L633" s="121"/>
      <c r="M633" s="121"/>
      <c r="N633" s="121"/>
      <c r="O633" s="121"/>
      <c r="P633" s="121"/>
      <c r="Q633" s="121"/>
      <c r="R633" s="121"/>
      <c r="S633" s="121"/>
      <c r="T633" s="121"/>
      <c r="U633" s="121"/>
      <c r="V633" s="121"/>
      <c r="W633" s="121"/>
      <c r="X633" s="121"/>
      <c r="Y633" s="121"/>
      <c r="Z633" s="121"/>
    </row>
    <row r="634" spans="1:26" ht="11.25" customHeight="1" x14ac:dyDescent="0.3">
      <c r="A634" s="121"/>
      <c r="B634" s="121"/>
      <c r="C634" s="121"/>
      <c r="D634" s="121"/>
      <c r="E634" s="121"/>
      <c r="F634" s="121"/>
      <c r="G634" s="121"/>
      <c r="H634" s="121"/>
      <c r="I634" s="121"/>
      <c r="J634" s="121"/>
      <c r="K634" s="121"/>
      <c r="L634" s="121"/>
      <c r="M634" s="121"/>
      <c r="N634" s="121"/>
      <c r="O634" s="121"/>
      <c r="P634" s="121"/>
      <c r="Q634" s="121"/>
      <c r="R634" s="121"/>
      <c r="S634" s="121"/>
      <c r="T634" s="121"/>
      <c r="U634" s="121"/>
      <c r="V634" s="121"/>
      <c r="W634" s="121"/>
      <c r="X634" s="121"/>
      <c r="Y634" s="121"/>
      <c r="Z634" s="121"/>
    </row>
    <row r="635" spans="1:26" ht="11.25" customHeight="1" x14ac:dyDescent="0.3">
      <c r="A635" s="121"/>
      <c r="B635" s="121"/>
      <c r="C635" s="121"/>
      <c r="D635" s="121"/>
      <c r="E635" s="121"/>
      <c r="F635" s="121"/>
      <c r="G635" s="121"/>
      <c r="H635" s="121"/>
      <c r="I635" s="121"/>
      <c r="J635" s="121"/>
      <c r="K635" s="121"/>
      <c r="L635" s="121"/>
      <c r="M635" s="121"/>
      <c r="N635" s="121"/>
      <c r="O635" s="121"/>
      <c r="P635" s="121"/>
      <c r="Q635" s="121"/>
      <c r="R635" s="121"/>
      <c r="S635" s="121"/>
      <c r="T635" s="121"/>
      <c r="U635" s="121"/>
      <c r="V635" s="121"/>
      <c r="W635" s="121"/>
      <c r="X635" s="121"/>
      <c r="Y635" s="121"/>
      <c r="Z635" s="121"/>
    </row>
    <row r="636" spans="1:26" ht="11.25" customHeight="1" x14ac:dyDescent="0.3">
      <c r="A636" s="121"/>
      <c r="B636" s="121"/>
      <c r="C636" s="121"/>
      <c r="D636" s="121"/>
      <c r="E636" s="121"/>
      <c r="F636" s="121"/>
      <c r="G636" s="121"/>
      <c r="H636" s="121"/>
      <c r="I636" s="121"/>
      <c r="J636" s="121"/>
      <c r="K636" s="121"/>
      <c r="L636" s="121"/>
      <c r="M636" s="121"/>
      <c r="N636" s="121"/>
      <c r="O636" s="121"/>
      <c r="P636" s="121"/>
      <c r="Q636" s="121"/>
      <c r="R636" s="121"/>
      <c r="S636" s="121"/>
      <c r="T636" s="121"/>
      <c r="U636" s="121"/>
      <c r="V636" s="121"/>
      <c r="W636" s="121"/>
      <c r="X636" s="121"/>
      <c r="Y636" s="121"/>
      <c r="Z636" s="121"/>
    </row>
    <row r="637" spans="1:26" ht="11.25" customHeight="1" x14ac:dyDescent="0.3">
      <c r="A637" s="121"/>
      <c r="B637" s="121"/>
      <c r="C637" s="121"/>
      <c r="D637" s="121"/>
      <c r="E637" s="121"/>
      <c r="F637" s="121"/>
      <c r="G637" s="121"/>
      <c r="H637" s="121"/>
      <c r="I637" s="121"/>
      <c r="J637" s="121"/>
      <c r="K637" s="121"/>
      <c r="L637" s="121"/>
      <c r="M637" s="121"/>
      <c r="N637" s="121"/>
      <c r="O637" s="121"/>
      <c r="P637" s="121"/>
      <c r="Q637" s="121"/>
      <c r="R637" s="121"/>
      <c r="S637" s="121"/>
      <c r="T637" s="121"/>
      <c r="U637" s="121"/>
      <c r="V637" s="121"/>
      <c r="W637" s="121"/>
      <c r="X637" s="121"/>
      <c r="Y637" s="121"/>
      <c r="Z637" s="121"/>
    </row>
    <row r="638" spans="1:26" ht="11.25" customHeight="1" x14ac:dyDescent="0.3">
      <c r="A638" s="121"/>
      <c r="B638" s="121"/>
      <c r="C638" s="121"/>
      <c r="D638" s="121"/>
      <c r="E638" s="121"/>
      <c r="F638" s="121"/>
      <c r="G638" s="121"/>
      <c r="H638" s="121"/>
      <c r="I638" s="121"/>
      <c r="J638" s="121"/>
      <c r="K638" s="121"/>
      <c r="L638" s="121"/>
      <c r="M638" s="121"/>
      <c r="N638" s="121"/>
      <c r="O638" s="121"/>
      <c r="P638" s="121"/>
      <c r="Q638" s="121"/>
      <c r="R638" s="121"/>
      <c r="S638" s="121"/>
      <c r="T638" s="121"/>
      <c r="U638" s="121"/>
      <c r="V638" s="121"/>
      <c r="W638" s="121"/>
      <c r="X638" s="121"/>
      <c r="Y638" s="121"/>
      <c r="Z638" s="121"/>
    </row>
    <row r="639" spans="1:26" ht="11.25" customHeight="1" x14ac:dyDescent="0.3">
      <c r="A639" s="121"/>
      <c r="B639" s="121"/>
      <c r="C639" s="121"/>
      <c r="D639" s="121"/>
      <c r="E639" s="121"/>
      <c r="F639" s="121"/>
      <c r="G639" s="121"/>
      <c r="H639" s="121"/>
      <c r="I639" s="121"/>
      <c r="J639" s="121"/>
      <c r="K639" s="121"/>
      <c r="L639" s="121"/>
      <c r="M639" s="121"/>
      <c r="N639" s="121"/>
      <c r="O639" s="121"/>
      <c r="P639" s="121"/>
      <c r="Q639" s="121"/>
      <c r="R639" s="121"/>
      <c r="S639" s="121"/>
      <c r="T639" s="121"/>
      <c r="U639" s="121"/>
      <c r="V639" s="121"/>
      <c r="W639" s="121"/>
      <c r="X639" s="121"/>
      <c r="Y639" s="121"/>
      <c r="Z639" s="121"/>
    </row>
    <row r="640" spans="1:26" ht="11.25" customHeight="1" x14ac:dyDescent="0.3">
      <c r="A640" s="121"/>
      <c r="B640" s="121"/>
      <c r="C640" s="121"/>
      <c r="D640" s="121"/>
      <c r="E640" s="121"/>
      <c r="F640" s="121"/>
      <c r="G640" s="121"/>
      <c r="H640" s="121"/>
      <c r="I640" s="121"/>
      <c r="J640" s="121"/>
      <c r="K640" s="121"/>
      <c r="L640" s="121"/>
      <c r="M640" s="121"/>
      <c r="N640" s="121"/>
      <c r="O640" s="121"/>
      <c r="P640" s="121"/>
      <c r="Q640" s="121"/>
      <c r="R640" s="121"/>
      <c r="S640" s="121"/>
      <c r="T640" s="121"/>
      <c r="U640" s="121"/>
      <c r="V640" s="121"/>
      <c r="W640" s="121"/>
      <c r="X640" s="121"/>
      <c r="Y640" s="121"/>
      <c r="Z640" s="121"/>
    </row>
    <row r="641" spans="1:26" ht="11.25" customHeight="1" x14ac:dyDescent="0.3">
      <c r="A641" s="121"/>
      <c r="B641" s="121"/>
      <c r="C641" s="121"/>
      <c r="D641" s="121"/>
      <c r="E641" s="121"/>
      <c r="F641" s="121"/>
      <c r="G641" s="121"/>
      <c r="H641" s="121"/>
      <c r="I641" s="121"/>
      <c r="J641" s="121"/>
      <c r="K641" s="121"/>
      <c r="L641" s="121"/>
      <c r="M641" s="121"/>
      <c r="N641" s="121"/>
      <c r="O641" s="121"/>
      <c r="P641" s="121"/>
      <c r="Q641" s="121"/>
      <c r="R641" s="121"/>
      <c r="S641" s="121"/>
      <c r="T641" s="121"/>
      <c r="U641" s="121"/>
      <c r="V641" s="121"/>
      <c r="W641" s="121"/>
      <c r="X641" s="121"/>
      <c r="Y641" s="121"/>
      <c r="Z641" s="121"/>
    </row>
    <row r="642" spans="1:26" ht="11.25" customHeight="1" x14ac:dyDescent="0.3">
      <c r="A642" s="121"/>
      <c r="B642" s="121"/>
      <c r="C642" s="121"/>
      <c r="D642" s="121"/>
      <c r="E642" s="121"/>
      <c r="F642" s="121"/>
      <c r="G642" s="121"/>
      <c r="H642" s="121"/>
      <c r="I642" s="121"/>
      <c r="J642" s="121"/>
      <c r="K642" s="121"/>
      <c r="L642" s="121"/>
      <c r="M642" s="121"/>
      <c r="N642" s="121"/>
      <c r="O642" s="121"/>
      <c r="P642" s="121"/>
      <c r="Q642" s="121"/>
      <c r="R642" s="121"/>
      <c r="S642" s="121"/>
      <c r="T642" s="121"/>
      <c r="U642" s="121"/>
      <c r="V642" s="121"/>
      <c r="W642" s="121"/>
      <c r="X642" s="121"/>
      <c r="Y642" s="121"/>
      <c r="Z642" s="121"/>
    </row>
    <row r="643" spans="1:26" ht="11.25" customHeight="1" x14ac:dyDescent="0.3">
      <c r="A643" s="121"/>
      <c r="B643" s="121"/>
      <c r="C643" s="121"/>
      <c r="D643" s="121"/>
      <c r="E643" s="121"/>
      <c r="F643" s="121"/>
      <c r="G643" s="121"/>
      <c r="H643" s="121"/>
      <c r="I643" s="121"/>
      <c r="J643" s="121"/>
      <c r="K643" s="121"/>
      <c r="L643" s="121"/>
      <c r="M643" s="121"/>
      <c r="N643" s="121"/>
      <c r="O643" s="121"/>
      <c r="P643" s="121"/>
      <c r="Q643" s="121"/>
      <c r="R643" s="121"/>
      <c r="S643" s="121"/>
      <c r="T643" s="121"/>
      <c r="U643" s="121"/>
      <c r="V643" s="121"/>
      <c r="W643" s="121"/>
      <c r="X643" s="121"/>
      <c r="Y643" s="121"/>
      <c r="Z643" s="121"/>
    </row>
    <row r="644" spans="1:26" ht="11.25" customHeight="1" x14ac:dyDescent="0.3">
      <c r="A644" s="121"/>
      <c r="B644" s="121"/>
      <c r="C644" s="121"/>
      <c r="D644" s="121"/>
      <c r="E644" s="121"/>
      <c r="F644" s="121"/>
      <c r="G644" s="121"/>
      <c r="H644" s="121"/>
      <c r="I644" s="121"/>
      <c r="J644" s="121"/>
      <c r="K644" s="121"/>
      <c r="L644" s="121"/>
      <c r="M644" s="121"/>
      <c r="N644" s="121"/>
      <c r="O644" s="121"/>
      <c r="P644" s="121"/>
      <c r="Q644" s="121"/>
      <c r="R644" s="121"/>
      <c r="S644" s="121"/>
      <c r="T644" s="121"/>
      <c r="U644" s="121"/>
      <c r="V644" s="121"/>
      <c r="W644" s="121"/>
      <c r="X644" s="121"/>
      <c r="Y644" s="121"/>
      <c r="Z644" s="121"/>
    </row>
    <row r="645" spans="1:26" ht="11.25" customHeight="1" x14ac:dyDescent="0.3">
      <c r="A645" s="121"/>
      <c r="B645" s="121"/>
      <c r="C645" s="121"/>
      <c r="D645" s="121"/>
      <c r="E645" s="121"/>
      <c r="F645" s="121"/>
      <c r="G645" s="121"/>
      <c r="H645" s="121"/>
      <c r="I645" s="121"/>
      <c r="J645" s="121"/>
      <c r="K645" s="121"/>
      <c r="L645" s="121"/>
      <c r="M645" s="121"/>
      <c r="N645" s="121"/>
      <c r="O645" s="121"/>
      <c r="P645" s="121"/>
      <c r="Q645" s="121"/>
      <c r="R645" s="121"/>
      <c r="S645" s="121"/>
      <c r="T645" s="121"/>
      <c r="U645" s="121"/>
      <c r="V645" s="121"/>
      <c r="W645" s="121"/>
      <c r="X645" s="121"/>
      <c r="Y645" s="121"/>
      <c r="Z645" s="121"/>
    </row>
    <row r="646" spans="1:26" ht="11.25" customHeight="1" x14ac:dyDescent="0.3">
      <c r="A646" s="121"/>
      <c r="B646" s="121"/>
      <c r="C646" s="121"/>
      <c r="D646" s="121"/>
      <c r="E646" s="121"/>
      <c r="F646" s="121"/>
      <c r="G646" s="121"/>
      <c r="H646" s="121"/>
      <c r="I646" s="121"/>
      <c r="J646" s="121"/>
      <c r="K646" s="121"/>
      <c r="L646" s="121"/>
      <c r="M646" s="121"/>
      <c r="N646" s="121"/>
      <c r="O646" s="121"/>
      <c r="P646" s="121"/>
      <c r="Q646" s="121"/>
      <c r="R646" s="121"/>
      <c r="S646" s="121"/>
      <c r="T646" s="121"/>
      <c r="U646" s="121"/>
      <c r="V646" s="121"/>
      <c r="W646" s="121"/>
      <c r="X646" s="121"/>
      <c r="Y646" s="121"/>
      <c r="Z646" s="121"/>
    </row>
    <row r="647" spans="1:26" ht="11.25" customHeight="1" x14ac:dyDescent="0.3">
      <c r="A647" s="121"/>
      <c r="B647" s="121"/>
      <c r="C647" s="121"/>
      <c r="D647" s="121"/>
      <c r="E647" s="121"/>
      <c r="F647" s="121"/>
      <c r="G647" s="121"/>
      <c r="H647" s="121"/>
      <c r="I647" s="121"/>
      <c r="J647" s="121"/>
      <c r="K647" s="121"/>
      <c r="L647" s="121"/>
      <c r="M647" s="121"/>
      <c r="N647" s="121"/>
      <c r="O647" s="121"/>
      <c r="P647" s="121"/>
      <c r="Q647" s="121"/>
      <c r="R647" s="121"/>
      <c r="S647" s="121"/>
      <c r="T647" s="121"/>
      <c r="U647" s="121"/>
      <c r="V647" s="121"/>
      <c r="W647" s="121"/>
      <c r="X647" s="121"/>
      <c r="Y647" s="121"/>
      <c r="Z647" s="121"/>
    </row>
    <row r="648" spans="1:26" ht="11.25" customHeight="1" x14ac:dyDescent="0.3">
      <c r="A648" s="121"/>
      <c r="B648" s="121"/>
      <c r="C648" s="121"/>
      <c r="D648" s="121"/>
      <c r="E648" s="121"/>
      <c r="F648" s="121"/>
      <c r="G648" s="121"/>
      <c r="H648" s="121"/>
      <c r="I648" s="121"/>
      <c r="J648" s="121"/>
      <c r="K648" s="121"/>
      <c r="L648" s="121"/>
      <c r="M648" s="121"/>
      <c r="N648" s="121"/>
      <c r="O648" s="121"/>
      <c r="P648" s="121"/>
      <c r="Q648" s="121"/>
      <c r="R648" s="121"/>
      <c r="S648" s="121"/>
      <c r="T648" s="121"/>
      <c r="U648" s="121"/>
      <c r="V648" s="121"/>
      <c r="W648" s="121"/>
      <c r="X648" s="121"/>
      <c r="Y648" s="121"/>
      <c r="Z648" s="121"/>
    </row>
    <row r="649" spans="1:26" ht="11.25" customHeight="1" x14ac:dyDescent="0.3">
      <c r="A649" s="121"/>
      <c r="B649" s="121"/>
      <c r="C649" s="121"/>
      <c r="D649" s="121"/>
      <c r="E649" s="121"/>
      <c r="F649" s="121"/>
      <c r="G649" s="121"/>
      <c r="H649" s="121"/>
      <c r="I649" s="121"/>
      <c r="J649" s="121"/>
      <c r="K649" s="121"/>
      <c r="L649" s="121"/>
      <c r="M649" s="121"/>
      <c r="N649" s="121"/>
      <c r="O649" s="121"/>
      <c r="P649" s="121"/>
      <c r="Q649" s="121"/>
      <c r="R649" s="121"/>
      <c r="S649" s="121"/>
      <c r="T649" s="121"/>
      <c r="U649" s="121"/>
      <c r="V649" s="121"/>
      <c r="W649" s="121"/>
      <c r="X649" s="121"/>
      <c r="Y649" s="121"/>
      <c r="Z649" s="121"/>
    </row>
    <row r="650" spans="1:26" ht="11.25" customHeight="1" x14ac:dyDescent="0.3">
      <c r="A650" s="121"/>
      <c r="B650" s="121"/>
      <c r="C650" s="121"/>
      <c r="D650" s="121"/>
      <c r="E650" s="121"/>
      <c r="F650" s="121"/>
      <c r="G650" s="121"/>
      <c r="H650" s="121"/>
      <c r="I650" s="121"/>
      <c r="J650" s="121"/>
      <c r="K650" s="121"/>
      <c r="L650" s="121"/>
      <c r="M650" s="121"/>
      <c r="N650" s="121"/>
      <c r="O650" s="121"/>
      <c r="P650" s="121"/>
      <c r="Q650" s="121"/>
      <c r="R650" s="121"/>
      <c r="S650" s="121"/>
      <c r="T650" s="121"/>
      <c r="U650" s="121"/>
      <c r="V650" s="121"/>
      <c r="W650" s="121"/>
      <c r="X650" s="121"/>
      <c r="Y650" s="121"/>
      <c r="Z650" s="121"/>
    </row>
    <row r="651" spans="1:26" ht="11.25" customHeight="1" x14ac:dyDescent="0.3">
      <c r="A651" s="121"/>
      <c r="B651" s="121"/>
      <c r="C651" s="121"/>
      <c r="D651" s="121"/>
      <c r="E651" s="121"/>
      <c r="F651" s="121"/>
      <c r="G651" s="121"/>
      <c r="H651" s="121"/>
      <c r="I651" s="121"/>
      <c r="J651" s="121"/>
      <c r="K651" s="121"/>
      <c r="L651" s="121"/>
      <c r="M651" s="121"/>
      <c r="N651" s="121"/>
      <c r="O651" s="121"/>
      <c r="P651" s="121"/>
      <c r="Q651" s="121"/>
      <c r="R651" s="121"/>
      <c r="S651" s="121"/>
      <c r="T651" s="121"/>
      <c r="U651" s="121"/>
      <c r="V651" s="121"/>
      <c r="W651" s="121"/>
      <c r="X651" s="121"/>
      <c r="Y651" s="121"/>
      <c r="Z651" s="121"/>
    </row>
    <row r="652" spans="1:26" ht="11.25" customHeight="1" x14ac:dyDescent="0.3">
      <c r="A652" s="121"/>
      <c r="B652" s="121"/>
      <c r="C652" s="121"/>
      <c r="D652" s="121"/>
      <c r="E652" s="121"/>
      <c r="F652" s="121"/>
      <c r="G652" s="121"/>
      <c r="H652" s="121"/>
      <c r="I652" s="121"/>
      <c r="J652" s="121"/>
      <c r="K652" s="121"/>
      <c r="L652" s="121"/>
      <c r="M652" s="121"/>
      <c r="N652" s="121"/>
      <c r="O652" s="121"/>
      <c r="P652" s="121"/>
      <c r="Q652" s="121"/>
      <c r="R652" s="121"/>
      <c r="S652" s="121"/>
      <c r="T652" s="121"/>
      <c r="U652" s="121"/>
      <c r="V652" s="121"/>
      <c r="W652" s="121"/>
      <c r="X652" s="121"/>
      <c r="Y652" s="121"/>
      <c r="Z652" s="121"/>
    </row>
    <row r="653" spans="1:26" ht="11.25" customHeight="1" x14ac:dyDescent="0.3">
      <c r="A653" s="121"/>
      <c r="B653" s="121"/>
      <c r="C653" s="121"/>
      <c r="D653" s="121"/>
      <c r="E653" s="121"/>
      <c r="F653" s="121"/>
      <c r="G653" s="121"/>
      <c r="H653" s="121"/>
      <c r="I653" s="121"/>
      <c r="J653" s="121"/>
      <c r="K653" s="121"/>
      <c r="L653" s="121"/>
      <c r="M653" s="121"/>
      <c r="N653" s="121"/>
      <c r="O653" s="121"/>
      <c r="P653" s="121"/>
      <c r="Q653" s="121"/>
      <c r="R653" s="121"/>
      <c r="S653" s="121"/>
      <c r="T653" s="121"/>
      <c r="U653" s="121"/>
      <c r="V653" s="121"/>
      <c r="W653" s="121"/>
      <c r="X653" s="121"/>
      <c r="Y653" s="121"/>
      <c r="Z653" s="121"/>
    </row>
    <row r="654" spans="1:26" ht="11.25" customHeight="1" x14ac:dyDescent="0.3">
      <c r="A654" s="121"/>
      <c r="B654" s="121"/>
      <c r="C654" s="121"/>
      <c r="D654" s="121"/>
      <c r="E654" s="121"/>
      <c r="F654" s="121"/>
      <c r="G654" s="121"/>
      <c r="H654" s="121"/>
      <c r="I654" s="121"/>
      <c r="J654" s="121"/>
      <c r="K654" s="121"/>
      <c r="L654" s="121"/>
      <c r="M654" s="121"/>
      <c r="N654" s="121"/>
      <c r="O654" s="121"/>
      <c r="P654" s="121"/>
      <c r="Q654" s="121"/>
      <c r="R654" s="121"/>
      <c r="S654" s="121"/>
      <c r="T654" s="121"/>
      <c r="U654" s="121"/>
      <c r="V654" s="121"/>
      <c r="W654" s="121"/>
      <c r="X654" s="121"/>
      <c r="Y654" s="121"/>
      <c r="Z654" s="121"/>
    </row>
    <row r="655" spans="1:26" ht="11.25" customHeight="1" x14ac:dyDescent="0.3">
      <c r="A655" s="121"/>
      <c r="B655" s="121"/>
      <c r="C655" s="121"/>
      <c r="D655" s="121"/>
      <c r="E655" s="121"/>
      <c r="F655" s="121"/>
      <c r="G655" s="121"/>
      <c r="H655" s="121"/>
      <c r="I655" s="121"/>
      <c r="J655" s="121"/>
      <c r="K655" s="121"/>
      <c r="L655" s="121"/>
      <c r="M655" s="121"/>
      <c r="N655" s="121"/>
      <c r="O655" s="121"/>
      <c r="P655" s="121"/>
      <c r="Q655" s="121"/>
      <c r="R655" s="121"/>
      <c r="S655" s="121"/>
      <c r="T655" s="121"/>
      <c r="U655" s="121"/>
      <c r="V655" s="121"/>
      <c r="W655" s="121"/>
      <c r="X655" s="121"/>
      <c r="Y655" s="121"/>
      <c r="Z655" s="121"/>
    </row>
    <row r="656" spans="1:26" ht="11.25" customHeight="1" x14ac:dyDescent="0.3">
      <c r="A656" s="121"/>
      <c r="B656" s="121"/>
      <c r="C656" s="121"/>
      <c r="D656" s="121"/>
      <c r="E656" s="121"/>
      <c r="F656" s="121"/>
      <c r="G656" s="121"/>
      <c r="H656" s="121"/>
      <c r="I656" s="121"/>
      <c r="J656" s="121"/>
      <c r="K656" s="121"/>
      <c r="L656" s="121"/>
      <c r="M656" s="121"/>
      <c r="N656" s="121"/>
      <c r="O656" s="121"/>
      <c r="P656" s="121"/>
      <c r="Q656" s="121"/>
      <c r="R656" s="121"/>
      <c r="S656" s="121"/>
      <c r="T656" s="121"/>
      <c r="U656" s="121"/>
      <c r="V656" s="121"/>
      <c r="W656" s="121"/>
      <c r="X656" s="121"/>
      <c r="Y656" s="121"/>
      <c r="Z656" s="121"/>
    </row>
    <row r="657" spans="1:26" ht="11.25" customHeight="1" x14ac:dyDescent="0.3">
      <c r="A657" s="121"/>
      <c r="B657" s="121"/>
      <c r="C657" s="121"/>
      <c r="D657" s="121"/>
      <c r="E657" s="121"/>
      <c r="F657" s="121"/>
      <c r="G657" s="121"/>
      <c r="H657" s="121"/>
      <c r="I657" s="121"/>
      <c r="J657" s="121"/>
      <c r="K657" s="121"/>
      <c r="L657" s="121"/>
      <c r="M657" s="121"/>
      <c r="N657" s="121"/>
      <c r="O657" s="121"/>
      <c r="P657" s="121"/>
      <c r="Q657" s="121"/>
      <c r="R657" s="121"/>
      <c r="S657" s="121"/>
      <c r="T657" s="121"/>
      <c r="U657" s="121"/>
      <c r="V657" s="121"/>
      <c r="W657" s="121"/>
      <c r="X657" s="121"/>
      <c r="Y657" s="121"/>
      <c r="Z657" s="121"/>
    </row>
    <row r="658" spans="1:26" ht="11.25" customHeight="1" x14ac:dyDescent="0.3">
      <c r="A658" s="121"/>
      <c r="B658" s="121"/>
      <c r="C658" s="121"/>
      <c r="D658" s="121"/>
      <c r="E658" s="121"/>
      <c r="F658" s="121"/>
      <c r="G658" s="121"/>
      <c r="H658" s="121"/>
      <c r="I658" s="121"/>
      <c r="J658" s="121"/>
      <c r="K658" s="121"/>
      <c r="L658" s="121"/>
      <c r="M658" s="121"/>
      <c r="N658" s="121"/>
      <c r="O658" s="121"/>
      <c r="P658" s="121"/>
      <c r="Q658" s="121"/>
      <c r="R658" s="121"/>
      <c r="S658" s="121"/>
      <c r="T658" s="121"/>
      <c r="U658" s="121"/>
      <c r="V658" s="121"/>
      <c r="W658" s="121"/>
      <c r="X658" s="121"/>
      <c r="Y658" s="121"/>
      <c r="Z658" s="121"/>
    </row>
    <row r="659" spans="1:26" ht="11.25" customHeight="1" x14ac:dyDescent="0.3">
      <c r="A659" s="121"/>
      <c r="B659" s="121"/>
      <c r="C659" s="121"/>
      <c r="D659" s="121"/>
      <c r="E659" s="121"/>
      <c r="F659" s="121"/>
      <c r="G659" s="121"/>
      <c r="H659" s="121"/>
      <c r="I659" s="121"/>
      <c r="J659" s="121"/>
      <c r="K659" s="121"/>
      <c r="L659" s="121"/>
      <c r="M659" s="121"/>
      <c r="N659" s="121"/>
      <c r="O659" s="121"/>
      <c r="P659" s="121"/>
      <c r="Q659" s="121"/>
      <c r="R659" s="121"/>
      <c r="S659" s="121"/>
      <c r="T659" s="121"/>
      <c r="U659" s="121"/>
      <c r="V659" s="121"/>
      <c r="W659" s="121"/>
      <c r="X659" s="121"/>
      <c r="Y659" s="121"/>
      <c r="Z659" s="121"/>
    </row>
    <row r="660" spans="1:26" ht="11.25" customHeight="1" x14ac:dyDescent="0.3">
      <c r="A660" s="121"/>
      <c r="B660" s="121"/>
      <c r="C660" s="121"/>
      <c r="D660" s="121"/>
      <c r="E660" s="121"/>
      <c r="F660" s="121"/>
      <c r="G660" s="121"/>
      <c r="H660" s="121"/>
      <c r="I660" s="121"/>
      <c r="J660" s="121"/>
      <c r="K660" s="121"/>
      <c r="L660" s="121"/>
      <c r="M660" s="121"/>
      <c r="N660" s="121"/>
      <c r="O660" s="121"/>
      <c r="P660" s="121"/>
      <c r="Q660" s="121"/>
      <c r="R660" s="121"/>
      <c r="S660" s="121"/>
      <c r="T660" s="121"/>
      <c r="U660" s="121"/>
      <c r="V660" s="121"/>
      <c r="W660" s="121"/>
      <c r="X660" s="121"/>
      <c r="Y660" s="121"/>
      <c r="Z660" s="121"/>
    </row>
    <row r="661" spans="1:26" ht="11.25" customHeight="1" x14ac:dyDescent="0.3">
      <c r="A661" s="121"/>
      <c r="B661" s="121"/>
      <c r="C661" s="121"/>
      <c r="D661" s="121"/>
      <c r="E661" s="121"/>
      <c r="F661" s="121"/>
      <c r="G661" s="121"/>
      <c r="H661" s="121"/>
      <c r="I661" s="121"/>
      <c r="J661" s="121"/>
      <c r="K661" s="121"/>
      <c r="L661" s="121"/>
      <c r="M661" s="121"/>
      <c r="N661" s="121"/>
      <c r="O661" s="121"/>
      <c r="P661" s="121"/>
      <c r="Q661" s="121"/>
      <c r="R661" s="121"/>
      <c r="S661" s="121"/>
      <c r="T661" s="121"/>
      <c r="U661" s="121"/>
      <c r="V661" s="121"/>
      <c r="W661" s="121"/>
      <c r="X661" s="121"/>
      <c r="Y661" s="121"/>
      <c r="Z661" s="121"/>
    </row>
    <row r="662" spans="1:26" ht="11.25" customHeight="1" x14ac:dyDescent="0.3">
      <c r="A662" s="121"/>
      <c r="B662" s="121"/>
      <c r="C662" s="121"/>
      <c r="D662" s="121"/>
      <c r="E662" s="121"/>
      <c r="F662" s="121"/>
      <c r="G662" s="121"/>
      <c r="H662" s="121"/>
      <c r="I662" s="121"/>
      <c r="J662" s="121"/>
      <c r="K662" s="121"/>
      <c r="L662" s="121"/>
      <c r="M662" s="121"/>
      <c r="N662" s="121"/>
      <c r="O662" s="121"/>
      <c r="P662" s="121"/>
      <c r="Q662" s="121"/>
      <c r="R662" s="121"/>
      <c r="S662" s="121"/>
      <c r="T662" s="121"/>
      <c r="U662" s="121"/>
      <c r="V662" s="121"/>
      <c r="W662" s="121"/>
      <c r="X662" s="121"/>
      <c r="Y662" s="121"/>
      <c r="Z662" s="121"/>
    </row>
    <row r="663" spans="1:26" ht="11.25" customHeight="1" x14ac:dyDescent="0.3">
      <c r="A663" s="121"/>
      <c r="B663" s="121"/>
      <c r="C663" s="121"/>
      <c r="D663" s="121"/>
      <c r="E663" s="121"/>
      <c r="F663" s="121"/>
      <c r="G663" s="121"/>
      <c r="H663" s="121"/>
      <c r="I663" s="121"/>
      <c r="J663" s="121"/>
      <c r="K663" s="121"/>
      <c r="L663" s="121"/>
      <c r="M663" s="121"/>
      <c r="N663" s="121"/>
      <c r="O663" s="121"/>
      <c r="P663" s="121"/>
      <c r="Q663" s="121"/>
      <c r="R663" s="121"/>
      <c r="S663" s="121"/>
      <c r="T663" s="121"/>
      <c r="U663" s="121"/>
      <c r="V663" s="121"/>
      <c r="W663" s="121"/>
      <c r="X663" s="121"/>
      <c r="Y663" s="121"/>
      <c r="Z663" s="121"/>
    </row>
    <row r="664" spans="1:26" ht="11.25" customHeight="1" x14ac:dyDescent="0.3">
      <c r="A664" s="121"/>
      <c r="B664" s="121"/>
      <c r="C664" s="121"/>
      <c r="D664" s="121"/>
      <c r="E664" s="121"/>
      <c r="F664" s="121"/>
      <c r="G664" s="121"/>
      <c r="H664" s="121"/>
      <c r="I664" s="121"/>
      <c r="J664" s="121"/>
      <c r="K664" s="121"/>
      <c r="L664" s="121"/>
      <c r="M664" s="121"/>
      <c r="N664" s="121"/>
      <c r="O664" s="121"/>
      <c r="P664" s="121"/>
      <c r="Q664" s="121"/>
      <c r="R664" s="121"/>
      <c r="S664" s="121"/>
      <c r="T664" s="121"/>
      <c r="U664" s="121"/>
      <c r="V664" s="121"/>
      <c r="W664" s="121"/>
      <c r="X664" s="121"/>
      <c r="Y664" s="121"/>
      <c r="Z664" s="121"/>
    </row>
    <row r="665" spans="1:26" ht="11.25" customHeight="1" x14ac:dyDescent="0.3">
      <c r="A665" s="121"/>
      <c r="B665" s="121"/>
      <c r="C665" s="121"/>
      <c r="D665" s="121"/>
      <c r="E665" s="121"/>
      <c r="F665" s="121"/>
      <c r="G665" s="121"/>
      <c r="H665" s="121"/>
      <c r="I665" s="121"/>
      <c r="J665" s="121"/>
      <c r="K665" s="121"/>
      <c r="L665" s="121"/>
      <c r="M665" s="121"/>
      <c r="N665" s="121"/>
      <c r="O665" s="121"/>
      <c r="P665" s="121"/>
      <c r="Q665" s="121"/>
      <c r="R665" s="121"/>
      <c r="S665" s="121"/>
      <c r="T665" s="121"/>
      <c r="U665" s="121"/>
      <c r="V665" s="121"/>
      <c r="W665" s="121"/>
      <c r="X665" s="121"/>
      <c r="Y665" s="121"/>
      <c r="Z665" s="121"/>
    </row>
    <row r="666" spans="1:26" ht="11.25" customHeight="1" x14ac:dyDescent="0.3">
      <c r="A666" s="121"/>
      <c r="B666" s="121"/>
      <c r="C666" s="121"/>
      <c r="D666" s="121"/>
      <c r="E666" s="121"/>
      <c r="F666" s="121"/>
      <c r="G666" s="121"/>
      <c r="H666" s="121"/>
      <c r="I666" s="121"/>
      <c r="J666" s="121"/>
      <c r="K666" s="121"/>
      <c r="L666" s="121"/>
      <c r="M666" s="121"/>
      <c r="N666" s="121"/>
      <c r="O666" s="121"/>
      <c r="P666" s="121"/>
      <c r="Q666" s="121"/>
      <c r="R666" s="121"/>
      <c r="S666" s="121"/>
      <c r="T666" s="121"/>
      <c r="U666" s="121"/>
      <c r="V666" s="121"/>
      <c r="W666" s="121"/>
      <c r="X666" s="121"/>
      <c r="Y666" s="121"/>
      <c r="Z666" s="121"/>
    </row>
    <row r="667" spans="1:26" ht="11.25" customHeight="1" x14ac:dyDescent="0.3">
      <c r="A667" s="121"/>
      <c r="B667" s="121"/>
      <c r="C667" s="121"/>
      <c r="D667" s="121"/>
      <c r="E667" s="121"/>
      <c r="F667" s="121"/>
      <c r="G667" s="121"/>
      <c r="H667" s="121"/>
      <c r="I667" s="121"/>
      <c r="J667" s="121"/>
      <c r="K667" s="121"/>
      <c r="L667" s="121"/>
      <c r="M667" s="121"/>
      <c r="N667" s="121"/>
      <c r="O667" s="121"/>
      <c r="P667" s="121"/>
      <c r="Q667" s="121"/>
      <c r="R667" s="121"/>
      <c r="S667" s="121"/>
      <c r="T667" s="121"/>
      <c r="U667" s="121"/>
      <c r="V667" s="121"/>
      <c r="W667" s="121"/>
      <c r="X667" s="121"/>
      <c r="Y667" s="121"/>
      <c r="Z667" s="121"/>
    </row>
    <row r="668" spans="1:26" ht="11.25" customHeight="1" x14ac:dyDescent="0.3">
      <c r="A668" s="121"/>
      <c r="B668" s="121"/>
      <c r="C668" s="121"/>
      <c r="D668" s="121"/>
      <c r="E668" s="121"/>
      <c r="F668" s="121"/>
      <c r="G668" s="121"/>
      <c r="H668" s="121"/>
      <c r="I668" s="121"/>
      <c r="J668" s="121"/>
      <c r="K668" s="121"/>
      <c r="L668" s="121"/>
      <c r="M668" s="121"/>
      <c r="N668" s="121"/>
      <c r="O668" s="121"/>
      <c r="P668" s="121"/>
      <c r="Q668" s="121"/>
      <c r="R668" s="121"/>
      <c r="S668" s="121"/>
      <c r="T668" s="121"/>
      <c r="U668" s="121"/>
      <c r="V668" s="121"/>
      <c r="W668" s="121"/>
      <c r="X668" s="121"/>
      <c r="Y668" s="121"/>
      <c r="Z668" s="121"/>
    </row>
    <row r="669" spans="1:26" ht="11.25" customHeight="1" x14ac:dyDescent="0.3">
      <c r="A669" s="121"/>
      <c r="B669" s="121"/>
      <c r="C669" s="121"/>
      <c r="D669" s="121"/>
      <c r="E669" s="121"/>
      <c r="F669" s="121"/>
      <c r="G669" s="121"/>
      <c r="H669" s="121"/>
      <c r="I669" s="121"/>
      <c r="J669" s="121"/>
      <c r="K669" s="121"/>
      <c r="L669" s="121"/>
      <c r="M669" s="121"/>
      <c r="N669" s="121"/>
      <c r="O669" s="121"/>
      <c r="P669" s="121"/>
      <c r="Q669" s="121"/>
      <c r="R669" s="121"/>
      <c r="S669" s="121"/>
      <c r="T669" s="121"/>
      <c r="U669" s="121"/>
      <c r="V669" s="121"/>
      <c r="W669" s="121"/>
      <c r="X669" s="121"/>
      <c r="Y669" s="121"/>
      <c r="Z669" s="121"/>
    </row>
    <row r="670" spans="1:26" ht="11.25" customHeight="1" x14ac:dyDescent="0.3">
      <c r="A670" s="121"/>
      <c r="B670" s="121"/>
      <c r="C670" s="121"/>
      <c r="D670" s="121"/>
      <c r="E670" s="121"/>
      <c r="F670" s="121"/>
      <c r="G670" s="121"/>
      <c r="H670" s="121"/>
      <c r="I670" s="121"/>
      <c r="J670" s="121"/>
      <c r="K670" s="121"/>
      <c r="L670" s="121"/>
      <c r="M670" s="121"/>
      <c r="N670" s="121"/>
      <c r="O670" s="121"/>
      <c r="P670" s="121"/>
      <c r="Q670" s="121"/>
      <c r="R670" s="121"/>
      <c r="S670" s="121"/>
      <c r="T670" s="121"/>
      <c r="U670" s="121"/>
      <c r="V670" s="121"/>
      <c r="W670" s="121"/>
      <c r="X670" s="121"/>
      <c r="Y670" s="121"/>
      <c r="Z670" s="121"/>
    </row>
    <row r="671" spans="1:26" ht="11.25" customHeight="1" x14ac:dyDescent="0.3">
      <c r="A671" s="121"/>
      <c r="B671" s="121"/>
      <c r="C671" s="121"/>
      <c r="D671" s="121"/>
      <c r="E671" s="121"/>
      <c r="F671" s="121"/>
      <c r="G671" s="121"/>
      <c r="H671" s="121"/>
      <c r="I671" s="121"/>
      <c r="J671" s="121"/>
      <c r="K671" s="121"/>
      <c r="L671" s="121"/>
      <c r="M671" s="121"/>
      <c r="N671" s="121"/>
      <c r="O671" s="121"/>
      <c r="P671" s="121"/>
      <c r="Q671" s="121"/>
      <c r="R671" s="121"/>
      <c r="S671" s="121"/>
      <c r="T671" s="121"/>
      <c r="U671" s="121"/>
      <c r="V671" s="121"/>
      <c r="W671" s="121"/>
      <c r="X671" s="121"/>
      <c r="Y671" s="121"/>
      <c r="Z671" s="121"/>
    </row>
    <row r="672" spans="1:26" ht="11.25" customHeight="1" x14ac:dyDescent="0.3">
      <c r="A672" s="121"/>
      <c r="B672" s="121"/>
      <c r="C672" s="121"/>
      <c r="D672" s="121"/>
      <c r="E672" s="121"/>
      <c r="F672" s="121"/>
      <c r="G672" s="121"/>
      <c r="H672" s="121"/>
      <c r="I672" s="121"/>
      <c r="J672" s="121"/>
      <c r="K672" s="121"/>
      <c r="L672" s="121"/>
      <c r="M672" s="121"/>
      <c r="N672" s="121"/>
      <c r="O672" s="121"/>
      <c r="P672" s="121"/>
      <c r="Q672" s="121"/>
      <c r="R672" s="121"/>
      <c r="S672" s="121"/>
      <c r="T672" s="121"/>
      <c r="U672" s="121"/>
      <c r="V672" s="121"/>
      <c r="W672" s="121"/>
      <c r="X672" s="121"/>
      <c r="Y672" s="121"/>
      <c r="Z672" s="121"/>
    </row>
    <row r="673" spans="1:26" ht="11.25" customHeight="1" x14ac:dyDescent="0.3">
      <c r="A673" s="121"/>
      <c r="B673" s="121"/>
      <c r="C673" s="121"/>
      <c r="D673" s="121"/>
      <c r="E673" s="121"/>
      <c r="F673" s="121"/>
      <c r="G673" s="121"/>
      <c r="H673" s="121"/>
      <c r="I673" s="121"/>
      <c r="J673" s="121"/>
      <c r="K673" s="121"/>
      <c r="L673" s="121"/>
      <c r="M673" s="121"/>
      <c r="N673" s="121"/>
      <c r="O673" s="121"/>
      <c r="P673" s="121"/>
      <c r="Q673" s="121"/>
      <c r="R673" s="121"/>
      <c r="S673" s="121"/>
      <c r="T673" s="121"/>
      <c r="U673" s="121"/>
      <c r="V673" s="121"/>
      <c r="W673" s="121"/>
      <c r="X673" s="121"/>
      <c r="Y673" s="121"/>
      <c r="Z673" s="121"/>
    </row>
    <row r="674" spans="1:26" ht="11.25" customHeight="1" x14ac:dyDescent="0.3">
      <c r="A674" s="121"/>
      <c r="B674" s="121"/>
      <c r="C674" s="121"/>
      <c r="D674" s="121"/>
      <c r="E674" s="121"/>
      <c r="F674" s="121"/>
      <c r="G674" s="121"/>
      <c r="H674" s="121"/>
      <c r="I674" s="121"/>
      <c r="J674" s="121"/>
      <c r="K674" s="121"/>
      <c r="L674" s="121"/>
      <c r="M674" s="121"/>
      <c r="N674" s="121"/>
      <c r="O674" s="121"/>
      <c r="P674" s="121"/>
      <c r="Q674" s="121"/>
      <c r="R674" s="121"/>
      <c r="S674" s="121"/>
      <c r="T674" s="121"/>
      <c r="U674" s="121"/>
      <c r="V674" s="121"/>
      <c r="W674" s="121"/>
      <c r="X674" s="121"/>
      <c r="Y674" s="121"/>
      <c r="Z674" s="121"/>
    </row>
    <row r="675" spans="1:26" ht="11.25" customHeight="1" x14ac:dyDescent="0.3">
      <c r="A675" s="121"/>
      <c r="B675" s="121"/>
      <c r="C675" s="121"/>
      <c r="D675" s="121"/>
      <c r="E675" s="121"/>
      <c r="F675" s="121"/>
      <c r="G675" s="121"/>
      <c r="H675" s="121"/>
      <c r="I675" s="121"/>
      <c r="J675" s="121"/>
      <c r="K675" s="121"/>
      <c r="L675" s="121"/>
      <c r="M675" s="121"/>
      <c r="N675" s="121"/>
      <c r="O675" s="121"/>
      <c r="P675" s="121"/>
      <c r="Q675" s="121"/>
      <c r="R675" s="121"/>
      <c r="S675" s="121"/>
      <c r="T675" s="121"/>
      <c r="U675" s="121"/>
      <c r="V675" s="121"/>
      <c r="W675" s="121"/>
      <c r="X675" s="121"/>
      <c r="Y675" s="121"/>
      <c r="Z675" s="121"/>
    </row>
    <row r="676" spans="1:26" ht="11.25" customHeight="1" x14ac:dyDescent="0.3">
      <c r="A676" s="121"/>
      <c r="B676" s="121"/>
      <c r="C676" s="121"/>
      <c r="D676" s="121"/>
      <c r="E676" s="121"/>
      <c r="F676" s="121"/>
      <c r="G676" s="121"/>
      <c r="H676" s="121"/>
      <c r="I676" s="121"/>
      <c r="J676" s="121"/>
      <c r="K676" s="121"/>
      <c r="L676" s="121"/>
      <c r="M676" s="121"/>
      <c r="N676" s="121"/>
      <c r="O676" s="121"/>
      <c r="P676" s="121"/>
      <c r="Q676" s="121"/>
      <c r="R676" s="121"/>
      <c r="S676" s="121"/>
      <c r="T676" s="121"/>
      <c r="U676" s="121"/>
      <c r="V676" s="121"/>
      <c r="W676" s="121"/>
      <c r="X676" s="121"/>
      <c r="Y676" s="121"/>
      <c r="Z676" s="121"/>
    </row>
    <row r="677" spans="1:26" ht="11.25" customHeight="1" x14ac:dyDescent="0.3">
      <c r="A677" s="121"/>
      <c r="B677" s="121"/>
      <c r="C677" s="121"/>
      <c r="D677" s="121"/>
      <c r="E677" s="121"/>
      <c r="F677" s="121"/>
      <c r="G677" s="121"/>
      <c r="H677" s="121"/>
      <c r="I677" s="121"/>
      <c r="J677" s="121"/>
      <c r="K677" s="121"/>
      <c r="L677" s="121"/>
      <c r="M677" s="121"/>
      <c r="N677" s="121"/>
      <c r="O677" s="121"/>
      <c r="P677" s="121"/>
      <c r="Q677" s="121"/>
      <c r="R677" s="121"/>
      <c r="S677" s="121"/>
      <c r="T677" s="121"/>
      <c r="U677" s="121"/>
      <c r="V677" s="121"/>
      <c r="W677" s="121"/>
      <c r="X677" s="121"/>
      <c r="Y677" s="121"/>
      <c r="Z677" s="121"/>
    </row>
    <row r="678" spans="1:26" ht="11.25" customHeight="1" x14ac:dyDescent="0.3">
      <c r="A678" s="121"/>
      <c r="B678" s="121"/>
      <c r="C678" s="121"/>
      <c r="D678" s="121"/>
      <c r="E678" s="121"/>
      <c r="F678" s="121"/>
      <c r="G678" s="121"/>
      <c r="H678" s="121"/>
      <c r="I678" s="121"/>
      <c r="J678" s="121"/>
      <c r="K678" s="121"/>
      <c r="L678" s="121"/>
      <c r="M678" s="121"/>
      <c r="N678" s="121"/>
      <c r="O678" s="121"/>
      <c r="P678" s="121"/>
      <c r="Q678" s="121"/>
      <c r="R678" s="121"/>
      <c r="S678" s="121"/>
      <c r="T678" s="121"/>
      <c r="U678" s="121"/>
      <c r="V678" s="121"/>
      <c r="W678" s="121"/>
      <c r="X678" s="121"/>
      <c r="Y678" s="121"/>
      <c r="Z678" s="121"/>
    </row>
    <row r="679" spans="1:26" ht="11.25" customHeight="1" x14ac:dyDescent="0.3">
      <c r="A679" s="121"/>
      <c r="B679" s="121"/>
      <c r="C679" s="121"/>
      <c r="D679" s="121"/>
      <c r="E679" s="121"/>
      <c r="F679" s="121"/>
      <c r="G679" s="121"/>
      <c r="H679" s="121"/>
      <c r="I679" s="121"/>
      <c r="J679" s="121"/>
      <c r="K679" s="121"/>
      <c r="L679" s="121"/>
      <c r="M679" s="121"/>
      <c r="N679" s="121"/>
      <c r="O679" s="121"/>
      <c r="P679" s="121"/>
      <c r="Q679" s="121"/>
      <c r="R679" s="121"/>
      <c r="S679" s="121"/>
      <c r="T679" s="121"/>
      <c r="U679" s="121"/>
      <c r="V679" s="121"/>
      <c r="W679" s="121"/>
      <c r="X679" s="121"/>
      <c r="Y679" s="121"/>
      <c r="Z679" s="121"/>
    </row>
    <row r="680" spans="1:26" ht="11.25" customHeight="1" x14ac:dyDescent="0.3">
      <c r="A680" s="121"/>
      <c r="B680" s="121"/>
      <c r="C680" s="121"/>
      <c r="D680" s="121"/>
      <c r="E680" s="121"/>
      <c r="F680" s="121"/>
      <c r="G680" s="121"/>
      <c r="H680" s="121"/>
      <c r="I680" s="121"/>
      <c r="J680" s="121"/>
      <c r="K680" s="121"/>
      <c r="L680" s="121"/>
      <c r="M680" s="121"/>
      <c r="N680" s="121"/>
      <c r="O680" s="121"/>
      <c r="P680" s="121"/>
      <c r="Q680" s="121"/>
      <c r="R680" s="121"/>
      <c r="S680" s="121"/>
      <c r="T680" s="121"/>
      <c r="U680" s="121"/>
      <c r="V680" s="121"/>
      <c r="W680" s="121"/>
      <c r="X680" s="121"/>
      <c r="Y680" s="121"/>
      <c r="Z680" s="121"/>
    </row>
    <row r="681" spans="1:26" ht="11.25" customHeight="1" x14ac:dyDescent="0.3">
      <c r="A681" s="121"/>
      <c r="B681" s="121"/>
      <c r="C681" s="121"/>
      <c r="D681" s="121"/>
      <c r="E681" s="121"/>
      <c r="F681" s="121"/>
      <c r="G681" s="121"/>
      <c r="H681" s="121"/>
      <c r="I681" s="121"/>
      <c r="J681" s="121"/>
      <c r="K681" s="121"/>
      <c r="L681" s="121"/>
      <c r="M681" s="121"/>
      <c r="N681" s="121"/>
      <c r="O681" s="121"/>
      <c r="P681" s="121"/>
      <c r="Q681" s="121"/>
      <c r="R681" s="121"/>
      <c r="S681" s="121"/>
      <c r="T681" s="121"/>
      <c r="U681" s="121"/>
      <c r="V681" s="121"/>
      <c r="W681" s="121"/>
      <c r="X681" s="121"/>
      <c r="Y681" s="121"/>
      <c r="Z681" s="121"/>
    </row>
    <row r="682" spans="1:26" ht="11.25" customHeight="1" x14ac:dyDescent="0.3">
      <c r="A682" s="121"/>
      <c r="B682" s="121"/>
      <c r="C682" s="121"/>
      <c r="D682" s="121"/>
      <c r="E682" s="121"/>
      <c r="F682" s="121"/>
      <c r="G682" s="121"/>
      <c r="H682" s="121"/>
      <c r="I682" s="121"/>
      <c r="J682" s="121"/>
      <c r="K682" s="121"/>
      <c r="L682" s="121"/>
      <c r="M682" s="121"/>
      <c r="N682" s="121"/>
      <c r="O682" s="121"/>
      <c r="P682" s="121"/>
      <c r="Q682" s="121"/>
      <c r="R682" s="121"/>
      <c r="S682" s="121"/>
      <c r="T682" s="121"/>
      <c r="U682" s="121"/>
      <c r="V682" s="121"/>
      <c r="W682" s="121"/>
      <c r="X682" s="121"/>
      <c r="Y682" s="121"/>
      <c r="Z682" s="121"/>
    </row>
    <row r="683" spans="1:26" ht="11.25" customHeight="1" x14ac:dyDescent="0.3">
      <c r="A683" s="121"/>
      <c r="B683" s="121"/>
      <c r="C683" s="121"/>
      <c r="D683" s="121"/>
      <c r="E683" s="121"/>
      <c r="F683" s="121"/>
      <c r="G683" s="121"/>
      <c r="H683" s="121"/>
      <c r="I683" s="121"/>
      <c r="J683" s="121"/>
      <c r="K683" s="121"/>
      <c r="L683" s="121"/>
      <c r="M683" s="121"/>
      <c r="N683" s="121"/>
      <c r="O683" s="121"/>
      <c r="P683" s="121"/>
      <c r="Q683" s="121"/>
      <c r="R683" s="121"/>
      <c r="S683" s="121"/>
      <c r="T683" s="121"/>
      <c r="U683" s="121"/>
      <c r="V683" s="121"/>
      <c r="W683" s="121"/>
      <c r="X683" s="121"/>
      <c r="Y683" s="121"/>
      <c r="Z683" s="121"/>
    </row>
    <row r="684" spans="1:26" ht="11.25" customHeight="1" x14ac:dyDescent="0.3">
      <c r="A684" s="121"/>
      <c r="B684" s="121"/>
      <c r="C684" s="121"/>
      <c r="D684" s="121"/>
      <c r="E684" s="121"/>
      <c r="F684" s="121"/>
      <c r="G684" s="121"/>
      <c r="H684" s="121"/>
      <c r="I684" s="121"/>
      <c r="J684" s="121"/>
      <c r="K684" s="121"/>
      <c r="L684" s="121"/>
      <c r="M684" s="121"/>
      <c r="N684" s="121"/>
      <c r="O684" s="121"/>
      <c r="P684" s="121"/>
      <c r="Q684" s="121"/>
      <c r="R684" s="121"/>
      <c r="S684" s="121"/>
      <c r="T684" s="121"/>
      <c r="U684" s="121"/>
      <c r="V684" s="121"/>
      <c r="W684" s="121"/>
      <c r="X684" s="121"/>
      <c r="Y684" s="121"/>
      <c r="Z684" s="121"/>
    </row>
    <row r="685" spans="1:26" ht="11.25" customHeight="1" x14ac:dyDescent="0.3">
      <c r="A685" s="121"/>
      <c r="B685" s="121"/>
      <c r="C685" s="121"/>
      <c r="D685" s="121"/>
      <c r="E685" s="121"/>
      <c r="F685" s="121"/>
      <c r="G685" s="121"/>
      <c r="H685" s="121"/>
      <c r="I685" s="121"/>
      <c r="J685" s="121"/>
      <c r="K685" s="121"/>
      <c r="L685" s="121"/>
      <c r="M685" s="121"/>
      <c r="N685" s="121"/>
      <c r="O685" s="121"/>
      <c r="P685" s="121"/>
      <c r="Q685" s="121"/>
      <c r="R685" s="121"/>
      <c r="S685" s="121"/>
      <c r="T685" s="121"/>
      <c r="U685" s="121"/>
      <c r="V685" s="121"/>
      <c r="W685" s="121"/>
      <c r="X685" s="121"/>
      <c r="Y685" s="121"/>
      <c r="Z685" s="121"/>
    </row>
    <row r="686" spans="1:26" ht="11.25" customHeight="1" x14ac:dyDescent="0.3">
      <c r="A686" s="121"/>
      <c r="B686" s="121"/>
      <c r="C686" s="121"/>
      <c r="D686" s="121"/>
      <c r="E686" s="121"/>
      <c r="F686" s="121"/>
      <c r="G686" s="121"/>
      <c r="H686" s="121"/>
      <c r="I686" s="121"/>
      <c r="J686" s="121"/>
      <c r="K686" s="121"/>
      <c r="L686" s="121"/>
      <c r="M686" s="121"/>
      <c r="N686" s="121"/>
      <c r="O686" s="121"/>
      <c r="P686" s="121"/>
      <c r="Q686" s="121"/>
      <c r="R686" s="121"/>
      <c r="S686" s="121"/>
      <c r="T686" s="121"/>
      <c r="U686" s="121"/>
      <c r="V686" s="121"/>
      <c r="W686" s="121"/>
      <c r="X686" s="121"/>
      <c r="Y686" s="121"/>
      <c r="Z686" s="121"/>
    </row>
    <row r="687" spans="1:26" ht="11.25" customHeight="1" x14ac:dyDescent="0.3">
      <c r="A687" s="121"/>
      <c r="B687" s="121"/>
      <c r="C687" s="121"/>
      <c r="D687" s="121"/>
      <c r="E687" s="121"/>
      <c r="F687" s="121"/>
      <c r="G687" s="121"/>
      <c r="H687" s="121"/>
      <c r="I687" s="121"/>
      <c r="J687" s="121"/>
      <c r="K687" s="121"/>
      <c r="L687" s="121"/>
      <c r="M687" s="121"/>
      <c r="N687" s="121"/>
      <c r="O687" s="121"/>
      <c r="P687" s="121"/>
      <c r="Q687" s="121"/>
      <c r="R687" s="121"/>
      <c r="S687" s="121"/>
      <c r="T687" s="121"/>
      <c r="U687" s="121"/>
      <c r="V687" s="121"/>
      <c r="W687" s="121"/>
      <c r="X687" s="121"/>
      <c r="Y687" s="121"/>
      <c r="Z687" s="121"/>
    </row>
    <row r="688" spans="1:26" ht="11.25" customHeight="1" x14ac:dyDescent="0.3">
      <c r="A688" s="121"/>
      <c r="B688" s="121"/>
      <c r="C688" s="121"/>
      <c r="D688" s="121"/>
      <c r="E688" s="121"/>
      <c r="F688" s="121"/>
      <c r="G688" s="121"/>
      <c r="H688" s="121"/>
      <c r="I688" s="121"/>
      <c r="J688" s="121"/>
      <c r="K688" s="121"/>
      <c r="L688" s="121"/>
      <c r="M688" s="121"/>
      <c r="N688" s="121"/>
      <c r="O688" s="121"/>
      <c r="P688" s="121"/>
      <c r="Q688" s="121"/>
      <c r="R688" s="121"/>
      <c r="S688" s="121"/>
      <c r="T688" s="121"/>
      <c r="U688" s="121"/>
      <c r="V688" s="121"/>
      <c r="W688" s="121"/>
      <c r="X688" s="121"/>
      <c r="Y688" s="121"/>
      <c r="Z688" s="121"/>
    </row>
    <row r="689" spans="1:26" ht="11.25" customHeight="1" x14ac:dyDescent="0.3">
      <c r="A689" s="121"/>
      <c r="B689" s="121"/>
      <c r="C689" s="121"/>
      <c r="D689" s="121"/>
      <c r="E689" s="121"/>
      <c r="F689" s="121"/>
      <c r="G689" s="121"/>
      <c r="H689" s="121"/>
      <c r="I689" s="121"/>
      <c r="J689" s="121"/>
      <c r="K689" s="121"/>
      <c r="L689" s="121"/>
      <c r="M689" s="121"/>
      <c r="N689" s="121"/>
      <c r="O689" s="121"/>
      <c r="P689" s="121"/>
      <c r="Q689" s="121"/>
      <c r="R689" s="121"/>
      <c r="S689" s="121"/>
      <c r="T689" s="121"/>
      <c r="U689" s="121"/>
      <c r="V689" s="121"/>
      <c r="W689" s="121"/>
      <c r="X689" s="121"/>
      <c r="Y689" s="121"/>
      <c r="Z689" s="121"/>
    </row>
    <row r="690" spans="1:26" ht="11.25" customHeight="1" x14ac:dyDescent="0.3">
      <c r="A690" s="121"/>
      <c r="B690" s="121"/>
      <c r="C690" s="121"/>
      <c r="D690" s="121"/>
      <c r="E690" s="121"/>
      <c r="F690" s="121"/>
      <c r="G690" s="121"/>
      <c r="H690" s="121"/>
      <c r="I690" s="121"/>
      <c r="J690" s="121"/>
      <c r="K690" s="121"/>
      <c r="L690" s="121"/>
      <c r="M690" s="121"/>
      <c r="N690" s="121"/>
      <c r="O690" s="121"/>
      <c r="P690" s="121"/>
      <c r="Q690" s="121"/>
      <c r="R690" s="121"/>
      <c r="S690" s="121"/>
      <c r="T690" s="121"/>
      <c r="U690" s="121"/>
      <c r="V690" s="121"/>
      <c r="W690" s="121"/>
      <c r="X690" s="121"/>
      <c r="Y690" s="121"/>
      <c r="Z690" s="121"/>
    </row>
    <row r="691" spans="1:26" ht="11.25" customHeight="1" x14ac:dyDescent="0.3">
      <c r="A691" s="121"/>
      <c r="B691" s="121"/>
      <c r="C691" s="121"/>
      <c r="D691" s="121"/>
      <c r="E691" s="121"/>
      <c r="F691" s="121"/>
      <c r="G691" s="121"/>
      <c r="H691" s="121"/>
      <c r="I691" s="121"/>
      <c r="J691" s="121"/>
      <c r="K691" s="121"/>
      <c r="L691" s="121"/>
      <c r="M691" s="121"/>
      <c r="N691" s="121"/>
      <c r="O691" s="121"/>
      <c r="P691" s="121"/>
      <c r="Q691" s="121"/>
      <c r="R691" s="121"/>
      <c r="S691" s="121"/>
      <c r="T691" s="121"/>
      <c r="U691" s="121"/>
      <c r="V691" s="121"/>
      <c r="W691" s="121"/>
      <c r="X691" s="121"/>
      <c r="Y691" s="121"/>
      <c r="Z691" s="121"/>
    </row>
    <row r="692" spans="1:26" ht="11.25" customHeight="1" x14ac:dyDescent="0.3">
      <c r="A692" s="121"/>
      <c r="B692" s="121"/>
      <c r="C692" s="121"/>
      <c r="D692" s="121"/>
      <c r="E692" s="121"/>
      <c r="F692" s="121"/>
      <c r="G692" s="121"/>
      <c r="H692" s="121"/>
      <c r="I692" s="121"/>
      <c r="J692" s="121"/>
      <c r="K692" s="121"/>
      <c r="L692" s="121"/>
      <c r="M692" s="121"/>
      <c r="N692" s="121"/>
      <c r="O692" s="121"/>
      <c r="P692" s="121"/>
      <c r="Q692" s="121"/>
      <c r="R692" s="121"/>
      <c r="S692" s="121"/>
      <c r="T692" s="121"/>
      <c r="U692" s="121"/>
      <c r="V692" s="121"/>
      <c r="W692" s="121"/>
      <c r="X692" s="121"/>
      <c r="Y692" s="121"/>
      <c r="Z692" s="121"/>
    </row>
    <row r="693" spans="1:26" ht="11.25" customHeight="1" x14ac:dyDescent="0.3">
      <c r="A693" s="121"/>
      <c r="B693" s="121"/>
      <c r="C693" s="121"/>
      <c r="D693" s="121"/>
      <c r="E693" s="121"/>
      <c r="F693" s="121"/>
      <c r="G693" s="121"/>
      <c r="H693" s="121"/>
      <c r="I693" s="121"/>
      <c r="J693" s="121"/>
      <c r="K693" s="121"/>
      <c r="L693" s="121"/>
      <c r="M693" s="121"/>
      <c r="N693" s="121"/>
      <c r="O693" s="121"/>
      <c r="P693" s="121"/>
      <c r="Q693" s="121"/>
      <c r="R693" s="121"/>
      <c r="S693" s="121"/>
      <c r="T693" s="121"/>
      <c r="U693" s="121"/>
      <c r="V693" s="121"/>
      <c r="W693" s="121"/>
      <c r="X693" s="121"/>
      <c r="Y693" s="121"/>
      <c r="Z693" s="121"/>
    </row>
    <row r="694" spans="1:26" ht="11.25" customHeight="1" x14ac:dyDescent="0.3">
      <c r="A694" s="121"/>
      <c r="B694" s="121"/>
      <c r="C694" s="121"/>
      <c r="D694" s="121"/>
      <c r="E694" s="121"/>
      <c r="F694" s="121"/>
      <c r="G694" s="121"/>
      <c r="H694" s="121"/>
      <c r="I694" s="121"/>
      <c r="J694" s="121"/>
      <c r="K694" s="121"/>
      <c r="L694" s="121"/>
      <c r="M694" s="121"/>
      <c r="N694" s="121"/>
      <c r="O694" s="121"/>
      <c r="P694" s="121"/>
      <c r="Q694" s="121"/>
      <c r="R694" s="121"/>
      <c r="S694" s="121"/>
      <c r="T694" s="121"/>
      <c r="U694" s="121"/>
      <c r="V694" s="121"/>
      <c r="W694" s="121"/>
      <c r="X694" s="121"/>
      <c r="Y694" s="121"/>
      <c r="Z694" s="121"/>
    </row>
    <row r="695" spans="1:26" ht="11.25" customHeight="1" x14ac:dyDescent="0.3">
      <c r="A695" s="121"/>
      <c r="B695" s="121"/>
      <c r="C695" s="121"/>
      <c r="D695" s="121"/>
      <c r="E695" s="121"/>
      <c r="F695" s="121"/>
      <c r="G695" s="121"/>
      <c r="H695" s="121"/>
      <c r="I695" s="121"/>
      <c r="J695" s="121"/>
      <c r="K695" s="121"/>
      <c r="L695" s="121"/>
      <c r="M695" s="121"/>
      <c r="N695" s="121"/>
      <c r="O695" s="121"/>
      <c r="P695" s="121"/>
      <c r="Q695" s="121"/>
      <c r="R695" s="121"/>
      <c r="S695" s="121"/>
      <c r="T695" s="121"/>
      <c r="U695" s="121"/>
      <c r="V695" s="121"/>
      <c r="W695" s="121"/>
      <c r="X695" s="121"/>
      <c r="Y695" s="121"/>
      <c r="Z695" s="121"/>
    </row>
    <row r="696" spans="1:26" ht="11.25" customHeight="1" x14ac:dyDescent="0.3">
      <c r="A696" s="121"/>
      <c r="B696" s="121"/>
      <c r="C696" s="121"/>
      <c r="D696" s="121"/>
      <c r="E696" s="121"/>
      <c r="F696" s="121"/>
      <c r="G696" s="121"/>
      <c r="H696" s="121"/>
      <c r="I696" s="121"/>
      <c r="J696" s="121"/>
      <c r="K696" s="121"/>
      <c r="L696" s="121"/>
      <c r="M696" s="121"/>
      <c r="N696" s="121"/>
      <c r="O696" s="121"/>
      <c r="P696" s="121"/>
      <c r="Q696" s="121"/>
      <c r="R696" s="121"/>
      <c r="S696" s="121"/>
      <c r="T696" s="121"/>
      <c r="U696" s="121"/>
      <c r="V696" s="121"/>
      <c r="W696" s="121"/>
      <c r="X696" s="121"/>
      <c r="Y696" s="121"/>
      <c r="Z696" s="121"/>
    </row>
    <row r="697" spans="1:26" ht="11.25" customHeight="1" x14ac:dyDescent="0.3">
      <c r="A697" s="121"/>
      <c r="B697" s="121"/>
      <c r="C697" s="121"/>
      <c r="D697" s="121"/>
      <c r="E697" s="121"/>
      <c r="F697" s="121"/>
      <c r="G697" s="121"/>
      <c r="H697" s="121"/>
      <c r="I697" s="121"/>
      <c r="J697" s="121"/>
      <c r="K697" s="121"/>
      <c r="L697" s="121"/>
      <c r="M697" s="121"/>
      <c r="N697" s="121"/>
      <c r="O697" s="121"/>
      <c r="P697" s="121"/>
      <c r="Q697" s="121"/>
      <c r="R697" s="121"/>
      <c r="S697" s="121"/>
      <c r="T697" s="121"/>
      <c r="U697" s="121"/>
      <c r="V697" s="121"/>
      <c r="W697" s="121"/>
      <c r="X697" s="121"/>
      <c r="Y697" s="121"/>
      <c r="Z697" s="121"/>
    </row>
    <row r="698" spans="1:26" ht="11.25" customHeight="1" x14ac:dyDescent="0.3">
      <c r="A698" s="121"/>
      <c r="B698" s="121"/>
      <c r="C698" s="121"/>
      <c r="D698" s="121"/>
      <c r="E698" s="121"/>
      <c r="F698" s="121"/>
      <c r="G698" s="121"/>
      <c r="H698" s="121"/>
      <c r="I698" s="121"/>
      <c r="J698" s="121"/>
      <c r="K698" s="121"/>
      <c r="L698" s="121"/>
      <c r="M698" s="121"/>
      <c r="N698" s="121"/>
      <c r="O698" s="121"/>
      <c r="P698" s="121"/>
      <c r="Q698" s="121"/>
      <c r="R698" s="121"/>
      <c r="S698" s="121"/>
      <c r="T698" s="121"/>
      <c r="U698" s="121"/>
      <c r="V698" s="121"/>
      <c r="W698" s="121"/>
      <c r="X698" s="121"/>
      <c r="Y698" s="121"/>
      <c r="Z698" s="121"/>
    </row>
    <row r="699" spans="1:26" ht="11.25" customHeight="1" x14ac:dyDescent="0.3">
      <c r="A699" s="121"/>
      <c r="B699" s="121"/>
      <c r="C699" s="121"/>
      <c r="D699" s="121"/>
      <c r="E699" s="121"/>
      <c r="F699" s="121"/>
      <c r="G699" s="121"/>
      <c r="H699" s="121"/>
      <c r="I699" s="121"/>
      <c r="J699" s="121"/>
      <c r="K699" s="121"/>
      <c r="L699" s="121"/>
      <c r="M699" s="121"/>
      <c r="N699" s="121"/>
      <c r="O699" s="121"/>
      <c r="P699" s="121"/>
      <c r="Q699" s="121"/>
      <c r="R699" s="121"/>
      <c r="S699" s="121"/>
      <c r="T699" s="121"/>
      <c r="U699" s="121"/>
      <c r="V699" s="121"/>
      <c r="W699" s="121"/>
      <c r="X699" s="121"/>
      <c r="Y699" s="121"/>
      <c r="Z699" s="121"/>
    </row>
    <row r="700" spans="1:26" ht="11.25" customHeight="1" x14ac:dyDescent="0.3">
      <c r="A700" s="121"/>
      <c r="B700" s="121"/>
      <c r="C700" s="121"/>
      <c r="D700" s="121"/>
      <c r="E700" s="121"/>
      <c r="F700" s="121"/>
      <c r="G700" s="121"/>
      <c r="H700" s="121"/>
      <c r="I700" s="121"/>
      <c r="J700" s="121"/>
      <c r="K700" s="121"/>
      <c r="L700" s="121"/>
      <c r="M700" s="121"/>
      <c r="N700" s="121"/>
      <c r="O700" s="121"/>
      <c r="P700" s="121"/>
      <c r="Q700" s="121"/>
      <c r="R700" s="121"/>
      <c r="S700" s="121"/>
      <c r="T700" s="121"/>
      <c r="U700" s="121"/>
      <c r="V700" s="121"/>
      <c r="W700" s="121"/>
      <c r="X700" s="121"/>
      <c r="Y700" s="121"/>
      <c r="Z700" s="121"/>
    </row>
    <row r="701" spans="1:26" ht="11.25" customHeight="1" x14ac:dyDescent="0.3">
      <c r="A701" s="121"/>
      <c r="B701" s="121"/>
      <c r="C701" s="121"/>
      <c r="D701" s="121"/>
      <c r="E701" s="121"/>
      <c r="F701" s="121"/>
      <c r="G701" s="121"/>
      <c r="H701" s="121"/>
      <c r="I701" s="121"/>
      <c r="J701" s="121"/>
      <c r="K701" s="121"/>
      <c r="L701" s="121"/>
      <c r="M701" s="121"/>
      <c r="N701" s="121"/>
      <c r="O701" s="121"/>
      <c r="P701" s="121"/>
      <c r="Q701" s="121"/>
      <c r="R701" s="121"/>
      <c r="S701" s="121"/>
      <c r="T701" s="121"/>
      <c r="U701" s="121"/>
      <c r="V701" s="121"/>
      <c r="W701" s="121"/>
      <c r="X701" s="121"/>
      <c r="Y701" s="121"/>
      <c r="Z701" s="121"/>
    </row>
    <row r="702" spans="1:26" ht="11.25" customHeight="1" x14ac:dyDescent="0.3">
      <c r="A702" s="121"/>
      <c r="B702" s="121"/>
      <c r="C702" s="121"/>
      <c r="D702" s="121"/>
      <c r="E702" s="121"/>
      <c r="F702" s="121"/>
      <c r="G702" s="121"/>
      <c r="H702" s="121"/>
      <c r="I702" s="121"/>
      <c r="J702" s="121"/>
      <c r="K702" s="121"/>
      <c r="L702" s="121"/>
      <c r="M702" s="121"/>
      <c r="N702" s="121"/>
      <c r="O702" s="121"/>
      <c r="P702" s="121"/>
      <c r="Q702" s="121"/>
      <c r="R702" s="121"/>
      <c r="S702" s="121"/>
      <c r="T702" s="121"/>
      <c r="U702" s="121"/>
      <c r="V702" s="121"/>
      <c r="W702" s="121"/>
      <c r="X702" s="121"/>
      <c r="Y702" s="121"/>
      <c r="Z702" s="121"/>
    </row>
    <row r="703" spans="1:26" ht="11.25" customHeight="1" x14ac:dyDescent="0.3">
      <c r="A703" s="121"/>
      <c r="B703" s="121"/>
      <c r="C703" s="121"/>
      <c r="D703" s="121"/>
      <c r="E703" s="121"/>
      <c r="F703" s="121"/>
      <c r="G703" s="121"/>
      <c r="H703" s="121"/>
      <c r="I703" s="121"/>
      <c r="J703" s="121"/>
      <c r="K703" s="121"/>
      <c r="L703" s="121"/>
      <c r="M703" s="121"/>
      <c r="N703" s="121"/>
      <c r="O703" s="121"/>
      <c r="P703" s="121"/>
      <c r="Q703" s="121"/>
      <c r="R703" s="121"/>
      <c r="S703" s="121"/>
      <c r="T703" s="121"/>
      <c r="U703" s="121"/>
      <c r="V703" s="121"/>
      <c r="W703" s="121"/>
      <c r="X703" s="121"/>
      <c r="Y703" s="121"/>
      <c r="Z703" s="121"/>
    </row>
    <row r="704" spans="1:26" ht="11.25" customHeight="1" x14ac:dyDescent="0.3">
      <c r="A704" s="121"/>
      <c r="B704" s="121"/>
      <c r="C704" s="121"/>
      <c r="D704" s="121"/>
      <c r="E704" s="121"/>
      <c r="F704" s="121"/>
      <c r="G704" s="121"/>
      <c r="H704" s="121"/>
      <c r="I704" s="121"/>
      <c r="J704" s="121"/>
      <c r="K704" s="121"/>
      <c r="L704" s="121"/>
      <c r="M704" s="121"/>
      <c r="N704" s="121"/>
      <c r="O704" s="121"/>
      <c r="P704" s="121"/>
      <c r="Q704" s="121"/>
      <c r="R704" s="121"/>
      <c r="S704" s="121"/>
      <c r="T704" s="121"/>
      <c r="U704" s="121"/>
      <c r="V704" s="121"/>
      <c r="W704" s="121"/>
      <c r="X704" s="121"/>
      <c r="Y704" s="121"/>
      <c r="Z704" s="121"/>
    </row>
    <row r="705" spans="1:26" ht="11.25" customHeight="1" x14ac:dyDescent="0.3">
      <c r="A705" s="121"/>
      <c r="B705" s="121"/>
      <c r="C705" s="121"/>
      <c r="D705" s="121"/>
      <c r="E705" s="121"/>
      <c r="F705" s="121"/>
      <c r="G705" s="121"/>
      <c r="H705" s="121"/>
      <c r="I705" s="121"/>
      <c r="J705" s="121"/>
      <c r="K705" s="121"/>
      <c r="L705" s="121"/>
      <c r="M705" s="121"/>
      <c r="N705" s="121"/>
      <c r="O705" s="121"/>
      <c r="P705" s="121"/>
      <c r="Q705" s="121"/>
      <c r="R705" s="121"/>
      <c r="S705" s="121"/>
      <c r="T705" s="121"/>
      <c r="U705" s="121"/>
      <c r="V705" s="121"/>
      <c r="W705" s="121"/>
      <c r="X705" s="121"/>
      <c r="Y705" s="121"/>
      <c r="Z705" s="121"/>
    </row>
    <row r="706" spans="1:26" ht="11.25" customHeight="1" x14ac:dyDescent="0.3">
      <c r="A706" s="121"/>
      <c r="B706" s="121"/>
      <c r="C706" s="121"/>
      <c r="D706" s="121"/>
      <c r="E706" s="121"/>
      <c r="F706" s="121"/>
      <c r="G706" s="121"/>
      <c r="H706" s="121"/>
      <c r="I706" s="121"/>
      <c r="J706" s="121"/>
      <c r="K706" s="121"/>
      <c r="L706" s="121"/>
      <c r="M706" s="121"/>
      <c r="N706" s="121"/>
      <c r="O706" s="121"/>
      <c r="P706" s="121"/>
      <c r="Q706" s="121"/>
      <c r="R706" s="121"/>
      <c r="S706" s="121"/>
      <c r="T706" s="121"/>
      <c r="U706" s="121"/>
      <c r="V706" s="121"/>
      <c r="W706" s="121"/>
      <c r="X706" s="121"/>
      <c r="Y706" s="121"/>
      <c r="Z706" s="121"/>
    </row>
    <row r="707" spans="1:26" ht="11.25" customHeight="1" x14ac:dyDescent="0.3">
      <c r="A707" s="121"/>
      <c r="B707" s="121"/>
      <c r="C707" s="121"/>
      <c r="D707" s="121"/>
      <c r="E707" s="121"/>
      <c r="F707" s="121"/>
      <c r="G707" s="121"/>
      <c r="H707" s="121"/>
      <c r="I707" s="121"/>
      <c r="J707" s="121"/>
      <c r="K707" s="121"/>
      <c r="L707" s="121"/>
      <c r="M707" s="121"/>
      <c r="N707" s="121"/>
      <c r="O707" s="121"/>
      <c r="P707" s="121"/>
      <c r="Q707" s="121"/>
      <c r="R707" s="121"/>
      <c r="S707" s="121"/>
      <c r="T707" s="121"/>
      <c r="U707" s="121"/>
      <c r="V707" s="121"/>
      <c r="W707" s="121"/>
      <c r="X707" s="121"/>
      <c r="Y707" s="121"/>
      <c r="Z707" s="121"/>
    </row>
    <row r="708" spans="1:26" ht="11.25" customHeight="1" x14ac:dyDescent="0.3">
      <c r="A708" s="121"/>
      <c r="B708" s="121"/>
      <c r="C708" s="121"/>
      <c r="D708" s="121"/>
      <c r="E708" s="121"/>
      <c r="F708" s="121"/>
      <c r="G708" s="121"/>
      <c r="H708" s="121"/>
      <c r="I708" s="121"/>
      <c r="J708" s="121"/>
      <c r="K708" s="121"/>
      <c r="L708" s="121"/>
      <c r="M708" s="121"/>
      <c r="N708" s="121"/>
      <c r="O708" s="121"/>
      <c r="P708" s="121"/>
      <c r="Q708" s="121"/>
      <c r="R708" s="121"/>
      <c r="S708" s="121"/>
      <c r="T708" s="121"/>
      <c r="U708" s="121"/>
      <c r="V708" s="121"/>
      <c r="W708" s="121"/>
      <c r="X708" s="121"/>
      <c r="Y708" s="121"/>
      <c r="Z708" s="121"/>
    </row>
    <row r="709" spans="1:26" ht="11.25" customHeight="1" x14ac:dyDescent="0.3">
      <c r="A709" s="121"/>
      <c r="B709" s="121"/>
      <c r="C709" s="121"/>
      <c r="D709" s="121"/>
      <c r="E709" s="121"/>
      <c r="F709" s="121"/>
      <c r="G709" s="121"/>
      <c r="H709" s="121"/>
      <c r="I709" s="121"/>
      <c r="J709" s="121"/>
      <c r="K709" s="121"/>
      <c r="L709" s="121"/>
      <c r="M709" s="121"/>
      <c r="N709" s="121"/>
      <c r="O709" s="121"/>
      <c r="P709" s="121"/>
      <c r="Q709" s="121"/>
      <c r="R709" s="121"/>
      <c r="S709" s="121"/>
      <c r="T709" s="121"/>
      <c r="U709" s="121"/>
      <c r="V709" s="121"/>
      <c r="W709" s="121"/>
      <c r="X709" s="121"/>
      <c r="Y709" s="121"/>
      <c r="Z709" s="121"/>
    </row>
    <row r="710" spans="1:26" ht="11.25" customHeight="1" x14ac:dyDescent="0.3">
      <c r="A710" s="121"/>
      <c r="B710" s="121"/>
      <c r="C710" s="121"/>
      <c r="D710" s="121"/>
      <c r="E710" s="121"/>
      <c r="F710" s="121"/>
      <c r="G710" s="121"/>
      <c r="H710" s="121"/>
      <c r="I710" s="121"/>
      <c r="J710" s="121"/>
      <c r="K710" s="121"/>
      <c r="L710" s="121"/>
      <c r="M710" s="121"/>
      <c r="N710" s="121"/>
      <c r="O710" s="121"/>
      <c r="P710" s="121"/>
      <c r="Q710" s="121"/>
      <c r="R710" s="121"/>
      <c r="S710" s="121"/>
      <c r="T710" s="121"/>
      <c r="U710" s="121"/>
      <c r="V710" s="121"/>
      <c r="W710" s="121"/>
      <c r="X710" s="121"/>
      <c r="Y710" s="121"/>
      <c r="Z710" s="121"/>
    </row>
    <row r="711" spans="1:26" ht="11.25" customHeight="1" x14ac:dyDescent="0.3">
      <c r="A711" s="121"/>
      <c r="B711" s="121"/>
      <c r="C711" s="121"/>
      <c r="D711" s="121"/>
      <c r="E711" s="121"/>
      <c r="F711" s="121"/>
      <c r="G711" s="121"/>
      <c r="H711" s="121"/>
      <c r="I711" s="121"/>
      <c r="J711" s="121"/>
      <c r="K711" s="121"/>
      <c r="L711" s="121"/>
      <c r="M711" s="121"/>
      <c r="N711" s="121"/>
      <c r="O711" s="121"/>
      <c r="P711" s="121"/>
      <c r="Q711" s="121"/>
      <c r="R711" s="121"/>
      <c r="S711" s="121"/>
      <c r="T711" s="121"/>
      <c r="U711" s="121"/>
      <c r="V711" s="121"/>
      <c r="W711" s="121"/>
      <c r="X711" s="121"/>
      <c r="Y711" s="121"/>
      <c r="Z711" s="121"/>
    </row>
    <row r="712" spans="1:26" ht="11.25" customHeight="1" x14ac:dyDescent="0.3">
      <c r="A712" s="121"/>
      <c r="B712" s="121"/>
      <c r="C712" s="121"/>
      <c r="D712" s="121"/>
      <c r="E712" s="121"/>
      <c r="F712" s="121"/>
      <c r="G712" s="121"/>
      <c r="H712" s="121"/>
      <c r="I712" s="121"/>
      <c r="J712" s="121"/>
      <c r="K712" s="121"/>
      <c r="L712" s="121"/>
      <c r="M712" s="121"/>
      <c r="N712" s="121"/>
      <c r="O712" s="121"/>
      <c r="P712" s="121"/>
      <c r="Q712" s="121"/>
      <c r="R712" s="121"/>
      <c r="S712" s="121"/>
      <c r="T712" s="121"/>
      <c r="U712" s="121"/>
      <c r="V712" s="121"/>
      <c r="W712" s="121"/>
      <c r="X712" s="121"/>
      <c r="Y712" s="121"/>
      <c r="Z712" s="121"/>
    </row>
    <row r="713" spans="1:26" ht="11.25" customHeight="1" x14ac:dyDescent="0.3">
      <c r="A713" s="121"/>
      <c r="B713" s="121"/>
      <c r="C713" s="121"/>
      <c r="D713" s="121"/>
      <c r="E713" s="121"/>
      <c r="F713" s="121"/>
      <c r="G713" s="121"/>
      <c r="H713" s="121"/>
      <c r="I713" s="121"/>
      <c r="J713" s="121"/>
      <c r="K713" s="121"/>
      <c r="L713" s="121"/>
      <c r="M713" s="121"/>
      <c r="N713" s="121"/>
      <c r="O713" s="121"/>
      <c r="P713" s="121"/>
      <c r="Q713" s="121"/>
      <c r="R713" s="121"/>
      <c r="S713" s="121"/>
      <c r="T713" s="121"/>
      <c r="U713" s="121"/>
      <c r="V713" s="121"/>
      <c r="W713" s="121"/>
      <c r="X713" s="121"/>
      <c r="Y713" s="121"/>
      <c r="Z713" s="121"/>
    </row>
    <row r="714" spans="1:26" ht="11.25" customHeight="1" x14ac:dyDescent="0.3">
      <c r="A714" s="121"/>
      <c r="B714" s="121"/>
      <c r="C714" s="121"/>
      <c r="D714" s="121"/>
      <c r="E714" s="121"/>
      <c r="F714" s="121"/>
      <c r="G714" s="121"/>
      <c r="H714" s="121"/>
      <c r="I714" s="121"/>
      <c r="J714" s="121"/>
      <c r="K714" s="121"/>
      <c r="L714" s="121"/>
      <c r="M714" s="121"/>
      <c r="N714" s="121"/>
      <c r="O714" s="121"/>
      <c r="P714" s="121"/>
      <c r="Q714" s="121"/>
      <c r="R714" s="121"/>
      <c r="S714" s="121"/>
      <c r="T714" s="121"/>
      <c r="U714" s="121"/>
      <c r="V714" s="121"/>
      <c r="W714" s="121"/>
      <c r="X714" s="121"/>
      <c r="Y714" s="121"/>
      <c r="Z714" s="121"/>
    </row>
    <row r="715" spans="1:26" ht="11.25" customHeight="1" x14ac:dyDescent="0.3">
      <c r="A715" s="121"/>
      <c r="B715" s="121"/>
      <c r="C715" s="121"/>
      <c r="D715" s="121"/>
      <c r="E715" s="121"/>
      <c r="F715" s="121"/>
      <c r="G715" s="121"/>
      <c r="H715" s="121"/>
      <c r="I715" s="121"/>
      <c r="J715" s="121"/>
      <c r="K715" s="121"/>
      <c r="L715" s="121"/>
      <c r="M715" s="121"/>
      <c r="N715" s="121"/>
      <c r="O715" s="121"/>
      <c r="P715" s="121"/>
      <c r="Q715" s="121"/>
      <c r="R715" s="121"/>
      <c r="S715" s="121"/>
      <c r="T715" s="121"/>
      <c r="U715" s="121"/>
      <c r="V715" s="121"/>
      <c r="W715" s="121"/>
      <c r="X715" s="121"/>
      <c r="Y715" s="121"/>
      <c r="Z715" s="121"/>
    </row>
    <row r="716" spans="1:26" ht="11.25" customHeight="1" x14ac:dyDescent="0.3">
      <c r="A716" s="121"/>
      <c r="B716" s="121"/>
      <c r="C716" s="121"/>
      <c r="D716" s="121"/>
      <c r="E716" s="121"/>
      <c r="F716" s="121"/>
      <c r="G716" s="121"/>
      <c r="H716" s="121"/>
      <c r="I716" s="121"/>
      <c r="J716" s="121"/>
      <c r="K716" s="121"/>
      <c r="L716" s="121"/>
      <c r="M716" s="121"/>
      <c r="N716" s="121"/>
      <c r="O716" s="121"/>
      <c r="P716" s="121"/>
      <c r="Q716" s="121"/>
      <c r="R716" s="121"/>
      <c r="S716" s="121"/>
      <c r="T716" s="121"/>
      <c r="U716" s="121"/>
      <c r="V716" s="121"/>
      <c r="W716" s="121"/>
      <c r="X716" s="121"/>
      <c r="Y716" s="121"/>
      <c r="Z716" s="121"/>
    </row>
    <row r="717" spans="1:26" ht="11.25" customHeight="1" x14ac:dyDescent="0.3">
      <c r="A717" s="121"/>
      <c r="B717" s="121"/>
      <c r="C717" s="121"/>
      <c r="D717" s="121"/>
      <c r="E717" s="121"/>
      <c r="F717" s="121"/>
      <c r="G717" s="121"/>
      <c r="H717" s="121"/>
      <c r="I717" s="121"/>
      <c r="J717" s="121"/>
      <c r="K717" s="121"/>
      <c r="L717" s="121"/>
      <c r="M717" s="121"/>
      <c r="N717" s="121"/>
      <c r="O717" s="121"/>
      <c r="P717" s="121"/>
      <c r="Q717" s="121"/>
      <c r="R717" s="121"/>
      <c r="S717" s="121"/>
      <c r="T717" s="121"/>
      <c r="U717" s="121"/>
      <c r="V717" s="121"/>
      <c r="W717" s="121"/>
      <c r="X717" s="121"/>
      <c r="Y717" s="121"/>
      <c r="Z717" s="121"/>
    </row>
    <row r="718" spans="1:26" ht="11.25" customHeight="1" x14ac:dyDescent="0.3">
      <c r="A718" s="121"/>
      <c r="B718" s="121"/>
      <c r="C718" s="121"/>
      <c r="D718" s="121"/>
      <c r="E718" s="121"/>
      <c r="F718" s="121"/>
      <c r="G718" s="121"/>
      <c r="H718" s="121"/>
      <c r="I718" s="121"/>
      <c r="J718" s="121"/>
      <c r="K718" s="121"/>
      <c r="L718" s="121"/>
      <c r="M718" s="121"/>
      <c r="N718" s="121"/>
      <c r="O718" s="121"/>
      <c r="P718" s="121"/>
      <c r="Q718" s="121"/>
      <c r="R718" s="121"/>
      <c r="S718" s="121"/>
      <c r="T718" s="121"/>
      <c r="U718" s="121"/>
      <c r="V718" s="121"/>
      <c r="W718" s="121"/>
      <c r="X718" s="121"/>
      <c r="Y718" s="121"/>
      <c r="Z718" s="121"/>
    </row>
    <row r="719" spans="1:26" ht="11.25" customHeight="1" x14ac:dyDescent="0.3">
      <c r="A719" s="121"/>
      <c r="B719" s="121"/>
      <c r="C719" s="121"/>
      <c r="D719" s="121"/>
      <c r="E719" s="121"/>
      <c r="F719" s="121"/>
      <c r="G719" s="121"/>
      <c r="H719" s="121"/>
      <c r="I719" s="121"/>
      <c r="J719" s="121"/>
      <c r="K719" s="121"/>
      <c r="L719" s="121"/>
      <c r="M719" s="121"/>
      <c r="N719" s="121"/>
      <c r="O719" s="121"/>
      <c r="P719" s="121"/>
      <c r="Q719" s="121"/>
      <c r="R719" s="121"/>
      <c r="S719" s="121"/>
      <c r="T719" s="121"/>
      <c r="U719" s="121"/>
      <c r="V719" s="121"/>
      <c r="W719" s="121"/>
      <c r="X719" s="121"/>
      <c r="Y719" s="121"/>
      <c r="Z719" s="121"/>
    </row>
    <row r="720" spans="1:26" ht="11.25" customHeight="1" x14ac:dyDescent="0.3">
      <c r="A720" s="121"/>
      <c r="B720" s="121"/>
      <c r="C720" s="121"/>
      <c r="D720" s="121"/>
      <c r="E720" s="121"/>
      <c r="F720" s="121"/>
      <c r="G720" s="121"/>
      <c r="H720" s="121"/>
      <c r="I720" s="121"/>
      <c r="J720" s="121"/>
      <c r="K720" s="121"/>
      <c r="L720" s="121"/>
      <c r="M720" s="121"/>
      <c r="N720" s="121"/>
      <c r="O720" s="121"/>
      <c r="P720" s="121"/>
      <c r="Q720" s="121"/>
      <c r="R720" s="121"/>
      <c r="S720" s="121"/>
      <c r="T720" s="121"/>
      <c r="U720" s="121"/>
      <c r="V720" s="121"/>
      <c r="W720" s="121"/>
      <c r="X720" s="121"/>
      <c r="Y720" s="121"/>
      <c r="Z720" s="121"/>
    </row>
    <row r="721" spans="1:26" ht="11.25" customHeight="1" x14ac:dyDescent="0.3">
      <c r="A721" s="121"/>
      <c r="B721" s="121"/>
      <c r="C721" s="121"/>
      <c r="D721" s="121"/>
      <c r="E721" s="121"/>
      <c r="F721" s="121"/>
      <c r="G721" s="121"/>
      <c r="H721" s="121"/>
      <c r="I721" s="121"/>
      <c r="J721" s="121"/>
      <c r="K721" s="121"/>
      <c r="L721" s="121"/>
      <c r="M721" s="121"/>
      <c r="N721" s="121"/>
      <c r="O721" s="121"/>
      <c r="P721" s="121"/>
      <c r="Q721" s="121"/>
      <c r="R721" s="121"/>
      <c r="S721" s="121"/>
      <c r="T721" s="121"/>
      <c r="U721" s="121"/>
      <c r="V721" s="121"/>
      <c r="W721" s="121"/>
      <c r="X721" s="121"/>
      <c r="Y721" s="121"/>
      <c r="Z721" s="121"/>
    </row>
    <row r="722" spans="1:26" ht="11.25" customHeight="1" x14ac:dyDescent="0.3">
      <c r="A722" s="121"/>
      <c r="B722" s="121"/>
      <c r="C722" s="121"/>
      <c r="D722" s="121"/>
      <c r="E722" s="121"/>
      <c r="F722" s="121"/>
      <c r="G722" s="121"/>
      <c r="H722" s="121"/>
      <c r="I722" s="121"/>
      <c r="J722" s="121"/>
      <c r="K722" s="121"/>
      <c r="L722" s="121"/>
      <c r="M722" s="121"/>
      <c r="N722" s="121"/>
      <c r="O722" s="121"/>
      <c r="P722" s="121"/>
      <c r="Q722" s="121"/>
      <c r="R722" s="121"/>
      <c r="S722" s="121"/>
      <c r="T722" s="121"/>
      <c r="U722" s="121"/>
      <c r="V722" s="121"/>
      <c r="W722" s="121"/>
      <c r="X722" s="121"/>
      <c r="Y722" s="121"/>
      <c r="Z722" s="121"/>
    </row>
    <row r="723" spans="1:26" ht="11.25" customHeight="1" x14ac:dyDescent="0.3">
      <c r="A723" s="121"/>
      <c r="B723" s="121"/>
      <c r="C723" s="121"/>
      <c r="D723" s="121"/>
      <c r="E723" s="121"/>
      <c r="F723" s="121"/>
      <c r="G723" s="121"/>
      <c r="H723" s="121"/>
      <c r="I723" s="121"/>
      <c r="J723" s="121"/>
      <c r="K723" s="121"/>
      <c r="L723" s="121"/>
      <c r="M723" s="121"/>
      <c r="N723" s="121"/>
      <c r="O723" s="121"/>
      <c r="P723" s="121"/>
      <c r="Q723" s="121"/>
      <c r="R723" s="121"/>
      <c r="S723" s="121"/>
      <c r="T723" s="121"/>
      <c r="U723" s="121"/>
      <c r="V723" s="121"/>
      <c r="W723" s="121"/>
      <c r="X723" s="121"/>
      <c r="Y723" s="121"/>
      <c r="Z723" s="121"/>
    </row>
    <row r="724" spans="1:26" ht="11.25" customHeight="1" x14ac:dyDescent="0.3">
      <c r="A724" s="121"/>
      <c r="B724" s="121"/>
      <c r="C724" s="121"/>
      <c r="D724" s="121"/>
      <c r="E724" s="121"/>
      <c r="F724" s="121"/>
      <c r="G724" s="121"/>
      <c r="H724" s="121"/>
      <c r="I724" s="121"/>
      <c r="J724" s="121"/>
      <c r="K724" s="121"/>
      <c r="L724" s="121"/>
      <c r="M724" s="121"/>
      <c r="N724" s="121"/>
      <c r="O724" s="121"/>
      <c r="P724" s="121"/>
      <c r="Q724" s="121"/>
      <c r="R724" s="121"/>
      <c r="S724" s="121"/>
      <c r="T724" s="121"/>
      <c r="U724" s="121"/>
      <c r="V724" s="121"/>
      <c r="W724" s="121"/>
      <c r="X724" s="121"/>
      <c r="Y724" s="121"/>
      <c r="Z724" s="121"/>
    </row>
    <row r="725" spans="1:26" ht="11.25" customHeight="1" x14ac:dyDescent="0.3">
      <c r="A725" s="121"/>
      <c r="B725" s="121"/>
      <c r="C725" s="121"/>
      <c r="D725" s="121"/>
      <c r="E725" s="121"/>
      <c r="F725" s="121"/>
      <c r="G725" s="121"/>
      <c r="H725" s="121"/>
      <c r="I725" s="121"/>
      <c r="J725" s="121"/>
      <c r="K725" s="121"/>
      <c r="L725" s="121"/>
      <c r="M725" s="121"/>
      <c r="N725" s="121"/>
      <c r="O725" s="121"/>
      <c r="P725" s="121"/>
      <c r="Q725" s="121"/>
      <c r="R725" s="121"/>
      <c r="S725" s="121"/>
      <c r="T725" s="121"/>
      <c r="U725" s="121"/>
      <c r="V725" s="121"/>
      <c r="W725" s="121"/>
      <c r="X725" s="121"/>
      <c r="Y725" s="121"/>
      <c r="Z725" s="121"/>
    </row>
    <row r="726" spans="1:26" ht="11.25" customHeight="1" x14ac:dyDescent="0.3">
      <c r="A726" s="121"/>
      <c r="B726" s="121"/>
      <c r="C726" s="121"/>
      <c r="D726" s="121"/>
      <c r="E726" s="121"/>
      <c r="F726" s="121"/>
      <c r="G726" s="121"/>
      <c r="H726" s="121"/>
      <c r="I726" s="121"/>
      <c r="J726" s="121"/>
      <c r="K726" s="121"/>
      <c r="L726" s="121"/>
      <c r="M726" s="121"/>
      <c r="N726" s="121"/>
      <c r="O726" s="121"/>
      <c r="P726" s="121"/>
      <c r="Q726" s="121"/>
      <c r="R726" s="121"/>
      <c r="S726" s="121"/>
      <c r="T726" s="121"/>
      <c r="U726" s="121"/>
      <c r="V726" s="121"/>
      <c r="W726" s="121"/>
      <c r="X726" s="121"/>
      <c r="Y726" s="121"/>
      <c r="Z726" s="121"/>
    </row>
    <row r="727" spans="1:26" ht="11.25" customHeight="1" x14ac:dyDescent="0.3">
      <c r="A727" s="121"/>
      <c r="B727" s="121"/>
      <c r="C727" s="121"/>
      <c r="D727" s="121"/>
      <c r="E727" s="121"/>
      <c r="F727" s="121"/>
      <c r="G727" s="121"/>
      <c r="H727" s="121"/>
      <c r="I727" s="121"/>
      <c r="J727" s="121"/>
      <c r="K727" s="121"/>
      <c r="L727" s="121"/>
      <c r="M727" s="121"/>
      <c r="N727" s="121"/>
      <c r="O727" s="121"/>
      <c r="P727" s="121"/>
      <c r="Q727" s="121"/>
      <c r="R727" s="121"/>
      <c r="S727" s="121"/>
      <c r="T727" s="121"/>
      <c r="U727" s="121"/>
      <c r="V727" s="121"/>
      <c r="W727" s="121"/>
      <c r="X727" s="121"/>
      <c r="Y727" s="121"/>
      <c r="Z727" s="121"/>
    </row>
    <row r="728" spans="1:26" ht="11.25" customHeight="1" x14ac:dyDescent="0.3">
      <c r="A728" s="121"/>
      <c r="B728" s="121"/>
      <c r="C728" s="121"/>
      <c r="D728" s="121"/>
      <c r="E728" s="121"/>
      <c r="F728" s="121"/>
      <c r="G728" s="121"/>
      <c r="H728" s="121"/>
      <c r="I728" s="121"/>
      <c r="J728" s="121"/>
      <c r="K728" s="121"/>
      <c r="L728" s="121"/>
      <c r="M728" s="121"/>
      <c r="N728" s="121"/>
      <c r="O728" s="121"/>
      <c r="P728" s="121"/>
      <c r="Q728" s="121"/>
      <c r="R728" s="121"/>
      <c r="S728" s="121"/>
      <c r="T728" s="121"/>
      <c r="U728" s="121"/>
      <c r="V728" s="121"/>
      <c r="W728" s="121"/>
      <c r="X728" s="121"/>
      <c r="Y728" s="121"/>
      <c r="Z728" s="121"/>
    </row>
    <row r="729" spans="1:26" ht="11.25" customHeight="1" x14ac:dyDescent="0.3">
      <c r="A729" s="121"/>
      <c r="B729" s="121"/>
      <c r="C729" s="121"/>
      <c r="D729" s="121"/>
      <c r="E729" s="121"/>
      <c r="F729" s="121"/>
      <c r="G729" s="121"/>
      <c r="H729" s="121"/>
      <c r="I729" s="121"/>
      <c r="J729" s="121"/>
      <c r="K729" s="121"/>
      <c r="L729" s="121"/>
      <c r="M729" s="121"/>
      <c r="N729" s="121"/>
      <c r="O729" s="121"/>
      <c r="P729" s="121"/>
      <c r="Q729" s="121"/>
      <c r="R729" s="121"/>
      <c r="S729" s="121"/>
      <c r="T729" s="121"/>
      <c r="U729" s="121"/>
      <c r="V729" s="121"/>
      <c r="W729" s="121"/>
      <c r="X729" s="121"/>
      <c r="Y729" s="121"/>
      <c r="Z729" s="121"/>
    </row>
    <row r="730" spans="1:26" ht="11.25" customHeight="1" x14ac:dyDescent="0.3">
      <c r="A730" s="121"/>
      <c r="B730" s="121"/>
      <c r="C730" s="121"/>
      <c r="D730" s="121"/>
      <c r="E730" s="121"/>
      <c r="F730" s="121"/>
      <c r="G730" s="121"/>
      <c r="H730" s="121"/>
      <c r="I730" s="121"/>
      <c r="J730" s="121"/>
      <c r="K730" s="121"/>
      <c r="L730" s="121"/>
      <c r="M730" s="121"/>
      <c r="N730" s="121"/>
      <c r="O730" s="121"/>
      <c r="P730" s="121"/>
      <c r="Q730" s="121"/>
      <c r="R730" s="121"/>
      <c r="S730" s="121"/>
      <c r="T730" s="121"/>
      <c r="U730" s="121"/>
      <c r="V730" s="121"/>
      <c r="W730" s="121"/>
      <c r="X730" s="121"/>
      <c r="Y730" s="121"/>
      <c r="Z730" s="121"/>
    </row>
    <row r="731" spans="1:26" ht="11.25" customHeight="1" x14ac:dyDescent="0.3">
      <c r="A731" s="121"/>
      <c r="B731" s="121"/>
      <c r="C731" s="121"/>
      <c r="D731" s="121"/>
      <c r="E731" s="121"/>
      <c r="F731" s="121"/>
      <c r="G731" s="121"/>
      <c r="H731" s="121"/>
      <c r="I731" s="121"/>
      <c r="J731" s="121"/>
      <c r="K731" s="121"/>
      <c r="L731" s="121"/>
      <c r="M731" s="121"/>
      <c r="N731" s="121"/>
      <c r="O731" s="121"/>
      <c r="P731" s="121"/>
      <c r="Q731" s="121"/>
      <c r="R731" s="121"/>
      <c r="S731" s="121"/>
      <c r="T731" s="121"/>
      <c r="U731" s="121"/>
      <c r="V731" s="121"/>
      <c r="W731" s="121"/>
      <c r="X731" s="121"/>
      <c r="Y731" s="121"/>
      <c r="Z731" s="121"/>
    </row>
    <row r="732" spans="1:26" ht="11.25" customHeight="1" x14ac:dyDescent="0.3">
      <c r="A732" s="121"/>
      <c r="B732" s="121"/>
      <c r="C732" s="121"/>
      <c r="D732" s="121"/>
      <c r="E732" s="121"/>
      <c r="F732" s="121"/>
      <c r="G732" s="121"/>
      <c r="H732" s="121"/>
      <c r="I732" s="121"/>
      <c r="J732" s="121"/>
      <c r="K732" s="121"/>
      <c r="L732" s="121"/>
      <c r="M732" s="121"/>
      <c r="N732" s="121"/>
      <c r="O732" s="121"/>
      <c r="P732" s="121"/>
      <c r="Q732" s="121"/>
      <c r="R732" s="121"/>
      <c r="S732" s="121"/>
      <c r="T732" s="121"/>
      <c r="U732" s="121"/>
      <c r="V732" s="121"/>
      <c r="W732" s="121"/>
      <c r="X732" s="121"/>
      <c r="Y732" s="121"/>
      <c r="Z732" s="121"/>
    </row>
    <row r="733" spans="1:26" ht="11.25" customHeight="1" x14ac:dyDescent="0.3">
      <c r="A733" s="121"/>
      <c r="B733" s="121"/>
      <c r="C733" s="121"/>
      <c r="D733" s="121"/>
      <c r="E733" s="121"/>
      <c r="F733" s="121"/>
      <c r="G733" s="121"/>
      <c r="H733" s="121"/>
      <c r="I733" s="121"/>
      <c r="J733" s="121"/>
      <c r="K733" s="121"/>
      <c r="L733" s="121"/>
      <c r="M733" s="121"/>
      <c r="N733" s="121"/>
      <c r="O733" s="121"/>
      <c r="P733" s="121"/>
      <c r="Q733" s="121"/>
      <c r="R733" s="121"/>
      <c r="S733" s="121"/>
      <c r="T733" s="121"/>
      <c r="U733" s="121"/>
      <c r="V733" s="121"/>
      <c r="W733" s="121"/>
      <c r="X733" s="121"/>
      <c r="Y733" s="121"/>
      <c r="Z733" s="121"/>
    </row>
    <row r="734" spans="1:26" ht="11.25" customHeight="1" x14ac:dyDescent="0.3">
      <c r="A734" s="121"/>
      <c r="B734" s="121"/>
      <c r="C734" s="121"/>
      <c r="D734" s="121"/>
      <c r="E734" s="121"/>
      <c r="F734" s="121"/>
      <c r="G734" s="121"/>
      <c r="H734" s="121"/>
      <c r="I734" s="121"/>
      <c r="J734" s="121"/>
      <c r="K734" s="121"/>
      <c r="L734" s="121"/>
      <c r="M734" s="121"/>
      <c r="N734" s="121"/>
      <c r="O734" s="121"/>
      <c r="P734" s="121"/>
      <c r="Q734" s="121"/>
      <c r="R734" s="121"/>
      <c r="S734" s="121"/>
      <c r="T734" s="121"/>
      <c r="U734" s="121"/>
      <c r="V734" s="121"/>
      <c r="W734" s="121"/>
      <c r="X734" s="121"/>
      <c r="Y734" s="121"/>
      <c r="Z734" s="121"/>
    </row>
    <row r="735" spans="1:26" ht="11.25" customHeight="1" x14ac:dyDescent="0.3">
      <c r="A735" s="121"/>
      <c r="B735" s="121"/>
      <c r="C735" s="121"/>
      <c r="D735" s="121"/>
      <c r="E735" s="121"/>
      <c r="F735" s="121"/>
      <c r="G735" s="121"/>
      <c r="H735" s="121"/>
      <c r="I735" s="121"/>
      <c r="J735" s="121"/>
      <c r="K735" s="121"/>
      <c r="L735" s="121"/>
      <c r="M735" s="121"/>
      <c r="N735" s="121"/>
      <c r="O735" s="121"/>
      <c r="P735" s="121"/>
      <c r="Q735" s="121"/>
      <c r="R735" s="121"/>
      <c r="S735" s="121"/>
      <c r="T735" s="121"/>
      <c r="U735" s="121"/>
      <c r="V735" s="121"/>
      <c r="W735" s="121"/>
      <c r="X735" s="121"/>
      <c r="Y735" s="121"/>
      <c r="Z735" s="121"/>
    </row>
    <row r="736" spans="1:26" ht="11.25" customHeight="1" x14ac:dyDescent="0.3">
      <c r="A736" s="121"/>
      <c r="B736" s="121"/>
      <c r="C736" s="121"/>
      <c r="D736" s="121"/>
      <c r="E736" s="121"/>
      <c r="F736" s="121"/>
      <c r="G736" s="121"/>
      <c r="H736" s="121"/>
      <c r="I736" s="121"/>
      <c r="J736" s="121"/>
      <c r="K736" s="121"/>
      <c r="L736" s="121"/>
      <c r="M736" s="121"/>
      <c r="N736" s="121"/>
      <c r="O736" s="121"/>
      <c r="P736" s="121"/>
      <c r="Q736" s="121"/>
      <c r="R736" s="121"/>
      <c r="S736" s="121"/>
      <c r="T736" s="121"/>
      <c r="U736" s="121"/>
      <c r="V736" s="121"/>
      <c r="W736" s="121"/>
      <c r="X736" s="121"/>
      <c r="Y736" s="121"/>
      <c r="Z736" s="121"/>
    </row>
    <row r="737" spans="1:26" ht="11.25" customHeight="1" x14ac:dyDescent="0.3">
      <c r="A737" s="121"/>
      <c r="B737" s="121"/>
      <c r="C737" s="121"/>
      <c r="D737" s="121"/>
      <c r="E737" s="121"/>
      <c r="F737" s="121"/>
      <c r="G737" s="121"/>
      <c r="H737" s="121"/>
      <c r="I737" s="121"/>
      <c r="J737" s="121"/>
      <c r="K737" s="121"/>
      <c r="L737" s="121"/>
      <c r="M737" s="121"/>
      <c r="N737" s="121"/>
      <c r="O737" s="121"/>
      <c r="P737" s="121"/>
      <c r="Q737" s="121"/>
      <c r="R737" s="121"/>
      <c r="S737" s="121"/>
      <c r="T737" s="121"/>
      <c r="U737" s="121"/>
      <c r="V737" s="121"/>
      <c r="W737" s="121"/>
      <c r="X737" s="121"/>
      <c r="Y737" s="121"/>
      <c r="Z737" s="121"/>
    </row>
    <row r="738" spans="1:26" ht="11.25" customHeight="1" x14ac:dyDescent="0.3">
      <c r="A738" s="121"/>
      <c r="B738" s="121"/>
      <c r="C738" s="121"/>
      <c r="D738" s="121"/>
      <c r="E738" s="121"/>
      <c r="F738" s="121"/>
      <c r="G738" s="121"/>
      <c r="H738" s="121"/>
      <c r="I738" s="121"/>
      <c r="J738" s="121"/>
      <c r="K738" s="121"/>
      <c r="L738" s="121"/>
      <c r="M738" s="121"/>
      <c r="N738" s="121"/>
      <c r="O738" s="121"/>
      <c r="P738" s="121"/>
      <c r="Q738" s="121"/>
      <c r="R738" s="121"/>
      <c r="S738" s="121"/>
      <c r="T738" s="121"/>
      <c r="U738" s="121"/>
      <c r="V738" s="121"/>
      <c r="W738" s="121"/>
      <c r="X738" s="121"/>
      <c r="Y738" s="121"/>
      <c r="Z738" s="121"/>
    </row>
    <row r="739" spans="1:26" ht="11.25" customHeight="1" x14ac:dyDescent="0.3">
      <c r="A739" s="121"/>
      <c r="B739" s="121"/>
      <c r="C739" s="121"/>
      <c r="D739" s="121"/>
      <c r="E739" s="121"/>
      <c r="F739" s="121"/>
      <c r="G739" s="121"/>
      <c r="H739" s="121"/>
      <c r="I739" s="121"/>
      <c r="J739" s="121"/>
      <c r="K739" s="121"/>
      <c r="L739" s="121"/>
      <c r="M739" s="121"/>
      <c r="N739" s="121"/>
      <c r="O739" s="121"/>
      <c r="P739" s="121"/>
      <c r="Q739" s="121"/>
      <c r="R739" s="121"/>
      <c r="S739" s="121"/>
      <c r="T739" s="121"/>
      <c r="U739" s="121"/>
      <c r="V739" s="121"/>
      <c r="W739" s="121"/>
      <c r="X739" s="121"/>
      <c r="Y739" s="121"/>
      <c r="Z739" s="121"/>
    </row>
    <row r="740" spans="1:26" ht="11.25" customHeight="1" x14ac:dyDescent="0.3">
      <c r="A740" s="121"/>
      <c r="B740" s="121"/>
      <c r="C740" s="121"/>
      <c r="D740" s="121"/>
      <c r="E740" s="121"/>
      <c r="F740" s="121"/>
      <c r="G740" s="121"/>
      <c r="H740" s="121"/>
      <c r="I740" s="121"/>
      <c r="J740" s="121"/>
      <c r="K740" s="121"/>
      <c r="L740" s="121"/>
      <c r="M740" s="121"/>
      <c r="N740" s="121"/>
      <c r="O740" s="121"/>
      <c r="P740" s="121"/>
      <c r="Q740" s="121"/>
      <c r="R740" s="121"/>
      <c r="S740" s="121"/>
      <c r="T740" s="121"/>
      <c r="U740" s="121"/>
      <c r="V740" s="121"/>
      <c r="W740" s="121"/>
      <c r="X740" s="121"/>
      <c r="Y740" s="121"/>
      <c r="Z740" s="121"/>
    </row>
    <row r="741" spans="1:26" ht="11.25" customHeight="1" x14ac:dyDescent="0.3">
      <c r="A741" s="121"/>
      <c r="B741" s="121"/>
      <c r="C741" s="121"/>
      <c r="D741" s="121"/>
      <c r="E741" s="121"/>
      <c r="F741" s="121"/>
      <c r="G741" s="121"/>
      <c r="H741" s="121"/>
      <c r="I741" s="121"/>
      <c r="J741" s="121"/>
      <c r="K741" s="121"/>
      <c r="L741" s="121"/>
      <c r="M741" s="121"/>
      <c r="N741" s="121"/>
      <c r="O741" s="121"/>
      <c r="P741" s="121"/>
      <c r="Q741" s="121"/>
      <c r="R741" s="121"/>
      <c r="S741" s="121"/>
      <c r="T741" s="121"/>
      <c r="U741" s="121"/>
      <c r="V741" s="121"/>
      <c r="W741" s="121"/>
      <c r="X741" s="121"/>
      <c r="Y741" s="121"/>
      <c r="Z741" s="121"/>
    </row>
    <row r="742" spans="1:26" ht="11.25" customHeight="1" x14ac:dyDescent="0.3">
      <c r="A742" s="121"/>
      <c r="B742" s="121"/>
      <c r="C742" s="121"/>
      <c r="D742" s="121"/>
      <c r="E742" s="121"/>
      <c r="F742" s="121"/>
      <c r="G742" s="121"/>
      <c r="H742" s="121"/>
      <c r="I742" s="121"/>
      <c r="J742" s="121"/>
      <c r="K742" s="121"/>
      <c r="L742" s="121"/>
      <c r="M742" s="121"/>
      <c r="N742" s="121"/>
      <c r="O742" s="121"/>
      <c r="P742" s="121"/>
      <c r="Q742" s="121"/>
      <c r="R742" s="121"/>
      <c r="S742" s="121"/>
      <c r="T742" s="121"/>
      <c r="U742" s="121"/>
      <c r="V742" s="121"/>
      <c r="W742" s="121"/>
      <c r="X742" s="121"/>
      <c r="Y742" s="121"/>
      <c r="Z742" s="121"/>
    </row>
    <row r="743" spans="1:26" ht="11.25" customHeight="1" x14ac:dyDescent="0.3">
      <c r="A743" s="121"/>
      <c r="B743" s="121"/>
      <c r="C743" s="121"/>
      <c r="D743" s="121"/>
      <c r="E743" s="121"/>
      <c r="F743" s="121"/>
      <c r="G743" s="121"/>
      <c r="H743" s="121"/>
      <c r="I743" s="121"/>
      <c r="J743" s="121"/>
      <c r="K743" s="121"/>
      <c r="L743" s="121"/>
      <c r="M743" s="121"/>
      <c r="N743" s="121"/>
      <c r="O743" s="121"/>
      <c r="P743" s="121"/>
      <c r="Q743" s="121"/>
      <c r="R743" s="121"/>
      <c r="S743" s="121"/>
      <c r="T743" s="121"/>
      <c r="U743" s="121"/>
      <c r="V743" s="121"/>
      <c r="W743" s="121"/>
      <c r="X743" s="121"/>
      <c r="Y743" s="121"/>
      <c r="Z743" s="121"/>
    </row>
    <row r="744" spans="1:26" ht="11.25" customHeight="1" x14ac:dyDescent="0.3">
      <c r="A744" s="121"/>
      <c r="B744" s="121"/>
      <c r="C744" s="121"/>
      <c r="D744" s="121"/>
      <c r="E744" s="121"/>
      <c r="F744" s="121"/>
      <c r="G744" s="121"/>
      <c r="H744" s="121"/>
      <c r="I744" s="121"/>
      <c r="J744" s="121"/>
      <c r="K744" s="121"/>
      <c r="L744" s="121"/>
      <c r="M744" s="121"/>
      <c r="N744" s="121"/>
      <c r="O744" s="121"/>
      <c r="P744" s="121"/>
      <c r="Q744" s="121"/>
      <c r="R744" s="121"/>
      <c r="S744" s="121"/>
      <c r="T744" s="121"/>
      <c r="U744" s="121"/>
      <c r="V744" s="121"/>
      <c r="W744" s="121"/>
      <c r="X744" s="121"/>
      <c r="Y744" s="121"/>
      <c r="Z744" s="121"/>
    </row>
    <row r="745" spans="1:26" ht="11.25" customHeight="1" x14ac:dyDescent="0.3">
      <c r="A745" s="121"/>
      <c r="B745" s="121"/>
      <c r="C745" s="121"/>
      <c r="D745" s="121"/>
      <c r="E745" s="121"/>
      <c r="F745" s="121"/>
      <c r="G745" s="121"/>
      <c r="H745" s="121"/>
      <c r="I745" s="121"/>
      <c r="J745" s="121"/>
      <c r="K745" s="121"/>
      <c r="L745" s="121"/>
      <c r="M745" s="121"/>
      <c r="N745" s="121"/>
      <c r="O745" s="121"/>
      <c r="P745" s="121"/>
      <c r="Q745" s="121"/>
      <c r="R745" s="121"/>
      <c r="S745" s="121"/>
      <c r="T745" s="121"/>
      <c r="U745" s="121"/>
      <c r="V745" s="121"/>
      <c r="W745" s="121"/>
      <c r="X745" s="121"/>
      <c r="Y745" s="121"/>
      <c r="Z745" s="121"/>
    </row>
    <row r="746" spans="1:26" ht="11.25" customHeight="1" x14ac:dyDescent="0.3">
      <c r="A746" s="121"/>
      <c r="B746" s="121"/>
      <c r="C746" s="121"/>
      <c r="D746" s="121"/>
      <c r="E746" s="121"/>
      <c r="F746" s="121"/>
      <c r="G746" s="121"/>
      <c r="H746" s="121"/>
      <c r="I746" s="121"/>
      <c r="J746" s="121"/>
      <c r="K746" s="121"/>
      <c r="L746" s="121"/>
      <c r="M746" s="121"/>
      <c r="N746" s="121"/>
      <c r="O746" s="121"/>
      <c r="P746" s="121"/>
      <c r="Q746" s="121"/>
      <c r="R746" s="121"/>
      <c r="S746" s="121"/>
      <c r="T746" s="121"/>
      <c r="U746" s="121"/>
      <c r="V746" s="121"/>
      <c r="W746" s="121"/>
      <c r="X746" s="121"/>
      <c r="Y746" s="121"/>
      <c r="Z746" s="121"/>
    </row>
    <row r="747" spans="1:26" ht="11.25" customHeight="1" x14ac:dyDescent="0.3">
      <c r="A747" s="121"/>
      <c r="B747" s="121"/>
      <c r="C747" s="121"/>
      <c r="D747" s="121"/>
      <c r="E747" s="121"/>
      <c r="F747" s="121"/>
      <c r="G747" s="121"/>
      <c r="H747" s="121"/>
      <c r="I747" s="121"/>
      <c r="J747" s="121"/>
      <c r="K747" s="121"/>
      <c r="L747" s="121"/>
      <c r="M747" s="121"/>
      <c r="N747" s="121"/>
      <c r="O747" s="121"/>
      <c r="P747" s="121"/>
      <c r="Q747" s="121"/>
      <c r="R747" s="121"/>
      <c r="S747" s="121"/>
      <c r="T747" s="121"/>
      <c r="U747" s="121"/>
      <c r="V747" s="121"/>
      <c r="W747" s="121"/>
      <c r="X747" s="121"/>
      <c r="Y747" s="121"/>
      <c r="Z747" s="121"/>
    </row>
    <row r="748" spans="1:26" ht="11.25" customHeight="1" x14ac:dyDescent="0.3">
      <c r="A748" s="121"/>
      <c r="B748" s="121"/>
      <c r="C748" s="121"/>
      <c r="D748" s="121"/>
      <c r="E748" s="121"/>
      <c r="F748" s="121"/>
      <c r="G748" s="121"/>
      <c r="H748" s="121"/>
      <c r="I748" s="121"/>
      <c r="J748" s="121"/>
      <c r="K748" s="121"/>
      <c r="L748" s="121"/>
      <c r="M748" s="121"/>
      <c r="N748" s="121"/>
      <c r="O748" s="121"/>
      <c r="P748" s="121"/>
      <c r="Q748" s="121"/>
      <c r="R748" s="121"/>
      <c r="S748" s="121"/>
      <c r="T748" s="121"/>
      <c r="U748" s="121"/>
      <c r="V748" s="121"/>
      <c r="W748" s="121"/>
      <c r="X748" s="121"/>
      <c r="Y748" s="121"/>
      <c r="Z748" s="121"/>
    </row>
    <row r="749" spans="1:26" ht="11.25" customHeight="1" x14ac:dyDescent="0.3">
      <c r="A749" s="121"/>
      <c r="B749" s="121"/>
      <c r="C749" s="121"/>
      <c r="D749" s="121"/>
      <c r="E749" s="121"/>
      <c r="F749" s="121"/>
      <c r="G749" s="121"/>
      <c r="H749" s="121"/>
      <c r="I749" s="121"/>
      <c r="J749" s="121"/>
      <c r="K749" s="121"/>
      <c r="L749" s="121"/>
      <c r="M749" s="121"/>
      <c r="N749" s="121"/>
      <c r="O749" s="121"/>
      <c r="P749" s="121"/>
      <c r="Q749" s="121"/>
      <c r="R749" s="121"/>
      <c r="S749" s="121"/>
      <c r="T749" s="121"/>
      <c r="U749" s="121"/>
      <c r="V749" s="121"/>
      <c r="W749" s="121"/>
      <c r="X749" s="121"/>
      <c r="Y749" s="121"/>
      <c r="Z749" s="121"/>
    </row>
    <row r="750" spans="1:26" ht="11.25" customHeight="1" x14ac:dyDescent="0.3">
      <c r="A750" s="121"/>
      <c r="B750" s="121"/>
      <c r="C750" s="121"/>
      <c r="D750" s="121"/>
      <c r="E750" s="121"/>
      <c r="F750" s="121"/>
      <c r="G750" s="121"/>
      <c r="H750" s="121"/>
      <c r="I750" s="121"/>
      <c r="J750" s="121"/>
      <c r="K750" s="121"/>
      <c r="L750" s="121"/>
      <c r="M750" s="121"/>
      <c r="N750" s="121"/>
      <c r="O750" s="121"/>
      <c r="P750" s="121"/>
      <c r="Q750" s="121"/>
      <c r="R750" s="121"/>
      <c r="S750" s="121"/>
      <c r="T750" s="121"/>
      <c r="U750" s="121"/>
      <c r="V750" s="121"/>
      <c r="W750" s="121"/>
      <c r="X750" s="121"/>
      <c r="Y750" s="121"/>
      <c r="Z750" s="121"/>
    </row>
    <row r="751" spans="1:26" ht="11.25" customHeight="1" x14ac:dyDescent="0.3">
      <c r="A751" s="121"/>
      <c r="B751" s="121"/>
      <c r="C751" s="121"/>
      <c r="D751" s="121"/>
      <c r="E751" s="121"/>
      <c r="F751" s="121"/>
      <c r="G751" s="121"/>
      <c r="H751" s="121"/>
      <c r="I751" s="121"/>
      <c r="J751" s="121"/>
      <c r="K751" s="121"/>
      <c r="L751" s="121"/>
      <c r="M751" s="121"/>
      <c r="N751" s="121"/>
      <c r="O751" s="121"/>
      <c r="P751" s="121"/>
      <c r="Q751" s="121"/>
      <c r="R751" s="121"/>
      <c r="S751" s="121"/>
      <c r="T751" s="121"/>
      <c r="U751" s="121"/>
      <c r="V751" s="121"/>
      <c r="W751" s="121"/>
      <c r="X751" s="121"/>
      <c r="Y751" s="121"/>
      <c r="Z751" s="121"/>
    </row>
    <row r="752" spans="1:26" ht="11.25" customHeight="1" x14ac:dyDescent="0.3">
      <c r="A752" s="121"/>
      <c r="B752" s="121"/>
      <c r="C752" s="121"/>
      <c r="D752" s="121"/>
      <c r="E752" s="121"/>
      <c r="F752" s="121"/>
      <c r="G752" s="121"/>
      <c r="H752" s="121"/>
      <c r="I752" s="121"/>
      <c r="J752" s="121"/>
      <c r="K752" s="121"/>
      <c r="L752" s="121"/>
      <c r="M752" s="121"/>
      <c r="N752" s="121"/>
      <c r="O752" s="121"/>
      <c r="P752" s="121"/>
      <c r="Q752" s="121"/>
      <c r="R752" s="121"/>
      <c r="S752" s="121"/>
      <c r="T752" s="121"/>
      <c r="U752" s="121"/>
      <c r="V752" s="121"/>
      <c r="W752" s="121"/>
      <c r="X752" s="121"/>
      <c r="Y752" s="121"/>
      <c r="Z752" s="121"/>
    </row>
    <row r="753" spans="1:26" ht="11.25" customHeight="1" x14ac:dyDescent="0.3">
      <c r="A753" s="121"/>
      <c r="B753" s="121"/>
      <c r="C753" s="121"/>
      <c r="D753" s="121"/>
      <c r="E753" s="121"/>
      <c r="F753" s="121"/>
      <c r="G753" s="121"/>
      <c r="H753" s="121"/>
      <c r="I753" s="121"/>
      <c r="J753" s="121"/>
      <c r="K753" s="121"/>
      <c r="L753" s="121"/>
      <c r="M753" s="121"/>
      <c r="N753" s="121"/>
      <c r="O753" s="121"/>
      <c r="P753" s="121"/>
      <c r="Q753" s="121"/>
      <c r="R753" s="121"/>
      <c r="S753" s="121"/>
      <c r="T753" s="121"/>
      <c r="U753" s="121"/>
      <c r="V753" s="121"/>
      <c r="W753" s="121"/>
      <c r="X753" s="121"/>
      <c r="Y753" s="121"/>
      <c r="Z753" s="121"/>
    </row>
    <row r="754" spans="1:26" ht="11.25" customHeight="1" x14ac:dyDescent="0.3">
      <c r="A754" s="121"/>
      <c r="B754" s="121"/>
      <c r="C754" s="121"/>
      <c r="D754" s="121"/>
      <c r="E754" s="121"/>
      <c r="F754" s="121"/>
      <c r="G754" s="121"/>
      <c r="H754" s="121"/>
      <c r="I754" s="121"/>
      <c r="J754" s="121"/>
      <c r="K754" s="121"/>
      <c r="L754" s="121"/>
      <c r="M754" s="121"/>
      <c r="N754" s="121"/>
      <c r="O754" s="121"/>
      <c r="P754" s="121"/>
      <c r="Q754" s="121"/>
      <c r="R754" s="121"/>
      <c r="S754" s="121"/>
      <c r="T754" s="121"/>
      <c r="U754" s="121"/>
      <c r="V754" s="121"/>
      <c r="W754" s="121"/>
      <c r="X754" s="121"/>
      <c r="Y754" s="121"/>
      <c r="Z754" s="121"/>
    </row>
    <row r="755" spans="1:26" ht="11.25" customHeight="1" x14ac:dyDescent="0.3">
      <c r="A755" s="121"/>
      <c r="B755" s="121"/>
      <c r="C755" s="121"/>
      <c r="D755" s="121"/>
      <c r="E755" s="121"/>
      <c r="F755" s="121"/>
      <c r="G755" s="121"/>
      <c r="H755" s="121"/>
      <c r="I755" s="121"/>
      <c r="J755" s="121"/>
      <c r="K755" s="121"/>
      <c r="L755" s="121"/>
      <c r="M755" s="121"/>
      <c r="N755" s="121"/>
      <c r="O755" s="121"/>
      <c r="P755" s="121"/>
      <c r="Q755" s="121"/>
      <c r="R755" s="121"/>
      <c r="S755" s="121"/>
      <c r="T755" s="121"/>
      <c r="U755" s="121"/>
      <c r="V755" s="121"/>
      <c r="W755" s="121"/>
      <c r="X755" s="121"/>
      <c r="Y755" s="121"/>
      <c r="Z755" s="121"/>
    </row>
    <row r="756" spans="1:26" ht="11.25" customHeight="1" x14ac:dyDescent="0.3">
      <c r="A756" s="121"/>
      <c r="B756" s="121"/>
      <c r="C756" s="121"/>
      <c r="D756" s="121"/>
      <c r="E756" s="121"/>
      <c r="F756" s="121"/>
      <c r="G756" s="121"/>
      <c r="H756" s="121"/>
      <c r="I756" s="121"/>
      <c r="J756" s="121"/>
      <c r="K756" s="121"/>
      <c r="L756" s="121"/>
      <c r="M756" s="121"/>
      <c r="N756" s="121"/>
      <c r="O756" s="121"/>
      <c r="P756" s="121"/>
      <c r="Q756" s="121"/>
      <c r="R756" s="121"/>
      <c r="S756" s="121"/>
      <c r="T756" s="121"/>
      <c r="U756" s="121"/>
      <c r="V756" s="121"/>
      <c r="W756" s="121"/>
      <c r="X756" s="121"/>
      <c r="Y756" s="121"/>
      <c r="Z756" s="121"/>
    </row>
    <row r="757" spans="1:26" ht="11.25" customHeight="1" x14ac:dyDescent="0.3">
      <c r="A757" s="121"/>
      <c r="B757" s="121"/>
      <c r="C757" s="121"/>
      <c r="D757" s="121"/>
      <c r="E757" s="121"/>
      <c r="F757" s="121"/>
      <c r="G757" s="121"/>
      <c r="H757" s="121"/>
      <c r="I757" s="121"/>
      <c r="J757" s="121"/>
      <c r="K757" s="121"/>
      <c r="L757" s="121"/>
      <c r="M757" s="121"/>
      <c r="N757" s="121"/>
      <c r="O757" s="121"/>
      <c r="P757" s="121"/>
      <c r="Q757" s="121"/>
      <c r="R757" s="121"/>
      <c r="S757" s="121"/>
      <c r="T757" s="121"/>
      <c r="U757" s="121"/>
      <c r="V757" s="121"/>
      <c r="W757" s="121"/>
      <c r="X757" s="121"/>
      <c r="Y757" s="121"/>
      <c r="Z757" s="121"/>
    </row>
    <row r="758" spans="1:26" ht="11.25" customHeight="1" x14ac:dyDescent="0.3">
      <c r="A758" s="121"/>
      <c r="B758" s="121"/>
      <c r="C758" s="121"/>
      <c r="D758" s="121"/>
      <c r="E758" s="121"/>
      <c r="F758" s="121"/>
      <c r="G758" s="121"/>
      <c r="H758" s="121"/>
      <c r="I758" s="121"/>
      <c r="J758" s="121"/>
      <c r="K758" s="121"/>
      <c r="L758" s="121"/>
      <c r="M758" s="121"/>
      <c r="N758" s="121"/>
      <c r="O758" s="121"/>
      <c r="P758" s="121"/>
      <c r="Q758" s="121"/>
      <c r="R758" s="121"/>
      <c r="S758" s="121"/>
      <c r="T758" s="121"/>
      <c r="U758" s="121"/>
      <c r="V758" s="121"/>
      <c r="W758" s="121"/>
      <c r="X758" s="121"/>
      <c r="Y758" s="121"/>
      <c r="Z758" s="121"/>
    </row>
    <row r="759" spans="1:26" ht="11.25" customHeight="1" x14ac:dyDescent="0.3">
      <c r="A759" s="121"/>
      <c r="B759" s="121"/>
      <c r="C759" s="121"/>
      <c r="D759" s="121"/>
      <c r="E759" s="121"/>
      <c r="F759" s="121"/>
      <c r="G759" s="121"/>
      <c r="H759" s="121"/>
      <c r="I759" s="121"/>
      <c r="J759" s="121"/>
      <c r="K759" s="121"/>
      <c r="L759" s="121"/>
      <c r="M759" s="121"/>
      <c r="N759" s="121"/>
      <c r="O759" s="121"/>
      <c r="P759" s="121"/>
      <c r="Q759" s="121"/>
      <c r="R759" s="121"/>
      <c r="S759" s="121"/>
      <c r="T759" s="121"/>
      <c r="U759" s="121"/>
      <c r="V759" s="121"/>
      <c r="W759" s="121"/>
      <c r="X759" s="121"/>
      <c r="Y759" s="121"/>
      <c r="Z759" s="121"/>
    </row>
    <row r="760" spans="1:26" ht="11.25" customHeight="1" x14ac:dyDescent="0.3">
      <c r="A760" s="121"/>
      <c r="B760" s="121"/>
      <c r="C760" s="121"/>
      <c r="D760" s="121"/>
      <c r="E760" s="121"/>
      <c r="F760" s="121"/>
      <c r="G760" s="121"/>
      <c r="H760" s="121"/>
      <c r="I760" s="121"/>
      <c r="J760" s="121"/>
      <c r="K760" s="121"/>
      <c r="L760" s="121"/>
      <c r="M760" s="121"/>
      <c r="N760" s="121"/>
      <c r="O760" s="121"/>
      <c r="P760" s="121"/>
      <c r="Q760" s="121"/>
      <c r="R760" s="121"/>
      <c r="S760" s="121"/>
      <c r="T760" s="121"/>
      <c r="U760" s="121"/>
      <c r="V760" s="121"/>
      <c r="W760" s="121"/>
      <c r="X760" s="121"/>
      <c r="Y760" s="121"/>
      <c r="Z760" s="121"/>
    </row>
    <row r="761" spans="1:26" ht="11.25" customHeight="1" x14ac:dyDescent="0.3">
      <c r="A761" s="121"/>
      <c r="B761" s="121"/>
      <c r="C761" s="121"/>
      <c r="D761" s="121"/>
      <c r="E761" s="121"/>
      <c r="F761" s="121"/>
      <c r="G761" s="121"/>
      <c r="H761" s="121"/>
      <c r="I761" s="121"/>
      <c r="J761" s="121"/>
      <c r="K761" s="121"/>
      <c r="L761" s="121"/>
      <c r="M761" s="121"/>
      <c r="N761" s="121"/>
      <c r="O761" s="121"/>
      <c r="P761" s="121"/>
      <c r="Q761" s="121"/>
      <c r="R761" s="121"/>
      <c r="S761" s="121"/>
      <c r="T761" s="121"/>
      <c r="U761" s="121"/>
      <c r="V761" s="121"/>
      <c r="W761" s="121"/>
      <c r="X761" s="121"/>
      <c r="Y761" s="121"/>
      <c r="Z761" s="121"/>
    </row>
    <row r="762" spans="1:26" ht="11.25" customHeight="1" x14ac:dyDescent="0.3">
      <c r="A762" s="121"/>
      <c r="B762" s="121"/>
      <c r="C762" s="121"/>
      <c r="D762" s="121"/>
      <c r="E762" s="121"/>
      <c r="F762" s="121"/>
      <c r="G762" s="121"/>
      <c r="H762" s="121"/>
      <c r="I762" s="121"/>
      <c r="J762" s="121"/>
      <c r="K762" s="121"/>
      <c r="L762" s="121"/>
      <c r="M762" s="121"/>
      <c r="N762" s="121"/>
      <c r="O762" s="121"/>
      <c r="P762" s="121"/>
      <c r="Q762" s="121"/>
      <c r="R762" s="121"/>
      <c r="S762" s="121"/>
      <c r="T762" s="121"/>
      <c r="U762" s="121"/>
      <c r="V762" s="121"/>
      <c r="W762" s="121"/>
      <c r="X762" s="121"/>
      <c r="Y762" s="121"/>
      <c r="Z762" s="121"/>
    </row>
    <row r="763" spans="1:26" ht="11.25" customHeight="1" x14ac:dyDescent="0.3">
      <c r="A763" s="121"/>
      <c r="B763" s="121"/>
      <c r="C763" s="121"/>
      <c r="D763" s="121"/>
      <c r="E763" s="121"/>
      <c r="F763" s="121"/>
      <c r="G763" s="121"/>
      <c r="H763" s="121"/>
      <c r="I763" s="121"/>
      <c r="J763" s="121"/>
      <c r="K763" s="121"/>
      <c r="L763" s="121"/>
      <c r="M763" s="121"/>
      <c r="N763" s="121"/>
      <c r="O763" s="121"/>
      <c r="P763" s="121"/>
      <c r="Q763" s="121"/>
      <c r="R763" s="121"/>
      <c r="S763" s="121"/>
      <c r="T763" s="121"/>
      <c r="U763" s="121"/>
      <c r="V763" s="121"/>
      <c r="W763" s="121"/>
      <c r="X763" s="121"/>
      <c r="Y763" s="121"/>
      <c r="Z763" s="121"/>
    </row>
    <row r="764" spans="1:26" ht="11.25" customHeight="1" x14ac:dyDescent="0.3">
      <c r="A764" s="121"/>
      <c r="B764" s="121"/>
      <c r="C764" s="121"/>
      <c r="D764" s="121"/>
      <c r="E764" s="121"/>
      <c r="F764" s="121"/>
      <c r="G764" s="121"/>
      <c r="H764" s="121"/>
      <c r="I764" s="121"/>
      <c r="J764" s="121"/>
      <c r="K764" s="121"/>
      <c r="L764" s="121"/>
      <c r="M764" s="121"/>
      <c r="N764" s="121"/>
      <c r="O764" s="121"/>
      <c r="P764" s="121"/>
      <c r="Q764" s="121"/>
      <c r="R764" s="121"/>
      <c r="S764" s="121"/>
      <c r="T764" s="121"/>
      <c r="U764" s="121"/>
      <c r="V764" s="121"/>
      <c r="W764" s="121"/>
      <c r="X764" s="121"/>
      <c r="Y764" s="121"/>
      <c r="Z764" s="121"/>
    </row>
    <row r="765" spans="1:26" ht="11.25" customHeight="1" x14ac:dyDescent="0.3">
      <c r="A765" s="121"/>
      <c r="B765" s="121"/>
      <c r="C765" s="121"/>
      <c r="D765" s="121"/>
      <c r="E765" s="121"/>
      <c r="F765" s="121"/>
      <c r="G765" s="121"/>
      <c r="H765" s="121"/>
      <c r="I765" s="121"/>
      <c r="J765" s="121"/>
      <c r="K765" s="121"/>
      <c r="L765" s="121"/>
      <c r="M765" s="121"/>
      <c r="N765" s="121"/>
      <c r="O765" s="121"/>
      <c r="P765" s="121"/>
      <c r="Q765" s="121"/>
      <c r="R765" s="121"/>
      <c r="S765" s="121"/>
      <c r="T765" s="121"/>
      <c r="U765" s="121"/>
      <c r="V765" s="121"/>
      <c r="W765" s="121"/>
      <c r="X765" s="121"/>
      <c r="Y765" s="121"/>
      <c r="Z765" s="121"/>
    </row>
    <row r="766" spans="1:26" ht="11.25" customHeight="1" x14ac:dyDescent="0.3">
      <c r="A766" s="121"/>
      <c r="B766" s="121"/>
      <c r="C766" s="121"/>
      <c r="D766" s="121"/>
      <c r="E766" s="121"/>
      <c r="F766" s="121"/>
      <c r="G766" s="121"/>
      <c r="H766" s="121"/>
      <c r="I766" s="121"/>
      <c r="J766" s="121"/>
      <c r="K766" s="121"/>
      <c r="L766" s="121"/>
      <c r="M766" s="121"/>
      <c r="N766" s="121"/>
      <c r="O766" s="121"/>
      <c r="P766" s="121"/>
      <c r="Q766" s="121"/>
      <c r="R766" s="121"/>
      <c r="S766" s="121"/>
      <c r="T766" s="121"/>
      <c r="U766" s="121"/>
      <c r="V766" s="121"/>
      <c r="W766" s="121"/>
      <c r="X766" s="121"/>
      <c r="Y766" s="121"/>
      <c r="Z766" s="121"/>
    </row>
    <row r="767" spans="1:26" ht="11.25" customHeight="1" x14ac:dyDescent="0.3">
      <c r="A767" s="121"/>
      <c r="B767" s="121"/>
      <c r="C767" s="121"/>
      <c r="D767" s="121"/>
      <c r="E767" s="121"/>
      <c r="F767" s="121"/>
      <c r="G767" s="121"/>
      <c r="H767" s="121"/>
      <c r="I767" s="121"/>
      <c r="J767" s="121"/>
      <c r="K767" s="121"/>
      <c r="L767" s="121"/>
      <c r="M767" s="121"/>
      <c r="N767" s="121"/>
      <c r="O767" s="121"/>
      <c r="P767" s="121"/>
      <c r="Q767" s="121"/>
      <c r="R767" s="121"/>
      <c r="S767" s="121"/>
      <c r="T767" s="121"/>
      <c r="U767" s="121"/>
      <c r="V767" s="121"/>
      <c r="W767" s="121"/>
      <c r="X767" s="121"/>
      <c r="Y767" s="121"/>
      <c r="Z767" s="121"/>
    </row>
    <row r="768" spans="1:26" ht="11.25" customHeight="1" x14ac:dyDescent="0.3">
      <c r="A768" s="121"/>
      <c r="B768" s="121"/>
      <c r="C768" s="121"/>
      <c r="D768" s="121"/>
      <c r="E768" s="121"/>
      <c r="F768" s="121"/>
      <c r="G768" s="121"/>
      <c r="H768" s="121"/>
      <c r="I768" s="121"/>
      <c r="J768" s="121"/>
      <c r="K768" s="121"/>
      <c r="L768" s="121"/>
      <c r="M768" s="121"/>
      <c r="N768" s="121"/>
      <c r="O768" s="121"/>
      <c r="P768" s="121"/>
      <c r="Q768" s="121"/>
      <c r="R768" s="121"/>
      <c r="S768" s="121"/>
      <c r="T768" s="121"/>
      <c r="U768" s="121"/>
      <c r="V768" s="121"/>
      <c r="W768" s="121"/>
      <c r="X768" s="121"/>
      <c r="Y768" s="121"/>
      <c r="Z768" s="121"/>
    </row>
    <row r="769" spans="1:26" ht="11.25" customHeight="1" x14ac:dyDescent="0.3">
      <c r="A769" s="121"/>
      <c r="B769" s="121"/>
      <c r="C769" s="121"/>
      <c r="D769" s="121"/>
      <c r="E769" s="121"/>
      <c r="F769" s="121"/>
      <c r="G769" s="121"/>
      <c r="H769" s="121"/>
      <c r="I769" s="121"/>
      <c r="J769" s="121"/>
      <c r="K769" s="121"/>
      <c r="L769" s="121"/>
      <c r="M769" s="121"/>
      <c r="N769" s="121"/>
      <c r="O769" s="121"/>
      <c r="P769" s="121"/>
      <c r="Q769" s="121"/>
      <c r="R769" s="121"/>
      <c r="S769" s="121"/>
      <c r="T769" s="121"/>
      <c r="U769" s="121"/>
      <c r="V769" s="121"/>
      <c r="W769" s="121"/>
      <c r="X769" s="121"/>
      <c r="Y769" s="121"/>
      <c r="Z769" s="121"/>
    </row>
    <row r="770" spans="1:26" ht="11.25" customHeight="1" x14ac:dyDescent="0.3">
      <c r="A770" s="121"/>
      <c r="B770" s="121"/>
      <c r="C770" s="121"/>
      <c r="D770" s="121"/>
      <c r="E770" s="121"/>
      <c r="F770" s="121"/>
      <c r="G770" s="121"/>
      <c r="H770" s="121"/>
      <c r="I770" s="121"/>
      <c r="J770" s="121"/>
      <c r="K770" s="121"/>
      <c r="L770" s="121"/>
      <c r="M770" s="121"/>
      <c r="N770" s="121"/>
      <c r="O770" s="121"/>
      <c r="P770" s="121"/>
      <c r="Q770" s="121"/>
      <c r="R770" s="121"/>
      <c r="S770" s="121"/>
      <c r="T770" s="121"/>
      <c r="U770" s="121"/>
      <c r="V770" s="121"/>
      <c r="W770" s="121"/>
      <c r="X770" s="121"/>
      <c r="Y770" s="121"/>
      <c r="Z770" s="121"/>
    </row>
    <row r="771" spans="1:26" ht="11.25" customHeight="1" x14ac:dyDescent="0.3">
      <c r="A771" s="121"/>
      <c r="B771" s="121"/>
      <c r="C771" s="121"/>
      <c r="D771" s="121"/>
      <c r="E771" s="121"/>
      <c r="F771" s="121"/>
      <c r="G771" s="121"/>
      <c r="H771" s="121"/>
      <c r="I771" s="121"/>
      <c r="J771" s="121"/>
      <c r="K771" s="121"/>
      <c r="L771" s="121"/>
      <c r="M771" s="121"/>
      <c r="N771" s="121"/>
      <c r="O771" s="121"/>
      <c r="P771" s="121"/>
      <c r="Q771" s="121"/>
      <c r="R771" s="121"/>
      <c r="S771" s="121"/>
      <c r="T771" s="121"/>
      <c r="U771" s="121"/>
      <c r="V771" s="121"/>
      <c r="W771" s="121"/>
      <c r="X771" s="121"/>
      <c r="Y771" s="121"/>
      <c r="Z771" s="121"/>
    </row>
    <row r="772" spans="1:26" ht="11.25" customHeight="1" x14ac:dyDescent="0.3">
      <c r="A772" s="121"/>
      <c r="B772" s="121"/>
      <c r="C772" s="121"/>
      <c r="D772" s="121"/>
      <c r="E772" s="121"/>
      <c r="F772" s="121"/>
      <c r="G772" s="121"/>
      <c r="H772" s="121"/>
      <c r="I772" s="121"/>
      <c r="J772" s="121"/>
      <c r="K772" s="121"/>
      <c r="L772" s="121"/>
      <c r="M772" s="121"/>
      <c r="N772" s="121"/>
      <c r="O772" s="121"/>
      <c r="P772" s="121"/>
      <c r="Q772" s="121"/>
      <c r="R772" s="121"/>
      <c r="S772" s="121"/>
      <c r="T772" s="121"/>
      <c r="U772" s="121"/>
      <c r="V772" s="121"/>
      <c r="W772" s="121"/>
      <c r="X772" s="121"/>
      <c r="Y772" s="121"/>
      <c r="Z772" s="121"/>
    </row>
    <row r="773" spans="1:26" ht="11.25" customHeight="1" x14ac:dyDescent="0.3">
      <c r="A773" s="121"/>
      <c r="B773" s="121"/>
      <c r="C773" s="121"/>
      <c r="D773" s="121"/>
      <c r="E773" s="121"/>
      <c r="F773" s="121"/>
      <c r="G773" s="121"/>
      <c r="H773" s="121"/>
      <c r="I773" s="121"/>
      <c r="J773" s="121"/>
      <c r="K773" s="121"/>
      <c r="L773" s="121"/>
      <c r="M773" s="121"/>
      <c r="N773" s="121"/>
      <c r="O773" s="121"/>
      <c r="P773" s="121"/>
      <c r="Q773" s="121"/>
      <c r="R773" s="121"/>
      <c r="S773" s="121"/>
      <c r="T773" s="121"/>
      <c r="U773" s="121"/>
      <c r="V773" s="121"/>
      <c r="W773" s="121"/>
      <c r="X773" s="121"/>
      <c r="Y773" s="121"/>
      <c r="Z773" s="121"/>
    </row>
    <row r="774" spans="1:26" ht="11.25" customHeight="1" x14ac:dyDescent="0.3">
      <c r="A774" s="121"/>
      <c r="B774" s="121"/>
      <c r="C774" s="121"/>
      <c r="D774" s="121"/>
      <c r="E774" s="121"/>
      <c r="F774" s="121"/>
      <c r="G774" s="121"/>
      <c r="H774" s="121"/>
      <c r="I774" s="121"/>
      <c r="J774" s="121"/>
      <c r="K774" s="121"/>
      <c r="L774" s="121"/>
      <c r="M774" s="121"/>
      <c r="N774" s="121"/>
      <c r="O774" s="121"/>
      <c r="P774" s="121"/>
      <c r="Q774" s="121"/>
      <c r="R774" s="121"/>
      <c r="S774" s="121"/>
      <c r="T774" s="121"/>
      <c r="U774" s="121"/>
      <c r="V774" s="121"/>
      <c r="W774" s="121"/>
      <c r="X774" s="121"/>
      <c r="Y774" s="121"/>
      <c r="Z774" s="121"/>
    </row>
    <row r="775" spans="1:26" ht="11.25" customHeight="1" x14ac:dyDescent="0.3">
      <c r="A775" s="121"/>
      <c r="B775" s="121"/>
      <c r="C775" s="121"/>
      <c r="D775" s="121"/>
      <c r="E775" s="121"/>
      <c r="F775" s="121"/>
      <c r="G775" s="121"/>
      <c r="H775" s="121"/>
      <c r="I775" s="121"/>
      <c r="J775" s="121"/>
      <c r="K775" s="121"/>
      <c r="L775" s="121"/>
      <c r="M775" s="121"/>
      <c r="N775" s="121"/>
      <c r="O775" s="121"/>
      <c r="P775" s="121"/>
      <c r="Q775" s="121"/>
      <c r="R775" s="121"/>
      <c r="S775" s="121"/>
      <c r="T775" s="121"/>
      <c r="U775" s="121"/>
      <c r="V775" s="121"/>
      <c r="W775" s="121"/>
      <c r="X775" s="121"/>
      <c r="Y775" s="121"/>
      <c r="Z775" s="121"/>
    </row>
    <row r="776" spans="1:26" ht="11.25" customHeight="1" x14ac:dyDescent="0.3">
      <c r="A776" s="121"/>
      <c r="B776" s="121"/>
      <c r="C776" s="121"/>
      <c r="D776" s="121"/>
      <c r="E776" s="121"/>
      <c r="F776" s="121"/>
      <c r="G776" s="121"/>
      <c r="H776" s="121"/>
      <c r="I776" s="121"/>
      <c r="J776" s="121"/>
      <c r="K776" s="121"/>
      <c r="L776" s="121"/>
      <c r="M776" s="121"/>
      <c r="N776" s="121"/>
      <c r="O776" s="121"/>
      <c r="P776" s="121"/>
      <c r="Q776" s="121"/>
      <c r="R776" s="121"/>
      <c r="S776" s="121"/>
      <c r="T776" s="121"/>
      <c r="U776" s="121"/>
      <c r="V776" s="121"/>
      <c r="W776" s="121"/>
      <c r="X776" s="121"/>
      <c r="Y776" s="121"/>
      <c r="Z776" s="121"/>
    </row>
    <row r="777" spans="1:26" ht="11.25" customHeight="1" x14ac:dyDescent="0.3">
      <c r="A777" s="121"/>
      <c r="B777" s="121"/>
      <c r="C777" s="121"/>
      <c r="D777" s="121"/>
      <c r="E777" s="121"/>
      <c r="F777" s="121"/>
      <c r="G777" s="121"/>
      <c r="H777" s="121"/>
      <c r="I777" s="121"/>
      <c r="J777" s="121"/>
      <c r="K777" s="121"/>
      <c r="L777" s="121"/>
      <c r="M777" s="121"/>
      <c r="N777" s="121"/>
      <c r="O777" s="121"/>
      <c r="P777" s="121"/>
      <c r="Q777" s="121"/>
      <c r="R777" s="121"/>
      <c r="S777" s="121"/>
      <c r="T777" s="121"/>
      <c r="U777" s="121"/>
      <c r="V777" s="121"/>
      <c r="W777" s="121"/>
      <c r="X777" s="121"/>
      <c r="Y777" s="121"/>
      <c r="Z777" s="121"/>
    </row>
    <row r="778" spans="1:26" ht="11.25" customHeight="1" x14ac:dyDescent="0.3">
      <c r="A778" s="121"/>
      <c r="B778" s="121"/>
      <c r="C778" s="121"/>
      <c r="D778" s="121"/>
      <c r="E778" s="121"/>
      <c r="F778" s="121"/>
      <c r="G778" s="121"/>
      <c r="H778" s="121"/>
      <c r="I778" s="121"/>
      <c r="J778" s="121"/>
      <c r="K778" s="121"/>
      <c r="L778" s="121"/>
      <c r="M778" s="121"/>
      <c r="N778" s="121"/>
      <c r="O778" s="121"/>
      <c r="P778" s="121"/>
      <c r="Q778" s="121"/>
      <c r="R778" s="121"/>
      <c r="S778" s="121"/>
      <c r="T778" s="121"/>
      <c r="U778" s="121"/>
      <c r="V778" s="121"/>
      <c r="W778" s="121"/>
      <c r="X778" s="121"/>
      <c r="Y778" s="121"/>
      <c r="Z778" s="121"/>
    </row>
    <row r="779" spans="1:26" ht="11.25" customHeight="1" x14ac:dyDescent="0.3">
      <c r="A779" s="121"/>
      <c r="B779" s="121"/>
      <c r="C779" s="121"/>
      <c r="D779" s="121"/>
      <c r="E779" s="121"/>
      <c r="F779" s="121"/>
      <c r="G779" s="121"/>
      <c r="H779" s="121"/>
      <c r="I779" s="121"/>
      <c r="J779" s="121"/>
      <c r="K779" s="121"/>
      <c r="L779" s="121"/>
      <c r="M779" s="121"/>
      <c r="N779" s="121"/>
      <c r="O779" s="121"/>
      <c r="P779" s="121"/>
      <c r="Q779" s="121"/>
      <c r="R779" s="121"/>
      <c r="S779" s="121"/>
      <c r="T779" s="121"/>
      <c r="U779" s="121"/>
      <c r="V779" s="121"/>
      <c r="W779" s="121"/>
      <c r="X779" s="121"/>
      <c r="Y779" s="121"/>
      <c r="Z779" s="121"/>
    </row>
    <row r="780" spans="1:26" ht="11.25" customHeight="1" x14ac:dyDescent="0.3">
      <c r="A780" s="121"/>
      <c r="B780" s="121"/>
      <c r="C780" s="121"/>
      <c r="D780" s="121"/>
      <c r="E780" s="121"/>
      <c r="F780" s="121"/>
      <c r="G780" s="121"/>
      <c r="H780" s="121"/>
      <c r="I780" s="121"/>
      <c r="J780" s="121"/>
      <c r="K780" s="121"/>
      <c r="L780" s="121"/>
      <c r="M780" s="121"/>
      <c r="N780" s="121"/>
      <c r="O780" s="121"/>
      <c r="P780" s="121"/>
      <c r="Q780" s="121"/>
      <c r="R780" s="121"/>
      <c r="S780" s="121"/>
      <c r="T780" s="121"/>
      <c r="U780" s="121"/>
      <c r="V780" s="121"/>
      <c r="W780" s="121"/>
      <c r="X780" s="121"/>
      <c r="Y780" s="121"/>
      <c r="Z780" s="121"/>
    </row>
    <row r="781" spans="1:26" ht="11.25" customHeight="1" x14ac:dyDescent="0.3">
      <c r="A781" s="121"/>
      <c r="B781" s="121"/>
      <c r="C781" s="121"/>
      <c r="D781" s="121"/>
      <c r="E781" s="121"/>
      <c r="F781" s="121"/>
      <c r="G781" s="121"/>
      <c r="H781" s="121"/>
      <c r="I781" s="121"/>
      <c r="J781" s="121"/>
      <c r="K781" s="121"/>
      <c r="L781" s="121"/>
      <c r="M781" s="121"/>
      <c r="N781" s="121"/>
      <c r="O781" s="121"/>
      <c r="P781" s="121"/>
      <c r="Q781" s="121"/>
      <c r="R781" s="121"/>
      <c r="S781" s="121"/>
      <c r="T781" s="121"/>
      <c r="U781" s="121"/>
      <c r="V781" s="121"/>
      <c r="W781" s="121"/>
      <c r="X781" s="121"/>
      <c r="Y781" s="121"/>
      <c r="Z781" s="121"/>
    </row>
    <row r="782" spans="1:26" ht="11.25" customHeight="1" x14ac:dyDescent="0.3">
      <c r="A782" s="121"/>
      <c r="B782" s="121"/>
      <c r="C782" s="121"/>
      <c r="D782" s="121"/>
      <c r="E782" s="121"/>
      <c r="F782" s="121"/>
      <c r="G782" s="121"/>
      <c r="H782" s="121"/>
      <c r="I782" s="121"/>
      <c r="J782" s="121"/>
      <c r="K782" s="121"/>
      <c r="L782" s="121"/>
      <c r="M782" s="121"/>
      <c r="N782" s="121"/>
      <c r="O782" s="121"/>
      <c r="P782" s="121"/>
      <c r="Q782" s="121"/>
      <c r="R782" s="121"/>
      <c r="S782" s="121"/>
      <c r="T782" s="121"/>
      <c r="U782" s="121"/>
      <c r="V782" s="121"/>
      <c r="W782" s="121"/>
      <c r="X782" s="121"/>
      <c r="Y782" s="121"/>
      <c r="Z782" s="121"/>
    </row>
    <row r="783" spans="1:26" ht="11.25" customHeight="1" x14ac:dyDescent="0.3">
      <c r="A783" s="121"/>
      <c r="B783" s="121"/>
      <c r="C783" s="121"/>
      <c r="D783" s="121"/>
      <c r="E783" s="121"/>
      <c r="F783" s="121"/>
      <c r="G783" s="121"/>
      <c r="H783" s="121"/>
      <c r="I783" s="121"/>
      <c r="J783" s="121"/>
      <c r="K783" s="121"/>
      <c r="L783" s="121"/>
      <c r="M783" s="121"/>
      <c r="N783" s="121"/>
      <c r="O783" s="121"/>
      <c r="P783" s="121"/>
      <c r="Q783" s="121"/>
      <c r="R783" s="121"/>
      <c r="S783" s="121"/>
      <c r="T783" s="121"/>
      <c r="U783" s="121"/>
      <c r="V783" s="121"/>
      <c r="W783" s="121"/>
      <c r="X783" s="121"/>
      <c r="Y783" s="121"/>
      <c r="Z783" s="121"/>
    </row>
    <row r="784" spans="1:26" ht="11.25" customHeight="1" x14ac:dyDescent="0.3">
      <c r="A784" s="121"/>
      <c r="B784" s="121"/>
      <c r="C784" s="121"/>
      <c r="D784" s="121"/>
      <c r="E784" s="121"/>
      <c r="F784" s="121"/>
      <c r="G784" s="121"/>
      <c r="H784" s="121"/>
      <c r="I784" s="121"/>
      <c r="J784" s="121"/>
      <c r="K784" s="121"/>
      <c r="L784" s="121"/>
      <c r="M784" s="121"/>
      <c r="N784" s="121"/>
      <c r="O784" s="121"/>
      <c r="P784" s="121"/>
      <c r="Q784" s="121"/>
      <c r="R784" s="121"/>
      <c r="S784" s="121"/>
      <c r="T784" s="121"/>
      <c r="U784" s="121"/>
      <c r="V784" s="121"/>
      <c r="W784" s="121"/>
      <c r="X784" s="121"/>
      <c r="Y784" s="121"/>
      <c r="Z784" s="121"/>
    </row>
    <row r="785" spans="1:26" ht="11.25" customHeight="1" x14ac:dyDescent="0.3">
      <c r="A785" s="121"/>
      <c r="B785" s="121"/>
      <c r="C785" s="121"/>
      <c r="D785" s="121"/>
      <c r="E785" s="121"/>
      <c r="F785" s="121"/>
      <c r="G785" s="121"/>
      <c r="H785" s="121"/>
      <c r="I785" s="121"/>
      <c r="J785" s="121"/>
      <c r="K785" s="121"/>
      <c r="L785" s="121"/>
      <c r="M785" s="121"/>
      <c r="N785" s="121"/>
      <c r="O785" s="121"/>
      <c r="P785" s="121"/>
      <c r="Q785" s="121"/>
      <c r="R785" s="121"/>
      <c r="S785" s="121"/>
      <c r="T785" s="121"/>
      <c r="U785" s="121"/>
      <c r="V785" s="121"/>
      <c r="W785" s="121"/>
      <c r="X785" s="121"/>
      <c r="Y785" s="121"/>
      <c r="Z785" s="121"/>
    </row>
    <row r="786" spans="1:26" ht="11.25" customHeight="1" x14ac:dyDescent="0.3">
      <c r="A786" s="121"/>
      <c r="B786" s="121"/>
      <c r="C786" s="121"/>
      <c r="D786" s="121"/>
      <c r="E786" s="121"/>
      <c r="F786" s="121"/>
      <c r="G786" s="121"/>
      <c r="H786" s="121"/>
      <c r="I786" s="121"/>
      <c r="J786" s="121"/>
      <c r="K786" s="121"/>
      <c r="L786" s="121"/>
      <c r="M786" s="121"/>
      <c r="N786" s="121"/>
      <c r="O786" s="121"/>
      <c r="P786" s="121"/>
      <c r="Q786" s="121"/>
      <c r="R786" s="121"/>
      <c r="S786" s="121"/>
      <c r="T786" s="121"/>
      <c r="U786" s="121"/>
      <c r="V786" s="121"/>
      <c r="W786" s="121"/>
      <c r="X786" s="121"/>
      <c r="Y786" s="121"/>
      <c r="Z786" s="121"/>
    </row>
    <row r="787" spans="1:26" ht="11.25" customHeight="1" x14ac:dyDescent="0.3">
      <c r="A787" s="121"/>
      <c r="B787" s="121"/>
      <c r="C787" s="121"/>
      <c r="D787" s="121"/>
      <c r="E787" s="121"/>
      <c r="F787" s="121"/>
      <c r="G787" s="121"/>
      <c r="H787" s="121"/>
      <c r="I787" s="121"/>
      <c r="J787" s="121"/>
      <c r="K787" s="121"/>
      <c r="L787" s="121"/>
      <c r="M787" s="121"/>
      <c r="N787" s="121"/>
      <c r="O787" s="121"/>
      <c r="P787" s="121"/>
      <c r="Q787" s="121"/>
      <c r="R787" s="121"/>
      <c r="S787" s="121"/>
      <c r="T787" s="121"/>
      <c r="U787" s="121"/>
      <c r="V787" s="121"/>
      <c r="W787" s="121"/>
      <c r="X787" s="121"/>
      <c r="Y787" s="121"/>
      <c r="Z787" s="121"/>
    </row>
    <row r="788" spans="1:26" ht="11.25" customHeight="1" x14ac:dyDescent="0.3">
      <c r="A788" s="121"/>
      <c r="B788" s="121"/>
      <c r="C788" s="121"/>
      <c r="D788" s="121"/>
      <c r="E788" s="121"/>
      <c r="F788" s="121"/>
      <c r="G788" s="121"/>
      <c r="H788" s="121"/>
      <c r="I788" s="121"/>
      <c r="J788" s="121"/>
      <c r="K788" s="121"/>
      <c r="L788" s="121"/>
      <c r="M788" s="121"/>
      <c r="N788" s="121"/>
      <c r="O788" s="121"/>
      <c r="P788" s="121"/>
      <c r="Q788" s="121"/>
      <c r="R788" s="121"/>
      <c r="S788" s="121"/>
      <c r="T788" s="121"/>
      <c r="U788" s="121"/>
      <c r="V788" s="121"/>
      <c r="W788" s="121"/>
      <c r="X788" s="121"/>
      <c r="Y788" s="121"/>
      <c r="Z788" s="121"/>
    </row>
    <row r="789" spans="1:26" ht="11.25" customHeight="1" x14ac:dyDescent="0.3">
      <c r="A789" s="121"/>
      <c r="B789" s="121"/>
      <c r="C789" s="121"/>
      <c r="D789" s="121"/>
      <c r="E789" s="121"/>
      <c r="F789" s="121"/>
      <c r="G789" s="121"/>
      <c r="H789" s="121"/>
      <c r="I789" s="121"/>
      <c r="J789" s="121"/>
      <c r="K789" s="121"/>
      <c r="L789" s="121"/>
      <c r="M789" s="121"/>
      <c r="N789" s="121"/>
      <c r="O789" s="121"/>
      <c r="P789" s="121"/>
      <c r="Q789" s="121"/>
      <c r="R789" s="121"/>
      <c r="S789" s="121"/>
      <c r="T789" s="121"/>
      <c r="U789" s="121"/>
      <c r="V789" s="121"/>
      <c r="W789" s="121"/>
      <c r="X789" s="121"/>
      <c r="Y789" s="121"/>
      <c r="Z789" s="121"/>
    </row>
    <row r="790" spans="1:26" ht="11.25" customHeight="1" x14ac:dyDescent="0.3">
      <c r="A790" s="121"/>
      <c r="B790" s="121"/>
      <c r="C790" s="121"/>
      <c r="D790" s="121"/>
      <c r="E790" s="121"/>
      <c r="F790" s="121"/>
      <c r="G790" s="121"/>
      <c r="H790" s="121"/>
      <c r="I790" s="121"/>
      <c r="J790" s="121"/>
      <c r="K790" s="121"/>
      <c r="L790" s="121"/>
      <c r="M790" s="121"/>
      <c r="N790" s="121"/>
      <c r="O790" s="121"/>
      <c r="P790" s="121"/>
      <c r="Q790" s="121"/>
      <c r="R790" s="121"/>
      <c r="S790" s="121"/>
      <c r="T790" s="121"/>
      <c r="U790" s="121"/>
      <c r="V790" s="121"/>
      <c r="W790" s="121"/>
      <c r="X790" s="121"/>
      <c r="Y790" s="121"/>
      <c r="Z790" s="121"/>
    </row>
    <row r="791" spans="1:26" ht="11.25" customHeight="1" x14ac:dyDescent="0.3">
      <c r="A791" s="121"/>
      <c r="B791" s="121"/>
      <c r="C791" s="121"/>
      <c r="D791" s="121"/>
      <c r="E791" s="121"/>
      <c r="F791" s="121"/>
      <c r="G791" s="121"/>
      <c r="H791" s="121"/>
      <c r="I791" s="121"/>
      <c r="J791" s="121"/>
      <c r="K791" s="121"/>
      <c r="L791" s="121"/>
      <c r="M791" s="121"/>
      <c r="N791" s="121"/>
      <c r="O791" s="121"/>
      <c r="P791" s="121"/>
      <c r="Q791" s="121"/>
      <c r="R791" s="121"/>
      <c r="S791" s="121"/>
      <c r="T791" s="121"/>
      <c r="U791" s="121"/>
      <c r="V791" s="121"/>
      <c r="W791" s="121"/>
      <c r="X791" s="121"/>
      <c r="Y791" s="121"/>
      <c r="Z791" s="121"/>
    </row>
    <row r="792" spans="1:26" ht="11.25" customHeight="1" x14ac:dyDescent="0.3">
      <c r="A792" s="121"/>
      <c r="B792" s="121"/>
      <c r="C792" s="121"/>
      <c r="D792" s="121"/>
      <c r="E792" s="121"/>
      <c r="F792" s="121"/>
      <c r="G792" s="121"/>
      <c r="H792" s="121"/>
      <c r="I792" s="121"/>
      <c r="J792" s="121"/>
      <c r="K792" s="121"/>
      <c r="L792" s="121"/>
      <c r="M792" s="121"/>
      <c r="N792" s="121"/>
      <c r="O792" s="121"/>
      <c r="P792" s="121"/>
      <c r="Q792" s="121"/>
      <c r="R792" s="121"/>
      <c r="S792" s="121"/>
      <c r="T792" s="121"/>
      <c r="U792" s="121"/>
      <c r="V792" s="121"/>
      <c r="W792" s="121"/>
      <c r="X792" s="121"/>
      <c r="Y792" s="121"/>
      <c r="Z792" s="121"/>
    </row>
    <row r="793" spans="1:26" ht="11.25" customHeight="1" x14ac:dyDescent="0.3">
      <c r="A793" s="121"/>
      <c r="B793" s="121"/>
      <c r="C793" s="121"/>
      <c r="D793" s="121"/>
      <c r="E793" s="121"/>
      <c r="F793" s="121"/>
      <c r="G793" s="121"/>
      <c r="H793" s="121"/>
      <c r="I793" s="121"/>
      <c r="J793" s="121"/>
      <c r="K793" s="121"/>
      <c r="L793" s="121"/>
      <c r="M793" s="121"/>
      <c r="N793" s="121"/>
      <c r="O793" s="121"/>
      <c r="P793" s="121"/>
      <c r="Q793" s="121"/>
      <c r="R793" s="121"/>
      <c r="S793" s="121"/>
      <c r="T793" s="121"/>
      <c r="U793" s="121"/>
      <c r="V793" s="121"/>
      <c r="W793" s="121"/>
      <c r="X793" s="121"/>
      <c r="Y793" s="121"/>
      <c r="Z793" s="121"/>
    </row>
    <row r="794" spans="1:26" ht="11.25" customHeight="1" x14ac:dyDescent="0.3">
      <c r="A794" s="121"/>
      <c r="B794" s="121"/>
      <c r="C794" s="121"/>
      <c r="D794" s="121"/>
      <c r="E794" s="121"/>
      <c r="F794" s="121"/>
      <c r="G794" s="121"/>
      <c r="H794" s="121"/>
      <c r="I794" s="121"/>
      <c r="J794" s="121"/>
      <c r="K794" s="121"/>
      <c r="L794" s="121"/>
      <c r="M794" s="121"/>
      <c r="N794" s="121"/>
      <c r="O794" s="121"/>
      <c r="P794" s="121"/>
      <c r="Q794" s="121"/>
      <c r="R794" s="121"/>
      <c r="S794" s="121"/>
      <c r="T794" s="121"/>
      <c r="U794" s="121"/>
      <c r="V794" s="121"/>
      <c r="W794" s="121"/>
      <c r="X794" s="121"/>
      <c r="Y794" s="121"/>
      <c r="Z794" s="121"/>
    </row>
    <row r="795" spans="1:26" ht="11.25" customHeight="1" x14ac:dyDescent="0.3">
      <c r="A795" s="121"/>
      <c r="B795" s="121"/>
      <c r="C795" s="121"/>
      <c r="D795" s="121"/>
      <c r="E795" s="121"/>
      <c r="F795" s="121"/>
      <c r="G795" s="121"/>
      <c r="H795" s="121"/>
      <c r="I795" s="121"/>
      <c r="J795" s="121"/>
      <c r="K795" s="121"/>
      <c r="L795" s="121"/>
      <c r="M795" s="121"/>
      <c r="N795" s="121"/>
      <c r="O795" s="121"/>
      <c r="P795" s="121"/>
      <c r="Q795" s="121"/>
      <c r="R795" s="121"/>
      <c r="S795" s="121"/>
      <c r="T795" s="121"/>
      <c r="U795" s="121"/>
      <c r="V795" s="121"/>
      <c r="W795" s="121"/>
      <c r="X795" s="121"/>
      <c r="Y795" s="121"/>
      <c r="Z795" s="121"/>
    </row>
    <row r="796" spans="1:26" ht="11.25" customHeight="1" x14ac:dyDescent="0.3">
      <c r="A796" s="121"/>
      <c r="B796" s="121"/>
      <c r="C796" s="121"/>
      <c r="D796" s="121"/>
      <c r="E796" s="121"/>
      <c r="F796" s="121"/>
      <c r="G796" s="121"/>
      <c r="H796" s="121"/>
      <c r="I796" s="121"/>
      <c r="J796" s="121"/>
      <c r="K796" s="121"/>
      <c r="L796" s="121"/>
      <c r="M796" s="121"/>
      <c r="N796" s="121"/>
      <c r="O796" s="121"/>
      <c r="P796" s="121"/>
      <c r="Q796" s="121"/>
      <c r="R796" s="121"/>
      <c r="S796" s="121"/>
      <c r="T796" s="121"/>
      <c r="U796" s="121"/>
      <c r="V796" s="121"/>
      <c r="W796" s="121"/>
      <c r="X796" s="121"/>
      <c r="Y796" s="121"/>
      <c r="Z796" s="121"/>
    </row>
    <row r="797" spans="1:26" ht="11.25" customHeight="1" x14ac:dyDescent="0.3">
      <c r="A797" s="121"/>
      <c r="B797" s="121"/>
      <c r="C797" s="121"/>
      <c r="D797" s="121"/>
      <c r="E797" s="121"/>
      <c r="F797" s="121"/>
      <c r="G797" s="121"/>
      <c r="H797" s="121"/>
      <c r="I797" s="121"/>
      <c r="J797" s="121"/>
      <c r="K797" s="121"/>
      <c r="L797" s="121"/>
      <c r="M797" s="121"/>
      <c r="N797" s="121"/>
      <c r="O797" s="121"/>
      <c r="P797" s="121"/>
      <c r="Q797" s="121"/>
      <c r="R797" s="121"/>
      <c r="S797" s="121"/>
      <c r="T797" s="121"/>
      <c r="U797" s="121"/>
      <c r="V797" s="121"/>
      <c r="W797" s="121"/>
      <c r="X797" s="121"/>
      <c r="Y797" s="121"/>
      <c r="Z797" s="121"/>
    </row>
    <row r="798" spans="1:26" ht="11.25" customHeight="1" x14ac:dyDescent="0.3">
      <c r="A798" s="121"/>
      <c r="B798" s="121"/>
      <c r="C798" s="121"/>
      <c r="D798" s="121"/>
      <c r="E798" s="121"/>
      <c r="F798" s="121"/>
      <c r="G798" s="121"/>
      <c r="H798" s="121"/>
      <c r="I798" s="121"/>
      <c r="J798" s="121"/>
      <c r="K798" s="121"/>
      <c r="L798" s="121"/>
      <c r="M798" s="121"/>
      <c r="N798" s="121"/>
      <c r="O798" s="121"/>
      <c r="P798" s="121"/>
      <c r="Q798" s="121"/>
      <c r="R798" s="121"/>
      <c r="S798" s="121"/>
      <c r="T798" s="121"/>
      <c r="U798" s="121"/>
      <c r="V798" s="121"/>
      <c r="W798" s="121"/>
      <c r="X798" s="121"/>
      <c r="Y798" s="121"/>
      <c r="Z798" s="121"/>
    </row>
    <row r="799" spans="1:26" ht="11.25" customHeight="1" x14ac:dyDescent="0.3">
      <c r="A799" s="121"/>
      <c r="B799" s="121"/>
      <c r="C799" s="121"/>
      <c r="D799" s="121"/>
      <c r="E799" s="121"/>
      <c r="F799" s="121"/>
      <c r="G799" s="121"/>
      <c r="H799" s="121"/>
      <c r="I799" s="121"/>
      <c r="J799" s="121"/>
      <c r="K799" s="121"/>
      <c r="L799" s="121"/>
      <c r="M799" s="121"/>
      <c r="N799" s="121"/>
      <c r="O799" s="121"/>
      <c r="P799" s="121"/>
      <c r="Q799" s="121"/>
      <c r="R799" s="121"/>
      <c r="S799" s="121"/>
      <c r="T799" s="121"/>
      <c r="U799" s="121"/>
      <c r="V799" s="121"/>
      <c r="W799" s="121"/>
      <c r="X799" s="121"/>
      <c r="Y799" s="121"/>
      <c r="Z799" s="121"/>
    </row>
    <row r="800" spans="1:26" ht="11.25" customHeight="1" x14ac:dyDescent="0.3">
      <c r="A800" s="121"/>
      <c r="B800" s="121"/>
      <c r="C800" s="121"/>
      <c r="D800" s="121"/>
      <c r="E800" s="121"/>
      <c r="F800" s="121"/>
      <c r="G800" s="121"/>
      <c r="H800" s="121"/>
      <c r="I800" s="121"/>
      <c r="J800" s="121"/>
      <c r="K800" s="121"/>
      <c r="L800" s="121"/>
      <c r="M800" s="121"/>
      <c r="N800" s="121"/>
      <c r="O800" s="121"/>
      <c r="P800" s="121"/>
      <c r="Q800" s="121"/>
      <c r="R800" s="121"/>
      <c r="S800" s="121"/>
      <c r="T800" s="121"/>
      <c r="U800" s="121"/>
      <c r="V800" s="121"/>
      <c r="W800" s="121"/>
      <c r="X800" s="121"/>
      <c r="Y800" s="121"/>
      <c r="Z800" s="121"/>
    </row>
    <row r="801" spans="1:26" ht="11.25" customHeight="1" x14ac:dyDescent="0.3">
      <c r="A801" s="121"/>
      <c r="B801" s="121"/>
      <c r="C801" s="121"/>
      <c r="D801" s="121"/>
      <c r="E801" s="121"/>
      <c r="F801" s="121"/>
      <c r="G801" s="121"/>
      <c r="H801" s="121"/>
      <c r="I801" s="121"/>
      <c r="J801" s="121"/>
      <c r="K801" s="121"/>
      <c r="L801" s="121"/>
      <c r="M801" s="121"/>
      <c r="N801" s="121"/>
      <c r="O801" s="121"/>
      <c r="P801" s="121"/>
      <c r="Q801" s="121"/>
      <c r="R801" s="121"/>
      <c r="S801" s="121"/>
      <c r="T801" s="121"/>
      <c r="U801" s="121"/>
      <c r="V801" s="121"/>
      <c r="W801" s="121"/>
      <c r="X801" s="121"/>
      <c r="Y801" s="121"/>
      <c r="Z801" s="121"/>
    </row>
    <row r="802" spans="1:26" ht="11.25" customHeight="1" x14ac:dyDescent="0.3">
      <c r="A802" s="121"/>
      <c r="B802" s="121"/>
      <c r="C802" s="121"/>
      <c r="D802" s="121"/>
      <c r="E802" s="121"/>
      <c r="F802" s="121"/>
      <c r="G802" s="121"/>
      <c r="H802" s="121"/>
      <c r="I802" s="121"/>
      <c r="J802" s="121"/>
      <c r="K802" s="121"/>
      <c r="L802" s="121"/>
      <c r="M802" s="121"/>
      <c r="N802" s="121"/>
      <c r="O802" s="121"/>
      <c r="P802" s="121"/>
      <c r="Q802" s="121"/>
      <c r="R802" s="121"/>
      <c r="S802" s="121"/>
      <c r="T802" s="121"/>
      <c r="U802" s="121"/>
      <c r="V802" s="121"/>
      <c r="W802" s="121"/>
      <c r="X802" s="121"/>
      <c r="Y802" s="121"/>
      <c r="Z802" s="121"/>
    </row>
    <row r="803" spans="1:26" ht="11.25" customHeight="1" x14ac:dyDescent="0.3">
      <c r="A803" s="121"/>
      <c r="B803" s="121"/>
      <c r="C803" s="121"/>
      <c r="D803" s="121"/>
      <c r="E803" s="121"/>
      <c r="F803" s="121"/>
      <c r="G803" s="121"/>
      <c r="H803" s="121"/>
      <c r="I803" s="121"/>
      <c r="J803" s="121"/>
      <c r="K803" s="121"/>
      <c r="L803" s="121"/>
      <c r="M803" s="121"/>
      <c r="N803" s="121"/>
      <c r="O803" s="121"/>
      <c r="P803" s="121"/>
      <c r="Q803" s="121"/>
      <c r="R803" s="121"/>
      <c r="S803" s="121"/>
      <c r="T803" s="121"/>
      <c r="U803" s="121"/>
      <c r="V803" s="121"/>
      <c r="W803" s="121"/>
      <c r="X803" s="121"/>
      <c r="Y803" s="121"/>
      <c r="Z803" s="121"/>
    </row>
    <row r="804" spans="1:26" ht="11.25" customHeight="1" x14ac:dyDescent="0.3">
      <c r="A804" s="121"/>
      <c r="B804" s="121"/>
      <c r="C804" s="121"/>
      <c r="D804" s="121"/>
      <c r="E804" s="121"/>
      <c r="F804" s="121"/>
      <c r="G804" s="121"/>
      <c r="H804" s="121"/>
      <c r="I804" s="121"/>
      <c r="J804" s="121"/>
      <c r="K804" s="121"/>
      <c r="L804" s="121"/>
      <c r="M804" s="121"/>
      <c r="N804" s="121"/>
      <c r="O804" s="121"/>
      <c r="P804" s="121"/>
      <c r="Q804" s="121"/>
      <c r="R804" s="121"/>
      <c r="S804" s="121"/>
      <c r="T804" s="121"/>
      <c r="U804" s="121"/>
      <c r="V804" s="121"/>
      <c r="W804" s="121"/>
      <c r="X804" s="121"/>
      <c r="Y804" s="121"/>
      <c r="Z804" s="121"/>
    </row>
    <row r="805" spans="1:26" ht="11.25" customHeight="1" x14ac:dyDescent="0.3">
      <c r="A805" s="121"/>
      <c r="B805" s="121"/>
      <c r="C805" s="121"/>
      <c r="D805" s="121"/>
      <c r="E805" s="121"/>
      <c r="F805" s="121"/>
      <c r="G805" s="121"/>
      <c r="H805" s="121"/>
      <c r="I805" s="121"/>
      <c r="J805" s="121"/>
      <c r="K805" s="121"/>
      <c r="L805" s="121"/>
      <c r="M805" s="121"/>
      <c r="N805" s="121"/>
      <c r="O805" s="121"/>
      <c r="P805" s="121"/>
      <c r="Q805" s="121"/>
      <c r="R805" s="121"/>
      <c r="S805" s="121"/>
      <c r="T805" s="121"/>
      <c r="U805" s="121"/>
      <c r="V805" s="121"/>
      <c r="W805" s="121"/>
      <c r="X805" s="121"/>
      <c r="Y805" s="121"/>
      <c r="Z805" s="121"/>
    </row>
    <row r="806" spans="1:26" ht="11.25" customHeight="1" x14ac:dyDescent="0.3">
      <c r="A806" s="121"/>
      <c r="B806" s="121"/>
      <c r="C806" s="121"/>
      <c r="D806" s="121"/>
      <c r="E806" s="121"/>
      <c r="F806" s="121"/>
      <c r="G806" s="121"/>
      <c r="H806" s="121"/>
      <c r="I806" s="121"/>
      <c r="J806" s="121"/>
      <c r="K806" s="121"/>
      <c r="L806" s="121"/>
      <c r="M806" s="121"/>
      <c r="N806" s="121"/>
      <c r="O806" s="121"/>
      <c r="P806" s="121"/>
      <c r="Q806" s="121"/>
      <c r="R806" s="121"/>
      <c r="S806" s="121"/>
      <c r="T806" s="121"/>
      <c r="U806" s="121"/>
      <c r="V806" s="121"/>
      <c r="W806" s="121"/>
      <c r="X806" s="121"/>
      <c r="Y806" s="121"/>
      <c r="Z806" s="121"/>
    </row>
    <row r="807" spans="1:26" ht="11.25" customHeight="1" x14ac:dyDescent="0.3">
      <c r="A807" s="121"/>
      <c r="B807" s="121"/>
      <c r="C807" s="121"/>
      <c r="D807" s="121"/>
      <c r="E807" s="121"/>
      <c r="F807" s="121"/>
      <c r="G807" s="121"/>
      <c r="H807" s="121"/>
      <c r="I807" s="121"/>
      <c r="J807" s="121"/>
      <c r="K807" s="121"/>
      <c r="L807" s="121"/>
      <c r="M807" s="121"/>
      <c r="N807" s="121"/>
      <c r="O807" s="121"/>
      <c r="P807" s="121"/>
      <c r="Q807" s="121"/>
      <c r="R807" s="121"/>
      <c r="S807" s="121"/>
      <c r="T807" s="121"/>
      <c r="U807" s="121"/>
      <c r="V807" s="121"/>
      <c r="W807" s="121"/>
      <c r="X807" s="121"/>
      <c r="Y807" s="121"/>
      <c r="Z807" s="121"/>
    </row>
    <row r="808" spans="1:26" ht="11.25" customHeight="1" x14ac:dyDescent="0.3">
      <c r="A808" s="121"/>
      <c r="B808" s="121"/>
      <c r="C808" s="121"/>
      <c r="D808" s="121"/>
      <c r="E808" s="121"/>
      <c r="F808" s="121"/>
      <c r="G808" s="121"/>
      <c r="H808" s="121"/>
      <c r="I808" s="121"/>
      <c r="J808" s="121"/>
      <c r="K808" s="121"/>
      <c r="L808" s="121"/>
      <c r="M808" s="121"/>
      <c r="N808" s="121"/>
      <c r="O808" s="121"/>
      <c r="P808" s="121"/>
      <c r="Q808" s="121"/>
      <c r="R808" s="121"/>
      <c r="S808" s="121"/>
      <c r="T808" s="121"/>
      <c r="U808" s="121"/>
      <c r="V808" s="121"/>
      <c r="W808" s="121"/>
      <c r="X808" s="121"/>
      <c r="Y808" s="121"/>
      <c r="Z808" s="121"/>
    </row>
    <row r="809" spans="1:26" ht="11.25" customHeight="1" x14ac:dyDescent="0.3">
      <c r="A809" s="121"/>
      <c r="B809" s="121"/>
      <c r="C809" s="121"/>
      <c r="D809" s="121"/>
      <c r="E809" s="121"/>
      <c r="F809" s="121"/>
      <c r="G809" s="121"/>
      <c r="H809" s="121"/>
      <c r="I809" s="121"/>
      <c r="J809" s="121"/>
      <c r="K809" s="121"/>
      <c r="L809" s="121"/>
      <c r="M809" s="121"/>
      <c r="N809" s="121"/>
      <c r="O809" s="121"/>
      <c r="P809" s="121"/>
      <c r="Q809" s="121"/>
      <c r="R809" s="121"/>
      <c r="S809" s="121"/>
      <c r="T809" s="121"/>
      <c r="U809" s="121"/>
      <c r="V809" s="121"/>
      <c r="W809" s="121"/>
      <c r="X809" s="121"/>
      <c r="Y809" s="121"/>
      <c r="Z809" s="121"/>
    </row>
    <row r="810" spans="1:26" ht="11.25" customHeight="1" x14ac:dyDescent="0.3">
      <c r="A810" s="121"/>
      <c r="B810" s="121"/>
      <c r="C810" s="121"/>
      <c r="D810" s="121"/>
      <c r="E810" s="121"/>
      <c r="F810" s="121"/>
      <c r="G810" s="121"/>
      <c r="H810" s="121"/>
      <c r="I810" s="121"/>
      <c r="J810" s="121"/>
      <c r="K810" s="121"/>
      <c r="L810" s="121"/>
      <c r="M810" s="121"/>
      <c r="N810" s="121"/>
      <c r="O810" s="121"/>
      <c r="P810" s="121"/>
      <c r="Q810" s="121"/>
      <c r="R810" s="121"/>
      <c r="S810" s="121"/>
      <c r="T810" s="121"/>
      <c r="U810" s="121"/>
      <c r="V810" s="121"/>
      <c r="W810" s="121"/>
      <c r="X810" s="121"/>
      <c r="Y810" s="121"/>
      <c r="Z810" s="121"/>
    </row>
    <row r="811" spans="1:26" ht="11.25" customHeight="1" x14ac:dyDescent="0.3">
      <c r="A811" s="121"/>
      <c r="B811" s="121"/>
      <c r="C811" s="121"/>
      <c r="D811" s="121"/>
      <c r="E811" s="121"/>
      <c r="F811" s="121"/>
      <c r="G811" s="121"/>
      <c r="H811" s="121"/>
      <c r="I811" s="121"/>
      <c r="J811" s="121"/>
      <c r="K811" s="121"/>
      <c r="L811" s="121"/>
      <c r="M811" s="121"/>
      <c r="N811" s="121"/>
      <c r="O811" s="121"/>
      <c r="P811" s="121"/>
      <c r="Q811" s="121"/>
      <c r="R811" s="121"/>
      <c r="S811" s="121"/>
      <c r="T811" s="121"/>
      <c r="U811" s="121"/>
      <c r="V811" s="121"/>
      <c r="W811" s="121"/>
      <c r="X811" s="121"/>
      <c r="Y811" s="121"/>
      <c r="Z811" s="121"/>
    </row>
    <row r="812" spans="1:26" ht="11.25" customHeight="1" x14ac:dyDescent="0.3">
      <c r="A812" s="121"/>
      <c r="B812" s="121"/>
      <c r="C812" s="121"/>
      <c r="D812" s="121"/>
      <c r="E812" s="121"/>
      <c r="F812" s="121"/>
      <c r="G812" s="121"/>
      <c r="H812" s="121"/>
      <c r="I812" s="121"/>
      <c r="J812" s="121"/>
      <c r="K812" s="121"/>
      <c r="L812" s="121"/>
      <c r="M812" s="121"/>
      <c r="N812" s="121"/>
      <c r="O812" s="121"/>
      <c r="P812" s="121"/>
      <c r="Q812" s="121"/>
      <c r="R812" s="121"/>
      <c r="S812" s="121"/>
      <c r="T812" s="121"/>
      <c r="U812" s="121"/>
      <c r="V812" s="121"/>
      <c r="W812" s="121"/>
      <c r="X812" s="121"/>
      <c r="Y812" s="121"/>
      <c r="Z812" s="121"/>
    </row>
    <row r="813" spans="1:26" ht="11.25" customHeight="1" x14ac:dyDescent="0.3">
      <c r="A813" s="121"/>
      <c r="B813" s="121"/>
      <c r="C813" s="121"/>
      <c r="D813" s="121"/>
      <c r="E813" s="121"/>
      <c r="F813" s="121"/>
      <c r="G813" s="121"/>
      <c r="H813" s="121"/>
      <c r="I813" s="121"/>
      <c r="J813" s="121"/>
      <c r="K813" s="121"/>
      <c r="L813" s="121"/>
      <c r="M813" s="121"/>
      <c r="N813" s="121"/>
      <c r="O813" s="121"/>
      <c r="P813" s="121"/>
      <c r="Q813" s="121"/>
      <c r="R813" s="121"/>
      <c r="S813" s="121"/>
      <c r="T813" s="121"/>
      <c r="U813" s="121"/>
      <c r="V813" s="121"/>
      <c r="W813" s="121"/>
      <c r="X813" s="121"/>
      <c r="Y813" s="121"/>
      <c r="Z813" s="121"/>
    </row>
    <row r="814" spans="1:26" ht="11.25" customHeight="1" x14ac:dyDescent="0.3">
      <c r="A814" s="121"/>
      <c r="B814" s="121"/>
      <c r="C814" s="121"/>
      <c r="D814" s="121"/>
      <c r="E814" s="121"/>
      <c r="F814" s="121"/>
      <c r="G814" s="121"/>
      <c r="H814" s="121"/>
      <c r="I814" s="121"/>
      <c r="J814" s="121"/>
      <c r="K814" s="121"/>
      <c r="L814" s="121"/>
      <c r="M814" s="121"/>
      <c r="N814" s="121"/>
      <c r="O814" s="121"/>
      <c r="P814" s="121"/>
      <c r="Q814" s="121"/>
      <c r="R814" s="121"/>
      <c r="S814" s="121"/>
      <c r="T814" s="121"/>
      <c r="U814" s="121"/>
      <c r="V814" s="121"/>
      <c r="W814" s="121"/>
      <c r="X814" s="121"/>
      <c r="Y814" s="121"/>
      <c r="Z814" s="121"/>
    </row>
    <row r="815" spans="1:26" ht="11.25" customHeight="1" x14ac:dyDescent="0.3">
      <c r="A815" s="121"/>
      <c r="B815" s="121"/>
      <c r="C815" s="121"/>
      <c r="D815" s="121"/>
      <c r="E815" s="121"/>
      <c r="F815" s="121"/>
      <c r="G815" s="121"/>
      <c r="H815" s="121"/>
      <c r="I815" s="121"/>
      <c r="J815" s="121"/>
      <c r="K815" s="121"/>
      <c r="L815" s="121"/>
      <c r="M815" s="121"/>
      <c r="N815" s="121"/>
      <c r="O815" s="121"/>
      <c r="P815" s="121"/>
      <c r="Q815" s="121"/>
      <c r="R815" s="121"/>
      <c r="S815" s="121"/>
      <c r="T815" s="121"/>
      <c r="U815" s="121"/>
      <c r="V815" s="121"/>
      <c r="W815" s="121"/>
      <c r="X815" s="121"/>
      <c r="Y815" s="121"/>
      <c r="Z815" s="121"/>
    </row>
    <row r="816" spans="1:26" ht="11.25" customHeight="1" x14ac:dyDescent="0.3">
      <c r="A816" s="121"/>
      <c r="B816" s="121"/>
      <c r="C816" s="121"/>
      <c r="D816" s="121"/>
      <c r="E816" s="121"/>
      <c r="F816" s="121"/>
      <c r="G816" s="121"/>
      <c r="H816" s="121"/>
      <c r="I816" s="121"/>
      <c r="J816" s="121"/>
      <c r="K816" s="121"/>
      <c r="L816" s="121"/>
      <c r="M816" s="121"/>
      <c r="N816" s="121"/>
      <c r="O816" s="121"/>
      <c r="P816" s="121"/>
      <c r="Q816" s="121"/>
      <c r="R816" s="121"/>
      <c r="S816" s="121"/>
      <c r="T816" s="121"/>
      <c r="U816" s="121"/>
      <c r="V816" s="121"/>
      <c r="W816" s="121"/>
      <c r="X816" s="121"/>
      <c r="Y816" s="121"/>
      <c r="Z816" s="121"/>
    </row>
    <row r="817" spans="1:26" ht="11.25" customHeight="1" x14ac:dyDescent="0.3">
      <c r="A817" s="121"/>
      <c r="B817" s="121"/>
      <c r="C817" s="121"/>
      <c r="D817" s="121"/>
      <c r="E817" s="121"/>
      <c r="F817" s="121"/>
      <c r="G817" s="121"/>
      <c r="H817" s="121"/>
      <c r="I817" s="121"/>
      <c r="J817" s="121"/>
      <c r="K817" s="121"/>
      <c r="L817" s="121"/>
      <c r="M817" s="121"/>
      <c r="N817" s="121"/>
      <c r="O817" s="121"/>
      <c r="P817" s="121"/>
      <c r="Q817" s="121"/>
      <c r="R817" s="121"/>
      <c r="S817" s="121"/>
      <c r="T817" s="121"/>
      <c r="U817" s="121"/>
      <c r="V817" s="121"/>
      <c r="W817" s="121"/>
      <c r="X817" s="121"/>
      <c r="Y817" s="121"/>
      <c r="Z817" s="121"/>
    </row>
    <row r="818" spans="1:26" ht="11.25" customHeight="1" x14ac:dyDescent="0.3">
      <c r="A818" s="121"/>
      <c r="B818" s="121"/>
      <c r="C818" s="121"/>
      <c r="D818" s="121"/>
      <c r="E818" s="121"/>
      <c r="F818" s="121"/>
      <c r="G818" s="121"/>
      <c r="H818" s="121"/>
      <c r="I818" s="121"/>
      <c r="J818" s="121"/>
      <c r="K818" s="121"/>
      <c r="L818" s="121"/>
      <c r="M818" s="121"/>
      <c r="N818" s="121"/>
      <c r="O818" s="121"/>
      <c r="P818" s="121"/>
      <c r="Q818" s="121"/>
      <c r="R818" s="121"/>
      <c r="S818" s="121"/>
      <c r="T818" s="121"/>
      <c r="U818" s="121"/>
      <c r="V818" s="121"/>
      <c r="W818" s="121"/>
      <c r="X818" s="121"/>
      <c r="Y818" s="121"/>
      <c r="Z818" s="121"/>
    </row>
    <row r="819" spans="1:26" ht="11.25" customHeight="1" x14ac:dyDescent="0.3">
      <c r="A819" s="121"/>
      <c r="B819" s="121"/>
      <c r="C819" s="121"/>
      <c r="D819" s="121"/>
      <c r="E819" s="121"/>
      <c r="F819" s="121"/>
      <c r="G819" s="121"/>
      <c r="H819" s="121"/>
      <c r="I819" s="121"/>
      <c r="J819" s="121"/>
      <c r="K819" s="121"/>
      <c r="L819" s="121"/>
      <c r="M819" s="121"/>
      <c r="N819" s="121"/>
      <c r="O819" s="121"/>
      <c r="P819" s="121"/>
      <c r="Q819" s="121"/>
      <c r="R819" s="121"/>
      <c r="S819" s="121"/>
      <c r="T819" s="121"/>
      <c r="U819" s="121"/>
      <c r="V819" s="121"/>
      <c r="W819" s="121"/>
      <c r="X819" s="121"/>
      <c r="Y819" s="121"/>
      <c r="Z819" s="121"/>
    </row>
    <row r="820" spans="1:26" ht="11.25" customHeight="1" x14ac:dyDescent="0.3">
      <c r="A820" s="121"/>
      <c r="B820" s="121"/>
      <c r="C820" s="121"/>
      <c r="D820" s="121"/>
      <c r="E820" s="121"/>
      <c r="F820" s="121"/>
      <c r="G820" s="121"/>
      <c r="H820" s="121"/>
      <c r="I820" s="121"/>
      <c r="J820" s="121"/>
      <c r="K820" s="121"/>
      <c r="L820" s="121"/>
      <c r="M820" s="121"/>
      <c r="N820" s="121"/>
      <c r="O820" s="121"/>
      <c r="P820" s="121"/>
      <c r="Q820" s="121"/>
      <c r="R820" s="121"/>
      <c r="S820" s="121"/>
      <c r="T820" s="121"/>
      <c r="U820" s="121"/>
      <c r="V820" s="121"/>
      <c r="W820" s="121"/>
      <c r="X820" s="121"/>
      <c r="Y820" s="121"/>
      <c r="Z820" s="121"/>
    </row>
    <row r="821" spans="1:26" ht="11.25" customHeight="1" x14ac:dyDescent="0.3">
      <c r="A821" s="121"/>
      <c r="B821" s="121"/>
      <c r="C821" s="121"/>
      <c r="D821" s="121"/>
      <c r="E821" s="121"/>
      <c r="F821" s="121"/>
      <c r="G821" s="121"/>
      <c r="H821" s="121"/>
      <c r="I821" s="121"/>
      <c r="J821" s="121"/>
      <c r="K821" s="121"/>
      <c r="L821" s="121"/>
      <c r="M821" s="121"/>
      <c r="N821" s="121"/>
      <c r="O821" s="121"/>
      <c r="P821" s="121"/>
      <c r="Q821" s="121"/>
      <c r="R821" s="121"/>
      <c r="S821" s="121"/>
      <c r="T821" s="121"/>
      <c r="U821" s="121"/>
      <c r="V821" s="121"/>
      <c r="W821" s="121"/>
      <c r="X821" s="121"/>
      <c r="Y821" s="121"/>
      <c r="Z821" s="121"/>
    </row>
    <row r="822" spans="1:26" ht="11.25" customHeight="1" x14ac:dyDescent="0.3">
      <c r="A822" s="121"/>
      <c r="B822" s="121"/>
      <c r="C822" s="121"/>
      <c r="D822" s="121"/>
      <c r="E822" s="121"/>
      <c r="F822" s="121"/>
      <c r="G822" s="121"/>
      <c r="H822" s="121"/>
      <c r="I822" s="121"/>
      <c r="J822" s="121"/>
      <c r="K822" s="121"/>
      <c r="L822" s="121"/>
      <c r="M822" s="121"/>
      <c r="N822" s="121"/>
      <c r="O822" s="121"/>
      <c r="P822" s="121"/>
      <c r="Q822" s="121"/>
      <c r="R822" s="121"/>
      <c r="S822" s="121"/>
      <c r="T822" s="121"/>
      <c r="U822" s="121"/>
      <c r="V822" s="121"/>
      <c r="W822" s="121"/>
      <c r="X822" s="121"/>
      <c r="Y822" s="121"/>
      <c r="Z822" s="121"/>
    </row>
    <row r="823" spans="1:26" ht="11.25" customHeight="1" x14ac:dyDescent="0.3">
      <c r="A823" s="121"/>
      <c r="B823" s="121"/>
      <c r="C823" s="121"/>
      <c r="D823" s="121"/>
      <c r="E823" s="121"/>
      <c r="F823" s="121"/>
      <c r="G823" s="121"/>
      <c r="H823" s="121"/>
      <c r="I823" s="121"/>
      <c r="J823" s="121"/>
      <c r="K823" s="121"/>
      <c r="L823" s="121"/>
      <c r="M823" s="121"/>
      <c r="N823" s="121"/>
      <c r="O823" s="121"/>
      <c r="P823" s="121"/>
      <c r="Q823" s="121"/>
      <c r="R823" s="121"/>
      <c r="S823" s="121"/>
      <c r="T823" s="121"/>
      <c r="U823" s="121"/>
      <c r="V823" s="121"/>
      <c r="W823" s="121"/>
      <c r="X823" s="121"/>
      <c r="Y823" s="121"/>
      <c r="Z823" s="121"/>
    </row>
    <row r="824" spans="1:26" ht="11.25" customHeight="1" x14ac:dyDescent="0.3">
      <c r="A824" s="121"/>
      <c r="B824" s="121"/>
      <c r="C824" s="121"/>
      <c r="D824" s="121"/>
      <c r="E824" s="121"/>
      <c r="F824" s="121"/>
      <c r="G824" s="121"/>
      <c r="H824" s="121"/>
      <c r="I824" s="121"/>
      <c r="J824" s="121"/>
      <c r="K824" s="121"/>
      <c r="L824" s="121"/>
      <c r="M824" s="121"/>
      <c r="N824" s="121"/>
      <c r="O824" s="121"/>
      <c r="P824" s="121"/>
      <c r="Q824" s="121"/>
      <c r="R824" s="121"/>
      <c r="S824" s="121"/>
      <c r="T824" s="121"/>
      <c r="U824" s="121"/>
      <c r="V824" s="121"/>
      <c r="W824" s="121"/>
      <c r="X824" s="121"/>
      <c r="Y824" s="121"/>
      <c r="Z824" s="121"/>
    </row>
    <row r="825" spans="1:26" ht="11.25" customHeight="1" x14ac:dyDescent="0.3">
      <c r="A825" s="121"/>
      <c r="B825" s="121"/>
      <c r="C825" s="121"/>
      <c r="D825" s="121"/>
      <c r="E825" s="121"/>
      <c r="F825" s="121"/>
      <c r="G825" s="121"/>
      <c r="H825" s="121"/>
      <c r="I825" s="121"/>
      <c r="J825" s="121"/>
      <c r="K825" s="121"/>
      <c r="L825" s="121"/>
      <c r="M825" s="121"/>
      <c r="N825" s="121"/>
      <c r="O825" s="121"/>
      <c r="P825" s="121"/>
      <c r="Q825" s="121"/>
      <c r="R825" s="121"/>
      <c r="S825" s="121"/>
      <c r="T825" s="121"/>
      <c r="U825" s="121"/>
      <c r="V825" s="121"/>
      <c r="W825" s="121"/>
      <c r="X825" s="121"/>
      <c r="Y825" s="121"/>
      <c r="Z825" s="121"/>
    </row>
    <row r="826" spans="1:26" ht="11.25" customHeight="1" x14ac:dyDescent="0.3">
      <c r="A826" s="121"/>
      <c r="B826" s="121"/>
      <c r="C826" s="121"/>
      <c r="D826" s="121"/>
      <c r="E826" s="121"/>
      <c r="F826" s="121"/>
      <c r="G826" s="121"/>
      <c r="H826" s="121"/>
      <c r="I826" s="121"/>
      <c r="J826" s="121"/>
      <c r="K826" s="121"/>
      <c r="L826" s="121"/>
      <c r="M826" s="121"/>
      <c r="N826" s="121"/>
      <c r="O826" s="121"/>
      <c r="P826" s="121"/>
      <c r="Q826" s="121"/>
      <c r="R826" s="121"/>
      <c r="S826" s="121"/>
      <c r="T826" s="121"/>
      <c r="U826" s="121"/>
      <c r="V826" s="121"/>
      <c r="W826" s="121"/>
      <c r="X826" s="121"/>
      <c r="Y826" s="121"/>
      <c r="Z826" s="121"/>
    </row>
    <row r="827" spans="1:26" ht="11.25" customHeight="1" x14ac:dyDescent="0.3">
      <c r="A827" s="121"/>
      <c r="B827" s="121"/>
      <c r="C827" s="121"/>
      <c r="D827" s="121"/>
      <c r="E827" s="121"/>
      <c r="F827" s="121"/>
      <c r="G827" s="121"/>
      <c r="H827" s="121"/>
      <c r="I827" s="121"/>
      <c r="J827" s="121"/>
      <c r="K827" s="121"/>
      <c r="L827" s="121"/>
      <c r="M827" s="121"/>
      <c r="N827" s="121"/>
      <c r="O827" s="121"/>
      <c r="P827" s="121"/>
      <c r="Q827" s="121"/>
      <c r="R827" s="121"/>
      <c r="S827" s="121"/>
      <c r="T827" s="121"/>
      <c r="U827" s="121"/>
      <c r="V827" s="121"/>
      <c r="W827" s="121"/>
      <c r="X827" s="121"/>
      <c r="Y827" s="121"/>
      <c r="Z827" s="121"/>
    </row>
    <row r="828" spans="1:26" ht="11.25" customHeight="1" x14ac:dyDescent="0.3">
      <c r="A828" s="121"/>
      <c r="B828" s="121"/>
      <c r="C828" s="121"/>
      <c r="D828" s="121"/>
      <c r="E828" s="121"/>
      <c r="F828" s="121"/>
      <c r="G828" s="121"/>
      <c r="H828" s="121"/>
      <c r="I828" s="121"/>
      <c r="J828" s="121"/>
      <c r="K828" s="121"/>
      <c r="L828" s="121"/>
      <c r="M828" s="121"/>
      <c r="N828" s="121"/>
      <c r="O828" s="121"/>
      <c r="P828" s="121"/>
      <c r="Q828" s="121"/>
      <c r="R828" s="121"/>
      <c r="S828" s="121"/>
      <c r="T828" s="121"/>
      <c r="U828" s="121"/>
      <c r="V828" s="121"/>
      <c r="W828" s="121"/>
      <c r="X828" s="121"/>
      <c r="Y828" s="121"/>
      <c r="Z828" s="121"/>
    </row>
    <row r="829" spans="1:26" ht="11.25" customHeight="1" x14ac:dyDescent="0.3">
      <c r="A829" s="121"/>
      <c r="B829" s="121"/>
      <c r="C829" s="121"/>
      <c r="D829" s="121"/>
      <c r="E829" s="121"/>
      <c r="F829" s="121"/>
      <c r="G829" s="121"/>
      <c r="H829" s="121"/>
      <c r="I829" s="121"/>
      <c r="J829" s="121"/>
      <c r="K829" s="121"/>
      <c r="L829" s="121"/>
      <c r="M829" s="121"/>
      <c r="N829" s="121"/>
      <c r="O829" s="121"/>
      <c r="P829" s="121"/>
      <c r="Q829" s="121"/>
      <c r="R829" s="121"/>
      <c r="S829" s="121"/>
      <c r="T829" s="121"/>
      <c r="U829" s="121"/>
      <c r="V829" s="121"/>
      <c r="W829" s="121"/>
      <c r="X829" s="121"/>
      <c r="Y829" s="121"/>
      <c r="Z829" s="121"/>
    </row>
    <row r="830" spans="1:26" ht="11.25" customHeight="1" x14ac:dyDescent="0.3">
      <c r="A830" s="121"/>
      <c r="B830" s="121"/>
      <c r="C830" s="121"/>
      <c r="D830" s="121"/>
      <c r="E830" s="121"/>
      <c r="F830" s="121"/>
      <c r="G830" s="121"/>
      <c r="H830" s="121"/>
      <c r="I830" s="121"/>
      <c r="J830" s="121"/>
      <c r="K830" s="121"/>
      <c r="L830" s="121"/>
      <c r="M830" s="121"/>
      <c r="N830" s="121"/>
      <c r="O830" s="121"/>
      <c r="P830" s="121"/>
      <c r="Q830" s="121"/>
      <c r="R830" s="121"/>
      <c r="S830" s="121"/>
      <c r="T830" s="121"/>
      <c r="U830" s="121"/>
      <c r="V830" s="121"/>
      <c r="W830" s="121"/>
      <c r="X830" s="121"/>
      <c r="Y830" s="121"/>
      <c r="Z830" s="121"/>
    </row>
    <row r="831" spans="1:26" ht="11.25" customHeight="1" x14ac:dyDescent="0.3">
      <c r="A831" s="121"/>
      <c r="B831" s="121"/>
      <c r="C831" s="121"/>
      <c r="D831" s="121"/>
      <c r="E831" s="121"/>
      <c r="F831" s="121"/>
      <c r="G831" s="121"/>
      <c r="H831" s="121"/>
      <c r="I831" s="121"/>
      <c r="J831" s="121"/>
      <c r="K831" s="121"/>
      <c r="L831" s="121"/>
      <c r="M831" s="121"/>
      <c r="N831" s="121"/>
      <c r="O831" s="121"/>
      <c r="P831" s="121"/>
      <c r="Q831" s="121"/>
      <c r="R831" s="121"/>
      <c r="S831" s="121"/>
      <c r="T831" s="121"/>
      <c r="U831" s="121"/>
      <c r="V831" s="121"/>
      <c r="W831" s="121"/>
      <c r="X831" s="121"/>
      <c r="Y831" s="121"/>
      <c r="Z831" s="121"/>
    </row>
    <row r="832" spans="1:26" ht="11.25" customHeight="1" x14ac:dyDescent="0.3">
      <c r="A832" s="121"/>
      <c r="B832" s="121"/>
      <c r="C832" s="121"/>
      <c r="D832" s="121"/>
      <c r="E832" s="121"/>
      <c r="F832" s="121"/>
      <c r="G832" s="121"/>
      <c r="H832" s="121"/>
      <c r="I832" s="121"/>
      <c r="J832" s="121"/>
      <c r="K832" s="121"/>
      <c r="L832" s="121"/>
      <c r="M832" s="121"/>
      <c r="N832" s="121"/>
      <c r="O832" s="121"/>
      <c r="P832" s="121"/>
      <c r="Q832" s="121"/>
      <c r="R832" s="121"/>
      <c r="S832" s="121"/>
      <c r="T832" s="121"/>
      <c r="U832" s="121"/>
      <c r="V832" s="121"/>
      <c r="W832" s="121"/>
      <c r="X832" s="121"/>
      <c r="Y832" s="121"/>
      <c r="Z832" s="121"/>
    </row>
    <row r="833" spans="1:26" ht="11.25" customHeight="1" x14ac:dyDescent="0.3">
      <c r="A833" s="121"/>
      <c r="B833" s="121"/>
      <c r="C833" s="121"/>
      <c r="D833" s="121"/>
      <c r="E833" s="121"/>
      <c r="F833" s="121"/>
      <c r="G833" s="121"/>
      <c r="H833" s="121"/>
      <c r="I833" s="121"/>
      <c r="J833" s="121"/>
      <c r="K833" s="121"/>
      <c r="L833" s="121"/>
      <c r="M833" s="121"/>
      <c r="N833" s="121"/>
      <c r="O833" s="121"/>
      <c r="P833" s="121"/>
      <c r="Q833" s="121"/>
      <c r="R833" s="121"/>
      <c r="S833" s="121"/>
      <c r="T833" s="121"/>
      <c r="U833" s="121"/>
      <c r="V833" s="121"/>
      <c r="W833" s="121"/>
      <c r="X833" s="121"/>
      <c r="Y833" s="121"/>
      <c r="Z833" s="121"/>
    </row>
    <row r="834" spans="1:26" ht="11.25" customHeight="1" x14ac:dyDescent="0.3">
      <c r="A834" s="121"/>
      <c r="B834" s="121"/>
      <c r="C834" s="121"/>
      <c r="D834" s="121"/>
      <c r="E834" s="121"/>
      <c r="F834" s="121"/>
      <c r="G834" s="121"/>
      <c r="H834" s="121"/>
      <c r="I834" s="121"/>
      <c r="J834" s="121"/>
      <c r="K834" s="121"/>
      <c r="L834" s="121"/>
      <c r="M834" s="121"/>
      <c r="N834" s="121"/>
      <c r="O834" s="121"/>
      <c r="P834" s="121"/>
      <c r="Q834" s="121"/>
      <c r="R834" s="121"/>
      <c r="S834" s="121"/>
      <c r="T834" s="121"/>
      <c r="U834" s="121"/>
      <c r="V834" s="121"/>
      <c r="W834" s="121"/>
      <c r="X834" s="121"/>
      <c r="Y834" s="121"/>
      <c r="Z834" s="121"/>
    </row>
    <row r="835" spans="1:26" ht="11.25" customHeight="1" x14ac:dyDescent="0.3">
      <c r="A835" s="121"/>
      <c r="B835" s="121"/>
      <c r="C835" s="121"/>
      <c r="D835" s="121"/>
      <c r="E835" s="121"/>
      <c r="F835" s="121"/>
      <c r="G835" s="121"/>
      <c r="H835" s="121"/>
      <c r="I835" s="121"/>
      <c r="J835" s="121"/>
      <c r="K835" s="121"/>
      <c r="L835" s="121"/>
      <c r="M835" s="121"/>
      <c r="N835" s="121"/>
      <c r="O835" s="121"/>
      <c r="P835" s="121"/>
      <c r="Q835" s="121"/>
      <c r="R835" s="121"/>
      <c r="S835" s="121"/>
      <c r="T835" s="121"/>
      <c r="U835" s="121"/>
      <c r="V835" s="121"/>
      <c r="W835" s="121"/>
      <c r="X835" s="121"/>
      <c r="Y835" s="121"/>
      <c r="Z835" s="121"/>
    </row>
    <row r="836" spans="1:26" ht="11.25" customHeight="1" x14ac:dyDescent="0.3">
      <c r="A836" s="121"/>
      <c r="B836" s="121"/>
      <c r="C836" s="121"/>
      <c r="D836" s="121"/>
      <c r="E836" s="121"/>
      <c r="F836" s="121"/>
      <c r="G836" s="121"/>
      <c r="H836" s="121"/>
      <c r="I836" s="121"/>
      <c r="J836" s="121"/>
      <c r="K836" s="121"/>
      <c r="L836" s="121"/>
      <c r="M836" s="121"/>
      <c r="N836" s="121"/>
      <c r="O836" s="121"/>
      <c r="P836" s="121"/>
      <c r="Q836" s="121"/>
      <c r="R836" s="121"/>
      <c r="S836" s="121"/>
      <c r="T836" s="121"/>
      <c r="U836" s="121"/>
      <c r="V836" s="121"/>
      <c r="W836" s="121"/>
      <c r="X836" s="121"/>
      <c r="Y836" s="121"/>
      <c r="Z836" s="121"/>
    </row>
    <row r="837" spans="1:26" ht="11.25" customHeight="1" x14ac:dyDescent="0.3">
      <c r="A837" s="121"/>
      <c r="B837" s="121"/>
      <c r="C837" s="121"/>
      <c r="D837" s="121"/>
      <c r="E837" s="121"/>
      <c r="F837" s="121"/>
      <c r="G837" s="121"/>
      <c r="H837" s="121"/>
      <c r="I837" s="121"/>
      <c r="J837" s="121"/>
      <c r="K837" s="121"/>
      <c r="L837" s="121"/>
      <c r="M837" s="121"/>
      <c r="N837" s="121"/>
      <c r="O837" s="121"/>
      <c r="P837" s="121"/>
      <c r="Q837" s="121"/>
      <c r="R837" s="121"/>
      <c r="S837" s="121"/>
      <c r="T837" s="121"/>
      <c r="U837" s="121"/>
      <c r="V837" s="121"/>
      <c r="W837" s="121"/>
      <c r="X837" s="121"/>
      <c r="Y837" s="121"/>
      <c r="Z837" s="121"/>
    </row>
    <row r="838" spans="1:26" ht="11.25" customHeight="1" x14ac:dyDescent="0.3">
      <c r="A838" s="121"/>
      <c r="B838" s="121"/>
      <c r="C838" s="121"/>
      <c r="D838" s="121"/>
      <c r="E838" s="121"/>
      <c r="F838" s="121"/>
      <c r="G838" s="121"/>
      <c r="H838" s="121"/>
      <c r="I838" s="121"/>
      <c r="J838" s="121"/>
      <c r="K838" s="121"/>
      <c r="L838" s="121"/>
      <c r="M838" s="121"/>
      <c r="N838" s="121"/>
      <c r="O838" s="121"/>
      <c r="P838" s="121"/>
      <c r="Q838" s="121"/>
      <c r="R838" s="121"/>
      <c r="S838" s="121"/>
      <c r="T838" s="121"/>
      <c r="U838" s="121"/>
      <c r="V838" s="121"/>
      <c r="W838" s="121"/>
      <c r="X838" s="121"/>
      <c r="Y838" s="121"/>
      <c r="Z838" s="121"/>
    </row>
    <row r="839" spans="1:26" ht="11.25" customHeight="1" x14ac:dyDescent="0.3">
      <c r="A839" s="121"/>
      <c r="B839" s="121"/>
      <c r="C839" s="121"/>
      <c r="D839" s="121"/>
      <c r="E839" s="121"/>
      <c r="F839" s="121"/>
      <c r="G839" s="121"/>
      <c r="H839" s="121"/>
      <c r="I839" s="121"/>
      <c r="J839" s="121"/>
      <c r="K839" s="121"/>
      <c r="L839" s="121"/>
      <c r="M839" s="121"/>
      <c r="N839" s="121"/>
      <c r="O839" s="121"/>
      <c r="P839" s="121"/>
      <c r="Q839" s="121"/>
      <c r="R839" s="121"/>
      <c r="S839" s="121"/>
      <c r="T839" s="121"/>
      <c r="U839" s="121"/>
      <c r="V839" s="121"/>
      <c r="W839" s="121"/>
      <c r="X839" s="121"/>
      <c r="Y839" s="121"/>
      <c r="Z839" s="121"/>
    </row>
    <row r="840" spans="1:26" ht="11.25" customHeight="1" x14ac:dyDescent="0.3">
      <c r="A840" s="121"/>
      <c r="B840" s="121"/>
      <c r="C840" s="121"/>
      <c r="D840" s="121"/>
      <c r="E840" s="121"/>
      <c r="F840" s="121"/>
      <c r="G840" s="121"/>
      <c r="H840" s="121"/>
      <c r="I840" s="121"/>
      <c r="J840" s="121"/>
      <c r="K840" s="121"/>
      <c r="L840" s="121"/>
      <c r="M840" s="121"/>
      <c r="N840" s="121"/>
      <c r="O840" s="121"/>
      <c r="P840" s="121"/>
      <c r="Q840" s="121"/>
      <c r="R840" s="121"/>
      <c r="S840" s="121"/>
      <c r="T840" s="121"/>
      <c r="U840" s="121"/>
      <c r="V840" s="121"/>
      <c r="W840" s="121"/>
      <c r="X840" s="121"/>
      <c r="Y840" s="121"/>
      <c r="Z840" s="121"/>
    </row>
    <row r="841" spans="1:26" ht="11.25" customHeight="1" x14ac:dyDescent="0.3">
      <c r="A841" s="121"/>
      <c r="B841" s="121"/>
      <c r="C841" s="121"/>
      <c r="D841" s="121"/>
      <c r="E841" s="121"/>
      <c r="F841" s="121"/>
      <c r="G841" s="121"/>
      <c r="H841" s="121"/>
      <c r="I841" s="121"/>
      <c r="J841" s="121"/>
      <c r="K841" s="121"/>
      <c r="L841" s="121"/>
      <c r="M841" s="121"/>
      <c r="N841" s="121"/>
      <c r="O841" s="121"/>
      <c r="P841" s="121"/>
      <c r="Q841" s="121"/>
      <c r="R841" s="121"/>
      <c r="S841" s="121"/>
      <c r="T841" s="121"/>
      <c r="U841" s="121"/>
      <c r="V841" s="121"/>
      <c r="W841" s="121"/>
      <c r="X841" s="121"/>
      <c r="Y841" s="121"/>
      <c r="Z841" s="121"/>
    </row>
    <row r="842" spans="1:26" ht="11.25" customHeight="1" x14ac:dyDescent="0.3">
      <c r="A842" s="121"/>
      <c r="B842" s="121"/>
      <c r="C842" s="121"/>
      <c r="D842" s="121"/>
      <c r="E842" s="121"/>
      <c r="F842" s="121"/>
      <c r="G842" s="121"/>
      <c r="H842" s="121"/>
      <c r="I842" s="121"/>
      <c r="J842" s="121"/>
      <c r="K842" s="121"/>
      <c r="L842" s="121"/>
      <c r="M842" s="121"/>
      <c r="N842" s="121"/>
      <c r="O842" s="121"/>
      <c r="P842" s="121"/>
      <c r="Q842" s="121"/>
      <c r="R842" s="121"/>
      <c r="S842" s="121"/>
      <c r="T842" s="121"/>
      <c r="U842" s="121"/>
      <c r="V842" s="121"/>
      <c r="W842" s="121"/>
      <c r="X842" s="121"/>
      <c r="Y842" s="121"/>
      <c r="Z842" s="121"/>
    </row>
    <row r="843" spans="1:26" ht="11.25" customHeight="1" x14ac:dyDescent="0.3">
      <c r="A843" s="121"/>
      <c r="B843" s="121"/>
      <c r="C843" s="121"/>
      <c r="D843" s="121"/>
      <c r="E843" s="121"/>
      <c r="F843" s="121"/>
      <c r="G843" s="121"/>
      <c r="H843" s="121"/>
      <c r="I843" s="121"/>
      <c r="J843" s="121"/>
      <c r="K843" s="121"/>
      <c r="L843" s="121"/>
      <c r="M843" s="121"/>
      <c r="N843" s="121"/>
      <c r="O843" s="121"/>
      <c r="P843" s="121"/>
      <c r="Q843" s="121"/>
      <c r="R843" s="121"/>
      <c r="S843" s="121"/>
      <c r="T843" s="121"/>
      <c r="U843" s="121"/>
      <c r="V843" s="121"/>
      <c r="W843" s="121"/>
      <c r="X843" s="121"/>
      <c r="Y843" s="121"/>
      <c r="Z843" s="121"/>
    </row>
    <row r="844" spans="1:26" ht="11.25" customHeight="1" x14ac:dyDescent="0.3">
      <c r="A844" s="121"/>
      <c r="B844" s="121"/>
      <c r="C844" s="121"/>
      <c r="D844" s="121"/>
      <c r="E844" s="121"/>
      <c r="F844" s="121"/>
      <c r="G844" s="121"/>
      <c r="H844" s="121"/>
      <c r="I844" s="121"/>
      <c r="J844" s="121"/>
      <c r="K844" s="121"/>
      <c r="L844" s="121"/>
      <c r="M844" s="121"/>
      <c r="N844" s="121"/>
      <c r="O844" s="121"/>
      <c r="P844" s="121"/>
      <c r="Q844" s="121"/>
      <c r="R844" s="121"/>
      <c r="S844" s="121"/>
      <c r="T844" s="121"/>
      <c r="U844" s="121"/>
      <c r="V844" s="121"/>
      <c r="W844" s="121"/>
      <c r="X844" s="121"/>
      <c r="Y844" s="121"/>
      <c r="Z844" s="121"/>
    </row>
    <row r="845" spans="1:26" ht="11.25" customHeight="1" x14ac:dyDescent="0.3">
      <c r="A845" s="121"/>
      <c r="B845" s="121"/>
      <c r="C845" s="121"/>
      <c r="D845" s="121"/>
      <c r="E845" s="121"/>
      <c r="F845" s="121"/>
      <c r="G845" s="121"/>
      <c r="H845" s="121"/>
      <c r="I845" s="121"/>
      <c r="J845" s="121"/>
      <c r="K845" s="121"/>
      <c r="L845" s="121"/>
      <c r="M845" s="121"/>
      <c r="N845" s="121"/>
      <c r="O845" s="121"/>
      <c r="P845" s="121"/>
      <c r="Q845" s="121"/>
      <c r="R845" s="121"/>
      <c r="S845" s="121"/>
      <c r="T845" s="121"/>
      <c r="U845" s="121"/>
      <c r="V845" s="121"/>
      <c r="W845" s="121"/>
      <c r="X845" s="121"/>
      <c r="Y845" s="121"/>
      <c r="Z845" s="121"/>
    </row>
    <row r="846" spans="1:26" ht="11.25" customHeight="1" x14ac:dyDescent="0.3">
      <c r="A846" s="121"/>
      <c r="B846" s="121"/>
      <c r="C846" s="121"/>
      <c r="D846" s="121"/>
      <c r="E846" s="121"/>
      <c r="F846" s="121"/>
      <c r="G846" s="121"/>
      <c r="H846" s="121"/>
      <c r="I846" s="121"/>
      <c r="J846" s="121"/>
      <c r="K846" s="121"/>
      <c r="L846" s="121"/>
      <c r="M846" s="121"/>
      <c r="N846" s="121"/>
      <c r="O846" s="121"/>
      <c r="P846" s="121"/>
      <c r="Q846" s="121"/>
      <c r="R846" s="121"/>
      <c r="S846" s="121"/>
      <c r="T846" s="121"/>
      <c r="U846" s="121"/>
      <c r="V846" s="121"/>
      <c r="W846" s="121"/>
      <c r="X846" s="121"/>
      <c r="Y846" s="121"/>
      <c r="Z846" s="121"/>
    </row>
    <row r="847" spans="1:26" ht="11.25" customHeight="1" x14ac:dyDescent="0.3">
      <c r="A847" s="121"/>
      <c r="B847" s="121"/>
      <c r="C847" s="121"/>
      <c r="D847" s="121"/>
      <c r="E847" s="121"/>
      <c r="F847" s="121"/>
      <c r="G847" s="121"/>
      <c r="H847" s="121"/>
      <c r="I847" s="121"/>
      <c r="J847" s="121"/>
      <c r="K847" s="121"/>
      <c r="L847" s="121"/>
      <c r="M847" s="121"/>
      <c r="N847" s="121"/>
      <c r="O847" s="121"/>
      <c r="P847" s="121"/>
      <c r="Q847" s="121"/>
      <c r="R847" s="121"/>
      <c r="S847" s="121"/>
      <c r="T847" s="121"/>
      <c r="U847" s="121"/>
      <c r="V847" s="121"/>
      <c r="W847" s="121"/>
      <c r="X847" s="121"/>
      <c r="Y847" s="121"/>
      <c r="Z847" s="121"/>
    </row>
    <row r="848" spans="1:26" ht="11.25" customHeight="1" x14ac:dyDescent="0.3">
      <c r="A848" s="121"/>
      <c r="B848" s="121"/>
      <c r="C848" s="121"/>
      <c r="D848" s="121"/>
      <c r="E848" s="121"/>
      <c r="F848" s="121"/>
      <c r="G848" s="121"/>
      <c r="H848" s="121"/>
      <c r="I848" s="121"/>
      <c r="J848" s="121"/>
      <c r="K848" s="121"/>
      <c r="L848" s="121"/>
      <c r="M848" s="121"/>
      <c r="N848" s="121"/>
      <c r="O848" s="121"/>
      <c r="P848" s="121"/>
      <c r="Q848" s="121"/>
      <c r="R848" s="121"/>
      <c r="S848" s="121"/>
      <c r="T848" s="121"/>
      <c r="U848" s="121"/>
      <c r="V848" s="121"/>
      <c r="W848" s="121"/>
      <c r="X848" s="121"/>
      <c r="Y848" s="121"/>
      <c r="Z848" s="121"/>
    </row>
    <row r="849" spans="1:26" ht="11.25" customHeight="1" x14ac:dyDescent="0.3">
      <c r="A849" s="121"/>
      <c r="B849" s="121"/>
      <c r="C849" s="121"/>
      <c r="D849" s="121"/>
      <c r="E849" s="121"/>
      <c r="F849" s="121"/>
      <c r="G849" s="121"/>
      <c r="H849" s="121"/>
      <c r="I849" s="121"/>
      <c r="J849" s="121"/>
      <c r="K849" s="121"/>
      <c r="L849" s="121"/>
      <c r="M849" s="121"/>
      <c r="N849" s="121"/>
      <c r="O849" s="121"/>
      <c r="P849" s="121"/>
      <c r="Q849" s="121"/>
      <c r="R849" s="121"/>
      <c r="S849" s="121"/>
      <c r="T849" s="121"/>
      <c r="U849" s="121"/>
      <c r="V849" s="121"/>
      <c r="W849" s="121"/>
      <c r="X849" s="121"/>
      <c r="Y849" s="121"/>
      <c r="Z849" s="121"/>
    </row>
    <row r="850" spans="1:26" ht="11.25" customHeight="1" x14ac:dyDescent="0.3">
      <c r="A850" s="121"/>
      <c r="B850" s="121"/>
      <c r="C850" s="121"/>
      <c r="D850" s="121"/>
      <c r="E850" s="121"/>
      <c r="F850" s="121"/>
      <c r="G850" s="121"/>
      <c r="H850" s="121"/>
      <c r="I850" s="121"/>
      <c r="J850" s="121"/>
      <c r="K850" s="121"/>
      <c r="L850" s="121"/>
      <c r="M850" s="121"/>
      <c r="N850" s="121"/>
      <c r="O850" s="121"/>
      <c r="P850" s="121"/>
      <c r="Q850" s="121"/>
      <c r="R850" s="121"/>
      <c r="S850" s="121"/>
      <c r="T850" s="121"/>
      <c r="U850" s="121"/>
      <c r="V850" s="121"/>
      <c r="W850" s="121"/>
      <c r="X850" s="121"/>
      <c r="Y850" s="121"/>
      <c r="Z850" s="121"/>
    </row>
    <row r="851" spans="1:26" ht="11.25" customHeight="1" x14ac:dyDescent="0.3">
      <c r="A851" s="121"/>
      <c r="B851" s="121"/>
      <c r="C851" s="121"/>
      <c r="D851" s="121"/>
      <c r="E851" s="121"/>
      <c r="F851" s="121"/>
      <c r="G851" s="121"/>
      <c r="H851" s="121"/>
      <c r="I851" s="121"/>
      <c r="J851" s="121"/>
      <c r="K851" s="121"/>
      <c r="L851" s="121"/>
      <c r="M851" s="121"/>
      <c r="N851" s="121"/>
      <c r="O851" s="121"/>
      <c r="P851" s="121"/>
      <c r="Q851" s="121"/>
      <c r="R851" s="121"/>
      <c r="S851" s="121"/>
      <c r="T851" s="121"/>
      <c r="U851" s="121"/>
      <c r="V851" s="121"/>
      <c r="W851" s="121"/>
      <c r="X851" s="121"/>
      <c r="Y851" s="121"/>
      <c r="Z851" s="121"/>
    </row>
    <row r="852" spans="1:26" ht="11.25" customHeight="1" x14ac:dyDescent="0.3">
      <c r="A852" s="121"/>
      <c r="B852" s="121"/>
      <c r="C852" s="121"/>
      <c r="D852" s="121"/>
      <c r="E852" s="121"/>
      <c r="F852" s="121"/>
      <c r="G852" s="121"/>
      <c r="H852" s="121"/>
      <c r="I852" s="121"/>
      <c r="J852" s="121"/>
      <c r="K852" s="121"/>
      <c r="L852" s="121"/>
      <c r="M852" s="121"/>
      <c r="N852" s="121"/>
      <c r="O852" s="121"/>
      <c r="P852" s="121"/>
      <c r="Q852" s="121"/>
      <c r="R852" s="121"/>
      <c r="S852" s="121"/>
      <c r="T852" s="121"/>
      <c r="U852" s="121"/>
      <c r="V852" s="121"/>
      <c r="W852" s="121"/>
      <c r="X852" s="121"/>
      <c r="Y852" s="121"/>
      <c r="Z852" s="121"/>
    </row>
    <row r="853" spans="1:26" ht="11.25" customHeight="1" x14ac:dyDescent="0.3">
      <c r="A853" s="121"/>
      <c r="B853" s="121"/>
      <c r="C853" s="121"/>
      <c r="D853" s="121"/>
      <c r="E853" s="121"/>
      <c r="F853" s="121"/>
      <c r="G853" s="121"/>
      <c r="H853" s="121"/>
      <c r="I853" s="121"/>
      <c r="J853" s="121"/>
      <c r="K853" s="121"/>
      <c r="L853" s="121"/>
      <c r="M853" s="121"/>
      <c r="N853" s="121"/>
      <c r="O853" s="121"/>
      <c r="P853" s="121"/>
      <c r="Q853" s="121"/>
      <c r="R853" s="121"/>
      <c r="S853" s="121"/>
      <c r="T853" s="121"/>
      <c r="U853" s="121"/>
      <c r="V853" s="121"/>
      <c r="W853" s="121"/>
      <c r="X853" s="121"/>
      <c r="Y853" s="121"/>
      <c r="Z853" s="121"/>
    </row>
    <row r="854" spans="1:26" ht="11.25" customHeight="1" x14ac:dyDescent="0.3">
      <c r="A854" s="121"/>
      <c r="B854" s="121"/>
      <c r="C854" s="121"/>
      <c r="D854" s="121"/>
      <c r="E854" s="121"/>
      <c r="F854" s="121"/>
      <c r="G854" s="121"/>
      <c r="H854" s="121"/>
      <c r="I854" s="121"/>
      <c r="J854" s="121"/>
      <c r="K854" s="121"/>
      <c r="L854" s="121"/>
      <c r="M854" s="121"/>
      <c r="N854" s="121"/>
      <c r="O854" s="121"/>
      <c r="P854" s="121"/>
      <c r="Q854" s="121"/>
      <c r="R854" s="121"/>
      <c r="S854" s="121"/>
      <c r="T854" s="121"/>
      <c r="U854" s="121"/>
      <c r="V854" s="121"/>
      <c r="W854" s="121"/>
      <c r="X854" s="121"/>
      <c r="Y854" s="121"/>
      <c r="Z854" s="121"/>
    </row>
    <row r="855" spans="1:26" ht="11.25" customHeight="1" x14ac:dyDescent="0.3">
      <c r="A855" s="121"/>
      <c r="B855" s="121"/>
      <c r="C855" s="121"/>
      <c r="D855" s="121"/>
      <c r="E855" s="121"/>
      <c r="F855" s="121"/>
      <c r="G855" s="121"/>
      <c r="H855" s="121"/>
      <c r="I855" s="121"/>
      <c r="J855" s="121"/>
      <c r="K855" s="121"/>
      <c r="L855" s="121"/>
      <c r="M855" s="121"/>
      <c r="N855" s="121"/>
      <c r="O855" s="121"/>
      <c r="P855" s="121"/>
      <c r="Q855" s="121"/>
      <c r="R855" s="121"/>
      <c r="S855" s="121"/>
      <c r="T855" s="121"/>
      <c r="U855" s="121"/>
      <c r="V855" s="121"/>
      <c r="W855" s="121"/>
      <c r="X855" s="121"/>
      <c r="Y855" s="121"/>
      <c r="Z855" s="121"/>
    </row>
    <row r="856" spans="1:26" ht="11.25" customHeight="1" x14ac:dyDescent="0.3">
      <c r="A856" s="121"/>
      <c r="B856" s="121"/>
      <c r="C856" s="121"/>
      <c r="D856" s="121"/>
      <c r="E856" s="121"/>
      <c r="F856" s="121"/>
      <c r="G856" s="121"/>
      <c r="H856" s="121"/>
      <c r="I856" s="121"/>
      <c r="J856" s="121"/>
      <c r="K856" s="121"/>
      <c r="L856" s="121"/>
      <c r="M856" s="121"/>
      <c r="N856" s="121"/>
      <c r="O856" s="121"/>
      <c r="P856" s="121"/>
      <c r="Q856" s="121"/>
      <c r="R856" s="121"/>
      <c r="S856" s="121"/>
      <c r="T856" s="121"/>
      <c r="U856" s="121"/>
      <c r="V856" s="121"/>
      <c r="W856" s="121"/>
      <c r="X856" s="121"/>
      <c r="Y856" s="121"/>
      <c r="Z856" s="121"/>
    </row>
    <row r="857" spans="1:26" ht="11.25" customHeight="1" x14ac:dyDescent="0.3">
      <c r="A857" s="121"/>
      <c r="B857" s="121"/>
      <c r="C857" s="121"/>
      <c r="D857" s="121"/>
      <c r="E857" s="121"/>
      <c r="F857" s="121"/>
      <c r="G857" s="121"/>
      <c r="H857" s="121"/>
      <c r="I857" s="121"/>
      <c r="J857" s="121"/>
      <c r="K857" s="121"/>
      <c r="L857" s="121"/>
      <c r="M857" s="121"/>
      <c r="N857" s="121"/>
      <c r="O857" s="121"/>
      <c r="P857" s="121"/>
      <c r="Q857" s="121"/>
      <c r="R857" s="121"/>
      <c r="S857" s="121"/>
      <c r="T857" s="121"/>
      <c r="U857" s="121"/>
      <c r="V857" s="121"/>
      <c r="W857" s="121"/>
      <c r="X857" s="121"/>
      <c r="Y857" s="121"/>
      <c r="Z857" s="121"/>
    </row>
    <row r="858" spans="1:26" ht="11.25" customHeight="1" x14ac:dyDescent="0.3">
      <c r="A858" s="121"/>
      <c r="B858" s="121"/>
      <c r="C858" s="121"/>
      <c r="D858" s="121"/>
      <c r="E858" s="121"/>
      <c r="F858" s="121"/>
      <c r="G858" s="121"/>
      <c r="H858" s="121"/>
      <c r="I858" s="121"/>
      <c r="J858" s="121"/>
      <c r="K858" s="121"/>
      <c r="L858" s="121"/>
      <c r="M858" s="121"/>
      <c r="N858" s="121"/>
      <c r="O858" s="121"/>
      <c r="P858" s="121"/>
      <c r="Q858" s="121"/>
      <c r="R858" s="121"/>
      <c r="S858" s="121"/>
      <c r="T858" s="121"/>
      <c r="U858" s="121"/>
      <c r="V858" s="121"/>
      <c r="W858" s="121"/>
      <c r="X858" s="121"/>
      <c r="Y858" s="121"/>
      <c r="Z858" s="121"/>
    </row>
    <row r="859" spans="1:26" ht="11.25" customHeight="1" x14ac:dyDescent="0.3">
      <c r="A859" s="121"/>
      <c r="B859" s="121"/>
      <c r="C859" s="121"/>
      <c r="D859" s="121"/>
      <c r="E859" s="121"/>
      <c r="F859" s="121"/>
      <c r="G859" s="121"/>
      <c r="H859" s="121"/>
      <c r="I859" s="121"/>
      <c r="J859" s="121"/>
      <c r="K859" s="121"/>
      <c r="L859" s="121"/>
      <c r="M859" s="121"/>
      <c r="N859" s="121"/>
      <c r="O859" s="121"/>
      <c r="P859" s="121"/>
      <c r="Q859" s="121"/>
      <c r="R859" s="121"/>
      <c r="S859" s="121"/>
      <c r="T859" s="121"/>
      <c r="U859" s="121"/>
      <c r="V859" s="121"/>
      <c r="W859" s="121"/>
      <c r="X859" s="121"/>
      <c r="Y859" s="121"/>
      <c r="Z859" s="121"/>
    </row>
    <row r="860" spans="1:26" ht="11.25" customHeight="1" x14ac:dyDescent="0.3">
      <c r="A860" s="121"/>
      <c r="B860" s="121"/>
      <c r="C860" s="121"/>
      <c r="D860" s="121"/>
      <c r="E860" s="121"/>
      <c r="F860" s="121"/>
      <c r="G860" s="121"/>
      <c r="H860" s="121"/>
      <c r="I860" s="121"/>
      <c r="J860" s="121"/>
      <c r="K860" s="121"/>
      <c r="L860" s="121"/>
      <c r="M860" s="121"/>
      <c r="N860" s="121"/>
      <c r="O860" s="121"/>
      <c r="P860" s="121"/>
      <c r="Q860" s="121"/>
      <c r="R860" s="121"/>
      <c r="S860" s="121"/>
      <c r="T860" s="121"/>
      <c r="U860" s="121"/>
      <c r="V860" s="121"/>
      <c r="W860" s="121"/>
      <c r="X860" s="121"/>
      <c r="Y860" s="121"/>
      <c r="Z860" s="121"/>
    </row>
    <row r="861" spans="1:26" ht="11.25" customHeight="1" x14ac:dyDescent="0.3">
      <c r="A861" s="121"/>
      <c r="B861" s="121"/>
      <c r="C861" s="121"/>
      <c r="D861" s="121"/>
      <c r="E861" s="121"/>
      <c r="F861" s="121"/>
      <c r="G861" s="121"/>
      <c r="H861" s="121"/>
      <c r="I861" s="121"/>
      <c r="J861" s="121"/>
      <c r="K861" s="121"/>
      <c r="L861" s="121"/>
      <c r="M861" s="121"/>
      <c r="N861" s="121"/>
      <c r="O861" s="121"/>
      <c r="P861" s="121"/>
      <c r="Q861" s="121"/>
      <c r="R861" s="121"/>
      <c r="S861" s="121"/>
      <c r="T861" s="121"/>
      <c r="U861" s="121"/>
      <c r="V861" s="121"/>
      <c r="W861" s="121"/>
      <c r="X861" s="121"/>
      <c r="Y861" s="121"/>
      <c r="Z861" s="121"/>
    </row>
    <row r="862" spans="1:26" ht="11.25" customHeight="1" x14ac:dyDescent="0.3">
      <c r="A862" s="121"/>
      <c r="B862" s="121"/>
      <c r="C862" s="121"/>
      <c r="D862" s="121"/>
      <c r="E862" s="121"/>
      <c r="F862" s="121"/>
      <c r="G862" s="121"/>
      <c r="H862" s="121"/>
      <c r="I862" s="121"/>
      <c r="J862" s="121"/>
      <c r="K862" s="121"/>
      <c r="L862" s="121"/>
      <c r="M862" s="121"/>
      <c r="N862" s="121"/>
      <c r="O862" s="121"/>
      <c r="P862" s="121"/>
      <c r="Q862" s="121"/>
      <c r="R862" s="121"/>
      <c r="S862" s="121"/>
      <c r="T862" s="121"/>
      <c r="U862" s="121"/>
      <c r="V862" s="121"/>
      <c r="W862" s="121"/>
      <c r="X862" s="121"/>
      <c r="Y862" s="121"/>
      <c r="Z862" s="121"/>
    </row>
    <row r="863" spans="1:26" ht="11.25" customHeight="1" x14ac:dyDescent="0.3">
      <c r="A863" s="121"/>
      <c r="B863" s="121"/>
      <c r="C863" s="121"/>
      <c r="D863" s="121"/>
      <c r="E863" s="121"/>
      <c r="F863" s="121"/>
      <c r="G863" s="121"/>
      <c r="H863" s="121"/>
      <c r="I863" s="121"/>
      <c r="J863" s="121"/>
      <c r="K863" s="121"/>
      <c r="L863" s="121"/>
      <c r="M863" s="121"/>
      <c r="N863" s="121"/>
      <c r="O863" s="121"/>
      <c r="P863" s="121"/>
      <c r="Q863" s="121"/>
      <c r="R863" s="121"/>
      <c r="S863" s="121"/>
      <c r="T863" s="121"/>
      <c r="U863" s="121"/>
      <c r="V863" s="121"/>
      <c r="W863" s="121"/>
      <c r="X863" s="121"/>
      <c r="Y863" s="121"/>
      <c r="Z863" s="121"/>
    </row>
    <row r="864" spans="1:26" ht="11.25" customHeight="1" x14ac:dyDescent="0.3">
      <c r="A864" s="121"/>
      <c r="B864" s="121"/>
      <c r="C864" s="121"/>
      <c r="D864" s="121"/>
      <c r="E864" s="121"/>
      <c r="F864" s="121"/>
      <c r="G864" s="121"/>
      <c r="H864" s="121"/>
      <c r="I864" s="121"/>
      <c r="J864" s="121"/>
      <c r="K864" s="121"/>
      <c r="L864" s="121"/>
      <c r="M864" s="121"/>
      <c r="N864" s="121"/>
      <c r="O864" s="121"/>
      <c r="P864" s="121"/>
      <c r="Q864" s="121"/>
      <c r="R864" s="121"/>
      <c r="S864" s="121"/>
      <c r="T864" s="121"/>
      <c r="U864" s="121"/>
      <c r="V864" s="121"/>
      <c r="W864" s="121"/>
      <c r="X864" s="121"/>
      <c r="Y864" s="121"/>
      <c r="Z864" s="121"/>
    </row>
    <row r="865" spans="1:26" ht="11.25" customHeight="1" x14ac:dyDescent="0.3">
      <c r="A865" s="121"/>
      <c r="B865" s="121"/>
      <c r="C865" s="121"/>
      <c r="D865" s="121"/>
      <c r="E865" s="121"/>
      <c r="F865" s="121"/>
      <c r="G865" s="121"/>
      <c r="H865" s="121"/>
      <c r="I865" s="121"/>
      <c r="J865" s="121"/>
      <c r="K865" s="121"/>
      <c r="L865" s="121"/>
      <c r="M865" s="121"/>
      <c r="N865" s="121"/>
      <c r="O865" s="121"/>
      <c r="P865" s="121"/>
      <c r="Q865" s="121"/>
      <c r="R865" s="121"/>
      <c r="S865" s="121"/>
      <c r="T865" s="121"/>
      <c r="U865" s="121"/>
      <c r="V865" s="121"/>
      <c r="W865" s="121"/>
      <c r="X865" s="121"/>
      <c r="Y865" s="121"/>
      <c r="Z865" s="121"/>
    </row>
    <row r="866" spans="1:26" ht="11.25" customHeight="1" x14ac:dyDescent="0.3">
      <c r="A866" s="121"/>
      <c r="B866" s="121"/>
      <c r="C866" s="121"/>
      <c r="D866" s="121"/>
      <c r="E866" s="121"/>
      <c r="F866" s="121"/>
      <c r="G866" s="121"/>
      <c r="H866" s="121"/>
      <c r="I866" s="121"/>
      <c r="J866" s="121"/>
      <c r="K866" s="121"/>
      <c r="L866" s="121"/>
      <c r="M866" s="121"/>
      <c r="N866" s="121"/>
      <c r="O866" s="121"/>
      <c r="P866" s="121"/>
      <c r="Q866" s="121"/>
      <c r="R866" s="121"/>
      <c r="S866" s="121"/>
      <c r="T866" s="121"/>
      <c r="U866" s="121"/>
      <c r="V866" s="121"/>
      <c r="W866" s="121"/>
      <c r="X866" s="121"/>
      <c r="Y866" s="121"/>
      <c r="Z866" s="121"/>
    </row>
    <row r="867" spans="1:26" ht="11.25" customHeight="1" x14ac:dyDescent="0.3">
      <c r="A867" s="121"/>
      <c r="B867" s="121"/>
      <c r="C867" s="121"/>
      <c r="D867" s="121"/>
      <c r="E867" s="121"/>
      <c r="F867" s="121"/>
      <c r="G867" s="121"/>
      <c r="H867" s="121"/>
      <c r="I867" s="121"/>
      <c r="J867" s="121"/>
      <c r="K867" s="121"/>
      <c r="L867" s="121"/>
      <c r="M867" s="121"/>
      <c r="N867" s="121"/>
      <c r="O867" s="121"/>
      <c r="P867" s="121"/>
      <c r="Q867" s="121"/>
      <c r="R867" s="121"/>
      <c r="S867" s="121"/>
      <c r="T867" s="121"/>
      <c r="U867" s="121"/>
      <c r="V867" s="121"/>
      <c r="W867" s="121"/>
      <c r="X867" s="121"/>
      <c r="Y867" s="121"/>
      <c r="Z867" s="121"/>
    </row>
    <row r="868" spans="1:26" ht="11.25" customHeight="1" x14ac:dyDescent="0.3">
      <c r="A868" s="121"/>
      <c r="B868" s="121"/>
      <c r="C868" s="121"/>
      <c r="D868" s="121"/>
      <c r="E868" s="121"/>
      <c r="F868" s="121"/>
      <c r="G868" s="121"/>
      <c r="H868" s="121"/>
      <c r="I868" s="121"/>
      <c r="J868" s="121"/>
      <c r="K868" s="121"/>
      <c r="L868" s="121"/>
      <c r="M868" s="121"/>
      <c r="N868" s="121"/>
      <c r="O868" s="121"/>
      <c r="P868" s="121"/>
      <c r="Q868" s="121"/>
      <c r="R868" s="121"/>
      <c r="S868" s="121"/>
      <c r="T868" s="121"/>
      <c r="U868" s="121"/>
      <c r="V868" s="121"/>
      <c r="W868" s="121"/>
      <c r="X868" s="121"/>
      <c r="Y868" s="121"/>
      <c r="Z868" s="121"/>
    </row>
    <row r="869" spans="1:26" ht="11.25" customHeight="1" x14ac:dyDescent="0.3">
      <c r="A869" s="121"/>
      <c r="B869" s="121"/>
      <c r="C869" s="121"/>
      <c r="D869" s="121"/>
      <c r="E869" s="121"/>
      <c r="F869" s="121"/>
      <c r="G869" s="121"/>
      <c r="H869" s="121"/>
      <c r="I869" s="121"/>
      <c r="J869" s="121"/>
      <c r="K869" s="121"/>
      <c r="L869" s="121"/>
      <c r="M869" s="121"/>
      <c r="N869" s="121"/>
      <c r="O869" s="121"/>
      <c r="P869" s="121"/>
      <c r="Q869" s="121"/>
      <c r="R869" s="121"/>
      <c r="S869" s="121"/>
      <c r="T869" s="121"/>
      <c r="U869" s="121"/>
      <c r="V869" s="121"/>
      <c r="W869" s="121"/>
      <c r="X869" s="121"/>
      <c r="Y869" s="121"/>
      <c r="Z869" s="121"/>
    </row>
    <row r="870" spans="1:26" ht="11.25" customHeight="1" x14ac:dyDescent="0.3">
      <c r="A870" s="121"/>
      <c r="B870" s="121"/>
      <c r="C870" s="121"/>
      <c r="D870" s="121"/>
      <c r="E870" s="121"/>
      <c r="F870" s="121"/>
      <c r="G870" s="121"/>
      <c r="H870" s="121"/>
      <c r="I870" s="121"/>
      <c r="J870" s="121"/>
      <c r="K870" s="121"/>
      <c r="L870" s="121"/>
      <c r="M870" s="121"/>
      <c r="N870" s="121"/>
      <c r="O870" s="121"/>
      <c r="P870" s="121"/>
      <c r="Q870" s="121"/>
      <c r="R870" s="121"/>
      <c r="S870" s="121"/>
      <c r="T870" s="121"/>
      <c r="U870" s="121"/>
      <c r="V870" s="121"/>
      <c r="W870" s="121"/>
      <c r="X870" s="121"/>
      <c r="Y870" s="121"/>
      <c r="Z870" s="121"/>
    </row>
    <row r="871" spans="1:26" ht="11.25" customHeight="1" x14ac:dyDescent="0.3">
      <c r="A871" s="121"/>
      <c r="B871" s="121"/>
      <c r="C871" s="121"/>
      <c r="D871" s="121"/>
      <c r="E871" s="121"/>
      <c r="F871" s="121"/>
      <c r="G871" s="121"/>
      <c r="H871" s="121"/>
      <c r="I871" s="121"/>
      <c r="J871" s="121"/>
      <c r="K871" s="121"/>
      <c r="L871" s="121"/>
      <c r="M871" s="121"/>
      <c r="N871" s="121"/>
      <c r="O871" s="121"/>
      <c r="P871" s="121"/>
      <c r="Q871" s="121"/>
      <c r="R871" s="121"/>
      <c r="S871" s="121"/>
      <c r="T871" s="121"/>
      <c r="U871" s="121"/>
      <c r="V871" s="121"/>
      <c r="W871" s="121"/>
      <c r="X871" s="121"/>
      <c r="Y871" s="121"/>
      <c r="Z871" s="121"/>
    </row>
    <row r="872" spans="1:26" ht="11.25" customHeight="1" x14ac:dyDescent="0.3">
      <c r="A872" s="121"/>
      <c r="B872" s="121"/>
      <c r="C872" s="121"/>
      <c r="D872" s="121"/>
      <c r="E872" s="121"/>
      <c r="F872" s="121"/>
      <c r="G872" s="121"/>
      <c r="H872" s="121"/>
      <c r="I872" s="121"/>
      <c r="J872" s="121"/>
      <c r="K872" s="121"/>
      <c r="L872" s="121"/>
      <c r="M872" s="121"/>
      <c r="N872" s="121"/>
      <c r="O872" s="121"/>
      <c r="P872" s="121"/>
      <c r="Q872" s="121"/>
      <c r="R872" s="121"/>
      <c r="S872" s="121"/>
      <c r="T872" s="121"/>
      <c r="U872" s="121"/>
      <c r="V872" s="121"/>
      <c r="W872" s="121"/>
      <c r="X872" s="121"/>
      <c r="Y872" s="121"/>
      <c r="Z872" s="121"/>
    </row>
    <row r="873" spans="1:26" ht="11.25" customHeight="1" x14ac:dyDescent="0.3">
      <c r="A873" s="121"/>
      <c r="B873" s="121"/>
      <c r="C873" s="121"/>
      <c r="D873" s="121"/>
      <c r="E873" s="121"/>
      <c r="F873" s="121"/>
      <c r="G873" s="121"/>
      <c r="H873" s="121"/>
      <c r="I873" s="121"/>
      <c r="J873" s="121"/>
      <c r="K873" s="121"/>
      <c r="L873" s="121"/>
      <c r="M873" s="121"/>
      <c r="N873" s="121"/>
      <c r="O873" s="121"/>
      <c r="P873" s="121"/>
      <c r="Q873" s="121"/>
      <c r="R873" s="121"/>
      <c r="S873" s="121"/>
      <c r="T873" s="121"/>
      <c r="U873" s="121"/>
      <c r="V873" s="121"/>
      <c r="W873" s="121"/>
      <c r="X873" s="121"/>
      <c r="Y873" s="121"/>
      <c r="Z873" s="121"/>
    </row>
    <row r="874" spans="1:26" ht="11.25" customHeight="1" x14ac:dyDescent="0.3">
      <c r="A874" s="121"/>
      <c r="B874" s="121"/>
      <c r="C874" s="121"/>
      <c r="D874" s="121"/>
      <c r="E874" s="121"/>
      <c r="F874" s="121"/>
      <c r="G874" s="121"/>
      <c r="H874" s="121"/>
      <c r="I874" s="121"/>
      <c r="J874" s="121"/>
      <c r="K874" s="121"/>
      <c r="L874" s="121"/>
      <c r="M874" s="121"/>
      <c r="N874" s="121"/>
      <c r="O874" s="121"/>
      <c r="P874" s="121"/>
      <c r="Q874" s="121"/>
      <c r="R874" s="121"/>
      <c r="S874" s="121"/>
      <c r="T874" s="121"/>
      <c r="U874" s="121"/>
      <c r="V874" s="121"/>
      <c r="W874" s="121"/>
      <c r="X874" s="121"/>
      <c r="Y874" s="121"/>
      <c r="Z874" s="121"/>
    </row>
    <row r="875" spans="1:26" ht="11.25" customHeight="1" x14ac:dyDescent="0.3">
      <c r="A875" s="121"/>
      <c r="B875" s="121"/>
      <c r="C875" s="121"/>
      <c r="D875" s="121"/>
      <c r="E875" s="121"/>
      <c r="F875" s="121"/>
      <c r="G875" s="121"/>
      <c r="H875" s="121"/>
      <c r="I875" s="121"/>
      <c r="J875" s="121"/>
      <c r="K875" s="121"/>
      <c r="L875" s="121"/>
      <c r="M875" s="121"/>
      <c r="N875" s="121"/>
      <c r="O875" s="121"/>
      <c r="P875" s="121"/>
      <c r="Q875" s="121"/>
      <c r="R875" s="121"/>
      <c r="S875" s="121"/>
      <c r="T875" s="121"/>
      <c r="U875" s="121"/>
      <c r="V875" s="121"/>
      <c r="W875" s="121"/>
      <c r="X875" s="121"/>
      <c r="Y875" s="121"/>
      <c r="Z875" s="121"/>
    </row>
    <row r="876" spans="1:26" ht="11.25" customHeight="1" x14ac:dyDescent="0.3">
      <c r="A876" s="121"/>
      <c r="B876" s="121"/>
      <c r="C876" s="121"/>
      <c r="D876" s="121"/>
      <c r="E876" s="121"/>
      <c r="F876" s="121"/>
      <c r="G876" s="121"/>
      <c r="H876" s="121"/>
      <c r="I876" s="121"/>
      <c r="J876" s="121"/>
      <c r="K876" s="121"/>
      <c r="L876" s="121"/>
      <c r="M876" s="121"/>
      <c r="N876" s="121"/>
      <c r="O876" s="121"/>
      <c r="P876" s="121"/>
      <c r="Q876" s="121"/>
      <c r="R876" s="121"/>
      <c r="S876" s="121"/>
      <c r="T876" s="121"/>
      <c r="U876" s="121"/>
      <c r="V876" s="121"/>
      <c r="W876" s="121"/>
      <c r="X876" s="121"/>
      <c r="Y876" s="121"/>
      <c r="Z876" s="121"/>
    </row>
    <row r="877" spans="1:26" ht="11.25" customHeight="1" x14ac:dyDescent="0.3">
      <c r="A877" s="121"/>
      <c r="B877" s="121"/>
      <c r="C877" s="121"/>
      <c r="D877" s="121"/>
      <c r="E877" s="121"/>
      <c r="F877" s="121"/>
      <c r="G877" s="121"/>
      <c r="H877" s="121"/>
      <c r="I877" s="121"/>
      <c r="J877" s="121"/>
      <c r="K877" s="121"/>
      <c r="L877" s="121"/>
      <c r="M877" s="121"/>
      <c r="N877" s="121"/>
      <c r="O877" s="121"/>
      <c r="P877" s="121"/>
      <c r="Q877" s="121"/>
      <c r="R877" s="121"/>
      <c r="S877" s="121"/>
      <c r="T877" s="121"/>
      <c r="U877" s="121"/>
      <c r="V877" s="121"/>
      <c r="W877" s="121"/>
      <c r="X877" s="121"/>
      <c r="Y877" s="121"/>
      <c r="Z877" s="121"/>
    </row>
    <row r="878" spans="1:26" ht="11.25" customHeight="1" x14ac:dyDescent="0.3">
      <c r="A878" s="121"/>
      <c r="B878" s="121"/>
      <c r="C878" s="121"/>
      <c r="D878" s="121"/>
      <c r="E878" s="121"/>
      <c r="F878" s="121"/>
      <c r="G878" s="121"/>
      <c r="H878" s="121"/>
      <c r="I878" s="121"/>
      <c r="J878" s="121"/>
      <c r="K878" s="121"/>
      <c r="L878" s="121"/>
      <c r="M878" s="121"/>
      <c r="N878" s="121"/>
      <c r="O878" s="121"/>
      <c r="P878" s="121"/>
      <c r="Q878" s="121"/>
      <c r="R878" s="121"/>
      <c r="S878" s="121"/>
      <c r="T878" s="121"/>
      <c r="U878" s="121"/>
      <c r="V878" s="121"/>
      <c r="W878" s="121"/>
      <c r="X878" s="121"/>
      <c r="Y878" s="121"/>
      <c r="Z878" s="121"/>
    </row>
    <row r="879" spans="1:26" ht="11.25" customHeight="1" x14ac:dyDescent="0.3">
      <c r="A879" s="121"/>
      <c r="B879" s="121"/>
      <c r="C879" s="121"/>
      <c r="D879" s="121"/>
      <c r="E879" s="121"/>
      <c r="F879" s="121"/>
      <c r="G879" s="121"/>
      <c r="H879" s="121"/>
      <c r="I879" s="121"/>
      <c r="J879" s="121"/>
      <c r="K879" s="121"/>
      <c r="L879" s="121"/>
      <c r="M879" s="121"/>
      <c r="N879" s="121"/>
      <c r="O879" s="121"/>
      <c r="P879" s="121"/>
      <c r="Q879" s="121"/>
      <c r="R879" s="121"/>
      <c r="S879" s="121"/>
      <c r="T879" s="121"/>
      <c r="U879" s="121"/>
      <c r="V879" s="121"/>
      <c r="W879" s="121"/>
      <c r="X879" s="121"/>
      <c r="Y879" s="121"/>
      <c r="Z879" s="121"/>
    </row>
    <row r="880" spans="1:26" ht="11.25" customHeight="1" x14ac:dyDescent="0.3">
      <c r="A880" s="121"/>
      <c r="B880" s="121"/>
      <c r="C880" s="121"/>
      <c r="D880" s="121"/>
      <c r="E880" s="121"/>
      <c r="F880" s="121"/>
      <c r="G880" s="121"/>
      <c r="H880" s="121"/>
      <c r="I880" s="121"/>
      <c r="J880" s="121"/>
      <c r="K880" s="121"/>
      <c r="L880" s="121"/>
      <c r="M880" s="121"/>
      <c r="N880" s="121"/>
      <c r="O880" s="121"/>
      <c r="P880" s="121"/>
      <c r="Q880" s="121"/>
      <c r="R880" s="121"/>
      <c r="S880" s="121"/>
      <c r="T880" s="121"/>
      <c r="U880" s="121"/>
      <c r="V880" s="121"/>
      <c r="W880" s="121"/>
      <c r="X880" s="121"/>
      <c r="Y880" s="121"/>
      <c r="Z880" s="121"/>
    </row>
    <row r="881" spans="1:26" ht="11.25" customHeight="1" x14ac:dyDescent="0.3">
      <c r="A881" s="121"/>
      <c r="B881" s="121"/>
      <c r="C881" s="121"/>
      <c r="D881" s="121"/>
      <c r="E881" s="121"/>
      <c r="F881" s="121"/>
      <c r="G881" s="121"/>
      <c r="H881" s="121"/>
      <c r="I881" s="121"/>
      <c r="J881" s="121"/>
      <c r="K881" s="121"/>
      <c r="L881" s="121"/>
      <c r="M881" s="121"/>
      <c r="N881" s="121"/>
      <c r="O881" s="121"/>
      <c r="P881" s="121"/>
      <c r="Q881" s="121"/>
      <c r="R881" s="121"/>
      <c r="S881" s="121"/>
      <c r="T881" s="121"/>
      <c r="U881" s="121"/>
      <c r="V881" s="121"/>
      <c r="W881" s="121"/>
      <c r="X881" s="121"/>
      <c r="Y881" s="121"/>
      <c r="Z881" s="121"/>
    </row>
    <row r="882" spans="1:26" ht="11.25" customHeight="1" x14ac:dyDescent="0.3">
      <c r="A882" s="121"/>
      <c r="B882" s="121"/>
      <c r="C882" s="121"/>
      <c r="D882" s="121"/>
      <c r="E882" s="121"/>
      <c r="F882" s="121"/>
      <c r="G882" s="121"/>
      <c r="H882" s="121"/>
      <c r="I882" s="121"/>
      <c r="J882" s="121"/>
      <c r="K882" s="121"/>
      <c r="L882" s="121"/>
      <c r="M882" s="121"/>
      <c r="N882" s="121"/>
      <c r="O882" s="121"/>
      <c r="P882" s="121"/>
      <c r="Q882" s="121"/>
      <c r="R882" s="121"/>
      <c r="S882" s="121"/>
      <c r="T882" s="121"/>
      <c r="U882" s="121"/>
      <c r="V882" s="121"/>
      <c r="W882" s="121"/>
      <c r="X882" s="121"/>
      <c r="Y882" s="121"/>
      <c r="Z882" s="121"/>
    </row>
    <row r="883" spans="1:26" ht="11.25" customHeight="1" x14ac:dyDescent="0.3">
      <c r="A883" s="121"/>
      <c r="B883" s="121"/>
      <c r="C883" s="121"/>
      <c r="D883" s="121"/>
      <c r="E883" s="121"/>
      <c r="F883" s="121"/>
      <c r="G883" s="121"/>
      <c r="H883" s="121"/>
      <c r="I883" s="121"/>
      <c r="J883" s="121"/>
      <c r="K883" s="121"/>
      <c r="L883" s="121"/>
      <c r="M883" s="121"/>
      <c r="N883" s="121"/>
      <c r="O883" s="121"/>
      <c r="P883" s="121"/>
      <c r="Q883" s="121"/>
      <c r="R883" s="121"/>
      <c r="S883" s="121"/>
      <c r="T883" s="121"/>
      <c r="U883" s="121"/>
      <c r="V883" s="121"/>
      <c r="W883" s="121"/>
      <c r="X883" s="121"/>
      <c r="Y883" s="121"/>
      <c r="Z883" s="121"/>
    </row>
    <row r="884" spans="1:26" ht="11.25" customHeight="1" x14ac:dyDescent="0.3">
      <c r="A884" s="121"/>
      <c r="B884" s="121"/>
      <c r="C884" s="121"/>
      <c r="D884" s="121"/>
      <c r="E884" s="121"/>
      <c r="F884" s="121"/>
      <c r="G884" s="121"/>
      <c r="H884" s="121"/>
      <c r="I884" s="121"/>
      <c r="J884" s="121"/>
      <c r="K884" s="121"/>
      <c r="L884" s="121"/>
      <c r="M884" s="121"/>
      <c r="N884" s="121"/>
      <c r="O884" s="121"/>
      <c r="P884" s="121"/>
      <c r="Q884" s="121"/>
      <c r="R884" s="121"/>
      <c r="S884" s="121"/>
      <c r="T884" s="121"/>
      <c r="U884" s="121"/>
      <c r="V884" s="121"/>
      <c r="W884" s="121"/>
      <c r="X884" s="121"/>
      <c r="Y884" s="121"/>
      <c r="Z884" s="121"/>
    </row>
    <row r="885" spans="1:26" ht="11.25" customHeight="1" x14ac:dyDescent="0.3">
      <c r="A885" s="121"/>
      <c r="B885" s="121"/>
      <c r="C885" s="121"/>
      <c r="D885" s="121"/>
      <c r="E885" s="121"/>
      <c r="F885" s="121"/>
      <c r="G885" s="121"/>
      <c r="H885" s="121"/>
      <c r="I885" s="121"/>
      <c r="J885" s="121"/>
      <c r="K885" s="121"/>
      <c r="L885" s="121"/>
      <c r="M885" s="121"/>
      <c r="N885" s="121"/>
      <c r="O885" s="121"/>
      <c r="P885" s="121"/>
      <c r="Q885" s="121"/>
      <c r="R885" s="121"/>
      <c r="S885" s="121"/>
      <c r="T885" s="121"/>
      <c r="U885" s="121"/>
      <c r="V885" s="121"/>
      <c r="W885" s="121"/>
      <c r="X885" s="121"/>
      <c r="Y885" s="121"/>
      <c r="Z885" s="121"/>
    </row>
    <row r="886" spans="1:26" ht="11.25" customHeight="1" x14ac:dyDescent="0.3">
      <c r="A886" s="121"/>
      <c r="B886" s="121"/>
      <c r="C886" s="121"/>
      <c r="D886" s="121"/>
      <c r="E886" s="121"/>
      <c r="F886" s="121"/>
      <c r="G886" s="121"/>
      <c r="H886" s="121"/>
      <c r="I886" s="121"/>
      <c r="J886" s="121"/>
      <c r="K886" s="121"/>
      <c r="L886" s="121"/>
      <c r="M886" s="121"/>
      <c r="N886" s="121"/>
      <c r="O886" s="121"/>
      <c r="P886" s="121"/>
      <c r="Q886" s="121"/>
      <c r="R886" s="121"/>
      <c r="S886" s="121"/>
      <c r="T886" s="121"/>
      <c r="U886" s="121"/>
      <c r="V886" s="121"/>
      <c r="W886" s="121"/>
      <c r="X886" s="121"/>
      <c r="Y886" s="121"/>
      <c r="Z886" s="121"/>
    </row>
    <row r="887" spans="1:26" ht="11.25" customHeight="1" x14ac:dyDescent="0.3">
      <c r="A887" s="121"/>
      <c r="B887" s="121"/>
      <c r="C887" s="121"/>
      <c r="D887" s="121"/>
      <c r="E887" s="121"/>
      <c r="F887" s="121"/>
      <c r="G887" s="121"/>
      <c r="H887" s="121"/>
      <c r="I887" s="121"/>
      <c r="J887" s="121"/>
      <c r="K887" s="121"/>
      <c r="L887" s="121"/>
      <c r="M887" s="121"/>
      <c r="N887" s="121"/>
      <c r="O887" s="121"/>
      <c r="P887" s="121"/>
      <c r="Q887" s="121"/>
      <c r="R887" s="121"/>
      <c r="S887" s="121"/>
      <c r="T887" s="121"/>
      <c r="U887" s="121"/>
      <c r="V887" s="121"/>
      <c r="W887" s="121"/>
      <c r="X887" s="121"/>
      <c r="Y887" s="121"/>
      <c r="Z887" s="121"/>
    </row>
    <row r="888" spans="1:26" ht="11.25" customHeight="1" x14ac:dyDescent="0.3">
      <c r="A888" s="121"/>
      <c r="B888" s="121"/>
      <c r="C888" s="121"/>
      <c r="D888" s="121"/>
      <c r="E888" s="121"/>
      <c r="F888" s="121"/>
      <c r="G888" s="121"/>
      <c r="H888" s="121"/>
      <c r="I888" s="121"/>
      <c r="J888" s="121"/>
      <c r="K888" s="121"/>
      <c r="L888" s="121"/>
      <c r="M888" s="121"/>
      <c r="N888" s="121"/>
      <c r="O888" s="121"/>
      <c r="P888" s="121"/>
      <c r="Q888" s="121"/>
      <c r="R888" s="121"/>
      <c r="S888" s="121"/>
      <c r="T888" s="121"/>
      <c r="U888" s="121"/>
      <c r="V888" s="121"/>
      <c r="W888" s="121"/>
      <c r="X888" s="121"/>
      <c r="Y888" s="121"/>
      <c r="Z888" s="121"/>
    </row>
    <row r="889" spans="1:26" ht="11.25" customHeight="1" x14ac:dyDescent="0.3">
      <c r="A889" s="121"/>
      <c r="B889" s="121"/>
      <c r="C889" s="121"/>
      <c r="D889" s="121"/>
      <c r="E889" s="121"/>
      <c r="F889" s="121"/>
      <c r="G889" s="121"/>
      <c r="H889" s="121"/>
      <c r="I889" s="121"/>
      <c r="J889" s="121"/>
      <c r="K889" s="121"/>
      <c r="L889" s="121"/>
      <c r="M889" s="121"/>
      <c r="N889" s="121"/>
      <c r="O889" s="121"/>
      <c r="P889" s="121"/>
      <c r="Q889" s="121"/>
      <c r="R889" s="121"/>
      <c r="S889" s="121"/>
      <c r="T889" s="121"/>
      <c r="U889" s="121"/>
      <c r="V889" s="121"/>
      <c r="W889" s="121"/>
      <c r="X889" s="121"/>
      <c r="Y889" s="121"/>
      <c r="Z889" s="121"/>
    </row>
    <row r="890" spans="1:26" ht="11.25" customHeight="1" x14ac:dyDescent="0.3">
      <c r="A890" s="121"/>
      <c r="B890" s="121"/>
      <c r="C890" s="121"/>
      <c r="D890" s="121"/>
      <c r="E890" s="121"/>
      <c r="F890" s="121"/>
      <c r="G890" s="121"/>
      <c r="H890" s="121"/>
      <c r="I890" s="121"/>
      <c r="J890" s="121"/>
      <c r="K890" s="121"/>
      <c r="L890" s="121"/>
      <c r="M890" s="121"/>
      <c r="N890" s="121"/>
      <c r="O890" s="121"/>
      <c r="P890" s="121"/>
      <c r="Q890" s="121"/>
      <c r="R890" s="121"/>
      <c r="S890" s="121"/>
      <c r="T890" s="121"/>
      <c r="U890" s="121"/>
      <c r="V890" s="121"/>
      <c r="W890" s="121"/>
      <c r="X890" s="121"/>
      <c r="Y890" s="121"/>
      <c r="Z890" s="121"/>
    </row>
    <row r="891" spans="1:26" ht="11.25" customHeight="1" x14ac:dyDescent="0.3">
      <c r="A891" s="121"/>
      <c r="B891" s="121"/>
      <c r="C891" s="121"/>
      <c r="D891" s="121"/>
      <c r="E891" s="121"/>
      <c r="F891" s="121"/>
      <c r="G891" s="121"/>
      <c r="H891" s="121"/>
      <c r="I891" s="121"/>
      <c r="J891" s="121"/>
      <c r="K891" s="121"/>
      <c r="L891" s="121"/>
      <c r="M891" s="121"/>
      <c r="N891" s="121"/>
      <c r="O891" s="121"/>
      <c r="P891" s="121"/>
      <c r="Q891" s="121"/>
      <c r="R891" s="121"/>
      <c r="S891" s="121"/>
      <c r="T891" s="121"/>
      <c r="U891" s="121"/>
      <c r="V891" s="121"/>
      <c r="W891" s="121"/>
      <c r="X891" s="121"/>
      <c r="Y891" s="121"/>
      <c r="Z891" s="121"/>
    </row>
    <row r="892" spans="1:26" ht="11.25" customHeight="1" x14ac:dyDescent="0.3">
      <c r="A892" s="121"/>
      <c r="B892" s="121"/>
      <c r="C892" s="121"/>
      <c r="D892" s="121"/>
      <c r="E892" s="121"/>
      <c r="F892" s="121"/>
      <c r="G892" s="121"/>
      <c r="H892" s="121"/>
      <c r="I892" s="121"/>
      <c r="J892" s="121"/>
      <c r="K892" s="121"/>
      <c r="L892" s="121"/>
      <c r="M892" s="121"/>
      <c r="N892" s="121"/>
      <c r="O892" s="121"/>
      <c r="P892" s="121"/>
      <c r="Q892" s="121"/>
      <c r="R892" s="121"/>
      <c r="S892" s="121"/>
      <c r="T892" s="121"/>
      <c r="U892" s="121"/>
      <c r="V892" s="121"/>
      <c r="W892" s="121"/>
      <c r="X892" s="121"/>
      <c r="Y892" s="121"/>
      <c r="Z892" s="121"/>
    </row>
    <row r="893" spans="1:26" ht="11.25" customHeight="1" x14ac:dyDescent="0.3">
      <c r="A893" s="121"/>
      <c r="B893" s="121"/>
      <c r="C893" s="121"/>
      <c r="D893" s="121"/>
      <c r="E893" s="121"/>
      <c r="F893" s="121"/>
      <c r="G893" s="121"/>
      <c r="H893" s="121"/>
      <c r="I893" s="121"/>
      <c r="J893" s="121"/>
      <c r="K893" s="121"/>
      <c r="L893" s="121"/>
      <c r="M893" s="121"/>
      <c r="N893" s="121"/>
      <c r="O893" s="121"/>
      <c r="P893" s="121"/>
      <c r="Q893" s="121"/>
      <c r="R893" s="121"/>
      <c r="S893" s="121"/>
      <c r="T893" s="121"/>
      <c r="U893" s="121"/>
      <c r="V893" s="121"/>
      <c r="W893" s="121"/>
      <c r="X893" s="121"/>
      <c r="Y893" s="121"/>
      <c r="Z893" s="121"/>
    </row>
    <row r="894" spans="1:26" ht="11.25" customHeight="1" x14ac:dyDescent="0.3">
      <c r="A894" s="121"/>
      <c r="B894" s="121"/>
      <c r="C894" s="121"/>
      <c r="D894" s="121"/>
      <c r="E894" s="121"/>
      <c r="F894" s="121"/>
      <c r="G894" s="121"/>
      <c r="H894" s="121"/>
      <c r="I894" s="121"/>
      <c r="J894" s="121"/>
      <c r="K894" s="121"/>
      <c r="L894" s="121"/>
      <c r="M894" s="121"/>
      <c r="N894" s="121"/>
      <c r="O894" s="121"/>
      <c r="P894" s="121"/>
      <c r="Q894" s="121"/>
      <c r="R894" s="121"/>
      <c r="S894" s="121"/>
      <c r="T894" s="121"/>
      <c r="U894" s="121"/>
      <c r="V894" s="121"/>
      <c r="W894" s="121"/>
      <c r="X894" s="121"/>
      <c r="Y894" s="121"/>
      <c r="Z894" s="121"/>
    </row>
    <row r="895" spans="1:26" ht="11.25" customHeight="1" x14ac:dyDescent="0.3">
      <c r="A895" s="121"/>
      <c r="B895" s="121"/>
      <c r="C895" s="121"/>
      <c r="D895" s="121"/>
      <c r="E895" s="121"/>
      <c r="F895" s="121"/>
      <c r="G895" s="121"/>
      <c r="H895" s="121"/>
      <c r="I895" s="121"/>
      <c r="J895" s="121"/>
      <c r="K895" s="121"/>
      <c r="L895" s="121"/>
      <c r="M895" s="121"/>
      <c r="N895" s="121"/>
      <c r="O895" s="121"/>
      <c r="P895" s="121"/>
      <c r="Q895" s="121"/>
      <c r="R895" s="121"/>
      <c r="S895" s="121"/>
      <c r="T895" s="121"/>
      <c r="U895" s="121"/>
      <c r="V895" s="121"/>
      <c r="W895" s="121"/>
      <c r="X895" s="121"/>
      <c r="Y895" s="121"/>
      <c r="Z895" s="121"/>
    </row>
    <row r="896" spans="1:26" ht="11.25" customHeight="1" x14ac:dyDescent="0.3">
      <c r="A896" s="121"/>
      <c r="B896" s="121"/>
      <c r="C896" s="121"/>
      <c r="D896" s="121"/>
      <c r="E896" s="121"/>
      <c r="F896" s="121"/>
      <c r="G896" s="121"/>
      <c r="H896" s="121"/>
      <c r="I896" s="121"/>
      <c r="J896" s="121"/>
      <c r="K896" s="121"/>
      <c r="L896" s="121"/>
      <c r="M896" s="121"/>
      <c r="N896" s="121"/>
      <c r="O896" s="121"/>
      <c r="P896" s="121"/>
      <c r="Q896" s="121"/>
      <c r="R896" s="121"/>
      <c r="S896" s="121"/>
      <c r="T896" s="121"/>
      <c r="U896" s="121"/>
      <c r="V896" s="121"/>
      <c r="W896" s="121"/>
      <c r="X896" s="121"/>
      <c r="Y896" s="121"/>
      <c r="Z896" s="121"/>
    </row>
    <row r="897" spans="1:26" ht="11.25" customHeight="1" x14ac:dyDescent="0.3">
      <c r="A897" s="121"/>
      <c r="B897" s="121"/>
      <c r="C897" s="121"/>
      <c r="D897" s="121"/>
      <c r="E897" s="121"/>
      <c r="F897" s="121"/>
      <c r="G897" s="121"/>
      <c r="H897" s="121"/>
      <c r="I897" s="121"/>
      <c r="J897" s="121"/>
      <c r="K897" s="121"/>
      <c r="L897" s="121"/>
      <c r="M897" s="121"/>
      <c r="N897" s="121"/>
      <c r="O897" s="121"/>
      <c r="P897" s="121"/>
      <c r="Q897" s="121"/>
      <c r="R897" s="121"/>
      <c r="S897" s="121"/>
      <c r="T897" s="121"/>
      <c r="U897" s="121"/>
      <c r="V897" s="121"/>
      <c r="W897" s="121"/>
      <c r="X897" s="121"/>
      <c r="Y897" s="121"/>
      <c r="Z897" s="121"/>
    </row>
    <row r="898" spans="1:26" ht="11.25" customHeight="1" x14ac:dyDescent="0.3">
      <c r="A898" s="121"/>
      <c r="B898" s="121"/>
      <c r="C898" s="121"/>
      <c r="D898" s="121"/>
      <c r="E898" s="121"/>
      <c r="F898" s="121"/>
      <c r="G898" s="121"/>
      <c r="H898" s="121"/>
      <c r="I898" s="121"/>
      <c r="J898" s="121"/>
      <c r="K898" s="121"/>
      <c r="L898" s="121"/>
      <c r="M898" s="121"/>
      <c r="N898" s="121"/>
      <c r="O898" s="121"/>
      <c r="P898" s="121"/>
      <c r="Q898" s="121"/>
      <c r="R898" s="121"/>
      <c r="S898" s="121"/>
      <c r="T898" s="121"/>
      <c r="U898" s="121"/>
      <c r="V898" s="121"/>
      <c r="W898" s="121"/>
      <c r="X898" s="121"/>
      <c r="Y898" s="121"/>
      <c r="Z898" s="121"/>
    </row>
    <row r="899" spans="1:26" ht="11.25" customHeight="1" x14ac:dyDescent="0.3">
      <c r="A899" s="121"/>
      <c r="B899" s="121"/>
      <c r="C899" s="121"/>
      <c r="D899" s="121"/>
      <c r="E899" s="121"/>
      <c r="F899" s="121"/>
      <c r="G899" s="121"/>
      <c r="H899" s="121"/>
      <c r="I899" s="121"/>
      <c r="J899" s="121"/>
      <c r="K899" s="121"/>
      <c r="L899" s="121"/>
      <c r="M899" s="121"/>
      <c r="N899" s="121"/>
      <c r="O899" s="121"/>
      <c r="P899" s="121"/>
      <c r="Q899" s="121"/>
      <c r="R899" s="121"/>
      <c r="S899" s="121"/>
      <c r="T899" s="121"/>
      <c r="U899" s="121"/>
      <c r="V899" s="121"/>
      <c r="W899" s="121"/>
      <c r="X899" s="121"/>
      <c r="Y899" s="121"/>
      <c r="Z899" s="121"/>
    </row>
    <row r="900" spans="1:26" ht="11.25" customHeight="1" x14ac:dyDescent="0.3">
      <c r="A900" s="121"/>
      <c r="B900" s="121"/>
      <c r="C900" s="121"/>
      <c r="D900" s="121"/>
      <c r="E900" s="121"/>
      <c r="F900" s="121"/>
      <c r="G900" s="121"/>
      <c r="H900" s="121"/>
      <c r="I900" s="121"/>
      <c r="J900" s="121"/>
      <c r="K900" s="121"/>
      <c r="L900" s="121"/>
      <c r="M900" s="121"/>
      <c r="N900" s="121"/>
      <c r="O900" s="121"/>
      <c r="P900" s="121"/>
      <c r="Q900" s="121"/>
      <c r="R900" s="121"/>
      <c r="S900" s="121"/>
      <c r="T900" s="121"/>
      <c r="U900" s="121"/>
      <c r="V900" s="121"/>
      <c r="W900" s="121"/>
      <c r="X900" s="121"/>
      <c r="Y900" s="121"/>
      <c r="Z900" s="121"/>
    </row>
    <row r="901" spans="1:26" ht="11.25" customHeight="1" x14ac:dyDescent="0.3">
      <c r="A901" s="121"/>
      <c r="B901" s="121"/>
      <c r="C901" s="121"/>
      <c r="D901" s="121"/>
      <c r="E901" s="121"/>
      <c r="F901" s="121"/>
      <c r="G901" s="121"/>
      <c r="H901" s="121"/>
      <c r="I901" s="121"/>
      <c r="J901" s="121"/>
      <c r="K901" s="121"/>
      <c r="L901" s="121"/>
      <c r="M901" s="121"/>
      <c r="N901" s="121"/>
      <c r="O901" s="121"/>
      <c r="P901" s="121"/>
      <c r="Q901" s="121"/>
      <c r="R901" s="121"/>
      <c r="S901" s="121"/>
      <c r="T901" s="121"/>
      <c r="U901" s="121"/>
      <c r="V901" s="121"/>
      <c r="W901" s="121"/>
      <c r="X901" s="121"/>
      <c r="Y901" s="121"/>
      <c r="Z901" s="121"/>
    </row>
    <row r="902" spans="1:26" ht="11.25" customHeight="1" x14ac:dyDescent="0.3">
      <c r="A902" s="121"/>
      <c r="B902" s="121"/>
      <c r="C902" s="121"/>
      <c r="D902" s="121"/>
      <c r="E902" s="121"/>
      <c r="F902" s="121"/>
      <c r="G902" s="121"/>
      <c r="H902" s="121"/>
      <c r="I902" s="121"/>
      <c r="J902" s="121"/>
      <c r="K902" s="121"/>
      <c r="L902" s="121"/>
      <c r="M902" s="121"/>
      <c r="N902" s="121"/>
      <c r="O902" s="121"/>
      <c r="P902" s="121"/>
      <c r="Q902" s="121"/>
      <c r="R902" s="121"/>
      <c r="S902" s="121"/>
      <c r="T902" s="121"/>
      <c r="U902" s="121"/>
      <c r="V902" s="121"/>
      <c r="W902" s="121"/>
      <c r="X902" s="121"/>
      <c r="Y902" s="121"/>
      <c r="Z902" s="121"/>
    </row>
    <row r="903" spans="1:26" ht="11.25" customHeight="1" x14ac:dyDescent="0.3">
      <c r="A903" s="121"/>
      <c r="B903" s="121"/>
      <c r="C903" s="121"/>
      <c r="D903" s="121"/>
      <c r="E903" s="121"/>
      <c r="F903" s="121"/>
      <c r="G903" s="121"/>
      <c r="H903" s="121"/>
      <c r="I903" s="121"/>
      <c r="J903" s="121"/>
      <c r="K903" s="121"/>
      <c r="L903" s="121"/>
      <c r="M903" s="121"/>
      <c r="N903" s="121"/>
      <c r="O903" s="121"/>
      <c r="P903" s="121"/>
      <c r="Q903" s="121"/>
      <c r="R903" s="121"/>
      <c r="S903" s="121"/>
      <c r="T903" s="121"/>
      <c r="U903" s="121"/>
      <c r="V903" s="121"/>
      <c r="W903" s="121"/>
      <c r="X903" s="121"/>
      <c r="Y903" s="121"/>
      <c r="Z903" s="121"/>
    </row>
    <row r="904" spans="1:26" ht="11.25" customHeight="1" x14ac:dyDescent="0.3">
      <c r="A904" s="121"/>
      <c r="B904" s="121"/>
      <c r="C904" s="121"/>
      <c r="D904" s="121"/>
      <c r="E904" s="121"/>
      <c r="F904" s="121"/>
      <c r="G904" s="121"/>
      <c r="H904" s="121"/>
      <c r="I904" s="121"/>
      <c r="J904" s="121"/>
      <c r="K904" s="121"/>
      <c r="L904" s="121"/>
      <c r="M904" s="121"/>
      <c r="N904" s="121"/>
      <c r="O904" s="121"/>
      <c r="P904" s="121"/>
      <c r="Q904" s="121"/>
      <c r="R904" s="121"/>
      <c r="S904" s="121"/>
      <c r="T904" s="121"/>
      <c r="U904" s="121"/>
      <c r="V904" s="121"/>
      <c r="W904" s="121"/>
      <c r="X904" s="121"/>
      <c r="Y904" s="121"/>
      <c r="Z904" s="121"/>
    </row>
    <row r="905" spans="1:26" ht="11.25" customHeight="1" x14ac:dyDescent="0.3">
      <c r="A905" s="121"/>
      <c r="B905" s="121"/>
      <c r="C905" s="121"/>
      <c r="D905" s="121"/>
      <c r="E905" s="121"/>
      <c r="F905" s="121"/>
      <c r="G905" s="121"/>
      <c r="H905" s="121"/>
      <c r="I905" s="121"/>
      <c r="J905" s="121"/>
      <c r="K905" s="121"/>
      <c r="L905" s="121"/>
      <c r="M905" s="121"/>
      <c r="N905" s="121"/>
      <c r="O905" s="121"/>
      <c r="P905" s="121"/>
      <c r="Q905" s="121"/>
      <c r="R905" s="121"/>
      <c r="S905" s="121"/>
      <c r="T905" s="121"/>
      <c r="U905" s="121"/>
      <c r="V905" s="121"/>
      <c r="W905" s="121"/>
      <c r="X905" s="121"/>
      <c r="Y905" s="121"/>
      <c r="Z905" s="121"/>
    </row>
    <row r="906" spans="1:26" ht="11.25" customHeight="1" x14ac:dyDescent="0.3">
      <c r="A906" s="121"/>
      <c r="B906" s="121"/>
      <c r="C906" s="121"/>
      <c r="D906" s="121"/>
      <c r="E906" s="121"/>
      <c r="F906" s="121"/>
      <c r="G906" s="121"/>
      <c r="H906" s="121"/>
      <c r="I906" s="121"/>
      <c r="J906" s="121"/>
      <c r="K906" s="121"/>
      <c r="L906" s="121"/>
      <c r="M906" s="121"/>
      <c r="N906" s="121"/>
      <c r="O906" s="121"/>
      <c r="P906" s="121"/>
      <c r="Q906" s="121"/>
      <c r="R906" s="121"/>
      <c r="S906" s="121"/>
      <c r="T906" s="121"/>
      <c r="U906" s="121"/>
      <c r="V906" s="121"/>
      <c r="W906" s="121"/>
      <c r="X906" s="121"/>
      <c r="Y906" s="121"/>
      <c r="Z906" s="121"/>
    </row>
    <row r="907" spans="1:26" ht="11.25" customHeight="1" x14ac:dyDescent="0.3">
      <c r="A907" s="121"/>
      <c r="B907" s="121"/>
      <c r="C907" s="121"/>
      <c r="D907" s="121"/>
      <c r="E907" s="121"/>
      <c r="F907" s="121"/>
      <c r="G907" s="121"/>
      <c r="H907" s="121"/>
      <c r="I907" s="121"/>
      <c r="J907" s="121"/>
      <c r="K907" s="121"/>
      <c r="L907" s="121"/>
      <c r="M907" s="121"/>
      <c r="N907" s="121"/>
      <c r="O907" s="121"/>
      <c r="P907" s="121"/>
      <c r="Q907" s="121"/>
      <c r="R907" s="121"/>
      <c r="S907" s="121"/>
      <c r="T907" s="121"/>
      <c r="U907" s="121"/>
      <c r="V907" s="121"/>
      <c r="W907" s="121"/>
      <c r="X907" s="121"/>
      <c r="Y907" s="121"/>
      <c r="Z907" s="121"/>
    </row>
    <row r="908" spans="1:26" ht="11.25" customHeight="1" x14ac:dyDescent="0.3">
      <c r="A908" s="121"/>
      <c r="B908" s="121"/>
      <c r="C908" s="121"/>
      <c r="D908" s="121"/>
      <c r="E908" s="121"/>
      <c r="F908" s="121"/>
      <c r="G908" s="121"/>
      <c r="H908" s="121"/>
      <c r="I908" s="121"/>
      <c r="J908" s="121"/>
      <c r="K908" s="121"/>
      <c r="L908" s="121"/>
      <c r="M908" s="121"/>
      <c r="N908" s="121"/>
      <c r="O908" s="121"/>
      <c r="P908" s="121"/>
      <c r="Q908" s="121"/>
      <c r="R908" s="121"/>
      <c r="S908" s="121"/>
      <c r="T908" s="121"/>
      <c r="U908" s="121"/>
      <c r="V908" s="121"/>
      <c r="W908" s="121"/>
      <c r="X908" s="121"/>
      <c r="Y908" s="121"/>
      <c r="Z908" s="121"/>
    </row>
    <row r="909" spans="1:26" ht="11.25" customHeight="1" x14ac:dyDescent="0.3">
      <c r="A909" s="121"/>
      <c r="B909" s="121"/>
      <c r="C909" s="121"/>
      <c r="D909" s="121"/>
      <c r="E909" s="121"/>
      <c r="F909" s="121"/>
      <c r="G909" s="121"/>
      <c r="H909" s="121"/>
      <c r="I909" s="121"/>
      <c r="J909" s="121"/>
      <c r="K909" s="121"/>
      <c r="L909" s="121"/>
      <c r="M909" s="121"/>
      <c r="N909" s="121"/>
      <c r="O909" s="121"/>
      <c r="P909" s="121"/>
      <c r="Q909" s="121"/>
      <c r="R909" s="121"/>
      <c r="S909" s="121"/>
      <c r="T909" s="121"/>
      <c r="U909" s="121"/>
      <c r="V909" s="121"/>
      <c r="W909" s="121"/>
      <c r="X909" s="121"/>
      <c r="Y909" s="121"/>
      <c r="Z909" s="121"/>
    </row>
    <row r="910" spans="1:26" ht="11.25" customHeight="1" x14ac:dyDescent="0.3">
      <c r="A910" s="121"/>
      <c r="B910" s="121"/>
      <c r="C910" s="121"/>
      <c r="D910" s="121"/>
      <c r="E910" s="121"/>
      <c r="F910" s="121"/>
      <c r="G910" s="121"/>
      <c r="H910" s="121"/>
      <c r="I910" s="121"/>
      <c r="J910" s="121"/>
      <c r="K910" s="121"/>
      <c r="L910" s="121"/>
      <c r="M910" s="121"/>
      <c r="N910" s="121"/>
      <c r="O910" s="121"/>
      <c r="P910" s="121"/>
      <c r="Q910" s="121"/>
      <c r="R910" s="121"/>
      <c r="S910" s="121"/>
      <c r="T910" s="121"/>
      <c r="U910" s="121"/>
      <c r="V910" s="121"/>
      <c r="W910" s="121"/>
      <c r="X910" s="121"/>
      <c r="Y910" s="121"/>
      <c r="Z910" s="121"/>
    </row>
    <row r="911" spans="1:26" ht="11.25" customHeight="1" x14ac:dyDescent="0.3">
      <c r="A911" s="121"/>
      <c r="B911" s="121"/>
      <c r="C911" s="121"/>
      <c r="D911" s="121"/>
      <c r="E911" s="121"/>
      <c r="F911" s="121"/>
      <c r="G911" s="121"/>
      <c r="H911" s="121"/>
      <c r="I911" s="121"/>
      <c r="J911" s="121"/>
      <c r="K911" s="121"/>
      <c r="L911" s="121"/>
      <c r="M911" s="121"/>
      <c r="N911" s="121"/>
      <c r="O911" s="121"/>
      <c r="P911" s="121"/>
      <c r="Q911" s="121"/>
      <c r="R911" s="121"/>
      <c r="S911" s="121"/>
      <c r="T911" s="121"/>
      <c r="U911" s="121"/>
      <c r="V911" s="121"/>
      <c r="W911" s="121"/>
      <c r="X911" s="121"/>
      <c r="Y911" s="121"/>
      <c r="Z911" s="121"/>
    </row>
    <row r="912" spans="1:26" ht="11.25" customHeight="1" x14ac:dyDescent="0.3">
      <c r="A912" s="121"/>
      <c r="B912" s="121"/>
      <c r="C912" s="121"/>
      <c r="D912" s="121"/>
      <c r="E912" s="121"/>
      <c r="F912" s="121"/>
      <c r="G912" s="121"/>
      <c r="H912" s="121"/>
      <c r="I912" s="121"/>
      <c r="J912" s="121"/>
      <c r="K912" s="121"/>
      <c r="L912" s="121"/>
      <c r="M912" s="121"/>
      <c r="N912" s="121"/>
      <c r="O912" s="121"/>
      <c r="P912" s="121"/>
      <c r="Q912" s="121"/>
      <c r="R912" s="121"/>
      <c r="S912" s="121"/>
      <c r="T912" s="121"/>
      <c r="U912" s="121"/>
      <c r="V912" s="121"/>
      <c r="W912" s="121"/>
      <c r="X912" s="121"/>
      <c r="Y912" s="121"/>
      <c r="Z912" s="121"/>
    </row>
    <row r="913" spans="1:26" ht="11.25" customHeight="1" x14ac:dyDescent="0.3">
      <c r="A913" s="121"/>
      <c r="B913" s="121"/>
      <c r="C913" s="121"/>
      <c r="D913" s="121"/>
      <c r="E913" s="121"/>
      <c r="F913" s="121"/>
      <c r="G913" s="121"/>
      <c r="H913" s="121"/>
      <c r="I913" s="121"/>
      <c r="J913" s="121"/>
      <c r="K913" s="121"/>
      <c r="L913" s="121"/>
      <c r="M913" s="121"/>
      <c r="N913" s="121"/>
      <c r="O913" s="121"/>
      <c r="P913" s="121"/>
      <c r="Q913" s="121"/>
      <c r="R913" s="121"/>
      <c r="S913" s="121"/>
      <c r="T913" s="121"/>
      <c r="U913" s="121"/>
      <c r="V913" s="121"/>
      <c r="W913" s="121"/>
      <c r="X913" s="121"/>
      <c r="Y913" s="121"/>
      <c r="Z913" s="121"/>
    </row>
    <row r="914" spans="1:26" ht="11.25" customHeight="1" x14ac:dyDescent="0.3">
      <c r="A914" s="121"/>
      <c r="B914" s="121"/>
      <c r="C914" s="121"/>
      <c r="D914" s="121"/>
      <c r="E914" s="121"/>
      <c r="F914" s="121"/>
      <c r="G914" s="121"/>
      <c r="H914" s="121"/>
      <c r="I914" s="121"/>
      <c r="J914" s="121"/>
      <c r="K914" s="121"/>
      <c r="L914" s="121"/>
      <c r="M914" s="121"/>
      <c r="N914" s="121"/>
      <c r="O914" s="121"/>
      <c r="P914" s="121"/>
      <c r="Q914" s="121"/>
      <c r="R914" s="121"/>
      <c r="S914" s="121"/>
      <c r="T914" s="121"/>
      <c r="U914" s="121"/>
      <c r="V914" s="121"/>
      <c r="W914" s="121"/>
      <c r="X914" s="121"/>
      <c r="Y914" s="121"/>
      <c r="Z914" s="121"/>
    </row>
    <row r="915" spans="1:26" ht="11.25" customHeight="1" x14ac:dyDescent="0.3">
      <c r="A915" s="121"/>
      <c r="B915" s="121"/>
      <c r="C915" s="121"/>
      <c r="D915" s="121"/>
      <c r="E915" s="121"/>
      <c r="F915" s="121"/>
      <c r="G915" s="121"/>
      <c r="H915" s="121"/>
      <c r="I915" s="121"/>
      <c r="J915" s="121"/>
      <c r="K915" s="121"/>
      <c r="L915" s="121"/>
      <c r="M915" s="121"/>
      <c r="N915" s="121"/>
      <c r="O915" s="121"/>
      <c r="P915" s="121"/>
      <c r="Q915" s="121"/>
      <c r="R915" s="121"/>
      <c r="S915" s="121"/>
      <c r="T915" s="121"/>
      <c r="U915" s="121"/>
      <c r="V915" s="121"/>
      <c r="W915" s="121"/>
      <c r="X915" s="121"/>
      <c r="Y915" s="121"/>
      <c r="Z915" s="121"/>
    </row>
    <row r="916" spans="1:26" ht="11.25" customHeight="1" x14ac:dyDescent="0.3">
      <c r="A916" s="121"/>
      <c r="B916" s="121"/>
      <c r="C916" s="121"/>
      <c r="D916" s="121"/>
      <c r="E916" s="121"/>
      <c r="F916" s="121"/>
      <c r="G916" s="121"/>
      <c r="H916" s="121"/>
      <c r="I916" s="121"/>
      <c r="J916" s="121"/>
      <c r="K916" s="121"/>
      <c r="L916" s="121"/>
      <c r="M916" s="121"/>
      <c r="N916" s="121"/>
      <c r="O916" s="121"/>
      <c r="P916" s="121"/>
      <c r="Q916" s="121"/>
      <c r="R916" s="121"/>
      <c r="S916" s="121"/>
      <c r="T916" s="121"/>
      <c r="U916" s="121"/>
      <c r="V916" s="121"/>
      <c r="W916" s="121"/>
      <c r="X916" s="121"/>
      <c r="Y916" s="121"/>
      <c r="Z916" s="121"/>
    </row>
    <row r="917" spans="1:26" ht="11.25" customHeight="1" x14ac:dyDescent="0.3">
      <c r="A917" s="121"/>
      <c r="B917" s="121"/>
      <c r="C917" s="121"/>
      <c r="D917" s="121"/>
      <c r="E917" s="121"/>
      <c r="F917" s="121"/>
      <c r="G917" s="121"/>
      <c r="H917" s="121"/>
      <c r="I917" s="121"/>
      <c r="J917" s="121"/>
      <c r="K917" s="121"/>
      <c r="L917" s="121"/>
      <c r="M917" s="121"/>
      <c r="N917" s="121"/>
      <c r="O917" s="121"/>
      <c r="P917" s="121"/>
      <c r="Q917" s="121"/>
      <c r="R917" s="121"/>
      <c r="S917" s="121"/>
      <c r="T917" s="121"/>
      <c r="U917" s="121"/>
      <c r="V917" s="121"/>
      <c r="W917" s="121"/>
      <c r="X917" s="121"/>
      <c r="Y917" s="121"/>
      <c r="Z917" s="121"/>
    </row>
    <row r="918" spans="1:26" ht="11.25" customHeight="1" x14ac:dyDescent="0.3">
      <c r="A918" s="121"/>
      <c r="B918" s="121"/>
      <c r="C918" s="121"/>
      <c r="D918" s="121"/>
      <c r="E918" s="121"/>
      <c r="F918" s="121"/>
      <c r="G918" s="121"/>
      <c r="H918" s="121"/>
      <c r="I918" s="121"/>
      <c r="J918" s="121"/>
      <c r="K918" s="121"/>
      <c r="L918" s="121"/>
      <c r="M918" s="121"/>
      <c r="N918" s="121"/>
      <c r="O918" s="121"/>
      <c r="P918" s="121"/>
      <c r="Q918" s="121"/>
      <c r="R918" s="121"/>
      <c r="S918" s="121"/>
      <c r="T918" s="121"/>
      <c r="U918" s="121"/>
      <c r="V918" s="121"/>
      <c r="W918" s="121"/>
      <c r="X918" s="121"/>
      <c r="Y918" s="121"/>
      <c r="Z918" s="121"/>
    </row>
    <row r="919" spans="1:26" ht="11.25" customHeight="1" x14ac:dyDescent="0.3">
      <c r="A919" s="121"/>
      <c r="B919" s="121"/>
      <c r="C919" s="121"/>
      <c r="D919" s="121"/>
      <c r="E919" s="121"/>
      <c r="F919" s="121"/>
      <c r="G919" s="121"/>
      <c r="H919" s="121"/>
      <c r="I919" s="121"/>
      <c r="J919" s="121"/>
      <c r="K919" s="121"/>
      <c r="L919" s="121"/>
      <c r="M919" s="121"/>
      <c r="N919" s="121"/>
      <c r="O919" s="121"/>
      <c r="P919" s="121"/>
      <c r="Q919" s="121"/>
      <c r="R919" s="121"/>
      <c r="S919" s="121"/>
      <c r="T919" s="121"/>
      <c r="U919" s="121"/>
      <c r="V919" s="121"/>
      <c r="W919" s="121"/>
      <c r="X919" s="121"/>
      <c r="Y919" s="121"/>
      <c r="Z919" s="121"/>
    </row>
    <row r="920" spans="1:26" ht="11.25" customHeight="1" x14ac:dyDescent="0.3">
      <c r="A920" s="121"/>
      <c r="B920" s="121"/>
      <c r="C920" s="121"/>
      <c r="D920" s="121"/>
      <c r="E920" s="121"/>
      <c r="F920" s="121"/>
      <c r="G920" s="121"/>
      <c r="H920" s="121"/>
      <c r="I920" s="121"/>
      <c r="J920" s="121"/>
      <c r="K920" s="121"/>
      <c r="L920" s="121"/>
      <c r="M920" s="121"/>
      <c r="N920" s="121"/>
      <c r="O920" s="121"/>
      <c r="P920" s="121"/>
      <c r="Q920" s="121"/>
      <c r="R920" s="121"/>
      <c r="S920" s="121"/>
      <c r="T920" s="121"/>
      <c r="U920" s="121"/>
      <c r="V920" s="121"/>
      <c r="W920" s="121"/>
      <c r="X920" s="121"/>
      <c r="Y920" s="121"/>
      <c r="Z920" s="121"/>
    </row>
    <row r="921" spans="1:26" ht="11.25" customHeight="1" x14ac:dyDescent="0.3">
      <c r="A921" s="121"/>
      <c r="B921" s="121"/>
      <c r="C921" s="121"/>
      <c r="D921" s="121"/>
      <c r="E921" s="121"/>
      <c r="F921" s="121"/>
      <c r="G921" s="121"/>
      <c r="H921" s="121"/>
      <c r="I921" s="121"/>
      <c r="J921" s="121"/>
      <c r="K921" s="121"/>
      <c r="L921" s="121"/>
      <c r="M921" s="121"/>
      <c r="N921" s="121"/>
      <c r="O921" s="121"/>
      <c r="P921" s="121"/>
      <c r="Q921" s="121"/>
      <c r="R921" s="121"/>
      <c r="S921" s="121"/>
      <c r="T921" s="121"/>
      <c r="U921" s="121"/>
      <c r="V921" s="121"/>
      <c r="W921" s="121"/>
      <c r="X921" s="121"/>
      <c r="Y921" s="121"/>
      <c r="Z921" s="121"/>
    </row>
    <row r="922" spans="1:26" ht="11.25" customHeight="1" x14ac:dyDescent="0.3">
      <c r="A922" s="121"/>
      <c r="B922" s="121"/>
      <c r="C922" s="121"/>
      <c r="D922" s="121"/>
      <c r="E922" s="121"/>
      <c r="F922" s="121"/>
      <c r="G922" s="121"/>
      <c r="H922" s="121"/>
      <c r="I922" s="121"/>
      <c r="J922" s="121"/>
      <c r="K922" s="121"/>
      <c r="L922" s="121"/>
      <c r="M922" s="121"/>
      <c r="N922" s="121"/>
      <c r="O922" s="121"/>
      <c r="P922" s="121"/>
      <c r="Q922" s="121"/>
      <c r="R922" s="121"/>
      <c r="S922" s="121"/>
      <c r="T922" s="121"/>
      <c r="U922" s="121"/>
      <c r="V922" s="121"/>
      <c r="W922" s="121"/>
      <c r="X922" s="121"/>
      <c r="Y922" s="121"/>
      <c r="Z922" s="121"/>
    </row>
    <row r="923" spans="1:26" ht="11.25" customHeight="1" x14ac:dyDescent="0.3">
      <c r="A923" s="121"/>
      <c r="B923" s="121"/>
      <c r="C923" s="121"/>
      <c r="D923" s="121"/>
      <c r="E923" s="121"/>
      <c r="F923" s="121"/>
      <c r="G923" s="121"/>
      <c r="H923" s="121"/>
      <c r="I923" s="121"/>
      <c r="J923" s="121"/>
      <c r="K923" s="121"/>
      <c r="L923" s="121"/>
      <c r="M923" s="121"/>
      <c r="N923" s="121"/>
      <c r="O923" s="121"/>
      <c r="P923" s="121"/>
      <c r="Q923" s="121"/>
      <c r="R923" s="121"/>
      <c r="S923" s="121"/>
      <c r="T923" s="121"/>
      <c r="U923" s="121"/>
      <c r="V923" s="121"/>
      <c r="W923" s="121"/>
      <c r="X923" s="121"/>
      <c r="Y923" s="121"/>
      <c r="Z923" s="121"/>
    </row>
    <row r="924" spans="1:26" ht="11.25" customHeight="1" x14ac:dyDescent="0.3">
      <c r="A924" s="121"/>
      <c r="B924" s="121"/>
      <c r="C924" s="121"/>
      <c r="D924" s="121"/>
      <c r="E924" s="121"/>
      <c r="F924" s="121"/>
      <c r="G924" s="121"/>
      <c r="H924" s="121"/>
      <c r="I924" s="121"/>
      <c r="J924" s="121"/>
      <c r="K924" s="121"/>
      <c r="L924" s="121"/>
      <c r="M924" s="121"/>
      <c r="N924" s="121"/>
      <c r="O924" s="121"/>
      <c r="P924" s="121"/>
      <c r="Q924" s="121"/>
      <c r="R924" s="121"/>
      <c r="S924" s="121"/>
      <c r="T924" s="121"/>
      <c r="U924" s="121"/>
      <c r="V924" s="121"/>
      <c r="W924" s="121"/>
      <c r="X924" s="121"/>
      <c r="Y924" s="121"/>
      <c r="Z924" s="121"/>
    </row>
    <row r="925" spans="1:26" ht="11.25" customHeight="1" x14ac:dyDescent="0.3">
      <c r="A925" s="121"/>
      <c r="B925" s="121"/>
      <c r="C925" s="121"/>
      <c r="D925" s="121"/>
      <c r="E925" s="121"/>
      <c r="F925" s="121"/>
      <c r="G925" s="121"/>
      <c r="H925" s="121"/>
      <c r="I925" s="121"/>
      <c r="J925" s="121"/>
      <c r="K925" s="121"/>
      <c r="L925" s="121"/>
      <c r="M925" s="121"/>
      <c r="N925" s="121"/>
      <c r="O925" s="121"/>
      <c r="P925" s="121"/>
      <c r="Q925" s="121"/>
      <c r="R925" s="121"/>
      <c r="S925" s="121"/>
      <c r="T925" s="121"/>
      <c r="U925" s="121"/>
      <c r="V925" s="121"/>
      <c r="W925" s="121"/>
      <c r="X925" s="121"/>
      <c r="Y925" s="121"/>
      <c r="Z925" s="121"/>
    </row>
    <row r="926" spans="1:26" ht="11.25" customHeight="1" x14ac:dyDescent="0.3">
      <c r="A926" s="121"/>
      <c r="B926" s="121"/>
      <c r="C926" s="121"/>
      <c r="D926" s="121"/>
      <c r="E926" s="121"/>
      <c r="F926" s="121"/>
      <c r="G926" s="121"/>
      <c r="H926" s="121"/>
      <c r="I926" s="121"/>
      <c r="J926" s="121"/>
      <c r="K926" s="121"/>
      <c r="L926" s="121"/>
      <c r="M926" s="121"/>
      <c r="N926" s="121"/>
      <c r="O926" s="121"/>
      <c r="P926" s="121"/>
      <c r="Q926" s="121"/>
      <c r="R926" s="121"/>
      <c r="S926" s="121"/>
      <c r="T926" s="121"/>
      <c r="U926" s="121"/>
      <c r="V926" s="121"/>
      <c r="W926" s="121"/>
      <c r="X926" s="121"/>
      <c r="Y926" s="121"/>
      <c r="Z926" s="121"/>
    </row>
    <row r="927" spans="1:26" ht="11.25" customHeight="1" x14ac:dyDescent="0.3">
      <c r="A927" s="121"/>
      <c r="B927" s="121"/>
      <c r="C927" s="121"/>
      <c r="D927" s="121"/>
      <c r="E927" s="121"/>
      <c r="F927" s="121"/>
      <c r="G927" s="121"/>
      <c r="H927" s="121"/>
      <c r="I927" s="121"/>
      <c r="J927" s="121"/>
      <c r="K927" s="121"/>
      <c r="L927" s="121"/>
      <c r="M927" s="121"/>
      <c r="N927" s="121"/>
      <c r="O927" s="121"/>
      <c r="P927" s="121"/>
      <c r="Q927" s="121"/>
      <c r="R927" s="121"/>
      <c r="S927" s="121"/>
      <c r="T927" s="121"/>
      <c r="U927" s="121"/>
      <c r="V927" s="121"/>
      <c r="W927" s="121"/>
      <c r="X927" s="121"/>
      <c r="Y927" s="121"/>
      <c r="Z927" s="121"/>
    </row>
    <row r="928" spans="1:26" ht="11.25" customHeight="1" x14ac:dyDescent="0.3">
      <c r="A928" s="121"/>
      <c r="B928" s="121"/>
      <c r="C928" s="121"/>
      <c r="D928" s="121"/>
      <c r="E928" s="121"/>
      <c r="F928" s="121"/>
      <c r="G928" s="121"/>
      <c r="H928" s="121"/>
      <c r="I928" s="121"/>
      <c r="J928" s="121"/>
      <c r="K928" s="121"/>
      <c r="L928" s="121"/>
      <c r="M928" s="121"/>
      <c r="N928" s="121"/>
      <c r="O928" s="121"/>
      <c r="P928" s="121"/>
      <c r="Q928" s="121"/>
      <c r="R928" s="121"/>
      <c r="S928" s="121"/>
      <c r="T928" s="121"/>
      <c r="U928" s="121"/>
      <c r="V928" s="121"/>
      <c r="W928" s="121"/>
      <c r="X928" s="121"/>
      <c r="Y928" s="121"/>
      <c r="Z928" s="121"/>
    </row>
    <row r="929" spans="1:26" ht="11.25" customHeight="1" x14ac:dyDescent="0.3">
      <c r="A929" s="121"/>
      <c r="B929" s="121"/>
      <c r="C929" s="121"/>
      <c r="D929" s="121"/>
      <c r="E929" s="121"/>
      <c r="F929" s="121"/>
      <c r="G929" s="121"/>
      <c r="H929" s="121"/>
      <c r="I929" s="121"/>
      <c r="J929" s="121"/>
      <c r="K929" s="121"/>
      <c r="L929" s="121"/>
      <c r="M929" s="121"/>
      <c r="N929" s="121"/>
      <c r="O929" s="121"/>
      <c r="P929" s="121"/>
      <c r="Q929" s="121"/>
      <c r="R929" s="121"/>
      <c r="S929" s="121"/>
      <c r="T929" s="121"/>
      <c r="U929" s="121"/>
      <c r="V929" s="121"/>
      <c r="W929" s="121"/>
      <c r="X929" s="121"/>
      <c r="Y929" s="121"/>
      <c r="Z929" s="121"/>
    </row>
    <row r="930" spans="1:26" ht="11.25" customHeight="1" x14ac:dyDescent="0.3">
      <c r="A930" s="121"/>
      <c r="B930" s="121"/>
      <c r="C930" s="121"/>
      <c r="D930" s="121"/>
      <c r="E930" s="121"/>
      <c r="F930" s="121"/>
      <c r="G930" s="121"/>
      <c r="H930" s="121"/>
      <c r="I930" s="121"/>
      <c r="J930" s="121"/>
      <c r="K930" s="121"/>
      <c r="L930" s="121"/>
      <c r="M930" s="121"/>
      <c r="N930" s="121"/>
      <c r="O930" s="121"/>
      <c r="P930" s="121"/>
      <c r="Q930" s="121"/>
      <c r="R930" s="121"/>
      <c r="S930" s="121"/>
      <c r="T930" s="121"/>
      <c r="U930" s="121"/>
      <c r="V930" s="121"/>
      <c r="W930" s="121"/>
      <c r="X930" s="121"/>
      <c r="Y930" s="121"/>
      <c r="Z930" s="121"/>
    </row>
    <row r="931" spans="1:26" ht="11.25" customHeight="1" x14ac:dyDescent="0.3">
      <c r="A931" s="121"/>
      <c r="B931" s="121"/>
      <c r="C931" s="121"/>
      <c r="D931" s="121"/>
      <c r="E931" s="121"/>
      <c r="F931" s="121"/>
      <c r="G931" s="121"/>
      <c r="H931" s="121"/>
      <c r="I931" s="121"/>
      <c r="J931" s="121"/>
      <c r="K931" s="121"/>
      <c r="L931" s="121"/>
      <c r="M931" s="121"/>
      <c r="N931" s="121"/>
      <c r="O931" s="121"/>
      <c r="P931" s="121"/>
      <c r="Q931" s="121"/>
      <c r="R931" s="121"/>
      <c r="S931" s="121"/>
      <c r="T931" s="121"/>
      <c r="U931" s="121"/>
      <c r="V931" s="121"/>
      <c r="W931" s="121"/>
      <c r="X931" s="121"/>
      <c r="Y931" s="121"/>
      <c r="Z931" s="121"/>
    </row>
    <row r="932" spans="1:26" ht="11.25" customHeight="1" x14ac:dyDescent="0.3">
      <c r="A932" s="121"/>
      <c r="B932" s="121"/>
      <c r="C932" s="121"/>
      <c r="D932" s="121"/>
      <c r="E932" s="121"/>
      <c r="F932" s="121"/>
      <c r="G932" s="121"/>
      <c r="H932" s="121"/>
      <c r="I932" s="121"/>
      <c r="J932" s="121"/>
      <c r="K932" s="121"/>
      <c r="L932" s="121"/>
      <c r="M932" s="121"/>
      <c r="N932" s="121"/>
      <c r="O932" s="121"/>
      <c r="P932" s="121"/>
      <c r="Q932" s="121"/>
      <c r="R932" s="121"/>
      <c r="S932" s="121"/>
      <c r="T932" s="121"/>
      <c r="U932" s="121"/>
      <c r="V932" s="121"/>
      <c r="W932" s="121"/>
      <c r="X932" s="121"/>
      <c r="Y932" s="121"/>
      <c r="Z932" s="121"/>
    </row>
    <row r="933" spans="1:26" ht="11.25" customHeight="1" x14ac:dyDescent="0.3">
      <c r="A933" s="121"/>
      <c r="B933" s="121"/>
      <c r="C933" s="121"/>
      <c r="D933" s="121"/>
      <c r="E933" s="121"/>
      <c r="F933" s="121"/>
      <c r="G933" s="121"/>
      <c r="H933" s="121"/>
      <c r="I933" s="121"/>
      <c r="J933" s="121"/>
      <c r="K933" s="121"/>
      <c r="L933" s="121"/>
      <c r="M933" s="121"/>
      <c r="N933" s="121"/>
      <c r="O933" s="121"/>
      <c r="P933" s="121"/>
      <c r="Q933" s="121"/>
      <c r="R933" s="121"/>
      <c r="S933" s="121"/>
      <c r="T933" s="121"/>
      <c r="U933" s="121"/>
      <c r="V933" s="121"/>
      <c r="W933" s="121"/>
      <c r="X933" s="121"/>
      <c r="Y933" s="121"/>
      <c r="Z933" s="121"/>
    </row>
    <row r="934" spans="1:26" ht="11.25" customHeight="1" x14ac:dyDescent="0.3">
      <c r="A934" s="121"/>
      <c r="B934" s="121"/>
      <c r="C934" s="121"/>
      <c r="D934" s="121"/>
      <c r="E934" s="121"/>
      <c r="F934" s="121"/>
      <c r="G934" s="121"/>
      <c r="H934" s="121"/>
      <c r="I934" s="121"/>
      <c r="J934" s="121"/>
      <c r="K934" s="121"/>
      <c r="L934" s="121"/>
      <c r="M934" s="121"/>
      <c r="N934" s="121"/>
      <c r="O934" s="121"/>
      <c r="P934" s="121"/>
      <c r="Q934" s="121"/>
      <c r="R934" s="121"/>
      <c r="S934" s="121"/>
      <c r="T934" s="121"/>
      <c r="U934" s="121"/>
      <c r="V934" s="121"/>
      <c r="W934" s="121"/>
      <c r="X934" s="121"/>
      <c r="Y934" s="121"/>
      <c r="Z934" s="121"/>
    </row>
    <row r="935" spans="1:26" ht="11.25" customHeight="1" x14ac:dyDescent="0.3">
      <c r="A935" s="121"/>
      <c r="B935" s="121"/>
      <c r="C935" s="121"/>
      <c r="D935" s="121"/>
      <c r="E935" s="121"/>
      <c r="F935" s="121"/>
      <c r="G935" s="121"/>
      <c r="H935" s="121"/>
      <c r="I935" s="121"/>
      <c r="J935" s="121"/>
      <c r="K935" s="121"/>
      <c r="L935" s="121"/>
      <c r="M935" s="121"/>
      <c r="N935" s="121"/>
      <c r="O935" s="121"/>
      <c r="P935" s="121"/>
      <c r="Q935" s="121"/>
      <c r="R935" s="121"/>
      <c r="S935" s="121"/>
      <c r="T935" s="121"/>
      <c r="U935" s="121"/>
      <c r="V935" s="121"/>
      <c r="W935" s="121"/>
      <c r="X935" s="121"/>
      <c r="Y935" s="121"/>
      <c r="Z935" s="121"/>
    </row>
    <row r="936" spans="1:26" ht="11.25" customHeight="1" x14ac:dyDescent="0.3">
      <c r="A936" s="121"/>
      <c r="B936" s="121"/>
      <c r="C936" s="121"/>
      <c r="D936" s="121"/>
      <c r="E936" s="121"/>
      <c r="F936" s="121"/>
      <c r="G936" s="121"/>
      <c r="H936" s="121"/>
      <c r="I936" s="121"/>
      <c r="J936" s="121"/>
      <c r="K936" s="121"/>
      <c r="L936" s="121"/>
      <c r="M936" s="121"/>
      <c r="N936" s="121"/>
      <c r="O936" s="121"/>
      <c r="P936" s="121"/>
      <c r="Q936" s="121"/>
      <c r="R936" s="121"/>
      <c r="S936" s="121"/>
      <c r="T936" s="121"/>
      <c r="U936" s="121"/>
      <c r="V936" s="121"/>
      <c r="W936" s="121"/>
      <c r="X936" s="121"/>
      <c r="Y936" s="121"/>
      <c r="Z936" s="121"/>
    </row>
    <row r="937" spans="1:26" ht="11.25" customHeight="1" x14ac:dyDescent="0.3">
      <c r="A937" s="121"/>
      <c r="B937" s="121"/>
      <c r="C937" s="121"/>
      <c r="D937" s="121"/>
      <c r="E937" s="121"/>
      <c r="F937" s="121"/>
      <c r="G937" s="121"/>
      <c r="H937" s="121"/>
      <c r="I937" s="121"/>
      <c r="J937" s="121"/>
      <c r="K937" s="121"/>
      <c r="L937" s="121"/>
      <c r="M937" s="121"/>
      <c r="N937" s="121"/>
      <c r="O937" s="121"/>
      <c r="P937" s="121"/>
      <c r="Q937" s="121"/>
      <c r="R937" s="121"/>
      <c r="S937" s="121"/>
      <c r="T937" s="121"/>
      <c r="U937" s="121"/>
      <c r="V937" s="121"/>
      <c r="W937" s="121"/>
      <c r="X937" s="121"/>
      <c r="Y937" s="121"/>
      <c r="Z937" s="121"/>
    </row>
    <row r="938" spans="1:26" ht="11.25" customHeight="1" x14ac:dyDescent="0.3">
      <c r="A938" s="121"/>
      <c r="B938" s="121"/>
      <c r="C938" s="121"/>
      <c r="D938" s="121"/>
      <c r="E938" s="121"/>
      <c r="F938" s="121"/>
      <c r="G938" s="121"/>
      <c r="H938" s="121"/>
      <c r="I938" s="121"/>
      <c r="J938" s="121"/>
      <c r="K938" s="121"/>
      <c r="L938" s="121"/>
      <c r="M938" s="121"/>
      <c r="N938" s="121"/>
      <c r="O938" s="121"/>
      <c r="P938" s="121"/>
      <c r="Q938" s="121"/>
      <c r="R938" s="121"/>
      <c r="S938" s="121"/>
      <c r="T938" s="121"/>
      <c r="U938" s="121"/>
      <c r="V938" s="121"/>
      <c r="W938" s="121"/>
      <c r="X938" s="121"/>
      <c r="Y938" s="121"/>
      <c r="Z938" s="121"/>
    </row>
    <row r="939" spans="1:26" ht="11.25" customHeight="1" x14ac:dyDescent="0.3">
      <c r="A939" s="121"/>
      <c r="B939" s="121"/>
      <c r="C939" s="121"/>
      <c r="D939" s="121"/>
      <c r="E939" s="121"/>
      <c r="F939" s="121"/>
      <c r="G939" s="121"/>
      <c r="H939" s="121"/>
      <c r="I939" s="121"/>
      <c r="J939" s="121"/>
      <c r="K939" s="121"/>
      <c r="L939" s="121"/>
      <c r="M939" s="121"/>
      <c r="N939" s="121"/>
      <c r="O939" s="121"/>
      <c r="P939" s="121"/>
      <c r="Q939" s="121"/>
      <c r="R939" s="121"/>
      <c r="S939" s="121"/>
      <c r="T939" s="121"/>
      <c r="U939" s="121"/>
      <c r="V939" s="121"/>
      <c r="W939" s="121"/>
      <c r="X939" s="121"/>
      <c r="Y939" s="121"/>
      <c r="Z939" s="121"/>
    </row>
    <row r="940" spans="1:26" ht="11.25" customHeight="1" x14ac:dyDescent="0.3">
      <c r="A940" s="121"/>
      <c r="B940" s="121"/>
      <c r="C940" s="121"/>
      <c r="D940" s="121"/>
      <c r="E940" s="121"/>
      <c r="F940" s="121"/>
      <c r="G940" s="121"/>
      <c r="H940" s="121"/>
      <c r="I940" s="121"/>
      <c r="J940" s="121"/>
      <c r="K940" s="121"/>
      <c r="L940" s="121"/>
      <c r="M940" s="121"/>
      <c r="N940" s="121"/>
      <c r="O940" s="121"/>
      <c r="P940" s="121"/>
      <c r="Q940" s="121"/>
      <c r="R940" s="121"/>
      <c r="S940" s="121"/>
      <c r="T940" s="121"/>
      <c r="U940" s="121"/>
      <c r="V940" s="121"/>
      <c r="W940" s="121"/>
      <c r="X940" s="121"/>
      <c r="Y940" s="121"/>
      <c r="Z940" s="121"/>
    </row>
    <row r="941" spans="1:26" ht="11.25" customHeight="1" x14ac:dyDescent="0.3">
      <c r="A941" s="121"/>
      <c r="B941" s="121"/>
      <c r="C941" s="121"/>
      <c r="D941" s="121"/>
      <c r="E941" s="121"/>
      <c r="F941" s="121"/>
      <c r="G941" s="121"/>
      <c r="H941" s="121"/>
      <c r="I941" s="121"/>
      <c r="J941" s="121"/>
      <c r="K941" s="121"/>
      <c r="L941" s="121"/>
      <c r="M941" s="121"/>
      <c r="N941" s="121"/>
      <c r="O941" s="121"/>
      <c r="P941" s="121"/>
      <c r="Q941" s="121"/>
      <c r="R941" s="121"/>
      <c r="S941" s="121"/>
      <c r="T941" s="121"/>
      <c r="U941" s="121"/>
      <c r="V941" s="121"/>
      <c r="W941" s="121"/>
      <c r="X941" s="121"/>
      <c r="Y941" s="121"/>
      <c r="Z941" s="121"/>
    </row>
    <row r="942" spans="1:26" ht="11.25" customHeight="1" x14ac:dyDescent="0.3">
      <c r="A942" s="121"/>
      <c r="B942" s="121"/>
      <c r="C942" s="121"/>
      <c r="D942" s="121"/>
      <c r="E942" s="121"/>
      <c r="F942" s="121"/>
      <c r="G942" s="121"/>
      <c r="H942" s="121"/>
      <c r="I942" s="121"/>
      <c r="J942" s="121"/>
      <c r="K942" s="121"/>
      <c r="L942" s="121"/>
      <c r="M942" s="121"/>
      <c r="N942" s="121"/>
      <c r="O942" s="121"/>
      <c r="P942" s="121"/>
      <c r="Q942" s="121"/>
      <c r="R942" s="121"/>
      <c r="S942" s="121"/>
      <c r="T942" s="121"/>
      <c r="U942" s="121"/>
      <c r="V942" s="121"/>
      <c r="W942" s="121"/>
      <c r="X942" s="121"/>
      <c r="Y942" s="121"/>
      <c r="Z942" s="121"/>
    </row>
    <row r="943" spans="1:26" ht="11.25" customHeight="1" x14ac:dyDescent="0.3">
      <c r="A943" s="121"/>
      <c r="B943" s="121"/>
      <c r="C943" s="121"/>
      <c r="D943" s="121"/>
      <c r="E943" s="121"/>
      <c r="F943" s="121"/>
      <c r="G943" s="121"/>
      <c r="H943" s="121"/>
      <c r="I943" s="121"/>
      <c r="J943" s="121"/>
      <c r="K943" s="121"/>
      <c r="L943" s="121"/>
      <c r="M943" s="121"/>
      <c r="N943" s="121"/>
      <c r="O943" s="121"/>
      <c r="P943" s="121"/>
      <c r="Q943" s="121"/>
      <c r="R943" s="121"/>
      <c r="S943" s="121"/>
      <c r="T943" s="121"/>
      <c r="U943" s="121"/>
      <c r="V943" s="121"/>
      <c r="W943" s="121"/>
      <c r="X943" s="121"/>
      <c r="Y943" s="121"/>
      <c r="Z943" s="121"/>
    </row>
    <row r="944" spans="1:26" ht="11.25" customHeight="1" x14ac:dyDescent="0.3">
      <c r="A944" s="121"/>
      <c r="B944" s="121"/>
      <c r="C944" s="121"/>
      <c r="D944" s="121"/>
      <c r="E944" s="121"/>
      <c r="F944" s="121"/>
      <c r="G944" s="121"/>
      <c r="H944" s="121"/>
      <c r="I944" s="121"/>
      <c r="J944" s="121"/>
      <c r="K944" s="121"/>
      <c r="L944" s="121"/>
      <c r="M944" s="121"/>
      <c r="N944" s="121"/>
      <c r="O944" s="121"/>
      <c r="P944" s="121"/>
      <c r="Q944" s="121"/>
      <c r="R944" s="121"/>
      <c r="S944" s="121"/>
      <c r="T944" s="121"/>
      <c r="U944" s="121"/>
      <c r="V944" s="121"/>
      <c r="W944" s="121"/>
      <c r="X944" s="121"/>
      <c r="Y944" s="121"/>
      <c r="Z944" s="121"/>
    </row>
    <row r="945" spans="1:26" ht="11.25" customHeight="1" x14ac:dyDescent="0.3">
      <c r="A945" s="121"/>
      <c r="B945" s="121"/>
      <c r="C945" s="121"/>
      <c r="D945" s="121"/>
      <c r="E945" s="121"/>
      <c r="F945" s="121"/>
      <c r="G945" s="121"/>
      <c r="H945" s="121"/>
      <c r="I945" s="121"/>
      <c r="J945" s="121"/>
      <c r="K945" s="121"/>
      <c r="L945" s="121"/>
      <c r="M945" s="121"/>
      <c r="N945" s="121"/>
      <c r="O945" s="121"/>
      <c r="P945" s="121"/>
      <c r="Q945" s="121"/>
      <c r="R945" s="121"/>
      <c r="S945" s="121"/>
      <c r="T945" s="121"/>
      <c r="U945" s="121"/>
      <c r="V945" s="121"/>
      <c r="W945" s="121"/>
      <c r="X945" s="121"/>
      <c r="Y945" s="121"/>
      <c r="Z945" s="121"/>
    </row>
    <row r="946" spans="1:26" ht="11.25" customHeight="1" x14ac:dyDescent="0.3">
      <c r="A946" s="121"/>
      <c r="B946" s="121"/>
      <c r="C946" s="121"/>
      <c r="D946" s="121"/>
      <c r="E946" s="121"/>
      <c r="F946" s="121"/>
      <c r="G946" s="121"/>
      <c r="H946" s="121"/>
      <c r="I946" s="121"/>
      <c r="J946" s="121"/>
      <c r="K946" s="121"/>
      <c r="L946" s="121"/>
      <c r="M946" s="121"/>
      <c r="N946" s="121"/>
      <c r="O946" s="121"/>
      <c r="P946" s="121"/>
      <c r="Q946" s="121"/>
      <c r="R946" s="121"/>
      <c r="S946" s="121"/>
      <c r="T946" s="121"/>
      <c r="U946" s="121"/>
      <c r="V946" s="121"/>
      <c r="W946" s="121"/>
      <c r="X946" s="121"/>
      <c r="Y946" s="121"/>
      <c r="Z946" s="121"/>
    </row>
    <row r="947" spans="1:26" ht="11.25" customHeight="1" x14ac:dyDescent="0.3">
      <c r="A947" s="121"/>
      <c r="B947" s="121"/>
      <c r="C947" s="121"/>
      <c r="D947" s="121"/>
      <c r="E947" s="121"/>
      <c r="F947" s="121"/>
      <c r="G947" s="121"/>
      <c r="H947" s="121"/>
      <c r="I947" s="121"/>
      <c r="J947" s="121"/>
      <c r="K947" s="121"/>
      <c r="L947" s="121"/>
      <c r="M947" s="121"/>
      <c r="N947" s="121"/>
      <c r="O947" s="121"/>
      <c r="P947" s="121"/>
      <c r="Q947" s="121"/>
      <c r="R947" s="121"/>
      <c r="S947" s="121"/>
      <c r="T947" s="121"/>
      <c r="U947" s="121"/>
      <c r="V947" s="121"/>
      <c r="W947" s="121"/>
      <c r="X947" s="121"/>
      <c r="Y947" s="121"/>
      <c r="Z947" s="121"/>
    </row>
    <row r="948" spans="1:26" ht="11.25" customHeight="1" x14ac:dyDescent="0.3">
      <c r="A948" s="121"/>
      <c r="B948" s="121"/>
      <c r="C948" s="121"/>
      <c r="D948" s="121"/>
      <c r="E948" s="121"/>
      <c r="F948" s="121"/>
      <c r="G948" s="121"/>
      <c r="H948" s="121"/>
      <c r="I948" s="121"/>
      <c r="J948" s="121"/>
      <c r="K948" s="121"/>
      <c r="L948" s="121"/>
      <c r="M948" s="121"/>
      <c r="N948" s="121"/>
      <c r="O948" s="121"/>
      <c r="P948" s="121"/>
      <c r="Q948" s="121"/>
      <c r="R948" s="121"/>
      <c r="S948" s="121"/>
      <c r="T948" s="121"/>
      <c r="U948" s="121"/>
      <c r="V948" s="121"/>
      <c r="W948" s="121"/>
      <c r="X948" s="121"/>
      <c r="Y948" s="121"/>
      <c r="Z948" s="121"/>
    </row>
    <row r="949" spans="1:26" ht="11.25" customHeight="1" x14ac:dyDescent="0.3">
      <c r="A949" s="121"/>
      <c r="B949" s="121"/>
      <c r="C949" s="121"/>
      <c r="D949" s="121"/>
      <c r="E949" s="121"/>
      <c r="F949" s="121"/>
      <c r="G949" s="121"/>
      <c r="H949" s="121"/>
      <c r="I949" s="121"/>
      <c r="J949" s="121"/>
      <c r="K949" s="121"/>
      <c r="L949" s="121"/>
      <c r="M949" s="121"/>
      <c r="N949" s="121"/>
      <c r="O949" s="121"/>
      <c r="P949" s="121"/>
      <c r="Q949" s="121"/>
      <c r="R949" s="121"/>
      <c r="S949" s="121"/>
      <c r="T949" s="121"/>
      <c r="U949" s="121"/>
      <c r="V949" s="121"/>
      <c r="W949" s="121"/>
      <c r="X949" s="121"/>
      <c r="Y949" s="121"/>
      <c r="Z949" s="121"/>
    </row>
    <row r="950" spans="1:26" ht="11.25" customHeight="1" x14ac:dyDescent="0.3">
      <c r="A950" s="121"/>
      <c r="B950" s="121"/>
      <c r="C950" s="121"/>
      <c r="D950" s="121"/>
      <c r="E950" s="121"/>
      <c r="F950" s="121"/>
      <c r="G950" s="121"/>
      <c r="H950" s="121"/>
      <c r="I950" s="121"/>
      <c r="J950" s="121"/>
      <c r="K950" s="121"/>
      <c r="L950" s="121"/>
      <c r="M950" s="121"/>
      <c r="N950" s="121"/>
      <c r="O950" s="121"/>
      <c r="P950" s="121"/>
      <c r="Q950" s="121"/>
      <c r="R950" s="121"/>
      <c r="S950" s="121"/>
      <c r="T950" s="121"/>
      <c r="U950" s="121"/>
      <c r="V950" s="121"/>
      <c r="W950" s="121"/>
      <c r="X950" s="121"/>
      <c r="Y950" s="121"/>
      <c r="Z950" s="121"/>
    </row>
    <row r="951" spans="1:26" ht="11.25" customHeight="1" x14ac:dyDescent="0.3">
      <c r="A951" s="121"/>
      <c r="B951" s="121"/>
      <c r="C951" s="121"/>
      <c r="D951" s="121"/>
      <c r="E951" s="121"/>
      <c r="F951" s="121"/>
      <c r="G951" s="121"/>
      <c r="H951" s="121"/>
      <c r="I951" s="121"/>
      <c r="J951" s="121"/>
      <c r="K951" s="121"/>
      <c r="L951" s="121"/>
      <c r="M951" s="121"/>
      <c r="N951" s="121"/>
      <c r="O951" s="121"/>
      <c r="P951" s="121"/>
      <c r="Q951" s="121"/>
      <c r="R951" s="121"/>
      <c r="S951" s="121"/>
      <c r="T951" s="121"/>
      <c r="U951" s="121"/>
      <c r="V951" s="121"/>
      <c r="W951" s="121"/>
      <c r="X951" s="121"/>
      <c r="Y951" s="121"/>
      <c r="Z951" s="121"/>
    </row>
    <row r="952" spans="1:26" ht="11.25" customHeight="1" x14ac:dyDescent="0.3">
      <c r="A952" s="121"/>
      <c r="B952" s="121"/>
      <c r="C952" s="121"/>
      <c r="D952" s="121"/>
      <c r="E952" s="121"/>
      <c r="F952" s="121"/>
      <c r="G952" s="121"/>
      <c r="H952" s="121"/>
      <c r="I952" s="121"/>
      <c r="J952" s="121"/>
      <c r="K952" s="121"/>
      <c r="L952" s="121"/>
      <c r="M952" s="121"/>
      <c r="N952" s="121"/>
      <c r="O952" s="121"/>
      <c r="P952" s="121"/>
      <c r="Q952" s="121"/>
      <c r="R952" s="121"/>
      <c r="S952" s="121"/>
      <c r="T952" s="121"/>
      <c r="U952" s="121"/>
      <c r="V952" s="121"/>
      <c r="W952" s="121"/>
      <c r="X952" s="121"/>
      <c r="Y952" s="121"/>
      <c r="Z952" s="121"/>
    </row>
    <row r="953" spans="1:26" ht="11.25" customHeight="1" x14ac:dyDescent="0.3">
      <c r="A953" s="121"/>
      <c r="B953" s="121"/>
      <c r="C953" s="121"/>
      <c r="D953" s="121"/>
      <c r="E953" s="121"/>
      <c r="F953" s="121"/>
      <c r="G953" s="121"/>
      <c r="H953" s="121"/>
      <c r="I953" s="121"/>
      <c r="J953" s="121"/>
      <c r="K953" s="121"/>
      <c r="L953" s="121"/>
      <c r="M953" s="121"/>
      <c r="N953" s="121"/>
      <c r="O953" s="121"/>
      <c r="P953" s="121"/>
      <c r="Q953" s="121"/>
      <c r="R953" s="121"/>
      <c r="S953" s="121"/>
      <c r="T953" s="121"/>
      <c r="U953" s="121"/>
      <c r="V953" s="121"/>
      <c r="W953" s="121"/>
      <c r="X953" s="121"/>
      <c r="Y953" s="121"/>
      <c r="Z953" s="121"/>
    </row>
    <row r="954" spans="1:26" ht="11.25" customHeight="1" x14ac:dyDescent="0.3">
      <c r="A954" s="121"/>
      <c r="B954" s="121"/>
      <c r="C954" s="121"/>
      <c r="D954" s="121"/>
      <c r="E954" s="121"/>
      <c r="F954" s="121"/>
      <c r="G954" s="121"/>
      <c r="H954" s="121"/>
      <c r="I954" s="121"/>
      <c r="J954" s="121"/>
      <c r="K954" s="121"/>
      <c r="L954" s="121"/>
      <c r="M954" s="121"/>
      <c r="N954" s="121"/>
      <c r="O954" s="121"/>
      <c r="P954" s="121"/>
      <c r="Q954" s="121"/>
      <c r="R954" s="121"/>
      <c r="S954" s="121"/>
      <c r="T954" s="121"/>
      <c r="U954" s="121"/>
      <c r="V954" s="121"/>
      <c r="W954" s="121"/>
      <c r="X954" s="121"/>
      <c r="Y954" s="121"/>
      <c r="Z954" s="121"/>
    </row>
    <row r="955" spans="1:26" ht="11.25" customHeight="1" x14ac:dyDescent="0.3">
      <c r="A955" s="121"/>
      <c r="B955" s="121"/>
      <c r="C955" s="121"/>
      <c r="D955" s="121"/>
      <c r="E955" s="121"/>
      <c r="F955" s="121"/>
      <c r="G955" s="121"/>
      <c r="H955" s="121"/>
      <c r="I955" s="121"/>
      <c r="J955" s="121"/>
      <c r="K955" s="121"/>
      <c r="L955" s="121"/>
      <c r="M955" s="121"/>
      <c r="N955" s="121"/>
      <c r="O955" s="121"/>
      <c r="P955" s="121"/>
      <c r="Q955" s="121"/>
      <c r="R955" s="121"/>
      <c r="S955" s="121"/>
      <c r="T955" s="121"/>
      <c r="U955" s="121"/>
      <c r="V955" s="121"/>
      <c r="W955" s="121"/>
      <c r="X955" s="121"/>
      <c r="Y955" s="121"/>
      <c r="Z955" s="121"/>
    </row>
    <row r="956" spans="1:26" ht="11.25" customHeight="1" x14ac:dyDescent="0.3">
      <c r="A956" s="121"/>
      <c r="B956" s="121"/>
      <c r="C956" s="121"/>
      <c r="D956" s="121"/>
      <c r="E956" s="121"/>
      <c r="F956" s="121"/>
      <c r="G956" s="121"/>
      <c r="H956" s="121"/>
      <c r="I956" s="121"/>
      <c r="J956" s="121"/>
      <c r="K956" s="121"/>
      <c r="L956" s="121"/>
      <c r="M956" s="121"/>
      <c r="N956" s="121"/>
      <c r="O956" s="121"/>
      <c r="P956" s="121"/>
      <c r="Q956" s="121"/>
      <c r="R956" s="121"/>
      <c r="S956" s="121"/>
      <c r="T956" s="121"/>
      <c r="U956" s="121"/>
      <c r="V956" s="121"/>
      <c r="W956" s="121"/>
      <c r="X956" s="121"/>
      <c r="Y956" s="121"/>
      <c r="Z956" s="121"/>
    </row>
    <row r="957" spans="1:26" ht="11.25" customHeight="1" x14ac:dyDescent="0.3">
      <c r="A957" s="121"/>
      <c r="B957" s="121"/>
      <c r="C957" s="121"/>
      <c r="D957" s="121"/>
      <c r="E957" s="121"/>
      <c r="F957" s="121"/>
      <c r="G957" s="121"/>
      <c r="H957" s="121"/>
      <c r="I957" s="121"/>
      <c r="J957" s="121"/>
      <c r="K957" s="121"/>
      <c r="L957" s="121"/>
      <c r="M957" s="121"/>
      <c r="N957" s="121"/>
      <c r="O957" s="121"/>
      <c r="P957" s="121"/>
      <c r="Q957" s="121"/>
      <c r="R957" s="121"/>
      <c r="S957" s="121"/>
      <c r="T957" s="121"/>
      <c r="U957" s="121"/>
      <c r="V957" s="121"/>
      <c r="W957" s="121"/>
      <c r="X957" s="121"/>
      <c r="Y957" s="121"/>
      <c r="Z957" s="121"/>
    </row>
    <row r="958" spans="1:26" ht="11.25" customHeight="1" x14ac:dyDescent="0.3">
      <c r="A958" s="121"/>
      <c r="B958" s="121"/>
      <c r="C958" s="121"/>
      <c r="D958" s="121"/>
      <c r="E958" s="121"/>
      <c r="F958" s="121"/>
      <c r="G958" s="121"/>
      <c r="H958" s="121"/>
      <c r="I958" s="121"/>
      <c r="J958" s="121"/>
      <c r="K958" s="121"/>
      <c r="L958" s="121"/>
      <c r="M958" s="121"/>
      <c r="N958" s="121"/>
      <c r="O958" s="121"/>
      <c r="P958" s="121"/>
      <c r="Q958" s="121"/>
      <c r="R958" s="121"/>
      <c r="S958" s="121"/>
      <c r="T958" s="121"/>
      <c r="U958" s="121"/>
      <c r="V958" s="121"/>
      <c r="W958" s="121"/>
      <c r="X958" s="121"/>
      <c r="Y958" s="121"/>
      <c r="Z958" s="121"/>
    </row>
    <row r="959" spans="1:26" ht="11.25" customHeight="1" x14ac:dyDescent="0.3">
      <c r="A959" s="121"/>
      <c r="B959" s="121"/>
      <c r="C959" s="121"/>
      <c r="D959" s="121"/>
      <c r="E959" s="121"/>
      <c r="F959" s="121"/>
      <c r="G959" s="121"/>
      <c r="H959" s="121"/>
      <c r="I959" s="121"/>
      <c r="J959" s="121"/>
      <c r="K959" s="121"/>
      <c r="L959" s="121"/>
      <c r="M959" s="121"/>
      <c r="N959" s="121"/>
      <c r="O959" s="121"/>
      <c r="P959" s="121"/>
      <c r="Q959" s="121"/>
      <c r="R959" s="121"/>
      <c r="S959" s="121"/>
      <c r="T959" s="121"/>
      <c r="U959" s="121"/>
      <c r="V959" s="121"/>
      <c r="W959" s="121"/>
      <c r="X959" s="121"/>
      <c r="Y959" s="121"/>
      <c r="Z959" s="121"/>
    </row>
    <row r="960" spans="1:26" ht="11.25" customHeight="1" x14ac:dyDescent="0.3">
      <c r="A960" s="121"/>
      <c r="B960" s="121"/>
      <c r="C960" s="121"/>
      <c r="D960" s="121"/>
      <c r="E960" s="121"/>
      <c r="F960" s="121"/>
      <c r="G960" s="121"/>
      <c r="H960" s="121"/>
      <c r="I960" s="121"/>
      <c r="J960" s="121"/>
      <c r="K960" s="121"/>
      <c r="L960" s="121"/>
      <c r="M960" s="121"/>
      <c r="N960" s="121"/>
      <c r="O960" s="121"/>
      <c r="P960" s="121"/>
      <c r="Q960" s="121"/>
      <c r="R960" s="121"/>
      <c r="S960" s="121"/>
      <c r="T960" s="121"/>
      <c r="U960" s="121"/>
      <c r="V960" s="121"/>
      <c r="W960" s="121"/>
      <c r="X960" s="121"/>
      <c r="Y960" s="121"/>
      <c r="Z960" s="121"/>
    </row>
    <row r="961" spans="1:26" ht="11.25" customHeight="1" x14ac:dyDescent="0.3">
      <c r="A961" s="121"/>
      <c r="B961" s="121"/>
      <c r="C961" s="121"/>
      <c r="D961" s="121"/>
      <c r="E961" s="121"/>
      <c r="F961" s="121"/>
      <c r="G961" s="121"/>
      <c r="H961" s="121"/>
      <c r="I961" s="121"/>
      <c r="J961" s="121"/>
      <c r="K961" s="121"/>
      <c r="L961" s="121"/>
      <c r="M961" s="121"/>
      <c r="N961" s="121"/>
      <c r="O961" s="121"/>
      <c r="P961" s="121"/>
      <c r="Q961" s="121"/>
      <c r="R961" s="121"/>
      <c r="S961" s="121"/>
      <c r="T961" s="121"/>
      <c r="U961" s="121"/>
      <c r="V961" s="121"/>
      <c r="W961" s="121"/>
      <c r="X961" s="121"/>
      <c r="Y961" s="121"/>
      <c r="Z961" s="121"/>
    </row>
    <row r="962" spans="1:26" ht="11.25" customHeight="1" x14ac:dyDescent="0.3">
      <c r="A962" s="121"/>
      <c r="B962" s="121"/>
      <c r="C962" s="121"/>
      <c r="D962" s="121"/>
      <c r="E962" s="121"/>
      <c r="F962" s="121"/>
      <c r="G962" s="121"/>
      <c r="H962" s="121"/>
      <c r="I962" s="121"/>
      <c r="J962" s="121"/>
      <c r="K962" s="121"/>
      <c r="L962" s="121"/>
      <c r="M962" s="121"/>
      <c r="N962" s="121"/>
      <c r="O962" s="121"/>
      <c r="P962" s="121"/>
      <c r="Q962" s="121"/>
      <c r="R962" s="121"/>
      <c r="S962" s="121"/>
      <c r="T962" s="121"/>
      <c r="U962" s="121"/>
      <c r="V962" s="121"/>
      <c r="W962" s="121"/>
      <c r="X962" s="121"/>
      <c r="Y962" s="121"/>
      <c r="Z962" s="121"/>
    </row>
    <row r="963" spans="1:26" ht="11.25" customHeight="1" x14ac:dyDescent="0.3">
      <c r="A963" s="121"/>
      <c r="B963" s="121"/>
      <c r="C963" s="121"/>
      <c r="D963" s="121"/>
      <c r="E963" s="121"/>
      <c r="F963" s="121"/>
      <c r="G963" s="121"/>
      <c r="H963" s="121"/>
      <c r="I963" s="121"/>
      <c r="J963" s="121"/>
      <c r="K963" s="121"/>
      <c r="L963" s="121"/>
      <c r="M963" s="121"/>
      <c r="N963" s="121"/>
      <c r="O963" s="121"/>
      <c r="P963" s="121"/>
      <c r="Q963" s="121"/>
      <c r="R963" s="121"/>
      <c r="S963" s="121"/>
      <c r="T963" s="121"/>
      <c r="U963" s="121"/>
      <c r="V963" s="121"/>
      <c r="W963" s="121"/>
      <c r="X963" s="121"/>
      <c r="Y963" s="121"/>
      <c r="Z963" s="121"/>
    </row>
    <row r="964" spans="1:26" ht="11.25" customHeight="1" x14ac:dyDescent="0.3">
      <c r="A964" s="121"/>
      <c r="B964" s="121"/>
      <c r="C964" s="121"/>
      <c r="D964" s="121"/>
      <c r="E964" s="121"/>
      <c r="F964" s="121"/>
      <c r="G964" s="121"/>
      <c r="H964" s="121"/>
      <c r="I964" s="121"/>
      <c r="J964" s="121"/>
      <c r="K964" s="121"/>
      <c r="L964" s="121"/>
      <c r="M964" s="121"/>
      <c r="N964" s="121"/>
      <c r="O964" s="121"/>
      <c r="P964" s="121"/>
      <c r="Q964" s="121"/>
      <c r="R964" s="121"/>
      <c r="S964" s="121"/>
      <c r="T964" s="121"/>
      <c r="U964" s="121"/>
      <c r="V964" s="121"/>
      <c r="W964" s="121"/>
      <c r="X964" s="121"/>
      <c r="Y964" s="121"/>
      <c r="Z964" s="121"/>
    </row>
    <row r="965" spans="1:26" ht="11.25" customHeight="1" x14ac:dyDescent="0.3">
      <c r="A965" s="121"/>
      <c r="B965" s="121"/>
      <c r="C965" s="121"/>
      <c r="D965" s="121"/>
      <c r="E965" s="121"/>
      <c r="F965" s="121"/>
      <c r="G965" s="121"/>
      <c r="H965" s="121"/>
      <c r="I965" s="121"/>
      <c r="J965" s="121"/>
      <c r="K965" s="121"/>
      <c r="L965" s="121"/>
      <c r="M965" s="121"/>
      <c r="N965" s="121"/>
      <c r="O965" s="121"/>
      <c r="P965" s="121"/>
      <c r="Q965" s="121"/>
      <c r="R965" s="121"/>
      <c r="S965" s="121"/>
      <c r="T965" s="121"/>
      <c r="U965" s="121"/>
      <c r="V965" s="121"/>
      <c r="W965" s="121"/>
      <c r="X965" s="121"/>
      <c r="Y965" s="121"/>
      <c r="Z965" s="121"/>
    </row>
    <row r="966" spans="1:26" ht="11.25" customHeight="1" x14ac:dyDescent="0.3">
      <c r="A966" s="121"/>
      <c r="B966" s="121"/>
      <c r="C966" s="121"/>
      <c r="D966" s="121"/>
      <c r="E966" s="121"/>
      <c r="F966" s="121"/>
      <c r="G966" s="121"/>
      <c r="H966" s="121"/>
      <c r="I966" s="121"/>
      <c r="J966" s="121"/>
      <c r="K966" s="121"/>
      <c r="L966" s="121"/>
      <c r="M966" s="121"/>
      <c r="N966" s="121"/>
      <c r="O966" s="121"/>
      <c r="P966" s="121"/>
      <c r="Q966" s="121"/>
      <c r="R966" s="121"/>
      <c r="S966" s="121"/>
      <c r="T966" s="121"/>
      <c r="U966" s="121"/>
      <c r="V966" s="121"/>
      <c r="W966" s="121"/>
      <c r="X966" s="121"/>
      <c r="Y966" s="121"/>
      <c r="Z966" s="121"/>
    </row>
    <row r="967" spans="1:26" ht="11.25" customHeight="1" x14ac:dyDescent="0.3">
      <c r="A967" s="121"/>
      <c r="B967" s="121"/>
      <c r="C967" s="121"/>
      <c r="D967" s="121"/>
      <c r="E967" s="121"/>
      <c r="F967" s="121"/>
      <c r="G967" s="121"/>
      <c r="H967" s="121"/>
      <c r="I967" s="121"/>
      <c r="J967" s="121"/>
      <c r="K967" s="121"/>
      <c r="L967" s="121"/>
      <c r="M967" s="121"/>
      <c r="N967" s="121"/>
      <c r="O967" s="121"/>
      <c r="P967" s="121"/>
      <c r="Q967" s="121"/>
      <c r="R967" s="121"/>
      <c r="S967" s="121"/>
      <c r="T967" s="121"/>
      <c r="U967" s="121"/>
      <c r="V967" s="121"/>
      <c r="W967" s="121"/>
      <c r="X967" s="121"/>
      <c r="Y967" s="121"/>
      <c r="Z967" s="121"/>
    </row>
    <row r="968" spans="1:26" ht="11.25" customHeight="1" x14ac:dyDescent="0.3">
      <c r="A968" s="121"/>
      <c r="B968" s="121"/>
      <c r="C968" s="121"/>
      <c r="D968" s="121"/>
      <c r="E968" s="121"/>
      <c r="F968" s="121"/>
      <c r="G968" s="121"/>
      <c r="H968" s="121"/>
      <c r="I968" s="121"/>
      <c r="J968" s="121"/>
      <c r="K968" s="121"/>
      <c r="L968" s="121"/>
      <c r="M968" s="121"/>
      <c r="N968" s="121"/>
      <c r="O968" s="121"/>
      <c r="P968" s="121"/>
      <c r="Q968" s="121"/>
      <c r="R968" s="121"/>
      <c r="S968" s="121"/>
      <c r="T968" s="121"/>
      <c r="U968" s="121"/>
      <c r="V968" s="121"/>
      <c r="W968" s="121"/>
      <c r="X968" s="121"/>
      <c r="Y968" s="121"/>
      <c r="Z968" s="121"/>
    </row>
    <row r="969" spans="1:26" ht="11.25" customHeight="1" x14ac:dyDescent="0.3">
      <c r="A969" s="121"/>
      <c r="B969" s="121"/>
      <c r="C969" s="121"/>
      <c r="D969" s="121"/>
      <c r="E969" s="121"/>
      <c r="F969" s="121"/>
      <c r="G969" s="121"/>
      <c r="H969" s="121"/>
      <c r="I969" s="121"/>
      <c r="J969" s="121"/>
      <c r="K969" s="121"/>
      <c r="L969" s="121"/>
      <c r="M969" s="121"/>
      <c r="N969" s="121"/>
      <c r="O969" s="121"/>
      <c r="P969" s="121"/>
      <c r="Q969" s="121"/>
      <c r="R969" s="121"/>
      <c r="S969" s="121"/>
      <c r="T969" s="121"/>
      <c r="U969" s="121"/>
      <c r="V969" s="121"/>
      <c r="W969" s="121"/>
      <c r="X969" s="121"/>
      <c r="Y969" s="121"/>
      <c r="Z969" s="121"/>
    </row>
    <row r="970" spans="1:26" ht="11.25" customHeight="1" x14ac:dyDescent="0.3">
      <c r="A970" s="121"/>
      <c r="B970" s="121"/>
      <c r="C970" s="121"/>
      <c r="D970" s="121"/>
      <c r="E970" s="121"/>
      <c r="F970" s="121"/>
      <c r="G970" s="121"/>
      <c r="H970" s="121"/>
      <c r="I970" s="121"/>
      <c r="J970" s="121"/>
      <c r="K970" s="121"/>
      <c r="L970" s="121"/>
      <c r="M970" s="121"/>
      <c r="N970" s="121"/>
      <c r="O970" s="121"/>
      <c r="P970" s="121"/>
      <c r="Q970" s="121"/>
      <c r="R970" s="121"/>
      <c r="S970" s="121"/>
      <c r="T970" s="121"/>
      <c r="U970" s="121"/>
      <c r="V970" s="121"/>
      <c r="W970" s="121"/>
      <c r="X970" s="121"/>
      <c r="Y970" s="121"/>
      <c r="Z970" s="121"/>
    </row>
    <row r="971" spans="1:26" ht="11.25" customHeight="1" x14ac:dyDescent="0.3">
      <c r="A971" s="121"/>
      <c r="B971" s="121"/>
      <c r="C971" s="121"/>
      <c r="D971" s="121"/>
      <c r="E971" s="121"/>
      <c r="F971" s="121"/>
      <c r="G971" s="121"/>
      <c r="H971" s="121"/>
      <c r="I971" s="121"/>
      <c r="J971" s="121"/>
      <c r="K971" s="121"/>
      <c r="L971" s="121"/>
      <c r="M971" s="121"/>
      <c r="N971" s="121"/>
      <c r="O971" s="121"/>
      <c r="P971" s="121"/>
      <c r="Q971" s="121"/>
      <c r="R971" s="121"/>
      <c r="S971" s="121"/>
      <c r="T971" s="121"/>
      <c r="U971" s="121"/>
      <c r="V971" s="121"/>
      <c r="W971" s="121"/>
      <c r="X971" s="121"/>
      <c r="Y971" s="121"/>
      <c r="Z971" s="121"/>
    </row>
    <row r="972" spans="1:26" ht="11.25" customHeight="1" x14ac:dyDescent="0.3">
      <c r="A972" s="121"/>
      <c r="B972" s="121"/>
      <c r="C972" s="121"/>
      <c r="D972" s="121"/>
      <c r="E972" s="121"/>
      <c r="F972" s="121"/>
      <c r="G972" s="121"/>
      <c r="H972" s="121"/>
      <c r="I972" s="121"/>
      <c r="J972" s="121"/>
      <c r="K972" s="121"/>
      <c r="L972" s="121"/>
      <c r="M972" s="121"/>
      <c r="N972" s="121"/>
      <c r="O972" s="121"/>
      <c r="P972" s="121"/>
      <c r="Q972" s="121"/>
      <c r="R972" s="121"/>
      <c r="S972" s="121"/>
      <c r="T972" s="121"/>
      <c r="U972" s="121"/>
      <c r="V972" s="121"/>
      <c r="W972" s="121"/>
      <c r="X972" s="121"/>
      <c r="Y972" s="121"/>
      <c r="Z972" s="121"/>
    </row>
    <row r="973" spans="1:26" ht="11.25" customHeight="1" x14ac:dyDescent="0.3">
      <c r="A973" s="121"/>
      <c r="B973" s="121"/>
      <c r="C973" s="121"/>
      <c r="D973" s="121"/>
      <c r="E973" s="121"/>
      <c r="F973" s="121"/>
      <c r="G973" s="121"/>
      <c r="H973" s="121"/>
      <c r="I973" s="121"/>
      <c r="J973" s="121"/>
      <c r="K973" s="121"/>
      <c r="L973" s="121"/>
      <c r="M973" s="121"/>
      <c r="N973" s="121"/>
      <c r="O973" s="121"/>
      <c r="P973" s="121"/>
      <c r="Q973" s="121"/>
      <c r="R973" s="121"/>
      <c r="S973" s="121"/>
      <c r="T973" s="121"/>
      <c r="U973" s="121"/>
      <c r="V973" s="121"/>
      <c r="W973" s="121"/>
      <c r="X973" s="121"/>
      <c r="Y973" s="121"/>
      <c r="Z973" s="121"/>
    </row>
    <row r="974" spans="1:26" ht="11.25" customHeight="1" x14ac:dyDescent="0.3">
      <c r="A974" s="121"/>
      <c r="B974" s="121"/>
      <c r="C974" s="121"/>
      <c r="D974" s="121"/>
      <c r="E974" s="121"/>
      <c r="F974" s="121"/>
      <c r="G974" s="121"/>
      <c r="H974" s="121"/>
      <c r="I974" s="121"/>
      <c r="J974" s="121"/>
      <c r="K974" s="121"/>
      <c r="L974" s="121"/>
      <c r="M974" s="121"/>
      <c r="N974" s="121"/>
      <c r="O974" s="121"/>
      <c r="P974" s="121"/>
      <c r="Q974" s="121"/>
      <c r="R974" s="121"/>
      <c r="S974" s="121"/>
      <c r="T974" s="121"/>
      <c r="U974" s="121"/>
      <c r="V974" s="121"/>
      <c r="W974" s="121"/>
      <c r="X974" s="121"/>
      <c r="Y974" s="121"/>
      <c r="Z974" s="121"/>
    </row>
    <row r="975" spans="1:26" ht="11.25" customHeight="1" x14ac:dyDescent="0.3">
      <c r="A975" s="121"/>
      <c r="B975" s="121"/>
      <c r="C975" s="121"/>
      <c r="D975" s="121"/>
      <c r="E975" s="121"/>
      <c r="F975" s="121"/>
      <c r="G975" s="121"/>
      <c r="H975" s="121"/>
      <c r="I975" s="121"/>
      <c r="J975" s="121"/>
      <c r="K975" s="121"/>
      <c r="L975" s="121"/>
      <c r="M975" s="121"/>
      <c r="N975" s="121"/>
      <c r="O975" s="121"/>
      <c r="P975" s="121"/>
      <c r="Q975" s="121"/>
      <c r="R975" s="121"/>
      <c r="S975" s="121"/>
      <c r="T975" s="121"/>
      <c r="U975" s="121"/>
      <c r="V975" s="121"/>
      <c r="W975" s="121"/>
      <c r="X975" s="121"/>
      <c r="Y975" s="121"/>
      <c r="Z975" s="121"/>
    </row>
    <row r="976" spans="1:26" ht="11.25" customHeight="1" x14ac:dyDescent="0.3">
      <c r="A976" s="121"/>
      <c r="B976" s="121"/>
      <c r="C976" s="121"/>
      <c r="D976" s="121"/>
      <c r="E976" s="121"/>
      <c r="F976" s="121"/>
      <c r="G976" s="121"/>
      <c r="H976" s="121"/>
      <c r="I976" s="121"/>
      <c r="J976" s="121"/>
      <c r="K976" s="121"/>
      <c r="L976" s="121"/>
      <c r="M976" s="121"/>
      <c r="N976" s="121"/>
      <c r="O976" s="121"/>
      <c r="P976" s="121"/>
      <c r="Q976" s="121"/>
      <c r="R976" s="121"/>
      <c r="S976" s="121"/>
      <c r="T976" s="121"/>
      <c r="U976" s="121"/>
      <c r="V976" s="121"/>
      <c r="W976" s="121"/>
      <c r="X976" s="121"/>
      <c r="Y976" s="121"/>
      <c r="Z976" s="121"/>
    </row>
    <row r="977" spans="1:26" ht="11.25" customHeight="1" x14ac:dyDescent="0.3">
      <c r="A977" s="121"/>
      <c r="B977" s="121"/>
      <c r="C977" s="121"/>
      <c r="D977" s="121"/>
      <c r="E977" s="121"/>
      <c r="F977" s="121"/>
      <c r="G977" s="121"/>
      <c r="H977" s="121"/>
      <c r="I977" s="121"/>
      <c r="J977" s="121"/>
      <c r="K977" s="121"/>
      <c r="L977" s="121"/>
      <c r="M977" s="121"/>
      <c r="N977" s="121"/>
      <c r="O977" s="121"/>
      <c r="P977" s="121"/>
      <c r="Q977" s="121"/>
      <c r="R977" s="121"/>
      <c r="S977" s="121"/>
      <c r="T977" s="121"/>
      <c r="U977" s="121"/>
      <c r="V977" s="121"/>
      <c r="W977" s="121"/>
      <c r="X977" s="121"/>
      <c r="Y977" s="121"/>
      <c r="Z977" s="121"/>
    </row>
    <row r="978" spans="1:26" ht="11.25" customHeight="1" x14ac:dyDescent="0.3">
      <c r="A978" s="121"/>
      <c r="B978" s="121"/>
      <c r="C978" s="121"/>
      <c r="D978" s="121"/>
      <c r="E978" s="121"/>
      <c r="F978" s="121"/>
      <c r="G978" s="121"/>
      <c r="H978" s="121"/>
      <c r="I978" s="121"/>
      <c r="J978" s="121"/>
      <c r="K978" s="121"/>
      <c r="L978" s="121"/>
      <c r="M978" s="121"/>
      <c r="N978" s="121"/>
      <c r="O978" s="121"/>
      <c r="P978" s="121"/>
      <c r="Q978" s="121"/>
      <c r="R978" s="121"/>
      <c r="S978" s="121"/>
      <c r="T978" s="121"/>
      <c r="U978" s="121"/>
      <c r="V978" s="121"/>
      <c r="W978" s="121"/>
      <c r="X978" s="121"/>
      <c r="Y978" s="121"/>
      <c r="Z978" s="121"/>
    </row>
    <row r="979" spans="1:26" ht="11.25" customHeight="1" x14ac:dyDescent="0.3">
      <c r="A979" s="121"/>
      <c r="B979" s="121"/>
      <c r="C979" s="121"/>
      <c r="D979" s="121"/>
      <c r="E979" s="121"/>
      <c r="F979" s="121"/>
      <c r="G979" s="121"/>
      <c r="H979" s="121"/>
      <c r="I979" s="121"/>
      <c r="J979" s="121"/>
      <c r="K979" s="121"/>
      <c r="L979" s="121"/>
      <c r="M979" s="121"/>
      <c r="N979" s="121"/>
      <c r="O979" s="121"/>
      <c r="P979" s="121"/>
      <c r="Q979" s="121"/>
      <c r="R979" s="121"/>
      <c r="S979" s="121"/>
      <c r="T979" s="121"/>
      <c r="U979" s="121"/>
      <c r="V979" s="121"/>
      <c r="W979" s="121"/>
      <c r="X979" s="121"/>
      <c r="Y979" s="121"/>
      <c r="Z979" s="121"/>
    </row>
    <row r="980" spans="1:26" ht="11.25" customHeight="1" x14ac:dyDescent="0.3">
      <c r="A980" s="121"/>
      <c r="B980" s="121"/>
      <c r="C980" s="121"/>
      <c r="D980" s="121"/>
      <c r="E980" s="121"/>
      <c r="F980" s="121"/>
      <c r="G980" s="121"/>
      <c r="H980" s="121"/>
      <c r="I980" s="121"/>
      <c r="J980" s="121"/>
      <c r="K980" s="121"/>
      <c r="L980" s="121"/>
      <c r="M980" s="121"/>
      <c r="N980" s="121"/>
      <c r="O980" s="121"/>
      <c r="P980" s="121"/>
      <c r="Q980" s="121"/>
      <c r="R980" s="121"/>
      <c r="S980" s="121"/>
      <c r="T980" s="121"/>
      <c r="U980" s="121"/>
      <c r="V980" s="121"/>
      <c r="W980" s="121"/>
      <c r="X980" s="121"/>
      <c r="Y980" s="121"/>
      <c r="Z980" s="121"/>
    </row>
    <row r="981" spans="1:26" ht="11.25" customHeight="1" x14ac:dyDescent="0.3">
      <c r="A981" s="121"/>
      <c r="B981" s="121"/>
      <c r="C981" s="121"/>
      <c r="D981" s="121"/>
      <c r="E981" s="121"/>
      <c r="F981" s="121"/>
      <c r="G981" s="121"/>
      <c r="H981" s="121"/>
      <c r="I981" s="121"/>
      <c r="J981" s="121"/>
      <c r="K981" s="121"/>
      <c r="L981" s="121"/>
      <c r="M981" s="121"/>
      <c r="N981" s="121"/>
      <c r="O981" s="121"/>
      <c r="P981" s="121"/>
      <c r="Q981" s="121"/>
      <c r="R981" s="121"/>
      <c r="S981" s="121"/>
      <c r="T981" s="121"/>
      <c r="U981" s="121"/>
      <c r="V981" s="121"/>
      <c r="W981" s="121"/>
      <c r="X981" s="121"/>
      <c r="Y981" s="121"/>
      <c r="Z981" s="121"/>
    </row>
    <row r="982" spans="1:26" ht="11.25" customHeight="1" x14ac:dyDescent="0.3">
      <c r="A982" s="121"/>
      <c r="B982" s="121"/>
      <c r="C982" s="121"/>
      <c r="D982" s="121"/>
      <c r="E982" s="121"/>
      <c r="F982" s="121"/>
      <c r="G982" s="121"/>
      <c r="H982" s="121"/>
      <c r="I982" s="121"/>
      <c r="J982" s="121"/>
      <c r="K982" s="121"/>
      <c r="L982" s="121"/>
      <c r="M982" s="121"/>
      <c r="N982" s="121"/>
      <c r="O982" s="121"/>
      <c r="P982" s="121"/>
      <c r="Q982" s="121"/>
      <c r="R982" s="121"/>
      <c r="S982" s="121"/>
      <c r="T982" s="121"/>
      <c r="U982" s="121"/>
      <c r="V982" s="121"/>
      <c r="W982" s="121"/>
      <c r="X982" s="121"/>
      <c r="Y982" s="121"/>
      <c r="Z982" s="121"/>
    </row>
    <row r="983" spans="1:26" ht="11.25" customHeight="1" x14ac:dyDescent="0.3">
      <c r="A983" s="121"/>
      <c r="B983" s="121"/>
      <c r="C983" s="121"/>
      <c r="D983" s="121"/>
      <c r="E983" s="121"/>
      <c r="F983" s="121"/>
      <c r="G983" s="121"/>
      <c r="H983" s="121"/>
      <c r="I983" s="121"/>
      <c r="J983" s="121"/>
      <c r="K983" s="121"/>
      <c r="L983" s="121"/>
      <c r="M983" s="121"/>
      <c r="N983" s="121"/>
      <c r="O983" s="121"/>
      <c r="P983" s="121"/>
      <c r="Q983" s="121"/>
      <c r="R983" s="121"/>
      <c r="S983" s="121"/>
      <c r="T983" s="121"/>
      <c r="U983" s="121"/>
      <c r="V983" s="121"/>
      <c r="W983" s="121"/>
      <c r="X983" s="121"/>
      <c r="Y983" s="121"/>
      <c r="Z983" s="121"/>
    </row>
    <row r="984" spans="1:26" ht="11.25" customHeight="1" x14ac:dyDescent="0.3">
      <c r="A984" s="121"/>
      <c r="B984" s="121"/>
      <c r="C984" s="121"/>
      <c r="D984" s="121"/>
      <c r="E984" s="121"/>
      <c r="F984" s="121"/>
      <c r="G984" s="121"/>
      <c r="H984" s="121"/>
      <c r="I984" s="121"/>
      <c r="J984" s="121"/>
      <c r="K984" s="121"/>
      <c r="L984" s="121"/>
      <c r="M984" s="121"/>
      <c r="N984" s="121"/>
      <c r="O984" s="121"/>
      <c r="P984" s="121"/>
      <c r="Q984" s="121"/>
      <c r="R984" s="121"/>
      <c r="S984" s="121"/>
      <c r="T984" s="121"/>
      <c r="U984" s="121"/>
      <c r="V984" s="121"/>
      <c r="W984" s="121"/>
      <c r="X984" s="121"/>
      <c r="Y984" s="121"/>
      <c r="Z984" s="121"/>
    </row>
    <row r="985" spans="1:26" ht="11.25" customHeight="1" x14ac:dyDescent="0.3">
      <c r="A985" s="121"/>
      <c r="B985" s="121"/>
      <c r="C985" s="121"/>
      <c r="D985" s="121"/>
      <c r="E985" s="121"/>
      <c r="F985" s="121"/>
      <c r="G985" s="121"/>
      <c r="H985" s="121"/>
      <c r="I985" s="121"/>
      <c r="J985" s="121"/>
      <c r="K985" s="121"/>
      <c r="L985" s="121"/>
      <c r="M985" s="121"/>
      <c r="N985" s="121"/>
      <c r="O985" s="121"/>
      <c r="P985" s="121"/>
      <c r="Q985" s="121"/>
      <c r="R985" s="121"/>
      <c r="S985" s="121"/>
      <c r="T985" s="121"/>
      <c r="U985" s="121"/>
      <c r="V985" s="121"/>
      <c r="W985" s="121"/>
      <c r="X985" s="121"/>
      <c r="Y985" s="121"/>
      <c r="Z985" s="121"/>
    </row>
    <row r="986" spans="1:26" ht="11.25" customHeight="1" x14ac:dyDescent="0.3">
      <c r="A986" s="121"/>
      <c r="B986" s="121"/>
      <c r="C986" s="121"/>
      <c r="D986" s="121"/>
      <c r="E986" s="121"/>
      <c r="F986" s="121"/>
      <c r="G986" s="121"/>
      <c r="H986" s="121"/>
      <c r="I986" s="121"/>
      <c r="J986" s="121"/>
      <c r="K986" s="121"/>
      <c r="L986" s="121"/>
      <c r="M986" s="121"/>
      <c r="N986" s="121"/>
      <c r="O986" s="121"/>
      <c r="P986" s="121"/>
      <c r="Q986" s="121"/>
      <c r="R986" s="121"/>
      <c r="S986" s="121"/>
      <c r="T986" s="121"/>
      <c r="U986" s="121"/>
      <c r="V986" s="121"/>
      <c r="W986" s="121"/>
      <c r="X986" s="121"/>
      <c r="Y986" s="121"/>
      <c r="Z986" s="121"/>
    </row>
    <row r="987" spans="1:26" ht="11.25" customHeight="1" x14ac:dyDescent="0.3">
      <c r="A987" s="121"/>
      <c r="B987" s="121"/>
      <c r="C987" s="121"/>
      <c r="D987" s="121"/>
      <c r="E987" s="121"/>
      <c r="F987" s="121"/>
      <c r="G987" s="121"/>
      <c r="H987" s="121"/>
      <c r="I987" s="121"/>
      <c r="J987" s="121"/>
      <c r="K987" s="121"/>
      <c r="L987" s="121"/>
      <c r="M987" s="121"/>
      <c r="N987" s="121"/>
      <c r="O987" s="121"/>
      <c r="P987" s="121"/>
      <c r="Q987" s="121"/>
      <c r="R987" s="121"/>
      <c r="S987" s="121"/>
      <c r="T987" s="121"/>
      <c r="U987" s="121"/>
      <c r="V987" s="121"/>
      <c r="W987" s="121"/>
      <c r="X987" s="121"/>
      <c r="Y987" s="121"/>
      <c r="Z987" s="121"/>
    </row>
    <row r="988" spans="1:26" ht="11.25" customHeight="1" x14ac:dyDescent="0.3">
      <c r="A988" s="121"/>
      <c r="B988" s="121"/>
      <c r="C988" s="121"/>
      <c r="D988" s="121"/>
      <c r="E988" s="121"/>
      <c r="F988" s="121"/>
      <c r="G988" s="121"/>
      <c r="H988" s="121"/>
      <c r="I988" s="121"/>
      <c r="J988" s="121"/>
      <c r="K988" s="121"/>
      <c r="L988" s="121"/>
      <c r="M988" s="121"/>
      <c r="N988" s="121"/>
      <c r="O988" s="121"/>
      <c r="P988" s="121"/>
      <c r="Q988" s="121"/>
      <c r="R988" s="121"/>
      <c r="S988" s="121"/>
      <c r="T988" s="121"/>
      <c r="U988" s="121"/>
      <c r="V988" s="121"/>
      <c r="W988" s="121"/>
      <c r="X988" s="121"/>
      <c r="Y988" s="121"/>
      <c r="Z988" s="121"/>
    </row>
    <row r="989" spans="1:26" ht="11.25" customHeight="1" x14ac:dyDescent="0.3">
      <c r="A989" s="121"/>
      <c r="B989" s="121"/>
      <c r="C989" s="121"/>
      <c r="D989" s="121"/>
      <c r="E989" s="121"/>
      <c r="F989" s="121"/>
      <c r="G989" s="121"/>
      <c r="H989" s="121"/>
      <c r="I989" s="121"/>
      <c r="J989" s="121"/>
      <c r="K989" s="121"/>
      <c r="L989" s="121"/>
      <c r="M989" s="121"/>
      <c r="N989" s="121"/>
      <c r="O989" s="121"/>
      <c r="P989" s="121"/>
      <c r="Q989" s="121"/>
      <c r="R989" s="121"/>
      <c r="S989" s="121"/>
      <c r="T989" s="121"/>
      <c r="U989" s="121"/>
      <c r="V989" s="121"/>
      <c r="W989" s="121"/>
      <c r="X989" s="121"/>
      <c r="Y989" s="121"/>
      <c r="Z989" s="121"/>
    </row>
    <row r="990" spans="1:26" ht="11.25" customHeight="1" x14ac:dyDescent="0.3">
      <c r="A990" s="121"/>
      <c r="B990" s="121"/>
      <c r="C990" s="121"/>
      <c r="D990" s="121"/>
      <c r="E990" s="121"/>
      <c r="F990" s="121"/>
      <c r="G990" s="121"/>
      <c r="H990" s="121"/>
      <c r="I990" s="121"/>
      <c r="J990" s="121"/>
      <c r="K990" s="121"/>
      <c r="L990" s="121"/>
      <c r="M990" s="121"/>
      <c r="N990" s="121"/>
      <c r="O990" s="121"/>
      <c r="P990" s="121"/>
      <c r="Q990" s="121"/>
      <c r="R990" s="121"/>
      <c r="S990" s="121"/>
      <c r="T990" s="121"/>
      <c r="U990" s="121"/>
      <c r="V990" s="121"/>
      <c r="W990" s="121"/>
      <c r="X990" s="121"/>
      <c r="Y990" s="121"/>
      <c r="Z990" s="121"/>
    </row>
    <row r="991" spans="1:26" ht="11.25" customHeight="1" x14ac:dyDescent="0.3">
      <c r="A991" s="121"/>
      <c r="B991" s="121"/>
      <c r="C991" s="121"/>
      <c r="D991" s="121"/>
      <c r="E991" s="121"/>
      <c r="F991" s="121"/>
      <c r="G991" s="121"/>
      <c r="H991" s="121"/>
      <c r="I991" s="121"/>
      <c r="J991" s="121"/>
      <c r="K991" s="121"/>
      <c r="L991" s="121"/>
      <c r="M991" s="121"/>
      <c r="N991" s="121"/>
      <c r="O991" s="121"/>
      <c r="P991" s="121"/>
      <c r="Q991" s="121"/>
      <c r="R991" s="121"/>
      <c r="S991" s="121"/>
      <c r="T991" s="121"/>
      <c r="U991" s="121"/>
      <c r="V991" s="121"/>
      <c r="W991" s="121"/>
      <c r="X991" s="121"/>
      <c r="Y991" s="121"/>
      <c r="Z991" s="121"/>
    </row>
    <row r="992" spans="1:26" ht="11.25" customHeight="1" x14ac:dyDescent="0.3">
      <c r="A992" s="121"/>
      <c r="B992" s="121"/>
      <c r="C992" s="121"/>
      <c r="D992" s="121"/>
      <c r="E992" s="121"/>
      <c r="F992" s="121"/>
      <c r="G992" s="121"/>
      <c r="H992" s="121"/>
      <c r="I992" s="121"/>
      <c r="J992" s="121"/>
      <c r="K992" s="121"/>
      <c r="L992" s="121"/>
      <c r="M992" s="121"/>
      <c r="N992" s="121"/>
      <c r="O992" s="121"/>
      <c r="P992" s="121"/>
      <c r="Q992" s="121"/>
      <c r="R992" s="121"/>
      <c r="S992" s="121"/>
      <c r="T992" s="121"/>
      <c r="U992" s="121"/>
      <c r="V992" s="121"/>
      <c r="W992" s="121"/>
      <c r="X992" s="121"/>
      <c r="Y992" s="121"/>
      <c r="Z992" s="121"/>
    </row>
    <row r="993" spans="1:26" ht="11.25" customHeight="1" x14ac:dyDescent="0.3">
      <c r="A993" s="121"/>
      <c r="B993" s="121"/>
      <c r="C993" s="121"/>
      <c r="D993" s="121"/>
      <c r="E993" s="121"/>
      <c r="F993" s="121"/>
      <c r="G993" s="121"/>
      <c r="H993" s="121"/>
      <c r="I993" s="121"/>
      <c r="J993" s="121"/>
      <c r="K993" s="121"/>
      <c r="L993" s="121"/>
      <c r="M993" s="121"/>
      <c r="N993" s="121"/>
      <c r="O993" s="121"/>
      <c r="P993" s="121"/>
      <c r="Q993" s="121"/>
      <c r="R993" s="121"/>
      <c r="S993" s="121"/>
      <c r="T993" s="121"/>
      <c r="U993" s="121"/>
      <c r="V993" s="121"/>
      <c r="W993" s="121"/>
      <c r="X993" s="121"/>
      <c r="Y993" s="121"/>
      <c r="Z993" s="121"/>
    </row>
    <row r="994" spans="1:26" ht="11.25" customHeight="1" x14ac:dyDescent="0.3">
      <c r="A994" s="121"/>
      <c r="B994" s="121"/>
      <c r="C994" s="121"/>
      <c r="D994" s="121"/>
      <c r="E994" s="121"/>
      <c r="F994" s="121"/>
      <c r="G994" s="121"/>
      <c r="H994" s="121"/>
      <c r="I994" s="121"/>
      <c r="J994" s="121"/>
      <c r="K994" s="121"/>
      <c r="L994" s="121"/>
      <c r="M994" s="121"/>
      <c r="N994" s="121"/>
      <c r="O994" s="121"/>
      <c r="P994" s="121"/>
      <c r="Q994" s="121"/>
      <c r="R994" s="121"/>
      <c r="S994" s="121"/>
      <c r="T994" s="121"/>
      <c r="U994" s="121"/>
      <c r="V994" s="121"/>
      <c r="W994" s="121"/>
      <c r="X994" s="121"/>
      <c r="Y994" s="121"/>
      <c r="Z994" s="121"/>
    </row>
    <row r="995" spans="1:26" ht="11.25" customHeight="1" x14ac:dyDescent="0.3">
      <c r="A995" s="121"/>
      <c r="B995" s="121"/>
      <c r="C995" s="121"/>
      <c r="D995" s="121"/>
      <c r="E995" s="121"/>
      <c r="F995" s="121"/>
      <c r="G995" s="121"/>
      <c r="H995" s="121"/>
      <c r="I995" s="121"/>
      <c r="J995" s="121"/>
      <c r="K995" s="121"/>
      <c r="L995" s="121"/>
      <c r="M995" s="121"/>
      <c r="N995" s="121"/>
      <c r="O995" s="121"/>
      <c r="P995" s="121"/>
      <c r="Q995" s="121"/>
      <c r="R995" s="121"/>
      <c r="S995" s="121"/>
      <c r="T995" s="121"/>
      <c r="U995" s="121"/>
      <c r="V995" s="121"/>
      <c r="W995" s="121"/>
      <c r="X995" s="121"/>
      <c r="Y995" s="121"/>
      <c r="Z995" s="121"/>
    </row>
    <row r="996" spans="1:26" ht="11.25" customHeight="1" x14ac:dyDescent="0.3">
      <c r="A996" s="121"/>
      <c r="B996" s="121"/>
      <c r="C996" s="121"/>
      <c r="D996" s="121"/>
      <c r="E996" s="121"/>
      <c r="F996" s="121"/>
      <c r="G996" s="121"/>
      <c r="H996" s="121"/>
      <c r="I996" s="121"/>
      <c r="J996" s="121"/>
      <c r="K996" s="121"/>
      <c r="L996" s="121"/>
      <c r="M996" s="121"/>
      <c r="N996" s="121"/>
      <c r="O996" s="121"/>
      <c r="P996" s="121"/>
      <c r="Q996" s="121"/>
      <c r="R996" s="121"/>
      <c r="S996" s="121"/>
      <c r="T996" s="121"/>
      <c r="U996" s="121"/>
      <c r="V996" s="121"/>
      <c r="W996" s="121"/>
      <c r="X996" s="121"/>
      <c r="Y996" s="121"/>
      <c r="Z996" s="121"/>
    </row>
    <row r="997" spans="1:26" ht="11.25" customHeight="1" x14ac:dyDescent="0.3">
      <c r="A997" s="121"/>
      <c r="B997" s="121"/>
      <c r="C997" s="121"/>
      <c r="D997" s="121"/>
      <c r="E997" s="121"/>
      <c r="F997" s="121"/>
      <c r="G997" s="121"/>
      <c r="H997" s="121"/>
      <c r="I997" s="121"/>
      <c r="J997" s="121"/>
      <c r="K997" s="121"/>
      <c r="L997" s="121"/>
      <c r="M997" s="121"/>
      <c r="N997" s="121"/>
      <c r="O997" s="121"/>
      <c r="P997" s="121"/>
      <c r="Q997" s="121"/>
      <c r="R997" s="121"/>
      <c r="S997" s="121"/>
      <c r="T997" s="121"/>
      <c r="U997" s="121"/>
      <c r="V997" s="121"/>
      <c r="W997" s="121"/>
      <c r="X997" s="121"/>
      <c r="Y997" s="121"/>
      <c r="Z997" s="121"/>
    </row>
    <row r="998" spans="1:26" ht="11.25" customHeight="1" x14ac:dyDescent="0.3">
      <c r="A998" s="121"/>
      <c r="B998" s="121"/>
      <c r="C998" s="121"/>
      <c r="D998" s="121"/>
      <c r="E998" s="121"/>
      <c r="F998" s="121"/>
      <c r="G998" s="121"/>
      <c r="H998" s="121"/>
      <c r="I998" s="121"/>
      <c r="J998" s="121"/>
      <c r="K998" s="121"/>
      <c r="L998" s="121"/>
      <c r="M998" s="121"/>
      <c r="N998" s="121"/>
      <c r="O998" s="121"/>
      <c r="P998" s="121"/>
      <c r="Q998" s="121"/>
      <c r="R998" s="121"/>
      <c r="S998" s="121"/>
      <c r="T998" s="121"/>
      <c r="U998" s="121"/>
      <c r="V998" s="121"/>
      <c r="W998" s="121"/>
      <c r="X998" s="121"/>
      <c r="Y998" s="121"/>
      <c r="Z998" s="121"/>
    </row>
    <row r="999" spans="1:26" ht="11.25" customHeight="1" x14ac:dyDescent="0.3">
      <c r="A999" s="121"/>
      <c r="B999" s="121"/>
      <c r="C999" s="121"/>
      <c r="D999" s="121"/>
      <c r="E999" s="121"/>
      <c r="F999" s="121"/>
      <c r="G999" s="121"/>
      <c r="H999" s="121"/>
      <c r="I999" s="121"/>
      <c r="J999" s="121"/>
      <c r="K999" s="121"/>
      <c r="L999" s="121"/>
      <c r="M999" s="121"/>
      <c r="N999" s="121"/>
      <c r="O999" s="121"/>
      <c r="P999" s="121"/>
      <c r="Q999" s="121"/>
      <c r="R999" s="121"/>
      <c r="S999" s="121"/>
      <c r="T999" s="121"/>
      <c r="U999" s="121"/>
      <c r="V999" s="121"/>
      <c r="W999" s="121"/>
      <c r="X999" s="121"/>
      <c r="Y999" s="121"/>
      <c r="Z999" s="121"/>
    </row>
    <row r="1000" spans="1:26" ht="11.25" customHeight="1" x14ac:dyDescent="0.3">
      <c r="A1000" s="121"/>
      <c r="B1000" s="121"/>
      <c r="C1000" s="121"/>
      <c r="D1000" s="121"/>
      <c r="E1000" s="121"/>
      <c r="F1000" s="121"/>
      <c r="G1000" s="121"/>
      <c r="H1000" s="121"/>
      <c r="I1000" s="121"/>
      <c r="J1000" s="121"/>
      <c r="K1000" s="121"/>
      <c r="L1000" s="121"/>
      <c r="M1000" s="121"/>
      <c r="N1000" s="121"/>
      <c r="O1000" s="121"/>
      <c r="P1000" s="121"/>
      <c r="Q1000" s="121"/>
      <c r="R1000" s="121"/>
      <c r="S1000" s="121"/>
      <c r="T1000" s="121"/>
      <c r="U1000" s="121"/>
      <c r="V1000" s="121"/>
      <c r="W1000" s="121"/>
      <c r="X1000" s="121"/>
      <c r="Y1000" s="121"/>
      <c r="Z1000" s="121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workbookViewId="0">
      <selection activeCell="T14" sqref="T14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85" t="s">
        <v>224</v>
      </c>
      <c r="B1" s="186" t="s">
        <v>225</v>
      </c>
      <c r="C1" s="187" t="s">
        <v>226</v>
      </c>
      <c r="D1" s="188"/>
      <c r="E1" s="189" t="s">
        <v>227</v>
      </c>
      <c r="F1" s="190" t="s">
        <v>228</v>
      </c>
      <c r="G1" s="191" t="s">
        <v>229</v>
      </c>
      <c r="H1" s="192" t="s">
        <v>230</v>
      </c>
      <c r="I1" s="193"/>
      <c r="J1" s="194" t="s">
        <v>231</v>
      </c>
      <c r="K1" s="195" t="s">
        <v>232</v>
      </c>
      <c r="L1" s="196" t="s">
        <v>229</v>
      </c>
      <c r="M1" s="197" t="s">
        <v>233</v>
      </c>
      <c r="N1" s="198"/>
      <c r="O1" s="199" t="s">
        <v>234</v>
      </c>
      <c r="P1" s="200" t="s">
        <v>235</v>
      </c>
      <c r="Q1" s="201" t="s">
        <v>229</v>
      </c>
      <c r="R1" s="198"/>
      <c r="S1" s="193"/>
      <c r="T1" s="198"/>
    </row>
    <row r="2" spans="1:20" ht="11.25" customHeight="1" x14ac:dyDescent="0.3">
      <c r="A2" s="202" t="s">
        <v>236</v>
      </c>
      <c r="B2" s="203">
        <v>2</v>
      </c>
      <c r="C2" s="204">
        <v>2</v>
      </c>
      <c r="D2" s="188" t="s">
        <v>287</v>
      </c>
      <c r="E2" s="205">
        <f>(B2*'Proposed Budget'!$O$68)+(C2*'Proposed Budget'!$O$44)+'Proposed Budget'!$L$21+'Proposed Budget'!$L$22</f>
        <v>16606.55292099333</v>
      </c>
      <c r="F2" s="206">
        <f>SUM('Monthly Breakdown'!I49:I52)</f>
        <v>15639.36</v>
      </c>
      <c r="G2" s="207">
        <f t="shared" ref="G2:G13" si="0">F2-E2</f>
        <v>-967.19292099332961</v>
      </c>
      <c r="H2" s="208">
        <f t="shared" ref="H2:H13" si="1">((F2-E2)/E2)</f>
        <v>-5.8241642657257522E-2</v>
      </c>
      <c r="I2" s="198"/>
      <c r="J2" s="209">
        <f t="shared" ref="J2:K2" si="2">SUM(O20,E20,J20)</f>
        <v>13000</v>
      </c>
      <c r="K2" s="210">
        <f t="shared" si="2"/>
        <v>12394.720000000001</v>
      </c>
      <c r="L2" s="211">
        <f t="shared" ref="L2:L13" si="3">J2-K2</f>
        <v>605.27999999999884</v>
      </c>
      <c r="M2" s="212">
        <f t="shared" ref="M2:M13" si="4">((K2-J2)/J2)</f>
        <v>-4.6559999999999907E-2</v>
      </c>
      <c r="N2" s="198"/>
      <c r="O2" s="213">
        <f t="shared" ref="O2:O13" si="5">E2-O20-E20-J20</f>
        <v>3606.5529209933302</v>
      </c>
      <c r="P2" s="214">
        <f>SUM('Monthly Breakdown'!I45:I46)</f>
        <v>3244.64</v>
      </c>
      <c r="Q2" s="215">
        <f t="shared" ref="Q2:Q13" si="6">P2-O2</f>
        <v>-361.91292099333032</v>
      </c>
      <c r="R2" s="198"/>
      <c r="S2" s="198"/>
      <c r="T2" s="198">
        <f t="shared" ref="T2:T13" si="7">F2-K2-P2</f>
        <v>0</v>
      </c>
    </row>
    <row r="3" spans="1:20" ht="11.25" customHeight="1" x14ac:dyDescent="0.3">
      <c r="A3" s="202" t="s">
        <v>237</v>
      </c>
      <c r="B3" s="203">
        <v>2</v>
      </c>
      <c r="C3" s="204">
        <v>2</v>
      </c>
      <c r="D3" s="188" t="s">
        <v>287</v>
      </c>
      <c r="E3" s="205">
        <f>(B3*'Proposed Budget'!$O$68)+(C3*'Proposed Budget'!$O$44)+'Proposed Budget'!$L$21+'Proposed Budget'!$L$22</f>
        <v>16606.55292099333</v>
      </c>
      <c r="F3" s="206">
        <f>SUM('Monthly Breakdown'!K49:K52)</f>
        <v>16615.62</v>
      </c>
      <c r="G3" s="207">
        <f t="shared" si="0"/>
        <v>9.0670790066687914</v>
      </c>
      <c r="H3" s="208">
        <f t="shared" si="1"/>
        <v>5.4599404523057629E-4</v>
      </c>
      <c r="I3" s="198"/>
      <c r="J3" s="209">
        <f t="shared" ref="J3:K3" si="8">SUM(O21,E21,J21)</f>
        <v>13000</v>
      </c>
      <c r="K3" s="210">
        <f t="shared" si="8"/>
        <v>12800.71</v>
      </c>
      <c r="L3" s="211">
        <f t="shared" si="3"/>
        <v>199.29000000000087</v>
      </c>
      <c r="M3" s="212">
        <f t="shared" si="4"/>
        <v>-1.5330000000000068E-2</v>
      </c>
      <c r="N3" s="198"/>
      <c r="O3" s="213">
        <f t="shared" si="5"/>
        <v>3606.5529209933302</v>
      </c>
      <c r="P3" s="214">
        <f>SUM('Monthly Breakdown'!K45:K46)</f>
        <v>3814.91</v>
      </c>
      <c r="Q3" s="215">
        <f t="shared" si="6"/>
        <v>208.35707900666966</v>
      </c>
      <c r="R3" s="198"/>
      <c r="S3" s="198"/>
      <c r="T3" s="198">
        <f t="shared" si="7"/>
        <v>0</v>
      </c>
    </row>
    <row r="4" spans="1:20" ht="11.25" customHeight="1" x14ac:dyDescent="0.3">
      <c r="A4" s="202" t="s">
        <v>238</v>
      </c>
      <c r="B4" s="203">
        <v>2</v>
      </c>
      <c r="C4" s="204">
        <v>2</v>
      </c>
      <c r="D4" s="188" t="s">
        <v>287</v>
      </c>
      <c r="E4" s="205">
        <f>(B4*'Proposed Budget'!$O$68)+(C4*'Proposed Budget'!$O$44)+'Proposed Budget'!$L$21+'Proposed Budget'!$L$22</f>
        <v>16606.55292099333</v>
      </c>
      <c r="F4" s="206">
        <f>SUM('Monthly Breakdown'!M49:M52)</f>
        <v>16971.29</v>
      </c>
      <c r="G4" s="207">
        <f t="shared" si="0"/>
        <v>364.73707900667068</v>
      </c>
      <c r="H4" s="208">
        <f t="shared" si="1"/>
        <v>2.1963443030105594E-2</v>
      </c>
      <c r="I4" s="198"/>
      <c r="J4" s="209">
        <f t="shared" ref="J4:K4" si="9">SUM(O22,E22,J22)</f>
        <v>13000</v>
      </c>
      <c r="K4" s="210">
        <f t="shared" si="9"/>
        <v>12611.71</v>
      </c>
      <c r="L4" s="211">
        <f t="shared" si="3"/>
        <v>388.29000000000087</v>
      </c>
      <c r="M4" s="212">
        <f t="shared" si="4"/>
        <v>-2.9868461538461604E-2</v>
      </c>
      <c r="N4" s="198"/>
      <c r="O4" s="213">
        <f t="shared" si="5"/>
        <v>3606.5529209933302</v>
      </c>
      <c r="P4" s="214">
        <f>SUM('Monthly Breakdown'!M45:M46)</f>
        <v>4359.58</v>
      </c>
      <c r="Q4" s="215">
        <f t="shared" si="6"/>
        <v>753.02707900666974</v>
      </c>
      <c r="R4" s="198"/>
      <c r="S4" s="198"/>
      <c r="T4" s="198">
        <f t="shared" si="7"/>
        <v>0</v>
      </c>
    </row>
    <row r="5" spans="1:20" ht="11.25" customHeight="1" x14ac:dyDescent="0.3">
      <c r="A5" s="202" t="s">
        <v>239</v>
      </c>
      <c r="B5" s="203">
        <v>2</v>
      </c>
      <c r="C5" s="204">
        <v>3</v>
      </c>
      <c r="D5" s="188" t="s">
        <v>287</v>
      </c>
      <c r="E5" s="205">
        <f>(B5*'Proposed Budget'!$O$68)+(C5*'Proposed Budget'!$O$44)+'Proposed Budget'!$L$21+'Proposed Budget'!$L$22</f>
        <v>19370.33642599333</v>
      </c>
      <c r="F5" s="206">
        <f>SUM('Monthly Breakdown'!O49:O52)</f>
        <v>18875.669999999998</v>
      </c>
      <c r="G5" s="207">
        <f t="shared" si="0"/>
        <v>-494.66642599333136</v>
      </c>
      <c r="H5" s="208">
        <f t="shared" si="1"/>
        <v>-2.5537317221270946E-2</v>
      </c>
      <c r="I5" s="198"/>
      <c r="J5" s="209">
        <f t="shared" ref="J5:K5" si="10">SUM(O23,E23,J23)</f>
        <v>13000</v>
      </c>
      <c r="K5" s="210">
        <f t="shared" si="10"/>
        <v>13208.85</v>
      </c>
      <c r="L5" s="211">
        <f t="shared" si="3"/>
        <v>-208.85000000000036</v>
      </c>
      <c r="M5" s="212">
        <f t="shared" si="4"/>
        <v>1.6065384615384645E-2</v>
      </c>
      <c r="N5" s="198"/>
      <c r="O5" s="213">
        <f t="shared" si="5"/>
        <v>6370.3364259933296</v>
      </c>
      <c r="P5" s="214">
        <f>SUM('Monthly Breakdown'!O45:O46)</f>
        <v>5666.82</v>
      </c>
      <c r="Q5" s="215">
        <f t="shared" si="6"/>
        <v>-703.5164259933299</v>
      </c>
      <c r="R5" s="198"/>
      <c r="S5" s="198"/>
      <c r="T5" s="198">
        <f t="shared" si="7"/>
        <v>0</v>
      </c>
    </row>
    <row r="6" spans="1:20" ht="11.25" customHeight="1" x14ac:dyDescent="0.3">
      <c r="A6" s="202" t="s">
        <v>240</v>
      </c>
      <c r="B6" s="203">
        <v>2</v>
      </c>
      <c r="C6" s="204">
        <v>2</v>
      </c>
      <c r="D6" s="188" t="s">
        <v>287</v>
      </c>
      <c r="E6" s="205">
        <f>(B6*'Proposed Budget'!$O$68)+(C6*'Proposed Budget'!$O$44)+'Proposed Budget'!$L$21+'Proposed Budget'!$L$22</f>
        <v>16606.55292099333</v>
      </c>
      <c r="F6" s="206">
        <f>SUM('Monthly Breakdown'!Q49:Q52)</f>
        <v>14973.2</v>
      </c>
      <c r="G6" s="207">
        <f t="shared" si="0"/>
        <v>-1633.3529209933295</v>
      </c>
      <c r="H6" s="208">
        <f t="shared" si="1"/>
        <v>-9.8355927853546951E-2</v>
      </c>
      <c r="I6" s="198"/>
      <c r="J6" s="209">
        <f t="shared" ref="J6:K6" si="11">SUM(O24,E24,J24)</f>
        <v>13000</v>
      </c>
      <c r="K6" s="210">
        <f t="shared" si="11"/>
        <v>13762.84</v>
      </c>
      <c r="L6" s="211">
        <f t="shared" si="3"/>
        <v>-762.84000000000015</v>
      </c>
      <c r="M6" s="212">
        <f t="shared" si="4"/>
        <v>5.868000000000001E-2</v>
      </c>
      <c r="N6" s="198"/>
      <c r="O6" s="213">
        <f t="shared" si="5"/>
        <v>3606.5529209933302</v>
      </c>
      <c r="P6" s="214">
        <f>SUM('Monthly Breakdown'!Q45:Q46)</f>
        <v>1210.3599999999999</v>
      </c>
      <c r="Q6" s="215">
        <f t="shared" si="6"/>
        <v>-2396.1929209933305</v>
      </c>
      <c r="R6" s="198"/>
      <c r="S6" s="198"/>
      <c r="T6" s="198">
        <f t="shared" si="7"/>
        <v>0</v>
      </c>
    </row>
    <row r="7" spans="1:20" ht="11.25" customHeight="1" x14ac:dyDescent="0.3">
      <c r="A7" s="202" t="s">
        <v>241</v>
      </c>
      <c r="B7" s="203">
        <v>2</v>
      </c>
      <c r="C7" s="204">
        <v>2</v>
      </c>
      <c r="D7" s="188"/>
      <c r="E7" s="205">
        <f>(B7*'Proposed Budget'!$O$68)+(C7*'Proposed Budget'!$O$44)+'Proposed Budget'!$L$21+'Proposed Budget'!$L$22</f>
        <v>16606.55292099333</v>
      </c>
      <c r="F7" s="206">
        <f>SUM('Monthly Breakdown'!S49:S52)</f>
        <v>17750.78</v>
      </c>
      <c r="G7" s="207">
        <f t="shared" si="0"/>
        <v>1144.2270790066686</v>
      </c>
      <c r="H7" s="208">
        <f t="shared" si="1"/>
        <v>6.8902142693333016E-2</v>
      </c>
      <c r="I7" s="198"/>
      <c r="J7" s="209">
        <f t="shared" ref="J7:K7" si="12">SUM(O25,E25,J25)</f>
        <v>13000</v>
      </c>
      <c r="K7" s="210">
        <f t="shared" si="12"/>
        <v>11039.220000000001</v>
      </c>
      <c r="L7" s="211">
        <f t="shared" si="3"/>
        <v>1960.7799999999988</v>
      </c>
      <c r="M7" s="212">
        <f t="shared" si="4"/>
        <v>-0.15082923076923069</v>
      </c>
      <c r="N7" s="198"/>
      <c r="O7" s="213">
        <f t="shared" si="5"/>
        <v>3606.5529209933302</v>
      </c>
      <c r="P7" s="214">
        <f>SUM('Monthly Breakdown'!S45:S46)</f>
        <v>50</v>
      </c>
      <c r="Q7" s="215">
        <f t="shared" si="6"/>
        <v>-3556.5529209933302</v>
      </c>
      <c r="R7" s="198"/>
      <c r="S7" s="198"/>
      <c r="T7" s="198">
        <f t="shared" si="7"/>
        <v>6661.5599999999977</v>
      </c>
    </row>
    <row r="8" spans="1:20" ht="11.25" customHeight="1" x14ac:dyDescent="0.3">
      <c r="A8" s="202" t="s">
        <v>242</v>
      </c>
      <c r="B8" s="203">
        <v>2</v>
      </c>
      <c r="C8" s="204">
        <v>2</v>
      </c>
      <c r="D8" s="188"/>
      <c r="E8" s="205">
        <f>(B8*'Proposed Budget'!$O$68)+(C8*'Proposed Budget'!$O$44)+'Proposed Budget'!$L$21+'Proposed Budget'!$L$22</f>
        <v>16606.55292099333</v>
      </c>
      <c r="F8" s="206">
        <f>SUM('Monthly Breakdown'!U49:U52)</f>
        <v>0</v>
      </c>
      <c r="G8" s="207">
        <f t="shared" si="0"/>
        <v>-16606.55292099333</v>
      </c>
      <c r="H8" s="208">
        <f t="shared" si="1"/>
        <v>-1</v>
      </c>
      <c r="I8" s="198"/>
      <c r="J8" s="209">
        <f t="shared" ref="J8:K8" si="13">SUM(O26,E26,J26)</f>
        <v>13000</v>
      </c>
      <c r="K8" s="210">
        <f t="shared" si="13"/>
        <v>0</v>
      </c>
      <c r="L8" s="211">
        <f t="shared" si="3"/>
        <v>13000</v>
      </c>
      <c r="M8" s="212">
        <f t="shared" si="4"/>
        <v>-1</v>
      </c>
      <c r="N8" s="198"/>
      <c r="O8" s="213">
        <f t="shared" si="5"/>
        <v>3606.5529209933302</v>
      </c>
      <c r="P8" s="214">
        <f>SUM('Monthly Breakdown'!U45:U46)</f>
        <v>0</v>
      </c>
      <c r="Q8" s="215">
        <f t="shared" si="6"/>
        <v>-3606.5529209933302</v>
      </c>
      <c r="R8" s="198"/>
      <c r="S8" s="198"/>
      <c r="T8" s="198">
        <f t="shared" si="7"/>
        <v>0</v>
      </c>
    </row>
    <row r="9" spans="1:20" ht="11.25" customHeight="1" x14ac:dyDescent="0.3">
      <c r="A9" s="202" t="s">
        <v>243</v>
      </c>
      <c r="B9" s="203">
        <v>2</v>
      </c>
      <c r="C9" s="204">
        <v>2</v>
      </c>
      <c r="D9" s="188"/>
      <c r="E9" s="205">
        <f>(B9*'Proposed Budget'!$O$68)+(C9*'Proposed Budget'!$O$44)+'Proposed Budget'!$L$21+'Proposed Budget'!$L$22</f>
        <v>16606.55292099333</v>
      </c>
      <c r="F9" s="206">
        <f>SUM('Monthly Breakdown'!W49:W52)</f>
        <v>0</v>
      </c>
      <c r="G9" s="207">
        <f t="shared" si="0"/>
        <v>-16606.55292099333</v>
      </c>
      <c r="H9" s="208">
        <f t="shared" si="1"/>
        <v>-1</v>
      </c>
      <c r="I9" s="198"/>
      <c r="J9" s="209">
        <f t="shared" ref="J9:K9" si="14">SUM(O27,E27,J27)</f>
        <v>13000</v>
      </c>
      <c r="K9" s="210">
        <f t="shared" si="14"/>
        <v>0</v>
      </c>
      <c r="L9" s="211">
        <f t="shared" si="3"/>
        <v>13000</v>
      </c>
      <c r="M9" s="212">
        <f t="shared" si="4"/>
        <v>-1</v>
      </c>
      <c r="N9" s="198"/>
      <c r="O9" s="213">
        <f t="shared" si="5"/>
        <v>3606.5529209933302</v>
      </c>
      <c r="P9" s="214">
        <f>SUM('Monthly Breakdown'!W45:W46)</f>
        <v>0</v>
      </c>
      <c r="Q9" s="215">
        <f t="shared" si="6"/>
        <v>-3606.5529209933302</v>
      </c>
      <c r="R9" s="198"/>
      <c r="S9" s="198"/>
      <c r="T9" s="198">
        <f t="shared" si="7"/>
        <v>0</v>
      </c>
    </row>
    <row r="10" spans="1:20" ht="11.25" customHeight="1" x14ac:dyDescent="0.3">
      <c r="A10" s="216" t="s">
        <v>244</v>
      </c>
      <c r="B10" s="203">
        <v>2</v>
      </c>
      <c r="C10" s="204">
        <v>3</v>
      </c>
      <c r="D10" s="188"/>
      <c r="E10" s="205">
        <f>(B10*'Proposed Budget'!$O$68)+(C10*'Proposed Budget'!$O$44)+'Proposed Budget'!$L$21+'Proposed Budget'!$L$22</f>
        <v>19370.33642599333</v>
      </c>
      <c r="F10" s="206">
        <f>SUM('Monthly Breakdown'!Y49:Y52)</f>
        <v>0</v>
      </c>
      <c r="G10" s="207">
        <f t="shared" si="0"/>
        <v>-19370.33642599333</v>
      </c>
      <c r="H10" s="208">
        <f t="shared" si="1"/>
        <v>-1</v>
      </c>
      <c r="I10" s="198"/>
      <c r="J10" s="209">
        <f t="shared" ref="J10:K10" si="15">SUM(O28,E28,J28)</f>
        <v>13000</v>
      </c>
      <c r="K10" s="210">
        <f t="shared" si="15"/>
        <v>0</v>
      </c>
      <c r="L10" s="211">
        <f t="shared" si="3"/>
        <v>13000</v>
      </c>
      <c r="M10" s="212">
        <f t="shared" si="4"/>
        <v>-1</v>
      </c>
      <c r="N10" s="198"/>
      <c r="O10" s="213">
        <f t="shared" si="5"/>
        <v>6370.3364259933296</v>
      </c>
      <c r="P10" s="214">
        <f>SUM('Monthly Breakdown'!Y45:Y46)</f>
        <v>0</v>
      </c>
      <c r="Q10" s="215">
        <f t="shared" si="6"/>
        <v>-6370.3364259933296</v>
      </c>
      <c r="R10" s="198"/>
      <c r="S10" s="198"/>
      <c r="T10" s="198">
        <f t="shared" si="7"/>
        <v>0</v>
      </c>
    </row>
    <row r="11" spans="1:20" ht="11.25" customHeight="1" x14ac:dyDescent="0.3">
      <c r="A11" s="216" t="s">
        <v>245</v>
      </c>
      <c r="B11" s="203">
        <v>2</v>
      </c>
      <c r="C11" s="204">
        <v>2</v>
      </c>
      <c r="D11" s="188"/>
      <c r="E11" s="205">
        <f>(B11*'Proposed Budget'!$O$68)+(C11*'Proposed Budget'!$O$44)+'Proposed Budget'!$L$21+'Proposed Budget'!$L$22</f>
        <v>16606.55292099333</v>
      </c>
      <c r="F11" s="206">
        <f>SUM('Monthly Breakdown'!AA49:AA52)</f>
        <v>0</v>
      </c>
      <c r="G11" s="207">
        <f t="shared" si="0"/>
        <v>-16606.55292099333</v>
      </c>
      <c r="H11" s="208">
        <f t="shared" si="1"/>
        <v>-1</v>
      </c>
      <c r="I11" s="198"/>
      <c r="J11" s="209">
        <f t="shared" ref="J11:K11" si="16">SUM(O29,E29,J29)</f>
        <v>13000</v>
      </c>
      <c r="K11" s="210">
        <f t="shared" si="16"/>
        <v>0</v>
      </c>
      <c r="L11" s="211">
        <f t="shared" si="3"/>
        <v>13000</v>
      </c>
      <c r="M11" s="212">
        <f t="shared" si="4"/>
        <v>-1</v>
      </c>
      <c r="N11" s="198"/>
      <c r="O11" s="213">
        <f t="shared" si="5"/>
        <v>3606.5529209933302</v>
      </c>
      <c r="P11" s="214">
        <f>SUM('Monthly Breakdown'!AA45:AA46)</f>
        <v>0</v>
      </c>
      <c r="Q11" s="215">
        <f t="shared" si="6"/>
        <v>-3606.5529209933302</v>
      </c>
      <c r="R11" s="198"/>
      <c r="S11" s="198"/>
      <c r="T11" s="198">
        <f t="shared" si="7"/>
        <v>0</v>
      </c>
    </row>
    <row r="12" spans="1:20" ht="11.25" customHeight="1" x14ac:dyDescent="0.3">
      <c r="A12" s="216" t="s">
        <v>246</v>
      </c>
      <c r="B12" s="203">
        <v>2</v>
      </c>
      <c r="C12" s="204">
        <v>2</v>
      </c>
      <c r="D12" s="188"/>
      <c r="E12" s="205">
        <f>(B12*'Proposed Budget'!$O$68)+(C12*'Proposed Budget'!$O$44)+'Proposed Budget'!$L$21+'Proposed Budget'!$L$22</f>
        <v>16606.55292099333</v>
      </c>
      <c r="F12" s="206">
        <f>SUM('Monthly Breakdown'!AC49:AC52)</f>
        <v>0</v>
      </c>
      <c r="G12" s="207">
        <f t="shared" si="0"/>
        <v>-16606.55292099333</v>
      </c>
      <c r="H12" s="208">
        <f t="shared" si="1"/>
        <v>-1</v>
      </c>
      <c r="I12" s="198"/>
      <c r="J12" s="209">
        <f t="shared" ref="J12:K12" si="17">SUM(O30,E30,J30)</f>
        <v>13000</v>
      </c>
      <c r="K12" s="210">
        <f t="shared" si="17"/>
        <v>0</v>
      </c>
      <c r="L12" s="211">
        <f t="shared" si="3"/>
        <v>13000</v>
      </c>
      <c r="M12" s="212">
        <f t="shared" si="4"/>
        <v>-1</v>
      </c>
      <c r="N12" s="198"/>
      <c r="O12" s="213">
        <f t="shared" si="5"/>
        <v>3606.5529209933302</v>
      </c>
      <c r="P12" s="214">
        <f>SUM('Monthly Breakdown'!AC45:AC46)</f>
        <v>0</v>
      </c>
      <c r="Q12" s="215">
        <f t="shared" si="6"/>
        <v>-3606.5529209933302</v>
      </c>
      <c r="R12" s="198"/>
      <c r="S12" s="198"/>
      <c r="T12" s="198">
        <f t="shared" si="7"/>
        <v>0</v>
      </c>
    </row>
    <row r="13" spans="1:20" ht="11.25" customHeight="1" x14ac:dyDescent="0.3">
      <c r="A13" s="216" t="s">
        <v>247</v>
      </c>
      <c r="B13" s="203">
        <v>2</v>
      </c>
      <c r="C13" s="204">
        <v>2</v>
      </c>
      <c r="D13" s="188"/>
      <c r="E13" s="205">
        <f>(B13*'Proposed Budget'!$O$68)+(C13*'Proposed Budget'!$O$44)+'Proposed Budget'!$L$21+'Proposed Budget'!$L$22</f>
        <v>16606.55292099333</v>
      </c>
      <c r="F13" s="206">
        <f>SUM('Monthly Breakdown'!AE49:AE52)</f>
        <v>0</v>
      </c>
      <c r="G13" s="207">
        <f t="shared" si="0"/>
        <v>-16606.55292099333</v>
      </c>
      <c r="H13" s="208">
        <f t="shared" si="1"/>
        <v>-1</v>
      </c>
      <c r="I13" s="198"/>
      <c r="J13" s="209">
        <f t="shared" ref="J13:K13" si="18">SUM(O31,E31,J31)</f>
        <v>13000</v>
      </c>
      <c r="K13" s="210">
        <f t="shared" si="18"/>
        <v>0</v>
      </c>
      <c r="L13" s="211">
        <f t="shared" si="3"/>
        <v>13000</v>
      </c>
      <c r="M13" s="212">
        <f t="shared" si="4"/>
        <v>-1</v>
      </c>
      <c r="N13" s="198"/>
      <c r="O13" s="213">
        <f t="shared" si="5"/>
        <v>3606.5529209933302</v>
      </c>
      <c r="P13" s="214">
        <f>SUM('Monthly Breakdown'!AE45:AE46)</f>
        <v>0</v>
      </c>
      <c r="Q13" s="215">
        <f t="shared" si="6"/>
        <v>-3606.5529209933302</v>
      </c>
      <c r="R13" s="198"/>
      <c r="S13" s="198"/>
      <c r="T13" s="198">
        <f t="shared" si="7"/>
        <v>0</v>
      </c>
    </row>
    <row r="14" spans="1:20" ht="11.25" customHeight="1" x14ac:dyDescent="0.3">
      <c r="A14" s="217"/>
      <c r="B14" s="203"/>
      <c r="C14" s="204"/>
      <c r="D14" s="188"/>
      <c r="E14" s="205"/>
      <c r="F14" s="206"/>
      <c r="G14" s="207"/>
      <c r="H14" s="208"/>
      <c r="I14" s="198"/>
      <c r="J14" s="209"/>
      <c r="K14" s="210"/>
      <c r="L14" s="211"/>
      <c r="M14" s="212"/>
      <c r="N14" s="198"/>
      <c r="O14" s="213"/>
      <c r="P14" s="214"/>
      <c r="Q14" s="215"/>
      <c r="R14" s="198"/>
      <c r="S14" s="198"/>
      <c r="T14" s="198"/>
    </row>
    <row r="15" spans="1:20" ht="11.25" customHeight="1" x14ac:dyDescent="0.3">
      <c r="A15" s="217"/>
      <c r="B15" s="203"/>
      <c r="C15" s="204"/>
      <c r="D15" s="188"/>
      <c r="E15" s="205"/>
      <c r="F15" s="206"/>
      <c r="G15" s="207"/>
      <c r="H15" s="208"/>
      <c r="I15" s="198"/>
      <c r="J15" s="209"/>
      <c r="K15" s="210"/>
      <c r="L15" s="211"/>
      <c r="M15" s="212"/>
      <c r="N15" s="198"/>
      <c r="O15" s="213"/>
      <c r="P15" s="214"/>
      <c r="Q15" s="215"/>
      <c r="R15" s="198"/>
      <c r="S15" s="198"/>
      <c r="T15" s="198"/>
    </row>
    <row r="16" spans="1:20" ht="11.25" customHeight="1" x14ac:dyDescent="0.3">
      <c r="A16" s="217" t="s">
        <v>68</v>
      </c>
      <c r="B16" s="203"/>
      <c r="C16" s="204"/>
      <c r="D16" s="188"/>
      <c r="E16" s="205">
        <f>SUM(E2:E7)</f>
        <v>102403.10103095998</v>
      </c>
      <c r="F16" s="205">
        <f>SUM(F2:F7)</f>
        <v>100825.92</v>
      </c>
      <c r="G16" s="205">
        <f>SUM(G2:G7)</f>
        <v>-1577.1810309599823</v>
      </c>
      <c r="H16" s="208">
        <f>((SUM(F16))-SUM(E16))/SUM(E16)</f>
        <v>-1.5401692088241999E-2</v>
      </c>
      <c r="I16" s="198"/>
      <c r="J16" s="209">
        <f>SUM(J2:J7)</f>
        <v>78000</v>
      </c>
      <c r="K16" s="209">
        <f>SUM(K2:K7)</f>
        <v>75818.05</v>
      </c>
      <c r="L16" s="209">
        <f>SUM(L2:L7)</f>
        <v>2181.9499999999989</v>
      </c>
      <c r="M16" s="212">
        <f>((K16-SUM(J16))/SUM(J16))</f>
        <v>-2.7973717948717912E-2</v>
      </c>
      <c r="N16" s="198"/>
      <c r="O16" s="213">
        <f>SUM(O2:O7)</f>
        <v>24403.101030959981</v>
      </c>
      <c r="P16" s="213">
        <f>SUM(P2:P7)</f>
        <v>18346.309999999998</v>
      </c>
      <c r="Q16" s="213">
        <f>SUM(Q2:Q7)</f>
        <v>-6056.7910309599811</v>
      </c>
      <c r="R16" s="218">
        <f>((P16-SUM(O16))/SUM(O16))</f>
        <v>-0.24819759682491951</v>
      </c>
      <c r="S16" s="198"/>
      <c r="T16" s="198">
        <f>F16-K16-P16</f>
        <v>6661.5599999999977</v>
      </c>
    </row>
    <row r="19" spans="1:17" ht="11.25" customHeight="1" x14ac:dyDescent="0.3">
      <c r="A19" s="185" t="s">
        <v>224</v>
      </c>
      <c r="B19" s="188"/>
      <c r="C19" s="188"/>
      <c r="D19" s="188"/>
      <c r="E19" s="219" t="s">
        <v>248</v>
      </c>
      <c r="F19" s="220" t="s">
        <v>249</v>
      </c>
      <c r="G19" s="221" t="s">
        <v>229</v>
      </c>
      <c r="H19" s="222" t="s">
        <v>233</v>
      </c>
      <c r="I19" s="198"/>
      <c r="J19" s="223" t="s">
        <v>250</v>
      </c>
      <c r="K19" s="224" t="s">
        <v>251</v>
      </c>
      <c r="L19" s="225" t="s">
        <v>229</v>
      </c>
      <c r="M19" s="226" t="s">
        <v>233</v>
      </c>
      <c r="N19" s="198"/>
      <c r="O19" s="227" t="s">
        <v>252</v>
      </c>
      <c r="P19" s="228" t="s">
        <v>253</v>
      </c>
      <c r="Q19" s="229" t="s">
        <v>229</v>
      </c>
    </row>
    <row r="20" spans="1:17" ht="11.25" customHeight="1" x14ac:dyDescent="0.3">
      <c r="A20" s="202" t="s">
        <v>236</v>
      </c>
      <c r="B20" s="188"/>
      <c r="C20" s="188"/>
      <c r="D20" s="188"/>
      <c r="E20" s="230">
        <f>SUM('Proposed Budget'!$D$14:$D$31)</f>
        <v>5200</v>
      </c>
      <c r="F20" s="231">
        <f>SUM('Monthly Breakdown'!I14:I31)</f>
        <v>4819.04</v>
      </c>
      <c r="G20" s="232">
        <f t="shared" ref="G20:G31" si="19">E20-F20</f>
        <v>380.96000000000004</v>
      </c>
      <c r="H20" s="233">
        <f t="shared" ref="H20:H31" si="20">((F20-E20)/E20)</f>
        <v>-7.3261538461538475E-2</v>
      </c>
      <c r="I20" s="198"/>
      <c r="J20" s="234">
        <f>SUM('Proposed Budget'!$D$5:$D$12)</f>
        <v>5800</v>
      </c>
      <c r="K20" s="235">
        <f>SUM('Monthly Breakdown'!I5:I12)</f>
        <v>5575.68</v>
      </c>
      <c r="L20" s="236">
        <f t="shared" ref="L20:L31" si="21">J20-K20</f>
        <v>224.31999999999971</v>
      </c>
      <c r="M20" s="237">
        <f t="shared" ref="M20:M31" si="22">((K20-J20)/J20)</f>
        <v>-3.8675862068965464E-2</v>
      </c>
      <c r="N20" s="198"/>
      <c r="O20" s="238">
        <f>SUM('Proposed Budget'!$D$33:$D$43)</f>
        <v>2000</v>
      </c>
      <c r="P20" s="239">
        <f>SUM('Monthly Breakdown'!I33:I43)</f>
        <v>2000</v>
      </c>
      <c r="Q20" s="240">
        <f t="shared" ref="Q20:Q31" si="23">O20-P20</f>
        <v>0</v>
      </c>
    </row>
    <row r="21" spans="1:17" ht="11.25" customHeight="1" x14ac:dyDescent="0.3">
      <c r="A21" s="202" t="s">
        <v>237</v>
      </c>
      <c r="B21" s="188"/>
      <c r="C21" s="188"/>
      <c r="D21" s="188"/>
      <c r="E21" s="230">
        <f>SUM('Proposed Budget'!$D$14:$D$31)</f>
        <v>5200</v>
      </c>
      <c r="F21" s="231">
        <f>SUM('Monthly Breakdown'!K14:K31)</f>
        <v>4930.4799999999996</v>
      </c>
      <c r="G21" s="232">
        <f t="shared" si="19"/>
        <v>269.52000000000044</v>
      </c>
      <c r="H21" s="233">
        <f t="shared" si="20"/>
        <v>-5.1830769230769312E-2</v>
      </c>
      <c r="I21" s="198"/>
      <c r="J21" s="234">
        <f>SUM('Proposed Budget'!$D$5:$D$12)</f>
        <v>5800</v>
      </c>
      <c r="K21" s="235">
        <f>SUM('Monthly Breakdown'!K5:K12)</f>
        <v>5870.2300000000005</v>
      </c>
      <c r="L21" s="236">
        <f t="shared" si="21"/>
        <v>-70.230000000000473</v>
      </c>
      <c r="M21" s="237">
        <f t="shared" si="22"/>
        <v>1.2108620689655254E-2</v>
      </c>
      <c r="N21" s="198"/>
      <c r="O21" s="238">
        <f>SUM('Proposed Budget'!$D$33:$D$43)</f>
        <v>2000</v>
      </c>
      <c r="P21" s="239">
        <f>SUM('Monthly Breakdown'!K33:K43)</f>
        <v>2000</v>
      </c>
      <c r="Q21" s="240">
        <f t="shared" si="23"/>
        <v>0</v>
      </c>
    </row>
    <row r="22" spans="1:17" ht="11.25" customHeight="1" x14ac:dyDescent="0.3">
      <c r="A22" s="202" t="s">
        <v>238</v>
      </c>
      <c r="B22" s="188"/>
      <c r="C22" s="188"/>
      <c r="D22" s="188"/>
      <c r="E22" s="230">
        <f>SUM('Proposed Budget'!$D$14:$D$31)</f>
        <v>5200</v>
      </c>
      <c r="F22" s="231">
        <f>SUM('Monthly Breakdown'!M14:M31)</f>
        <v>5444.89</v>
      </c>
      <c r="G22" s="232">
        <f t="shared" si="19"/>
        <v>-244.89000000000033</v>
      </c>
      <c r="H22" s="233">
        <f t="shared" si="20"/>
        <v>4.7094230769230833E-2</v>
      </c>
      <c r="I22" s="198"/>
      <c r="J22" s="234">
        <f>SUM('Proposed Budget'!$D$5:$D$12)</f>
        <v>5800</v>
      </c>
      <c r="K22" s="235">
        <f>SUM('Monthly Breakdown'!M5:M12)</f>
        <v>5166.82</v>
      </c>
      <c r="L22" s="236">
        <f t="shared" si="21"/>
        <v>633.18000000000029</v>
      </c>
      <c r="M22" s="237">
        <f t="shared" si="22"/>
        <v>-0.10916896551724142</v>
      </c>
      <c r="N22" s="198"/>
      <c r="O22" s="238">
        <f>SUM('Proposed Budget'!$D$33:$D$43)</f>
        <v>2000</v>
      </c>
      <c r="P22" s="239">
        <f>SUM('Monthly Breakdown'!M33:M43)</f>
        <v>2000</v>
      </c>
      <c r="Q22" s="240">
        <f t="shared" si="23"/>
        <v>0</v>
      </c>
    </row>
    <row r="23" spans="1:17" ht="11.25" customHeight="1" x14ac:dyDescent="0.3">
      <c r="A23" s="202" t="s">
        <v>239</v>
      </c>
      <c r="B23" s="188"/>
      <c r="C23" s="188"/>
      <c r="D23" s="188"/>
      <c r="E23" s="230">
        <f>SUM('Proposed Budget'!$D$14:$D$31)</f>
        <v>5200</v>
      </c>
      <c r="F23" s="231">
        <f>SUM('Monthly Breakdown'!O14:O31)</f>
        <v>4511.1900000000005</v>
      </c>
      <c r="G23" s="232">
        <f t="shared" si="19"/>
        <v>688.80999999999949</v>
      </c>
      <c r="H23" s="233">
        <f t="shared" si="20"/>
        <v>-0.13246346153846145</v>
      </c>
      <c r="I23" s="198"/>
      <c r="J23" s="234">
        <f>SUM('Proposed Budget'!$D$5:$D$12)</f>
        <v>5800</v>
      </c>
      <c r="K23" s="235">
        <f>SUM('Monthly Breakdown'!O5:O12)</f>
        <v>6697.66</v>
      </c>
      <c r="L23" s="236">
        <f t="shared" si="21"/>
        <v>-897.65999999999985</v>
      </c>
      <c r="M23" s="237">
        <f t="shared" si="22"/>
        <v>0.15476896551724134</v>
      </c>
      <c r="N23" s="198"/>
      <c r="O23" s="238">
        <f>SUM('Proposed Budget'!$D$33:$D$43)</f>
        <v>2000</v>
      </c>
      <c r="P23" s="239">
        <f>SUM('Monthly Breakdown'!O33:O43)</f>
        <v>2000</v>
      </c>
      <c r="Q23" s="240">
        <f t="shared" si="23"/>
        <v>0</v>
      </c>
    </row>
    <row r="24" spans="1:17" ht="11.25" customHeight="1" x14ac:dyDescent="0.3">
      <c r="A24" s="202" t="s">
        <v>240</v>
      </c>
      <c r="B24" s="188"/>
      <c r="C24" s="188"/>
      <c r="D24" s="188"/>
      <c r="E24" s="230">
        <f>SUM('Proposed Budget'!$D$14:$D$31)</f>
        <v>5200</v>
      </c>
      <c r="F24" s="231">
        <f>SUM('Monthly Breakdown'!Q14:Q31)</f>
        <v>5063.4000000000005</v>
      </c>
      <c r="G24" s="232">
        <f t="shared" si="19"/>
        <v>136.59999999999945</v>
      </c>
      <c r="H24" s="233">
        <f t="shared" si="20"/>
        <v>-2.6269230769230663E-2</v>
      </c>
      <c r="I24" s="198"/>
      <c r="J24" s="234">
        <f>SUM('Proposed Budget'!$D$5:$D$12)</f>
        <v>5800</v>
      </c>
      <c r="K24" s="235">
        <f>SUM('Monthly Breakdown'!Q5:Q12)</f>
        <v>6699.4400000000005</v>
      </c>
      <c r="L24" s="236">
        <f t="shared" si="21"/>
        <v>-899.44000000000051</v>
      </c>
      <c r="M24" s="237">
        <f t="shared" si="22"/>
        <v>0.15507586206896559</v>
      </c>
      <c r="N24" s="198"/>
      <c r="O24" s="238">
        <f>SUM('Proposed Budget'!$D$33:$D$43)</f>
        <v>2000</v>
      </c>
      <c r="P24" s="239">
        <f>SUM('Monthly Breakdown'!Q33:Q43)</f>
        <v>2000</v>
      </c>
      <c r="Q24" s="240">
        <f t="shared" si="23"/>
        <v>0</v>
      </c>
    </row>
    <row r="25" spans="1:17" ht="11.25" customHeight="1" x14ac:dyDescent="0.3">
      <c r="A25" s="202" t="s">
        <v>241</v>
      </c>
      <c r="B25" s="188"/>
      <c r="C25" s="188"/>
      <c r="D25" s="188"/>
      <c r="E25" s="230">
        <f>SUM('Proposed Budget'!$D$14:$D$31)</f>
        <v>5200</v>
      </c>
      <c r="F25" s="231">
        <f>SUM('Monthly Breakdown'!S14:S31)</f>
        <v>4724.2400000000007</v>
      </c>
      <c r="G25" s="232">
        <f t="shared" si="19"/>
        <v>475.75999999999931</v>
      </c>
      <c r="H25" s="233">
        <f t="shared" si="20"/>
        <v>-9.1492307692307553E-2</v>
      </c>
      <c r="I25" s="198"/>
      <c r="J25" s="234">
        <f>SUM('Proposed Budget'!$D$5:$D$12)</f>
        <v>5800</v>
      </c>
      <c r="K25" s="235">
        <f>SUM('Monthly Breakdown'!S5:S12)</f>
        <v>4314.9800000000014</v>
      </c>
      <c r="L25" s="236">
        <f t="shared" si="21"/>
        <v>1485.0199999999986</v>
      </c>
      <c r="M25" s="237">
        <f t="shared" si="22"/>
        <v>-0.25603793103448252</v>
      </c>
      <c r="N25" s="198"/>
      <c r="O25" s="238">
        <f>SUM('Proposed Budget'!$D$33:$D$43)</f>
        <v>2000</v>
      </c>
      <c r="P25" s="239">
        <f>SUM('Monthly Breakdown'!S33:S43)</f>
        <v>2000</v>
      </c>
      <c r="Q25" s="240">
        <f t="shared" si="23"/>
        <v>0</v>
      </c>
    </row>
    <row r="26" spans="1:17" ht="11.25" customHeight="1" x14ac:dyDescent="0.3">
      <c r="A26" s="202" t="s">
        <v>242</v>
      </c>
      <c r="B26" s="188"/>
      <c r="C26" s="188"/>
      <c r="D26" s="188"/>
      <c r="E26" s="230">
        <f>SUM('Proposed Budget'!$D$14:$D$31)</f>
        <v>5200</v>
      </c>
      <c r="F26" s="231">
        <f>SUM('Monthly Breakdown'!U14:U31)</f>
        <v>0</v>
      </c>
      <c r="G26" s="232">
        <f t="shared" si="19"/>
        <v>5200</v>
      </c>
      <c r="H26" s="233">
        <f t="shared" si="20"/>
        <v>-1</v>
      </c>
      <c r="I26" s="198"/>
      <c r="J26" s="234">
        <f>SUM('Proposed Budget'!$D$5:$D$12)</f>
        <v>5800</v>
      </c>
      <c r="K26" s="235">
        <f>SUM('Monthly Breakdown'!U5:U12)</f>
        <v>0</v>
      </c>
      <c r="L26" s="236">
        <f t="shared" si="21"/>
        <v>5800</v>
      </c>
      <c r="M26" s="237">
        <f t="shared" si="22"/>
        <v>-1</v>
      </c>
      <c r="N26" s="198"/>
      <c r="O26" s="238">
        <f>SUM('Proposed Budget'!$D$33:$D$43)</f>
        <v>2000</v>
      </c>
      <c r="P26" s="239">
        <f>SUM('Monthly Breakdown'!U33:U43)</f>
        <v>0</v>
      </c>
      <c r="Q26" s="240">
        <f t="shared" si="23"/>
        <v>2000</v>
      </c>
    </row>
    <row r="27" spans="1:17" ht="11.25" customHeight="1" x14ac:dyDescent="0.3">
      <c r="A27" s="202" t="s">
        <v>243</v>
      </c>
      <c r="B27" s="188"/>
      <c r="C27" s="188"/>
      <c r="D27" s="188"/>
      <c r="E27" s="230">
        <f>SUM('Proposed Budget'!$D$14:$D$31)</f>
        <v>5200</v>
      </c>
      <c r="F27" s="231">
        <f>SUM('Monthly Breakdown'!W14:W31)</f>
        <v>0</v>
      </c>
      <c r="G27" s="232">
        <f t="shared" si="19"/>
        <v>5200</v>
      </c>
      <c r="H27" s="233">
        <f t="shared" si="20"/>
        <v>-1</v>
      </c>
      <c r="I27" s="198"/>
      <c r="J27" s="234">
        <f>SUM('Proposed Budget'!$D$5:$D$12)</f>
        <v>5800</v>
      </c>
      <c r="K27" s="235">
        <f>SUM('Monthly Breakdown'!W5:W12)</f>
        <v>0</v>
      </c>
      <c r="L27" s="236">
        <f t="shared" si="21"/>
        <v>5800</v>
      </c>
      <c r="M27" s="237">
        <f t="shared" si="22"/>
        <v>-1</v>
      </c>
      <c r="N27" s="198"/>
      <c r="O27" s="238">
        <f>SUM('Proposed Budget'!$D$33:$D$43)</f>
        <v>2000</v>
      </c>
      <c r="P27" s="239">
        <f>SUM('Monthly Breakdown'!W33:W43)</f>
        <v>0</v>
      </c>
      <c r="Q27" s="240">
        <f t="shared" si="23"/>
        <v>2000</v>
      </c>
    </row>
    <row r="28" spans="1:17" ht="11.25" customHeight="1" x14ac:dyDescent="0.3">
      <c r="A28" s="216" t="s">
        <v>244</v>
      </c>
      <c r="B28" s="188"/>
      <c r="C28" s="188"/>
      <c r="D28" s="188"/>
      <c r="E28" s="230">
        <f>SUM('Proposed Budget'!$D$14:$D$31)</f>
        <v>5200</v>
      </c>
      <c r="F28" s="231">
        <f>SUM('Monthly Breakdown'!Y14:Y31)</f>
        <v>0</v>
      </c>
      <c r="G28" s="232">
        <f t="shared" si="19"/>
        <v>5200</v>
      </c>
      <c r="H28" s="233">
        <f t="shared" si="20"/>
        <v>-1</v>
      </c>
      <c r="I28" s="198"/>
      <c r="J28" s="234">
        <f>SUM('Proposed Budget'!$D$5:$D$12)</f>
        <v>5800</v>
      </c>
      <c r="K28" s="235">
        <f>SUM('Monthly Breakdown'!Y5:Y12)</f>
        <v>0</v>
      </c>
      <c r="L28" s="236">
        <f t="shared" si="21"/>
        <v>5800</v>
      </c>
      <c r="M28" s="237">
        <f t="shared" si="22"/>
        <v>-1</v>
      </c>
      <c r="N28" s="198"/>
      <c r="O28" s="238">
        <f>SUM('Proposed Budget'!$D$33:$D$43)</f>
        <v>2000</v>
      </c>
      <c r="P28" s="239">
        <f>SUM('Monthly Breakdown'!Y33:Y43)</f>
        <v>0</v>
      </c>
      <c r="Q28" s="240">
        <f t="shared" si="23"/>
        <v>2000</v>
      </c>
    </row>
    <row r="29" spans="1:17" ht="11.25" customHeight="1" x14ac:dyDescent="0.3">
      <c r="A29" s="216" t="s">
        <v>245</v>
      </c>
      <c r="B29" s="188"/>
      <c r="C29" s="188"/>
      <c r="D29" s="188"/>
      <c r="E29" s="230">
        <f>SUM('Proposed Budget'!$D$14:$D$31)</f>
        <v>5200</v>
      </c>
      <c r="F29" s="231">
        <f>SUM('Monthly Breakdown'!AA14:AA31)</f>
        <v>0</v>
      </c>
      <c r="G29" s="232">
        <f t="shared" si="19"/>
        <v>5200</v>
      </c>
      <c r="H29" s="233">
        <f t="shared" si="20"/>
        <v>-1</v>
      </c>
      <c r="I29" s="198"/>
      <c r="J29" s="234">
        <f>SUM('Proposed Budget'!$D$5:$D$12)</f>
        <v>5800</v>
      </c>
      <c r="K29" s="235">
        <f>SUM('Monthly Breakdown'!AA5:AA12)</f>
        <v>0</v>
      </c>
      <c r="L29" s="236">
        <f t="shared" si="21"/>
        <v>5800</v>
      </c>
      <c r="M29" s="237">
        <f t="shared" si="22"/>
        <v>-1</v>
      </c>
      <c r="N29" s="198"/>
      <c r="O29" s="238">
        <f>SUM('Proposed Budget'!$D$33:$D$43)</f>
        <v>2000</v>
      </c>
      <c r="P29" s="239">
        <f>SUM('Monthly Breakdown'!AA33:AA43)</f>
        <v>0</v>
      </c>
      <c r="Q29" s="240">
        <f t="shared" si="23"/>
        <v>2000</v>
      </c>
    </row>
    <row r="30" spans="1:17" ht="11.25" customHeight="1" x14ac:dyDescent="0.3">
      <c r="A30" s="216" t="s">
        <v>246</v>
      </c>
      <c r="B30" s="188"/>
      <c r="C30" s="188"/>
      <c r="D30" s="188"/>
      <c r="E30" s="230">
        <f>SUM('Proposed Budget'!$D$14:$D$31)</f>
        <v>5200</v>
      </c>
      <c r="F30" s="231">
        <f>SUM('Monthly Breakdown'!AC14:AC31)</f>
        <v>0</v>
      </c>
      <c r="G30" s="232">
        <f t="shared" si="19"/>
        <v>5200</v>
      </c>
      <c r="H30" s="233">
        <f t="shared" si="20"/>
        <v>-1</v>
      </c>
      <c r="I30" s="198"/>
      <c r="J30" s="234">
        <f>SUM('Proposed Budget'!$D$5:$D$12)</f>
        <v>5800</v>
      </c>
      <c r="K30" s="235">
        <f>SUM('Monthly Breakdown'!AC5:AC12)</f>
        <v>0</v>
      </c>
      <c r="L30" s="236">
        <f t="shared" si="21"/>
        <v>5800</v>
      </c>
      <c r="M30" s="237">
        <f t="shared" si="22"/>
        <v>-1</v>
      </c>
      <c r="N30" s="198"/>
      <c r="O30" s="238">
        <f>SUM('Proposed Budget'!$D$33:$D$43)</f>
        <v>2000</v>
      </c>
      <c r="P30" s="239">
        <f>SUM('Monthly Breakdown'!AC33:AC43)</f>
        <v>0</v>
      </c>
      <c r="Q30" s="240">
        <f t="shared" si="23"/>
        <v>2000</v>
      </c>
    </row>
    <row r="31" spans="1:17" ht="11.25" customHeight="1" x14ac:dyDescent="0.3">
      <c r="A31" s="216" t="s">
        <v>247</v>
      </c>
      <c r="B31" s="188"/>
      <c r="C31" s="188"/>
      <c r="D31" s="188"/>
      <c r="E31" s="230">
        <f>SUM('Proposed Budget'!$D$14:$D$31)</f>
        <v>5200</v>
      </c>
      <c r="F31" s="231">
        <f>SUM('Monthly Breakdown'!AE14:AE31)</f>
        <v>0</v>
      </c>
      <c r="G31" s="232">
        <f t="shared" si="19"/>
        <v>5200</v>
      </c>
      <c r="H31" s="233">
        <f t="shared" si="20"/>
        <v>-1</v>
      </c>
      <c r="I31" s="198"/>
      <c r="J31" s="234">
        <f>SUM('Proposed Budget'!$D$5:$D$12)</f>
        <v>5800</v>
      </c>
      <c r="K31" s="235">
        <f>SUM('Monthly Breakdown'!AE5:AE12)</f>
        <v>0</v>
      </c>
      <c r="L31" s="236">
        <f t="shared" si="21"/>
        <v>5800</v>
      </c>
      <c r="M31" s="237">
        <f t="shared" si="22"/>
        <v>-1</v>
      </c>
      <c r="N31" s="198"/>
      <c r="O31" s="238">
        <f>SUM('Proposed Budget'!$D$33:$D$43)</f>
        <v>2000</v>
      </c>
      <c r="P31" s="239">
        <f>SUM('Monthly Breakdown'!AE33:AE43)</f>
        <v>0</v>
      </c>
      <c r="Q31" s="240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17" t="s">
        <v>68</v>
      </c>
      <c r="B34" s="188"/>
      <c r="C34" s="188"/>
      <c r="D34" s="188"/>
      <c r="E34" s="230">
        <f>SUM(E20:E25)</f>
        <v>31200</v>
      </c>
      <c r="F34" s="230">
        <f>SUM(F20:F25)</f>
        <v>29493.24</v>
      </c>
      <c r="G34" s="230">
        <f>SUM(G20:G25)</f>
        <v>1706.7599999999984</v>
      </c>
      <c r="H34" s="233">
        <f>((F34-SUM(E34)))/SUM(E34)</f>
        <v>-5.4703846153846103E-2</v>
      </c>
      <c r="I34" s="198"/>
      <c r="J34" s="234">
        <f>SUM(J20:J25)</f>
        <v>34800</v>
      </c>
      <c r="K34" s="234">
        <f>SUM(K20:K25)</f>
        <v>34324.810000000005</v>
      </c>
      <c r="L34" s="234">
        <f>SUM(L20:L25)</f>
        <v>475.18999999999778</v>
      </c>
      <c r="M34" s="237">
        <f>((K34-SUM(J34))/SUM(J34))</f>
        <v>-1.3654885057471122E-2</v>
      </c>
      <c r="N34" s="198"/>
      <c r="O34" s="238">
        <f t="shared" ref="O34:Q34" si="24">SUM(O20:O31)</f>
        <v>24000</v>
      </c>
      <c r="P34" s="238">
        <f t="shared" si="24"/>
        <v>12000</v>
      </c>
      <c r="Q34" s="238">
        <f t="shared" si="24"/>
        <v>12000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E36" sqref="E36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9.6640625" bestFit="1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41"/>
      <c r="B1" s="242"/>
      <c r="C1" s="243"/>
      <c r="D1" s="244" t="s">
        <v>254</v>
      </c>
      <c r="E1" s="245" t="s">
        <v>68</v>
      </c>
      <c r="F1" s="245" t="s">
        <v>68</v>
      </c>
      <c r="G1" s="246" t="s">
        <v>255</v>
      </c>
      <c r="H1" s="245" t="s">
        <v>254</v>
      </c>
      <c r="I1" s="247">
        <v>46023</v>
      </c>
      <c r="J1" s="247">
        <v>46053</v>
      </c>
      <c r="K1" s="248">
        <v>46054</v>
      </c>
      <c r="L1" s="248">
        <v>46081</v>
      </c>
      <c r="M1" s="249">
        <v>46082</v>
      </c>
      <c r="N1" s="249">
        <v>46112</v>
      </c>
      <c r="O1" s="250">
        <v>46113</v>
      </c>
      <c r="P1" s="250">
        <v>46142</v>
      </c>
      <c r="Q1" s="247">
        <v>46143</v>
      </c>
      <c r="R1" s="247">
        <v>46173</v>
      </c>
      <c r="S1" s="248">
        <v>46174</v>
      </c>
      <c r="T1" s="248">
        <v>46203</v>
      </c>
      <c r="U1" s="249">
        <v>45839</v>
      </c>
      <c r="V1" s="249">
        <v>45869</v>
      </c>
      <c r="W1" s="250">
        <v>45870</v>
      </c>
      <c r="X1" s="250">
        <v>45900</v>
      </c>
      <c r="Y1" s="251">
        <v>45901</v>
      </c>
      <c r="Z1" s="251">
        <v>45930</v>
      </c>
      <c r="AA1" s="252">
        <v>45931</v>
      </c>
      <c r="AB1" s="252">
        <v>45961</v>
      </c>
      <c r="AC1" s="253">
        <v>45962</v>
      </c>
      <c r="AD1" s="253">
        <v>45991</v>
      </c>
      <c r="AE1" s="254">
        <v>45627</v>
      </c>
      <c r="AF1" s="254">
        <v>45657</v>
      </c>
    </row>
    <row r="2" spans="1:32" ht="11.25" customHeight="1" x14ac:dyDescent="0.3">
      <c r="A2" s="255"/>
      <c r="B2" s="255"/>
      <c r="C2" s="256"/>
      <c r="D2" s="257" t="s">
        <v>256</v>
      </c>
      <c r="E2" s="245" t="s">
        <v>257</v>
      </c>
      <c r="F2" s="245" t="s">
        <v>258</v>
      </c>
      <c r="G2" s="246" t="s">
        <v>259</v>
      </c>
      <c r="H2" s="245" t="s">
        <v>260</v>
      </c>
      <c r="I2" s="258" t="s">
        <v>257</v>
      </c>
      <c r="J2" s="258" t="s">
        <v>258</v>
      </c>
      <c r="K2" s="259" t="s">
        <v>257</v>
      </c>
      <c r="L2" s="259" t="s">
        <v>258</v>
      </c>
      <c r="M2" s="260" t="s">
        <v>257</v>
      </c>
      <c r="N2" s="260" t="s">
        <v>258</v>
      </c>
      <c r="O2" s="261" t="s">
        <v>257</v>
      </c>
      <c r="P2" s="261"/>
      <c r="Q2" s="258" t="s">
        <v>257</v>
      </c>
      <c r="R2" s="258" t="s">
        <v>258</v>
      </c>
      <c r="S2" s="259" t="s">
        <v>257</v>
      </c>
      <c r="T2" s="259" t="s">
        <v>258</v>
      </c>
      <c r="U2" s="260" t="s">
        <v>257</v>
      </c>
      <c r="V2" s="260" t="s">
        <v>258</v>
      </c>
      <c r="W2" s="261" t="s">
        <v>257</v>
      </c>
      <c r="X2" s="261" t="s">
        <v>258</v>
      </c>
      <c r="Y2" s="262" t="s">
        <v>257</v>
      </c>
      <c r="Z2" s="262" t="s">
        <v>258</v>
      </c>
      <c r="AA2" s="263" t="s">
        <v>257</v>
      </c>
      <c r="AB2" s="263" t="s">
        <v>258</v>
      </c>
      <c r="AC2" s="264" t="s">
        <v>257</v>
      </c>
      <c r="AD2" s="264" t="s">
        <v>258</v>
      </c>
      <c r="AE2" s="265" t="s">
        <v>257</v>
      </c>
      <c r="AF2" s="265" t="s">
        <v>258</v>
      </c>
    </row>
    <row r="3" spans="1:32" ht="11.25" customHeight="1" x14ac:dyDescent="0.3">
      <c r="A3" s="561" t="s">
        <v>261</v>
      </c>
      <c r="B3" s="547"/>
      <c r="C3" s="266" t="s">
        <v>156</v>
      </c>
      <c r="D3" s="267"/>
      <c r="E3" s="268">
        <f t="shared" ref="E3:F3" si="0">SUM(E5:E46)</f>
        <v>94164.360000000015</v>
      </c>
      <c r="F3" s="268">
        <f t="shared" si="0"/>
        <v>8238.7410309599818</v>
      </c>
      <c r="G3" s="269">
        <f>1-((E3/SUM(E3:F3)))</f>
        <v>8.0454018950745665E-2</v>
      </c>
      <c r="H3" s="268">
        <f>SUM(H5:H67)</f>
        <v>17067.183505159996</v>
      </c>
      <c r="I3" s="270">
        <f>SUM(I5:I46)</f>
        <v>15639.36</v>
      </c>
      <c r="J3" s="271"/>
      <c r="K3" s="232">
        <f>SUM(K5:K46)</f>
        <v>16615.620000000003</v>
      </c>
      <c r="L3" s="272"/>
      <c r="M3" s="273">
        <f>SUM(M5:M46)</f>
        <v>16971.29</v>
      </c>
      <c r="N3" s="274"/>
      <c r="O3" s="236">
        <f>SUM(O5:O46)</f>
        <v>18875.669999999998</v>
      </c>
      <c r="P3" s="275"/>
      <c r="Q3" s="270">
        <f>SUM(Q5:Q46)</f>
        <v>14973.200000000003</v>
      </c>
      <c r="R3" s="271"/>
      <c r="S3" s="232">
        <f>SUM(S5:S46)</f>
        <v>11089.220000000001</v>
      </c>
      <c r="T3" s="272"/>
      <c r="U3" s="273">
        <f>SUM(U5:U46)</f>
        <v>0</v>
      </c>
      <c r="V3" s="274"/>
      <c r="W3" s="236">
        <f>SUM(W5:W46)</f>
        <v>0</v>
      </c>
      <c r="X3" s="275"/>
      <c r="Y3" s="276">
        <f>SUM(Y5:Y46)</f>
        <v>0</v>
      </c>
      <c r="Z3" s="277"/>
      <c r="AA3" s="278">
        <f>SUM(AA5:AA46)</f>
        <v>0</v>
      </c>
      <c r="AB3" s="279"/>
      <c r="AC3" s="280">
        <f>SUM(AC5:AC46)</f>
        <v>0</v>
      </c>
      <c r="AD3" s="281"/>
      <c r="AE3" s="282">
        <f>SUM(AE5:AE46)</f>
        <v>0</v>
      </c>
      <c r="AF3" s="283"/>
    </row>
    <row r="4" spans="1:32" ht="11.25" customHeight="1" x14ac:dyDescent="0.3">
      <c r="A4" s="561" t="s">
        <v>262</v>
      </c>
      <c r="B4" s="562"/>
      <c r="C4" s="547"/>
      <c r="D4" s="267"/>
      <c r="E4" s="284"/>
      <c r="F4" s="284"/>
      <c r="G4" s="285"/>
      <c r="H4" s="286"/>
      <c r="I4" s="271"/>
      <c r="J4" s="271"/>
      <c r="K4" s="272"/>
      <c r="L4" s="272"/>
      <c r="M4" s="274"/>
      <c r="N4" s="274"/>
      <c r="O4" s="275"/>
      <c r="P4" s="275"/>
      <c r="Q4" s="271"/>
      <c r="R4" s="271"/>
      <c r="S4" s="272"/>
      <c r="T4" s="272"/>
      <c r="U4" s="274"/>
      <c r="V4" s="274"/>
      <c r="W4" s="275"/>
      <c r="X4" s="275"/>
      <c r="Y4" s="277"/>
      <c r="Z4" s="277"/>
      <c r="AA4" s="279"/>
      <c r="AB4" s="279"/>
      <c r="AC4" s="281"/>
      <c r="AD4" s="281"/>
      <c r="AE4" s="283"/>
      <c r="AF4" s="283"/>
    </row>
    <row r="5" spans="1:32" ht="11.25" customHeight="1" x14ac:dyDescent="0.3">
      <c r="A5" s="284" t="str">
        <f>'Proposed Budget'!A5</f>
        <v>D</v>
      </c>
      <c r="B5" s="255">
        <f>'Proposed Budget'!B5</f>
        <v>1</v>
      </c>
      <c r="C5" s="287" t="str">
        <f>'Proposed Budget'!C5</f>
        <v>Groceries/Household</v>
      </c>
      <c r="D5" s="288">
        <f t="shared" ref="D5:D12" ca="1" si="1">(E5/(TODAY()-$I$1))*30.42</f>
        <v>1216.6529700000001</v>
      </c>
      <c r="E5" s="289">
        <f>I5+K5+M5+O5+Q5+S5+U5+W5+Y5+AA5+AC5+AE5</f>
        <v>7199.130000000001</v>
      </c>
      <c r="F5" s="289">
        <f t="shared" ref="F5:F12" si="2">J5+L5+N5+P5+R5+T5</f>
        <v>0.86999999999943611</v>
      </c>
      <c r="G5" s="269">
        <f t="shared" ref="G5:G12" si="3">1-((E5/SUM(E5:F5)))</f>
        <v>1.2083333333323676E-4</v>
      </c>
      <c r="H5" s="289">
        <f>'Proposed Budget'!D5</f>
        <v>1200</v>
      </c>
      <c r="I5" s="270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70">
        <f t="shared" ref="J5:J12" si="4">H5-I5</f>
        <v>132.44000000000005</v>
      </c>
      <c r="K5" s="232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32">
        <f t="shared" ref="L5:L12" si="5">H5-K5</f>
        <v>166.09999999999991</v>
      </c>
      <c r="M5" s="273">
        <f>SUMIFS('Checking Transaction Log'!$E:$E,'Checking Transaction Log'!$C:$C,"&gt;="&amp;M1,'Checking Transaction Log'!$C:$C,"&lt;="&amp;N1,'Checking Transaction Log'!$A:$A,"D",'Checking Transaction Log'!$B:$B,1)</f>
        <v>1358.86</v>
      </c>
      <c r="N5" s="273">
        <f t="shared" ref="N5:N12" si="6">H5-M5</f>
        <v>-158.8599999999999</v>
      </c>
      <c r="O5" s="236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36">
        <f t="shared" ref="P5:P12" si="7">H5-O5</f>
        <v>-84.829999999999927</v>
      </c>
      <c r="Q5" s="270">
        <f>SUMIFS('Checking Transaction Log'!$E:$E,'Checking Transaction Log'!$C:$C,"&gt;="&amp;Q1,'Checking Transaction Log'!$C:$C,"&lt;="&amp;R1,'Checking Transaction Log'!$A:$A,"D",'Checking Transaction Log'!$B:$B,1)</f>
        <v>1263.1500000000003</v>
      </c>
      <c r="R5" s="270">
        <f t="shared" ref="R5:R12" si="8">H5-Q5</f>
        <v>-63.150000000000318</v>
      </c>
      <c r="S5" s="232">
        <f>SUMIFS('Checking Transaction Log'!$E:$E,'Checking Transaction Log'!$C:$C,"&gt;="&amp;S1,'Checking Transaction Log'!$C:$C,"&lt;="&amp;T1,'Checking Transaction Log'!$A:$A,"D",'Checking Transaction Log'!$B:$B,1)</f>
        <v>1190.8300000000004</v>
      </c>
      <c r="T5" s="232">
        <f t="shared" ref="T5:T12" si="9">H5-S5</f>
        <v>9.169999999999618</v>
      </c>
      <c r="U5" s="273">
        <f>SUMIFS('Checking Transaction Log'!$E:$E,'Checking Transaction Log'!$C:$C,"&gt;="&amp;U1,'Checking Transaction Log'!$C:$C,"&lt;="&amp;V1,'Checking Transaction Log'!$A:$A,"D",'Checking Transaction Log'!$B:$B,1)</f>
        <v>0</v>
      </c>
      <c r="V5" s="273">
        <f t="shared" ref="V5:V12" si="10">H5-U5</f>
        <v>1200</v>
      </c>
      <c r="W5" s="236">
        <f>SUMIFS('Checking Transaction Log'!$E:$E,'Checking Transaction Log'!$C:$C,"&gt;="&amp;W1,'Checking Transaction Log'!$C:$C,"&lt;="&amp;X1,'Checking Transaction Log'!$A:$A,"D",'Checking Transaction Log'!$B:$B,1)</f>
        <v>0</v>
      </c>
      <c r="X5" s="236">
        <f t="shared" ref="X5:X12" si="11">H5-W5</f>
        <v>1200</v>
      </c>
      <c r="Y5" s="276">
        <f>SUMIFS('Checking Transaction Log'!$E:$E,'Checking Transaction Log'!$C:$C,"&gt;="&amp;Y1,'Checking Transaction Log'!$C:$C,"&lt;="&amp;Z1,'Checking Transaction Log'!$A:$A,"D",'Checking Transaction Log'!$B:$B,1)</f>
        <v>0</v>
      </c>
      <c r="Z5" s="276">
        <f t="shared" ref="Z5:Z12" si="12">H5-Y5</f>
        <v>1200</v>
      </c>
      <c r="AA5" s="278">
        <f>SUMIFS('Checking Transaction Log'!$E:$E,'Checking Transaction Log'!$C:$C,"&gt;="&amp;AA1,'Checking Transaction Log'!$C:$C,"&lt;="&amp;AB1,'Checking Transaction Log'!$A:$A,"D",'Checking Transaction Log'!$B:$B,1)</f>
        <v>0</v>
      </c>
      <c r="AB5" s="278">
        <f t="shared" ref="AB5:AB12" si="13">H5-AA5</f>
        <v>1200</v>
      </c>
      <c r="AC5" s="280">
        <f>SUMIFS('Checking Transaction Log'!$E:$E,'Checking Transaction Log'!$C:$C,"&gt;="&amp;AC1,'Checking Transaction Log'!$C:$C,"&lt;="&amp;AD1,'Checking Transaction Log'!$A:$A,"D",'Checking Transaction Log'!$B:$B,1)</f>
        <v>0</v>
      </c>
      <c r="AD5" s="280">
        <f t="shared" ref="AD5:AD12" si="14">H5-AC5</f>
        <v>1200</v>
      </c>
      <c r="AE5" s="282">
        <f>SUMIFS('Checking Transaction Log'!$E:$E,'Checking Transaction Log'!$C:$C,"&gt;="&amp;AE1,'Checking Transaction Log'!$C:$C,"&lt;="&amp;AF1,'Checking Transaction Log'!$A:$A,"D",'Checking Transaction Log'!$B:$B,1)</f>
        <v>0</v>
      </c>
      <c r="AF5" s="282">
        <f t="shared" ref="AF5:AF12" si="15">H5-AE5</f>
        <v>1200</v>
      </c>
    </row>
    <row r="6" spans="1:32" ht="11.25" customHeight="1" x14ac:dyDescent="0.3">
      <c r="A6" s="284" t="str">
        <f>'Proposed Budget'!A6</f>
        <v>D</v>
      </c>
      <c r="B6" s="255">
        <f>'Proposed Budget'!B6</f>
        <v>2</v>
      </c>
      <c r="C6" s="287" t="str">
        <f>'Proposed Budget'!C6</f>
        <v>Dining Out</v>
      </c>
      <c r="D6" s="288">
        <f t="shared" ca="1" si="1"/>
        <v>1143.2613400000002</v>
      </c>
      <c r="E6" s="289">
        <f t="shared" ref="E6:E12" si="16">Q6+S6+U6+W6+Y6+AA6+AC6+AE6+I6+K6+M6+O6</f>
        <v>6764.8600000000006</v>
      </c>
      <c r="F6" s="289">
        <f t="shared" si="2"/>
        <v>435.14000000000078</v>
      </c>
      <c r="G6" s="269">
        <f t="shared" si="3"/>
        <v>6.0436111111111246E-2</v>
      </c>
      <c r="H6" s="289">
        <f>'Proposed Budget'!D6</f>
        <v>1200</v>
      </c>
      <c r="I6" s="270">
        <f>SUMIFS('Checking Transaction Log'!E:E,'Checking Transaction Log'!C:C,"&gt;="&amp;I1,'Checking Transaction Log'!C:C,"&lt;="&amp;J1,'Checking Transaction Log'!A:A,"D",'Checking Transaction Log'!B:B,2)</f>
        <v>1061.45</v>
      </c>
      <c r="J6" s="270">
        <f t="shared" si="4"/>
        <v>138.54999999999995</v>
      </c>
      <c r="K6" s="232">
        <f>SUMIFS('Checking Transaction Log'!E:E,'Checking Transaction Log'!C:C,"&gt;="&amp;K1,'Checking Transaction Log'!C:C,"&lt;="&amp;L1,'Checking Transaction Log'!A:A,"D",'Checking Transaction Log'!B:B,2)</f>
        <v>911.68</v>
      </c>
      <c r="L6" s="232">
        <f t="shared" si="5"/>
        <v>288.32000000000005</v>
      </c>
      <c r="M6" s="273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73">
        <f t="shared" si="6"/>
        <v>-33.459999999999582</v>
      </c>
      <c r="O6" s="236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36">
        <f t="shared" si="7"/>
        <v>215.82000000000016</v>
      </c>
      <c r="Q6" s="270">
        <f>SUMIFS('Checking Transaction Log'!$E:$E,'Checking Transaction Log'!$C:$C,"&gt;="&amp;Q1,'Checking Transaction Log'!$C:$C,"&lt;="&amp;R1,'Checking Transaction Log'!$A:$A,"D",'Checking Transaction Log'!$B:$B,2)</f>
        <v>1603.86</v>
      </c>
      <c r="R6" s="270">
        <f t="shared" si="8"/>
        <v>-403.8599999999999</v>
      </c>
      <c r="S6" s="232">
        <f>SUMIFS('Checking Transaction Log'!$E:$E,'Checking Transaction Log'!$C:$C,"&gt;="&amp;S1,'Checking Transaction Log'!$C:$C,"&lt;="&amp;T1,'Checking Transaction Log'!$A:$A,"D",'Checking Transaction Log'!$B:$B,2)</f>
        <v>970.2299999999999</v>
      </c>
      <c r="T6" s="232">
        <f t="shared" si="9"/>
        <v>229.7700000000001</v>
      </c>
      <c r="U6" s="273">
        <f>SUMIFS('Checking Transaction Log'!$E:$E,'Checking Transaction Log'!$C:$C,"&gt;="&amp;U1,'Checking Transaction Log'!$C:$C,"&lt;="&amp;V1,'Checking Transaction Log'!$A:$A,"D",'Checking Transaction Log'!$B:$B,2)</f>
        <v>0</v>
      </c>
      <c r="V6" s="273">
        <f t="shared" si="10"/>
        <v>1200</v>
      </c>
      <c r="W6" s="236">
        <f>SUMIFS('Checking Transaction Log'!$E:$E,'Checking Transaction Log'!$C:$C,"&gt;="&amp;W1,'Checking Transaction Log'!$C:$C,"&lt;="&amp;X1,'Checking Transaction Log'!$A:$A,"D",'Checking Transaction Log'!$B:$B,2)</f>
        <v>0</v>
      </c>
      <c r="X6" s="236">
        <f t="shared" si="11"/>
        <v>1200</v>
      </c>
      <c r="Y6" s="276">
        <f>SUMIFS('Checking Transaction Log'!$E:$E,'Checking Transaction Log'!$C:$C,"&gt;="&amp;Y1,'Checking Transaction Log'!$C:$C,"&lt;="&amp;Z1,'Checking Transaction Log'!$A:$A,"D",'Checking Transaction Log'!$B:$B,2)</f>
        <v>0</v>
      </c>
      <c r="Z6" s="276">
        <f t="shared" si="12"/>
        <v>1200</v>
      </c>
      <c r="AA6" s="278">
        <f>SUMIFS('Checking Transaction Log'!$E:$E,'Checking Transaction Log'!$C:$C,"&gt;="&amp;AA1,'Checking Transaction Log'!$C:$C,"&lt;="&amp;AB1,'Checking Transaction Log'!$A:$A,"D",'Checking Transaction Log'!$B:$B,2)</f>
        <v>0</v>
      </c>
      <c r="AB6" s="278">
        <f t="shared" si="13"/>
        <v>1200</v>
      </c>
      <c r="AC6" s="280">
        <f>SUMIFS('Checking Transaction Log'!$E:$E,'Checking Transaction Log'!$C:$C,"&gt;="&amp;AC1,'Checking Transaction Log'!$C:$C,"&lt;="&amp;AD1,'Checking Transaction Log'!$A:$A,"D",'Checking Transaction Log'!$B:$B,2)</f>
        <v>0</v>
      </c>
      <c r="AD6" s="280">
        <f t="shared" si="14"/>
        <v>1200</v>
      </c>
      <c r="AE6" s="282">
        <f>SUMIFS('Checking Transaction Log'!$E:$E,'Checking Transaction Log'!$C:$C,"&gt;="&amp;AE1,'Checking Transaction Log'!$C:$C,"&lt;="&amp;AF1,'Checking Transaction Log'!$A:$A,"D",'Checking Transaction Log'!$B:$B,2)</f>
        <v>0</v>
      </c>
      <c r="AF6" s="282">
        <f t="shared" si="15"/>
        <v>1200</v>
      </c>
    </row>
    <row r="7" spans="1:32" ht="11.25" customHeight="1" x14ac:dyDescent="0.3">
      <c r="A7" s="284" t="str">
        <f>'Proposed Budget'!A7</f>
        <v>D</v>
      </c>
      <c r="B7" s="255">
        <f>'Proposed Budget'!B7</f>
        <v>3</v>
      </c>
      <c r="C7" s="287" t="str">
        <f>'Proposed Budget'!C7</f>
        <v>Misc Food</v>
      </c>
      <c r="D7" s="288">
        <f t="shared" ca="1" si="1"/>
        <v>124.27076999999998</v>
      </c>
      <c r="E7" s="289">
        <f t="shared" si="16"/>
        <v>735.32999999999993</v>
      </c>
      <c r="F7" s="289">
        <f t="shared" si="2"/>
        <v>164.67000000000002</v>
      </c>
      <c r="G7" s="269">
        <f t="shared" si="3"/>
        <v>0.18296666666666672</v>
      </c>
      <c r="H7" s="289">
        <f>'Proposed Budget'!D7</f>
        <v>150</v>
      </c>
      <c r="I7" s="270">
        <f>SUMIFS('Checking Transaction Log'!E:E,'Checking Transaction Log'!C:C,"&gt;="&amp;I1,'Checking Transaction Log'!C:C,"&lt;="&amp;J1,'Checking Transaction Log'!A:A,"D",'Checking Transaction Log'!B:B,3)</f>
        <v>144.51</v>
      </c>
      <c r="J7" s="270">
        <f t="shared" si="4"/>
        <v>5.4900000000000091</v>
      </c>
      <c r="K7" s="232">
        <f>SUMIFS('Checking Transaction Log'!E:E,'Checking Transaction Log'!C:C,"&gt;="&amp;K1,'Checking Transaction Log'!C:C,"&lt;="&amp;L1,'Checking Transaction Log'!A:A,"D",'Checking Transaction Log'!B:B,3)</f>
        <v>90.76</v>
      </c>
      <c r="L7" s="232">
        <f t="shared" si="5"/>
        <v>59.239999999999995</v>
      </c>
      <c r="M7" s="273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73">
        <f t="shared" si="6"/>
        <v>-23.53</v>
      </c>
      <c r="O7" s="236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36">
        <f t="shared" si="7"/>
        <v>58.340000000000018</v>
      </c>
      <c r="Q7" s="270">
        <f>SUMIFS('Checking Transaction Log'!$E:$E,'Checking Transaction Log'!$C:$C,"&gt;="&amp;Q1,'Checking Transaction Log'!$C:$C,"&lt;="&amp;R1,'Checking Transaction Log'!$A:$A,"D",'Checking Transaction Log'!$B:$B,3)</f>
        <v>180.06</v>
      </c>
      <c r="R7" s="270">
        <f t="shared" si="8"/>
        <v>-30.060000000000002</v>
      </c>
      <c r="S7" s="232">
        <f>SUMIFS('Checking Transaction Log'!$E:$E,'Checking Transaction Log'!$C:$C,"&gt;="&amp;S1,'Checking Transaction Log'!$C:$C,"&lt;="&amp;T1,'Checking Transaction Log'!$A:$A,"D",'Checking Transaction Log'!$B:$B,3)</f>
        <v>54.810000000000009</v>
      </c>
      <c r="T7" s="232">
        <f t="shared" si="9"/>
        <v>95.19</v>
      </c>
      <c r="U7" s="273">
        <f>SUMIFS('Checking Transaction Log'!$E:$E,'Checking Transaction Log'!$C:$C,"&gt;="&amp;U1,'Checking Transaction Log'!$C:$C,"&lt;="&amp;V1,'Checking Transaction Log'!$A:$A,"D",'Checking Transaction Log'!$B:$B,3)</f>
        <v>0</v>
      </c>
      <c r="V7" s="273">
        <f t="shared" si="10"/>
        <v>150</v>
      </c>
      <c r="W7" s="236">
        <f>SUMIFS('Checking Transaction Log'!$E:$E,'Checking Transaction Log'!$C:$C,"&gt;="&amp;W1,'Checking Transaction Log'!$C:$C,"&lt;="&amp;X1,'Checking Transaction Log'!$A:$A,"D",'Checking Transaction Log'!$B:$B,3)</f>
        <v>0</v>
      </c>
      <c r="X7" s="236">
        <f t="shared" si="11"/>
        <v>150</v>
      </c>
      <c r="Y7" s="276">
        <f>SUMIFS('Checking Transaction Log'!$E:$E,'Checking Transaction Log'!$C:$C,"&gt;="&amp;Y1,'Checking Transaction Log'!$C:$C,"&lt;="&amp;Z1,'Checking Transaction Log'!$A:$A,"D",'Checking Transaction Log'!$B:$B,3)</f>
        <v>0</v>
      </c>
      <c r="Z7" s="276">
        <f t="shared" si="12"/>
        <v>150</v>
      </c>
      <c r="AA7" s="278">
        <f>SUMIFS('Checking Transaction Log'!$E:$E,'Checking Transaction Log'!$C:$C,"&gt;="&amp;AA1,'Checking Transaction Log'!$C:$C,"&lt;="&amp;AB1,'Checking Transaction Log'!$A:$A,"D",'Checking Transaction Log'!$B:$B,3)</f>
        <v>0</v>
      </c>
      <c r="AB7" s="278">
        <f t="shared" si="13"/>
        <v>150</v>
      </c>
      <c r="AC7" s="280">
        <f>SUMIFS('Checking Transaction Log'!$E:$E,'Checking Transaction Log'!$C:$C,"&gt;="&amp;AC1,'Checking Transaction Log'!$C:$C,"&lt;="&amp;AD1,'Checking Transaction Log'!$A:$A,"D",'Checking Transaction Log'!$B:$B,3)</f>
        <v>0</v>
      </c>
      <c r="AD7" s="280">
        <f t="shared" si="14"/>
        <v>150</v>
      </c>
      <c r="AE7" s="282">
        <f>SUMIFS('Checking Transaction Log'!$E:$E,'Checking Transaction Log'!$C:$C,"&gt;="&amp;AE1,'Checking Transaction Log'!$C:$C,"&lt;="&amp;AF1,'Checking Transaction Log'!$A:$A,"D",'Checking Transaction Log'!$B:$B,3)</f>
        <v>0</v>
      </c>
      <c r="AF7" s="282">
        <f t="shared" si="15"/>
        <v>150</v>
      </c>
    </row>
    <row r="8" spans="1:32" ht="11.25" customHeight="1" x14ac:dyDescent="0.3">
      <c r="A8" s="284" t="str">
        <f>'Proposed Budget'!A8</f>
        <v>D</v>
      </c>
      <c r="B8" s="255">
        <f>'Proposed Budget'!B8</f>
        <v>4</v>
      </c>
      <c r="C8" s="287" t="str">
        <f>'Proposed Budget'!C8</f>
        <v>Gasoline</v>
      </c>
      <c r="D8" s="288">
        <f t="shared" ca="1" si="1"/>
        <v>651.10122999999999</v>
      </c>
      <c r="E8" s="289">
        <f t="shared" si="16"/>
        <v>3852.67</v>
      </c>
      <c r="F8" s="289">
        <f t="shared" si="2"/>
        <v>-252.67000000000019</v>
      </c>
      <c r="G8" s="269">
        <f t="shared" si="3"/>
        <v>-7.018611111111106E-2</v>
      </c>
      <c r="H8" s="289">
        <f>'Proposed Budget'!D8</f>
        <v>600</v>
      </c>
      <c r="I8" s="270">
        <f>SUMIFS('Checking Transaction Log'!E:E,'Checking Transaction Log'!C:C,"&gt;="&amp;I1,'Checking Transaction Log'!C:C,"&lt;="&amp;J1,'Checking Transaction Log'!A:A,"D",'Checking Transaction Log'!B:B,4)</f>
        <v>561.41</v>
      </c>
      <c r="J8" s="270">
        <f t="shared" si="4"/>
        <v>38.590000000000032</v>
      </c>
      <c r="K8" s="232">
        <f>SUMIFS('Checking Transaction Log'!E:E,'Checking Transaction Log'!C:C,"&gt;="&amp;K1,'Checking Transaction Log'!C:C,"&lt;="&amp;L1,'Checking Transaction Log'!A:A,"D",'Checking Transaction Log'!B:B,4)</f>
        <v>710.78</v>
      </c>
      <c r="L8" s="232">
        <f t="shared" si="5"/>
        <v>-110.77999999999997</v>
      </c>
      <c r="M8" s="273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73">
        <f t="shared" si="6"/>
        <v>62.589999999999918</v>
      </c>
      <c r="O8" s="236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36">
        <f t="shared" si="7"/>
        <v>7.6699999999999591</v>
      </c>
      <c r="Q8" s="270">
        <f>SUMIFS('Checking Transaction Log'!$E:$E,'Checking Transaction Log'!$C:$C,"&gt;="&amp;Q1,'Checking Transaction Log'!$C:$C,"&lt;="&amp;R1,'Checking Transaction Log'!$A:$A,"D",'Checking Transaction Log'!$B:$B,4)</f>
        <v>942.96</v>
      </c>
      <c r="R8" s="270">
        <f t="shared" si="8"/>
        <v>-342.96000000000004</v>
      </c>
      <c r="S8" s="232">
        <f>SUMIFS('Checking Transaction Log'!$E:$E,'Checking Transaction Log'!$C:$C,"&gt;="&amp;S1,'Checking Transaction Log'!$C:$C,"&lt;="&amp;T1,'Checking Transaction Log'!$A:$A,"D",'Checking Transaction Log'!$B:$B,4)</f>
        <v>507.78000000000009</v>
      </c>
      <c r="T8" s="232">
        <f t="shared" si="9"/>
        <v>92.219999999999914</v>
      </c>
      <c r="U8" s="273">
        <f>SUMIFS('Checking Transaction Log'!$E:$E,'Checking Transaction Log'!$C:$C,"&gt;="&amp;U1,'Checking Transaction Log'!$C:$C,"&lt;="&amp;V1,'Checking Transaction Log'!$A:$A,"D",'Checking Transaction Log'!$B:$B,4)</f>
        <v>0</v>
      </c>
      <c r="V8" s="273">
        <f t="shared" si="10"/>
        <v>600</v>
      </c>
      <c r="W8" s="236">
        <f>SUMIFS('Checking Transaction Log'!$E:$E,'Checking Transaction Log'!$C:$C,"&gt;="&amp;W1,'Checking Transaction Log'!$C:$C,"&lt;="&amp;X1,'Checking Transaction Log'!$A:$A,"D",'Checking Transaction Log'!$B:$B,4)</f>
        <v>0</v>
      </c>
      <c r="X8" s="236">
        <f t="shared" si="11"/>
        <v>600</v>
      </c>
      <c r="Y8" s="276">
        <f>SUMIFS('Checking Transaction Log'!$E:$E,'Checking Transaction Log'!$C:$C,"&gt;="&amp;Y1,'Checking Transaction Log'!$C:$C,"&lt;="&amp;Z1,'Checking Transaction Log'!$A:$A,"D",'Checking Transaction Log'!$B:$B,4)</f>
        <v>0</v>
      </c>
      <c r="Z8" s="276">
        <f t="shared" si="12"/>
        <v>600</v>
      </c>
      <c r="AA8" s="278">
        <f>SUMIFS('Checking Transaction Log'!$E:$E,'Checking Transaction Log'!$C:$C,"&gt;="&amp;AA1,'Checking Transaction Log'!$C:$C,"&lt;="&amp;AB1,'Checking Transaction Log'!$A:$A,"D",'Checking Transaction Log'!$B:$B,4)</f>
        <v>0</v>
      </c>
      <c r="AB8" s="278">
        <f t="shared" si="13"/>
        <v>600</v>
      </c>
      <c r="AC8" s="280">
        <f>SUMIFS('Checking Transaction Log'!$E:$E,'Checking Transaction Log'!$C:$C,"&gt;="&amp;AC1,'Checking Transaction Log'!$C:$C,"&lt;="&amp;AD1,'Checking Transaction Log'!$A:$A,"D",'Checking Transaction Log'!$B:$B,4)</f>
        <v>0</v>
      </c>
      <c r="AD8" s="280">
        <f t="shared" si="14"/>
        <v>600</v>
      </c>
      <c r="AE8" s="282">
        <f>SUMIFS('Checking Transaction Log'!$E:$E,'Checking Transaction Log'!$C:$C,"&gt;="&amp;AE1,'Checking Transaction Log'!$C:$C,"&lt;="&amp;AF1,'Checking Transaction Log'!$A:$A,"D",'Checking Transaction Log'!$B:$B,4)</f>
        <v>0</v>
      </c>
      <c r="AF8" s="282">
        <f t="shared" si="15"/>
        <v>600</v>
      </c>
    </row>
    <row r="9" spans="1:32" ht="11.25" customHeight="1" x14ac:dyDescent="0.3">
      <c r="A9" s="284" t="str">
        <f>'Proposed Budget'!A9</f>
        <v>D</v>
      </c>
      <c r="B9" s="255">
        <f>'Proposed Budget'!B9</f>
        <v>5</v>
      </c>
      <c r="C9" s="287" t="str">
        <f>'Proposed Budget'!C9</f>
        <v>Family Entertainment</v>
      </c>
      <c r="D9" s="288">
        <f t="shared" ca="1" si="1"/>
        <v>715.68288999999993</v>
      </c>
      <c r="E9" s="289">
        <f t="shared" si="16"/>
        <v>4234.8099999999995</v>
      </c>
      <c r="F9" s="289">
        <f t="shared" si="2"/>
        <v>-34.81</v>
      </c>
      <c r="G9" s="269">
        <f t="shared" si="3"/>
        <v>-8.2880952380952611E-3</v>
      </c>
      <c r="H9" s="289">
        <f>'Proposed Budget'!D9</f>
        <v>700</v>
      </c>
      <c r="I9" s="270">
        <f>SUMIFS('Checking Transaction Log'!E:E,'Checking Transaction Log'!C:C,"&gt;="&amp;I1,'Checking Transaction Log'!C:C,"&lt;="&amp;J1,'Checking Transaction Log'!A:A,"D",'Checking Transaction Log'!B:B,5)</f>
        <v>717.1</v>
      </c>
      <c r="J9" s="270">
        <f t="shared" si="4"/>
        <v>-17.100000000000023</v>
      </c>
      <c r="K9" s="232">
        <f>SUMIFS('Checking Transaction Log'!E:E,'Checking Transaction Log'!C:C,"&gt;="&amp;K1,'Checking Transaction Log'!C:C,"&lt;="&amp;L1,'Checking Transaction Log'!A:A,"D",'Checking Transaction Log'!B:B,5)</f>
        <v>780.14</v>
      </c>
      <c r="L9" s="232">
        <f t="shared" si="5"/>
        <v>-80.139999999999986</v>
      </c>
      <c r="M9" s="273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73">
        <f t="shared" si="6"/>
        <v>183.21000000000004</v>
      </c>
      <c r="O9" s="236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36">
        <f t="shared" si="7"/>
        <v>-973.98</v>
      </c>
      <c r="Q9" s="270">
        <f>SUMIFS('Checking Transaction Log'!$E:$E,'Checking Transaction Log'!$C:$C,"&gt;="&amp;Q1,'Checking Transaction Log'!$C:$C,"&lt;="&amp;R1,'Checking Transaction Log'!$A:$A,"D",'Checking Transaction Log'!$B:$B,5)</f>
        <v>310.77</v>
      </c>
      <c r="R9" s="270">
        <f t="shared" si="8"/>
        <v>389.23</v>
      </c>
      <c r="S9" s="232">
        <f>SUMIFS('Checking Transaction Log'!$E:$E,'Checking Transaction Log'!$C:$C,"&gt;="&amp;S1,'Checking Transaction Log'!$C:$C,"&lt;="&amp;T1,'Checking Transaction Log'!$A:$A,"D",'Checking Transaction Log'!$B:$B,5)</f>
        <v>236.03000000000003</v>
      </c>
      <c r="T9" s="232">
        <f t="shared" si="9"/>
        <v>463.96999999999997</v>
      </c>
      <c r="U9" s="273">
        <f>SUMIFS('Checking Transaction Log'!$E:$E,'Checking Transaction Log'!$C:$C,"&gt;="&amp;U1,'Checking Transaction Log'!$C:$C,"&lt;="&amp;V1,'Checking Transaction Log'!$A:$A,"D",'Checking Transaction Log'!$B:$B,5)</f>
        <v>0</v>
      </c>
      <c r="V9" s="273">
        <f t="shared" si="10"/>
        <v>700</v>
      </c>
      <c r="W9" s="236">
        <f>SUMIFS('Checking Transaction Log'!$E:$E,'Checking Transaction Log'!$C:$C,"&gt;="&amp;W1,'Checking Transaction Log'!$C:$C,"&lt;="&amp;X1,'Checking Transaction Log'!$A:$A,"D",'Checking Transaction Log'!$B:$B,5)</f>
        <v>0</v>
      </c>
      <c r="X9" s="236">
        <f t="shared" si="11"/>
        <v>700</v>
      </c>
      <c r="Y9" s="276">
        <f>SUMIFS('Checking Transaction Log'!$E:$E,'Checking Transaction Log'!$C:$C,"&gt;="&amp;Y1,'Checking Transaction Log'!$C:$C,"&lt;="&amp;Z1,'Checking Transaction Log'!$A:$A,"D",'Checking Transaction Log'!$B:$B,5)</f>
        <v>0</v>
      </c>
      <c r="Z9" s="276">
        <f t="shared" si="12"/>
        <v>700</v>
      </c>
      <c r="AA9" s="278">
        <f>SUMIFS('Checking Transaction Log'!$E:$E,'Checking Transaction Log'!$C:$C,"&gt;="&amp;AA1,'Checking Transaction Log'!$C:$C,"&lt;="&amp;AB1,'Checking Transaction Log'!$A:$A,"D",'Checking Transaction Log'!$B:$B,5)</f>
        <v>0</v>
      </c>
      <c r="AB9" s="278">
        <f t="shared" si="13"/>
        <v>700</v>
      </c>
      <c r="AC9" s="280">
        <f>SUMIFS('Checking Transaction Log'!$E:$E,'Checking Transaction Log'!$C:$C,"&gt;="&amp;AC1,'Checking Transaction Log'!$C:$C,"&lt;="&amp;AD1,'Checking Transaction Log'!$A:$A,"D",'Checking Transaction Log'!$B:$B,5)</f>
        <v>0</v>
      </c>
      <c r="AD9" s="280">
        <f t="shared" si="14"/>
        <v>700</v>
      </c>
      <c r="AE9" s="282">
        <f>SUMIFS('Checking Transaction Log'!$E:$E,'Checking Transaction Log'!$C:$C,"&gt;="&amp;AE1,'Checking Transaction Log'!$C:$C,"&lt;="&amp;AF1,'Checking Transaction Log'!$A:$A,"D",'Checking Transaction Log'!$B:$B,5)</f>
        <v>0</v>
      </c>
      <c r="AF9" s="282">
        <f t="shared" si="15"/>
        <v>700</v>
      </c>
    </row>
    <row r="10" spans="1:32" ht="11.25" customHeight="1" x14ac:dyDescent="0.3">
      <c r="A10" s="284" t="str">
        <f>'Proposed Budget'!A10</f>
        <v>D</v>
      </c>
      <c r="B10" s="255">
        <f>'Proposed Budget'!B10</f>
        <v>6</v>
      </c>
      <c r="C10" s="287" t="str">
        <f>'Proposed Budget'!C10</f>
        <v>Miscellaneous Spending</v>
      </c>
      <c r="D10" s="288">
        <f t="shared" ca="1" si="1"/>
        <v>815.66667000000007</v>
      </c>
      <c r="E10" s="289">
        <f t="shared" si="16"/>
        <v>4826.43</v>
      </c>
      <c r="F10" s="289">
        <f t="shared" si="2"/>
        <v>573.56999999999948</v>
      </c>
      <c r="G10" s="269">
        <f t="shared" si="3"/>
        <v>0.10621666666666663</v>
      </c>
      <c r="H10" s="289">
        <f>'Proposed Budget'!D10</f>
        <v>900</v>
      </c>
      <c r="I10" s="270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70">
        <f t="shared" si="4"/>
        <v>185.87999999999988</v>
      </c>
      <c r="K10" s="232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32">
        <f t="shared" si="5"/>
        <v>206.92000000000007</v>
      </c>
      <c r="M10" s="273">
        <f>SUMIFS('Checking Transaction Log'!$E:$E,'Checking Transaction Log'!$C:$C,"&gt;="&amp;M1,'Checking Transaction Log'!$C:$C,"&lt;="&amp;N1,'Checking Transaction Log'!$A:$A,"D",'Checking Transaction Log'!$B:$B,6)</f>
        <v>484.69999999999993</v>
      </c>
      <c r="N10" s="273">
        <f t="shared" si="6"/>
        <v>415.30000000000007</v>
      </c>
      <c r="O10" s="236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36">
        <f t="shared" si="7"/>
        <v>-246.79000000000019</v>
      </c>
      <c r="Q10" s="270">
        <f>SUMIFS('Checking Transaction Log'!$E:$E,'Checking Transaction Log'!$C:$C,"&gt;="&amp;Q1,'Checking Transaction Log'!$C:$C,"&lt;="&amp;R1,'Checking Transaction Log'!$A:$A,"D",'Checking Transaction Log'!$B:$B,6)</f>
        <v>1049.97</v>
      </c>
      <c r="R10" s="270">
        <f t="shared" si="8"/>
        <v>-149.97000000000003</v>
      </c>
      <c r="S10" s="232">
        <f>SUMIFS('Checking Transaction Log'!$E:$E,'Checking Transaction Log'!$C:$C,"&gt;="&amp;S1,'Checking Transaction Log'!$C:$C,"&lt;="&amp;T1,'Checking Transaction Log'!$A:$A,"D",'Checking Transaction Log'!$B:$B,6)</f>
        <v>737.77000000000032</v>
      </c>
      <c r="T10" s="232">
        <f t="shared" si="9"/>
        <v>162.22999999999968</v>
      </c>
      <c r="U10" s="273">
        <f>SUMIFS('Checking Transaction Log'!$E:$E,'Checking Transaction Log'!$C:$C,"&gt;="&amp;U1,'Checking Transaction Log'!$C:$C,"&lt;="&amp;V1,'Checking Transaction Log'!$A:$A,"D",'Checking Transaction Log'!$B:$B,6)</f>
        <v>0</v>
      </c>
      <c r="V10" s="273">
        <f t="shared" si="10"/>
        <v>900</v>
      </c>
      <c r="W10" s="236">
        <f>SUMIFS('Checking Transaction Log'!$E:$E,'Checking Transaction Log'!$C:$C,"&gt;="&amp;W1,'Checking Transaction Log'!$C:$C,"&lt;="&amp;X1,'Checking Transaction Log'!$A:$A,"D",'Checking Transaction Log'!$B:$B,6)</f>
        <v>0</v>
      </c>
      <c r="X10" s="236">
        <f t="shared" si="11"/>
        <v>900</v>
      </c>
      <c r="Y10" s="276">
        <f>SUMIFS('Checking Transaction Log'!$E:$E,'Checking Transaction Log'!$C:$C,"&gt;="&amp;Y1,'Checking Transaction Log'!$C:$C,"&lt;="&amp;Z1,'Checking Transaction Log'!$A:$A,"D",'Checking Transaction Log'!$B:$B,6)</f>
        <v>0</v>
      </c>
      <c r="Z10" s="276">
        <f t="shared" si="12"/>
        <v>900</v>
      </c>
      <c r="AA10" s="278">
        <f>SUMIFS('Checking Transaction Log'!$E:$E,'Checking Transaction Log'!$C:$C,"&gt;="&amp;AA1,'Checking Transaction Log'!$C:$C,"&lt;="&amp;AB1,'Checking Transaction Log'!$A:$A,"D",'Checking Transaction Log'!$B:$B,6)</f>
        <v>0</v>
      </c>
      <c r="AB10" s="278">
        <f t="shared" si="13"/>
        <v>900</v>
      </c>
      <c r="AC10" s="280">
        <f>SUMIFS('Checking Transaction Log'!$E:$E,'Checking Transaction Log'!$C:$C,"&gt;="&amp;AC1,'Checking Transaction Log'!$C:$C,"&lt;="&amp;AD1,'Checking Transaction Log'!$A:$A,"D",'Checking Transaction Log'!$B:$B,6)</f>
        <v>0</v>
      </c>
      <c r="AD10" s="280">
        <f t="shared" si="14"/>
        <v>900</v>
      </c>
      <c r="AE10" s="282">
        <f>SUMIFS('Checking Transaction Log'!$E:$E,'Checking Transaction Log'!$C:$C,"&gt;="&amp;AE1,'Checking Transaction Log'!$C:$C,"&lt;="&amp;AF1,'Checking Transaction Log'!$A:$A,"D",'Checking Transaction Log'!$B:$B,6)</f>
        <v>0</v>
      </c>
      <c r="AF10" s="282">
        <f t="shared" si="15"/>
        <v>900</v>
      </c>
    </row>
    <row r="11" spans="1:32" ht="11.25" customHeight="1" x14ac:dyDescent="0.3">
      <c r="A11" s="284" t="str">
        <f>'Proposed Budget'!A11</f>
        <v>D</v>
      </c>
      <c r="B11" s="255">
        <f>'Proposed Budget'!B11</f>
        <v>7</v>
      </c>
      <c r="C11" s="287" t="str">
        <f>'Proposed Budget'!C11</f>
        <v>Department Stores/Clothes</v>
      </c>
      <c r="D11" s="288">
        <f t="shared" ca="1" si="1"/>
        <v>365.74303999999995</v>
      </c>
      <c r="E11" s="289">
        <f t="shared" si="16"/>
        <v>2164.16</v>
      </c>
      <c r="F11" s="289">
        <f t="shared" si="2"/>
        <v>-64.159999999999854</v>
      </c>
      <c r="G11" s="269">
        <f t="shared" si="3"/>
        <v>-3.0552380952380886E-2</v>
      </c>
      <c r="H11" s="289">
        <f>'Proposed Budget'!D11</f>
        <v>350</v>
      </c>
      <c r="I11" s="270">
        <f>SUMIFS('Checking Transaction Log'!E:E,'Checking Transaction Log'!C:C,"&gt;="&amp;I1,'Checking Transaction Log'!C:C,"&lt;="&amp;J1,'Checking Transaction Log'!A:A,"D",'Checking Transaction Log'!B:B,7)</f>
        <v>626.04</v>
      </c>
      <c r="J11" s="270">
        <f t="shared" si="4"/>
        <v>-276.03999999999996</v>
      </c>
      <c r="K11" s="232">
        <f>SUMIFS('Checking Transaction Log'!E:E,'Checking Transaction Log'!C:C,"&gt;="&amp;K1,'Checking Transaction Log'!C:C,"&lt;="&amp;L1,'Checking Transaction Log'!A:A,"D",'Checking Transaction Log'!B:B,7)</f>
        <v>670.18</v>
      </c>
      <c r="L11" s="232">
        <f t="shared" si="5"/>
        <v>-320.17999999999995</v>
      </c>
      <c r="M11" s="273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73">
        <f t="shared" si="6"/>
        <v>128.35000000000002</v>
      </c>
      <c r="O11" s="236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36">
        <f t="shared" si="7"/>
        <v>80.12</v>
      </c>
      <c r="Q11" s="270">
        <f>SUMIFS('Checking Transaction Log'!$E:$E,'Checking Transaction Log'!$C:$C,"&gt;="&amp;Q1,'Checking Transaction Log'!$C:$C,"&lt;="&amp;R1,'Checking Transaction Log'!$A:$A,"D",'Checking Transaction Log'!$B:$B,7)</f>
        <v>376.40999999999997</v>
      </c>
      <c r="R11" s="270">
        <f t="shared" si="8"/>
        <v>-26.409999999999968</v>
      </c>
      <c r="S11" s="232">
        <f>SUMIFS('Checking Transaction Log'!$E:$E,'Checking Transaction Log'!$C:$C,"&gt;="&amp;S1,'Checking Transaction Log'!$C:$C,"&lt;="&amp;T1,'Checking Transaction Log'!$A:$A,"D",'Checking Transaction Log'!$B:$B,7)</f>
        <v>0</v>
      </c>
      <c r="T11" s="232">
        <f t="shared" si="9"/>
        <v>350</v>
      </c>
      <c r="U11" s="273">
        <f>SUMIFS('Checking Transaction Log'!$E:$E,'Checking Transaction Log'!$C:$C,"&gt;="&amp;U1,'Checking Transaction Log'!$C:$C,"&lt;="&amp;V1,'Checking Transaction Log'!$A:$A,"D",'Checking Transaction Log'!$B:$B,7)</f>
        <v>0</v>
      </c>
      <c r="V11" s="273">
        <f t="shared" si="10"/>
        <v>350</v>
      </c>
      <c r="W11" s="236">
        <f>SUMIFS('Checking Transaction Log'!$E:$E,'Checking Transaction Log'!$C:$C,"&gt;="&amp;W1,'Checking Transaction Log'!$C:$C,"&lt;="&amp;X1,'Checking Transaction Log'!$A:$A,"D",'Checking Transaction Log'!$B:$B,7)</f>
        <v>0</v>
      </c>
      <c r="X11" s="236">
        <f t="shared" si="11"/>
        <v>350</v>
      </c>
      <c r="Y11" s="276">
        <f>SUMIFS('Checking Transaction Log'!$E:$E,'Checking Transaction Log'!$C:$C,"&gt;="&amp;Y1,'Checking Transaction Log'!$C:$C,"&lt;="&amp;Z1,'Checking Transaction Log'!$A:$A,"D",'Checking Transaction Log'!$B:$B,7)</f>
        <v>0</v>
      </c>
      <c r="Z11" s="276">
        <f t="shared" si="12"/>
        <v>350</v>
      </c>
      <c r="AA11" s="278">
        <f>SUMIFS('Checking Transaction Log'!$E:$E,'Checking Transaction Log'!$C:$C,"&gt;="&amp;AA1,'Checking Transaction Log'!$C:$C,"&lt;="&amp;AB1,'Checking Transaction Log'!$A:$A,"D",'Checking Transaction Log'!$B:$B,7)</f>
        <v>0</v>
      </c>
      <c r="AB11" s="278">
        <f t="shared" si="13"/>
        <v>350</v>
      </c>
      <c r="AC11" s="280">
        <f>SUMIFS('Checking Transaction Log'!$E:$E,'Checking Transaction Log'!$C:$C,"&gt;="&amp;AC1,'Checking Transaction Log'!$C:$C,"&lt;="&amp;AD1,'Checking Transaction Log'!$A:$A,"D",'Checking Transaction Log'!$B:$B,7)</f>
        <v>0</v>
      </c>
      <c r="AD11" s="280">
        <f t="shared" si="14"/>
        <v>350</v>
      </c>
      <c r="AE11" s="282">
        <f>SUMIFS('Checking Transaction Log'!$E:$E,'Checking Transaction Log'!$C:$C,"&gt;="&amp;AE1,'Checking Transaction Log'!$C:$C,"&lt;="&amp;AF1,'Checking Transaction Log'!$A:$A,"D",'Checking Transaction Log'!$B:$B,7)</f>
        <v>0</v>
      </c>
      <c r="AF11" s="282">
        <f t="shared" si="15"/>
        <v>350</v>
      </c>
    </row>
    <row r="12" spans="1:32" ht="11.25" customHeight="1" x14ac:dyDescent="0.3">
      <c r="A12" s="284" t="str">
        <f>'Proposed Budget'!A12</f>
        <v>D</v>
      </c>
      <c r="B12" s="255">
        <f>'Proposed Budget'!B12</f>
        <v>8</v>
      </c>
      <c r="C12" s="287" t="str">
        <f>'Proposed Budget'!C12</f>
        <v>Alcohol/Bars</v>
      </c>
      <c r="D12" s="288">
        <f t="shared" ca="1" si="1"/>
        <v>768.51398000000006</v>
      </c>
      <c r="E12" s="289">
        <f t="shared" si="16"/>
        <v>4547.42</v>
      </c>
      <c r="F12" s="289">
        <f t="shared" si="2"/>
        <v>-347.42000000000007</v>
      </c>
      <c r="G12" s="269">
        <f t="shared" si="3"/>
        <v>-8.2719047619047581E-2</v>
      </c>
      <c r="H12" s="289">
        <f>'Proposed Budget'!D12</f>
        <v>700</v>
      </c>
      <c r="I12" s="270">
        <f>SUMIFS('Checking Transaction Log'!E:E,'Checking Transaction Log'!C:C,"&gt;="&amp;I1,'Checking Transaction Log'!C:C,"&lt;="&amp;J1,'Checking Transaction Log'!A:A,"D",'Checking Transaction Log'!B:B,8)</f>
        <v>683.49</v>
      </c>
      <c r="J12" s="270">
        <f t="shared" si="4"/>
        <v>16.509999999999991</v>
      </c>
      <c r="K12" s="232">
        <f>SUMIFS('Checking Transaction Log'!E:E,'Checking Transaction Log'!C:C,"&gt;="&amp;K1,'Checking Transaction Log'!C:C,"&lt;="&amp;L1,'Checking Transaction Log'!A:A,"D",'Checking Transaction Log'!B:B,8)</f>
        <v>979.71</v>
      </c>
      <c r="L12" s="232">
        <f t="shared" si="5"/>
        <v>-279.71000000000004</v>
      </c>
      <c r="M12" s="273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73">
        <f t="shared" si="6"/>
        <v>59.579999999999814</v>
      </c>
      <c r="O12" s="236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36">
        <f t="shared" si="7"/>
        <v>45.990000000000123</v>
      </c>
      <c r="Q12" s="270">
        <f>SUMIFS('Checking Transaction Log'!$E:$E,'Checking Transaction Log'!$C:$C,"&gt;="&amp;Q1,'Checking Transaction Log'!$C:$C,"&lt;="&amp;R1,'Checking Transaction Log'!$A:$A,"D",'Checking Transaction Log'!$B:$B,8)</f>
        <v>972.26</v>
      </c>
      <c r="R12" s="270">
        <f t="shared" si="8"/>
        <v>-272.26</v>
      </c>
      <c r="S12" s="232">
        <f>SUMIFS('Checking Transaction Log'!$E:$E,'Checking Transaction Log'!$C:$C,"&gt;="&amp;S1,'Checking Transaction Log'!$C:$C,"&lt;="&amp;T1,'Checking Transaction Log'!$A:$A,"D",'Checking Transaction Log'!$B:$B,8)</f>
        <v>617.53</v>
      </c>
      <c r="T12" s="232">
        <f t="shared" si="9"/>
        <v>82.470000000000027</v>
      </c>
      <c r="U12" s="273">
        <f>SUMIFS('Checking Transaction Log'!$E:$E,'Checking Transaction Log'!$C:$C,"&gt;="&amp;U1,'Checking Transaction Log'!$C:$C,"&lt;="&amp;V1,'Checking Transaction Log'!$A:$A,"D",'Checking Transaction Log'!$B:$B,8)</f>
        <v>0</v>
      </c>
      <c r="V12" s="273">
        <f t="shared" si="10"/>
        <v>700</v>
      </c>
      <c r="W12" s="236">
        <f>SUMIFS('Checking Transaction Log'!$E:$E,'Checking Transaction Log'!$C:$C,"&gt;="&amp;W1,'Checking Transaction Log'!$C:$C,"&lt;="&amp;X1,'Checking Transaction Log'!$A:$A,"D",'Checking Transaction Log'!$B:$B,8)</f>
        <v>0</v>
      </c>
      <c r="X12" s="236">
        <f t="shared" si="11"/>
        <v>700</v>
      </c>
      <c r="Y12" s="276">
        <f>SUMIFS('Checking Transaction Log'!$E:$E,'Checking Transaction Log'!$C:$C,"&gt;="&amp;Y1,'Checking Transaction Log'!$C:$C,"&lt;="&amp;Z1,'Checking Transaction Log'!$A:$A,"D",'Checking Transaction Log'!$B:$B,8)</f>
        <v>0</v>
      </c>
      <c r="Z12" s="276">
        <f t="shared" si="12"/>
        <v>700</v>
      </c>
      <c r="AA12" s="278">
        <f>SUMIFS('Checking Transaction Log'!$E:$E,'Checking Transaction Log'!$C:$C,"&gt;="&amp;AA1,'Checking Transaction Log'!$C:$C,"&lt;="&amp;AB1,'Checking Transaction Log'!$A:$A,"D",'Checking Transaction Log'!$B:$B,8)</f>
        <v>0</v>
      </c>
      <c r="AB12" s="278">
        <f t="shared" si="13"/>
        <v>700</v>
      </c>
      <c r="AC12" s="280">
        <f>SUMIFS('Checking Transaction Log'!$E:$E,'Checking Transaction Log'!$C:$C,"&gt;="&amp;AC1,'Checking Transaction Log'!$C:$C,"&lt;="&amp;AD1,'Checking Transaction Log'!$A:$A,"D",'Checking Transaction Log'!$B:$B,8)</f>
        <v>0</v>
      </c>
      <c r="AD12" s="280">
        <f t="shared" si="14"/>
        <v>700</v>
      </c>
      <c r="AE12" s="282">
        <f>SUMIFS('Checking Transaction Log'!$E:$E,'Checking Transaction Log'!$C:$C,"&gt;="&amp;AE1,'Checking Transaction Log'!$C:$C,"&lt;="&amp;AF1,'Checking Transaction Log'!$A:$A,"D",'Checking Transaction Log'!$B:$B,8)</f>
        <v>0</v>
      </c>
      <c r="AF12" s="282">
        <f t="shared" si="15"/>
        <v>700</v>
      </c>
    </row>
    <row r="13" spans="1:32" ht="11.25" customHeight="1" x14ac:dyDescent="0.3">
      <c r="A13" s="284"/>
      <c r="B13" s="255"/>
      <c r="C13" s="287"/>
      <c r="D13" s="288"/>
      <c r="E13" s="290"/>
      <c r="F13" s="290"/>
      <c r="G13" s="269"/>
      <c r="H13" s="289"/>
      <c r="I13" s="270"/>
      <c r="J13" s="270"/>
      <c r="K13" s="232"/>
      <c r="L13" s="232"/>
      <c r="M13" s="273"/>
      <c r="N13" s="273"/>
      <c r="O13" s="236"/>
      <c r="P13" s="236"/>
      <c r="Q13" s="270"/>
      <c r="R13" s="270"/>
      <c r="S13" s="232"/>
      <c r="T13" s="232"/>
      <c r="U13" s="273"/>
      <c r="V13" s="273"/>
      <c r="W13" s="236"/>
      <c r="X13" s="236"/>
      <c r="Y13" s="276"/>
      <c r="Z13" s="276"/>
      <c r="AA13" s="278"/>
      <c r="AB13" s="278"/>
      <c r="AC13" s="280"/>
      <c r="AD13" s="280"/>
      <c r="AE13" s="282"/>
      <c r="AF13" s="282"/>
    </row>
    <row r="14" spans="1:32" ht="11.25" customHeight="1" x14ac:dyDescent="0.3">
      <c r="A14" s="284" t="str">
        <f>'Proposed Budget'!A14</f>
        <v>F</v>
      </c>
      <c r="B14" s="255">
        <f>'Proposed Budget'!B14</f>
        <v>9</v>
      </c>
      <c r="C14" s="287" t="str">
        <f>'Proposed Budget'!C14</f>
        <v>Rocket Mortgage</v>
      </c>
      <c r="D14" s="288">
        <f t="shared" ref="D14:D31" ca="1" si="17">(E14/(TODAY()-$I$1))*30.42</f>
        <v>1282.62212</v>
      </c>
      <c r="E14" s="289">
        <f t="shared" ref="E14:E31" si="18">Q14+S14+U14+W14+Y14+AA14+AC14+AE14+I14+K14+M14+O14</f>
        <v>7589.48</v>
      </c>
      <c r="F14" s="289">
        <f t="shared" ref="F14:F31" si="19">J14+L14+N14+P14+R14+T14</f>
        <v>120.51999999999998</v>
      </c>
      <c r="G14" s="269">
        <f t="shared" ref="G14:G31" si="20">1-((E14/SUM(E14:F14)))</f>
        <v>1.5631647211413857E-2</v>
      </c>
      <c r="H14" s="289">
        <f>'Proposed Budget'!D14</f>
        <v>1285</v>
      </c>
      <c r="I14" s="270">
        <f>SUMIFS('Checking Transaction Log'!E:E,'Checking Transaction Log'!C:C,"&gt;="&amp;I1,'Checking Transaction Log'!C:C,"&lt;="&amp;J1,'Checking Transaction Log'!A:A,"F",'Checking Transaction Log'!B:B,9)</f>
        <v>1281.53</v>
      </c>
      <c r="J14" s="270">
        <f t="shared" ref="J14:J31" si="21">H14-I14</f>
        <v>3.4700000000000273</v>
      </c>
      <c r="K14" s="232">
        <f>SUMIFS('Checking Transaction Log'!E:E,'Checking Transaction Log'!C:C,"&gt;="&amp;K1,'Checking Transaction Log'!C:C,"&lt;="&amp;L1,'Checking Transaction Log'!A:A,"F",'Checking Transaction Log'!B:B,9)</f>
        <v>1281.53</v>
      </c>
      <c r="L14" s="232">
        <f t="shared" ref="L14:L31" si="22">H14-K14</f>
        <v>3.4700000000000273</v>
      </c>
      <c r="M14" s="273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73">
        <f t="shared" ref="N14:N31" si="23">H14-M14</f>
        <v>3.4700000000000273</v>
      </c>
      <c r="O14" s="236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36">
        <f t="shared" ref="P14:P31" si="24">H14-O14</f>
        <v>3.4700000000000273</v>
      </c>
      <c r="Q14" s="270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70">
        <f t="shared" ref="R14:R31" si="25">H14-Q14</f>
        <v>53.319999999999936</v>
      </c>
      <c r="S14" s="232">
        <f>SUMIFS('Checking Transaction Log'!$E:$E,'Checking Transaction Log'!$C:$C,"&gt;="&amp;S1,'Checking Transaction Log'!$C:$C,"&lt;="&amp;T1,'Checking Transaction Log'!$A:$A,"F",'Checking Transaction Log'!$B:$B,9)</f>
        <v>1231.68</v>
      </c>
      <c r="T14" s="232">
        <f t="shared" ref="T14:T31" si="26">H14-S14</f>
        <v>53.319999999999936</v>
      </c>
      <c r="U14" s="273">
        <f>SUMIFS('Checking Transaction Log'!$E:$E,'Checking Transaction Log'!$C:$C,"&gt;="&amp;U1,'Checking Transaction Log'!$C:$C,"&lt;="&amp;V1,'Checking Transaction Log'!$A:$A,"F",'Checking Transaction Log'!$B:$B,9)</f>
        <v>0</v>
      </c>
      <c r="V14" s="273">
        <f t="shared" ref="V14:V31" si="27">H14-U14</f>
        <v>1285</v>
      </c>
      <c r="W14" s="236">
        <f>SUMIFS('Checking Transaction Log'!$E:$E,'Checking Transaction Log'!$C:$C,"&gt;="&amp;W1,'Checking Transaction Log'!$C:$C,"&lt;="&amp;X1,'Checking Transaction Log'!$A:$A,"F",'Checking Transaction Log'!$B:$B,9)</f>
        <v>0</v>
      </c>
      <c r="X14" s="236">
        <f t="shared" ref="X14:X31" si="28">H14-W14</f>
        <v>1285</v>
      </c>
      <c r="Y14" s="276">
        <f>SUMIFS('Checking Transaction Log'!$E:$E,'Checking Transaction Log'!$C:$C,"&gt;="&amp;Y1,'Checking Transaction Log'!$C:$C,"&lt;="&amp;Z1,'Checking Transaction Log'!$A:$A,"F",'Checking Transaction Log'!$B:$B,9)</f>
        <v>0</v>
      </c>
      <c r="Z14" s="276">
        <f t="shared" ref="Z14:Z31" si="29">H14-Y14</f>
        <v>1285</v>
      </c>
      <c r="AA14" s="278">
        <f>SUMIFS('Checking Transaction Log'!$E:$E,'Checking Transaction Log'!$C:$C,"&gt;="&amp;AA1,'Checking Transaction Log'!$C:$C,"&lt;="&amp;AB1,'Checking Transaction Log'!$A:$A,"F",'Checking Transaction Log'!$B:$B,9)</f>
        <v>0</v>
      </c>
      <c r="AB14" s="278">
        <f t="shared" ref="AB14:AB31" si="30">H14-AA14</f>
        <v>1285</v>
      </c>
      <c r="AC14" s="280">
        <f>SUMIFS('Checking Transaction Log'!$E:$E,'Checking Transaction Log'!$C:$C,"&gt;="&amp;AC1,'Checking Transaction Log'!$C:$C,"&lt;="&amp;AD1,'Checking Transaction Log'!$A:$A,"F",'Checking Transaction Log'!$B:$B,9)</f>
        <v>0</v>
      </c>
      <c r="AD14" s="280">
        <f t="shared" ref="AD14:AD31" si="31">H14-AC14</f>
        <v>1285</v>
      </c>
      <c r="AE14" s="282">
        <f>SUMIFS('Checking Transaction Log'!$E:$E,'Checking Transaction Log'!$C:$C,"&gt;="&amp;AE1,'Checking Transaction Log'!$C:$C,"&lt;="&amp;AF1,'Checking Transaction Log'!$A:$A,"F",'Checking Transaction Log'!$B:$B,9)</f>
        <v>0</v>
      </c>
      <c r="AF14" s="282">
        <f t="shared" ref="AF14:AF31" si="32">H14-AE14</f>
        <v>1285</v>
      </c>
    </row>
    <row r="15" spans="1:32" ht="11.25" customHeight="1" x14ac:dyDescent="0.3">
      <c r="A15" s="284" t="str">
        <f>'Proposed Budget'!A15</f>
        <v>F</v>
      </c>
      <c r="B15" s="255">
        <f>'Proposed Budget'!B15</f>
        <v>10</v>
      </c>
      <c r="C15" s="287" t="str">
        <f>'Proposed Budget'!C15</f>
        <v>EH Roberts</v>
      </c>
      <c r="D15" s="288">
        <f t="shared" ca="1" si="17"/>
        <v>15.125500000000001</v>
      </c>
      <c r="E15" s="289">
        <f t="shared" si="18"/>
        <v>89.5</v>
      </c>
      <c r="F15" s="289">
        <f t="shared" si="19"/>
        <v>30.500000000000007</v>
      </c>
      <c r="G15" s="269">
        <f t="shared" si="20"/>
        <v>0.25416666666666665</v>
      </c>
      <c r="H15" s="289">
        <f>'Proposed Budget'!D15</f>
        <v>20</v>
      </c>
      <c r="I15" s="270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70">
        <f t="shared" si="21"/>
        <v>2.1000000000000014</v>
      </c>
      <c r="K15" s="232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32">
        <f t="shared" si="22"/>
        <v>2.1000000000000014</v>
      </c>
      <c r="M15" s="273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73">
        <f t="shared" si="23"/>
        <v>2.1000000000000014</v>
      </c>
      <c r="O15" s="236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36">
        <f t="shared" si="24"/>
        <v>2.1000000000000014</v>
      </c>
      <c r="Q15" s="270">
        <f>SUMIFS('Checking Transaction Log'!$E:$E,'Checking Transaction Log'!$C:$C,"&gt;="&amp;Q1,'Checking Transaction Log'!$C:$C,"&lt;="&amp;R1,'Checking Transaction Log'!$A:$A,"F",'Checking Transaction Log'!$B:$B,10)</f>
        <v>17.899999999999999</v>
      </c>
      <c r="R15" s="270">
        <f t="shared" si="25"/>
        <v>2.1000000000000014</v>
      </c>
      <c r="S15" s="232">
        <f>SUMIFS('Checking Transaction Log'!$E:$E,'Checking Transaction Log'!$C:$C,"&gt;="&amp;S1,'Checking Transaction Log'!$C:$C,"&lt;="&amp;T1,'Checking Transaction Log'!$A:$A,"F",'Checking Transaction Log'!$B:$B,10)</f>
        <v>0</v>
      </c>
      <c r="T15" s="232">
        <f t="shared" si="26"/>
        <v>20</v>
      </c>
      <c r="U15" s="273">
        <f>SUMIFS('Checking Transaction Log'!$E:$E,'Checking Transaction Log'!$C:$C,"&gt;="&amp;U1,'Checking Transaction Log'!$C:$C,"&lt;="&amp;V1,'Checking Transaction Log'!$A:$A,"F",'Checking Transaction Log'!$B:$B,10)</f>
        <v>0</v>
      </c>
      <c r="V15" s="273">
        <f t="shared" si="27"/>
        <v>20</v>
      </c>
      <c r="W15" s="236">
        <f>SUMIFS('Checking Transaction Log'!$E:$E,'Checking Transaction Log'!$C:$C,"&gt;="&amp;W1,'Checking Transaction Log'!$C:$C,"&lt;="&amp;X1,'Checking Transaction Log'!$A:$A,"F",'Checking Transaction Log'!$B:$B,10)</f>
        <v>0</v>
      </c>
      <c r="X15" s="236">
        <f t="shared" si="28"/>
        <v>20</v>
      </c>
      <c r="Y15" s="276">
        <f>SUMIFS('Checking Transaction Log'!$E:$E,'Checking Transaction Log'!$C:$C,"&gt;="&amp;Y1,'Checking Transaction Log'!$C:$C,"&lt;="&amp;Z1,'Checking Transaction Log'!$A:$A,"F",'Checking Transaction Log'!$B:$B,10)</f>
        <v>0</v>
      </c>
      <c r="Z15" s="276">
        <f t="shared" si="29"/>
        <v>20</v>
      </c>
      <c r="AA15" s="278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78">
        <f t="shared" si="30"/>
        <v>20</v>
      </c>
      <c r="AC15" s="280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80">
        <f t="shared" si="31"/>
        <v>20</v>
      </c>
      <c r="AE15" s="282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82">
        <f t="shared" si="32"/>
        <v>20</v>
      </c>
    </row>
    <row r="16" spans="1:32" ht="11.25" customHeight="1" x14ac:dyDescent="0.3">
      <c r="A16" s="284" t="str">
        <f>'Proposed Budget'!A16</f>
        <v>F</v>
      </c>
      <c r="B16" s="255">
        <f>'Proposed Budget'!B16</f>
        <v>11</v>
      </c>
      <c r="C16" s="287" t="str">
        <f>'Proposed Budget'!C16</f>
        <v>Verizon Wireless</v>
      </c>
      <c r="D16" s="288">
        <f t="shared" ca="1" si="17"/>
        <v>307.60028000000011</v>
      </c>
      <c r="E16" s="289">
        <f t="shared" si="18"/>
        <v>1820.1200000000003</v>
      </c>
      <c r="F16" s="289">
        <f t="shared" si="19"/>
        <v>-200.12000000000006</v>
      </c>
      <c r="G16" s="269">
        <f t="shared" si="20"/>
        <v>-0.12353086419753101</v>
      </c>
      <c r="H16" s="289">
        <f>'Proposed Budget'!D16</f>
        <v>270</v>
      </c>
      <c r="I16" s="270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70">
        <f t="shared" si="21"/>
        <v>2.0400000000000205</v>
      </c>
      <c r="K16" s="232">
        <f>SUMIFS('Checking Transaction Log'!E:E,'Checking Transaction Log'!C:C,"&gt;="&amp;K1,'Checking Transaction Log'!C:C,"&lt;="&amp;L1,'Checking Transaction Log'!A:A,"F",'Checking Transaction Log'!B:B,11)</f>
        <v>480.91</v>
      </c>
      <c r="L16" s="232">
        <f t="shared" si="22"/>
        <v>-210.91000000000003</v>
      </c>
      <c r="M16" s="273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73">
        <f t="shared" si="23"/>
        <v>2.089999999999975</v>
      </c>
      <c r="O16" s="236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36">
        <f t="shared" si="24"/>
        <v>2.089999999999975</v>
      </c>
      <c r="Q16" s="270">
        <f>SUMIFS('Checking Transaction Log'!$E:$E,'Checking Transaction Log'!$C:$C,"&gt;="&amp;Q1,'Checking Transaction Log'!$C:$C,"&lt;="&amp;R1,'Checking Transaction Log'!$A:$A,"F",'Checking Transaction Log'!$B:$B,11)</f>
        <v>267.68</v>
      </c>
      <c r="R16" s="270">
        <f t="shared" si="25"/>
        <v>2.3199999999999932</v>
      </c>
      <c r="S16" s="232">
        <f>SUMIFS('Checking Transaction Log'!$E:$E,'Checking Transaction Log'!$C:$C,"&gt;="&amp;S1,'Checking Transaction Log'!$C:$C,"&lt;="&amp;T1,'Checking Transaction Log'!$A:$A,"F",'Checking Transaction Log'!$B:$B,11)</f>
        <v>267.75</v>
      </c>
      <c r="T16" s="232">
        <f t="shared" si="26"/>
        <v>2.25</v>
      </c>
      <c r="U16" s="273">
        <f>SUMIFS('Checking Transaction Log'!$E:$E,'Checking Transaction Log'!$C:$C,"&gt;="&amp;U1,'Checking Transaction Log'!$C:$C,"&lt;="&amp;V1,'Checking Transaction Log'!$A:$A,"F",'Checking Transaction Log'!$B:$B,11)</f>
        <v>0</v>
      </c>
      <c r="V16" s="273">
        <f t="shared" si="27"/>
        <v>270</v>
      </c>
      <c r="W16" s="236">
        <f>SUMIFS('Checking Transaction Log'!$E:$E,'Checking Transaction Log'!$C:$C,"&gt;="&amp;W1,'Checking Transaction Log'!$C:$C,"&lt;="&amp;X1,'Checking Transaction Log'!$A:$A,"F",'Checking Transaction Log'!$B:$B,11)</f>
        <v>0</v>
      </c>
      <c r="X16" s="236">
        <f t="shared" si="28"/>
        <v>270</v>
      </c>
      <c r="Y16" s="276">
        <f>SUMIFS('Checking Transaction Log'!$E:$E,'Checking Transaction Log'!$C:$C,"&gt;="&amp;Y1,'Checking Transaction Log'!$C:$C,"&lt;="&amp;Z1,'Checking Transaction Log'!$A:$A,"F",'Checking Transaction Log'!$B:$B,11)</f>
        <v>0</v>
      </c>
      <c r="Z16" s="276">
        <f t="shared" si="29"/>
        <v>270</v>
      </c>
      <c r="AA16" s="278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78">
        <f t="shared" si="30"/>
        <v>270</v>
      </c>
      <c r="AC16" s="280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80">
        <f t="shared" si="31"/>
        <v>270</v>
      </c>
      <c r="AE16" s="282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82">
        <f t="shared" si="32"/>
        <v>270</v>
      </c>
    </row>
    <row r="17" spans="1:32" ht="11.25" customHeight="1" x14ac:dyDescent="0.3">
      <c r="A17" s="284" t="str">
        <f>'Proposed Budget'!A17</f>
        <v>F</v>
      </c>
      <c r="B17" s="255">
        <f>'Proposed Budget'!B17</f>
        <v>12</v>
      </c>
      <c r="C17" s="287" t="str">
        <f>'Proposed Budget'!C17</f>
        <v>Spectrum TV/Internet</v>
      </c>
      <c r="D17" s="288">
        <f t="shared" ca="1" si="17"/>
        <v>209.13243</v>
      </c>
      <c r="E17" s="289">
        <f t="shared" si="18"/>
        <v>1237.47</v>
      </c>
      <c r="F17" s="289">
        <f t="shared" si="19"/>
        <v>-7.4699999999999989</v>
      </c>
      <c r="G17" s="269">
        <f t="shared" si="20"/>
        <v>-6.0731707317074335E-3</v>
      </c>
      <c r="H17" s="289">
        <f>'Proposed Budget'!D17</f>
        <v>205</v>
      </c>
      <c r="I17" s="270">
        <f>SUMIFS('Checking Transaction Log'!E:E,'Checking Transaction Log'!C:C,"&gt;="&amp;I1,'Checking Transaction Log'!C:C,"&lt;="&amp;J1,'Checking Transaction Log'!A:A,"F",'Checking Transaction Log'!B:B,12)</f>
        <v>204.83</v>
      </c>
      <c r="J17" s="270">
        <f t="shared" si="21"/>
        <v>0.16999999999998749</v>
      </c>
      <c r="K17" s="232">
        <f>SUMIFS('Checking Transaction Log'!E:E,'Checking Transaction Log'!C:C,"&gt;="&amp;K1,'Checking Transaction Log'!C:C,"&lt;="&amp;L1,'Checking Transaction Log'!A:A,"F",'Checking Transaction Log'!B:B,12)</f>
        <v>204.47</v>
      </c>
      <c r="L17" s="232">
        <f t="shared" si="22"/>
        <v>0.53000000000000114</v>
      </c>
      <c r="M17" s="273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73">
        <f t="shared" si="23"/>
        <v>0.53000000000000114</v>
      </c>
      <c r="O17" s="236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36">
        <f t="shared" si="24"/>
        <v>-9.7400000000000091</v>
      </c>
      <c r="Q17" s="270">
        <f>SUMIFS('Checking Transaction Log'!$E:$E,'Checking Transaction Log'!$C:$C,"&gt;="&amp;Q1,'Checking Transaction Log'!$C:$C,"&lt;="&amp;R1,'Checking Transaction Log'!$A:$A,"F",'Checking Transaction Log'!$B:$B,12)</f>
        <v>204.48</v>
      </c>
      <c r="R17" s="270">
        <f t="shared" si="25"/>
        <v>0.52000000000001023</v>
      </c>
      <c r="S17" s="232">
        <f>SUMIFS('Checking Transaction Log'!$E:$E,'Checking Transaction Log'!$C:$C,"&gt;="&amp;S1,'Checking Transaction Log'!$C:$C,"&lt;="&amp;T1,'Checking Transaction Log'!$A:$A,"F",'Checking Transaction Log'!$B:$B,12)</f>
        <v>204.48</v>
      </c>
      <c r="T17" s="232">
        <f t="shared" si="26"/>
        <v>0.52000000000001023</v>
      </c>
      <c r="U17" s="273">
        <f>SUMIFS('Checking Transaction Log'!$E:$E,'Checking Transaction Log'!$C:$C,"&gt;="&amp;U1,'Checking Transaction Log'!$C:$C,"&lt;="&amp;V1,'Checking Transaction Log'!$A:$A,"F",'Checking Transaction Log'!$B:$B,12)</f>
        <v>0</v>
      </c>
      <c r="V17" s="273">
        <f t="shared" si="27"/>
        <v>205</v>
      </c>
      <c r="W17" s="236">
        <f>SUMIFS('Checking Transaction Log'!$E:$E,'Checking Transaction Log'!$C:$C,"&gt;="&amp;W1,'Checking Transaction Log'!$C:$C,"&lt;="&amp;X1,'Checking Transaction Log'!$A:$A,"F",'Checking Transaction Log'!$B:$B,12)</f>
        <v>0</v>
      </c>
      <c r="X17" s="236">
        <f t="shared" si="28"/>
        <v>205</v>
      </c>
      <c r="Y17" s="276">
        <f>SUMIFS('Checking Transaction Log'!$E:$E,'Checking Transaction Log'!$C:$C,"&gt;="&amp;Y1,'Checking Transaction Log'!$C:$C,"&lt;="&amp;Z1,'Checking Transaction Log'!$A:$A,"F",'Checking Transaction Log'!$B:$B,12)</f>
        <v>0</v>
      </c>
      <c r="Z17" s="276">
        <f t="shared" si="29"/>
        <v>205</v>
      </c>
      <c r="AA17" s="278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78">
        <f t="shared" si="30"/>
        <v>205</v>
      </c>
      <c r="AC17" s="280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80">
        <f t="shared" si="31"/>
        <v>205</v>
      </c>
      <c r="AE17" s="282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82">
        <f t="shared" si="32"/>
        <v>205</v>
      </c>
    </row>
    <row r="18" spans="1:32" ht="11.25" customHeight="1" x14ac:dyDescent="0.3">
      <c r="A18" s="284" t="str">
        <f>'Proposed Budget'!A18</f>
        <v>F</v>
      </c>
      <c r="B18" s="255">
        <f>'Proposed Budget'!B18</f>
        <v>13</v>
      </c>
      <c r="C18" s="287" t="str">
        <f>'Proposed Budget'!C18</f>
        <v>First Energy</v>
      </c>
      <c r="D18" s="288">
        <f t="shared" ca="1" si="17"/>
        <v>137.11308</v>
      </c>
      <c r="E18" s="289">
        <f t="shared" si="18"/>
        <v>811.31999999999994</v>
      </c>
      <c r="F18" s="289">
        <f t="shared" si="19"/>
        <v>268.68</v>
      </c>
      <c r="G18" s="269">
        <f t="shared" si="20"/>
        <v>0.24877777777777788</v>
      </c>
      <c r="H18" s="289">
        <f>'Proposed Budget'!D18</f>
        <v>180</v>
      </c>
      <c r="I18" s="270">
        <f>SUMIFS('Checking Transaction Log'!E:E,'Checking Transaction Log'!C:C,"&gt;="&amp;I1,'Checking Transaction Log'!C:C,"&lt;="&amp;J1,'Checking Transaction Log'!A:A,"F",'Checking Transaction Log'!B:B,13)</f>
        <v>167.42</v>
      </c>
      <c r="J18" s="270">
        <f t="shared" si="21"/>
        <v>12.580000000000013</v>
      </c>
      <c r="K18" s="232">
        <f>SUMIFS('Checking Transaction Log'!E:E,'Checking Transaction Log'!C:C,"&gt;="&amp;K1,'Checking Transaction Log'!C:C,"&lt;="&amp;L1,'Checking Transaction Log'!A:A,"F",'Checking Transaction Log'!B:B,13)</f>
        <v>159.35</v>
      </c>
      <c r="L18" s="232">
        <f t="shared" si="22"/>
        <v>20.650000000000006</v>
      </c>
      <c r="M18" s="273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73">
        <f t="shared" si="23"/>
        <v>45.069999999999993</v>
      </c>
      <c r="O18" s="236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36">
        <f t="shared" si="24"/>
        <v>75.02</v>
      </c>
      <c r="Q18" s="270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70">
        <f t="shared" si="25"/>
        <v>57.819999999999993</v>
      </c>
      <c r="S18" s="232">
        <f>SUMIFS('Checking Transaction Log'!$E:$E,'Checking Transaction Log'!$C:$C,"&gt;="&amp;S1,'Checking Transaction Log'!$C:$C,"&lt;="&amp;T1,'Checking Transaction Log'!$A:$A,"F",'Checking Transaction Log'!$B:$B,13)</f>
        <v>122.46</v>
      </c>
      <c r="T18" s="232">
        <f t="shared" si="26"/>
        <v>57.540000000000006</v>
      </c>
      <c r="U18" s="273">
        <f>SUMIFS('Checking Transaction Log'!$E:$E,'Checking Transaction Log'!$C:$C,"&gt;="&amp;U1,'Checking Transaction Log'!$C:$C,"&lt;="&amp;V1,'Checking Transaction Log'!$A:$A,"F",'Checking Transaction Log'!$B:$B,13)</f>
        <v>0</v>
      </c>
      <c r="V18" s="273">
        <f t="shared" si="27"/>
        <v>180</v>
      </c>
      <c r="W18" s="236">
        <f>SUMIFS('Checking Transaction Log'!$E:$E,'Checking Transaction Log'!$C:$C,"&gt;="&amp;W1,'Checking Transaction Log'!$C:$C,"&lt;="&amp;X1,'Checking Transaction Log'!$A:$A,"F",'Checking Transaction Log'!$B:$B,13)</f>
        <v>0</v>
      </c>
      <c r="X18" s="236">
        <f t="shared" si="28"/>
        <v>180</v>
      </c>
      <c r="Y18" s="276">
        <f>SUMIFS('Checking Transaction Log'!$E:$E,'Checking Transaction Log'!$C:$C,"&gt;="&amp;Y1,'Checking Transaction Log'!$C:$C,"&lt;="&amp;Z1,'Checking Transaction Log'!$A:$A,"F",'Checking Transaction Log'!$B:$B,13)</f>
        <v>0</v>
      </c>
      <c r="Z18" s="276">
        <f t="shared" si="29"/>
        <v>180</v>
      </c>
      <c r="AA18" s="278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78">
        <f t="shared" si="30"/>
        <v>180</v>
      </c>
      <c r="AC18" s="280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80">
        <f t="shared" si="31"/>
        <v>180</v>
      </c>
      <c r="AE18" s="282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82">
        <f t="shared" si="32"/>
        <v>180</v>
      </c>
    </row>
    <row r="19" spans="1:32" ht="11.25" customHeight="1" x14ac:dyDescent="0.3">
      <c r="A19" s="284" t="str">
        <f>'Proposed Budget'!A19</f>
        <v>F</v>
      </c>
      <c r="B19" s="255">
        <f>'Proposed Budget'!B19</f>
        <v>14</v>
      </c>
      <c r="C19" s="287" t="str">
        <f>'Proposed Budget'!C19</f>
        <v>Vivint Home Security</v>
      </c>
      <c r="D19" s="288">
        <f t="shared" ca="1" si="17"/>
        <v>138.07131000000001</v>
      </c>
      <c r="E19" s="289">
        <f t="shared" si="18"/>
        <v>816.99</v>
      </c>
      <c r="F19" s="289">
        <f t="shared" si="19"/>
        <v>23.009999999999962</v>
      </c>
      <c r="G19" s="269">
        <f t="shared" si="20"/>
        <v>2.7392857142857108E-2</v>
      </c>
      <c r="H19" s="289">
        <f>'Proposed Budget'!D19</f>
        <v>140</v>
      </c>
      <c r="I19" s="270">
        <f>SUMIFS('Checking Transaction Log'!E:E,'Checking Transaction Log'!C:C,"&gt;="&amp;I1,'Checking Transaction Log'!C:C,"&lt;="&amp;J1,'Checking Transaction Log'!A:A,"F",'Checking Transaction Log'!B:B,14)</f>
        <v>135.41</v>
      </c>
      <c r="J19" s="270">
        <f t="shared" si="21"/>
        <v>4.5900000000000034</v>
      </c>
      <c r="K19" s="232">
        <f>SUMIFS('Checking Transaction Log'!E:E,'Checking Transaction Log'!C:C,"&gt;="&amp;K1,'Checking Transaction Log'!C:C,"&lt;="&amp;L1,'Checking Transaction Log'!A:A,"F",'Checking Transaction Log'!B:B,14)</f>
        <v>135.41</v>
      </c>
      <c r="L19" s="232">
        <f t="shared" si="22"/>
        <v>4.5900000000000034</v>
      </c>
      <c r="M19" s="273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73">
        <f t="shared" si="23"/>
        <v>4.5900000000000034</v>
      </c>
      <c r="O19" s="236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36">
        <f t="shared" si="24"/>
        <v>3.0799999999999841</v>
      </c>
      <c r="Q19" s="270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70">
        <f t="shared" si="25"/>
        <v>3.0799999999999841</v>
      </c>
      <c r="S19" s="232">
        <f>SUMIFS('Checking Transaction Log'!$E:$E,'Checking Transaction Log'!$C:$C,"&gt;="&amp;S1,'Checking Transaction Log'!$C:$C,"&lt;="&amp;T1,'Checking Transaction Log'!$A:$A,"F",'Checking Transaction Log'!$B:$B,14)</f>
        <v>136.92000000000002</v>
      </c>
      <c r="T19" s="232">
        <f t="shared" si="26"/>
        <v>3.0799999999999841</v>
      </c>
      <c r="U19" s="273">
        <f>SUMIFS('Checking Transaction Log'!$E:$E,'Checking Transaction Log'!$C:$C,"&gt;="&amp;U1,'Checking Transaction Log'!$C:$C,"&lt;="&amp;V1,'Checking Transaction Log'!$A:$A,"F",'Checking Transaction Log'!$B:$B,14)</f>
        <v>0</v>
      </c>
      <c r="V19" s="273">
        <f t="shared" si="27"/>
        <v>140</v>
      </c>
      <c r="W19" s="236">
        <f>SUMIFS('Checking Transaction Log'!$E:$E,'Checking Transaction Log'!$C:$C,"&gt;="&amp;W1,'Checking Transaction Log'!$C:$C,"&lt;="&amp;X1,'Checking Transaction Log'!$A:$A,"F",'Checking Transaction Log'!$B:$B,14)</f>
        <v>0</v>
      </c>
      <c r="X19" s="236">
        <f t="shared" si="28"/>
        <v>140</v>
      </c>
      <c r="Y19" s="276">
        <f>SUMIFS('Checking Transaction Log'!$E:$E,'Checking Transaction Log'!$C:$C,"&gt;="&amp;Y1,'Checking Transaction Log'!$C:$C,"&lt;="&amp;Z1,'Checking Transaction Log'!$A:$A,"F",'Checking Transaction Log'!$B:$B,14)</f>
        <v>0</v>
      </c>
      <c r="Z19" s="276">
        <f t="shared" si="29"/>
        <v>140</v>
      </c>
      <c r="AA19" s="278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78">
        <f t="shared" si="30"/>
        <v>140</v>
      </c>
      <c r="AC19" s="280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80">
        <f t="shared" si="31"/>
        <v>140</v>
      </c>
      <c r="AE19" s="282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82">
        <f t="shared" si="32"/>
        <v>140</v>
      </c>
    </row>
    <row r="20" spans="1:32" ht="11.25" customHeight="1" x14ac:dyDescent="0.3">
      <c r="A20" s="284" t="str">
        <f>'Proposed Budget'!A20</f>
        <v>F</v>
      </c>
      <c r="B20" s="255">
        <f>'Proposed Budget'!B20</f>
        <v>15</v>
      </c>
      <c r="C20" s="287" t="str">
        <f>'Proposed Budget'!C20</f>
        <v>Columbia Gas</v>
      </c>
      <c r="D20" s="288">
        <f t="shared" ca="1" si="17"/>
        <v>137.84654000000003</v>
      </c>
      <c r="E20" s="289">
        <f t="shared" si="18"/>
        <v>815.66000000000008</v>
      </c>
      <c r="F20" s="289">
        <f t="shared" si="19"/>
        <v>-215.66</v>
      </c>
      <c r="G20" s="269">
        <f t="shared" si="20"/>
        <v>-0.35943333333333327</v>
      </c>
      <c r="H20" s="289">
        <f>'Proposed Budget'!D20</f>
        <v>100</v>
      </c>
      <c r="I20" s="270">
        <f>SUMIFS('Checking Transaction Log'!E:E,'Checking Transaction Log'!C:C,"&gt;="&amp;I1,'Checking Transaction Log'!C:C,"&lt;="&amp;J1,'Checking Transaction Log'!A:A,"F",'Checking Transaction Log'!B:B,15)</f>
        <v>132.4</v>
      </c>
      <c r="J20" s="270">
        <f t="shared" si="21"/>
        <v>-32.400000000000006</v>
      </c>
      <c r="K20" s="232">
        <f>SUMIFS('Checking Transaction Log'!E:E,'Checking Transaction Log'!C:C,"&gt;="&amp;K1,'Checking Transaction Log'!C:C,"&lt;="&amp;L1,'Checking Transaction Log'!A:A,"F",'Checking Transaction Log'!B:B,15)</f>
        <v>188.16</v>
      </c>
      <c r="L20" s="232">
        <f t="shared" si="22"/>
        <v>-88.16</v>
      </c>
      <c r="M20" s="273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73">
        <f t="shared" si="23"/>
        <v>-75.09</v>
      </c>
      <c r="O20" s="236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36">
        <f t="shared" si="24"/>
        <v>-31.22999999999999</v>
      </c>
      <c r="Q20" s="270">
        <f>SUMIFS('Checking Transaction Log'!$E:$E,'Checking Transaction Log'!$C:$C,"&gt;="&amp;Q1,'Checking Transaction Log'!$C:$C,"&lt;="&amp;R1,'Checking Transaction Log'!$A:$A,"F",'Checking Transaction Log'!$B:$B,15)</f>
        <v>101.37</v>
      </c>
      <c r="R20" s="270">
        <f t="shared" si="25"/>
        <v>-1.3700000000000045</v>
      </c>
      <c r="S20" s="232">
        <f>SUMIFS('Checking Transaction Log'!$E:$E,'Checking Transaction Log'!$C:$C,"&gt;="&amp;S1,'Checking Transaction Log'!$C:$C,"&lt;="&amp;T1,'Checking Transaction Log'!$A:$A,"F",'Checking Transaction Log'!$B:$B,15)</f>
        <v>87.41</v>
      </c>
      <c r="T20" s="232">
        <f t="shared" si="26"/>
        <v>12.590000000000003</v>
      </c>
      <c r="U20" s="273">
        <f>SUMIFS('Checking Transaction Log'!$E:$E,'Checking Transaction Log'!$C:$C,"&gt;="&amp;U1,'Checking Transaction Log'!$C:$C,"&lt;="&amp;V1,'Checking Transaction Log'!$A:$A,"F",'Checking Transaction Log'!$B:$B,15)</f>
        <v>0</v>
      </c>
      <c r="V20" s="273">
        <f t="shared" si="27"/>
        <v>100</v>
      </c>
      <c r="W20" s="236">
        <f>SUMIFS('Checking Transaction Log'!$E:$E,'Checking Transaction Log'!$C:$C,"&gt;="&amp;W1,'Checking Transaction Log'!$C:$C,"&lt;="&amp;X1,'Checking Transaction Log'!$A:$A,"F",'Checking Transaction Log'!$B:$B,15)</f>
        <v>0</v>
      </c>
      <c r="X20" s="236">
        <f t="shared" si="28"/>
        <v>100</v>
      </c>
      <c r="Y20" s="276">
        <f>SUMIFS('Checking Transaction Log'!$E:$E,'Checking Transaction Log'!$C:$C,"&gt;="&amp;Y1,'Checking Transaction Log'!$C:$C,"&lt;="&amp;Z1,'Checking Transaction Log'!$A:$A,"F",'Checking Transaction Log'!$B:$B,15)</f>
        <v>0</v>
      </c>
      <c r="Z20" s="276">
        <f t="shared" si="29"/>
        <v>100</v>
      </c>
      <c r="AA20" s="278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78">
        <f t="shared" si="30"/>
        <v>100</v>
      </c>
      <c r="AC20" s="280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80">
        <f t="shared" si="31"/>
        <v>100</v>
      </c>
      <c r="AE20" s="282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82">
        <f t="shared" si="32"/>
        <v>100</v>
      </c>
    </row>
    <row r="21" spans="1:32" ht="11.25" customHeight="1" x14ac:dyDescent="0.3">
      <c r="A21" s="284" t="str">
        <f>'Proposed Budget'!A21</f>
        <v>F</v>
      </c>
      <c r="B21" s="255">
        <f>'Proposed Budget'!B21</f>
        <v>16</v>
      </c>
      <c r="C21" s="287" t="str">
        <f>'Proposed Budget'!C21</f>
        <v>Medical Bills</v>
      </c>
      <c r="D21" s="288">
        <f t="shared" ca="1" si="17"/>
        <v>151.65553</v>
      </c>
      <c r="E21" s="289">
        <f t="shared" si="18"/>
        <v>897.36999999999989</v>
      </c>
      <c r="F21" s="289">
        <f t="shared" si="19"/>
        <v>-897.36999999999989</v>
      </c>
      <c r="G21" s="269" t="e">
        <f t="shared" si="20"/>
        <v>#DIV/0!</v>
      </c>
      <c r="H21" s="289">
        <f>'Proposed Budget'!D21</f>
        <v>0</v>
      </c>
      <c r="I21" s="270">
        <f>SUMIFS('Checking Transaction Log'!E:E,'Checking Transaction Log'!C:C,"&gt;="&amp;I1,'Checking Transaction Log'!C:C,"&lt;="&amp;J1,'Checking Transaction Log'!A:A,"F",'Checking Transaction Log'!B:B,16)</f>
        <v>0</v>
      </c>
      <c r="J21" s="270">
        <f t="shared" si="21"/>
        <v>0</v>
      </c>
      <c r="K21" s="232">
        <f>SUMIFS('Checking Transaction Log'!E:E,'Checking Transaction Log'!C:C,"&gt;="&amp;K1,'Checking Transaction Log'!C:C,"&lt;="&amp;L1,'Checking Transaction Log'!A:A,"F",'Checking Transaction Log'!B:B,16)</f>
        <v>0</v>
      </c>
      <c r="L21" s="232">
        <f t="shared" si="22"/>
        <v>0</v>
      </c>
      <c r="M21" s="273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73">
        <f t="shared" si="23"/>
        <v>-820.06</v>
      </c>
      <c r="O21" s="236">
        <f>SUMIFS('Checking Transaction Log'!$E:$E,'Checking Transaction Log'!$C:$C,"&gt;="&amp;O1,'Checking Transaction Log'!$C:$C,"&lt;="&amp;P1,'Checking Transaction Log'!$A:$A,"F",'Checking Transaction Log'!$B:$B,16)</f>
        <v>15</v>
      </c>
      <c r="P21" s="236">
        <f t="shared" si="24"/>
        <v>-15</v>
      </c>
      <c r="Q21" s="270">
        <f>SUMIFS('Checking Transaction Log'!$E:$E,'Checking Transaction Log'!$C:$C,"&gt;="&amp;Q1,'Checking Transaction Log'!$C:$C,"&lt;="&amp;R1,'Checking Transaction Log'!$A:$A,"F",'Checking Transaction Log'!$B:$B,16)</f>
        <v>0</v>
      </c>
      <c r="R21" s="270">
        <f t="shared" si="25"/>
        <v>0</v>
      </c>
      <c r="S21" s="232">
        <f>SUMIFS('Checking Transaction Log'!$E:$E,'Checking Transaction Log'!$C:$C,"&gt;="&amp;S1,'Checking Transaction Log'!$C:$C,"&lt;="&amp;T1,'Checking Transaction Log'!$A:$A,"F",'Checking Transaction Log'!$B:$B,16)</f>
        <v>62.31</v>
      </c>
      <c r="T21" s="232">
        <f t="shared" si="26"/>
        <v>-62.31</v>
      </c>
      <c r="U21" s="273">
        <f>SUMIFS('Checking Transaction Log'!$E:$E,'Checking Transaction Log'!$C:$C,"&gt;="&amp;U1,'Checking Transaction Log'!$C:$C,"&lt;="&amp;V1,'Checking Transaction Log'!$A:$A,"F",'Checking Transaction Log'!$B:$B,16)</f>
        <v>0</v>
      </c>
      <c r="V21" s="273">
        <f t="shared" si="27"/>
        <v>0</v>
      </c>
      <c r="W21" s="236">
        <f>SUMIFS('Checking Transaction Log'!$E:$E,'Checking Transaction Log'!$C:$C,"&gt;="&amp;W1,'Checking Transaction Log'!$C:$C,"&lt;="&amp;X1,'Checking Transaction Log'!$A:$A,"F",'Checking Transaction Log'!$B:$B,16)</f>
        <v>0</v>
      </c>
      <c r="X21" s="236">
        <f t="shared" si="28"/>
        <v>0</v>
      </c>
      <c r="Y21" s="276">
        <f>SUMIFS('Checking Transaction Log'!$E:$E,'Checking Transaction Log'!$C:$C,"&gt;="&amp;Y1,'Checking Transaction Log'!$C:$C,"&lt;="&amp;Z1,'Checking Transaction Log'!$A:$A,"F",'Checking Transaction Log'!$B:$B,16)</f>
        <v>0</v>
      </c>
      <c r="Z21" s="276">
        <f t="shared" si="29"/>
        <v>0</v>
      </c>
      <c r="AA21" s="278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78">
        <f t="shared" si="30"/>
        <v>0</v>
      </c>
      <c r="AC21" s="280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80">
        <f t="shared" si="31"/>
        <v>0</v>
      </c>
      <c r="AE21" s="282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82">
        <f t="shared" si="32"/>
        <v>0</v>
      </c>
    </row>
    <row r="22" spans="1:32" ht="11.25" customHeight="1" x14ac:dyDescent="0.3">
      <c r="A22" s="284" t="str">
        <f>'Proposed Budget'!A22</f>
        <v>F</v>
      </c>
      <c r="B22" s="255">
        <f>'Proposed Budget'!B22</f>
        <v>17</v>
      </c>
      <c r="C22" s="287" t="str">
        <f>'Proposed Budget'!C22</f>
        <v>Planet Fitness</v>
      </c>
      <c r="D22" s="288">
        <f t="shared" ca="1" si="17"/>
        <v>181.24912</v>
      </c>
      <c r="E22" s="289">
        <f t="shared" si="18"/>
        <v>1072.48</v>
      </c>
      <c r="F22" s="289">
        <f t="shared" si="19"/>
        <v>-202.48000000000002</v>
      </c>
      <c r="G22" s="269">
        <f t="shared" si="20"/>
        <v>-0.23273563218390803</v>
      </c>
      <c r="H22" s="289">
        <f>'Proposed Budget'!D22</f>
        <v>145</v>
      </c>
      <c r="I22" s="270">
        <f>SUMIFS('Checking Transaction Log'!E:E,'Checking Transaction Log'!C:C,"&gt;="&amp;I1,'Checking Transaction Log'!C:C,"&lt;="&amp;J1,'Checking Transaction Log'!A:A,"F",'Checking Transaction Log'!B:B,17)</f>
        <v>281.25</v>
      </c>
      <c r="J22" s="270">
        <f t="shared" si="21"/>
        <v>-136.25</v>
      </c>
      <c r="K22" s="232">
        <f>SUMIFS('Checking Transaction Log'!E:E,'Checking Transaction Log'!C:C,"&gt;="&amp;K1,'Checking Transaction Log'!C:C,"&lt;="&amp;L1,'Checking Transaction Log'!A:A,"F",'Checking Transaction Log'!B:B,17)</f>
        <v>183.19</v>
      </c>
      <c r="L22" s="232">
        <f t="shared" si="22"/>
        <v>-38.19</v>
      </c>
      <c r="M22" s="273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73">
        <f t="shared" si="23"/>
        <v>-38.090000000000003</v>
      </c>
      <c r="O22" s="236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36">
        <f t="shared" si="24"/>
        <v>3.3499999999999943</v>
      </c>
      <c r="Q22" s="270">
        <f>SUMIFS('Checking Transaction Log'!$E:$E,'Checking Transaction Log'!$C:$C,"&gt;="&amp;Q1,'Checking Transaction Log'!$C:$C,"&lt;="&amp;R1,'Checking Transaction Log'!$A:$A,"F",'Checking Transaction Log'!$B:$B,17)</f>
        <v>141.65</v>
      </c>
      <c r="R22" s="270">
        <f t="shared" si="25"/>
        <v>3.3499999999999943</v>
      </c>
      <c r="S22" s="232">
        <f>SUMIFS('Checking Transaction Log'!$E:$E,'Checking Transaction Log'!$C:$C,"&gt;="&amp;S1,'Checking Transaction Log'!$C:$C,"&lt;="&amp;T1,'Checking Transaction Log'!$A:$A,"F",'Checking Transaction Log'!$B:$B,17)</f>
        <v>141.65</v>
      </c>
      <c r="T22" s="232">
        <f t="shared" si="26"/>
        <v>3.3499999999999943</v>
      </c>
      <c r="U22" s="273">
        <f>SUMIFS('Checking Transaction Log'!$E:$E,'Checking Transaction Log'!$C:$C,"&gt;="&amp;U1,'Checking Transaction Log'!$C:$C,"&lt;="&amp;V1,'Checking Transaction Log'!$A:$A,"F",'Checking Transaction Log'!$B:$B,17)</f>
        <v>0</v>
      </c>
      <c r="V22" s="273">
        <f t="shared" si="27"/>
        <v>145</v>
      </c>
      <c r="W22" s="236">
        <f>SUMIFS('Checking Transaction Log'!$E:$E,'Checking Transaction Log'!$C:$C,"&gt;="&amp;W1,'Checking Transaction Log'!$C:$C,"&lt;="&amp;X1,'Checking Transaction Log'!$A:$A,"F",'Checking Transaction Log'!$B:$B,17)</f>
        <v>0</v>
      </c>
      <c r="X22" s="236">
        <f t="shared" si="28"/>
        <v>145</v>
      </c>
      <c r="Y22" s="276">
        <f>SUMIFS('Checking Transaction Log'!$E:$E,'Checking Transaction Log'!$C:$C,"&gt;="&amp;Y1,'Checking Transaction Log'!$C:$C,"&lt;="&amp;Z1,'Checking Transaction Log'!$A:$A,"F",'Checking Transaction Log'!$B:$B,17)</f>
        <v>0</v>
      </c>
      <c r="Z22" s="276">
        <f t="shared" si="29"/>
        <v>145</v>
      </c>
      <c r="AA22" s="278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78">
        <f t="shared" si="30"/>
        <v>145</v>
      </c>
      <c r="AC22" s="280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80">
        <f t="shared" si="31"/>
        <v>145</v>
      </c>
      <c r="AE22" s="282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82">
        <f t="shared" si="32"/>
        <v>145</v>
      </c>
    </row>
    <row r="23" spans="1:32" ht="11.25" customHeight="1" x14ac:dyDescent="0.3">
      <c r="A23" s="284" t="str">
        <f>'Proposed Budget'!A23</f>
        <v>F</v>
      </c>
      <c r="B23" s="255">
        <f>'Proposed Budget'!B23</f>
        <v>18</v>
      </c>
      <c r="C23" s="287" t="str">
        <f>'Proposed Budget'!C23</f>
        <v>Lowes Rewards</v>
      </c>
      <c r="D23" s="288">
        <f t="shared" ca="1" si="17"/>
        <v>338</v>
      </c>
      <c r="E23" s="289">
        <f t="shared" si="18"/>
        <v>2000</v>
      </c>
      <c r="F23" s="289">
        <f t="shared" si="19"/>
        <v>400</v>
      </c>
      <c r="G23" s="269">
        <f t="shared" si="20"/>
        <v>0.16666666666666663</v>
      </c>
      <c r="H23" s="289">
        <f>'Proposed Budget'!D23</f>
        <v>400</v>
      </c>
      <c r="I23" s="270">
        <f>SUMIFS('Checking Transaction Log'!E:E,'Checking Transaction Log'!C:C,"&gt;="&amp;I1,'Checking Transaction Log'!C:C,"&lt;="&amp;J1,'Checking Transaction Log'!A:A,"F",'Checking Transaction Log'!B:B,18)</f>
        <v>400</v>
      </c>
      <c r="J23" s="270">
        <f t="shared" si="21"/>
        <v>0</v>
      </c>
      <c r="K23" s="232">
        <f>SUMIFS('Checking Transaction Log'!E:E,'Checking Transaction Log'!C:C,"&gt;="&amp;K1,'Checking Transaction Log'!C:C,"&lt;="&amp;L1,'Checking Transaction Log'!A:A,"F",'Checking Transaction Log'!B:B,18)</f>
        <v>400</v>
      </c>
      <c r="L23" s="232">
        <f t="shared" si="22"/>
        <v>0</v>
      </c>
      <c r="M23" s="273">
        <f>SUMIFS('Checking Transaction Log'!$E:$E,'Checking Transaction Log'!$C:$C,"&gt;="&amp;M1,'Checking Transaction Log'!$C:$C,"&lt;="&amp;N1,'Checking Transaction Log'!$A:$A,"F",'Checking Transaction Log'!$B:$B,18)</f>
        <v>400</v>
      </c>
      <c r="N23" s="273">
        <f t="shared" si="23"/>
        <v>0</v>
      </c>
      <c r="O23" s="236">
        <f>SUMIFS('Checking Transaction Log'!$E:$E,'Checking Transaction Log'!$C:$C,"&gt;="&amp;O1,'Checking Transaction Log'!$C:$C,"&lt;="&amp;P1,'Checking Transaction Log'!$A:$A,"F",'Checking Transaction Log'!$B:$B,18)</f>
        <v>400</v>
      </c>
      <c r="P23" s="236">
        <f t="shared" si="24"/>
        <v>0</v>
      </c>
      <c r="Q23" s="270">
        <f>SUMIFS('Checking Transaction Log'!$E:$E,'Checking Transaction Log'!$C:$C,"&gt;="&amp;Q1,'Checking Transaction Log'!$C:$C,"&lt;="&amp;R1,'Checking Transaction Log'!$A:$A,"F",'Checking Transaction Log'!$B:$B,18)</f>
        <v>400</v>
      </c>
      <c r="R23" s="270">
        <f t="shared" si="25"/>
        <v>0</v>
      </c>
      <c r="S23" s="232">
        <f>SUMIFS('Checking Transaction Log'!$E:$E,'Checking Transaction Log'!$C:$C,"&gt;="&amp;S1,'Checking Transaction Log'!$C:$C,"&lt;="&amp;T1,'Checking Transaction Log'!$A:$A,"F",'Checking Transaction Log'!$B:$B,18)</f>
        <v>0</v>
      </c>
      <c r="T23" s="232">
        <f t="shared" si="26"/>
        <v>400</v>
      </c>
      <c r="U23" s="273">
        <f>SUMIFS('Checking Transaction Log'!$E:$E,'Checking Transaction Log'!$C:$C,"&gt;="&amp;U1,'Checking Transaction Log'!$C:$C,"&lt;="&amp;V1,'Checking Transaction Log'!$A:$A,"F",'Checking Transaction Log'!$B:$B,18)</f>
        <v>0</v>
      </c>
      <c r="V23" s="273">
        <f t="shared" si="27"/>
        <v>400</v>
      </c>
      <c r="W23" s="236">
        <f>SUMIFS('Checking Transaction Log'!$E:$E,'Checking Transaction Log'!$C:$C,"&gt;="&amp;W1,'Checking Transaction Log'!$C:$C,"&lt;="&amp;X1,'Checking Transaction Log'!$A:$A,"F",'Checking Transaction Log'!$B:$B,18)</f>
        <v>0</v>
      </c>
      <c r="X23" s="236">
        <f t="shared" si="28"/>
        <v>400</v>
      </c>
      <c r="Y23" s="276">
        <f>SUMIFS('Checking Transaction Log'!$E:$E,'Checking Transaction Log'!$C:$C,"&gt;="&amp;Y1,'Checking Transaction Log'!$C:$C,"&lt;="&amp;Z1,'Checking Transaction Log'!$A:$A,"F",'Checking Transaction Log'!$B:$B,18)</f>
        <v>0</v>
      </c>
      <c r="Z23" s="276">
        <f t="shared" si="29"/>
        <v>400</v>
      </c>
      <c r="AA23" s="278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78">
        <f t="shared" si="30"/>
        <v>400</v>
      </c>
      <c r="AC23" s="280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80">
        <f t="shared" si="31"/>
        <v>400</v>
      </c>
      <c r="AE23" s="282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82">
        <f t="shared" si="32"/>
        <v>400</v>
      </c>
    </row>
    <row r="24" spans="1:32" ht="11.25" customHeight="1" x14ac:dyDescent="0.3">
      <c r="A24" s="284" t="str">
        <f>'Proposed Budget'!A24</f>
        <v>F</v>
      </c>
      <c r="B24" s="255">
        <f>'Proposed Budget'!B24</f>
        <v>19</v>
      </c>
      <c r="C24" s="287" t="str">
        <f>'Proposed Budget'!C24</f>
        <v>Wells Fargo - Pool</v>
      </c>
      <c r="D24" s="288">
        <f t="shared" ca="1" si="17"/>
        <v>202.8</v>
      </c>
      <c r="E24" s="289">
        <f t="shared" si="18"/>
        <v>1200</v>
      </c>
      <c r="F24" s="289">
        <f t="shared" si="19"/>
        <v>0</v>
      </c>
      <c r="G24" s="269">
        <f t="shared" si="20"/>
        <v>0</v>
      </c>
      <c r="H24" s="289">
        <f>'Proposed Budget'!D24</f>
        <v>200</v>
      </c>
      <c r="I24" s="270">
        <f>SUMIFS('Checking Transaction Log'!E:E,'Checking Transaction Log'!C:C,"&gt;="&amp;I1,'Checking Transaction Log'!C:C,"&lt;="&amp;J1,'Checking Transaction Log'!A:A,"F",'Checking Transaction Log'!B:B,19)</f>
        <v>200</v>
      </c>
      <c r="J24" s="270">
        <f t="shared" si="21"/>
        <v>0</v>
      </c>
      <c r="K24" s="232">
        <f>SUMIFS('Checking Transaction Log'!E:E,'Checking Transaction Log'!C:C,"&gt;="&amp;K1,'Checking Transaction Log'!C:C,"&lt;="&amp;L1,'Checking Transaction Log'!A:A,"F",'Checking Transaction Log'!B:B,19)</f>
        <v>200</v>
      </c>
      <c r="L24" s="232">
        <f t="shared" si="22"/>
        <v>0</v>
      </c>
      <c r="M24" s="273">
        <f>SUMIFS('Checking Transaction Log'!$E:$E,'Checking Transaction Log'!$C:$C,"&gt;="&amp;M1,'Checking Transaction Log'!$C:$C,"&lt;="&amp;N1,'Checking Transaction Log'!$A:$A,"F",'Checking Transaction Log'!$B:$B,19)</f>
        <v>200</v>
      </c>
      <c r="N24" s="273">
        <f t="shared" si="23"/>
        <v>0</v>
      </c>
      <c r="O24" s="236">
        <f>SUMIFS('Checking Transaction Log'!$E:$E,'Checking Transaction Log'!$C:$C,"&gt;="&amp;O1,'Checking Transaction Log'!$C:$C,"&lt;="&amp;P1,'Checking Transaction Log'!$A:$A,"F",'Checking Transaction Log'!$B:$B,19)</f>
        <v>200</v>
      </c>
      <c r="P24" s="236">
        <f t="shared" si="24"/>
        <v>0</v>
      </c>
      <c r="Q24" s="270">
        <f>SUMIFS('Checking Transaction Log'!$E:$E,'Checking Transaction Log'!$C:$C,"&gt;="&amp;Q1,'Checking Transaction Log'!$C:$C,"&lt;="&amp;R1,'Checking Transaction Log'!$A:$A,"F",'Checking Transaction Log'!$B:$B,19)</f>
        <v>200</v>
      </c>
      <c r="R24" s="270">
        <f t="shared" si="25"/>
        <v>0</v>
      </c>
      <c r="S24" s="232">
        <f>SUMIFS('Checking Transaction Log'!$E:$E,'Checking Transaction Log'!$C:$C,"&gt;="&amp;S1,'Checking Transaction Log'!$C:$C,"&lt;="&amp;T1,'Checking Transaction Log'!$A:$A,"F",'Checking Transaction Log'!$B:$B,19)</f>
        <v>200</v>
      </c>
      <c r="T24" s="232">
        <f t="shared" si="26"/>
        <v>0</v>
      </c>
      <c r="U24" s="273">
        <f>SUMIFS('Checking Transaction Log'!$E:$E,'Checking Transaction Log'!$C:$C,"&gt;="&amp;U1,'Checking Transaction Log'!$C:$C,"&lt;="&amp;V1,'Checking Transaction Log'!$A:$A,"F",'Checking Transaction Log'!$B:$B,19)</f>
        <v>0</v>
      </c>
      <c r="V24" s="273">
        <f t="shared" si="27"/>
        <v>200</v>
      </c>
      <c r="W24" s="236">
        <f>SUMIFS('Checking Transaction Log'!$E:$E,'Checking Transaction Log'!$C:$C,"&gt;="&amp;W1,'Checking Transaction Log'!$C:$C,"&lt;="&amp;X1,'Checking Transaction Log'!$A:$A,"F",'Checking Transaction Log'!$B:$B,19)</f>
        <v>0</v>
      </c>
      <c r="X24" s="236">
        <f t="shared" si="28"/>
        <v>200</v>
      </c>
      <c r="Y24" s="276">
        <f>SUMIFS('Checking Transaction Log'!$E:$E,'Checking Transaction Log'!$C:$C,"&gt;="&amp;Y1,'Checking Transaction Log'!$C:$C,"&lt;="&amp;Z1,'Checking Transaction Log'!$A:$A,"F",'Checking Transaction Log'!$B:$B,19)</f>
        <v>0</v>
      </c>
      <c r="Z24" s="276">
        <f t="shared" si="29"/>
        <v>200</v>
      </c>
      <c r="AA24" s="278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78">
        <f t="shared" si="30"/>
        <v>200</v>
      </c>
      <c r="AC24" s="280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80">
        <f t="shared" si="31"/>
        <v>200</v>
      </c>
      <c r="AE24" s="282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82">
        <f t="shared" si="32"/>
        <v>200</v>
      </c>
    </row>
    <row r="25" spans="1:32" ht="11.25" customHeight="1" x14ac:dyDescent="0.3">
      <c r="A25" s="284" t="str">
        <f>'Proposed Budget'!A25</f>
        <v>F</v>
      </c>
      <c r="B25" s="255">
        <f>'Proposed Budget'!B25</f>
        <v>20</v>
      </c>
      <c r="C25" s="287" t="str">
        <f>'Proposed Budget'!C25</f>
        <v>Wells Fargo - Deck</v>
      </c>
      <c r="D25" s="288">
        <f t="shared" ca="1" si="17"/>
        <v>202.8</v>
      </c>
      <c r="E25" s="289">
        <f t="shared" si="18"/>
        <v>1200</v>
      </c>
      <c r="F25" s="289">
        <f t="shared" si="19"/>
        <v>2400</v>
      </c>
      <c r="G25" s="269">
        <f t="shared" si="20"/>
        <v>0.66666666666666674</v>
      </c>
      <c r="H25" s="289">
        <f>'Proposed Budget'!D25</f>
        <v>600</v>
      </c>
      <c r="I25" s="270">
        <f>SUMIFS('Checking Transaction Log'!E:E,'Checking Transaction Log'!C:C,"&gt;="&amp;I1,'Checking Transaction Log'!C:C,"&lt;="&amp;J1,'Checking Transaction Log'!A:A,"F",'Checking Transaction Log'!B:B,20)</f>
        <v>0</v>
      </c>
      <c r="J25" s="270">
        <f t="shared" si="21"/>
        <v>600</v>
      </c>
      <c r="K25" s="232">
        <f>SUMIFS('Checking Transaction Log'!E:E,'Checking Transaction Log'!C:C,"&gt;="&amp;K1,'Checking Transaction Log'!C:C,"&lt;="&amp;L1,'Checking Transaction Log'!A:A,"F",'Checking Transaction Log'!B:B,20)</f>
        <v>0</v>
      </c>
      <c r="L25" s="232">
        <f t="shared" si="22"/>
        <v>600</v>
      </c>
      <c r="M25" s="273">
        <f>SUMIFS('Checking Transaction Log'!$E:$E,'Checking Transaction Log'!$C:$C,"&gt;="&amp;M1,'Checking Transaction Log'!$C:$C,"&lt;="&amp;N1,'Checking Transaction Log'!$A:$A,"F",'Checking Transaction Log'!$B:$B,20)</f>
        <v>0</v>
      </c>
      <c r="N25" s="273">
        <f t="shared" si="23"/>
        <v>600</v>
      </c>
      <c r="O25" s="236">
        <f>SUMIFS('Checking Transaction Log'!$E:$E,'Checking Transaction Log'!$C:$C,"&gt;="&amp;O1,'Checking Transaction Log'!$C:$C,"&lt;="&amp;P1,'Checking Transaction Log'!$A:$A,"F",'Checking Transaction Log'!$B:$B,20)</f>
        <v>0</v>
      </c>
      <c r="P25" s="236">
        <f t="shared" si="24"/>
        <v>600</v>
      </c>
      <c r="Q25" s="270">
        <f>SUMIFS('Checking Transaction Log'!$E:$E,'Checking Transaction Log'!$C:$C,"&gt;="&amp;Q1,'Checking Transaction Log'!$C:$C,"&lt;="&amp;R1,'Checking Transaction Log'!$A:$A,"F",'Checking Transaction Log'!$B:$B,20)</f>
        <v>600</v>
      </c>
      <c r="R25" s="270">
        <f t="shared" si="25"/>
        <v>0</v>
      </c>
      <c r="S25" s="232">
        <f>SUMIFS('Checking Transaction Log'!$E:$E,'Checking Transaction Log'!$C:$C,"&gt;="&amp;S1,'Checking Transaction Log'!$C:$C,"&lt;="&amp;T1,'Checking Transaction Log'!$A:$A,"F",'Checking Transaction Log'!$B:$B,20)</f>
        <v>600</v>
      </c>
      <c r="T25" s="232">
        <f t="shared" si="26"/>
        <v>0</v>
      </c>
      <c r="U25" s="273">
        <f>SUMIFS('Checking Transaction Log'!$E:$E,'Checking Transaction Log'!$C:$C,"&gt;="&amp;U1,'Checking Transaction Log'!$C:$C,"&lt;="&amp;V1,'Checking Transaction Log'!$A:$A,"F",'Checking Transaction Log'!$B:$B,20)</f>
        <v>0</v>
      </c>
      <c r="V25" s="273">
        <f t="shared" si="27"/>
        <v>600</v>
      </c>
      <c r="W25" s="236">
        <f>SUMIFS('Checking Transaction Log'!$E:$E,'Checking Transaction Log'!$C:$C,"&gt;="&amp;W1,'Checking Transaction Log'!$C:$C,"&lt;="&amp;X1,'Checking Transaction Log'!$A:$A,"F",'Checking Transaction Log'!$B:$B,20)</f>
        <v>0</v>
      </c>
      <c r="X25" s="236">
        <f t="shared" si="28"/>
        <v>600</v>
      </c>
      <c r="Y25" s="276">
        <f>SUMIFS('Checking Transaction Log'!$E:$E,'Checking Transaction Log'!$C:$C,"&gt;="&amp;Y1,'Checking Transaction Log'!$C:$C,"&lt;="&amp;Z1,'Checking Transaction Log'!$A:$A,"F",'Checking Transaction Log'!$B:$B,20)</f>
        <v>0</v>
      </c>
      <c r="Z25" s="276">
        <f t="shared" si="29"/>
        <v>600</v>
      </c>
      <c r="AA25" s="278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78">
        <f t="shared" si="30"/>
        <v>600</v>
      </c>
      <c r="AC25" s="280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80">
        <f t="shared" si="31"/>
        <v>600</v>
      </c>
      <c r="AE25" s="282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82">
        <f t="shared" si="32"/>
        <v>600</v>
      </c>
    </row>
    <row r="26" spans="1:32" ht="11.25" customHeight="1" x14ac:dyDescent="0.3">
      <c r="A26" s="284" t="str">
        <f>'Proposed Budget'!A26</f>
        <v>F</v>
      </c>
      <c r="B26" s="255">
        <f>'Proposed Budget'!B26</f>
        <v>21</v>
      </c>
      <c r="C26" s="287" t="str">
        <f>'Proposed Budget'!C26</f>
        <v>Massage Envy</v>
      </c>
      <c r="D26" s="288">
        <f t="shared" ca="1" si="17"/>
        <v>95.157139999999984</v>
      </c>
      <c r="E26" s="289">
        <f t="shared" si="18"/>
        <v>563.05999999999995</v>
      </c>
      <c r="F26" s="289">
        <f t="shared" si="19"/>
        <v>-53.059999999999988</v>
      </c>
      <c r="G26" s="269">
        <f t="shared" si="20"/>
        <v>-0.10403921568627461</v>
      </c>
      <c r="H26" s="289">
        <f>'Proposed Budget'!D26</f>
        <v>85</v>
      </c>
      <c r="I26" s="270">
        <f>SUMIFS('Checking Transaction Log'!E:E,'Checking Transaction Log'!C:C,"&gt;="&amp;I1,'Checking Transaction Log'!C:C,"&lt;="&amp;J1,'Checking Transaction Log'!A:A,"F",'Checking Transaction Log'!B:B,21)</f>
        <v>100.79</v>
      </c>
      <c r="J26" s="270">
        <f t="shared" si="21"/>
        <v>-15.790000000000006</v>
      </c>
      <c r="K26" s="232">
        <f>SUMIFS('Checking Transaction Log'!E:E,'Checking Transaction Log'!C:C,"&gt;="&amp;K1,'Checking Transaction Log'!C:C,"&lt;="&amp;L1,'Checking Transaction Log'!A:A,"F",'Checking Transaction Log'!B:B,21)</f>
        <v>108.35</v>
      </c>
      <c r="L26" s="232">
        <f t="shared" si="22"/>
        <v>-23.349999999999994</v>
      </c>
      <c r="M26" s="273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73">
        <f t="shared" si="23"/>
        <v>-31.319999999999993</v>
      </c>
      <c r="O26" s="236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36">
        <f t="shared" si="24"/>
        <v>9.4000000000000057</v>
      </c>
      <c r="Q26" s="270">
        <f>SUMIFS('Checking Transaction Log'!$E:$E,'Checking Transaction Log'!$C:$C,"&gt;="&amp;Q1,'Checking Transaction Log'!$C:$C,"&lt;="&amp;R1,'Checking Transaction Log'!$A:$A,"F",'Checking Transaction Log'!$B:$B,21)</f>
        <v>81</v>
      </c>
      <c r="R26" s="270">
        <f t="shared" si="25"/>
        <v>4</v>
      </c>
      <c r="S26" s="232">
        <f>SUMIFS('Checking Transaction Log'!$E:$E,'Checking Transaction Log'!$C:$C,"&gt;="&amp;S1,'Checking Transaction Log'!$C:$C,"&lt;="&amp;T1,'Checking Transaction Log'!$A:$A,"F",'Checking Transaction Log'!$B:$B,21)</f>
        <v>81</v>
      </c>
      <c r="T26" s="232">
        <f t="shared" si="26"/>
        <v>4</v>
      </c>
      <c r="U26" s="273">
        <f>SUMIFS('Checking Transaction Log'!$E:$E,'Checking Transaction Log'!$C:$C,"&gt;="&amp;U1,'Checking Transaction Log'!$C:$C,"&lt;="&amp;V1,'Checking Transaction Log'!$A:$A,"F",'Checking Transaction Log'!$B:$B,21)</f>
        <v>0</v>
      </c>
      <c r="V26" s="273">
        <f t="shared" si="27"/>
        <v>85</v>
      </c>
      <c r="W26" s="236">
        <f>SUMIFS('Checking Transaction Log'!$E:$E,'Checking Transaction Log'!$C:$C,"&gt;="&amp;W1,'Checking Transaction Log'!$C:$C,"&lt;="&amp;X1,'Checking Transaction Log'!$A:$A,"F",'Checking Transaction Log'!$B:$B,21)</f>
        <v>0</v>
      </c>
      <c r="X26" s="236">
        <f t="shared" si="28"/>
        <v>85</v>
      </c>
      <c r="Y26" s="276">
        <f>SUMIFS('Checking Transaction Log'!$E:$E,'Checking Transaction Log'!$C:$C,"&gt;="&amp;Y1,'Checking Transaction Log'!$C:$C,"&lt;="&amp;Z1,'Checking Transaction Log'!$A:$A,"F",'Checking Transaction Log'!$B:$B,21)</f>
        <v>0</v>
      </c>
      <c r="Z26" s="276">
        <f t="shared" si="29"/>
        <v>85</v>
      </c>
      <c r="AA26" s="278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78">
        <f t="shared" si="30"/>
        <v>85</v>
      </c>
      <c r="AC26" s="280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80">
        <f t="shared" si="31"/>
        <v>85</v>
      </c>
      <c r="AE26" s="282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82">
        <f t="shared" si="32"/>
        <v>85</v>
      </c>
    </row>
    <row r="27" spans="1:32" ht="11.25" customHeight="1" x14ac:dyDescent="0.3">
      <c r="A27" s="284" t="str">
        <f>'Proposed Budget'!A27</f>
        <v>F</v>
      </c>
      <c r="B27" s="255">
        <f>'Proposed Budget'!B27</f>
        <v>22</v>
      </c>
      <c r="C27" s="287" t="str">
        <f>'Proposed Budget'!C27</f>
        <v>Streaming/Music</v>
      </c>
      <c r="D27" s="288">
        <f t="shared" ca="1" si="17"/>
        <v>112.78215</v>
      </c>
      <c r="E27" s="289">
        <f t="shared" si="18"/>
        <v>667.35</v>
      </c>
      <c r="F27" s="289">
        <f t="shared" si="19"/>
        <v>-67.349999999999994</v>
      </c>
      <c r="G27" s="269">
        <f t="shared" si="20"/>
        <v>-0.11224999999999996</v>
      </c>
      <c r="H27" s="289">
        <f>'Proposed Budget'!D27</f>
        <v>100</v>
      </c>
      <c r="I27" s="270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70">
        <f t="shared" si="21"/>
        <v>-118.26999999999998</v>
      </c>
      <c r="K27" s="232">
        <f>SUMIFS('Checking Transaction Log'!E:E,'Checking Transaction Log'!C:C,"&gt;="&amp;K1,'Checking Transaction Log'!C:C,"&lt;="&amp;L1,'Checking Transaction Log'!A:A,"F",'Checking Transaction Log'!B:B,22)</f>
        <v>67.05</v>
      </c>
      <c r="L27" s="232">
        <f t="shared" si="22"/>
        <v>32.950000000000003</v>
      </c>
      <c r="M27" s="273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73">
        <f t="shared" si="23"/>
        <v>20.180000000000007</v>
      </c>
      <c r="O27" s="236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36">
        <f t="shared" si="24"/>
        <v>23.379999999999995</v>
      </c>
      <c r="Q27" s="270">
        <f>SUMIFS('Checking Transaction Log'!$E:$E,'Checking Transaction Log'!$C:$C,"&gt;="&amp;Q1,'Checking Transaction Log'!$C:$C,"&lt;="&amp;R1,'Checking Transaction Log'!$A:$A,"F",'Checking Transaction Log'!$B:$B,22)</f>
        <v>122.37</v>
      </c>
      <c r="R27" s="270">
        <f t="shared" si="25"/>
        <v>-22.370000000000005</v>
      </c>
      <c r="S27" s="232">
        <f>SUMIFS('Checking Transaction Log'!$E:$E,'Checking Transaction Log'!$C:$C,"&gt;="&amp;S1,'Checking Transaction Log'!$C:$C,"&lt;="&amp;T1,'Checking Transaction Log'!$A:$A,"F",'Checking Transaction Log'!$B:$B,22)</f>
        <v>103.22000000000001</v>
      </c>
      <c r="T27" s="232">
        <f t="shared" si="26"/>
        <v>-3.2200000000000131</v>
      </c>
      <c r="U27" s="273">
        <f>SUMIFS('Checking Transaction Log'!$E:$E,'Checking Transaction Log'!$C:$C,"&gt;="&amp;U1,'Checking Transaction Log'!$C:$C,"&lt;="&amp;V1,'Checking Transaction Log'!$A:$A,"F",'Checking Transaction Log'!$B:$B,22)</f>
        <v>0</v>
      </c>
      <c r="V27" s="273">
        <f t="shared" si="27"/>
        <v>100</v>
      </c>
      <c r="W27" s="236">
        <f>SUMIFS('Checking Transaction Log'!$E:$E,'Checking Transaction Log'!$C:$C,"&gt;="&amp;W1,'Checking Transaction Log'!$C:$C,"&lt;="&amp;X1,'Checking Transaction Log'!$A:$A,"F",'Checking Transaction Log'!$B:$B,22)</f>
        <v>0</v>
      </c>
      <c r="X27" s="236">
        <f t="shared" si="28"/>
        <v>100</v>
      </c>
      <c r="Y27" s="276">
        <f>SUMIFS('Checking Transaction Log'!$E:$E,'Checking Transaction Log'!$C:$C,"&gt;="&amp;Y1,'Checking Transaction Log'!$C:$C,"&lt;="&amp;Z1,'Checking Transaction Log'!$A:$A,"F",'Checking Transaction Log'!$B:$B,22)</f>
        <v>0</v>
      </c>
      <c r="Z27" s="276">
        <f t="shared" si="29"/>
        <v>100</v>
      </c>
      <c r="AA27" s="278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78">
        <f t="shared" si="30"/>
        <v>100</v>
      </c>
      <c r="AC27" s="280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80">
        <f t="shared" si="31"/>
        <v>100</v>
      </c>
      <c r="AE27" s="282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82">
        <f t="shared" si="32"/>
        <v>100</v>
      </c>
    </row>
    <row r="28" spans="1:32" ht="11.25" customHeight="1" x14ac:dyDescent="0.3">
      <c r="A28" s="284" t="str">
        <f>'Proposed Budget'!A28</f>
        <v>F</v>
      </c>
      <c r="B28" s="255">
        <f>'Proposed Budget'!B28</f>
        <v>23</v>
      </c>
      <c r="C28" s="287" t="str">
        <f>'Proposed Budget'!C28</f>
        <v>GM Financial/Toyota</v>
      </c>
      <c r="D28" s="288">
        <f t="shared" ca="1" si="17"/>
        <v>1188.2423800000001</v>
      </c>
      <c r="E28" s="289">
        <f t="shared" si="18"/>
        <v>7031.02</v>
      </c>
      <c r="F28" s="289">
        <f t="shared" si="19"/>
        <v>168.97999999999911</v>
      </c>
      <c r="G28" s="269">
        <f t="shared" si="20"/>
        <v>2.3469444444444432E-2</v>
      </c>
      <c r="H28" s="289">
        <f>'Proposed Budget'!D28</f>
        <v>1200</v>
      </c>
      <c r="I28" s="270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70">
        <f t="shared" si="21"/>
        <v>19.659999999999854</v>
      </c>
      <c r="K28" s="232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32">
        <f t="shared" si="22"/>
        <v>19.659999999999854</v>
      </c>
      <c r="M28" s="273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73">
        <f t="shared" si="23"/>
        <v>19.659999999999854</v>
      </c>
      <c r="O28" s="236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36">
        <f t="shared" si="24"/>
        <v>19.659999999999854</v>
      </c>
      <c r="Q28" s="270">
        <f>SUMIFS('Checking Transaction Log'!$E:$E,'Checking Transaction Log'!$C:$C,"&gt;="&amp;Q1,'Checking Transaction Log'!$C:$C,"&lt;="&amp;R1,'Checking Transaction Log'!$A:$A,"F",'Checking Transaction Log'!$B:$B,23)</f>
        <v>1180.3400000000001</v>
      </c>
      <c r="R28" s="270">
        <f t="shared" si="25"/>
        <v>19.659999999999854</v>
      </c>
      <c r="S28" s="232">
        <f>SUMIFS('Checking Transaction Log'!$E:$E,'Checking Transaction Log'!$C:$C,"&gt;="&amp;S1,'Checking Transaction Log'!$C:$C,"&lt;="&amp;T1,'Checking Transaction Log'!$A:$A,"F",'Checking Transaction Log'!$B:$B,23)</f>
        <v>1129.3200000000002</v>
      </c>
      <c r="T28" s="232">
        <f t="shared" si="26"/>
        <v>70.679999999999836</v>
      </c>
      <c r="U28" s="273">
        <f>SUMIFS('Checking Transaction Log'!$E:$E,'Checking Transaction Log'!$C:$C,"&gt;="&amp;U1,'Checking Transaction Log'!$C:$C,"&lt;="&amp;V1,'Checking Transaction Log'!$A:$A,"F",'Checking Transaction Log'!$B:$B,23)</f>
        <v>0</v>
      </c>
      <c r="V28" s="273">
        <f t="shared" si="27"/>
        <v>1200</v>
      </c>
      <c r="W28" s="236">
        <f>SUMIFS('Checking Transaction Log'!$E:$E,'Checking Transaction Log'!$C:$C,"&gt;="&amp;W1,'Checking Transaction Log'!$C:$C,"&lt;="&amp;X1,'Checking Transaction Log'!$A:$A,"F",'Checking Transaction Log'!$B:$B,23)</f>
        <v>0</v>
      </c>
      <c r="X28" s="236">
        <f t="shared" si="28"/>
        <v>1200</v>
      </c>
      <c r="Y28" s="276">
        <f>SUMIFS('Checking Transaction Log'!$E:$E,'Checking Transaction Log'!$C:$C,"&gt;="&amp;Y1,'Checking Transaction Log'!$C:$C,"&lt;="&amp;Z1,'Checking Transaction Log'!$A:$A,"F",'Checking Transaction Log'!$B:$B,23)</f>
        <v>0</v>
      </c>
      <c r="Z28" s="276">
        <f t="shared" si="29"/>
        <v>1200</v>
      </c>
      <c r="AA28" s="278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78">
        <f t="shared" si="30"/>
        <v>1200</v>
      </c>
      <c r="AC28" s="280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80">
        <f t="shared" si="31"/>
        <v>1200</v>
      </c>
      <c r="AE28" s="282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82">
        <f t="shared" si="32"/>
        <v>1200</v>
      </c>
    </row>
    <row r="29" spans="1:32" ht="11.25" customHeight="1" x14ac:dyDescent="0.3">
      <c r="A29" s="284" t="str">
        <f>'Proposed Budget'!A29</f>
        <v>F</v>
      </c>
      <c r="B29" s="255">
        <f>'Proposed Budget'!B29</f>
        <v>24</v>
      </c>
      <c r="C29" s="287" t="str">
        <f>'Proposed Budget'!C29</f>
        <v>Ohio Turnpike</v>
      </c>
      <c r="D29" s="288">
        <f t="shared" ca="1" si="17"/>
        <v>112.07404000000001</v>
      </c>
      <c r="E29" s="289">
        <f t="shared" si="18"/>
        <v>663.16000000000008</v>
      </c>
      <c r="F29" s="289">
        <f t="shared" si="19"/>
        <v>56.84</v>
      </c>
      <c r="G29" s="269">
        <f t="shared" si="20"/>
        <v>7.8944444444444484E-2</v>
      </c>
      <c r="H29" s="289">
        <f>'Proposed Budget'!D29</f>
        <v>120</v>
      </c>
      <c r="I29" s="270">
        <f>SUMIFS('Checking Transaction Log'!E:E,'Checking Transaction Log'!C:C,"&gt;="&amp;I1,'Checking Transaction Log'!C:C,"&lt;="&amp;J1,'Checking Transaction Log'!A:A,"F",'Checking Transaction Log'!B:B,24)</f>
        <v>83.42</v>
      </c>
      <c r="J29" s="270">
        <f t="shared" si="21"/>
        <v>36.58</v>
      </c>
      <c r="K29" s="232">
        <f>SUMIFS('Checking Transaction Log'!E:E,'Checking Transaction Log'!C:C,"&gt;="&amp;K1,'Checking Transaction Log'!C:C,"&lt;="&amp;L1,'Checking Transaction Log'!A:A,"F",'Checking Transaction Log'!B:B,24)</f>
        <v>168.41</v>
      </c>
      <c r="L29" s="232">
        <f t="shared" si="22"/>
        <v>-48.41</v>
      </c>
      <c r="M29" s="273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73">
        <f t="shared" si="23"/>
        <v>33.42</v>
      </c>
      <c r="O29" s="236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36">
        <f t="shared" si="24"/>
        <v>14.670000000000002</v>
      </c>
      <c r="Q29" s="270">
        <f>SUMIFS('Checking Transaction Log'!$E:$E,'Checking Transaction Log'!$C:$C,"&gt;="&amp;Q1,'Checking Transaction Log'!$C:$C,"&lt;="&amp;R1,'Checking Transaction Log'!$A:$A,"F",'Checking Transaction Log'!$B:$B,24)</f>
        <v>109.92</v>
      </c>
      <c r="R29" s="270">
        <f t="shared" si="25"/>
        <v>10.079999999999998</v>
      </c>
      <c r="S29" s="232">
        <f>SUMIFS('Checking Transaction Log'!$E:$E,'Checking Transaction Log'!$C:$C,"&gt;="&amp;S1,'Checking Transaction Log'!$C:$C,"&lt;="&amp;T1,'Checking Transaction Log'!$A:$A,"F",'Checking Transaction Log'!$B:$B,24)</f>
        <v>109.5</v>
      </c>
      <c r="T29" s="232">
        <f t="shared" si="26"/>
        <v>10.5</v>
      </c>
      <c r="U29" s="273">
        <f>SUMIFS('Checking Transaction Log'!$E:$E,'Checking Transaction Log'!$C:$C,"&gt;="&amp;U1,'Checking Transaction Log'!$C:$C,"&lt;="&amp;V1,'Checking Transaction Log'!$A:$A,"F",'Checking Transaction Log'!$B:$B,24)</f>
        <v>0</v>
      </c>
      <c r="V29" s="273">
        <f t="shared" si="27"/>
        <v>120</v>
      </c>
      <c r="W29" s="236">
        <f>SUMIFS('Checking Transaction Log'!$E:$E,'Checking Transaction Log'!$C:$C,"&gt;="&amp;W1,'Checking Transaction Log'!$C:$C,"&lt;="&amp;X1,'Checking Transaction Log'!$A:$A,"F",'Checking Transaction Log'!$B:$B,24)</f>
        <v>0</v>
      </c>
      <c r="X29" s="236">
        <f t="shared" si="28"/>
        <v>120</v>
      </c>
      <c r="Y29" s="276">
        <f>SUMIFS('Checking Transaction Log'!$E:$E,'Checking Transaction Log'!$C:$C,"&gt;="&amp;Y1,'Checking Transaction Log'!$C:$C,"&lt;="&amp;Z1,'Checking Transaction Log'!$A:$A,"F",'Checking Transaction Log'!$B:$B,24)</f>
        <v>0</v>
      </c>
      <c r="Z29" s="276">
        <f t="shared" si="29"/>
        <v>120</v>
      </c>
      <c r="AA29" s="278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78">
        <f t="shared" si="30"/>
        <v>120</v>
      </c>
      <c r="AC29" s="280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80">
        <f t="shared" si="31"/>
        <v>120</v>
      </c>
      <c r="AE29" s="282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82">
        <f t="shared" si="32"/>
        <v>120</v>
      </c>
    </row>
    <row r="30" spans="1:32" ht="11.25" customHeight="1" x14ac:dyDescent="0.3">
      <c r="A30" s="284" t="str">
        <f>'Proposed Budget'!A30</f>
        <v>F</v>
      </c>
      <c r="B30" s="255">
        <f>'Proposed Budget'!B30</f>
        <v>42</v>
      </c>
      <c r="C30" s="287" t="str">
        <f>'Proposed Budget'!C30</f>
        <v>Water Bill - Main</v>
      </c>
      <c r="D30" s="288">
        <f t="shared" ca="1" si="17"/>
        <v>102.83142999999998</v>
      </c>
      <c r="E30" s="289">
        <f t="shared" si="18"/>
        <v>608.46999999999991</v>
      </c>
      <c r="F30" s="289">
        <f t="shared" si="19"/>
        <v>-158.47</v>
      </c>
      <c r="G30" s="269">
        <f t="shared" si="20"/>
        <v>-0.35215555555555578</v>
      </c>
      <c r="H30" s="289">
        <f>'Proposed Budget'!D30</f>
        <v>75</v>
      </c>
      <c r="I30" s="270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70">
        <f t="shared" si="21"/>
        <v>-5.9899999999999949</v>
      </c>
      <c r="K30" s="232">
        <f>SUMIFS('Checking Transaction Log'!E:E,'Checking Transaction Log'!C:C,"&gt;="&amp;K1,'Checking Transaction Log'!C:C,"&lt;="&amp;L1,'Checking Transaction Log'!A:A,"F",'Checking Transaction Log'!B:B,42)</f>
        <v>88.44</v>
      </c>
      <c r="L30" s="232">
        <f t="shared" si="22"/>
        <v>-13.439999999999998</v>
      </c>
      <c r="M30" s="273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73">
        <f t="shared" si="23"/>
        <v>-21.25</v>
      </c>
      <c r="O30" s="236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36">
        <f t="shared" si="24"/>
        <v>-13.170000000000002</v>
      </c>
      <c r="Q30" s="270">
        <f>SUMIFS('Checking Transaction Log'!$E:$E,'Checking Transaction Log'!$C:$C,"&gt;="&amp;Q1,'Checking Transaction Log'!$C:$C,"&lt;="&amp;R1,'Checking Transaction Log'!$A:$A,"F",'Checking Transaction Log'!$B:$B,42)</f>
        <v>80.72</v>
      </c>
      <c r="R30" s="270">
        <f t="shared" si="25"/>
        <v>-5.7199999999999989</v>
      </c>
      <c r="S30" s="232">
        <f>SUMIFS('Checking Transaction Log'!$E:$E,'Checking Transaction Log'!$C:$C,"&gt;="&amp;S1,'Checking Transaction Log'!$C:$C,"&lt;="&amp;T1,'Checking Transaction Log'!$A:$A,"F",'Checking Transaction Log'!$B:$B,42)</f>
        <v>173.9</v>
      </c>
      <c r="T30" s="232">
        <f t="shared" si="26"/>
        <v>-98.9</v>
      </c>
      <c r="U30" s="273">
        <f>SUMIFS('Checking Transaction Log'!$E:$E,'Checking Transaction Log'!$C:$C,"&gt;="&amp;U1,'Checking Transaction Log'!$C:$C,"&lt;="&amp;V1,'Checking Transaction Log'!$A:$A,"F",'Checking Transaction Log'!$B:$B,42)</f>
        <v>0</v>
      </c>
      <c r="V30" s="273">
        <f t="shared" si="27"/>
        <v>75</v>
      </c>
      <c r="W30" s="236">
        <f>SUMIFS('Checking Transaction Log'!$E:$E,'Checking Transaction Log'!$C:$C,"&gt;="&amp;W1,'Checking Transaction Log'!$C:$C,"&lt;="&amp;X1,'Checking Transaction Log'!$A:$A,"F",'Checking Transaction Log'!$B:$B,42)</f>
        <v>0</v>
      </c>
      <c r="X30" s="236">
        <f t="shared" si="28"/>
        <v>75</v>
      </c>
      <c r="Y30" s="276">
        <f>SUMIFS('Checking Transaction Log'!$E:$E,'Checking Transaction Log'!$C:$C,"&gt;="&amp;Y1,'Checking Transaction Log'!$C:$C,"&lt;="&amp;Z1,'Checking Transaction Log'!$A:$A,"F",'Checking Transaction Log'!$B:$B,42)</f>
        <v>0</v>
      </c>
      <c r="Z30" s="276">
        <f t="shared" si="29"/>
        <v>75</v>
      </c>
      <c r="AA30" s="278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78">
        <f t="shared" si="30"/>
        <v>75</v>
      </c>
      <c r="AC30" s="280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80">
        <f t="shared" si="31"/>
        <v>75</v>
      </c>
      <c r="AE30" s="282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82">
        <f t="shared" si="32"/>
        <v>75</v>
      </c>
    </row>
    <row r="31" spans="1:32" ht="11.25" customHeight="1" x14ac:dyDescent="0.3">
      <c r="A31" s="284" t="str">
        <f>'Proposed Budget'!A31</f>
        <v>F</v>
      </c>
      <c r="B31" s="255">
        <f>'Proposed Budget'!B31</f>
        <v>43</v>
      </c>
      <c r="C31" s="287" t="str">
        <f>'Proposed Budget'!C31</f>
        <v>Water Bill - Rental</v>
      </c>
      <c r="D31" s="288">
        <f t="shared" ca="1" si="17"/>
        <v>69.254509999999996</v>
      </c>
      <c r="E31" s="289">
        <f t="shared" si="18"/>
        <v>409.78999999999996</v>
      </c>
      <c r="F31" s="289">
        <f t="shared" si="19"/>
        <v>40.209999999999994</v>
      </c>
      <c r="G31" s="269">
        <f t="shared" si="20"/>
        <v>8.9355555555555521E-2</v>
      </c>
      <c r="H31" s="289">
        <f>'Proposed Budget'!D31</f>
        <v>75</v>
      </c>
      <c r="I31" s="270">
        <f>SUMIFS('Checking Transaction Log'!E:E,'Checking Transaction Log'!C:C,"&gt;="&amp;I1,'Checking Transaction Log'!C:C,"&lt;="&amp;J1,'Checking Transaction Log'!A:A,"F",'Checking Transaction Log'!B:B,43)</f>
        <v>66.53</v>
      </c>
      <c r="J31" s="270">
        <f t="shared" si="21"/>
        <v>8.4699999999999989</v>
      </c>
      <c r="K31" s="232">
        <f>SUMIFS('Checking Transaction Log'!E:E,'Checking Transaction Log'!C:C,"&gt;="&amp;K1,'Checking Transaction Log'!C:C,"&lt;="&amp;L1,'Checking Transaction Log'!A:A,"F",'Checking Transaction Log'!B:B,43)</f>
        <v>66.97</v>
      </c>
      <c r="L31" s="232">
        <f t="shared" si="22"/>
        <v>8.0300000000000011</v>
      </c>
      <c r="M31" s="273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73">
        <f t="shared" si="23"/>
        <v>9.8100000000000023</v>
      </c>
      <c r="O31" s="236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36">
        <f t="shared" si="24"/>
        <v>1.7299999999999898</v>
      </c>
      <c r="Q31" s="270">
        <f>SUMIFS('Checking Transaction Log'!$E:$E,'Checking Transaction Log'!$C:$C,"&gt;="&amp;Q1,'Checking Transaction Log'!$C:$C,"&lt;="&amp;R1,'Checking Transaction Log'!$A:$A,"F",'Checking Transaction Log'!$B:$B,43)</f>
        <v>65.19</v>
      </c>
      <c r="R31" s="270">
        <f t="shared" si="25"/>
        <v>9.8100000000000023</v>
      </c>
      <c r="S31" s="232">
        <f>SUMIFS('Checking Transaction Log'!$E:$E,'Checking Transaction Log'!$C:$C,"&gt;="&amp;S1,'Checking Transaction Log'!$C:$C,"&lt;="&amp;T1,'Checking Transaction Log'!$A:$A,"F",'Checking Transaction Log'!$B:$B,43)</f>
        <v>72.64</v>
      </c>
      <c r="T31" s="232">
        <f t="shared" si="26"/>
        <v>2.3599999999999994</v>
      </c>
      <c r="U31" s="273">
        <f>SUMIFS('Checking Transaction Log'!$E:$E,'Checking Transaction Log'!$C:$C,"&gt;="&amp;U1,'Checking Transaction Log'!$C:$C,"&lt;="&amp;V1,'Checking Transaction Log'!$A:$A,"F",'Checking Transaction Log'!$B:$B,43)</f>
        <v>0</v>
      </c>
      <c r="V31" s="273">
        <f t="shared" si="27"/>
        <v>75</v>
      </c>
      <c r="W31" s="236">
        <f>SUMIFS('Checking Transaction Log'!$E:$E,'Checking Transaction Log'!$C:$C,"&gt;="&amp;W1,'Checking Transaction Log'!$C:$C,"&lt;="&amp;X1,'Checking Transaction Log'!$A:$A,"F",'Checking Transaction Log'!$B:$B,43)</f>
        <v>0</v>
      </c>
      <c r="X31" s="236">
        <f t="shared" si="28"/>
        <v>75</v>
      </c>
      <c r="Y31" s="276">
        <f>SUMIFS('Checking Transaction Log'!$E:$E,'Checking Transaction Log'!$C:$C,"&gt;="&amp;Y1,'Checking Transaction Log'!$C:$C,"&lt;="&amp;Z1,'Checking Transaction Log'!$A:$A,"F",'Checking Transaction Log'!$B:$B,43)</f>
        <v>0</v>
      </c>
      <c r="Z31" s="276">
        <f t="shared" si="29"/>
        <v>75</v>
      </c>
      <c r="AA31" s="278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78">
        <f t="shared" si="30"/>
        <v>75</v>
      </c>
      <c r="AC31" s="280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80">
        <f t="shared" si="31"/>
        <v>75</v>
      </c>
      <c r="AE31" s="282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82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84" t="str">
        <f>'Proposed Budget'!A33</f>
        <v>R</v>
      </c>
      <c r="B33" s="255">
        <f>'Proposed Budget'!B33</f>
        <v>25</v>
      </c>
      <c r="C33" s="287" t="str">
        <f>'Proposed Budget'!C33</f>
        <v>Vehicle Maintenance</v>
      </c>
      <c r="D33" s="288">
        <f t="shared" ref="D33:D43" ca="1" si="33">(E33/(TODAY()-$I$1))*30.42</f>
        <v>354.9</v>
      </c>
      <c r="E33" s="289">
        <f t="shared" ref="E33:E43" si="34">Q33+S33+U33+W33+Y33+AA33+AC33+AE33+I33+K33+M33+O33</f>
        <v>2100</v>
      </c>
      <c r="F33" s="289">
        <f t="shared" ref="F33:F43" si="35">J33+L33+N33+P33+R33+T33</f>
        <v>0</v>
      </c>
      <c r="G33" s="269">
        <f t="shared" ref="G33:G43" si="36">1-((E33/SUM(E33:F33)))</f>
        <v>0</v>
      </c>
      <c r="H33" s="289">
        <f>'Proposed Budget'!D33</f>
        <v>350</v>
      </c>
      <c r="I33" s="270">
        <f>SUMIFS('Checking Transaction Log'!$E:$E,'Checking Transaction Log'!$C:$C,"&gt;="&amp;I1,'Checking Transaction Log'!$C:$C,"&lt;="&amp;J1,'Checking Transaction Log'!$A:$A,"R",'Checking Transaction Log'!$B:$B,25)</f>
        <v>350</v>
      </c>
      <c r="J33" s="270">
        <f t="shared" ref="J33:J43" si="37">H33-I33</f>
        <v>0</v>
      </c>
      <c r="K33" s="232">
        <f>SUMIFS('Checking Transaction Log'!$E:$E,'Checking Transaction Log'!$C:$C,"&gt;="&amp;K1,'Checking Transaction Log'!$C:$C,"&lt;="&amp;L1,'Checking Transaction Log'!$A:$A,"R",'Checking Transaction Log'!$B:$B,25)</f>
        <v>350</v>
      </c>
      <c r="L33" s="232">
        <f t="shared" ref="L33:L43" si="38">H33-K33</f>
        <v>0</v>
      </c>
      <c r="M33" s="273">
        <f>SUMIFS('Checking Transaction Log'!$E:$E,'Checking Transaction Log'!$C:$C,"&gt;="&amp;M1,'Checking Transaction Log'!$C:$C,"&lt;="&amp;N1,'Checking Transaction Log'!$A:$A,"R",'Checking Transaction Log'!$B:$B,25)</f>
        <v>350</v>
      </c>
      <c r="N33" s="273">
        <f t="shared" ref="N33:N43" si="39">H33-M33</f>
        <v>0</v>
      </c>
      <c r="O33" s="236">
        <f>SUMIFS('Checking Transaction Log'!$E:$E,'Checking Transaction Log'!$C:$C,"&gt;="&amp;O1,'Checking Transaction Log'!$C:$C,"&lt;="&amp;P1,'Checking Transaction Log'!$A:$A,"R",'Checking Transaction Log'!$B:$B,25)</f>
        <v>350</v>
      </c>
      <c r="P33" s="236">
        <f t="shared" ref="P33:P43" si="40">H33-O33</f>
        <v>0</v>
      </c>
      <c r="Q33" s="270">
        <f>SUMIFS('Checking Transaction Log'!$E:$E,'Checking Transaction Log'!$C:$C,"&gt;="&amp;Q1,'Checking Transaction Log'!$C:$C,"&lt;="&amp;R1,'Checking Transaction Log'!$A:$A,"R",'Checking Transaction Log'!$B:$B,25)</f>
        <v>350</v>
      </c>
      <c r="R33" s="270">
        <f t="shared" ref="R33:R43" si="41">H33-Q33</f>
        <v>0</v>
      </c>
      <c r="S33" s="232">
        <f>SUMIFS('Checking Transaction Log'!$E:$E,'Checking Transaction Log'!$C:$C,"&gt;="&amp;S1,'Checking Transaction Log'!$C:$C,"&lt;="&amp;T1,'Checking Transaction Log'!$A:$A,"R",'Checking Transaction Log'!$B:$B,25)</f>
        <v>350</v>
      </c>
      <c r="T33" s="232">
        <f t="shared" ref="T33:T43" si="42">H33-S33</f>
        <v>0</v>
      </c>
      <c r="U33" s="273">
        <f>SUMIFS('Checking Transaction Log'!$E:$E,'Checking Transaction Log'!$C:$C,"&gt;="&amp;U1,'Checking Transaction Log'!$C:$C,"&lt;="&amp;V1,'Checking Transaction Log'!$A:$A,"R",'Checking Transaction Log'!$B:$B,25)</f>
        <v>0</v>
      </c>
      <c r="V33" s="273">
        <f t="shared" ref="V33:V43" si="43">H33-U33</f>
        <v>350</v>
      </c>
      <c r="W33" s="236">
        <f>SUMIFS('Checking Transaction Log'!$E:$E,'Checking Transaction Log'!$C:$C,"&gt;="&amp;W1,'Checking Transaction Log'!$C:$C,"&lt;="&amp;X1,'Checking Transaction Log'!$A:$A,"R",'Checking Transaction Log'!$B:$B,25)</f>
        <v>0</v>
      </c>
      <c r="X33" s="236">
        <f t="shared" ref="X33:X43" si="44">H33-W33</f>
        <v>350</v>
      </c>
      <c r="Y33" s="276">
        <f>SUMIFS('Checking Transaction Log'!$E:$E,'Checking Transaction Log'!$C:$C,"&gt;="&amp;Y1,'Checking Transaction Log'!$C:$C,"&lt;="&amp;Z1,'Checking Transaction Log'!$A:$A,"R",'Checking Transaction Log'!$B:$B,25)</f>
        <v>0</v>
      </c>
      <c r="Z33" s="276">
        <f t="shared" ref="Z33:Z43" si="45">H33-Y33</f>
        <v>350</v>
      </c>
      <c r="AA33" s="278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78">
        <f t="shared" ref="AB33:AB43" si="46">H33-AA33</f>
        <v>350</v>
      </c>
      <c r="AC33" s="280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80">
        <f t="shared" ref="AD33:AD43" si="47">H33-AC33</f>
        <v>350</v>
      </c>
      <c r="AE33" s="282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82">
        <f t="shared" ref="AF33:AF43" si="48">H33-AE33</f>
        <v>350</v>
      </c>
    </row>
    <row r="34" spans="1:32" ht="11.25" customHeight="1" x14ac:dyDescent="0.3">
      <c r="A34" s="284" t="str">
        <f>'Proposed Budget'!A34</f>
        <v>R</v>
      </c>
      <c r="B34" s="255">
        <f>'Proposed Budget'!B34</f>
        <v>26</v>
      </c>
      <c r="C34" s="287" t="str">
        <f>'Proposed Budget'!C34</f>
        <v>Car Insurance</v>
      </c>
      <c r="D34" s="288">
        <f t="shared" ca="1" si="33"/>
        <v>324.48</v>
      </c>
      <c r="E34" s="289">
        <f t="shared" si="34"/>
        <v>1920</v>
      </c>
      <c r="F34" s="289">
        <f t="shared" si="35"/>
        <v>0</v>
      </c>
      <c r="G34" s="269">
        <f t="shared" si="36"/>
        <v>0</v>
      </c>
      <c r="H34" s="289">
        <f>'Proposed Budget'!D34</f>
        <v>320</v>
      </c>
      <c r="I34" s="270">
        <f>SUMIFS('Checking Transaction Log'!E:E,'Checking Transaction Log'!C:C,"&gt;="&amp;I1,'Checking Transaction Log'!C:C,"&lt;="&amp;J1,'Checking Transaction Log'!A:A,"R",'Checking Transaction Log'!B:B,26)</f>
        <v>320</v>
      </c>
      <c r="J34" s="270">
        <f t="shared" si="37"/>
        <v>0</v>
      </c>
      <c r="K34" s="232">
        <f>SUMIFS('Checking Transaction Log'!$E:$E,'Checking Transaction Log'!$C:$C,"&gt;="&amp;K1,'Checking Transaction Log'!$C:$C,"&lt;="&amp;L1,'Checking Transaction Log'!$A:$A,"R",'Checking Transaction Log'!$B:$B,26)</f>
        <v>320</v>
      </c>
      <c r="L34" s="232">
        <f t="shared" si="38"/>
        <v>0</v>
      </c>
      <c r="M34" s="273">
        <f>SUMIFS('Checking Transaction Log'!$E:$E,'Checking Transaction Log'!$C:$C,"&gt;="&amp;M1,'Checking Transaction Log'!$C:$C,"&lt;="&amp;N1,'Checking Transaction Log'!$A:$A,"R",'Checking Transaction Log'!$B:$B,26)</f>
        <v>320</v>
      </c>
      <c r="N34" s="273">
        <f t="shared" si="39"/>
        <v>0</v>
      </c>
      <c r="O34" s="236">
        <f>SUMIFS('Checking Transaction Log'!$E:$E,'Checking Transaction Log'!$C:$C,"&gt;="&amp;O1,'Checking Transaction Log'!$C:$C,"&lt;="&amp;P1,'Checking Transaction Log'!$A:$A,"R",'Checking Transaction Log'!$B:$B,26)</f>
        <v>320</v>
      </c>
      <c r="P34" s="236">
        <f t="shared" si="40"/>
        <v>0</v>
      </c>
      <c r="Q34" s="270">
        <f>SUMIFS('Checking Transaction Log'!$E:$E,'Checking Transaction Log'!$C:$C,"&gt;="&amp;Q1,'Checking Transaction Log'!$C:$C,"&lt;="&amp;R1,'Checking Transaction Log'!$A:$A,"R",'Checking Transaction Log'!$B:$B,26)</f>
        <v>320</v>
      </c>
      <c r="R34" s="270">
        <f t="shared" si="41"/>
        <v>0</v>
      </c>
      <c r="S34" s="232">
        <f>SUMIFS('Checking Transaction Log'!$E:$E,'Checking Transaction Log'!$C:$C,"&gt;="&amp;S1,'Checking Transaction Log'!$C:$C,"&lt;="&amp;T1,'Checking Transaction Log'!$A:$A,"R",'Checking Transaction Log'!$B:$B,26)</f>
        <v>320</v>
      </c>
      <c r="T34" s="232">
        <f t="shared" si="42"/>
        <v>0</v>
      </c>
      <c r="U34" s="273">
        <f>SUMIFS('Checking Transaction Log'!$E:$E,'Checking Transaction Log'!$C:$C,"&gt;="&amp;U1,'Checking Transaction Log'!$C:$C,"&lt;="&amp;V1,'Checking Transaction Log'!$A:$A,"R",'Checking Transaction Log'!$B:$B,26)</f>
        <v>0</v>
      </c>
      <c r="V34" s="273">
        <f t="shared" si="43"/>
        <v>320</v>
      </c>
      <c r="W34" s="236">
        <f>SUMIFS('Checking Transaction Log'!$E:$E,'Checking Transaction Log'!$C:$C,"&gt;="&amp;W1,'Checking Transaction Log'!$C:$C,"&lt;="&amp;X1,'Checking Transaction Log'!$A:$A,"R",'Checking Transaction Log'!$B:$B,26)</f>
        <v>0</v>
      </c>
      <c r="X34" s="236">
        <f t="shared" si="44"/>
        <v>320</v>
      </c>
      <c r="Y34" s="276">
        <f>SUMIFS('Checking Transaction Log'!$E:$E,'Checking Transaction Log'!$C:$C,"&gt;="&amp;Y1,'Checking Transaction Log'!$C:$C,"&lt;="&amp;Z1,'Checking Transaction Log'!$A:$A,"R",'Checking Transaction Log'!$B:$B,26)</f>
        <v>0</v>
      </c>
      <c r="Z34" s="276">
        <f t="shared" si="45"/>
        <v>320</v>
      </c>
      <c r="AA34" s="278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78">
        <f t="shared" si="46"/>
        <v>320</v>
      </c>
      <c r="AC34" s="280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80">
        <f t="shared" si="47"/>
        <v>320</v>
      </c>
      <c r="AE34" s="282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82">
        <f t="shared" si="48"/>
        <v>320</v>
      </c>
    </row>
    <row r="35" spans="1:32" ht="11.25" customHeight="1" x14ac:dyDescent="0.3">
      <c r="A35" s="284" t="str">
        <f>'Proposed Budget'!A35</f>
        <v>R</v>
      </c>
      <c r="B35" s="255">
        <f>'Proposed Budget'!B35</f>
        <v>27</v>
      </c>
      <c r="C35" s="287" t="str">
        <f>'Proposed Budget'!C35</f>
        <v>Rental Garbage</v>
      </c>
      <c r="D35" s="288">
        <f t="shared" ca="1" si="33"/>
        <v>25.35</v>
      </c>
      <c r="E35" s="289">
        <f t="shared" si="34"/>
        <v>150</v>
      </c>
      <c r="F35" s="289">
        <f t="shared" si="35"/>
        <v>0</v>
      </c>
      <c r="G35" s="269">
        <f t="shared" si="36"/>
        <v>0</v>
      </c>
      <c r="H35" s="289">
        <f>'Proposed Budget'!D35</f>
        <v>25</v>
      </c>
      <c r="I35" s="270">
        <f>SUMIFS('Checking Transaction Log'!E:E,'Checking Transaction Log'!C:C,"&gt;="&amp;I1,'Checking Transaction Log'!C:C,"&lt;="&amp;J1,'Checking Transaction Log'!A:A,"R",'Checking Transaction Log'!B:B,27)</f>
        <v>25</v>
      </c>
      <c r="J35" s="270">
        <f t="shared" si="37"/>
        <v>0</v>
      </c>
      <c r="K35" s="232">
        <f>SUMIFS('Checking Transaction Log'!$E:$E,'Checking Transaction Log'!$C:$C,"&gt;="&amp;K1,'Checking Transaction Log'!$C:$C,"&lt;="&amp;L1,'Checking Transaction Log'!$A:$A,"R",'Checking Transaction Log'!$B:$B,27)</f>
        <v>25</v>
      </c>
      <c r="L35" s="232">
        <f t="shared" si="38"/>
        <v>0</v>
      </c>
      <c r="M35" s="273">
        <f>SUMIFS('Checking Transaction Log'!$E:$E,'Checking Transaction Log'!$C:$C,"&gt;="&amp;M1,'Checking Transaction Log'!$C:$C,"&lt;="&amp;N1,'Checking Transaction Log'!$A:$A,"R",'Checking Transaction Log'!$B:$B,27)</f>
        <v>25</v>
      </c>
      <c r="N35" s="273">
        <f t="shared" si="39"/>
        <v>0</v>
      </c>
      <c r="O35" s="236">
        <f>SUMIFS('Checking Transaction Log'!$E:$E,'Checking Transaction Log'!$C:$C,"&gt;="&amp;O1,'Checking Transaction Log'!$C:$C,"&lt;="&amp;P1,'Checking Transaction Log'!$A:$A,"R",'Checking Transaction Log'!$B:$B,27)</f>
        <v>25</v>
      </c>
      <c r="P35" s="236">
        <f t="shared" si="40"/>
        <v>0</v>
      </c>
      <c r="Q35" s="270">
        <f>SUMIFS('Checking Transaction Log'!$E:$E,'Checking Transaction Log'!$C:$C,"&gt;="&amp;Q1,'Checking Transaction Log'!$C:$C,"&lt;="&amp;R1,'Checking Transaction Log'!$A:$A,"R",'Checking Transaction Log'!$B:$B,27)</f>
        <v>25</v>
      </c>
      <c r="R35" s="270">
        <f t="shared" si="41"/>
        <v>0</v>
      </c>
      <c r="S35" s="232">
        <f>SUMIFS('Checking Transaction Log'!$E:$E,'Checking Transaction Log'!$C:$C,"&gt;="&amp;S1,'Checking Transaction Log'!$C:$C,"&lt;="&amp;T1,'Checking Transaction Log'!$A:$A,"R",'Checking Transaction Log'!$B:$B,27)</f>
        <v>25</v>
      </c>
      <c r="T35" s="232">
        <f t="shared" si="42"/>
        <v>0</v>
      </c>
      <c r="U35" s="273">
        <f>SUMIFS('Checking Transaction Log'!$E:$E,'Checking Transaction Log'!$C:$C,"&gt;="&amp;U1,'Checking Transaction Log'!$C:$C,"&lt;="&amp;V1,'Checking Transaction Log'!$A:$A,"R",'Checking Transaction Log'!$B:$B,27)</f>
        <v>0</v>
      </c>
      <c r="V35" s="273">
        <f t="shared" si="43"/>
        <v>25</v>
      </c>
      <c r="W35" s="236">
        <f>SUMIFS('Checking Transaction Log'!$E:$E,'Checking Transaction Log'!$C:$C,"&gt;="&amp;W1,'Checking Transaction Log'!$C:$C,"&lt;="&amp;X1,'Checking Transaction Log'!$A:$A,"R",'Checking Transaction Log'!$B:$B,27)</f>
        <v>0</v>
      </c>
      <c r="X35" s="236">
        <f t="shared" si="44"/>
        <v>25</v>
      </c>
      <c r="Y35" s="276">
        <f>SUMIFS('Checking Transaction Log'!$E:$E,'Checking Transaction Log'!$C:$C,"&gt;="&amp;Y1,'Checking Transaction Log'!$C:$C,"&lt;="&amp;Z1,'Checking Transaction Log'!$A:$A,"R",'Checking Transaction Log'!$B:$B,27)</f>
        <v>0</v>
      </c>
      <c r="Z35" s="276">
        <f t="shared" si="45"/>
        <v>25</v>
      </c>
      <c r="AA35" s="278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78">
        <f t="shared" si="46"/>
        <v>25</v>
      </c>
      <c r="AC35" s="280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80">
        <f t="shared" si="47"/>
        <v>25</v>
      </c>
      <c r="AE35" s="282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82">
        <f t="shared" si="48"/>
        <v>25</v>
      </c>
    </row>
    <row r="36" spans="1:32" ht="11.25" customHeight="1" x14ac:dyDescent="0.3">
      <c r="A36" s="284" t="str">
        <f>'Proposed Budget'!A36</f>
        <v>R</v>
      </c>
      <c r="B36" s="255">
        <f>'Proposed Budget'!B36</f>
        <v>28</v>
      </c>
      <c r="C36" s="287" t="str">
        <f>'Proposed Budget'!C36</f>
        <v>Garbage</v>
      </c>
      <c r="D36" s="288">
        <f t="shared" ca="1" si="33"/>
        <v>25.35</v>
      </c>
      <c r="E36" s="289">
        <f t="shared" si="34"/>
        <v>150</v>
      </c>
      <c r="F36" s="289">
        <f t="shared" si="35"/>
        <v>0</v>
      </c>
      <c r="G36" s="269">
        <f t="shared" si="36"/>
        <v>0</v>
      </c>
      <c r="H36" s="289">
        <f>'Proposed Budget'!D36</f>
        <v>25</v>
      </c>
      <c r="I36" s="270">
        <f>SUMIFS('Checking Transaction Log'!E:E,'Checking Transaction Log'!C:C,"&gt;="&amp;I1,'Checking Transaction Log'!C:C,"&lt;="&amp;J1,'Checking Transaction Log'!A:A,"R",'Checking Transaction Log'!B:B,28)</f>
        <v>25</v>
      </c>
      <c r="J36" s="270">
        <f t="shared" si="37"/>
        <v>0</v>
      </c>
      <c r="K36" s="232">
        <f>SUMIFS('Checking Transaction Log'!$E:$E,'Checking Transaction Log'!$C:$C,"&gt;="&amp;K1,'Checking Transaction Log'!$C:$C,"&lt;="&amp;L1,'Checking Transaction Log'!$A:$A,"R",'Checking Transaction Log'!$B:$B,28)</f>
        <v>25</v>
      </c>
      <c r="L36" s="232">
        <f t="shared" si="38"/>
        <v>0</v>
      </c>
      <c r="M36" s="273">
        <f>SUMIFS('Checking Transaction Log'!$E:$E,'Checking Transaction Log'!$C:$C,"&gt;="&amp;M1,'Checking Transaction Log'!$C:$C,"&lt;="&amp;N1,'Checking Transaction Log'!$A:$A,"R",'Checking Transaction Log'!$B:$B,28)</f>
        <v>25</v>
      </c>
      <c r="N36" s="273">
        <f t="shared" si="39"/>
        <v>0</v>
      </c>
      <c r="O36" s="236">
        <f>SUMIFS('Checking Transaction Log'!$E:$E,'Checking Transaction Log'!$C:$C,"&gt;="&amp;O1,'Checking Transaction Log'!$C:$C,"&lt;="&amp;P1,'Checking Transaction Log'!$A:$A,"R",'Checking Transaction Log'!$B:$B,28)</f>
        <v>25</v>
      </c>
      <c r="P36" s="236">
        <f t="shared" si="40"/>
        <v>0</v>
      </c>
      <c r="Q36" s="270">
        <f>SUMIFS('Checking Transaction Log'!$E:$E,'Checking Transaction Log'!$C:$C,"&gt;="&amp;Q1,'Checking Transaction Log'!$C:$C,"&lt;="&amp;R1,'Checking Transaction Log'!$A:$A,"R",'Checking Transaction Log'!$B:$B,28)</f>
        <v>25</v>
      </c>
      <c r="R36" s="270">
        <f t="shared" si="41"/>
        <v>0</v>
      </c>
      <c r="S36" s="232">
        <f>SUMIFS('Checking Transaction Log'!$E:$E,'Checking Transaction Log'!$C:$C,"&gt;="&amp;S1,'Checking Transaction Log'!$C:$C,"&lt;="&amp;T1,'Checking Transaction Log'!$A:$A,"R",'Checking Transaction Log'!$B:$B,28)</f>
        <v>25</v>
      </c>
      <c r="T36" s="232">
        <f t="shared" si="42"/>
        <v>0</v>
      </c>
      <c r="U36" s="273">
        <f>SUMIFS('Checking Transaction Log'!$E:$E,'Checking Transaction Log'!$C:$C,"&gt;="&amp;U1,'Checking Transaction Log'!$C:$C,"&lt;="&amp;V1,'Checking Transaction Log'!$A:$A,"R",'Checking Transaction Log'!$B:$B,28)</f>
        <v>0</v>
      </c>
      <c r="V36" s="273">
        <f t="shared" si="43"/>
        <v>25</v>
      </c>
      <c r="W36" s="236">
        <f>SUMIFS('Checking Transaction Log'!$E:$E,'Checking Transaction Log'!$C:$C,"&gt;="&amp;W1,'Checking Transaction Log'!$C:$C,"&lt;="&amp;X1,'Checking Transaction Log'!$A:$A,"R",'Checking Transaction Log'!$B:$B,28)</f>
        <v>0</v>
      </c>
      <c r="X36" s="236">
        <f t="shared" si="44"/>
        <v>25</v>
      </c>
      <c r="Y36" s="276">
        <f>SUMIFS('Checking Transaction Log'!$E:$E,'Checking Transaction Log'!$C:$C,"&gt;="&amp;Y1,'Checking Transaction Log'!$C:$C,"&lt;="&amp;Z1,'Checking Transaction Log'!$A:$A,"R",'Checking Transaction Log'!$B:$B,28)</f>
        <v>0</v>
      </c>
      <c r="Z36" s="276">
        <f t="shared" si="45"/>
        <v>25</v>
      </c>
      <c r="AA36" s="278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78">
        <f t="shared" si="46"/>
        <v>25</v>
      </c>
      <c r="AC36" s="280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80">
        <f t="shared" si="47"/>
        <v>25</v>
      </c>
      <c r="AE36" s="282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82">
        <f t="shared" si="48"/>
        <v>25</v>
      </c>
    </row>
    <row r="37" spans="1:32" ht="11.25" customHeight="1" x14ac:dyDescent="0.3">
      <c r="A37" s="284" t="str">
        <f>'Proposed Budget'!A37</f>
        <v>R</v>
      </c>
      <c r="B37" s="255">
        <f>'Proposed Budget'!B37</f>
        <v>29</v>
      </c>
      <c r="C37" s="287" t="str">
        <f>'Proposed Budget'!C37</f>
        <v>Sanitation - Main</v>
      </c>
      <c r="D37" s="288">
        <f t="shared" ca="1" si="33"/>
        <v>45.63</v>
      </c>
      <c r="E37" s="289">
        <f t="shared" si="34"/>
        <v>270</v>
      </c>
      <c r="F37" s="289">
        <f t="shared" si="35"/>
        <v>0</v>
      </c>
      <c r="G37" s="269">
        <f t="shared" si="36"/>
        <v>0</v>
      </c>
      <c r="H37" s="289">
        <f>'Proposed Budget'!D37</f>
        <v>45</v>
      </c>
      <c r="I37" s="270">
        <f>SUMIFS('Checking Transaction Log'!E:E,'Checking Transaction Log'!C:C,"&gt;="&amp;I1,'Checking Transaction Log'!C:C,"&lt;="&amp;J1,'Checking Transaction Log'!A:A,"R",'Checking Transaction Log'!B:B,29)</f>
        <v>45</v>
      </c>
      <c r="J37" s="270">
        <f t="shared" si="37"/>
        <v>0</v>
      </c>
      <c r="K37" s="232">
        <f>SUMIFS('Checking Transaction Log'!$E:$E,'Checking Transaction Log'!$C:$C,"&gt;="&amp;K1,'Checking Transaction Log'!$C:$C,"&lt;="&amp;L1,'Checking Transaction Log'!$A:$A,"R",'Checking Transaction Log'!$B:$B,29)</f>
        <v>45</v>
      </c>
      <c r="L37" s="232">
        <f t="shared" si="38"/>
        <v>0</v>
      </c>
      <c r="M37" s="273">
        <f>SUMIFS('Checking Transaction Log'!$E:$E,'Checking Transaction Log'!$C:$C,"&gt;="&amp;M1,'Checking Transaction Log'!$C:$C,"&lt;="&amp;N1,'Checking Transaction Log'!$A:$A,"R",'Checking Transaction Log'!$B:$B,29)</f>
        <v>45</v>
      </c>
      <c r="N37" s="273">
        <f t="shared" si="39"/>
        <v>0</v>
      </c>
      <c r="O37" s="236">
        <f>SUMIFS('Checking Transaction Log'!$E:$E,'Checking Transaction Log'!$C:$C,"&gt;="&amp;O1,'Checking Transaction Log'!$C:$C,"&lt;="&amp;P1,'Checking Transaction Log'!$A:$A,"R",'Checking Transaction Log'!$B:$B,29)</f>
        <v>45</v>
      </c>
      <c r="P37" s="236">
        <f t="shared" si="40"/>
        <v>0</v>
      </c>
      <c r="Q37" s="270">
        <f>SUMIFS('Checking Transaction Log'!$E:$E,'Checking Transaction Log'!$C:$C,"&gt;="&amp;Q1,'Checking Transaction Log'!$C:$C,"&lt;="&amp;R1,'Checking Transaction Log'!$A:$A,"R",'Checking Transaction Log'!$B:$B,29)</f>
        <v>45</v>
      </c>
      <c r="R37" s="270">
        <f t="shared" si="41"/>
        <v>0</v>
      </c>
      <c r="S37" s="232">
        <f>SUMIFS('Checking Transaction Log'!$E:$E,'Checking Transaction Log'!$C:$C,"&gt;="&amp;S1,'Checking Transaction Log'!$C:$C,"&lt;="&amp;T1,'Checking Transaction Log'!$A:$A,"R",'Checking Transaction Log'!$B:$B,29)</f>
        <v>45</v>
      </c>
      <c r="T37" s="232">
        <f t="shared" si="42"/>
        <v>0</v>
      </c>
      <c r="U37" s="273">
        <f>SUMIFS('Checking Transaction Log'!$E:$E,'Checking Transaction Log'!$C:$C,"&gt;="&amp;U1,'Checking Transaction Log'!$C:$C,"&lt;="&amp;V1,'Checking Transaction Log'!$A:$A,"R",'Checking Transaction Log'!$B:$B,29)</f>
        <v>0</v>
      </c>
      <c r="V37" s="273">
        <f t="shared" si="43"/>
        <v>45</v>
      </c>
      <c r="W37" s="236">
        <f>SUMIFS('Checking Transaction Log'!$E:$E,'Checking Transaction Log'!$C:$C,"&gt;="&amp;W1,'Checking Transaction Log'!$C:$C,"&lt;="&amp;X1,'Checking Transaction Log'!$A:$A,"R",'Checking Transaction Log'!$B:$B,29)</f>
        <v>0</v>
      </c>
      <c r="X37" s="236">
        <f t="shared" si="44"/>
        <v>45</v>
      </c>
      <c r="Y37" s="276">
        <f>SUMIFS('Checking Transaction Log'!$E:$E,'Checking Transaction Log'!$C:$C,"&gt;="&amp;Y1,'Checking Transaction Log'!$C:$C,"&lt;="&amp;Z1,'Checking Transaction Log'!$A:$A,"R",'Checking Transaction Log'!$B:$B,29)</f>
        <v>0</v>
      </c>
      <c r="Z37" s="276">
        <f t="shared" si="45"/>
        <v>45</v>
      </c>
      <c r="AA37" s="278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78">
        <f t="shared" si="46"/>
        <v>45</v>
      </c>
      <c r="AC37" s="280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80">
        <f t="shared" si="47"/>
        <v>45</v>
      </c>
      <c r="AE37" s="282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82">
        <f t="shared" si="48"/>
        <v>45</v>
      </c>
    </row>
    <row r="38" spans="1:32" ht="11.25" customHeight="1" x14ac:dyDescent="0.3">
      <c r="A38" s="284" t="str">
        <f>'Proposed Budget'!A38</f>
        <v>R</v>
      </c>
      <c r="B38" s="255">
        <f>'Proposed Budget'!B38</f>
        <v>30</v>
      </c>
      <c r="C38" s="287" t="str">
        <f>'Proposed Budget'!C38</f>
        <v>Camping/Vacation</v>
      </c>
      <c r="D38" s="288">
        <f t="shared" ca="1" si="33"/>
        <v>405.6</v>
      </c>
      <c r="E38" s="289">
        <f t="shared" si="34"/>
        <v>2400</v>
      </c>
      <c r="F38" s="289">
        <f t="shared" si="35"/>
        <v>0</v>
      </c>
      <c r="G38" s="269">
        <f t="shared" si="36"/>
        <v>0</v>
      </c>
      <c r="H38" s="289">
        <f>'Proposed Budget'!D38</f>
        <v>400</v>
      </c>
      <c r="I38" s="270">
        <f>SUMIFS('Checking Transaction Log'!E:E,'Checking Transaction Log'!C:C,"&gt;="&amp;I1,'Checking Transaction Log'!C:C,"&lt;="&amp;J1,'Checking Transaction Log'!A:A,"R",'Checking Transaction Log'!B:B,30)</f>
        <v>400</v>
      </c>
      <c r="J38" s="270">
        <f t="shared" si="37"/>
        <v>0</v>
      </c>
      <c r="K38" s="232">
        <f>SUMIFS('Checking Transaction Log'!$E:$E,'Checking Transaction Log'!$C:$C,"&gt;="&amp;K1,'Checking Transaction Log'!$C:$C,"&lt;="&amp;L1,'Checking Transaction Log'!$A:$A,"R",'Checking Transaction Log'!$B:$B,30)</f>
        <v>400</v>
      </c>
      <c r="L38" s="232">
        <f t="shared" si="38"/>
        <v>0</v>
      </c>
      <c r="M38" s="273">
        <f>SUMIFS('Checking Transaction Log'!$E:$E,'Checking Transaction Log'!$C:$C,"&gt;="&amp;M1,'Checking Transaction Log'!$C:$C,"&lt;="&amp;N1,'Checking Transaction Log'!$A:$A,"R",'Checking Transaction Log'!$B:$B,30)</f>
        <v>400</v>
      </c>
      <c r="N38" s="273">
        <f t="shared" si="39"/>
        <v>0</v>
      </c>
      <c r="O38" s="236">
        <f>SUMIFS('Checking Transaction Log'!$E:$E,'Checking Transaction Log'!$C:$C,"&gt;="&amp;O1,'Checking Transaction Log'!$C:$C,"&lt;="&amp;P1,'Checking Transaction Log'!$A:$A,"R",'Checking Transaction Log'!$B:$B,30)</f>
        <v>400</v>
      </c>
      <c r="P38" s="236">
        <f t="shared" si="40"/>
        <v>0</v>
      </c>
      <c r="Q38" s="270">
        <f>SUMIFS('Checking Transaction Log'!$E:$E,'Checking Transaction Log'!$C:$C,"&gt;="&amp;Q1,'Checking Transaction Log'!$C:$C,"&lt;="&amp;R1,'Checking Transaction Log'!$A:$A,"R",'Checking Transaction Log'!$B:$B,30)</f>
        <v>400</v>
      </c>
      <c r="R38" s="270">
        <f t="shared" si="41"/>
        <v>0</v>
      </c>
      <c r="S38" s="232">
        <f>SUMIFS('Checking Transaction Log'!$E:$E,'Checking Transaction Log'!$C:$C,"&gt;="&amp;S1,'Checking Transaction Log'!$C:$C,"&lt;="&amp;T1,'Checking Transaction Log'!$A:$A,"R",'Checking Transaction Log'!$B:$B,30)</f>
        <v>400</v>
      </c>
      <c r="T38" s="232">
        <f t="shared" si="42"/>
        <v>0</v>
      </c>
      <c r="U38" s="273">
        <f>SUMIFS('Checking Transaction Log'!$E:$E,'Checking Transaction Log'!$C:$C,"&gt;="&amp;U1,'Checking Transaction Log'!$C:$C,"&lt;="&amp;V1,'Checking Transaction Log'!$A:$A,"R",'Checking Transaction Log'!$B:$B,30)</f>
        <v>0</v>
      </c>
      <c r="V38" s="273">
        <f t="shared" si="43"/>
        <v>400</v>
      </c>
      <c r="W38" s="236">
        <f>SUMIFS('Checking Transaction Log'!$E:$E,'Checking Transaction Log'!$C:$C,"&gt;="&amp;W1,'Checking Transaction Log'!$C:$C,"&lt;="&amp;X1,'Checking Transaction Log'!$A:$A,"R",'Checking Transaction Log'!$B:$B,30)</f>
        <v>0</v>
      </c>
      <c r="X38" s="236">
        <f t="shared" si="44"/>
        <v>400</v>
      </c>
      <c r="Y38" s="276">
        <f>SUMIFS('Checking Transaction Log'!$E:$E,'Checking Transaction Log'!$C:$C,"&gt;="&amp;Y1,'Checking Transaction Log'!$C:$C,"&lt;="&amp;Z1,'Checking Transaction Log'!$A:$A,"R",'Checking Transaction Log'!$B:$B,30)</f>
        <v>0</v>
      </c>
      <c r="Z38" s="276">
        <f t="shared" si="45"/>
        <v>400</v>
      </c>
      <c r="AA38" s="278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78">
        <f t="shared" si="46"/>
        <v>400</v>
      </c>
      <c r="AC38" s="280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80">
        <f t="shared" si="47"/>
        <v>400</v>
      </c>
      <c r="AE38" s="282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82">
        <f t="shared" si="48"/>
        <v>400</v>
      </c>
    </row>
    <row r="39" spans="1:32" ht="11.25" customHeight="1" x14ac:dyDescent="0.3">
      <c r="A39" s="284" t="str">
        <f>'Proposed Budget'!A39</f>
        <v>R</v>
      </c>
      <c r="B39" s="255">
        <f>'Proposed Budget'!B39</f>
        <v>31</v>
      </c>
      <c r="C39" s="287" t="str">
        <f>'Proposed Budget'!C39</f>
        <v>Home Maintenance</v>
      </c>
      <c r="D39" s="288">
        <f t="shared" ca="1" si="33"/>
        <v>380.25</v>
      </c>
      <c r="E39" s="289">
        <f t="shared" si="34"/>
        <v>2250</v>
      </c>
      <c r="F39" s="289">
        <f t="shared" si="35"/>
        <v>0</v>
      </c>
      <c r="G39" s="269">
        <f t="shared" si="36"/>
        <v>0</v>
      </c>
      <c r="H39" s="289">
        <f>'Proposed Budget'!D39</f>
        <v>375</v>
      </c>
      <c r="I39" s="270">
        <f>SUMIFS('Checking Transaction Log'!E:E,'Checking Transaction Log'!C:C,"&gt;="&amp;I1,'Checking Transaction Log'!C:C,"&lt;="&amp;J1,'Checking Transaction Log'!A:A,"R",'Checking Transaction Log'!B:B,31)</f>
        <v>375</v>
      </c>
      <c r="J39" s="270">
        <f t="shared" si="37"/>
        <v>0</v>
      </c>
      <c r="K39" s="232">
        <f>SUMIFS('Checking Transaction Log'!$E:$E,'Checking Transaction Log'!$C:$C,"&gt;="&amp;K1,'Checking Transaction Log'!$C:$C,"&lt;="&amp;L1,'Checking Transaction Log'!$A:$A,"R",'Checking Transaction Log'!$B:$B,31)</f>
        <v>375</v>
      </c>
      <c r="L39" s="232">
        <f t="shared" si="38"/>
        <v>0</v>
      </c>
      <c r="M39" s="273">
        <f>SUMIFS('Checking Transaction Log'!$E:$E,'Checking Transaction Log'!$C:$C,"&gt;="&amp;M1,'Checking Transaction Log'!$C:$C,"&lt;="&amp;N1,'Checking Transaction Log'!$A:$A,"R",'Checking Transaction Log'!$B:$B,31)</f>
        <v>375</v>
      </c>
      <c r="N39" s="273">
        <f t="shared" si="39"/>
        <v>0</v>
      </c>
      <c r="O39" s="236">
        <f>SUMIFS('Checking Transaction Log'!$E:$E,'Checking Transaction Log'!$C:$C,"&gt;="&amp;O1,'Checking Transaction Log'!$C:$C,"&lt;="&amp;P1,'Checking Transaction Log'!$A:$A,"R",'Checking Transaction Log'!$B:$B,31)</f>
        <v>375</v>
      </c>
      <c r="P39" s="236">
        <f t="shared" si="40"/>
        <v>0</v>
      </c>
      <c r="Q39" s="270">
        <f>SUMIFS('Checking Transaction Log'!$E:$E,'Checking Transaction Log'!$C:$C,"&gt;="&amp;Q1,'Checking Transaction Log'!$C:$C,"&lt;="&amp;R1,'Checking Transaction Log'!$A:$A,"R",'Checking Transaction Log'!$B:$B,31)</f>
        <v>375</v>
      </c>
      <c r="R39" s="270">
        <f t="shared" si="41"/>
        <v>0</v>
      </c>
      <c r="S39" s="232">
        <f>SUMIFS('Checking Transaction Log'!$E:$E,'Checking Transaction Log'!$C:$C,"&gt;="&amp;S1,'Checking Transaction Log'!$C:$C,"&lt;="&amp;T1,'Checking Transaction Log'!$A:$A,"R",'Checking Transaction Log'!$B:$B,31)</f>
        <v>375</v>
      </c>
      <c r="T39" s="232">
        <f t="shared" si="42"/>
        <v>0</v>
      </c>
      <c r="U39" s="273">
        <f>SUMIFS('Checking Transaction Log'!$E:$E,'Checking Transaction Log'!$C:$C,"&gt;="&amp;U1,'Checking Transaction Log'!$C:$C,"&lt;="&amp;V1,'Checking Transaction Log'!$A:$A,"R",'Checking Transaction Log'!$B:$B,31)</f>
        <v>0</v>
      </c>
      <c r="V39" s="273">
        <f t="shared" si="43"/>
        <v>375</v>
      </c>
      <c r="W39" s="236">
        <f>SUMIFS('Checking Transaction Log'!$E:$E,'Checking Transaction Log'!$C:$C,"&gt;="&amp;W1,'Checking Transaction Log'!$C:$C,"&lt;="&amp;X1,'Checking Transaction Log'!$A:$A,"R",'Checking Transaction Log'!$B:$B,31)</f>
        <v>0</v>
      </c>
      <c r="X39" s="236">
        <f t="shared" si="44"/>
        <v>375</v>
      </c>
      <c r="Y39" s="276">
        <f>SUMIFS('Checking Transaction Log'!$E:$E,'Checking Transaction Log'!$C:$C,"&gt;="&amp;Y1,'Checking Transaction Log'!$C:$C,"&lt;="&amp;Z1,'Checking Transaction Log'!$A:$A,"R",'Checking Transaction Log'!$B:$B,31)</f>
        <v>0</v>
      </c>
      <c r="Z39" s="276">
        <f t="shared" si="45"/>
        <v>375</v>
      </c>
      <c r="AA39" s="278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78">
        <f t="shared" si="46"/>
        <v>375</v>
      </c>
      <c r="AC39" s="280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80">
        <f t="shared" si="47"/>
        <v>375</v>
      </c>
      <c r="AE39" s="282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82">
        <f t="shared" si="48"/>
        <v>375</v>
      </c>
    </row>
    <row r="40" spans="1:32" ht="11.25" customHeight="1" x14ac:dyDescent="0.3">
      <c r="A40" s="284" t="str">
        <f>'Proposed Budget'!A40</f>
        <v>R</v>
      </c>
      <c r="B40" s="255">
        <f>'Proposed Budget'!B40</f>
        <v>32</v>
      </c>
      <c r="C40" s="287" t="str">
        <f>'Proposed Budget'!C40</f>
        <v>Rental Repairs</v>
      </c>
      <c r="D40" s="288">
        <f t="shared" ca="1" si="33"/>
        <v>101.4</v>
      </c>
      <c r="E40" s="289">
        <f t="shared" si="34"/>
        <v>600</v>
      </c>
      <c r="F40" s="289">
        <f t="shared" si="35"/>
        <v>0</v>
      </c>
      <c r="G40" s="269">
        <f t="shared" si="36"/>
        <v>0</v>
      </c>
      <c r="H40" s="289">
        <f>'Proposed Budget'!D40</f>
        <v>100</v>
      </c>
      <c r="I40" s="270">
        <f>SUMIFS('Checking Transaction Log'!E:E,'Checking Transaction Log'!C:C,"&gt;="&amp;I1,'Checking Transaction Log'!C:C,"&lt;="&amp;J1,'Checking Transaction Log'!A:A,"R",'Checking Transaction Log'!B:B,32)</f>
        <v>100</v>
      </c>
      <c r="J40" s="270">
        <f t="shared" si="37"/>
        <v>0</v>
      </c>
      <c r="K40" s="232">
        <f>SUMIFS('Checking Transaction Log'!$E:$E,'Checking Transaction Log'!$C:$C,"&gt;="&amp;K1,'Checking Transaction Log'!$C:$C,"&lt;="&amp;L1,'Checking Transaction Log'!$A:$A,"R",'Checking Transaction Log'!$B:$B,32)</f>
        <v>100</v>
      </c>
      <c r="L40" s="232">
        <f t="shared" si="38"/>
        <v>0</v>
      </c>
      <c r="M40" s="273">
        <f>SUMIFS('Checking Transaction Log'!$E:$E,'Checking Transaction Log'!$C:$C,"&gt;="&amp;M1,'Checking Transaction Log'!$C:$C,"&lt;="&amp;N1,'Checking Transaction Log'!$A:$A,"R",'Checking Transaction Log'!$B:$B,32)</f>
        <v>100</v>
      </c>
      <c r="N40" s="273">
        <f t="shared" si="39"/>
        <v>0</v>
      </c>
      <c r="O40" s="236">
        <f>SUMIFS('Checking Transaction Log'!$E:$E,'Checking Transaction Log'!$C:$C,"&gt;="&amp;O1,'Checking Transaction Log'!$C:$C,"&lt;="&amp;P1,'Checking Transaction Log'!$A:$A,"R",'Checking Transaction Log'!$B:$B,32)</f>
        <v>100</v>
      </c>
      <c r="P40" s="236">
        <f t="shared" si="40"/>
        <v>0</v>
      </c>
      <c r="Q40" s="270">
        <f>SUMIFS('Checking Transaction Log'!$E:$E,'Checking Transaction Log'!$C:$C,"&gt;="&amp;Q1,'Checking Transaction Log'!$C:$C,"&lt;="&amp;R1,'Checking Transaction Log'!$A:$A,"R",'Checking Transaction Log'!$B:$B,32)</f>
        <v>100</v>
      </c>
      <c r="R40" s="270">
        <f t="shared" si="41"/>
        <v>0</v>
      </c>
      <c r="S40" s="232">
        <f>SUMIFS('Checking Transaction Log'!$E:$E,'Checking Transaction Log'!$C:$C,"&gt;="&amp;S1,'Checking Transaction Log'!$C:$C,"&lt;="&amp;T1,'Checking Transaction Log'!$A:$A,"R",'Checking Transaction Log'!$B:$B,32)</f>
        <v>100</v>
      </c>
      <c r="T40" s="232">
        <f t="shared" si="42"/>
        <v>0</v>
      </c>
      <c r="U40" s="273">
        <f>SUMIFS('Checking Transaction Log'!$E:$E,'Checking Transaction Log'!$C:$C,"&gt;="&amp;U1,'Checking Transaction Log'!$C:$C,"&lt;="&amp;V1,'Checking Transaction Log'!$A:$A,"R",'Checking Transaction Log'!$B:$B,32)</f>
        <v>0</v>
      </c>
      <c r="V40" s="273">
        <f t="shared" si="43"/>
        <v>100</v>
      </c>
      <c r="W40" s="236">
        <f>SUMIFS('Checking Transaction Log'!$E:$E,'Checking Transaction Log'!$C:$C,"&gt;="&amp;W1,'Checking Transaction Log'!$C:$C,"&lt;="&amp;X1,'Checking Transaction Log'!$A:$A,"R",'Checking Transaction Log'!$B:$B,32)</f>
        <v>0</v>
      </c>
      <c r="X40" s="236">
        <f t="shared" si="44"/>
        <v>100</v>
      </c>
      <c r="Y40" s="276">
        <f>SUMIFS('Checking Transaction Log'!$E:$E,'Checking Transaction Log'!$C:$C,"&gt;="&amp;Y1,'Checking Transaction Log'!$C:$C,"&lt;="&amp;Z1,'Checking Transaction Log'!$A:$A,"R",'Checking Transaction Log'!$B:$B,32)</f>
        <v>0</v>
      </c>
      <c r="Z40" s="276">
        <f t="shared" si="45"/>
        <v>100</v>
      </c>
      <c r="AA40" s="278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78">
        <f t="shared" si="46"/>
        <v>100</v>
      </c>
      <c r="AC40" s="280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80">
        <f t="shared" si="47"/>
        <v>100</v>
      </c>
      <c r="AE40" s="282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82">
        <f t="shared" si="48"/>
        <v>100</v>
      </c>
    </row>
    <row r="41" spans="1:32" ht="11.25" customHeight="1" x14ac:dyDescent="0.3">
      <c r="A41" s="284" t="str">
        <f>'Proposed Budget'!A41</f>
        <v>R</v>
      </c>
      <c r="B41" s="255">
        <f>'Proposed Budget'!B41</f>
        <v>33</v>
      </c>
      <c r="C41" s="287" t="str">
        <f>'Proposed Budget'!C41</f>
        <v>Rental Insurance</v>
      </c>
      <c r="D41" s="288">
        <f t="shared" ca="1" si="33"/>
        <v>86.190000000000012</v>
      </c>
      <c r="E41" s="289">
        <f t="shared" si="34"/>
        <v>510</v>
      </c>
      <c r="F41" s="289">
        <f t="shared" si="35"/>
        <v>0</v>
      </c>
      <c r="G41" s="269">
        <f t="shared" si="36"/>
        <v>0</v>
      </c>
      <c r="H41" s="289">
        <f>'Proposed Budget'!D41</f>
        <v>85</v>
      </c>
      <c r="I41" s="270">
        <f>SUMIFS('Checking Transaction Log'!E:E,'Checking Transaction Log'!C:C,"&gt;="&amp;I1,'Checking Transaction Log'!C:C,"&lt;="&amp;J1,'Checking Transaction Log'!A:A,"R",'Checking Transaction Log'!B:B,33)</f>
        <v>85</v>
      </c>
      <c r="J41" s="270">
        <f t="shared" si="37"/>
        <v>0</v>
      </c>
      <c r="K41" s="232">
        <f>SUMIFS('Checking Transaction Log'!$E:$E,'Checking Transaction Log'!$C:$C,"&gt;="&amp;K1,'Checking Transaction Log'!$C:$C,"&lt;="&amp;L1,'Checking Transaction Log'!$A:$A,"R",'Checking Transaction Log'!$B:$B,33)</f>
        <v>85</v>
      </c>
      <c r="L41" s="232">
        <f t="shared" si="38"/>
        <v>0</v>
      </c>
      <c r="M41" s="273">
        <f>SUMIFS('Checking Transaction Log'!$E:$E,'Checking Transaction Log'!$C:$C,"&gt;="&amp;M1,'Checking Transaction Log'!$C:$C,"&lt;="&amp;N1,'Checking Transaction Log'!$A:$A,"R",'Checking Transaction Log'!$B:$B,33)</f>
        <v>85</v>
      </c>
      <c r="N41" s="273">
        <f t="shared" si="39"/>
        <v>0</v>
      </c>
      <c r="O41" s="236">
        <f>SUMIFS('Checking Transaction Log'!$E:$E,'Checking Transaction Log'!$C:$C,"&gt;="&amp;O1,'Checking Transaction Log'!$C:$C,"&lt;="&amp;P1,'Checking Transaction Log'!$A:$A,"R",'Checking Transaction Log'!$B:$B,33)</f>
        <v>85</v>
      </c>
      <c r="P41" s="236">
        <f t="shared" si="40"/>
        <v>0</v>
      </c>
      <c r="Q41" s="270">
        <f>SUMIFS('Checking Transaction Log'!$E:$E,'Checking Transaction Log'!$C:$C,"&gt;="&amp;Q1,'Checking Transaction Log'!$C:$C,"&lt;="&amp;R1,'Checking Transaction Log'!$A:$A,"R",'Checking Transaction Log'!$B:$B,33)</f>
        <v>85</v>
      </c>
      <c r="R41" s="270">
        <f t="shared" si="41"/>
        <v>0</v>
      </c>
      <c r="S41" s="232">
        <f>SUMIFS('Checking Transaction Log'!$E:$E,'Checking Transaction Log'!$C:$C,"&gt;="&amp;S1,'Checking Transaction Log'!$C:$C,"&lt;="&amp;T1,'Checking Transaction Log'!$A:$A,"R",'Checking Transaction Log'!$B:$B,33)</f>
        <v>85</v>
      </c>
      <c r="T41" s="232">
        <f t="shared" si="42"/>
        <v>0</v>
      </c>
      <c r="U41" s="273">
        <f>SUMIFS('Checking Transaction Log'!$E:$E,'Checking Transaction Log'!$C:$C,"&gt;="&amp;U1,'Checking Transaction Log'!$C:$C,"&lt;="&amp;V1,'Checking Transaction Log'!$A:$A,"R",'Checking Transaction Log'!$B:$B,33)</f>
        <v>0</v>
      </c>
      <c r="V41" s="273">
        <f t="shared" si="43"/>
        <v>85</v>
      </c>
      <c r="W41" s="236">
        <f>SUMIFS('Checking Transaction Log'!$E:$E,'Checking Transaction Log'!$C:$C,"&gt;="&amp;W1,'Checking Transaction Log'!$C:$C,"&lt;="&amp;X1,'Checking Transaction Log'!$A:$A,"R",'Checking Transaction Log'!$B:$B,33)</f>
        <v>0</v>
      </c>
      <c r="X41" s="236">
        <f t="shared" si="44"/>
        <v>85</v>
      </c>
      <c r="Y41" s="276">
        <f>SUMIFS('Checking Transaction Log'!$E:$E,'Checking Transaction Log'!$C:$C,"&gt;="&amp;Y1,'Checking Transaction Log'!$C:$C,"&lt;="&amp;Z1,'Checking Transaction Log'!$A:$A,"R",'Checking Transaction Log'!$B:$B,33)</f>
        <v>0</v>
      </c>
      <c r="Z41" s="276">
        <f t="shared" si="45"/>
        <v>85</v>
      </c>
      <c r="AA41" s="278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78">
        <f t="shared" si="46"/>
        <v>85</v>
      </c>
      <c r="AC41" s="280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80">
        <f t="shared" si="47"/>
        <v>85</v>
      </c>
      <c r="AE41" s="282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82">
        <f t="shared" si="48"/>
        <v>85</v>
      </c>
    </row>
    <row r="42" spans="1:32" ht="11.25" customHeight="1" x14ac:dyDescent="0.3">
      <c r="A42" s="284" t="str">
        <f>'Proposed Budget'!A42</f>
        <v>R</v>
      </c>
      <c r="B42" s="255">
        <f>'Proposed Budget'!B42</f>
        <v>34</v>
      </c>
      <c r="C42" s="287" t="str">
        <f>'Proposed Budget'!C42</f>
        <v>Rental Property Taxes</v>
      </c>
      <c r="D42" s="288">
        <f t="shared" ca="1" si="33"/>
        <v>233.22000000000003</v>
      </c>
      <c r="E42" s="289">
        <f t="shared" si="34"/>
        <v>1380</v>
      </c>
      <c r="F42" s="289">
        <f t="shared" si="35"/>
        <v>0</v>
      </c>
      <c r="G42" s="269">
        <f t="shared" si="36"/>
        <v>0</v>
      </c>
      <c r="H42" s="289">
        <f>'Proposed Budget'!D42</f>
        <v>230</v>
      </c>
      <c r="I42" s="270">
        <f>SUMIFS('Checking Transaction Log'!E:E,'Checking Transaction Log'!C:C,"&gt;="&amp;I1,'Checking Transaction Log'!C:C,"&lt;="&amp;J1,'Checking Transaction Log'!A:A,"R",'Checking Transaction Log'!B:B,34)</f>
        <v>230</v>
      </c>
      <c r="J42" s="270">
        <f t="shared" si="37"/>
        <v>0</v>
      </c>
      <c r="K42" s="232">
        <f>SUMIFS('Checking Transaction Log'!$E:$E,'Checking Transaction Log'!$C:$C,"&gt;="&amp;K1,'Checking Transaction Log'!$C:$C,"&lt;="&amp;L1,'Checking Transaction Log'!$A:$A,"R",'Checking Transaction Log'!$B:$B,34)</f>
        <v>230</v>
      </c>
      <c r="L42" s="232">
        <f t="shared" si="38"/>
        <v>0</v>
      </c>
      <c r="M42" s="273">
        <f>SUMIFS('Checking Transaction Log'!$E:$E,'Checking Transaction Log'!$C:$C,"&gt;="&amp;M1,'Checking Transaction Log'!$C:$C,"&lt;="&amp;N1,'Checking Transaction Log'!$A:$A,"R",'Checking Transaction Log'!$B:$B,34)</f>
        <v>230</v>
      </c>
      <c r="N42" s="273">
        <f t="shared" si="39"/>
        <v>0</v>
      </c>
      <c r="O42" s="236">
        <f>SUMIFS('Checking Transaction Log'!$E:$E,'Checking Transaction Log'!$C:$C,"&gt;="&amp;O1,'Checking Transaction Log'!$C:$C,"&lt;="&amp;P1,'Checking Transaction Log'!$A:$A,"R",'Checking Transaction Log'!$B:$B,34)</f>
        <v>230</v>
      </c>
      <c r="P42" s="236">
        <f t="shared" si="40"/>
        <v>0</v>
      </c>
      <c r="Q42" s="270">
        <f>SUMIFS('Checking Transaction Log'!$E:$E,'Checking Transaction Log'!$C:$C,"&gt;="&amp;Q1,'Checking Transaction Log'!$C:$C,"&lt;="&amp;R1,'Checking Transaction Log'!$A:$A,"R",'Checking Transaction Log'!$B:$B,34)</f>
        <v>230</v>
      </c>
      <c r="R42" s="270">
        <f t="shared" si="41"/>
        <v>0</v>
      </c>
      <c r="S42" s="232">
        <f>SUMIFS('Checking Transaction Log'!$E:$E,'Checking Transaction Log'!$C:$C,"&gt;="&amp;S1,'Checking Transaction Log'!$C:$C,"&lt;="&amp;T1,'Checking Transaction Log'!$A:$A,"R",'Checking Transaction Log'!$B:$B,34)</f>
        <v>230</v>
      </c>
      <c r="T42" s="232">
        <f t="shared" si="42"/>
        <v>0</v>
      </c>
      <c r="U42" s="273">
        <f>SUMIFS('Checking Transaction Log'!$E:$E,'Checking Transaction Log'!$C:$C,"&gt;="&amp;U1,'Checking Transaction Log'!$C:$C,"&lt;="&amp;V1,'Checking Transaction Log'!$A:$A,"R",'Checking Transaction Log'!$B:$B,34)</f>
        <v>0</v>
      </c>
      <c r="V42" s="273">
        <f t="shared" si="43"/>
        <v>230</v>
      </c>
      <c r="W42" s="236">
        <f>SUMIFS('Checking Transaction Log'!$E:$E,'Checking Transaction Log'!$C:$C,"&gt;="&amp;W1,'Checking Transaction Log'!$C:$C,"&lt;="&amp;X1,'Checking Transaction Log'!$A:$A,"R",'Checking Transaction Log'!$B:$B,34)</f>
        <v>0</v>
      </c>
      <c r="X42" s="236">
        <f t="shared" si="44"/>
        <v>230</v>
      </c>
      <c r="Y42" s="276">
        <f>SUMIFS('Checking Transaction Log'!$E:$E,'Checking Transaction Log'!$C:$C,"&gt;="&amp;Y1,'Checking Transaction Log'!$C:$C,"&lt;="&amp;Z1,'Checking Transaction Log'!$A:$A,"R",'Checking Transaction Log'!$B:$B,34)</f>
        <v>0</v>
      </c>
      <c r="Z42" s="276">
        <f t="shared" si="45"/>
        <v>230</v>
      </c>
      <c r="AA42" s="278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78">
        <f t="shared" si="46"/>
        <v>230</v>
      </c>
      <c r="AC42" s="280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80">
        <f t="shared" si="47"/>
        <v>230</v>
      </c>
      <c r="AE42" s="282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82">
        <f t="shared" si="48"/>
        <v>230</v>
      </c>
    </row>
    <row r="43" spans="1:32" ht="11.25" customHeight="1" x14ac:dyDescent="0.3">
      <c r="A43" s="284" t="str">
        <f>'Proposed Budget'!A43</f>
        <v>R</v>
      </c>
      <c r="B43" s="255">
        <f>'Proposed Budget'!B43</f>
        <v>35</v>
      </c>
      <c r="C43" s="287" t="str">
        <f>'Proposed Budget'!C43</f>
        <v>Rental Sanitation</v>
      </c>
      <c r="D43" s="288">
        <f t="shared" ca="1" si="33"/>
        <v>45.63</v>
      </c>
      <c r="E43" s="289">
        <f t="shared" si="34"/>
        <v>270</v>
      </c>
      <c r="F43" s="289">
        <f t="shared" si="35"/>
        <v>0</v>
      </c>
      <c r="G43" s="269">
        <f t="shared" si="36"/>
        <v>0</v>
      </c>
      <c r="H43" s="289">
        <f>'Proposed Budget'!D43</f>
        <v>45</v>
      </c>
      <c r="I43" s="270">
        <f>SUMIFS('Checking Transaction Log'!E:E,'Checking Transaction Log'!C:C,"&gt;="&amp;I1,'Checking Transaction Log'!C:C,"&lt;="&amp;J1,'Checking Transaction Log'!A:A,"R",'Checking Transaction Log'!B:B,35)</f>
        <v>45</v>
      </c>
      <c r="J43" s="270">
        <f t="shared" si="37"/>
        <v>0</v>
      </c>
      <c r="K43" s="232">
        <f>SUMIFS('Checking Transaction Log'!$E:$E,'Checking Transaction Log'!$C:$C,"&gt;="&amp;K1,'Checking Transaction Log'!$C:$C,"&lt;="&amp;L1,'Checking Transaction Log'!$A:$A,"R",'Checking Transaction Log'!$B:$B,35)</f>
        <v>45</v>
      </c>
      <c r="L43" s="232">
        <f t="shared" si="38"/>
        <v>0</v>
      </c>
      <c r="M43" s="273">
        <f>SUMIFS('Checking Transaction Log'!$E:$E,'Checking Transaction Log'!$C:$C,"&gt;="&amp;M1,'Checking Transaction Log'!$C:$C,"&lt;="&amp;N1,'Checking Transaction Log'!$A:$A,"R",'Checking Transaction Log'!$B:$B,35)</f>
        <v>45</v>
      </c>
      <c r="N43" s="273">
        <f t="shared" si="39"/>
        <v>0</v>
      </c>
      <c r="O43" s="236">
        <f>SUMIFS('Checking Transaction Log'!$E:$E,'Checking Transaction Log'!$C:$C,"&gt;="&amp;O1,'Checking Transaction Log'!$C:$C,"&lt;="&amp;P1,'Checking Transaction Log'!$A:$A,"R",'Checking Transaction Log'!$B:$B,35)</f>
        <v>45</v>
      </c>
      <c r="P43" s="236">
        <f t="shared" si="40"/>
        <v>0</v>
      </c>
      <c r="Q43" s="270">
        <f>SUMIFS('Checking Transaction Log'!$E:$E,'Checking Transaction Log'!$C:$C,"&gt;="&amp;Q1,'Checking Transaction Log'!$C:$C,"&lt;="&amp;R1,'Checking Transaction Log'!$A:$A,"R",'Checking Transaction Log'!$B:$B,35)</f>
        <v>45</v>
      </c>
      <c r="R43" s="270">
        <f t="shared" si="41"/>
        <v>0</v>
      </c>
      <c r="S43" s="232">
        <f>SUMIFS('Checking Transaction Log'!$E:$E,'Checking Transaction Log'!$C:$C,"&gt;="&amp;S1,'Checking Transaction Log'!$C:$C,"&lt;="&amp;T1,'Checking Transaction Log'!$A:$A,"R",'Checking Transaction Log'!$B:$B,35)</f>
        <v>45</v>
      </c>
      <c r="T43" s="232">
        <f t="shared" si="42"/>
        <v>0</v>
      </c>
      <c r="U43" s="273">
        <f>SUMIFS('Checking Transaction Log'!$E:$E,'Checking Transaction Log'!$C:$C,"&gt;="&amp;U1,'Checking Transaction Log'!$C:$C,"&lt;="&amp;V1,'Checking Transaction Log'!$A:$A,"R",'Checking Transaction Log'!$B:$B,35)</f>
        <v>0</v>
      </c>
      <c r="V43" s="273">
        <f t="shared" si="43"/>
        <v>45</v>
      </c>
      <c r="W43" s="236">
        <f>SUMIFS('Checking Transaction Log'!$E:$E,'Checking Transaction Log'!$C:$C,"&gt;="&amp;W1,'Checking Transaction Log'!$C:$C,"&lt;="&amp;X1,'Checking Transaction Log'!$A:$A,"R",'Checking Transaction Log'!$B:$B,35)</f>
        <v>0</v>
      </c>
      <c r="X43" s="236">
        <f t="shared" si="44"/>
        <v>45</v>
      </c>
      <c r="Y43" s="276">
        <f>SUMIFS('Checking Transaction Log'!$E:$E,'Checking Transaction Log'!$C:$C,"&gt;="&amp;Y1,'Checking Transaction Log'!$C:$C,"&lt;="&amp;Z1,'Checking Transaction Log'!$A:$A,"R",'Checking Transaction Log'!$B:$B,35)</f>
        <v>0</v>
      </c>
      <c r="Z43" s="276">
        <f t="shared" si="45"/>
        <v>45</v>
      </c>
      <c r="AA43" s="278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78">
        <f t="shared" si="46"/>
        <v>45</v>
      </c>
      <c r="AC43" s="280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80">
        <f t="shared" si="47"/>
        <v>45</v>
      </c>
      <c r="AE43" s="282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82">
        <f t="shared" si="48"/>
        <v>45</v>
      </c>
    </row>
    <row r="44" spans="1:32" ht="11.25" customHeight="1" x14ac:dyDescent="0.3">
      <c r="A44" s="284"/>
      <c r="B44" s="255"/>
      <c r="C44" s="287"/>
      <c r="D44" s="288"/>
      <c r="E44" s="289"/>
      <c r="F44" s="289"/>
      <c r="G44" s="269"/>
      <c r="H44" s="289"/>
      <c r="I44" s="270"/>
      <c r="J44" s="270"/>
      <c r="K44" s="232"/>
      <c r="L44" s="232"/>
      <c r="M44" s="273"/>
      <c r="N44" s="273"/>
      <c r="O44" s="236"/>
      <c r="P44" s="236"/>
      <c r="Q44" s="270"/>
      <c r="R44" s="270"/>
      <c r="S44" s="232"/>
      <c r="T44" s="232"/>
      <c r="U44" s="273"/>
      <c r="V44" s="273"/>
      <c r="W44" s="236"/>
      <c r="X44" s="236"/>
      <c r="Y44" s="276"/>
      <c r="Z44" s="276"/>
      <c r="AA44" s="278"/>
      <c r="AB44" s="278"/>
      <c r="AC44" s="280"/>
      <c r="AD44" s="280"/>
      <c r="AE44" s="282"/>
      <c r="AF44" s="282"/>
    </row>
    <row r="45" spans="1:32" ht="11.25" customHeight="1" x14ac:dyDescent="0.3">
      <c r="A45" s="284" t="str">
        <f>'Proposed Budget'!A45</f>
        <v>S</v>
      </c>
      <c r="B45" s="255">
        <f>'Proposed Budget'!B45</f>
        <v>36</v>
      </c>
      <c r="C45" s="287" t="str">
        <f>'Proposed Budget'!C45</f>
        <v>Kids Savings</v>
      </c>
      <c r="D45" s="288">
        <f t="shared" ref="D45:D46" ca="1" si="49">(E45/(TODAY()-$I$1))*30.42</f>
        <v>50.7</v>
      </c>
      <c r="E45" s="289">
        <f t="shared" ref="E45:E46" si="50">Q45+S45+U45+W45+Y45+AA45+AC45+AE45+I45+K45+M45+O45</f>
        <v>300</v>
      </c>
      <c r="F45" s="289">
        <f>J45+L45+N45+P45+R45+T45</f>
        <v>0</v>
      </c>
      <c r="G45" s="269">
        <f t="shared" ref="G45:G46" si="51">1-((E45/SUM(E45:F45)))</f>
        <v>0</v>
      </c>
      <c r="H45" s="289">
        <f>'Proposed Budget'!D45</f>
        <v>50</v>
      </c>
      <c r="I45" s="270">
        <f>SUMIFS('Checking Transaction Log'!E:E,'Checking Transaction Log'!C:C,"&gt;="&amp;I1,'Checking Transaction Log'!C:C,"&lt;="&amp;J1,'Checking Transaction Log'!A:A,"S",'Checking Transaction Log'!B:B,36)</f>
        <v>50</v>
      </c>
      <c r="J45" s="270">
        <f t="shared" ref="J45:J46" si="52">H45-I45</f>
        <v>0</v>
      </c>
      <c r="K45" s="232">
        <f>SUMIFS('Checking Transaction Log'!E:E,'Checking Transaction Log'!C:C,"&gt;="&amp;K1,'Checking Transaction Log'!C:C,"&lt;="&amp;L1,'Checking Transaction Log'!A:A,"S",'Checking Transaction Log'!B:B,36)</f>
        <v>50</v>
      </c>
      <c r="L45" s="232">
        <f t="shared" ref="L45:L46" si="53">H45-K45</f>
        <v>0</v>
      </c>
      <c r="M45" s="273">
        <f>SUMIFS('Checking Transaction Log'!$E:$E,'Checking Transaction Log'!$C:$C,"&gt;="&amp;M1,'Checking Transaction Log'!$C:$C,"&lt;="&amp;N1,'Checking Transaction Log'!$A:$A,"s",'Checking Transaction Log'!$B:$B,36)</f>
        <v>50</v>
      </c>
      <c r="N45" s="273">
        <f t="shared" ref="N45:N46" si="54">H45-M45</f>
        <v>0</v>
      </c>
      <c r="O45" s="236">
        <f>SUMIFS('Checking Transaction Log'!$E:$E,'Checking Transaction Log'!$C:$C,"&gt;="&amp;O1,'Checking Transaction Log'!$C:$C,"&lt;="&amp;P1,'Checking Transaction Log'!$A:$A,"s",'Checking Transaction Log'!$B:$B,36)</f>
        <v>50</v>
      </c>
      <c r="P45" s="236">
        <f t="shared" ref="P45:P46" si="55">H45-O45</f>
        <v>0</v>
      </c>
      <c r="Q45" s="270">
        <f>SUMIFS('Checking Transaction Log'!$E:$E,'Checking Transaction Log'!$C:$C,"&gt;="&amp;Q1,'Checking Transaction Log'!$C:$C,"&lt;="&amp;R1,'Checking Transaction Log'!$A:$A,"s",'Checking Transaction Log'!$B:$B,36)</f>
        <v>50</v>
      </c>
      <c r="R45" s="270">
        <f t="shared" ref="R45:R46" si="56">H45-Q45</f>
        <v>0</v>
      </c>
      <c r="S45" s="232">
        <f>SUMIFS('Checking Transaction Log'!$E:$E,'Checking Transaction Log'!$C:$C,"&gt;="&amp;S1,'Checking Transaction Log'!$C:$C,"&lt;="&amp;T1,'Checking Transaction Log'!$A:$A,"s",'Checking Transaction Log'!$B:$B,36)</f>
        <v>50</v>
      </c>
      <c r="T45" s="232">
        <f t="shared" ref="T45:T46" si="57">H45-S45</f>
        <v>0</v>
      </c>
      <c r="U45" s="273">
        <f>SUMIFS('Checking Transaction Log'!$E:$E,'Checking Transaction Log'!$C:$C,"&gt;="&amp;U1,'Checking Transaction Log'!$C:$C,"&lt;="&amp;V1,'Checking Transaction Log'!$A:$A,"s",'Checking Transaction Log'!$B:$B,36)</f>
        <v>0</v>
      </c>
      <c r="V45" s="273">
        <f t="shared" ref="V45:V46" si="58">H45-U45</f>
        <v>50</v>
      </c>
      <c r="W45" s="236">
        <f>SUMIFS('Checking Transaction Log'!$E:$E,'Checking Transaction Log'!$C:$C,"&gt;="&amp;W1,'Checking Transaction Log'!$C:$C,"&lt;="&amp;X1,'Checking Transaction Log'!$A:$A,"s",'Checking Transaction Log'!$B:$B,36)</f>
        <v>0</v>
      </c>
      <c r="X45" s="236">
        <f t="shared" ref="X45:X46" si="59">H45-W45</f>
        <v>50</v>
      </c>
      <c r="Y45" s="276">
        <f>SUMIFS('Checking Transaction Log'!$E:$E,'Checking Transaction Log'!$C:$C,"&gt;="&amp;Y1,'Checking Transaction Log'!$C:$C,"&lt;="&amp;Z1,'Checking Transaction Log'!$A:$A,"s",'Checking Transaction Log'!$B:$B,36)</f>
        <v>0</v>
      </c>
      <c r="Z45" s="276">
        <f t="shared" ref="Z45:Z46" si="60">H45-Y45</f>
        <v>50</v>
      </c>
      <c r="AA45" s="278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78">
        <f t="shared" ref="AB45:AB46" si="61">H45-AA45</f>
        <v>50</v>
      </c>
      <c r="AC45" s="280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80">
        <f t="shared" ref="AD45:AD46" si="62">H45-AC45</f>
        <v>50</v>
      </c>
      <c r="AE45" s="282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82">
        <f t="shared" ref="AF45:AF46" si="63">H45-AE45</f>
        <v>50</v>
      </c>
    </row>
    <row r="46" spans="1:32" ht="11.25" customHeight="1" x14ac:dyDescent="0.3">
      <c r="A46" s="284" t="str">
        <f>'Proposed Budget'!A46</f>
        <v>S</v>
      </c>
      <c r="B46" s="255">
        <f>'Proposed Budget'!B46</f>
        <v>37</v>
      </c>
      <c r="C46" s="287" t="str">
        <f>'Proposed Budget'!C46</f>
        <v>Our Savings</v>
      </c>
      <c r="D46" s="288">
        <f t="shared" ca="1" si="49"/>
        <v>3049.8263899999997</v>
      </c>
      <c r="E46" s="289">
        <f t="shared" si="50"/>
        <v>18046.309999999998</v>
      </c>
      <c r="F46" s="289">
        <f>J46+L46+N46+P46+R46+T46</f>
        <v>6056.791030959982</v>
      </c>
      <c r="G46" s="269">
        <f t="shared" si="51"/>
        <v>0.25128679596787773</v>
      </c>
      <c r="H46" s="289">
        <f>'Proposed Budget'!D46</f>
        <v>4017.1835051599969</v>
      </c>
      <c r="I46" s="270">
        <f>SUMIFS('Checking Transaction Log'!E:E,'Checking Transaction Log'!C:C,"&gt;="&amp;I1,'Checking Transaction Log'!C:C,"&lt;="&amp;J1,'Checking Transaction Log'!A:A,"S",'Checking Transaction Log'!B:B,37)</f>
        <v>3194.64</v>
      </c>
      <c r="J46" s="270">
        <f t="shared" si="52"/>
        <v>822.54350515999704</v>
      </c>
      <c r="K46" s="232">
        <f>SUMIFS('Checking Transaction Log'!E:E,'Checking Transaction Log'!C:C,"&gt;="&amp;K1,'Checking Transaction Log'!C:C,"&lt;="&amp;L1,'Checking Transaction Log'!A:A,"S",'Checking Transaction Log'!B:B,37)</f>
        <v>3764.91</v>
      </c>
      <c r="L46" s="232">
        <f t="shared" si="53"/>
        <v>252.27350515999706</v>
      </c>
      <c r="M46" s="273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73">
        <f t="shared" si="54"/>
        <v>-292.39649484000302</v>
      </c>
      <c r="O46" s="236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36">
        <f t="shared" si="55"/>
        <v>-1599.6364948400028</v>
      </c>
      <c r="Q46" s="270">
        <f>SUMIFS('Checking Transaction Log'!$E:$E,'Checking Transaction Log'!$C:$C,"&gt;="&amp;Q1,'Checking Transaction Log'!$C:$C,"&lt;="&amp;R1,'Checking Transaction Log'!$A:$A,"s",'Checking Transaction Log'!$B:$B,37)</f>
        <v>1160.3599999999999</v>
      </c>
      <c r="R46" s="270">
        <f t="shared" si="56"/>
        <v>2856.8235051599968</v>
      </c>
      <c r="S46" s="232">
        <f>SUMIFS('Checking Transaction Log'!$E:$E,'Checking Transaction Log'!$C:$C,"&gt;="&amp;S1,'Checking Transaction Log'!$C:$C,"&lt;="&amp;T1,'Checking Transaction Log'!$A:$A,"s",'Checking Transaction Log'!$B:$B,37)</f>
        <v>0</v>
      </c>
      <c r="T46" s="232">
        <f t="shared" si="57"/>
        <v>4017.1835051599969</v>
      </c>
      <c r="U46" s="273">
        <f>SUMIFS('Checking Transaction Log'!$E:$E,'Checking Transaction Log'!$C:$C,"&gt;="&amp;U1,'Checking Transaction Log'!$C:$C,"&lt;="&amp;V1,'Checking Transaction Log'!$A:$A,"s",'Checking Transaction Log'!$B:$B,37)</f>
        <v>0</v>
      </c>
      <c r="V46" s="273">
        <f t="shared" si="58"/>
        <v>4017.1835051599969</v>
      </c>
      <c r="W46" s="236">
        <f>SUMIFS('Checking Transaction Log'!$E:$E,'Checking Transaction Log'!$C:$C,"&gt;="&amp;W1,'Checking Transaction Log'!$C:$C,"&lt;="&amp;X1,'Checking Transaction Log'!$A:$A,"s",'Checking Transaction Log'!$B:$B,37)</f>
        <v>0</v>
      </c>
      <c r="X46" s="236">
        <f t="shared" si="59"/>
        <v>4017.1835051599969</v>
      </c>
      <c r="Y46" s="276">
        <f>SUMIFS('Checking Transaction Log'!$E:$E,'Checking Transaction Log'!$C:$C,"&gt;="&amp;Y1,'Checking Transaction Log'!$C:$C,"&lt;="&amp;Z1,'Checking Transaction Log'!$A:$A,"s",'Checking Transaction Log'!$B:$B,37)</f>
        <v>0</v>
      </c>
      <c r="Z46" s="276">
        <f t="shared" si="60"/>
        <v>4017.1835051599969</v>
      </c>
      <c r="AA46" s="278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78">
        <f t="shared" si="61"/>
        <v>4017.1835051599969</v>
      </c>
      <c r="AC46" s="280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80">
        <f t="shared" si="62"/>
        <v>4017.1835051599969</v>
      </c>
      <c r="AE46" s="282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82">
        <f t="shared" si="63"/>
        <v>4017.1835051599969</v>
      </c>
    </row>
    <row r="47" spans="1:32" ht="11.25" customHeight="1" x14ac:dyDescent="0.3">
      <c r="A47" s="284"/>
      <c r="B47" s="255"/>
      <c r="C47" s="287"/>
      <c r="D47" s="291"/>
      <c r="E47" s="245" t="s">
        <v>68</v>
      </c>
      <c r="F47" s="245" t="s">
        <v>68</v>
      </c>
      <c r="G47" s="246" t="s">
        <v>153</v>
      </c>
      <c r="H47" s="286"/>
      <c r="I47" s="270"/>
      <c r="J47" s="270"/>
      <c r="K47" s="232"/>
      <c r="L47" s="232"/>
      <c r="M47" s="273"/>
      <c r="N47" s="273"/>
      <c r="O47" s="236"/>
      <c r="P47" s="236"/>
      <c r="Q47" s="270"/>
      <c r="R47" s="270"/>
      <c r="S47" s="232"/>
      <c r="T47" s="232"/>
      <c r="U47" s="273"/>
      <c r="V47" s="273"/>
      <c r="W47" s="236"/>
      <c r="X47" s="236"/>
      <c r="Y47" s="276"/>
      <c r="Z47" s="276"/>
      <c r="AA47" s="278"/>
      <c r="AB47" s="278"/>
      <c r="AC47" s="280"/>
      <c r="AD47" s="280"/>
      <c r="AE47" s="282"/>
    </row>
    <row r="48" spans="1:32" ht="11.25" customHeight="1" x14ac:dyDescent="0.3">
      <c r="A48" s="284"/>
      <c r="B48" s="255"/>
      <c r="C48" s="287"/>
      <c r="D48" s="291"/>
      <c r="E48" s="245" t="s">
        <v>263</v>
      </c>
      <c r="F48" s="245" t="s">
        <v>258</v>
      </c>
      <c r="G48" s="246" t="s">
        <v>264</v>
      </c>
      <c r="H48" s="284"/>
      <c r="I48" s="271"/>
      <c r="J48" s="271"/>
      <c r="K48" s="272"/>
      <c r="L48" s="272"/>
      <c r="M48" s="274"/>
      <c r="N48" s="274"/>
      <c r="O48" s="275"/>
      <c r="P48" s="275"/>
      <c r="Q48" s="271"/>
      <c r="R48" s="271"/>
      <c r="S48" s="272"/>
      <c r="T48" s="272"/>
      <c r="U48" s="274"/>
      <c r="V48" s="274"/>
      <c r="W48" s="275"/>
      <c r="X48" s="275"/>
      <c r="Y48" s="277"/>
      <c r="Z48" s="277"/>
      <c r="AA48" s="279"/>
      <c r="AB48" s="279"/>
      <c r="AC48" s="281"/>
      <c r="AD48" s="281"/>
      <c r="AE48" s="283"/>
    </row>
    <row r="49" spans="1:31" ht="11.25" customHeight="1" x14ac:dyDescent="0.3">
      <c r="A49" s="286" t="s">
        <v>226</v>
      </c>
      <c r="B49" s="255">
        <v>38</v>
      </c>
      <c r="C49" s="292" t="s">
        <v>265</v>
      </c>
      <c r="D49" s="288">
        <f t="shared" ref="D49:D52" ca="1" si="64">(E49/(TODAY()-$I$1))*30.42</f>
        <v>9126.4461599999995</v>
      </c>
      <c r="E49" s="268">
        <f t="shared" ref="E49:E52" si="65">Q49+S49+U49+W49+Y49+AA49+AC49+AE49+I49+K49+M49+O49</f>
        <v>54002.64</v>
      </c>
      <c r="F49" s="268">
        <f>E49-('Proposed Budget'!J68*14)</f>
        <v>-10366.928043619992</v>
      </c>
      <c r="G49" s="246">
        <f t="shared" ref="G49:G50" si="66">(E49/(E49-F49))-1</f>
        <v>-0.1610532485878241</v>
      </c>
      <c r="H49" s="286"/>
      <c r="I49" s="270">
        <f>SUMIFS('Checking Transaction Log'!F:F,'Checking Transaction Log'!C:C,"&gt;="&amp;I1,'Checking Transaction Log'!C:C,"&lt;="&amp;J1,'Checking Transaction Log'!A:A,"i",'Checking Transaction Log'!B:B,38)</f>
        <v>8731.32</v>
      </c>
      <c r="J49" s="270"/>
      <c r="K49" s="232">
        <f>SUMIFS('Checking Transaction Log'!F:F,'Checking Transaction Log'!C:C,"&gt;="&amp;K1,'Checking Transaction Log'!C:C,"&lt;="&amp;L1,'Checking Transaction Log'!A:A,"i",'Checking Transaction Log'!B:B,38)</f>
        <v>8556.31</v>
      </c>
      <c r="L49" s="232"/>
      <c r="M49" s="273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73"/>
      <c r="O49" s="236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36"/>
      <c r="Q49" s="270">
        <f>SUMIFS('Checking Transaction Log'!$F:$F,'Checking Transaction Log'!$C:$C,"&gt;="&amp;Q1,'Checking Transaction Log'!$C:$C,"&lt;="&amp;R1,'Checking Transaction Log'!$A:$A,"i",'Checking Transaction Log'!$B:$B,38)</f>
        <v>9195.630000000001</v>
      </c>
      <c r="R49" s="270"/>
      <c r="S49" s="232">
        <f>SUMIFS('Checking Transaction Log'!$F:$F,'Checking Transaction Log'!$C:$C,"&gt;="&amp;S1,'Checking Transaction Log'!$C:$C,"&lt;="&amp;T1,'Checking Transaction Log'!$A:$A,"i",'Checking Transaction Log'!$B:$B,38)</f>
        <v>9318.68</v>
      </c>
      <c r="T49" s="232"/>
      <c r="U49" s="273">
        <f>SUMIFS('Checking Transaction Log'!$F:$F,'Checking Transaction Log'!$C:$C,"&gt;="&amp;U1,'Checking Transaction Log'!$C:$C,"&lt;="&amp;V1,'Checking Transaction Log'!$A:$A,"i",'Checking Transaction Log'!$B:$B,38)</f>
        <v>0</v>
      </c>
      <c r="V49" s="273"/>
      <c r="W49" s="236">
        <f>SUMIFS('Checking Transaction Log'!$F:$F,'Checking Transaction Log'!$C:$C,"&gt;="&amp;W1,'Checking Transaction Log'!$C:$C,"&lt;="&amp;X1,'Checking Transaction Log'!$A:$A,"i",'Checking Transaction Log'!$B:$B,38)</f>
        <v>0</v>
      </c>
      <c r="X49" s="236"/>
      <c r="Y49" s="276">
        <f>SUMIFS('Checking Transaction Log'!$F:$F,'Checking Transaction Log'!$C:$C,"&gt;="&amp;Y1,'Checking Transaction Log'!$C:$C,"&lt;="&amp;Z1,'Checking Transaction Log'!$A:$A,"i",'Checking Transaction Log'!$B:$B,38)</f>
        <v>0</v>
      </c>
      <c r="Z49" s="276"/>
      <c r="AA49" s="278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78"/>
      <c r="AC49" s="280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80"/>
      <c r="AE49" s="282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86" t="s">
        <v>226</v>
      </c>
      <c r="B50" s="255">
        <v>39</v>
      </c>
      <c r="C50" s="292" t="s">
        <v>266</v>
      </c>
      <c r="D50" s="288">
        <f t="shared" ca="1" si="64"/>
        <v>6170.1257800000012</v>
      </c>
      <c r="E50" s="268">
        <f t="shared" si="65"/>
        <v>36509.620000000003</v>
      </c>
      <c r="F50" s="268">
        <f>E50-('Proposed Budget'!J44*14)</f>
        <v>-2183.3490699999893</v>
      </c>
      <c r="G50" s="246">
        <f t="shared" si="66"/>
        <v>-5.6427540260610698E-2</v>
      </c>
      <c r="H50" s="286"/>
      <c r="I50" s="270">
        <f>SUMIFS('Checking Transaction Log'!F:F,'Checking Transaction Log'!C:C,"&gt;="&amp;I1,'Checking Transaction Log'!C:C,"&lt;="&amp;J1,'Checking Transaction Log'!A:A,"i",'Checking Transaction Log'!B:B,39)</f>
        <v>6108.04</v>
      </c>
      <c r="J50" s="270"/>
      <c r="K50" s="232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32"/>
      <c r="M50" s="273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73"/>
      <c r="O50" s="236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36"/>
      <c r="Q50" s="270">
        <f>SUMIFS('Checking Transaction Log'!$F:$F,'Checking Transaction Log'!$C:$C,"&gt;="&amp;Q1,'Checking Transaction Log'!$C:$C,"&lt;="&amp;R1,'Checking Transaction Log'!$A:$A,"i",'Checking Transaction Log'!$B:$B,39)</f>
        <v>5527.57</v>
      </c>
      <c r="R50" s="270"/>
      <c r="S50" s="232">
        <f>SUMIFS('Checking Transaction Log'!$F:$F,'Checking Transaction Log'!$C:$C,"&gt;="&amp;S1,'Checking Transaction Log'!$C:$C,"&lt;="&amp;T1,'Checking Transaction Log'!$A:$A,"i",'Checking Transaction Log'!$B:$B,39)</f>
        <v>5527.55</v>
      </c>
      <c r="T50" s="232"/>
      <c r="U50" s="273">
        <f>SUMIFS('Checking Transaction Log'!$F:$F,'Checking Transaction Log'!$C:$C,"&gt;="&amp;U1,'Checking Transaction Log'!$C:$C,"&lt;="&amp;V1,'Checking Transaction Log'!$A:$A,"i",'Checking Transaction Log'!$B:$B,39)</f>
        <v>0</v>
      </c>
      <c r="V50" s="273"/>
      <c r="W50" s="236">
        <f>SUMIFS('Checking Transaction Log'!$F:$F,'Checking Transaction Log'!$C:$C,"&gt;="&amp;W1,'Checking Transaction Log'!$C:$C,"&lt;="&amp;X1,'Checking Transaction Log'!$A:$A,"i",'Checking Transaction Log'!$B:$B,39)</f>
        <v>0</v>
      </c>
      <c r="X50" s="236"/>
      <c r="Y50" s="276">
        <f>SUMIFS('Checking Transaction Log'!$F:$F,'Checking Transaction Log'!$C:$C,"&gt;="&amp;Y1,'Checking Transaction Log'!$C:$C,"&lt;="&amp;Z1,'Checking Transaction Log'!$A:$A,"i",'Checking Transaction Log'!$B:$B,39)</f>
        <v>0</v>
      </c>
      <c r="Z50" s="276"/>
      <c r="AA50" s="278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78"/>
      <c r="AC50" s="280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80"/>
      <c r="AE50" s="282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86" t="s">
        <v>226</v>
      </c>
      <c r="B51" s="255">
        <v>40</v>
      </c>
      <c r="C51" s="292" t="s">
        <v>267</v>
      </c>
      <c r="D51" s="288">
        <f t="shared" ca="1" si="64"/>
        <v>1067.00854</v>
      </c>
      <c r="E51" s="268">
        <f t="shared" si="65"/>
        <v>6313.66</v>
      </c>
      <c r="F51" s="268"/>
      <c r="G51" s="246"/>
      <c r="H51" s="286"/>
      <c r="I51" s="270">
        <f>SUMIFS('Checking Transaction Log'!F:F,'Checking Transaction Log'!C:C,"&gt;="&amp;I1,'Checking Transaction Log'!C:C,"&lt;="&amp;J1,'Checking Transaction Log'!A:A,"i",'Checking Transaction Log'!B:B,40)</f>
        <v>0</v>
      </c>
      <c r="J51" s="270"/>
      <c r="K51" s="232">
        <f>SUMIFS('Checking Transaction Log'!F:F,'Checking Transaction Log'!C:C,"&gt;="&amp;K1,'Checking Transaction Log'!C:C,"&lt;="&amp;L1,'Checking Transaction Log'!A:A,"i",'Checking Transaction Log'!B:B,40)</f>
        <v>2531.75</v>
      </c>
      <c r="L51" s="232"/>
      <c r="M51" s="273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73"/>
      <c r="O51" s="236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36"/>
      <c r="Q51" s="270">
        <f>SUMIFS('Checking Transaction Log'!$F:$F,'Checking Transaction Log'!$C:$C,"&gt;="&amp;Q1,'Checking Transaction Log'!$C:$C,"&lt;="&amp;R1,'Checking Transaction Log'!$A:$A,"i",'Checking Transaction Log'!$B:$B,40)</f>
        <v>0</v>
      </c>
      <c r="R51" s="270"/>
      <c r="S51" s="232">
        <f>SUMIFS('Checking Transaction Log'!$F:$F,'Checking Transaction Log'!$C:$C,"&gt;="&amp;S1,'Checking Transaction Log'!$C:$C,"&lt;="&amp;T1,'Checking Transaction Log'!$A:$A,"i",'Checking Transaction Log'!$B:$B,40)</f>
        <v>2104.5500000000002</v>
      </c>
      <c r="T51" s="232"/>
      <c r="U51" s="273">
        <f>SUMIFS('Checking Transaction Log'!$F:$F,'Checking Transaction Log'!$C:$C,"&gt;="&amp;U1,'Checking Transaction Log'!$C:$C,"&lt;="&amp;V1,'Checking Transaction Log'!$A:$A,"i",'Checking Transaction Log'!$B:$B,40)</f>
        <v>0</v>
      </c>
      <c r="V51" s="273"/>
      <c r="W51" s="236">
        <f>SUMIFS('Checking Transaction Log'!$F:$F,'Checking Transaction Log'!$C:$C,"&gt;="&amp;W1,'Checking Transaction Log'!$C:$C,"&lt;="&amp;X1,'Checking Transaction Log'!$A:$A,"i",'Checking Transaction Log'!$B:$B,40)</f>
        <v>0</v>
      </c>
      <c r="X51" s="236"/>
      <c r="Y51" s="276">
        <f>SUMIFS('Checking Transaction Log'!$F:$F,'Checking Transaction Log'!$C:$C,"&gt;="&amp;Y1,'Checking Transaction Log'!$C:$C,"&lt;="&amp;Z1,'Checking Transaction Log'!$A:$A,"i",'Checking Transaction Log'!$B:$B,40)</f>
        <v>0</v>
      </c>
      <c r="Z51" s="276"/>
      <c r="AA51" s="278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78"/>
      <c r="AC51" s="280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80"/>
      <c r="AE51" s="282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86" t="s">
        <v>226</v>
      </c>
      <c r="B52" s="255">
        <v>41</v>
      </c>
      <c r="C52" s="292" t="s">
        <v>189</v>
      </c>
      <c r="D52" s="288">
        <f t="shared" ca="1" si="64"/>
        <v>676</v>
      </c>
      <c r="E52" s="268">
        <f t="shared" si="65"/>
        <v>4000</v>
      </c>
      <c r="F52" s="268"/>
      <c r="G52" s="246"/>
      <c r="H52" s="286"/>
      <c r="I52" s="270">
        <f>SUMIFS('Checking Transaction Log'!F:F,'Checking Transaction Log'!C:C,"&gt;="&amp;I1,'Checking Transaction Log'!C:C,"&lt;="&amp;J1,'Checking Transaction Log'!A:A,"i",'Checking Transaction Log'!B:B,41)</f>
        <v>800</v>
      </c>
      <c r="J52" s="270"/>
      <c r="K52" s="232">
        <f>SUMIFS('Checking Transaction Log'!F:F,'Checking Transaction Log'!C:C,"&gt;="&amp;K1,'Checking Transaction Log'!C:C,"&lt;="&amp;L1,'Checking Transaction Log'!A:A,"i",'Checking Transaction Log'!B:B,41)</f>
        <v>0</v>
      </c>
      <c r="L52" s="232"/>
      <c r="M52" s="273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73"/>
      <c r="O52" s="236">
        <f>SUMIFS('Checking Transaction Log'!$F:$F,'Checking Transaction Log'!$C:$C,"&gt;="&amp;O1,'Checking Transaction Log'!$C:$C,"&lt;="&amp;P1,'Checking Transaction Log'!$A:$A,"i",'Checking Transaction Log'!$B:$B,41)</f>
        <v>550</v>
      </c>
      <c r="P52" s="236"/>
      <c r="Q52" s="270">
        <f>SUMIFS('Checking Transaction Log'!$F:$F,'Checking Transaction Log'!$C:$C,"&gt;="&amp;Q1,'Checking Transaction Log'!$C:$C,"&lt;="&amp;R1,'Checking Transaction Log'!$A:$A,"i",'Checking Transaction Log'!$B:$B,41)</f>
        <v>250</v>
      </c>
      <c r="R52" s="270"/>
      <c r="S52" s="232">
        <f>SUMIFS('Checking Transaction Log'!$F:$F,'Checking Transaction Log'!$C:$C,"&gt;="&amp;S1,'Checking Transaction Log'!$C:$C,"&lt;="&amp;T1,'Checking Transaction Log'!$A:$A,"i",'Checking Transaction Log'!$B:$B,41)</f>
        <v>800</v>
      </c>
      <c r="T52" s="232"/>
      <c r="U52" s="273">
        <f>SUMIFS('Checking Transaction Log'!$F:$F,'Checking Transaction Log'!$C:$C,"&gt;="&amp;U1,'Checking Transaction Log'!$C:$C,"&lt;="&amp;V1,'Checking Transaction Log'!$A:$A,"i",'Checking Transaction Log'!$B:$B,41)</f>
        <v>0</v>
      </c>
      <c r="V52" s="273"/>
      <c r="W52" s="236">
        <f>SUMIFS('Checking Transaction Log'!$F:$F,'Checking Transaction Log'!$C:$C,"&gt;="&amp;W1,'Checking Transaction Log'!$C:$C,"&lt;="&amp;X1,'Checking Transaction Log'!$A:$A,"i",'Checking Transaction Log'!$B:$B,41)</f>
        <v>0</v>
      </c>
      <c r="X52" s="236"/>
      <c r="Y52" s="276">
        <f>SUMIFS('Checking Transaction Log'!$F:$F,'Checking Transaction Log'!$C:$C,"&gt;="&amp;Y1,'Checking Transaction Log'!$C:$C,"&lt;="&amp;Z1,'Checking Transaction Log'!$A:$A,"i",'Checking Transaction Log'!$B:$B,41)</f>
        <v>0</v>
      </c>
      <c r="Z52" s="276"/>
      <c r="AA52" s="278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78"/>
      <c r="AC52" s="280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80"/>
      <c r="AE52" s="282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88"/>
      <c r="B53" s="293"/>
      <c r="C53" s="294"/>
      <c r="D53" s="122"/>
      <c r="E53" s="295"/>
      <c r="F53" s="295"/>
      <c r="G53" s="296"/>
      <c r="H53" s="295"/>
      <c r="I53" s="295"/>
      <c r="J53" s="295"/>
      <c r="K53" s="295"/>
      <c r="L53" s="295"/>
      <c r="M53" s="295"/>
      <c r="N53" s="295"/>
      <c r="O53" s="295"/>
      <c r="P53" s="295"/>
      <c r="Q53" s="295"/>
      <c r="R53" s="295"/>
      <c r="S53" s="295"/>
      <c r="T53" s="295"/>
      <c r="U53" s="295"/>
      <c r="V53" s="295"/>
      <c r="W53" s="295"/>
      <c r="X53" s="295"/>
      <c r="Y53" s="295"/>
      <c r="Z53" s="295"/>
      <c r="AA53" s="295"/>
      <c r="AB53" s="295"/>
      <c r="AC53" s="295"/>
      <c r="AD53" s="295"/>
      <c r="AE53" s="295"/>
    </row>
    <row r="54" spans="1:31" ht="11.25" customHeight="1" x14ac:dyDescent="0.3">
      <c r="A54" s="188"/>
      <c r="B54" s="293"/>
      <c r="C54" s="294"/>
      <c r="D54" s="122"/>
      <c r="E54" s="297">
        <f>SUM(E49:E52)</f>
        <v>100825.92000000001</v>
      </c>
      <c r="F54" s="297">
        <f>F49+F50+E52</f>
        <v>-8550.2771136199808</v>
      </c>
      <c r="G54" s="246">
        <f>(E54/(E54-F54))-1</f>
        <v>-7.817310657398302E-2</v>
      </c>
      <c r="H54" s="295"/>
      <c r="I54" s="198">
        <f>SUM(I49:I52)</f>
        <v>15639.36</v>
      </c>
      <c r="J54" s="295"/>
      <c r="K54" s="198">
        <f>SUM(K49:K52)</f>
        <v>16615.62</v>
      </c>
      <c r="L54" s="295"/>
      <c r="M54" s="198">
        <f>SUM(M49:M52)</f>
        <v>16971.29</v>
      </c>
      <c r="N54" s="295"/>
      <c r="O54" s="198">
        <f>SUM(O49:O52)</f>
        <v>18875.669999999998</v>
      </c>
      <c r="P54" s="295"/>
      <c r="Q54" s="198">
        <f>SUM(Q49:Q52)</f>
        <v>14973.2</v>
      </c>
      <c r="R54" s="295"/>
      <c r="S54" s="198">
        <f>SUM(S49:S52)</f>
        <v>17750.78</v>
      </c>
      <c r="T54" s="295"/>
      <c r="U54" s="198">
        <f>SUM(U49:U52)</f>
        <v>0</v>
      </c>
      <c r="V54" s="295"/>
      <c r="W54" s="198">
        <f>SUM(W49:W52)</f>
        <v>0</v>
      </c>
      <c r="X54" s="295"/>
      <c r="Y54" s="198">
        <f>SUM(Y49:Y52)</f>
        <v>0</v>
      </c>
      <c r="Z54" s="295"/>
      <c r="AA54" s="198">
        <f>SUM(AA49:AA52)</f>
        <v>0</v>
      </c>
      <c r="AB54" s="295"/>
      <c r="AC54" s="198">
        <f>SUM(AC49:AC52)</f>
        <v>0</v>
      </c>
      <c r="AD54" s="295"/>
      <c r="AE54" s="198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961"/>
  <sheetViews>
    <sheetView tabSelected="1" workbookViewId="0">
      <pane ySplit="4" topLeftCell="A5" activePane="bottomLeft" state="frozen"/>
      <selection pane="bottomLeft" activeCell="M13" sqref="M13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46" t="s">
        <v>261</v>
      </c>
      <c r="B1" s="547"/>
      <c r="C1" s="298" t="s">
        <v>268</v>
      </c>
      <c r="D1" s="299" t="s">
        <v>269</v>
      </c>
      <c r="E1" s="548" t="s">
        <v>270</v>
      </c>
      <c r="F1" s="547"/>
      <c r="G1" s="300">
        <f ca="1">(SUM(INDIRECT("g5:g5")))+J2+L2+N2+P2-R2+T2-G1164</f>
        <v>9589.819999999987</v>
      </c>
      <c r="H1" s="301"/>
      <c r="I1" s="302" t="s">
        <v>271</v>
      </c>
      <c r="J1" s="303">
        <v>25000</v>
      </c>
      <c r="K1" s="304" t="s">
        <v>272</v>
      </c>
      <c r="L1" s="305">
        <v>25000</v>
      </c>
      <c r="M1" s="306" t="s">
        <v>273</v>
      </c>
      <c r="N1" s="307">
        <f>10500-N2</f>
        <v>10500</v>
      </c>
      <c r="O1" s="308" t="s">
        <v>274</v>
      </c>
      <c r="P1" s="309">
        <f>5000-P2</f>
        <v>5000</v>
      </c>
      <c r="Q1" s="549" t="s">
        <v>39</v>
      </c>
      <c r="R1" s="547"/>
      <c r="S1" s="310" t="s">
        <v>273</v>
      </c>
      <c r="T1" s="311">
        <f>1200-T2</f>
        <v>1200</v>
      </c>
    </row>
    <row r="2" spans="1:20" ht="12" customHeight="1" x14ac:dyDescent="0.3">
      <c r="A2" s="299"/>
      <c r="B2" s="312"/>
      <c r="C2" s="298"/>
      <c r="D2" s="313"/>
      <c r="E2" s="548" t="s">
        <v>39</v>
      </c>
      <c r="F2" s="547"/>
      <c r="G2" s="300">
        <f>R2</f>
        <v>270</v>
      </c>
      <c r="H2" s="301"/>
      <c r="I2" s="314" t="s">
        <v>275</v>
      </c>
      <c r="J2" s="303">
        <f>SUMIFS(E:E,I:I,"1")</f>
        <v>432.42</v>
      </c>
      <c r="K2" s="304" t="s">
        <v>276</v>
      </c>
      <c r="L2" s="305">
        <f>(SUMIFS(E:E,I:I,"2"))</f>
        <v>381.75</v>
      </c>
      <c r="M2" s="306" t="s">
        <v>277</v>
      </c>
      <c r="N2" s="307">
        <f>SUMIFS(E:E,I:I,"3")</f>
        <v>0</v>
      </c>
      <c r="O2" s="308" t="s">
        <v>278</v>
      </c>
      <c r="P2" s="309">
        <f>SUMIFS(E:E,I:I,"4")</f>
        <v>0</v>
      </c>
      <c r="Q2" s="315"/>
      <c r="R2" s="316">
        <f>SUMIFS(F:F,H:H,"cash")-SUMIFS(E:E,H:H,"cash")</f>
        <v>270</v>
      </c>
      <c r="S2" s="310" t="s">
        <v>279</v>
      </c>
      <c r="T2" s="311">
        <f>SUMIFS(E:E,I:I,"6")</f>
        <v>0</v>
      </c>
    </row>
    <row r="3" spans="1:20" ht="12" customHeight="1" x14ac:dyDescent="0.3">
      <c r="A3" s="299"/>
      <c r="B3" s="312"/>
      <c r="C3" s="298"/>
      <c r="D3" s="313"/>
      <c r="E3" s="548" t="s">
        <v>280</v>
      </c>
      <c r="F3" s="547"/>
      <c r="G3" s="300">
        <f>SUM(J1,L1,N1,P1,T1)</f>
        <v>66700</v>
      </c>
      <c r="H3" s="301"/>
      <c r="I3" s="317"/>
      <c r="J3" s="318"/>
      <c r="K3" s="319"/>
      <c r="L3" s="320"/>
      <c r="M3" s="321"/>
      <c r="N3" s="322"/>
      <c r="O3" s="323"/>
      <c r="P3" s="324"/>
      <c r="Q3" s="325"/>
      <c r="R3" s="326"/>
      <c r="S3" s="327"/>
      <c r="T3" s="328"/>
    </row>
    <row r="4" spans="1:20" ht="12" customHeight="1" x14ac:dyDescent="0.3">
      <c r="A4" s="329"/>
      <c r="B4" s="330"/>
      <c r="C4" s="298"/>
      <c r="D4" s="299"/>
      <c r="E4" s="331" t="s">
        <v>281</v>
      </c>
      <c r="F4" s="332" t="s">
        <v>282</v>
      </c>
      <c r="G4" s="333" t="s">
        <v>283</v>
      </c>
      <c r="H4" s="334"/>
      <c r="I4" s="335"/>
      <c r="J4" s="336"/>
      <c r="K4" s="301"/>
      <c r="L4" s="336"/>
      <c r="M4" s="301"/>
      <c r="N4" s="336"/>
      <c r="O4" s="301"/>
      <c r="P4" s="336"/>
      <c r="Q4" s="301"/>
      <c r="R4" s="336"/>
      <c r="S4" s="301"/>
      <c r="T4" s="336"/>
    </row>
    <row r="5" spans="1:20" ht="12" customHeight="1" x14ac:dyDescent="0.3">
      <c r="A5" s="329" t="s">
        <v>286</v>
      </c>
      <c r="B5" s="330">
        <v>25</v>
      </c>
      <c r="C5" s="298">
        <v>46203</v>
      </c>
      <c r="D5" s="298" t="s">
        <v>204</v>
      </c>
      <c r="E5" s="331">
        <v>350</v>
      </c>
      <c r="F5" s="522"/>
      <c r="G5" s="333">
        <f t="shared" ref="G5:G32" si="0">G6-E5+F5</f>
        <v>9045.6499999999869</v>
      </c>
      <c r="H5" s="334"/>
      <c r="I5" s="335"/>
      <c r="J5" s="336"/>
      <c r="K5" s="301"/>
      <c r="L5" s="336"/>
      <c r="M5" s="301"/>
      <c r="N5" s="336"/>
      <c r="O5" s="301"/>
      <c r="P5" s="336"/>
      <c r="Q5" s="301"/>
      <c r="R5" s="336"/>
      <c r="S5" s="301"/>
      <c r="T5" s="336"/>
    </row>
    <row r="6" spans="1:20" ht="12" customHeight="1" x14ac:dyDescent="0.3">
      <c r="A6" s="329" t="s">
        <v>286</v>
      </c>
      <c r="B6" s="330">
        <v>26</v>
      </c>
      <c r="C6" s="298">
        <v>46203</v>
      </c>
      <c r="D6" s="298" t="s">
        <v>205</v>
      </c>
      <c r="E6" s="331">
        <v>320</v>
      </c>
      <c r="F6" s="522"/>
      <c r="G6" s="333">
        <f t="shared" si="0"/>
        <v>9395.6499999999869</v>
      </c>
      <c r="H6" s="334"/>
      <c r="I6" s="335"/>
      <c r="J6" s="336"/>
      <c r="K6" s="301"/>
      <c r="L6" s="336"/>
      <c r="M6" s="301"/>
      <c r="N6" s="336"/>
      <c r="O6" s="301"/>
      <c r="P6" s="336"/>
      <c r="Q6" s="301"/>
      <c r="R6" s="336"/>
      <c r="S6" s="301"/>
      <c r="T6" s="336"/>
    </row>
    <row r="7" spans="1:20" ht="12" customHeight="1" x14ac:dyDescent="0.3">
      <c r="A7" s="329" t="s">
        <v>286</v>
      </c>
      <c r="B7" s="330">
        <v>27</v>
      </c>
      <c r="C7" s="298">
        <v>46203</v>
      </c>
      <c r="D7" s="298" t="s">
        <v>206</v>
      </c>
      <c r="E7" s="331">
        <v>25</v>
      </c>
      <c r="F7" s="522"/>
      <c r="G7" s="333">
        <f t="shared" si="0"/>
        <v>9715.6499999999869</v>
      </c>
      <c r="H7" s="334"/>
      <c r="I7" s="335"/>
      <c r="J7" s="336"/>
      <c r="K7" s="301"/>
      <c r="L7" s="336"/>
      <c r="M7" s="301"/>
      <c r="N7" s="336"/>
      <c r="O7" s="301"/>
      <c r="P7" s="336"/>
      <c r="Q7" s="301"/>
      <c r="R7" s="336"/>
      <c r="S7" s="301"/>
      <c r="T7" s="336"/>
    </row>
    <row r="8" spans="1:20" ht="12" customHeight="1" x14ac:dyDescent="0.3">
      <c r="A8" s="329" t="s">
        <v>286</v>
      </c>
      <c r="B8" s="330">
        <v>28</v>
      </c>
      <c r="C8" s="298">
        <v>46203</v>
      </c>
      <c r="D8" s="298" t="s">
        <v>207</v>
      </c>
      <c r="E8" s="331">
        <v>25</v>
      </c>
      <c r="F8" s="522"/>
      <c r="G8" s="333">
        <f t="shared" si="0"/>
        <v>9740.6499999999869</v>
      </c>
      <c r="H8" s="334"/>
      <c r="I8" s="335"/>
      <c r="J8" s="336"/>
      <c r="K8" s="301"/>
      <c r="L8" s="336"/>
      <c r="M8" s="301"/>
      <c r="N8" s="336"/>
      <c r="O8" s="301"/>
      <c r="P8" s="336"/>
      <c r="Q8" s="301"/>
      <c r="R8" s="336"/>
      <c r="S8" s="301"/>
      <c r="T8" s="336"/>
    </row>
    <row r="9" spans="1:20" ht="12" customHeight="1" x14ac:dyDescent="0.3">
      <c r="A9" s="329" t="s">
        <v>286</v>
      </c>
      <c r="B9" s="330">
        <v>29</v>
      </c>
      <c r="C9" s="298">
        <v>46203</v>
      </c>
      <c r="D9" s="298" t="s">
        <v>208</v>
      </c>
      <c r="E9" s="331">
        <v>45</v>
      </c>
      <c r="F9" s="522"/>
      <c r="G9" s="333">
        <f t="shared" si="0"/>
        <v>9765.6499999999869</v>
      </c>
      <c r="H9" s="334"/>
      <c r="I9" s="335"/>
      <c r="J9" s="336"/>
      <c r="K9" s="301"/>
      <c r="L9" s="336"/>
      <c r="M9" s="301"/>
      <c r="N9" s="336"/>
      <c r="O9" s="301"/>
      <c r="P9" s="336"/>
      <c r="Q9" s="301"/>
      <c r="R9" s="336"/>
      <c r="S9" s="301"/>
      <c r="T9" s="336"/>
    </row>
    <row r="10" spans="1:20" ht="12" customHeight="1" x14ac:dyDescent="0.3">
      <c r="A10" s="329" t="s">
        <v>286</v>
      </c>
      <c r="B10" s="330">
        <v>30</v>
      </c>
      <c r="C10" s="298">
        <v>46203</v>
      </c>
      <c r="D10" s="298" t="s">
        <v>209</v>
      </c>
      <c r="E10" s="331">
        <v>400</v>
      </c>
      <c r="F10" s="522"/>
      <c r="G10" s="333">
        <f t="shared" si="0"/>
        <v>9810.6499999999869</v>
      </c>
      <c r="H10" s="334"/>
      <c r="I10" s="335"/>
      <c r="J10" s="336"/>
      <c r="K10" s="301"/>
      <c r="L10" s="336"/>
      <c r="M10" s="301"/>
      <c r="N10" s="336"/>
      <c r="O10" s="301"/>
      <c r="P10" s="336"/>
      <c r="Q10" s="301"/>
      <c r="R10" s="336"/>
      <c r="S10" s="301"/>
      <c r="T10" s="336"/>
    </row>
    <row r="11" spans="1:20" ht="12" customHeight="1" x14ac:dyDescent="0.3">
      <c r="A11" s="329" t="s">
        <v>286</v>
      </c>
      <c r="B11" s="330">
        <v>31</v>
      </c>
      <c r="C11" s="298">
        <v>46203</v>
      </c>
      <c r="D11" s="298" t="s">
        <v>210</v>
      </c>
      <c r="E11" s="331">
        <v>375</v>
      </c>
      <c r="F11" s="522"/>
      <c r="G11" s="333">
        <f t="shared" si="0"/>
        <v>10210.649999999987</v>
      </c>
      <c r="H11" s="334"/>
      <c r="I11" s="335"/>
      <c r="J11" s="336"/>
      <c r="K11" s="301"/>
      <c r="L11" s="336"/>
      <c r="M11" s="301"/>
      <c r="N11" s="336"/>
      <c r="O11" s="301"/>
      <c r="P11" s="336"/>
      <c r="Q11" s="301"/>
      <c r="R11" s="336"/>
      <c r="S11" s="301"/>
      <c r="T11" s="336"/>
    </row>
    <row r="12" spans="1:20" ht="12" customHeight="1" x14ac:dyDescent="0.3">
      <c r="A12" s="329" t="s">
        <v>286</v>
      </c>
      <c r="B12" s="330">
        <v>32</v>
      </c>
      <c r="C12" s="298">
        <v>46203</v>
      </c>
      <c r="D12" s="298" t="s">
        <v>211</v>
      </c>
      <c r="E12" s="331">
        <v>100</v>
      </c>
      <c r="F12" s="522"/>
      <c r="G12" s="333">
        <f t="shared" si="0"/>
        <v>10585.649999999987</v>
      </c>
      <c r="H12" s="334"/>
      <c r="I12" s="335"/>
      <c r="J12" s="336"/>
      <c r="K12" s="301"/>
      <c r="L12" s="336"/>
      <c r="M12" s="301"/>
      <c r="N12" s="336"/>
      <c r="O12" s="301"/>
      <c r="P12" s="336"/>
      <c r="Q12" s="301"/>
      <c r="R12" s="336"/>
      <c r="S12" s="301"/>
      <c r="T12" s="336"/>
    </row>
    <row r="13" spans="1:20" ht="12" customHeight="1" x14ac:dyDescent="0.3">
      <c r="A13" s="329" t="s">
        <v>286</v>
      </c>
      <c r="B13" s="330">
        <v>33</v>
      </c>
      <c r="C13" s="298">
        <v>46203</v>
      </c>
      <c r="D13" s="298" t="s">
        <v>212</v>
      </c>
      <c r="E13" s="331">
        <v>85</v>
      </c>
      <c r="F13" s="522"/>
      <c r="G13" s="333">
        <f t="shared" si="0"/>
        <v>10685.649999999987</v>
      </c>
      <c r="H13" s="334"/>
      <c r="I13" s="335"/>
      <c r="J13" s="336"/>
      <c r="K13" s="301"/>
      <c r="L13" s="336"/>
      <c r="M13" s="301"/>
      <c r="N13" s="336"/>
      <c r="O13" s="301"/>
      <c r="P13" s="336"/>
      <c r="Q13" s="301"/>
      <c r="R13" s="336"/>
      <c r="S13" s="301"/>
      <c r="T13" s="336"/>
    </row>
    <row r="14" spans="1:20" ht="12" customHeight="1" x14ac:dyDescent="0.3">
      <c r="A14" s="329" t="s">
        <v>286</v>
      </c>
      <c r="B14" s="330">
        <v>34</v>
      </c>
      <c r="C14" s="298">
        <v>46203</v>
      </c>
      <c r="D14" s="298" t="s">
        <v>213</v>
      </c>
      <c r="E14" s="331">
        <v>230</v>
      </c>
      <c r="F14" s="522"/>
      <c r="G14" s="333">
        <f t="shared" si="0"/>
        <v>10770.649999999987</v>
      </c>
      <c r="H14" s="334"/>
      <c r="I14" s="335"/>
      <c r="J14" s="336"/>
      <c r="K14" s="301"/>
      <c r="L14" s="336"/>
      <c r="M14" s="301"/>
      <c r="N14" s="336"/>
      <c r="O14" s="301"/>
      <c r="P14" s="336"/>
      <c r="Q14" s="301"/>
      <c r="R14" s="336"/>
      <c r="S14" s="301"/>
      <c r="T14" s="336"/>
    </row>
    <row r="15" spans="1:20" ht="12" customHeight="1" x14ac:dyDescent="0.3">
      <c r="A15" s="329" t="s">
        <v>286</v>
      </c>
      <c r="B15" s="330">
        <v>35</v>
      </c>
      <c r="C15" s="298">
        <v>46203</v>
      </c>
      <c r="D15" s="298" t="s">
        <v>214</v>
      </c>
      <c r="E15" s="331">
        <v>45</v>
      </c>
      <c r="F15" s="522"/>
      <c r="G15" s="333">
        <f t="shared" si="0"/>
        <v>11000.649999999987</v>
      </c>
      <c r="H15" s="334"/>
      <c r="I15" s="335"/>
      <c r="J15" s="336"/>
      <c r="K15" s="301"/>
      <c r="L15" s="336"/>
      <c r="M15" s="301"/>
      <c r="N15" s="336"/>
      <c r="O15" s="301"/>
      <c r="P15" s="336"/>
      <c r="Q15" s="301"/>
      <c r="R15" s="336"/>
      <c r="S15" s="301"/>
      <c r="T15" s="336"/>
    </row>
    <row r="16" spans="1:20" ht="12" customHeight="1" x14ac:dyDescent="0.3">
      <c r="A16" s="329" t="s">
        <v>287</v>
      </c>
      <c r="B16" s="330" t="s">
        <v>287</v>
      </c>
      <c r="C16" s="298">
        <v>46203</v>
      </c>
      <c r="D16" s="299" t="s">
        <v>423</v>
      </c>
      <c r="E16" s="522">
        <v>185.64</v>
      </c>
      <c r="F16" s="522">
        <v>185.64</v>
      </c>
      <c r="G16" s="333">
        <f t="shared" si="0"/>
        <v>11045.649999999987</v>
      </c>
      <c r="H16" s="334"/>
      <c r="I16" s="335"/>
      <c r="J16" s="336"/>
      <c r="K16" s="301"/>
      <c r="L16" s="336"/>
      <c r="M16" s="301"/>
      <c r="N16" s="336"/>
      <c r="O16" s="301"/>
      <c r="P16" s="336"/>
      <c r="Q16" s="301"/>
      <c r="R16" s="336"/>
      <c r="S16" s="301"/>
      <c r="T16" s="336"/>
    </row>
    <row r="17" spans="1:20" ht="12" customHeight="1" x14ac:dyDescent="0.3">
      <c r="A17" s="329" t="s">
        <v>291</v>
      </c>
      <c r="B17" s="330">
        <v>38</v>
      </c>
      <c r="C17" s="298">
        <v>46202</v>
      </c>
      <c r="D17" s="299" t="s">
        <v>293</v>
      </c>
      <c r="E17" s="522"/>
      <c r="F17" s="522">
        <v>4720.8599999999997</v>
      </c>
      <c r="G17" s="333">
        <f t="shared" si="0"/>
        <v>11045.649999999987</v>
      </c>
      <c r="H17" s="334"/>
      <c r="I17" s="335"/>
      <c r="J17" s="336"/>
      <c r="K17" s="301"/>
      <c r="L17" s="336"/>
      <c r="M17" s="301"/>
      <c r="N17" s="336"/>
      <c r="O17" s="301"/>
      <c r="P17" s="336"/>
      <c r="Q17" s="301"/>
      <c r="R17" s="336"/>
      <c r="S17" s="301"/>
      <c r="T17" s="336"/>
    </row>
    <row r="18" spans="1:20" ht="12" customHeight="1" x14ac:dyDescent="0.3">
      <c r="A18" s="329" t="s">
        <v>287</v>
      </c>
      <c r="B18" s="330" t="s">
        <v>287</v>
      </c>
      <c r="C18" s="298">
        <v>46202</v>
      </c>
      <c r="D18" s="299" t="s">
        <v>942</v>
      </c>
      <c r="E18" s="522">
        <v>180</v>
      </c>
      <c r="F18" s="522">
        <v>180</v>
      </c>
      <c r="G18" s="333">
        <f t="shared" si="0"/>
        <v>6324.7899999999863</v>
      </c>
      <c r="H18" s="334"/>
      <c r="I18" s="335"/>
      <c r="J18" s="336"/>
      <c r="K18" s="301"/>
      <c r="L18" s="336"/>
      <c r="M18" s="301"/>
      <c r="N18" s="336"/>
      <c r="O18" s="301"/>
      <c r="P18" s="336"/>
      <c r="Q18" s="301"/>
      <c r="R18" s="336"/>
      <c r="S18" s="301"/>
      <c r="T18" s="336"/>
    </row>
    <row r="19" spans="1:20" ht="12" customHeight="1" x14ac:dyDescent="0.3">
      <c r="A19" s="329" t="s">
        <v>294</v>
      </c>
      <c r="B19" s="330">
        <v>20</v>
      </c>
      <c r="C19" s="298">
        <v>46202</v>
      </c>
      <c r="D19" s="299" t="s">
        <v>193</v>
      </c>
      <c r="E19" s="522">
        <v>600</v>
      </c>
      <c r="F19" s="522"/>
      <c r="G19" s="333">
        <f t="shared" si="0"/>
        <v>6324.7899999999863</v>
      </c>
      <c r="H19" s="334"/>
      <c r="I19" s="335"/>
      <c r="J19" s="336"/>
      <c r="K19" s="301"/>
      <c r="L19" s="336"/>
      <c r="M19" s="301"/>
      <c r="N19" s="336"/>
      <c r="O19" s="301"/>
      <c r="P19" s="336"/>
      <c r="Q19" s="301"/>
      <c r="R19" s="336"/>
      <c r="S19" s="301"/>
      <c r="T19" s="336"/>
    </row>
    <row r="20" spans="1:20" ht="12" customHeight="1" x14ac:dyDescent="0.3">
      <c r="A20" s="329" t="s">
        <v>289</v>
      </c>
      <c r="B20" s="330">
        <v>2</v>
      </c>
      <c r="C20" s="298">
        <v>46201</v>
      </c>
      <c r="D20" s="299" t="s">
        <v>358</v>
      </c>
      <c r="E20" s="522">
        <v>11.29</v>
      </c>
      <c r="F20" s="522"/>
      <c r="G20" s="333">
        <f t="shared" si="0"/>
        <v>6924.7899999999863</v>
      </c>
      <c r="H20" s="334"/>
      <c r="I20" s="335">
        <v>2</v>
      </c>
      <c r="J20" s="336"/>
      <c r="K20" s="301"/>
      <c r="L20" s="336"/>
      <c r="M20" s="301"/>
      <c r="N20" s="336"/>
      <c r="O20" s="301"/>
      <c r="P20" s="336"/>
      <c r="Q20" s="301"/>
      <c r="R20" s="336"/>
      <c r="S20" s="301"/>
      <c r="T20" s="336"/>
    </row>
    <row r="21" spans="1:20" ht="12" customHeight="1" x14ac:dyDescent="0.3">
      <c r="A21" s="329" t="s">
        <v>289</v>
      </c>
      <c r="B21" s="330">
        <v>8</v>
      </c>
      <c r="C21" s="298">
        <v>46201</v>
      </c>
      <c r="D21" s="299" t="s">
        <v>319</v>
      </c>
      <c r="E21" s="522">
        <v>158.96</v>
      </c>
      <c r="F21" s="522"/>
      <c r="G21" s="333">
        <f t="shared" si="0"/>
        <v>6936.0799999999863</v>
      </c>
      <c r="H21" s="334"/>
      <c r="I21" s="335">
        <v>1</v>
      </c>
      <c r="J21" s="336"/>
      <c r="K21" s="301"/>
      <c r="L21" s="336"/>
      <c r="M21" s="301"/>
      <c r="N21" s="336"/>
      <c r="O21" s="301"/>
      <c r="P21" s="336"/>
      <c r="Q21" s="301"/>
      <c r="R21" s="336"/>
      <c r="S21" s="301"/>
      <c r="T21" s="336"/>
    </row>
    <row r="22" spans="1:20" ht="12" customHeight="1" x14ac:dyDescent="0.3">
      <c r="A22" s="329" t="s">
        <v>289</v>
      </c>
      <c r="B22" s="330">
        <v>6</v>
      </c>
      <c r="C22" s="298">
        <v>46201</v>
      </c>
      <c r="D22" s="299" t="s">
        <v>397</v>
      </c>
      <c r="E22" s="522">
        <v>53.24</v>
      </c>
      <c r="F22" s="522"/>
      <c r="G22" s="333">
        <f t="shared" si="0"/>
        <v>7095.0399999999863</v>
      </c>
      <c r="H22" s="334"/>
      <c r="I22" s="335">
        <v>1</v>
      </c>
      <c r="J22" s="336"/>
      <c r="K22" s="301"/>
      <c r="L22" s="336"/>
      <c r="M22" s="301"/>
      <c r="N22" s="336"/>
      <c r="O22" s="301"/>
      <c r="P22" s="336"/>
      <c r="Q22" s="301"/>
      <c r="R22" s="336"/>
      <c r="S22" s="301"/>
      <c r="T22" s="336"/>
    </row>
    <row r="23" spans="1:20" ht="12" customHeight="1" x14ac:dyDescent="0.3">
      <c r="A23" s="329" t="s">
        <v>289</v>
      </c>
      <c r="B23" s="330">
        <v>2</v>
      </c>
      <c r="C23" s="298">
        <v>46200</v>
      </c>
      <c r="D23" s="299" t="s">
        <v>917</v>
      </c>
      <c r="E23" s="522">
        <v>122.77</v>
      </c>
      <c r="F23" s="522"/>
      <c r="G23" s="333">
        <f t="shared" si="0"/>
        <v>7148.2799999999861</v>
      </c>
      <c r="H23" s="334"/>
      <c r="I23" s="335">
        <v>1</v>
      </c>
      <c r="J23" s="336"/>
      <c r="K23" s="301"/>
      <c r="L23" s="336"/>
      <c r="M23" s="301"/>
      <c r="N23" s="336"/>
      <c r="O23" s="301"/>
      <c r="P23" s="336"/>
      <c r="Q23" s="301"/>
      <c r="R23" s="336"/>
      <c r="S23" s="301"/>
      <c r="T23" s="336"/>
    </row>
    <row r="24" spans="1:20" ht="12" customHeight="1" x14ac:dyDescent="0.3">
      <c r="A24" s="329" t="s">
        <v>289</v>
      </c>
      <c r="B24" s="330">
        <v>1</v>
      </c>
      <c r="C24" s="298">
        <v>46200</v>
      </c>
      <c r="D24" s="299" t="s">
        <v>831</v>
      </c>
      <c r="E24" s="522">
        <v>77.67</v>
      </c>
      <c r="F24" s="522"/>
      <c r="G24" s="333">
        <f t="shared" si="0"/>
        <v>7271.0499999999865</v>
      </c>
      <c r="H24" s="334"/>
      <c r="I24" s="335">
        <v>2</v>
      </c>
      <c r="J24" s="336"/>
      <c r="K24" s="301"/>
      <c r="L24" s="336"/>
      <c r="M24" s="301"/>
      <c r="N24" s="336"/>
      <c r="O24" s="301"/>
      <c r="P24" s="336"/>
      <c r="Q24" s="301"/>
      <c r="R24" s="336"/>
      <c r="S24" s="301"/>
      <c r="T24" s="336"/>
    </row>
    <row r="25" spans="1:20" ht="12" customHeight="1" x14ac:dyDescent="0.3">
      <c r="A25" s="329" t="s">
        <v>289</v>
      </c>
      <c r="B25" s="330">
        <v>5</v>
      </c>
      <c r="C25" s="298">
        <v>46200</v>
      </c>
      <c r="D25" s="299" t="s">
        <v>943</v>
      </c>
      <c r="E25" s="522">
        <v>32.99</v>
      </c>
      <c r="F25" s="522"/>
      <c r="G25" s="333">
        <f t="shared" si="0"/>
        <v>7348.7199999999866</v>
      </c>
      <c r="H25" s="334"/>
      <c r="I25" s="335">
        <v>2</v>
      </c>
      <c r="J25" s="336"/>
      <c r="K25" s="301"/>
      <c r="L25" s="336"/>
      <c r="M25" s="301"/>
      <c r="N25" s="336"/>
      <c r="O25" s="301"/>
      <c r="P25" s="336"/>
      <c r="Q25" s="301"/>
      <c r="R25" s="336"/>
      <c r="S25" s="301"/>
      <c r="T25" s="336"/>
    </row>
    <row r="26" spans="1:20" ht="12" customHeight="1" x14ac:dyDescent="0.3">
      <c r="A26" s="329" t="s">
        <v>287</v>
      </c>
      <c r="B26" s="330" t="s">
        <v>287</v>
      </c>
      <c r="C26" s="298">
        <v>46200</v>
      </c>
      <c r="D26" s="299" t="s">
        <v>945</v>
      </c>
      <c r="E26" s="522">
        <v>207.96</v>
      </c>
      <c r="F26" s="522">
        <v>207.96</v>
      </c>
      <c r="G26" s="333">
        <f t="shared" si="0"/>
        <v>7381.7099999999864</v>
      </c>
      <c r="H26" s="334"/>
      <c r="I26" s="335">
        <v>2</v>
      </c>
      <c r="J26" s="336"/>
      <c r="K26" s="301"/>
      <c r="L26" s="336"/>
      <c r="M26" s="301"/>
      <c r="N26" s="336"/>
      <c r="O26" s="301"/>
      <c r="P26" s="336"/>
      <c r="Q26" s="301"/>
      <c r="R26" s="336"/>
      <c r="S26" s="301"/>
      <c r="T26" s="336"/>
    </row>
    <row r="27" spans="1:20" ht="12" customHeight="1" x14ac:dyDescent="0.3">
      <c r="A27" s="329" t="s">
        <v>289</v>
      </c>
      <c r="B27" s="330">
        <v>2</v>
      </c>
      <c r="C27" s="298">
        <v>46199</v>
      </c>
      <c r="D27" s="299" t="s">
        <v>868</v>
      </c>
      <c r="E27" s="522">
        <v>51.84</v>
      </c>
      <c r="F27" s="522"/>
      <c r="G27" s="333">
        <f t="shared" si="0"/>
        <v>7381.7099999999864</v>
      </c>
      <c r="H27" s="334"/>
      <c r="I27" s="335">
        <v>2</v>
      </c>
      <c r="J27" s="336"/>
      <c r="K27" s="301"/>
      <c r="L27" s="336"/>
      <c r="M27" s="301"/>
      <c r="N27" s="336"/>
      <c r="O27" s="301"/>
      <c r="P27" s="336"/>
      <c r="Q27" s="301"/>
      <c r="R27" s="336"/>
      <c r="S27" s="301"/>
      <c r="T27" s="336"/>
    </row>
    <row r="28" spans="1:20" ht="12" customHeight="1" x14ac:dyDescent="0.3">
      <c r="A28" s="329" t="s">
        <v>289</v>
      </c>
      <c r="B28" s="330">
        <v>3</v>
      </c>
      <c r="C28" s="298">
        <v>46199</v>
      </c>
      <c r="D28" s="299" t="s">
        <v>296</v>
      </c>
      <c r="E28" s="522">
        <v>10.31</v>
      </c>
      <c r="F28" s="522"/>
      <c r="G28" s="333">
        <f t="shared" si="0"/>
        <v>7433.5499999999865</v>
      </c>
      <c r="H28" s="334"/>
      <c r="I28" s="335">
        <v>1</v>
      </c>
      <c r="J28" s="336"/>
      <c r="K28" s="301"/>
      <c r="L28" s="336"/>
      <c r="M28" s="301"/>
      <c r="N28" s="336"/>
      <c r="O28" s="301"/>
      <c r="P28" s="336"/>
      <c r="Q28" s="301"/>
      <c r="R28" s="336"/>
      <c r="S28" s="301"/>
      <c r="T28" s="336"/>
    </row>
    <row r="29" spans="1:20" ht="12" customHeight="1" x14ac:dyDescent="0.3">
      <c r="A29" s="329" t="s">
        <v>289</v>
      </c>
      <c r="B29" s="330">
        <v>4</v>
      </c>
      <c r="C29" s="298">
        <v>46199</v>
      </c>
      <c r="D29" s="299" t="s">
        <v>296</v>
      </c>
      <c r="E29" s="522">
        <v>87.14</v>
      </c>
      <c r="F29" s="522"/>
      <c r="G29" s="333">
        <f t="shared" si="0"/>
        <v>7443.8599999999869</v>
      </c>
      <c r="H29" s="334"/>
      <c r="I29" s="335">
        <v>1</v>
      </c>
      <c r="J29" s="336"/>
      <c r="K29" s="301"/>
      <c r="L29" s="336"/>
      <c r="M29" s="301"/>
      <c r="N29" s="336"/>
      <c r="O29" s="301"/>
      <c r="P29" s="336"/>
      <c r="Q29" s="301"/>
      <c r="R29" s="336"/>
      <c r="S29" s="301"/>
      <c r="T29" s="336"/>
    </row>
    <row r="30" spans="1:20" ht="12" customHeight="1" x14ac:dyDescent="0.3">
      <c r="A30" s="329" t="s">
        <v>289</v>
      </c>
      <c r="B30" s="330">
        <v>5</v>
      </c>
      <c r="C30" s="298">
        <v>46199</v>
      </c>
      <c r="D30" s="299" t="s">
        <v>940</v>
      </c>
      <c r="E30" s="522">
        <v>20</v>
      </c>
      <c r="F30" s="522"/>
      <c r="G30" s="333">
        <f t="shared" si="0"/>
        <v>7530.9999999999873</v>
      </c>
      <c r="H30" s="334"/>
      <c r="I30" s="335"/>
      <c r="J30" s="336"/>
      <c r="K30" s="301"/>
      <c r="L30" s="336"/>
      <c r="M30" s="301"/>
      <c r="N30" s="336"/>
      <c r="O30" s="301"/>
      <c r="P30" s="336"/>
      <c r="Q30" s="301"/>
      <c r="R30" s="336"/>
      <c r="S30" s="301"/>
      <c r="T30" s="336"/>
    </row>
    <row r="31" spans="1:20" ht="12" customHeight="1" x14ac:dyDescent="0.3">
      <c r="A31" s="329" t="s">
        <v>294</v>
      </c>
      <c r="B31" s="330">
        <v>12</v>
      </c>
      <c r="C31" s="298">
        <v>46198</v>
      </c>
      <c r="D31" s="299" t="s">
        <v>314</v>
      </c>
      <c r="E31" s="522">
        <v>204.48</v>
      </c>
      <c r="F31" s="522"/>
      <c r="G31" s="333">
        <f t="shared" si="0"/>
        <v>7550.9999999999873</v>
      </c>
      <c r="H31" s="334"/>
      <c r="I31" s="335"/>
      <c r="J31" s="336"/>
      <c r="K31" s="301"/>
      <c r="L31" s="336"/>
      <c r="M31" s="301"/>
      <c r="N31" s="336"/>
      <c r="O31" s="301"/>
      <c r="P31" s="336"/>
      <c r="Q31" s="301"/>
      <c r="R31" s="336"/>
      <c r="S31" s="301"/>
      <c r="T31" s="336"/>
    </row>
    <row r="32" spans="1:20" ht="12" customHeight="1" x14ac:dyDescent="0.3">
      <c r="A32" s="329" t="s">
        <v>291</v>
      </c>
      <c r="B32" s="330">
        <v>39</v>
      </c>
      <c r="C32" s="298">
        <v>46198</v>
      </c>
      <c r="D32" s="299" t="s">
        <v>292</v>
      </c>
      <c r="E32" s="522"/>
      <c r="F32" s="522">
        <v>2763.77</v>
      </c>
      <c r="G32" s="333">
        <f t="shared" si="0"/>
        <v>7755.4799999999868</v>
      </c>
      <c r="H32" s="334"/>
      <c r="I32" s="335"/>
      <c r="J32" s="336"/>
      <c r="K32" s="301"/>
      <c r="L32" s="336"/>
      <c r="M32" s="301"/>
      <c r="N32" s="336"/>
      <c r="O32" s="301"/>
      <c r="P32" s="336"/>
      <c r="Q32" s="301"/>
      <c r="R32" s="336"/>
      <c r="S32" s="301"/>
      <c r="T32" s="336"/>
    </row>
    <row r="33" spans="1:20" ht="12" customHeight="1" x14ac:dyDescent="0.3">
      <c r="A33" s="329" t="s">
        <v>289</v>
      </c>
      <c r="B33" s="330">
        <v>5</v>
      </c>
      <c r="C33" s="298">
        <v>46198</v>
      </c>
      <c r="D33" s="299" t="s">
        <v>846</v>
      </c>
      <c r="E33" s="522">
        <v>11.2</v>
      </c>
      <c r="F33" s="522"/>
      <c r="G33" s="333">
        <f t="shared" ref="G33:G53" si="1">G34-E33+F33</f>
        <v>4991.7099999999864</v>
      </c>
      <c r="H33" s="334"/>
      <c r="I33" s="335"/>
      <c r="J33" s="336"/>
      <c r="K33" s="301"/>
      <c r="L33" s="336"/>
      <c r="M33" s="301"/>
      <c r="N33" s="336"/>
      <c r="O33" s="301"/>
      <c r="P33" s="336"/>
      <c r="Q33" s="301"/>
      <c r="R33" s="336"/>
      <c r="S33" s="301"/>
      <c r="T33" s="336"/>
    </row>
    <row r="34" spans="1:20" ht="12" customHeight="1" x14ac:dyDescent="0.3">
      <c r="A34" s="329" t="s">
        <v>289</v>
      </c>
      <c r="B34" s="330">
        <v>2</v>
      </c>
      <c r="C34" s="298">
        <v>46197</v>
      </c>
      <c r="D34" s="299" t="s">
        <v>941</v>
      </c>
      <c r="E34" s="522">
        <v>15.99</v>
      </c>
      <c r="F34" s="522"/>
      <c r="G34" s="333">
        <f t="shared" si="1"/>
        <v>5002.9099999999862</v>
      </c>
      <c r="H34" s="334"/>
      <c r="I34" s="335"/>
      <c r="J34" s="336"/>
      <c r="K34" s="301"/>
      <c r="L34" s="336"/>
      <c r="M34" s="301"/>
      <c r="N34" s="336"/>
      <c r="O34" s="301"/>
      <c r="P34" s="336"/>
      <c r="Q34" s="301"/>
      <c r="R34" s="336"/>
      <c r="S34" s="301"/>
      <c r="T34" s="336"/>
    </row>
    <row r="35" spans="1:20" ht="12" customHeight="1" x14ac:dyDescent="0.3">
      <c r="A35" s="329" t="s">
        <v>289</v>
      </c>
      <c r="B35" s="330">
        <v>5</v>
      </c>
      <c r="C35" s="298">
        <v>46197</v>
      </c>
      <c r="D35" s="299" t="s">
        <v>340</v>
      </c>
      <c r="E35" s="522">
        <v>47.93</v>
      </c>
      <c r="F35" s="522"/>
      <c r="G35" s="333">
        <f t="shared" si="1"/>
        <v>5018.899999999986</v>
      </c>
      <c r="H35" s="334"/>
      <c r="I35" s="335"/>
      <c r="J35" s="336"/>
      <c r="K35" s="301"/>
      <c r="L35" s="336"/>
      <c r="M35" s="301"/>
      <c r="N35" s="336"/>
      <c r="O35" s="301"/>
      <c r="P35" s="336"/>
      <c r="Q35" s="301"/>
      <c r="R35" s="336"/>
      <c r="S35" s="301"/>
      <c r="T35" s="336"/>
    </row>
    <row r="36" spans="1:20" ht="12" customHeight="1" x14ac:dyDescent="0.3">
      <c r="A36" s="329" t="s">
        <v>294</v>
      </c>
      <c r="B36" s="330">
        <v>43</v>
      </c>
      <c r="C36" s="298">
        <v>46197</v>
      </c>
      <c r="D36" s="299" t="s">
        <v>201</v>
      </c>
      <c r="E36" s="522">
        <v>42.84</v>
      </c>
      <c r="F36" s="522"/>
      <c r="G36" s="333">
        <f t="shared" si="1"/>
        <v>5066.8299999999863</v>
      </c>
      <c r="H36" s="334"/>
      <c r="I36" s="335"/>
      <c r="J36" s="336"/>
      <c r="K36" s="301"/>
      <c r="L36" s="336"/>
      <c r="M36" s="301"/>
      <c r="N36" s="336"/>
      <c r="O36" s="301"/>
      <c r="P36" s="336"/>
      <c r="Q36" s="301"/>
      <c r="R36" s="336"/>
      <c r="S36" s="301"/>
      <c r="T36" s="336"/>
    </row>
    <row r="37" spans="1:20" ht="12" customHeight="1" x14ac:dyDescent="0.3">
      <c r="A37" s="329" t="s">
        <v>294</v>
      </c>
      <c r="B37" s="330">
        <v>42</v>
      </c>
      <c r="C37" s="298">
        <v>46197</v>
      </c>
      <c r="D37" s="299" t="s">
        <v>200</v>
      </c>
      <c r="E37" s="522">
        <v>99.4</v>
      </c>
      <c r="F37" s="522"/>
      <c r="G37" s="333">
        <f t="shared" si="1"/>
        <v>5109.6699999999864</v>
      </c>
      <c r="H37" s="334"/>
      <c r="I37" s="335"/>
      <c r="J37" s="336"/>
      <c r="K37" s="301"/>
      <c r="L37" s="336"/>
      <c r="M37" s="301"/>
      <c r="N37" s="336"/>
      <c r="O37" s="301"/>
      <c r="P37" s="336"/>
      <c r="Q37" s="301"/>
      <c r="R37" s="336"/>
      <c r="S37" s="301"/>
      <c r="T37" s="336"/>
    </row>
    <row r="38" spans="1:20" ht="12" customHeight="1" x14ac:dyDescent="0.3">
      <c r="A38" s="329" t="s">
        <v>289</v>
      </c>
      <c r="B38" s="330">
        <v>8</v>
      </c>
      <c r="C38" s="298">
        <v>46196</v>
      </c>
      <c r="D38" s="299" t="s">
        <v>319</v>
      </c>
      <c r="E38" s="522">
        <v>5.68</v>
      </c>
      <c r="F38" s="522"/>
      <c r="G38" s="333">
        <f t="shared" si="1"/>
        <v>5209.0699999999861</v>
      </c>
      <c r="H38" s="334"/>
      <c r="I38" s="335"/>
      <c r="J38" s="336"/>
      <c r="K38" s="301"/>
      <c r="L38" s="336"/>
      <c r="M38" s="301"/>
      <c r="N38" s="336"/>
      <c r="O38" s="301"/>
      <c r="P38" s="336"/>
      <c r="Q38" s="301"/>
      <c r="R38" s="336"/>
      <c r="S38" s="301"/>
      <c r="T38" s="336"/>
    </row>
    <row r="39" spans="1:20" ht="12" customHeight="1" x14ac:dyDescent="0.3">
      <c r="A39" s="329" t="s">
        <v>289</v>
      </c>
      <c r="B39" s="330">
        <v>1</v>
      </c>
      <c r="C39" s="298">
        <v>46196</v>
      </c>
      <c r="D39" s="299" t="s">
        <v>306</v>
      </c>
      <c r="E39" s="522">
        <v>167.73</v>
      </c>
      <c r="F39" s="522"/>
      <c r="G39" s="333">
        <f t="shared" si="1"/>
        <v>5214.7499999999864</v>
      </c>
      <c r="H39" s="334"/>
      <c r="I39" s="335"/>
      <c r="J39" s="336"/>
      <c r="K39" s="301"/>
      <c r="L39" s="336"/>
      <c r="M39" s="301"/>
      <c r="N39" s="336"/>
      <c r="O39" s="301"/>
      <c r="P39" s="336"/>
      <c r="Q39" s="301"/>
      <c r="R39" s="336"/>
      <c r="S39" s="301"/>
      <c r="T39" s="336"/>
    </row>
    <row r="40" spans="1:20" ht="12" customHeight="1" x14ac:dyDescent="0.3">
      <c r="A40" s="329" t="s">
        <v>289</v>
      </c>
      <c r="B40" s="330">
        <v>4</v>
      </c>
      <c r="C40" s="298">
        <v>46196</v>
      </c>
      <c r="D40" s="299" t="s">
        <v>296</v>
      </c>
      <c r="E40" s="522">
        <v>40.81</v>
      </c>
      <c r="F40" s="522"/>
      <c r="G40" s="333">
        <f t="shared" si="1"/>
        <v>5382.4799999999859</v>
      </c>
      <c r="H40" s="334"/>
      <c r="I40" s="335"/>
      <c r="J40" s="336"/>
      <c r="K40" s="301"/>
      <c r="L40" s="336"/>
      <c r="M40" s="301"/>
      <c r="N40" s="336"/>
      <c r="O40" s="301"/>
      <c r="P40" s="336"/>
      <c r="Q40" s="301"/>
      <c r="R40" s="336"/>
      <c r="S40" s="301"/>
      <c r="T40" s="336"/>
    </row>
    <row r="41" spans="1:20" ht="12" customHeight="1" x14ac:dyDescent="0.3">
      <c r="A41" s="329" t="s">
        <v>289</v>
      </c>
      <c r="B41" s="330">
        <v>2</v>
      </c>
      <c r="C41" s="298">
        <v>46196</v>
      </c>
      <c r="D41" s="299" t="s">
        <v>334</v>
      </c>
      <c r="E41" s="522">
        <v>17.68</v>
      </c>
      <c r="F41" s="522"/>
      <c r="G41" s="333">
        <f t="shared" si="1"/>
        <v>5423.2899999999863</v>
      </c>
      <c r="H41" s="334"/>
      <c r="I41" s="335"/>
      <c r="J41" s="336"/>
      <c r="K41" s="301"/>
      <c r="L41" s="336"/>
      <c r="M41" s="301"/>
      <c r="N41" s="336"/>
      <c r="O41" s="301"/>
      <c r="P41" s="336"/>
      <c r="Q41" s="301"/>
      <c r="R41" s="336"/>
      <c r="S41" s="301"/>
      <c r="T41" s="336"/>
    </row>
    <row r="42" spans="1:20" ht="12" customHeight="1" x14ac:dyDescent="0.3">
      <c r="A42" s="329" t="s">
        <v>289</v>
      </c>
      <c r="B42" s="330">
        <v>3</v>
      </c>
      <c r="C42" s="298">
        <v>46196</v>
      </c>
      <c r="D42" s="299" t="s">
        <v>320</v>
      </c>
      <c r="E42" s="522">
        <v>5.19</v>
      </c>
      <c r="F42" s="522"/>
      <c r="G42" s="333">
        <f t="shared" si="1"/>
        <v>5440.9699999999866</v>
      </c>
      <c r="H42" s="334"/>
      <c r="I42" s="335"/>
      <c r="J42" s="336"/>
      <c r="K42" s="301"/>
      <c r="L42" s="336"/>
      <c r="M42" s="301"/>
      <c r="N42" s="336"/>
      <c r="O42" s="301"/>
      <c r="P42" s="336"/>
      <c r="Q42" s="301"/>
      <c r="R42" s="336"/>
      <c r="S42" s="301"/>
      <c r="T42" s="336"/>
    </row>
    <row r="43" spans="1:20" ht="12" customHeight="1" x14ac:dyDescent="0.3">
      <c r="A43" s="329" t="s">
        <v>289</v>
      </c>
      <c r="B43" s="330">
        <v>8</v>
      </c>
      <c r="C43" s="298">
        <v>46196</v>
      </c>
      <c r="D43" s="299" t="s">
        <v>308</v>
      </c>
      <c r="E43" s="522">
        <v>71.75</v>
      </c>
      <c r="F43" s="522"/>
      <c r="G43" s="333">
        <f t="shared" si="1"/>
        <v>5446.1599999999862</v>
      </c>
      <c r="H43" s="334"/>
      <c r="I43" s="335"/>
      <c r="J43" s="336"/>
      <c r="K43" s="301"/>
      <c r="L43" s="336"/>
      <c r="M43" s="301"/>
      <c r="N43" s="336"/>
      <c r="O43" s="301"/>
      <c r="P43" s="336"/>
      <c r="Q43" s="301"/>
      <c r="R43" s="336"/>
      <c r="S43" s="301"/>
      <c r="T43" s="336"/>
    </row>
    <row r="44" spans="1:20" ht="12" customHeight="1" x14ac:dyDescent="0.3">
      <c r="A44" s="329" t="s">
        <v>294</v>
      </c>
      <c r="B44" s="330">
        <v>22</v>
      </c>
      <c r="C44" s="298">
        <v>46196</v>
      </c>
      <c r="D44" s="299" t="s">
        <v>835</v>
      </c>
      <c r="E44" s="522">
        <v>15.96</v>
      </c>
      <c r="F44" s="522"/>
      <c r="G44" s="333">
        <f t="shared" si="1"/>
        <v>5517.9099999999862</v>
      </c>
      <c r="H44" s="334"/>
      <c r="I44" s="335"/>
      <c r="J44" s="336"/>
      <c r="K44" s="301"/>
      <c r="L44" s="336"/>
      <c r="M44" s="301"/>
      <c r="N44" s="336"/>
      <c r="O44" s="301"/>
      <c r="P44" s="336"/>
      <c r="Q44" s="301"/>
      <c r="R44" s="336"/>
      <c r="S44" s="301"/>
      <c r="T44" s="336"/>
    </row>
    <row r="45" spans="1:20" ht="12" customHeight="1" x14ac:dyDescent="0.3">
      <c r="A45" s="329" t="s">
        <v>289</v>
      </c>
      <c r="B45" s="330">
        <v>2</v>
      </c>
      <c r="C45" s="298">
        <v>46195</v>
      </c>
      <c r="D45" s="299" t="s">
        <v>334</v>
      </c>
      <c r="E45" s="522">
        <v>7.89</v>
      </c>
      <c r="F45" s="522"/>
      <c r="G45" s="333">
        <f t="shared" si="1"/>
        <v>5533.8699999999862</v>
      </c>
      <c r="H45" s="334"/>
      <c r="I45" s="335"/>
      <c r="J45" s="336"/>
      <c r="K45" s="301"/>
      <c r="L45" s="336"/>
      <c r="M45" s="301"/>
      <c r="N45" s="336"/>
      <c r="O45" s="301"/>
      <c r="P45" s="336"/>
      <c r="Q45" s="301"/>
      <c r="R45" s="336"/>
      <c r="S45" s="301"/>
      <c r="T45" s="336"/>
    </row>
    <row r="46" spans="1:20" ht="12" customHeight="1" x14ac:dyDescent="0.3">
      <c r="A46" s="329" t="s">
        <v>287</v>
      </c>
      <c r="B46" s="330" t="s">
        <v>287</v>
      </c>
      <c r="C46" s="298">
        <v>46195</v>
      </c>
      <c r="D46" s="299" t="s">
        <v>939</v>
      </c>
      <c r="E46" s="522">
        <v>86.07</v>
      </c>
      <c r="F46" s="522">
        <v>86.07</v>
      </c>
      <c r="G46" s="333">
        <f t="shared" si="1"/>
        <v>5541.7599999999866</v>
      </c>
      <c r="H46" s="334"/>
      <c r="I46" s="335"/>
      <c r="J46" s="336"/>
      <c r="K46" s="301"/>
      <c r="L46" s="336"/>
      <c r="M46" s="301"/>
      <c r="N46" s="336"/>
      <c r="O46" s="301"/>
      <c r="P46" s="336"/>
      <c r="Q46" s="301"/>
      <c r="R46" s="336"/>
      <c r="S46" s="301"/>
      <c r="T46" s="336"/>
    </row>
    <row r="47" spans="1:20" ht="12" customHeight="1" x14ac:dyDescent="0.3">
      <c r="A47" s="329" t="s">
        <v>287</v>
      </c>
      <c r="B47" s="330" t="s">
        <v>287</v>
      </c>
      <c r="C47" s="298">
        <v>46195</v>
      </c>
      <c r="D47" s="299" t="s">
        <v>922</v>
      </c>
      <c r="E47" s="522">
        <v>14.98</v>
      </c>
      <c r="F47" s="522">
        <v>14.98</v>
      </c>
      <c r="G47" s="333">
        <f t="shared" si="1"/>
        <v>5541.7599999999866</v>
      </c>
      <c r="H47" s="334"/>
      <c r="I47" s="335"/>
      <c r="J47" s="336"/>
      <c r="K47" s="301"/>
      <c r="L47" s="336"/>
      <c r="M47" s="301"/>
      <c r="N47" s="336"/>
      <c r="O47" s="301"/>
      <c r="P47" s="336"/>
      <c r="Q47" s="301"/>
      <c r="R47" s="336"/>
      <c r="S47" s="301"/>
      <c r="T47" s="336"/>
    </row>
    <row r="48" spans="1:20" ht="12" customHeight="1" x14ac:dyDescent="0.3">
      <c r="A48" s="329" t="s">
        <v>287</v>
      </c>
      <c r="B48" s="330" t="s">
        <v>287</v>
      </c>
      <c r="C48" s="298">
        <v>46195</v>
      </c>
      <c r="D48" s="299" t="s">
        <v>936</v>
      </c>
      <c r="E48" s="522">
        <v>83.52</v>
      </c>
      <c r="F48" s="522">
        <v>83.52</v>
      </c>
      <c r="G48" s="333">
        <f t="shared" si="1"/>
        <v>5541.7599999999866</v>
      </c>
      <c r="H48" s="334"/>
      <c r="I48" s="335"/>
      <c r="J48" s="336"/>
      <c r="K48" s="301"/>
      <c r="L48" s="336"/>
      <c r="M48" s="301"/>
      <c r="N48" s="336"/>
      <c r="O48" s="301"/>
      <c r="P48" s="336"/>
      <c r="Q48" s="301"/>
      <c r="R48" s="336"/>
      <c r="S48" s="301"/>
      <c r="T48" s="336"/>
    </row>
    <row r="49" spans="1:20" ht="12" customHeight="1" x14ac:dyDescent="0.3">
      <c r="A49" s="329" t="s">
        <v>287</v>
      </c>
      <c r="B49" s="330" t="s">
        <v>287</v>
      </c>
      <c r="C49" s="298">
        <v>46195</v>
      </c>
      <c r="D49" s="299" t="s">
        <v>937</v>
      </c>
      <c r="E49" s="522">
        <v>62.19</v>
      </c>
      <c r="F49" s="522">
        <v>62.19</v>
      </c>
      <c r="G49" s="333">
        <f t="shared" si="1"/>
        <v>5541.7599999999866</v>
      </c>
      <c r="H49" s="334"/>
      <c r="I49" s="335"/>
      <c r="J49" s="336"/>
      <c r="K49" s="301"/>
      <c r="L49" s="336"/>
      <c r="M49" s="301"/>
      <c r="N49" s="336"/>
      <c r="O49" s="301"/>
      <c r="P49" s="336"/>
      <c r="Q49" s="301"/>
      <c r="R49" s="336"/>
      <c r="S49" s="301"/>
      <c r="T49" s="336"/>
    </row>
    <row r="50" spans="1:20" ht="12" customHeight="1" x14ac:dyDescent="0.3">
      <c r="A50" s="329" t="s">
        <v>289</v>
      </c>
      <c r="B50" s="330">
        <v>3</v>
      </c>
      <c r="C50" s="298">
        <v>46195</v>
      </c>
      <c r="D50" s="299" t="s">
        <v>310</v>
      </c>
      <c r="E50" s="522">
        <v>6.99</v>
      </c>
      <c r="F50" s="522"/>
      <c r="G50" s="333">
        <f t="shared" si="1"/>
        <v>5541.7599999999866</v>
      </c>
      <c r="H50" s="334"/>
      <c r="I50" s="335"/>
      <c r="J50" s="336"/>
      <c r="K50" s="301"/>
      <c r="L50" s="336"/>
      <c r="M50" s="301"/>
      <c r="N50" s="336"/>
      <c r="O50" s="301"/>
      <c r="P50" s="336"/>
      <c r="Q50" s="301"/>
      <c r="R50" s="336"/>
      <c r="S50" s="301"/>
      <c r="T50" s="336"/>
    </row>
    <row r="51" spans="1:20" ht="12" customHeight="1" x14ac:dyDescent="0.3">
      <c r="A51" s="329" t="s">
        <v>287</v>
      </c>
      <c r="B51" s="330" t="s">
        <v>287</v>
      </c>
      <c r="C51" s="298">
        <v>46195</v>
      </c>
      <c r="D51" s="299" t="s">
        <v>938</v>
      </c>
      <c r="E51" s="522">
        <v>60.47</v>
      </c>
      <c r="F51" s="522">
        <v>60.47</v>
      </c>
      <c r="G51" s="333">
        <f t="shared" si="1"/>
        <v>5548.7499999999864</v>
      </c>
      <c r="H51" s="334"/>
      <c r="I51" s="335"/>
      <c r="J51" s="336"/>
      <c r="K51" s="301"/>
      <c r="L51" s="336"/>
      <c r="M51" s="301"/>
      <c r="N51" s="336"/>
      <c r="O51" s="301"/>
      <c r="P51" s="336"/>
      <c r="Q51" s="301"/>
      <c r="R51" s="336"/>
      <c r="S51" s="301"/>
      <c r="T51" s="336"/>
    </row>
    <row r="52" spans="1:20" ht="12" customHeight="1" x14ac:dyDescent="0.3">
      <c r="A52" s="329" t="s">
        <v>294</v>
      </c>
      <c r="B52" s="330">
        <v>22</v>
      </c>
      <c r="C52" s="298">
        <v>46195</v>
      </c>
      <c r="D52" s="299" t="s">
        <v>323</v>
      </c>
      <c r="E52" s="522">
        <v>20.22</v>
      </c>
      <c r="F52" s="522"/>
      <c r="G52" s="333">
        <f t="shared" si="1"/>
        <v>5548.7499999999864</v>
      </c>
      <c r="H52" s="334"/>
      <c r="I52" s="335"/>
      <c r="J52" s="336"/>
      <c r="K52" s="301"/>
      <c r="L52" s="336"/>
      <c r="M52" s="301"/>
      <c r="N52" s="336"/>
      <c r="O52" s="301"/>
      <c r="P52" s="336"/>
      <c r="Q52" s="301"/>
      <c r="R52" s="336"/>
      <c r="S52" s="301"/>
      <c r="T52" s="336"/>
    </row>
    <row r="53" spans="1:20" ht="12" customHeight="1" x14ac:dyDescent="0.3">
      <c r="A53" s="329" t="s">
        <v>289</v>
      </c>
      <c r="B53" s="330">
        <v>6</v>
      </c>
      <c r="C53" s="298">
        <v>46195</v>
      </c>
      <c r="D53" s="299" t="s">
        <v>919</v>
      </c>
      <c r="E53" s="522">
        <v>200</v>
      </c>
      <c r="F53" s="522"/>
      <c r="G53" s="333">
        <f t="shared" si="1"/>
        <v>5568.9699999999866</v>
      </c>
      <c r="H53" s="334"/>
      <c r="I53" s="335"/>
      <c r="J53" s="336"/>
      <c r="K53" s="301"/>
      <c r="L53" s="336"/>
      <c r="M53" s="301"/>
      <c r="N53" s="336"/>
      <c r="O53" s="301"/>
      <c r="P53" s="336"/>
      <c r="Q53" s="301"/>
      <c r="R53" s="336"/>
      <c r="S53" s="301"/>
      <c r="T53" s="336"/>
    </row>
    <row r="54" spans="1:20" ht="12" customHeight="1" x14ac:dyDescent="0.3">
      <c r="A54" s="329" t="s">
        <v>289</v>
      </c>
      <c r="B54" s="330">
        <v>5</v>
      </c>
      <c r="C54" s="298">
        <v>46194</v>
      </c>
      <c r="D54" s="299" t="s">
        <v>340</v>
      </c>
      <c r="E54" s="522">
        <v>47.93</v>
      </c>
      <c r="F54" s="522"/>
      <c r="G54" s="333">
        <f t="shared" ref="G54:G74" si="2">G55-E54+F54</f>
        <v>5768.9699999999866</v>
      </c>
      <c r="H54" s="334"/>
      <c r="I54" s="335"/>
      <c r="J54" s="336"/>
      <c r="K54" s="301"/>
      <c r="L54" s="336"/>
      <c r="M54" s="301"/>
      <c r="N54" s="336"/>
      <c r="O54" s="301"/>
      <c r="P54" s="336"/>
      <c r="Q54" s="301"/>
      <c r="R54" s="336"/>
      <c r="S54" s="301"/>
      <c r="T54" s="336"/>
    </row>
    <row r="55" spans="1:20" ht="12" customHeight="1" x14ac:dyDescent="0.3">
      <c r="A55" s="329" t="s">
        <v>287</v>
      </c>
      <c r="B55" s="330" t="s">
        <v>287</v>
      </c>
      <c r="C55" s="298">
        <v>46194</v>
      </c>
      <c r="D55" s="299" t="s">
        <v>935</v>
      </c>
      <c r="E55" s="522"/>
      <c r="F55" s="522">
        <v>50</v>
      </c>
      <c r="G55" s="333">
        <f t="shared" si="2"/>
        <v>5816.8999999999869</v>
      </c>
      <c r="H55" s="334"/>
      <c r="I55" s="335"/>
      <c r="J55" s="336"/>
      <c r="K55" s="301"/>
      <c r="L55" s="336"/>
      <c r="M55" s="301"/>
      <c r="N55" s="336"/>
      <c r="O55" s="301"/>
      <c r="P55" s="336"/>
      <c r="Q55" s="301"/>
      <c r="R55" s="336"/>
      <c r="S55" s="301"/>
      <c r="T55" s="336"/>
    </row>
    <row r="56" spans="1:20" ht="12" customHeight="1" x14ac:dyDescent="0.3">
      <c r="A56" s="329" t="s">
        <v>287</v>
      </c>
      <c r="B56" s="330" t="s">
        <v>287</v>
      </c>
      <c r="C56" s="298">
        <v>46194</v>
      </c>
      <c r="D56" s="299" t="s">
        <v>935</v>
      </c>
      <c r="E56" s="522">
        <v>50</v>
      </c>
      <c r="F56" s="522"/>
      <c r="G56" s="333">
        <f t="shared" si="2"/>
        <v>5766.8999999999869</v>
      </c>
      <c r="H56" s="334" t="s">
        <v>298</v>
      </c>
      <c r="I56" s="335"/>
      <c r="J56" s="336"/>
      <c r="K56" s="301"/>
      <c r="L56" s="336"/>
      <c r="M56" s="301"/>
      <c r="N56" s="336"/>
      <c r="O56" s="301"/>
      <c r="P56" s="336"/>
      <c r="Q56" s="301"/>
      <c r="R56" s="336"/>
      <c r="S56" s="301"/>
      <c r="T56" s="336"/>
    </row>
    <row r="57" spans="1:20" ht="12" customHeight="1" x14ac:dyDescent="0.3">
      <c r="A57" s="329" t="s">
        <v>287</v>
      </c>
      <c r="B57" s="330" t="s">
        <v>287</v>
      </c>
      <c r="C57" s="298">
        <v>46194</v>
      </c>
      <c r="D57" s="299" t="s">
        <v>922</v>
      </c>
      <c r="E57" s="522">
        <v>28.38</v>
      </c>
      <c r="F57" s="522">
        <v>28.38</v>
      </c>
      <c r="G57" s="333">
        <f t="shared" si="2"/>
        <v>5816.8999999999869</v>
      </c>
      <c r="H57" s="334"/>
      <c r="I57" s="335"/>
      <c r="J57" s="336"/>
      <c r="K57" s="301"/>
      <c r="L57" s="336"/>
      <c r="M57" s="301"/>
      <c r="N57" s="336"/>
      <c r="O57" s="301"/>
      <c r="P57" s="336"/>
      <c r="Q57" s="301"/>
      <c r="R57" s="336"/>
      <c r="S57" s="301"/>
      <c r="T57" s="336"/>
    </row>
    <row r="58" spans="1:20" ht="12" customHeight="1" x14ac:dyDescent="0.3">
      <c r="A58" s="329" t="s">
        <v>287</v>
      </c>
      <c r="B58" s="330" t="s">
        <v>287</v>
      </c>
      <c r="C58" s="298">
        <v>46194</v>
      </c>
      <c r="D58" s="299" t="s">
        <v>920</v>
      </c>
      <c r="E58" s="522">
        <v>35.020000000000003</v>
      </c>
      <c r="F58" s="522">
        <v>35.020000000000003</v>
      </c>
      <c r="G58" s="333">
        <f t="shared" si="2"/>
        <v>5816.8999999999869</v>
      </c>
      <c r="H58" s="334"/>
      <c r="I58" s="335"/>
      <c r="J58" s="336"/>
      <c r="K58" s="301"/>
      <c r="L58" s="336"/>
      <c r="M58" s="301"/>
      <c r="N58" s="336"/>
      <c r="O58" s="301"/>
      <c r="P58" s="336"/>
      <c r="Q58" s="301"/>
      <c r="R58" s="336"/>
      <c r="S58" s="301"/>
      <c r="T58" s="336"/>
    </row>
    <row r="59" spans="1:20" ht="12" customHeight="1" x14ac:dyDescent="0.3">
      <c r="A59" s="329" t="s">
        <v>287</v>
      </c>
      <c r="B59" s="330" t="s">
        <v>287</v>
      </c>
      <c r="C59" s="298">
        <v>46194</v>
      </c>
      <c r="D59" s="299" t="s">
        <v>927</v>
      </c>
      <c r="E59" s="522">
        <v>83.81</v>
      </c>
      <c r="F59" s="522">
        <v>83.81</v>
      </c>
      <c r="G59" s="333">
        <f t="shared" si="2"/>
        <v>5816.8999999999869</v>
      </c>
      <c r="H59" s="334"/>
      <c r="I59" s="335"/>
      <c r="J59" s="336"/>
      <c r="K59" s="301"/>
      <c r="L59" s="336"/>
      <c r="M59" s="301"/>
      <c r="N59" s="336"/>
      <c r="O59" s="301"/>
      <c r="P59" s="336"/>
      <c r="Q59" s="301"/>
      <c r="R59" s="336"/>
      <c r="S59" s="301"/>
      <c r="T59" s="336"/>
    </row>
    <row r="60" spans="1:20" ht="12" customHeight="1" x14ac:dyDescent="0.3">
      <c r="A60" s="329" t="s">
        <v>287</v>
      </c>
      <c r="B60" s="330" t="s">
        <v>287</v>
      </c>
      <c r="C60" s="298">
        <v>46194</v>
      </c>
      <c r="D60" s="299" t="s">
        <v>928</v>
      </c>
      <c r="E60" s="522">
        <v>27.43</v>
      </c>
      <c r="F60" s="522">
        <v>27.43</v>
      </c>
      <c r="G60" s="333">
        <f t="shared" si="2"/>
        <v>5816.8999999999869</v>
      </c>
      <c r="H60" s="334"/>
      <c r="I60" s="335"/>
      <c r="J60" s="336"/>
      <c r="K60" s="301"/>
      <c r="L60" s="336"/>
      <c r="M60" s="301"/>
      <c r="N60" s="336"/>
      <c r="O60" s="301"/>
      <c r="P60" s="336"/>
      <c r="Q60" s="301"/>
      <c r="R60" s="336"/>
      <c r="S60" s="301"/>
      <c r="T60" s="336"/>
    </row>
    <row r="61" spans="1:20" ht="12" customHeight="1" x14ac:dyDescent="0.3">
      <c r="A61" s="329" t="s">
        <v>287</v>
      </c>
      <c r="B61" s="330" t="s">
        <v>287</v>
      </c>
      <c r="C61" s="298">
        <v>46193</v>
      </c>
      <c r="D61" s="299" t="s">
        <v>932</v>
      </c>
      <c r="E61" s="522">
        <v>30.86</v>
      </c>
      <c r="F61" s="522">
        <v>30.86</v>
      </c>
      <c r="G61" s="333">
        <f t="shared" si="2"/>
        <v>5816.8999999999869</v>
      </c>
      <c r="H61" s="334"/>
      <c r="I61" s="335"/>
      <c r="J61" s="336"/>
      <c r="K61" s="301"/>
      <c r="L61" s="336"/>
      <c r="M61" s="301"/>
      <c r="N61" s="336"/>
      <c r="O61" s="301"/>
      <c r="P61" s="336"/>
      <c r="Q61" s="301"/>
      <c r="R61" s="336"/>
      <c r="S61" s="301"/>
      <c r="T61" s="336"/>
    </row>
    <row r="62" spans="1:20" ht="12" customHeight="1" x14ac:dyDescent="0.3">
      <c r="A62" s="329" t="s">
        <v>287</v>
      </c>
      <c r="B62" s="330" t="s">
        <v>287</v>
      </c>
      <c r="C62" s="298">
        <v>46193</v>
      </c>
      <c r="D62" s="299" t="s">
        <v>922</v>
      </c>
      <c r="E62" s="522">
        <v>13.95</v>
      </c>
      <c r="F62" s="522">
        <v>13.95</v>
      </c>
      <c r="G62" s="333">
        <f t="shared" si="2"/>
        <v>5816.8999999999869</v>
      </c>
      <c r="H62" s="334"/>
      <c r="I62" s="335"/>
      <c r="J62" s="336"/>
      <c r="K62" s="301"/>
      <c r="L62" s="336"/>
      <c r="M62" s="301"/>
      <c r="N62" s="336"/>
      <c r="O62" s="301"/>
      <c r="P62" s="336"/>
      <c r="Q62" s="301"/>
      <c r="R62" s="336"/>
      <c r="S62" s="301"/>
      <c r="T62" s="336"/>
    </row>
    <row r="63" spans="1:20" ht="12" customHeight="1" x14ac:dyDescent="0.3">
      <c r="A63" s="329" t="s">
        <v>287</v>
      </c>
      <c r="B63" s="330" t="s">
        <v>287</v>
      </c>
      <c r="C63" s="298">
        <v>46192</v>
      </c>
      <c r="D63" s="299" t="s">
        <v>934</v>
      </c>
      <c r="E63" s="522">
        <v>148.54</v>
      </c>
      <c r="F63" s="522">
        <v>148.54</v>
      </c>
      <c r="G63" s="333">
        <f t="shared" si="2"/>
        <v>5816.8999999999869</v>
      </c>
      <c r="H63" s="334"/>
      <c r="I63" s="335"/>
      <c r="J63" s="336"/>
      <c r="K63" s="301"/>
      <c r="L63" s="336"/>
      <c r="M63" s="301"/>
      <c r="N63" s="336"/>
      <c r="O63" s="301"/>
      <c r="P63" s="336"/>
      <c r="Q63" s="301"/>
      <c r="R63" s="336"/>
      <c r="S63" s="301"/>
      <c r="T63" s="336"/>
    </row>
    <row r="64" spans="1:20" ht="12" customHeight="1" x14ac:dyDescent="0.3">
      <c r="A64" s="329" t="s">
        <v>287</v>
      </c>
      <c r="B64" s="330" t="s">
        <v>287</v>
      </c>
      <c r="C64" s="298">
        <v>46192</v>
      </c>
      <c r="D64" s="299" t="s">
        <v>921</v>
      </c>
      <c r="E64" s="522">
        <v>80</v>
      </c>
      <c r="F64" s="522">
        <v>80</v>
      </c>
      <c r="G64" s="333">
        <f t="shared" si="2"/>
        <v>5816.8999999999869</v>
      </c>
      <c r="H64" s="334"/>
      <c r="I64" s="335"/>
      <c r="J64" s="336"/>
      <c r="K64" s="301"/>
      <c r="L64" s="336"/>
      <c r="M64" s="301"/>
      <c r="N64" s="336"/>
      <c r="O64" s="301"/>
      <c r="P64" s="336"/>
      <c r="Q64" s="301"/>
      <c r="R64" s="336"/>
      <c r="S64" s="301"/>
      <c r="T64" s="336"/>
    </row>
    <row r="65" spans="1:20" ht="12" customHeight="1" x14ac:dyDescent="0.3">
      <c r="A65" s="329" t="s">
        <v>287</v>
      </c>
      <c r="B65" s="330" t="s">
        <v>287</v>
      </c>
      <c r="C65" s="298">
        <v>46192</v>
      </c>
      <c r="D65" s="299" t="s">
        <v>922</v>
      </c>
      <c r="E65" s="522">
        <v>27.98</v>
      </c>
      <c r="F65" s="522">
        <v>27.98</v>
      </c>
      <c r="G65" s="333">
        <f t="shared" si="2"/>
        <v>5816.8999999999869</v>
      </c>
      <c r="H65" s="334"/>
      <c r="I65" s="335"/>
      <c r="J65" s="336"/>
      <c r="K65" s="301"/>
      <c r="L65" s="336"/>
      <c r="M65" s="301"/>
      <c r="N65" s="336"/>
      <c r="O65" s="301"/>
      <c r="P65" s="336"/>
      <c r="Q65" s="301"/>
      <c r="R65" s="336"/>
      <c r="S65" s="301"/>
      <c r="T65" s="336"/>
    </row>
    <row r="66" spans="1:20" ht="12" customHeight="1" x14ac:dyDescent="0.3">
      <c r="A66" s="329" t="s">
        <v>287</v>
      </c>
      <c r="B66" s="330" t="s">
        <v>287</v>
      </c>
      <c r="C66" s="298">
        <v>46192</v>
      </c>
      <c r="D66" s="299" t="s">
        <v>933</v>
      </c>
      <c r="E66" s="522">
        <v>30.63</v>
      </c>
      <c r="F66" s="522">
        <v>30.63</v>
      </c>
      <c r="G66" s="333">
        <f t="shared" si="2"/>
        <v>5816.8999999999869</v>
      </c>
      <c r="H66" s="334"/>
      <c r="I66" s="335"/>
      <c r="J66" s="336"/>
      <c r="K66" s="301"/>
      <c r="L66" s="336"/>
      <c r="M66" s="301"/>
      <c r="N66" s="336"/>
      <c r="O66" s="301"/>
      <c r="P66" s="336"/>
      <c r="Q66" s="301"/>
      <c r="R66" s="336"/>
      <c r="S66" s="301"/>
      <c r="T66" s="336"/>
    </row>
    <row r="67" spans="1:20" ht="12" customHeight="1" x14ac:dyDescent="0.3">
      <c r="A67" s="329" t="s">
        <v>294</v>
      </c>
      <c r="B67" s="330">
        <v>22</v>
      </c>
      <c r="C67" s="298">
        <v>46192</v>
      </c>
      <c r="D67" s="299" t="s">
        <v>923</v>
      </c>
      <c r="E67" s="522">
        <v>7.46</v>
      </c>
      <c r="F67" s="522"/>
      <c r="G67" s="333">
        <f t="shared" si="2"/>
        <v>5816.8999999999869</v>
      </c>
      <c r="H67" s="334"/>
      <c r="I67" s="335"/>
      <c r="J67" s="336"/>
      <c r="K67" s="301"/>
      <c r="L67" s="336"/>
      <c r="M67" s="301"/>
      <c r="N67" s="336"/>
      <c r="O67" s="301"/>
      <c r="P67" s="336"/>
      <c r="Q67" s="301"/>
      <c r="R67" s="336"/>
      <c r="S67" s="301"/>
      <c r="T67" s="336"/>
    </row>
    <row r="68" spans="1:20" ht="12" customHeight="1" x14ac:dyDescent="0.3">
      <c r="A68" s="329" t="s">
        <v>287</v>
      </c>
      <c r="B68" s="330" t="s">
        <v>287</v>
      </c>
      <c r="C68" s="298">
        <v>46192</v>
      </c>
      <c r="D68" s="299" t="s">
        <v>924</v>
      </c>
      <c r="E68" s="522">
        <v>22.07</v>
      </c>
      <c r="F68" s="522">
        <v>22.07</v>
      </c>
      <c r="G68" s="333">
        <f t="shared" si="2"/>
        <v>5824.3599999999869</v>
      </c>
      <c r="H68" s="334"/>
      <c r="I68" s="335"/>
      <c r="J68" s="336"/>
      <c r="K68" s="301"/>
      <c r="L68" s="336"/>
      <c r="M68" s="301"/>
      <c r="N68" s="336"/>
      <c r="O68" s="301"/>
      <c r="P68" s="336"/>
      <c r="Q68" s="301"/>
      <c r="R68" s="336"/>
      <c r="S68" s="301"/>
      <c r="T68" s="336"/>
    </row>
    <row r="69" spans="1:20" ht="12" customHeight="1" x14ac:dyDescent="0.3">
      <c r="A69" s="329" t="s">
        <v>287</v>
      </c>
      <c r="B69" s="330" t="s">
        <v>287</v>
      </c>
      <c r="C69" s="298">
        <v>46192</v>
      </c>
      <c r="D69" s="299" t="s">
        <v>924</v>
      </c>
      <c r="E69" s="522">
        <v>51.04</v>
      </c>
      <c r="F69" s="522">
        <v>51.04</v>
      </c>
      <c r="G69" s="333">
        <f t="shared" si="2"/>
        <v>5824.3599999999869</v>
      </c>
      <c r="H69" s="334"/>
      <c r="I69" s="335"/>
      <c r="J69" s="336"/>
      <c r="K69" s="301"/>
      <c r="L69" s="336"/>
      <c r="M69" s="301"/>
      <c r="N69" s="336"/>
      <c r="O69" s="301"/>
      <c r="P69" s="336"/>
      <c r="Q69" s="301"/>
      <c r="R69" s="336"/>
      <c r="S69" s="301"/>
      <c r="T69" s="336"/>
    </row>
    <row r="70" spans="1:20" ht="12" customHeight="1" x14ac:dyDescent="0.3">
      <c r="A70" s="329" t="s">
        <v>287</v>
      </c>
      <c r="B70" s="330" t="s">
        <v>287</v>
      </c>
      <c r="C70" s="298">
        <v>46192</v>
      </c>
      <c r="D70" s="299" t="s">
        <v>924</v>
      </c>
      <c r="E70" s="522">
        <v>90.59</v>
      </c>
      <c r="F70" s="522">
        <v>90.59</v>
      </c>
      <c r="G70" s="333">
        <f t="shared" si="2"/>
        <v>5824.3599999999869</v>
      </c>
      <c r="H70" s="334"/>
      <c r="I70" s="335"/>
      <c r="J70" s="336"/>
      <c r="K70" s="301"/>
      <c r="L70" s="336"/>
      <c r="M70" s="301"/>
      <c r="N70" s="336"/>
      <c r="O70" s="301"/>
      <c r="P70" s="336"/>
      <c r="Q70" s="301"/>
      <c r="R70" s="336"/>
      <c r="S70" s="301"/>
      <c r="T70" s="336"/>
    </row>
    <row r="71" spans="1:20" ht="12" customHeight="1" x14ac:dyDescent="0.3">
      <c r="A71" s="329" t="s">
        <v>287</v>
      </c>
      <c r="B71" s="330" t="s">
        <v>287</v>
      </c>
      <c r="C71" s="298">
        <v>46192</v>
      </c>
      <c r="D71" s="299" t="s">
        <v>925</v>
      </c>
      <c r="E71" s="522">
        <v>26.02</v>
      </c>
      <c r="F71" s="522">
        <v>26.02</v>
      </c>
      <c r="G71" s="333">
        <f t="shared" si="2"/>
        <v>5824.3599999999869</v>
      </c>
      <c r="H71" s="334"/>
      <c r="I71" s="335"/>
      <c r="J71" s="336"/>
      <c r="K71" s="301"/>
      <c r="L71" s="336"/>
      <c r="M71" s="301"/>
      <c r="N71" s="336"/>
      <c r="O71" s="301"/>
      <c r="P71" s="336"/>
      <c r="Q71" s="301"/>
      <c r="R71" s="336"/>
      <c r="S71" s="301"/>
      <c r="T71" s="336"/>
    </row>
    <row r="72" spans="1:20" ht="12" customHeight="1" x14ac:dyDescent="0.3">
      <c r="A72" s="329" t="s">
        <v>287</v>
      </c>
      <c r="B72" s="330" t="s">
        <v>287</v>
      </c>
      <c r="C72" s="298">
        <v>46192</v>
      </c>
      <c r="D72" s="299" t="s">
        <v>925</v>
      </c>
      <c r="E72" s="522">
        <v>26.02</v>
      </c>
      <c r="F72" s="522">
        <v>26.02</v>
      </c>
      <c r="G72" s="333">
        <f t="shared" si="2"/>
        <v>5824.3599999999869</v>
      </c>
      <c r="H72" s="334"/>
      <c r="I72" s="335"/>
      <c r="J72" s="336"/>
      <c r="K72" s="301"/>
      <c r="L72" s="336"/>
      <c r="M72" s="301"/>
      <c r="N72" s="336"/>
      <c r="O72" s="301"/>
      <c r="P72" s="336"/>
      <c r="Q72" s="301"/>
      <c r="R72" s="336"/>
      <c r="S72" s="301"/>
      <c r="T72" s="336"/>
    </row>
    <row r="73" spans="1:20" ht="12" customHeight="1" x14ac:dyDescent="0.3">
      <c r="A73" s="329" t="s">
        <v>287</v>
      </c>
      <c r="B73" s="330" t="s">
        <v>287</v>
      </c>
      <c r="C73" s="298">
        <v>46192</v>
      </c>
      <c r="D73" s="299" t="s">
        <v>925</v>
      </c>
      <c r="E73" s="522">
        <v>38.03</v>
      </c>
      <c r="F73" s="522">
        <v>38.03</v>
      </c>
      <c r="G73" s="333">
        <f t="shared" si="2"/>
        <v>5824.3599999999869</v>
      </c>
      <c r="H73" s="334"/>
      <c r="I73" s="335"/>
      <c r="J73" s="336"/>
      <c r="K73" s="301"/>
      <c r="L73" s="336"/>
      <c r="M73" s="301"/>
      <c r="N73" s="336"/>
      <c r="O73" s="301"/>
      <c r="P73" s="336"/>
      <c r="Q73" s="301"/>
      <c r="R73" s="336"/>
      <c r="S73" s="301"/>
      <c r="T73" s="336"/>
    </row>
    <row r="74" spans="1:20" ht="12" customHeight="1" x14ac:dyDescent="0.3">
      <c r="A74" s="329" t="s">
        <v>287</v>
      </c>
      <c r="B74" s="330" t="s">
        <v>287</v>
      </c>
      <c r="C74" s="298">
        <v>46192</v>
      </c>
      <c r="D74" s="299" t="s">
        <v>925</v>
      </c>
      <c r="E74" s="522">
        <v>26.03</v>
      </c>
      <c r="F74" s="522">
        <v>26.03</v>
      </c>
      <c r="G74" s="333">
        <f t="shared" si="2"/>
        <v>5824.3599999999869</v>
      </c>
      <c r="H74" s="334"/>
      <c r="I74" s="335"/>
      <c r="J74" s="336"/>
      <c r="K74" s="301"/>
      <c r="L74" s="336"/>
      <c r="M74" s="301"/>
      <c r="N74" s="336"/>
      <c r="O74" s="301"/>
      <c r="P74" s="336"/>
      <c r="Q74" s="301"/>
      <c r="R74" s="336"/>
      <c r="S74" s="301"/>
      <c r="T74" s="336"/>
    </row>
    <row r="75" spans="1:20" ht="12" customHeight="1" x14ac:dyDescent="0.3">
      <c r="A75" s="329" t="s">
        <v>287</v>
      </c>
      <c r="B75" s="330" t="s">
        <v>287</v>
      </c>
      <c r="C75" s="298">
        <v>46192</v>
      </c>
      <c r="D75" s="299" t="s">
        <v>922</v>
      </c>
      <c r="E75" s="522">
        <v>21.98</v>
      </c>
      <c r="F75" s="522">
        <v>21.98</v>
      </c>
      <c r="G75" s="333">
        <f t="shared" ref="G75:G132" si="3">G76-E75+F75</f>
        <v>5824.3599999999869</v>
      </c>
      <c r="H75" s="334"/>
      <c r="I75" s="335"/>
      <c r="J75" s="336"/>
      <c r="K75" s="301"/>
      <c r="L75" s="336"/>
      <c r="M75" s="301"/>
      <c r="N75" s="336"/>
      <c r="O75" s="301"/>
      <c r="P75" s="336"/>
      <c r="Q75" s="301"/>
      <c r="R75" s="336"/>
      <c r="S75" s="301"/>
      <c r="T75" s="336"/>
    </row>
    <row r="76" spans="1:20" ht="12" customHeight="1" x14ac:dyDescent="0.3">
      <c r="A76" s="329" t="s">
        <v>287</v>
      </c>
      <c r="B76" s="330" t="s">
        <v>287</v>
      </c>
      <c r="C76" s="298">
        <v>46192</v>
      </c>
      <c r="D76" s="299" t="s">
        <v>922</v>
      </c>
      <c r="E76" s="522">
        <v>27.99</v>
      </c>
      <c r="F76" s="522">
        <v>27.99</v>
      </c>
      <c r="G76" s="333">
        <f t="shared" si="3"/>
        <v>5824.3599999999869</v>
      </c>
      <c r="H76" s="334"/>
      <c r="I76" s="335"/>
      <c r="J76" s="336"/>
      <c r="K76" s="301"/>
      <c r="L76" s="336"/>
      <c r="M76" s="301"/>
      <c r="N76" s="336"/>
      <c r="O76" s="301"/>
      <c r="P76" s="336"/>
      <c r="Q76" s="301"/>
      <c r="R76" s="336"/>
      <c r="S76" s="301"/>
      <c r="T76" s="336"/>
    </row>
    <row r="77" spans="1:20" ht="12" customHeight="1" x14ac:dyDescent="0.3">
      <c r="A77" s="329" t="s">
        <v>287</v>
      </c>
      <c r="B77" s="330" t="s">
        <v>287</v>
      </c>
      <c r="C77" s="298">
        <v>46191</v>
      </c>
      <c r="D77" s="299" t="s">
        <v>926</v>
      </c>
      <c r="E77" s="522">
        <v>22.69</v>
      </c>
      <c r="F77" s="522">
        <v>22.69</v>
      </c>
      <c r="G77" s="333">
        <f t="shared" si="3"/>
        <v>5824.3599999999869</v>
      </c>
      <c r="H77" s="334"/>
      <c r="I77" s="335"/>
      <c r="J77" s="336"/>
      <c r="K77" s="301"/>
      <c r="L77" s="336"/>
      <c r="M77" s="301"/>
      <c r="N77" s="336"/>
      <c r="O77" s="301"/>
      <c r="P77" s="336"/>
      <c r="Q77" s="301"/>
      <c r="R77" s="336"/>
      <c r="S77" s="301"/>
      <c r="T77" s="336"/>
    </row>
    <row r="78" spans="1:20" ht="12" customHeight="1" x14ac:dyDescent="0.3">
      <c r="A78" s="329" t="s">
        <v>287</v>
      </c>
      <c r="B78" s="330" t="s">
        <v>287</v>
      </c>
      <c r="C78" s="298">
        <v>46191</v>
      </c>
      <c r="D78" s="299" t="s">
        <v>927</v>
      </c>
      <c r="E78" s="522">
        <v>42.32</v>
      </c>
      <c r="F78" s="522">
        <v>42.32</v>
      </c>
      <c r="G78" s="333">
        <f t="shared" si="3"/>
        <v>5824.3599999999869</v>
      </c>
      <c r="H78" s="334"/>
      <c r="I78" s="335"/>
      <c r="J78" s="336"/>
      <c r="K78" s="301"/>
      <c r="L78" s="336"/>
      <c r="M78" s="301"/>
      <c r="N78" s="336"/>
      <c r="O78" s="301"/>
      <c r="P78" s="336"/>
      <c r="Q78" s="301"/>
      <c r="R78" s="336"/>
      <c r="S78" s="301"/>
      <c r="T78" s="336"/>
    </row>
    <row r="79" spans="1:20" ht="12" customHeight="1" x14ac:dyDescent="0.3">
      <c r="A79" s="329" t="s">
        <v>287</v>
      </c>
      <c r="B79" s="330" t="s">
        <v>287</v>
      </c>
      <c r="C79" s="298">
        <v>46191</v>
      </c>
      <c r="D79" s="299" t="s">
        <v>928</v>
      </c>
      <c r="E79" s="522">
        <v>72.86</v>
      </c>
      <c r="F79" s="522">
        <v>72.86</v>
      </c>
      <c r="G79" s="333">
        <f t="shared" si="3"/>
        <v>5824.3599999999869</v>
      </c>
      <c r="H79" s="334"/>
      <c r="I79" s="335"/>
      <c r="J79" s="336"/>
      <c r="K79" s="301"/>
      <c r="L79" s="336"/>
      <c r="M79" s="301"/>
      <c r="N79" s="336"/>
      <c r="O79" s="301"/>
      <c r="P79" s="336"/>
      <c r="Q79" s="301"/>
      <c r="R79" s="336"/>
      <c r="S79" s="301"/>
      <c r="T79" s="336"/>
    </row>
    <row r="80" spans="1:20" ht="12" customHeight="1" x14ac:dyDescent="0.3">
      <c r="A80" s="329" t="s">
        <v>287</v>
      </c>
      <c r="B80" s="330" t="s">
        <v>287</v>
      </c>
      <c r="C80" s="298">
        <v>46191</v>
      </c>
      <c r="D80" s="299" t="s">
        <v>929</v>
      </c>
      <c r="E80" s="522">
        <v>106.89</v>
      </c>
      <c r="F80" s="522">
        <v>106.89</v>
      </c>
      <c r="G80" s="333">
        <f t="shared" si="3"/>
        <v>5824.3599999999869</v>
      </c>
      <c r="H80" s="334"/>
      <c r="I80" s="335"/>
      <c r="J80" s="336"/>
      <c r="K80" s="301"/>
      <c r="L80" s="336"/>
      <c r="M80" s="301"/>
      <c r="N80" s="336"/>
      <c r="O80" s="301"/>
      <c r="P80" s="336"/>
      <c r="Q80" s="301"/>
      <c r="R80" s="336"/>
      <c r="S80" s="301"/>
      <c r="T80" s="336"/>
    </row>
    <row r="81" spans="1:20" ht="12" customHeight="1" x14ac:dyDescent="0.3">
      <c r="A81" s="329" t="s">
        <v>287</v>
      </c>
      <c r="B81" s="330" t="s">
        <v>287</v>
      </c>
      <c r="C81" s="298">
        <v>46191</v>
      </c>
      <c r="D81" s="299" t="s">
        <v>931</v>
      </c>
      <c r="E81" s="522">
        <v>94.74</v>
      </c>
      <c r="F81" s="522">
        <v>94.74</v>
      </c>
      <c r="G81" s="333">
        <f t="shared" si="3"/>
        <v>5824.3599999999869</v>
      </c>
      <c r="H81" s="334"/>
      <c r="I81" s="335"/>
      <c r="J81" s="336"/>
      <c r="K81" s="301"/>
      <c r="L81" s="336"/>
      <c r="M81" s="301"/>
      <c r="N81" s="336"/>
      <c r="O81" s="301"/>
      <c r="P81" s="336"/>
      <c r="Q81" s="301"/>
      <c r="R81" s="336"/>
      <c r="S81" s="301"/>
      <c r="T81" s="336"/>
    </row>
    <row r="82" spans="1:20" ht="12" customHeight="1" x14ac:dyDescent="0.3">
      <c r="A82" s="329" t="s">
        <v>289</v>
      </c>
      <c r="B82" s="330">
        <v>1</v>
      </c>
      <c r="C82" s="298">
        <v>46191</v>
      </c>
      <c r="D82" s="299" t="s">
        <v>306</v>
      </c>
      <c r="E82" s="522">
        <v>99.97</v>
      </c>
      <c r="F82" s="522"/>
      <c r="G82" s="333">
        <f t="shared" si="3"/>
        <v>5824.3599999999869</v>
      </c>
      <c r="H82" s="334"/>
      <c r="I82" s="335"/>
      <c r="J82" s="336"/>
      <c r="K82" s="301"/>
      <c r="L82" s="336"/>
      <c r="M82" s="301"/>
      <c r="N82" s="336"/>
      <c r="O82" s="301"/>
      <c r="P82" s="336"/>
      <c r="Q82" s="301"/>
      <c r="R82" s="336"/>
      <c r="S82" s="301"/>
      <c r="T82" s="336"/>
    </row>
    <row r="83" spans="1:20" ht="12" customHeight="1" x14ac:dyDescent="0.3">
      <c r="A83" s="329" t="s">
        <v>294</v>
      </c>
      <c r="B83" s="330">
        <v>22</v>
      </c>
      <c r="C83" s="298">
        <v>46191</v>
      </c>
      <c r="D83" s="299" t="s">
        <v>930</v>
      </c>
      <c r="E83" s="522">
        <v>13.84</v>
      </c>
      <c r="F83" s="522"/>
      <c r="G83" s="333">
        <f t="shared" si="3"/>
        <v>5924.3299999999872</v>
      </c>
      <c r="H83" s="334"/>
      <c r="I83" s="335"/>
      <c r="J83" s="336"/>
      <c r="K83" s="301"/>
      <c r="L83" s="336"/>
      <c r="M83" s="301"/>
      <c r="N83" s="336"/>
      <c r="O83" s="301"/>
      <c r="P83" s="336"/>
      <c r="Q83" s="301"/>
      <c r="R83" s="336"/>
      <c r="S83" s="301"/>
      <c r="T83" s="336"/>
    </row>
    <row r="84" spans="1:20" ht="12" customHeight="1" x14ac:dyDescent="0.3">
      <c r="A84" s="329" t="s">
        <v>289</v>
      </c>
      <c r="B84" s="330">
        <v>1</v>
      </c>
      <c r="C84" s="298">
        <v>46190</v>
      </c>
      <c r="D84" s="299" t="s">
        <v>306</v>
      </c>
      <c r="E84" s="522">
        <v>87.19</v>
      </c>
      <c r="F84" s="522"/>
      <c r="G84" s="333">
        <f t="shared" si="3"/>
        <v>5938.1699999999873</v>
      </c>
      <c r="H84" s="334"/>
      <c r="I84" s="335"/>
      <c r="J84" s="336"/>
      <c r="K84" s="301"/>
      <c r="L84" s="336"/>
      <c r="M84" s="301"/>
      <c r="N84" s="336"/>
      <c r="O84" s="301"/>
      <c r="P84" s="336"/>
      <c r="Q84" s="301"/>
      <c r="R84" s="336"/>
      <c r="S84" s="301"/>
      <c r="T84" s="336"/>
    </row>
    <row r="85" spans="1:20" ht="12" customHeight="1" x14ac:dyDescent="0.3">
      <c r="A85" s="329" t="s">
        <v>294</v>
      </c>
      <c r="B85" s="330">
        <v>21</v>
      </c>
      <c r="C85" s="298">
        <v>46190</v>
      </c>
      <c r="D85" s="299" t="s">
        <v>194</v>
      </c>
      <c r="E85" s="522">
        <v>81</v>
      </c>
      <c r="F85" s="522"/>
      <c r="G85" s="333">
        <f t="shared" si="3"/>
        <v>6025.3599999999869</v>
      </c>
      <c r="H85" s="334"/>
      <c r="I85" s="335"/>
      <c r="J85" s="336"/>
      <c r="K85" s="301"/>
      <c r="L85" s="336"/>
      <c r="M85" s="301"/>
      <c r="N85" s="336"/>
      <c r="O85" s="301"/>
      <c r="P85" s="336"/>
      <c r="Q85" s="301"/>
      <c r="R85" s="336"/>
      <c r="S85" s="301"/>
      <c r="T85" s="336"/>
    </row>
    <row r="86" spans="1:20" ht="12" customHeight="1" x14ac:dyDescent="0.3">
      <c r="A86" s="329" t="s">
        <v>294</v>
      </c>
      <c r="B86" s="330">
        <v>43</v>
      </c>
      <c r="C86" s="298">
        <v>46190</v>
      </c>
      <c r="D86" s="299" t="s">
        <v>333</v>
      </c>
      <c r="E86" s="522">
        <v>29.8</v>
      </c>
      <c r="F86" s="522"/>
      <c r="G86" s="333">
        <f t="shared" si="3"/>
        <v>6106.3599999999869</v>
      </c>
      <c r="H86" s="334"/>
      <c r="I86" s="335"/>
      <c r="J86" s="336"/>
      <c r="K86" s="301"/>
      <c r="L86" s="336"/>
      <c r="M86" s="301"/>
      <c r="N86" s="336"/>
      <c r="O86" s="301"/>
      <c r="P86" s="336"/>
      <c r="Q86" s="301"/>
      <c r="R86" s="336"/>
      <c r="S86" s="301"/>
      <c r="T86" s="336"/>
    </row>
    <row r="87" spans="1:20" ht="12" customHeight="1" x14ac:dyDescent="0.3">
      <c r="A87" s="329" t="s">
        <v>294</v>
      </c>
      <c r="B87" s="330">
        <v>42</v>
      </c>
      <c r="C87" s="298">
        <v>46190</v>
      </c>
      <c r="D87" s="299" t="s">
        <v>333</v>
      </c>
      <c r="E87" s="522">
        <v>74.5</v>
      </c>
      <c r="F87" s="522"/>
      <c r="G87" s="333">
        <f t="shared" si="3"/>
        <v>6136.1599999999871</v>
      </c>
      <c r="H87" s="334"/>
      <c r="I87" s="335"/>
      <c r="J87" s="336"/>
      <c r="K87" s="301"/>
      <c r="L87" s="336"/>
      <c r="M87" s="301"/>
      <c r="N87" s="336"/>
      <c r="O87" s="301"/>
      <c r="P87" s="336"/>
      <c r="Q87" s="301"/>
      <c r="R87" s="336"/>
      <c r="S87" s="301"/>
      <c r="T87" s="336"/>
    </row>
    <row r="88" spans="1:20" ht="12" customHeight="1" x14ac:dyDescent="0.3">
      <c r="A88" s="329" t="s">
        <v>289</v>
      </c>
      <c r="B88" s="330">
        <v>4</v>
      </c>
      <c r="C88" s="298">
        <v>46190</v>
      </c>
      <c r="D88" s="299" t="s">
        <v>334</v>
      </c>
      <c r="E88" s="522">
        <v>82.35</v>
      </c>
      <c r="F88" s="522"/>
      <c r="G88" s="333">
        <f t="shared" si="3"/>
        <v>6210.6599999999871</v>
      </c>
      <c r="H88" s="334"/>
      <c r="I88" s="335"/>
      <c r="J88" s="336"/>
      <c r="K88" s="301"/>
      <c r="L88" s="336"/>
      <c r="M88" s="301"/>
      <c r="N88" s="336"/>
      <c r="O88" s="301"/>
      <c r="P88" s="336"/>
      <c r="Q88" s="301"/>
      <c r="R88" s="336"/>
      <c r="S88" s="301"/>
      <c r="T88" s="336"/>
    </row>
    <row r="89" spans="1:20" ht="12" customHeight="1" x14ac:dyDescent="0.3">
      <c r="A89" s="329" t="s">
        <v>289</v>
      </c>
      <c r="B89" s="330">
        <v>2</v>
      </c>
      <c r="C89" s="298">
        <v>46190</v>
      </c>
      <c r="D89" s="299" t="s">
        <v>334</v>
      </c>
      <c r="E89" s="522">
        <v>17.68</v>
      </c>
      <c r="F89" s="522"/>
      <c r="G89" s="333">
        <f t="shared" si="3"/>
        <v>6293.0099999999875</v>
      </c>
      <c r="H89" s="334"/>
      <c r="I89" s="335"/>
      <c r="J89" s="336"/>
      <c r="K89" s="301"/>
      <c r="L89" s="336"/>
      <c r="M89" s="301"/>
      <c r="N89" s="336"/>
      <c r="O89" s="301"/>
      <c r="P89" s="336"/>
      <c r="Q89" s="301"/>
      <c r="R89" s="336"/>
      <c r="S89" s="301"/>
      <c r="T89" s="336"/>
    </row>
    <row r="90" spans="1:20" ht="12" customHeight="1" x14ac:dyDescent="0.3">
      <c r="A90" s="329" t="s">
        <v>289</v>
      </c>
      <c r="B90" s="330">
        <v>6</v>
      </c>
      <c r="C90" s="298">
        <v>46190</v>
      </c>
      <c r="D90" s="299" t="s">
        <v>300</v>
      </c>
      <c r="E90" s="522">
        <v>14.67</v>
      </c>
      <c r="F90" s="522"/>
      <c r="G90" s="333">
        <f t="shared" si="3"/>
        <v>6310.6899999999878</v>
      </c>
      <c r="H90" s="334"/>
      <c r="I90" s="335"/>
      <c r="J90" s="336"/>
      <c r="K90" s="301"/>
      <c r="L90" s="336"/>
      <c r="M90" s="301"/>
      <c r="N90" s="336"/>
      <c r="O90" s="301"/>
      <c r="P90" s="336"/>
      <c r="Q90" s="301"/>
      <c r="R90" s="336"/>
      <c r="S90" s="301"/>
      <c r="T90" s="336"/>
    </row>
    <row r="91" spans="1:20" ht="12" customHeight="1" x14ac:dyDescent="0.3">
      <c r="A91" s="329" t="s">
        <v>289</v>
      </c>
      <c r="B91" s="330">
        <v>6</v>
      </c>
      <c r="C91" s="298">
        <v>46190</v>
      </c>
      <c r="D91" s="299" t="s">
        <v>300</v>
      </c>
      <c r="E91" s="522">
        <v>56.42</v>
      </c>
      <c r="F91" s="522"/>
      <c r="G91" s="333">
        <f t="shared" si="3"/>
        <v>6325.3599999999878</v>
      </c>
      <c r="H91" s="334"/>
      <c r="I91" s="335"/>
      <c r="J91" s="336"/>
      <c r="K91" s="301"/>
      <c r="L91" s="336"/>
      <c r="M91" s="301"/>
      <c r="N91" s="336"/>
      <c r="O91" s="301"/>
      <c r="P91" s="336"/>
      <c r="Q91" s="301"/>
      <c r="R91" s="336"/>
      <c r="S91" s="301"/>
      <c r="T91" s="336"/>
    </row>
    <row r="92" spans="1:20" ht="12" customHeight="1" x14ac:dyDescent="0.3">
      <c r="A92" s="329" t="s">
        <v>289</v>
      </c>
      <c r="B92" s="330">
        <v>6</v>
      </c>
      <c r="C92" s="298">
        <v>46190</v>
      </c>
      <c r="D92" s="299" t="s">
        <v>300</v>
      </c>
      <c r="E92" s="522">
        <v>53.23</v>
      </c>
      <c r="F92" s="522"/>
      <c r="G92" s="333">
        <f t="shared" si="3"/>
        <v>6381.7799999999879</v>
      </c>
      <c r="H92" s="334"/>
      <c r="I92" s="335"/>
      <c r="J92" s="336"/>
      <c r="K92" s="301"/>
      <c r="L92" s="336"/>
      <c r="M92" s="301"/>
      <c r="N92" s="336"/>
      <c r="O92" s="301"/>
      <c r="P92" s="336"/>
      <c r="Q92" s="301"/>
      <c r="R92" s="336"/>
      <c r="S92" s="301"/>
      <c r="T92" s="336"/>
    </row>
    <row r="93" spans="1:20" ht="12" customHeight="1" x14ac:dyDescent="0.3">
      <c r="A93" s="329" t="s">
        <v>294</v>
      </c>
      <c r="B93" s="330">
        <v>23</v>
      </c>
      <c r="C93" s="298">
        <v>46190</v>
      </c>
      <c r="D93" s="299" t="s">
        <v>63</v>
      </c>
      <c r="E93" s="522">
        <v>529.46</v>
      </c>
      <c r="F93" s="522"/>
      <c r="G93" s="333">
        <f t="shared" si="3"/>
        <v>6435.0099999999875</v>
      </c>
      <c r="H93" s="334"/>
      <c r="I93" s="335"/>
      <c r="J93" s="336"/>
      <c r="K93" s="301"/>
      <c r="L93" s="336"/>
      <c r="M93" s="301"/>
      <c r="N93" s="336"/>
      <c r="O93" s="301"/>
      <c r="P93" s="336"/>
      <c r="Q93" s="301"/>
      <c r="R93" s="336"/>
      <c r="S93" s="301"/>
      <c r="T93" s="336"/>
    </row>
    <row r="94" spans="1:20" ht="12" customHeight="1" x14ac:dyDescent="0.3">
      <c r="A94" s="329" t="s">
        <v>294</v>
      </c>
      <c r="B94" s="330">
        <v>17</v>
      </c>
      <c r="C94" s="298">
        <v>46190</v>
      </c>
      <c r="D94" s="299" t="s">
        <v>188</v>
      </c>
      <c r="E94" s="522">
        <v>42.65</v>
      </c>
      <c r="F94" s="522"/>
      <c r="G94" s="333">
        <f t="shared" si="3"/>
        <v>6964.4699999999875</v>
      </c>
      <c r="H94" s="334"/>
      <c r="I94" s="335"/>
      <c r="J94" s="336"/>
      <c r="K94" s="301"/>
      <c r="L94" s="336"/>
      <c r="M94" s="301"/>
      <c r="N94" s="336"/>
      <c r="O94" s="301"/>
      <c r="P94" s="336"/>
      <c r="Q94" s="301"/>
      <c r="R94" s="336"/>
      <c r="S94" s="301"/>
      <c r="T94" s="336"/>
    </row>
    <row r="95" spans="1:20" ht="12" customHeight="1" x14ac:dyDescent="0.3">
      <c r="A95" s="329" t="s">
        <v>294</v>
      </c>
      <c r="B95" s="330">
        <v>15</v>
      </c>
      <c r="C95" s="298">
        <v>46190</v>
      </c>
      <c r="D95" s="299" t="s">
        <v>185</v>
      </c>
      <c r="E95" s="522">
        <v>87.41</v>
      </c>
      <c r="F95" s="522"/>
      <c r="G95" s="333">
        <f t="shared" si="3"/>
        <v>7007.1199999999872</v>
      </c>
      <c r="H95" s="334"/>
      <c r="I95" s="335"/>
      <c r="J95" s="336"/>
      <c r="K95" s="301"/>
      <c r="L95" s="336"/>
      <c r="M95" s="301"/>
      <c r="N95" s="336"/>
      <c r="O95" s="301"/>
      <c r="P95" s="336"/>
      <c r="Q95" s="301"/>
      <c r="R95" s="336"/>
      <c r="S95" s="301"/>
      <c r="T95" s="336"/>
    </row>
    <row r="96" spans="1:20" ht="12" customHeight="1" x14ac:dyDescent="0.3">
      <c r="A96" s="329" t="s">
        <v>335</v>
      </c>
      <c r="B96" s="330" t="s">
        <v>335</v>
      </c>
      <c r="C96" s="298">
        <v>46190</v>
      </c>
      <c r="D96" s="299" t="s">
        <v>336</v>
      </c>
      <c r="E96" s="522">
        <v>86.48</v>
      </c>
      <c r="F96" s="522"/>
      <c r="G96" s="333">
        <f t="shared" si="3"/>
        <v>7094.529999999987</v>
      </c>
      <c r="H96" s="334"/>
      <c r="I96" s="335"/>
      <c r="J96" s="336"/>
      <c r="K96" s="301"/>
      <c r="L96" s="336"/>
      <c r="M96" s="301"/>
      <c r="N96" s="336"/>
      <c r="O96" s="301"/>
      <c r="P96" s="336"/>
      <c r="Q96" s="301"/>
      <c r="R96" s="336"/>
      <c r="S96" s="301"/>
      <c r="T96" s="336"/>
    </row>
    <row r="97" spans="1:20" ht="12" customHeight="1" x14ac:dyDescent="0.3">
      <c r="A97" s="329" t="s">
        <v>291</v>
      </c>
      <c r="B97" s="330">
        <v>40</v>
      </c>
      <c r="C97" s="298">
        <v>46190</v>
      </c>
      <c r="D97" s="299" t="s">
        <v>316</v>
      </c>
      <c r="E97" s="522"/>
      <c r="F97" s="522">
        <v>854.38</v>
      </c>
      <c r="G97" s="333">
        <f t="shared" si="3"/>
        <v>7181.0099999999866</v>
      </c>
      <c r="H97" s="334"/>
      <c r="I97" s="335"/>
      <c r="J97" s="336"/>
      <c r="K97" s="301"/>
      <c r="L97" s="336"/>
      <c r="M97" s="301"/>
      <c r="N97" s="336"/>
      <c r="O97" s="301"/>
      <c r="P97" s="336"/>
      <c r="Q97" s="301"/>
      <c r="R97" s="336"/>
      <c r="S97" s="301"/>
      <c r="T97" s="336"/>
    </row>
    <row r="98" spans="1:20" ht="12" customHeight="1" x14ac:dyDescent="0.3">
      <c r="A98" s="329" t="s">
        <v>289</v>
      </c>
      <c r="B98" s="330">
        <v>5</v>
      </c>
      <c r="C98" s="298">
        <v>46189</v>
      </c>
      <c r="D98" s="299" t="s">
        <v>340</v>
      </c>
      <c r="E98" s="522">
        <v>21.3</v>
      </c>
      <c r="F98" s="522"/>
      <c r="G98" s="333">
        <f t="shared" si="3"/>
        <v>6326.6299999999865</v>
      </c>
      <c r="H98" s="334"/>
      <c r="I98" s="335"/>
      <c r="J98" s="336"/>
      <c r="K98" s="301"/>
      <c r="L98" s="336"/>
      <c r="M98" s="301"/>
      <c r="N98" s="336"/>
      <c r="O98" s="301"/>
      <c r="P98" s="336"/>
      <c r="Q98" s="301"/>
      <c r="R98" s="336"/>
      <c r="S98" s="301"/>
      <c r="T98" s="336"/>
    </row>
    <row r="99" spans="1:20" ht="12" customHeight="1" x14ac:dyDescent="0.3">
      <c r="A99" s="329" t="s">
        <v>294</v>
      </c>
      <c r="B99" s="330">
        <v>11</v>
      </c>
      <c r="C99" s="298">
        <v>46189</v>
      </c>
      <c r="D99" s="299" t="s">
        <v>178</v>
      </c>
      <c r="E99" s="522">
        <v>267.75</v>
      </c>
      <c r="F99" s="522"/>
      <c r="G99" s="333">
        <f t="shared" si="3"/>
        <v>6347.9299999999866</v>
      </c>
      <c r="H99" s="334"/>
      <c r="I99" s="335"/>
      <c r="J99" s="336"/>
      <c r="K99" s="301"/>
      <c r="L99" s="336"/>
      <c r="M99" s="301"/>
      <c r="N99" s="336"/>
      <c r="O99" s="301"/>
      <c r="P99" s="336"/>
      <c r="Q99" s="301"/>
      <c r="R99" s="336"/>
      <c r="S99" s="301"/>
      <c r="T99" s="336"/>
    </row>
    <row r="100" spans="1:20" ht="12" customHeight="1" x14ac:dyDescent="0.3">
      <c r="A100" s="329" t="s">
        <v>289</v>
      </c>
      <c r="B100" s="330">
        <v>6</v>
      </c>
      <c r="C100" s="298">
        <v>46188</v>
      </c>
      <c r="D100" s="299" t="s">
        <v>885</v>
      </c>
      <c r="E100" s="522">
        <v>100</v>
      </c>
      <c r="F100" s="522"/>
      <c r="G100" s="333">
        <f t="shared" si="3"/>
        <v>6615.6799999999866</v>
      </c>
      <c r="H100" s="334"/>
      <c r="I100" s="335"/>
      <c r="J100" s="336"/>
      <c r="K100" s="301"/>
      <c r="L100" s="336"/>
      <c r="M100" s="301"/>
      <c r="N100" s="336"/>
      <c r="O100" s="301"/>
      <c r="P100" s="336"/>
      <c r="Q100" s="301"/>
      <c r="R100" s="336"/>
      <c r="S100" s="301"/>
      <c r="T100" s="336"/>
    </row>
    <row r="101" spans="1:20" ht="12" customHeight="1" x14ac:dyDescent="0.3">
      <c r="A101" s="329" t="s">
        <v>289</v>
      </c>
      <c r="B101" s="330">
        <v>2</v>
      </c>
      <c r="C101" s="298">
        <v>46188</v>
      </c>
      <c r="D101" s="299" t="s">
        <v>334</v>
      </c>
      <c r="E101" s="522">
        <v>11.29</v>
      </c>
      <c r="F101" s="522"/>
      <c r="G101" s="333">
        <f t="shared" si="3"/>
        <v>6715.6799999999866</v>
      </c>
      <c r="H101" s="334"/>
      <c r="I101" s="335"/>
      <c r="J101" s="336"/>
      <c r="K101" s="301"/>
      <c r="L101" s="336"/>
      <c r="M101" s="301"/>
      <c r="N101" s="336"/>
      <c r="O101" s="301"/>
      <c r="P101" s="336"/>
      <c r="Q101" s="301"/>
      <c r="R101" s="336"/>
      <c r="S101" s="301"/>
      <c r="T101" s="336"/>
    </row>
    <row r="102" spans="1:20" ht="12" customHeight="1" x14ac:dyDescent="0.3">
      <c r="A102" s="329" t="s">
        <v>289</v>
      </c>
      <c r="B102" s="330">
        <v>3</v>
      </c>
      <c r="C102" s="298">
        <v>46188</v>
      </c>
      <c r="D102" s="299" t="s">
        <v>334</v>
      </c>
      <c r="E102" s="522">
        <v>5.39</v>
      </c>
      <c r="F102" s="522"/>
      <c r="G102" s="333">
        <f t="shared" si="3"/>
        <v>6726.9699999999866</v>
      </c>
      <c r="H102" s="334"/>
      <c r="I102" s="335"/>
      <c r="J102" s="336"/>
      <c r="K102" s="301"/>
      <c r="L102" s="336"/>
      <c r="M102" s="301"/>
      <c r="N102" s="336"/>
      <c r="O102" s="301"/>
      <c r="P102" s="336"/>
      <c r="Q102" s="301"/>
      <c r="R102" s="336"/>
      <c r="S102" s="301"/>
      <c r="T102" s="336"/>
    </row>
    <row r="103" spans="1:20" ht="12" customHeight="1" x14ac:dyDescent="0.3">
      <c r="A103" s="329" t="s">
        <v>289</v>
      </c>
      <c r="B103" s="330">
        <v>4</v>
      </c>
      <c r="C103" s="298">
        <v>46188</v>
      </c>
      <c r="D103" s="299" t="s">
        <v>334</v>
      </c>
      <c r="E103" s="522">
        <v>31.99</v>
      </c>
      <c r="F103" s="522"/>
      <c r="G103" s="333">
        <f t="shared" si="3"/>
        <v>6732.3599999999869</v>
      </c>
      <c r="H103" s="334"/>
      <c r="I103" s="335"/>
      <c r="J103" s="336"/>
      <c r="K103" s="301"/>
      <c r="L103" s="336"/>
      <c r="M103" s="301"/>
      <c r="N103" s="336"/>
      <c r="O103" s="301"/>
      <c r="P103" s="336"/>
      <c r="Q103" s="301"/>
      <c r="R103" s="336"/>
      <c r="S103" s="301"/>
      <c r="T103" s="336"/>
    </row>
    <row r="104" spans="1:20" ht="12" customHeight="1" x14ac:dyDescent="0.3">
      <c r="A104" s="329" t="s">
        <v>289</v>
      </c>
      <c r="B104" s="330">
        <v>2</v>
      </c>
      <c r="C104" s="298">
        <v>46187</v>
      </c>
      <c r="D104" s="299" t="s">
        <v>917</v>
      </c>
      <c r="E104" s="522">
        <v>102.17</v>
      </c>
      <c r="F104" s="522"/>
      <c r="G104" s="333">
        <f t="shared" si="3"/>
        <v>6764.3499999999867</v>
      </c>
      <c r="H104" s="334"/>
      <c r="I104" s="335"/>
      <c r="J104" s="336"/>
      <c r="K104" s="301"/>
      <c r="L104" s="336"/>
      <c r="M104" s="301"/>
      <c r="N104" s="336"/>
      <c r="O104" s="301"/>
      <c r="P104" s="336"/>
      <c r="Q104" s="301"/>
      <c r="R104" s="336"/>
      <c r="S104" s="301"/>
      <c r="T104" s="336"/>
    </row>
    <row r="105" spans="1:20" ht="12" customHeight="1" x14ac:dyDescent="0.3">
      <c r="A105" s="329" t="s">
        <v>289</v>
      </c>
      <c r="B105" s="330">
        <v>1</v>
      </c>
      <c r="C105" s="298">
        <v>46187</v>
      </c>
      <c r="D105" s="299" t="s">
        <v>831</v>
      </c>
      <c r="E105" s="522">
        <v>21.86</v>
      </c>
      <c r="F105" s="522"/>
      <c r="G105" s="333">
        <f t="shared" si="3"/>
        <v>6866.5199999999868</v>
      </c>
      <c r="H105" s="334"/>
      <c r="I105" s="335"/>
      <c r="J105" s="336"/>
      <c r="K105" s="301"/>
      <c r="L105" s="336"/>
      <c r="M105" s="301"/>
      <c r="N105" s="336"/>
      <c r="O105" s="301"/>
      <c r="P105" s="336"/>
      <c r="Q105" s="301"/>
      <c r="R105" s="336"/>
      <c r="S105" s="301"/>
      <c r="T105" s="336"/>
    </row>
    <row r="106" spans="1:20" ht="12" customHeight="1" x14ac:dyDescent="0.3">
      <c r="A106" s="329" t="s">
        <v>289</v>
      </c>
      <c r="B106" s="330">
        <v>1</v>
      </c>
      <c r="C106" s="298">
        <v>46187</v>
      </c>
      <c r="D106" s="299" t="s">
        <v>311</v>
      </c>
      <c r="E106" s="522">
        <v>102.56</v>
      </c>
      <c r="F106" s="522"/>
      <c r="G106" s="333">
        <f t="shared" si="3"/>
        <v>6888.3799999999865</v>
      </c>
      <c r="H106" s="334"/>
      <c r="I106" s="335"/>
      <c r="J106" s="336"/>
      <c r="K106" s="301"/>
      <c r="L106" s="336"/>
      <c r="M106" s="301"/>
      <c r="N106" s="336"/>
      <c r="O106" s="301"/>
      <c r="P106" s="336"/>
      <c r="Q106" s="301"/>
      <c r="R106" s="336"/>
      <c r="S106" s="301"/>
      <c r="T106" s="336"/>
    </row>
    <row r="107" spans="1:20" ht="12" customHeight="1" x14ac:dyDescent="0.3">
      <c r="A107" s="329" t="s">
        <v>289</v>
      </c>
      <c r="B107" s="330">
        <v>1</v>
      </c>
      <c r="C107" s="298">
        <v>46187</v>
      </c>
      <c r="D107" s="299" t="s">
        <v>329</v>
      </c>
      <c r="E107" s="522">
        <v>121.72</v>
      </c>
      <c r="F107" s="522"/>
      <c r="G107" s="333">
        <f t="shared" si="3"/>
        <v>6990.9399999999869</v>
      </c>
      <c r="H107" s="334"/>
      <c r="I107" s="335"/>
      <c r="J107" s="336"/>
      <c r="K107" s="301"/>
      <c r="L107" s="336"/>
      <c r="M107" s="301"/>
      <c r="N107" s="336"/>
      <c r="O107" s="301"/>
      <c r="P107" s="336"/>
      <c r="Q107" s="301"/>
      <c r="R107" s="336"/>
      <c r="S107" s="301"/>
      <c r="T107" s="336"/>
    </row>
    <row r="108" spans="1:20" ht="12" customHeight="1" x14ac:dyDescent="0.3">
      <c r="A108" s="329" t="s">
        <v>289</v>
      </c>
      <c r="B108" s="330">
        <v>2</v>
      </c>
      <c r="C108" s="298">
        <v>46186</v>
      </c>
      <c r="D108" s="299" t="s">
        <v>308</v>
      </c>
      <c r="E108" s="522">
        <v>143.91999999999999</v>
      </c>
      <c r="F108" s="522"/>
      <c r="G108" s="333">
        <f t="shared" si="3"/>
        <v>7112.6599999999871</v>
      </c>
      <c r="H108" s="334"/>
      <c r="I108" s="335"/>
      <c r="J108" s="336"/>
      <c r="K108" s="301"/>
      <c r="L108" s="336"/>
      <c r="M108" s="301"/>
      <c r="N108" s="336"/>
      <c r="O108" s="301"/>
      <c r="P108" s="336"/>
      <c r="Q108" s="301"/>
      <c r="R108" s="336"/>
      <c r="S108" s="301"/>
      <c r="T108" s="336"/>
    </row>
    <row r="109" spans="1:20" ht="12" customHeight="1" x14ac:dyDescent="0.3">
      <c r="A109" s="329" t="s">
        <v>289</v>
      </c>
      <c r="B109" s="330">
        <v>2</v>
      </c>
      <c r="C109" s="298">
        <v>46186</v>
      </c>
      <c r="D109" s="299" t="s">
        <v>346</v>
      </c>
      <c r="E109" s="522">
        <v>11.95</v>
      </c>
      <c r="F109" s="522"/>
      <c r="G109" s="333">
        <f t="shared" si="3"/>
        <v>7256.5799999999872</v>
      </c>
      <c r="H109" s="334"/>
      <c r="I109" s="335"/>
      <c r="J109" s="336"/>
      <c r="K109" s="301"/>
      <c r="L109" s="336"/>
      <c r="M109" s="301"/>
      <c r="N109" s="336"/>
      <c r="O109" s="301"/>
      <c r="P109" s="336"/>
      <c r="Q109" s="301"/>
      <c r="R109" s="336"/>
      <c r="S109" s="301"/>
      <c r="T109" s="336"/>
    </row>
    <row r="110" spans="1:20" ht="12" customHeight="1" x14ac:dyDescent="0.3">
      <c r="A110" s="329" t="s">
        <v>289</v>
      </c>
      <c r="B110" s="330">
        <v>4</v>
      </c>
      <c r="C110" s="298">
        <v>46186</v>
      </c>
      <c r="D110" s="299" t="s">
        <v>310</v>
      </c>
      <c r="E110" s="522">
        <v>47.29</v>
      </c>
      <c r="F110" s="522"/>
      <c r="G110" s="333">
        <f t="shared" si="3"/>
        <v>7268.529999999987</v>
      </c>
      <c r="H110" s="334"/>
      <c r="I110" s="335"/>
      <c r="J110" s="336"/>
      <c r="K110" s="301"/>
      <c r="L110" s="336"/>
      <c r="M110" s="301"/>
      <c r="N110" s="336"/>
      <c r="O110" s="301"/>
      <c r="P110" s="336"/>
      <c r="Q110" s="301"/>
      <c r="R110" s="336"/>
      <c r="S110" s="301"/>
      <c r="T110" s="336"/>
    </row>
    <row r="111" spans="1:20" ht="12" customHeight="1" x14ac:dyDescent="0.3">
      <c r="A111" s="329" t="s">
        <v>289</v>
      </c>
      <c r="B111" s="330">
        <v>1</v>
      </c>
      <c r="C111" s="298">
        <v>46186</v>
      </c>
      <c r="D111" s="299" t="s">
        <v>306</v>
      </c>
      <c r="E111" s="522">
        <v>52.7</v>
      </c>
      <c r="F111" s="522"/>
      <c r="G111" s="333">
        <f t="shared" si="3"/>
        <v>7315.819999999987</v>
      </c>
      <c r="H111" s="334"/>
      <c r="I111" s="335"/>
      <c r="J111" s="336"/>
      <c r="K111" s="301"/>
      <c r="L111" s="336"/>
      <c r="M111" s="301"/>
      <c r="N111" s="336"/>
      <c r="O111" s="301"/>
      <c r="P111" s="336"/>
      <c r="Q111" s="301"/>
      <c r="R111" s="336"/>
      <c r="S111" s="301"/>
      <c r="T111" s="336"/>
    </row>
    <row r="112" spans="1:20" ht="12" customHeight="1" x14ac:dyDescent="0.3">
      <c r="A112" s="329" t="s">
        <v>289</v>
      </c>
      <c r="B112" s="330">
        <v>8</v>
      </c>
      <c r="C112" s="298">
        <v>46186</v>
      </c>
      <c r="D112" s="299" t="s">
        <v>308</v>
      </c>
      <c r="E112" s="522">
        <v>22.26</v>
      </c>
      <c r="F112" s="522"/>
      <c r="G112" s="333">
        <f t="shared" si="3"/>
        <v>7368.5199999999868</v>
      </c>
      <c r="H112" s="334"/>
      <c r="I112" s="335"/>
      <c r="J112" s="336"/>
      <c r="K112" s="301"/>
      <c r="L112" s="336"/>
      <c r="M112" s="301"/>
      <c r="N112" s="336"/>
      <c r="O112" s="301"/>
      <c r="P112" s="336"/>
      <c r="Q112" s="301"/>
      <c r="R112" s="336"/>
      <c r="S112" s="301"/>
      <c r="T112" s="336"/>
    </row>
    <row r="113" spans="1:20" ht="12" customHeight="1" x14ac:dyDescent="0.3">
      <c r="A113" s="329" t="s">
        <v>289</v>
      </c>
      <c r="B113" s="330">
        <v>8</v>
      </c>
      <c r="C113" s="298">
        <v>46186</v>
      </c>
      <c r="D113" s="299" t="s">
        <v>308</v>
      </c>
      <c r="E113" s="522">
        <v>28.16</v>
      </c>
      <c r="F113" s="522"/>
      <c r="G113" s="333">
        <f t="shared" si="3"/>
        <v>7390.779999999987</v>
      </c>
      <c r="H113" s="334"/>
      <c r="I113" s="335"/>
      <c r="J113" s="336"/>
      <c r="K113" s="301"/>
      <c r="L113" s="336"/>
      <c r="M113" s="301"/>
      <c r="N113" s="336"/>
      <c r="O113" s="301"/>
      <c r="P113" s="336"/>
      <c r="Q113" s="301"/>
      <c r="R113" s="336"/>
      <c r="S113" s="301"/>
      <c r="T113" s="336"/>
    </row>
    <row r="114" spans="1:20" ht="12" customHeight="1" x14ac:dyDescent="0.3">
      <c r="A114" s="329" t="s">
        <v>289</v>
      </c>
      <c r="B114" s="330">
        <v>2</v>
      </c>
      <c r="C114" s="298">
        <v>46186</v>
      </c>
      <c r="D114" s="299" t="s">
        <v>301</v>
      </c>
      <c r="E114" s="522">
        <v>32.049999999999997</v>
      </c>
      <c r="F114" s="522"/>
      <c r="G114" s="333">
        <f t="shared" si="3"/>
        <v>7418.9399999999869</v>
      </c>
      <c r="H114" s="334"/>
      <c r="I114" s="335"/>
      <c r="J114" s="336"/>
      <c r="K114" s="301"/>
      <c r="L114" s="336"/>
      <c r="M114" s="301"/>
      <c r="N114" s="336"/>
      <c r="O114" s="301"/>
      <c r="P114" s="336"/>
      <c r="Q114" s="301"/>
      <c r="R114" s="336"/>
      <c r="S114" s="301"/>
      <c r="T114" s="336"/>
    </row>
    <row r="115" spans="1:20" ht="12" customHeight="1" x14ac:dyDescent="0.3">
      <c r="A115" s="329" t="s">
        <v>289</v>
      </c>
      <c r="B115" s="330">
        <v>5</v>
      </c>
      <c r="C115" s="298">
        <v>46186</v>
      </c>
      <c r="D115" s="299" t="s">
        <v>918</v>
      </c>
      <c r="E115" s="522">
        <v>24</v>
      </c>
      <c r="F115" s="522"/>
      <c r="G115" s="333">
        <f t="shared" si="3"/>
        <v>7450.989999999987</v>
      </c>
      <c r="H115" s="334"/>
      <c r="I115" s="335"/>
      <c r="J115" s="336"/>
      <c r="K115" s="301"/>
      <c r="L115" s="336"/>
      <c r="M115" s="301"/>
      <c r="N115" s="336"/>
      <c r="O115" s="301"/>
      <c r="P115" s="336"/>
      <c r="Q115" s="301"/>
      <c r="R115" s="336"/>
      <c r="S115" s="301"/>
      <c r="T115" s="336"/>
    </row>
    <row r="116" spans="1:20" ht="12" customHeight="1" x14ac:dyDescent="0.3">
      <c r="A116" s="329" t="s">
        <v>289</v>
      </c>
      <c r="B116" s="330">
        <v>1</v>
      </c>
      <c r="C116" s="298">
        <v>46186</v>
      </c>
      <c r="D116" s="299" t="s">
        <v>306</v>
      </c>
      <c r="E116" s="522">
        <v>19.98</v>
      </c>
      <c r="F116" s="522"/>
      <c r="G116" s="333">
        <f t="shared" si="3"/>
        <v>7474.989999999987</v>
      </c>
      <c r="H116" s="334"/>
      <c r="I116" s="335"/>
      <c r="J116" s="336"/>
      <c r="K116" s="301"/>
      <c r="L116" s="336"/>
      <c r="M116" s="301"/>
      <c r="N116" s="336"/>
      <c r="O116" s="301"/>
      <c r="P116" s="336"/>
      <c r="Q116" s="301"/>
      <c r="R116" s="336"/>
      <c r="S116" s="301"/>
      <c r="T116" s="336"/>
    </row>
    <row r="117" spans="1:20" ht="12" customHeight="1" x14ac:dyDescent="0.3">
      <c r="A117" s="329" t="s">
        <v>289</v>
      </c>
      <c r="B117" s="330">
        <v>6</v>
      </c>
      <c r="C117" s="298">
        <v>46186</v>
      </c>
      <c r="D117" s="299" t="s">
        <v>300</v>
      </c>
      <c r="E117" s="522">
        <v>60.07</v>
      </c>
      <c r="F117" s="522"/>
      <c r="G117" s="333">
        <f t="shared" si="3"/>
        <v>7494.9699999999866</v>
      </c>
      <c r="H117" s="334"/>
      <c r="I117" s="335"/>
      <c r="J117" s="336"/>
      <c r="K117" s="301"/>
      <c r="L117" s="336"/>
      <c r="M117" s="301"/>
      <c r="N117" s="336"/>
      <c r="O117" s="301"/>
      <c r="P117" s="336"/>
      <c r="Q117" s="301"/>
      <c r="R117" s="336"/>
      <c r="S117" s="301"/>
      <c r="T117" s="336"/>
    </row>
    <row r="118" spans="1:20" ht="12" customHeight="1" x14ac:dyDescent="0.3">
      <c r="A118" s="329" t="s">
        <v>287</v>
      </c>
      <c r="B118" s="330" t="s">
        <v>287</v>
      </c>
      <c r="C118" s="298">
        <v>46186</v>
      </c>
      <c r="D118" s="299" t="s">
        <v>915</v>
      </c>
      <c r="E118" s="522"/>
      <c r="F118" s="522">
        <v>319.49</v>
      </c>
      <c r="G118" s="333">
        <f t="shared" si="3"/>
        <v>7555.0399999999863</v>
      </c>
      <c r="H118" s="334" t="s">
        <v>298</v>
      </c>
      <c r="I118" s="335"/>
      <c r="J118" s="336"/>
      <c r="K118" s="301"/>
      <c r="L118" s="336"/>
      <c r="M118" s="301"/>
      <c r="N118" s="336"/>
      <c r="O118" s="301"/>
      <c r="P118" s="336"/>
      <c r="Q118" s="301"/>
      <c r="R118" s="336"/>
      <c r="S118" s="301"/>
      <c r="T118" s="336"/>
    </row>
    <row r="119" spans="1:20" ht="12" customHeight="1" x14ac:dyDescent="0.3">
      <c r="A119" s="329" t="s">
        <v>287</v>
      </c>
      <c r="B119" s="330" t="s">
        <v>287</v>
      </c>
      <c r="C119" s="298">
        <v>46186</v>
      </c>
      <c r="D119" s="299" t="s">
        <v>300</v>
      </c>
      <c r="E119" s="522">
        <v>319.49</v>
      </c>
      <c r="F119" s="522"/>
      <c r="G119" s="333">
        <f t="shared" si="3"/>
        <v>7235.5499999999865</v>
      </c>
      <c r="H119" s="334"/>
      <c r="I119" s="335"/>
      <c r="J119" s="336"/>
      <c r="K119" s="301"/>
      <c r="L119" s="336"/>
      <c r="M119" s="301"/>
      <c r="N119" s="336"/>
      <c r="O119" s="301"/>
      <c r="P119" s="336"/>
      <c r="Q119" s="301"/>
      <c r="R119" s="336"/>
      <c r="S119" s="301"/>
      <c r="T119" s="336"/>
    </row>
    <row r="120" spans="1:20" ht="12" customHeight="1" x14ac:dyDescent="0.3">
      <c r="A120" s="329" t="s">
        <v>289</v>
      </c>
      <c r="B120" s="330">
        <v>6</v>
      </c>
      <c r="C120" s="298">
        <v>46186</v>
      </c>
      <c r="D120" s="299" t="s">
        <v>914</v>
      </c>
      <c r="E120" s="522">
        <v>-0.51</v>
      </c>
      <c r="F120" s="522"/>
      <c r="G120" s="333">
        <f t="shared" si="3"/>
        <v>7555.0399999999863</v>
      </c>
      <c r="H120" s="334" t="s">
        <v>298</v>
      </c>
      <c r="I120" s="335"/>
      <c r="J120" s="336"/>
      <c r="K120" s="301"/>
      <c r="L120" s="336"/>
      <c r="M120" s="301"/>
      <c r="N120" s="336"/>
      <c r="O120" s="301"/>
      <c r="P120" s="336"/>
      <c r="Q120" s="301"/>
      <c r="R120" s="336"/>
      <c r="S120" s="301"/>
      <c r="T120" s="336"/>
    </row>
    <row r="121" spans="1:20" ht="12" customHeight="1" x14ac:dyDescent="0.3">
      <c r="A121" s="329" t="s">
        <v>289</v>
      </c>
      <c r="B121" s="330">
        <v>6</v>
      </c>
      <c r="C121" s="298">
        <v>46186</v>
      </c>
      <c r="D121" s="299" t="s">
        <v>319</v>
      </c>
      <c r="E121" s="522">
        <v>13.58</v>
      </c>
      <c r="F121" s="522"/>
      <c r="G121" s="333">
        <f t="shared" si="3"/>
        <v>7554.5299999999861</v>
      </c>
      <c r="H121" s="334"/>
      <c r="I121" s="335"/>
      <c r="J121" s="336"/>
      <c r="K121" s="301"/>
      <c r="L121" s="336"/>
      <c r="M121" s="301"/>
      <c r="N121" s="336"/>
      <c r="O121" s="301"/>
      <c r="P121" s="336"/>
      <c r="Q121" s="301"/>
      <c r="R121" s="336"/>
      <c r="S121" s="301"/>
      <c r="T121" s="336"/>
    </row>
    <row r="122" spans="1:20" ht="12" customHeight="1" x14ac:dyDescent="0.3">
      <c r="A122" s="329" t="s">
        <v>294</v>
      </c>
      <c r="B122" s="330">
        <v>24</v>
      </c>
      <c r="C122" s="298">
        <v>46186</v>
      </c>
      <c r="D122" s="299" t="s">
        <v>860</v>
      </c>
      <c r="E122" s="522">
        <v>109.5</v>
      </c>
      <c r="F122" s="522"/>
      <c r="G122" s="333">
        <f t="shared" si="3"/>
        <v>7568.109999999986</v>
      </c>
      <c r="H122" s="334"/>
      <c r="I122" s="335"/>
      <c r="J122" s="336"/>
      <c r="K122" s="301"/>
      <c r="L122" s="336"/>
      <c r="M122" s="301"/>
      <c r="N122" s="336"/>
      <c r="O122" s="301"/>
      <c r="P122" s="336"/>
      <c r="Q122" s="301"/>
      <c r="R122" s="336"/>
      <c r="S122" s="301"/>
      <c r="T122" s="336"/>
    </row>
    <row r="123" spans="1:20" ht="12" customHeight="1" x14ac:dyDescent="0.3">
      <c r="A123" s="329" t="s">
        <v>294</v>
      </c>
      <c r="B123" s="330">
        <v>19</v>
      </c>
      <c r="C123" s="298">
        <v>46186</v>
      </c>
      <c r="D123" s="299" t="s">
        <v>191</v>
      </c>
      <c r="E123" s="522">
        <v>200</v>
      </c>
      <c r="F123" s="522"/>
      <c r="G123" s="333">
        <f t="shared" si="3"/>
        <v>7677.609999999986</v>
      </c>
      <c r="H123" s="334"/>
      <c r="I123" s="335"/>
      <c r="J123" s="336"/>
      <c r="K123" s="301"/>
      <c r="L123" s="336"/>
      <c r="M123" s="301"/>
      <c r="N123" s="336"/>
      <c r="O123" s="301"/>
      <c r="P123" s="336"/>
      <c r="Q123" s="301"/>
      <c r="R123" s="336"/>
      <c r="S123" s="301"/>
      <c r="T123" s="336"/>
    </row>
    <row r="124" spans="1:20" ht="12" customHeight="1" x14ac:dyDescent="0.3">
      <c r="A124" s="329" t="s">
        <v>291</v>
      </c>
      <c r="B124" s="330">
        <v>38</v>
      </c>
      <c r="C124" s="298">
        <v>46186</v>
      </c>
      <c r="D124" s="299" t="s">
        <v>293</v>
      </c>
      <c r="E124" s="522"/>
      <c r="F124" s="522">
        <v>4597.82</v>
      </c>
      <c r="G124" s="333">
        <f t="shared" si="3"/>
        <v>7877.609999999986</v>
      </c>
      <c r="H124" s="334"/>
      <c r="I124" s="335"/>
      <c r="J124" s="336"/>
      <c r="K124" s="301"/>
      <c r="L124" s="336"/>
      <c r="M124" s="301"/>
      <c r="N124" s="336"/>
      <c r="O124" s="301"/>
      <c r="P124" s="336"/>
      <c r="Q124" s="301"/>
      <c r="R124" s="336"/>
      <c r="S124" s="301"/>
      <c r="T124" s="336"/>
    </row>
    <row r="125" spans="1:20" ht="12" customHeight="1" x14ac:dyDescent="0.3">
      <c r="A125" s="329" t="s">
        <v>289</v>
      </c>
      <c r="B125" s="330">
        <v>2</v>
      </c>
      <c r="C125" s="298">
        <v>46185</v>
      </c>
      <c r="D125" s="299" t="s">
        <v>916</v>
      </c>
      <c r="E125" s="522">
        <v>90.54</v>
      </c>
      <c r="F125" s="522"/>
      <c r="G125" s="333">
        <f t="shared" si="3"/>
        <v>3279.7899999999863</v>
      </c>
      <c r="H125" s="334"/>
      <c r="I125" s="335"/>
      <c r="J125" s="336"/>
      <c r="K125" s="301"/>
      <c r="L125" s="336"/>
      <c r="M125" s="301"/>
      <c r="N125" s="336"/>
      <c r="O125" s="301"/>
      <c r="P125" s="336"/>
      <c r="Q125" s="301"/>
      <c r="R125" s="336"/>
      <c r="S125" s="301"/>
      <c r="T125" s="336"/>
    </row>
    <row r="126" spans="1:20" ht="12" customHeight="1" x14ac:dyDescent="0.3">
      <c r="A126" s="329" t="s">
        <v>289</v>
      </c>
      <c r="B126" s="330">
        <v>8</v>
      </c>
      <c r="C126" s="298">
        <v>46185</v>
      </c>
      <c r="D126" s="299" t="s">
        <v>916</v>
      </c>
      <c r="E126" s="522">
        <v>50</v>
      </c>
      <c r="F126" s="522"/>
      <c r="G126" s="333">
        <f t="shared" si="3"/>
        <v>3370.3299999999863</v>
      </c>
      <c r="H126" s="334"/>
      <c r="I126" s="335"/>
      <c r="J126" s="336"/>
      <c r="K126" s="301"/>
      <c r="L126" s="336"/>
      <c r="M126" s="301"/>
      <c r="N126" s="336"/>
      <c r="O126" s="301"/>
      <c r="P126" s="336"/>
      <c r="Q126" s="301"/>
      <c r="R126" s="336"/>
      <c r="S126" s="301"/>
      <c r="T126" s="336"/>
    </row>
    <row r="127" spans="1:20" ht="12" customHeight="1" x14ac:dyDescent="0.3">
      <c r="A127" s="329" t="s">
        <v>289</v>
      </c>
      <c r="B127" s="330">
        <v>6</v>
      </c>
      <c r="C127" s="298">
        <v>46185</v>
      </c>
      <c r="D127" s="299" t="s">
        <v>300</v>
      </c>
      <c r="E127" s="522">
        <v>79.849999999999994</v>
      </c>
      <c r="F127" s="522"/>
      <c r="G127" s="333">
        <f t="shared" si="3"/>
        <v>3420.3299999999863</v>
      </c>
      <c r="H127" s="334"/>
      <c r="I127" s="335"/>
      <c r="J127" s="336"/>
      <c r="K127" s="301"/>
      <c r="L127" s="336"/>
      <c r="M127" s="301"/>
      <c r="N127" s="336"/>
      <c r="O127" s="301"/>
      <c r="P127" s="336"/>
      <c r="Q127" s="301"/>
      <c r="R127" s="336"/>
      <c r="S127" s="301"/>
      <c r="T127" s="336"/>
    </row>
    <row r="128" spans="1:20" ht="12" customHeight="1" x14ac:dyDescent="0.3">
      <c r="A128" s="329" t="s">
        <v>289</v>
      </c>
      <c r="B128" s="330">
        <v>6</v>
      </c>
      <c r="C128" s="298">
        <v>46184</v>
      </c>
      <c r="D128" s="299" t="s">
        <v>360</v>
      </c>
      <c r="E128" s="522">
        <v>70</v>
      </c>
      <c r="F128" s="522"/>
      <c r="G128" s="333">
        <f t="shared" si="3"/>
        <v>3500.1799999999862</v>
      </c>
      <c r="H128" s="334"/>
      <c r="I128" s="335"/>
      <c r="J128" s="336"/>
      <c r="K128" s="301"/>
      <c r="L128" s="336"/>
      <c r="M128" s="301"/>
      <c r="N128" s="336"/>
      <c r="O128" s="301"/>
      <c r="P128" s="336"/>
      <c r="Q128" s="301"/>
      <c r="R128" s="336"/>
      <c r="S128" s="301"/>
      <c r="T128" s="336"/>
    </row>
    <row r="129" spans="1:20" ht="12" customHeight="1" x14ac:dyDescent="0.3">
      <c r="A129" s="329" t="s">
        <v>287</v>
      </c>
      <c r="B129" s="330" t="s">
        <v>287</v>
      </c>
      <c r="C129" s="298">
        <v>46184</v>
      </c>
      <c r="D129" s="299" t="s">
        <v>911</v>
      </c>
      <c r="E129" s="522">
        <v>2159</v>
      </c>
      <c r="F129" s="522">
        <v>2159</v>
      </c>
      <c r="G129" s="333">
        <f t="shared" si="3"/>
        <v>3570.1799999999862</v>
      </c>
      <c r="H129" s="334"/>
      <c r="I129" s="335"/>
      <c r="J129" s="336"/>
      <c r="K129" s="301"/>
      <c r="L129" s="336"/>
      <c r="M129" s="301"/>
      <c r="N129" s="336"/>
      <c r="O129" s="301"/>
      <c r="P129" s="336"/>
      <c r="Q129" s="301"/>
      <c r="R129" s="336"/>
      <c r="S129" s="301"/>
      <c r="T129" s="336"/>
    </row>
    <row r="130" spans="1:20" ht="12" customHeight="1" x14ac:dyDescent="0.3">
      <c r="A130" s="329" t="s">
        <v>294</v>
      </c>
      <c r="B130" s="330">
        <v>22</v>
      </c>
      <c r="C130" s="298">
        <v>46184</v>
      </c>
      <c r="D130" s="299" t="s">
        <v>352</v>
      </c>
      <c r="E130" s="522">
        <v>21.29</v>
      </c>
      <c r="F130" s="522"/>
      <c r="G130" s="333">
        <f t="shared" si="3"/>
        <v>3570.1799999999862</v>
      </c>
      <c r="H130" s="334"/>
      <c r="I130" s="335"/>
      <c r="J130" s="336"/>
      <c r="K130" s="301"/>
      <c r="L130" s="336"/>
      <c r="M130" s="301"/>
      <c r="N130" s="336"/>
      <c r="O130" s="301"/>
      <c r="P130" s="336"/>
      <c r="Q130" s="301"/>
      <c r="R130" s="336"/>
      <c r="S130" s="301"/>
      <c r="T130" s="336"/>
    </row>
    <row r="131" spans="1:20" ht="12" customHeight="1" x14ac:dyDescent="0.3">
      <c r="A131" s="329" t="s">
        <v>289</v>
      </c>
      <c r="B131" s="330">
        <v>4</v>
      </c>
      <c r="C131" s="298">
        <v>46184</v>
      </c>
      <c r="D131" s="299" t="s">
        <v>296</v>
      </c>
      <c r="E131" s="522">
        <v>40.67</v>
      </c>
      <c r="F131" s="522"/>
      <c r="G131" s="333">
        <f t="shared" si="3"/>
        <v>3591.4699999999862</v>
      </c>
      <c r="H131" s="334"/>
      <c r="I131" s="335"/>
      <c r="J131" s="336"/>
      <c r="K131" s="301"/>
      <c r="L131" s="336"/>
      <c r="M131" s="301"/>
      <c r="N131" s="336"/>
      <c r="O131" s="301"/>
      <c r="P131" s="336"/>
      <c r="Q131" s="301"/>
      <c r="R131" s="336"/>
      <c r="S131" s="301"/>
      <c r="T131" s="336"/>
    </row>
    <row r="132" spans="1:20" ht="12" customHeight="1" x14ac:dyDescent="0.3">
      <c r="A132" s="329" t="s">
        <v>289</v>
      </c>
      <c r="B132" s="330">
        <v>8</v>
      </c>
      <c r="C132" s="298">
        <v>46184</v>
      </c>
      <c r="D132" s="299" t="s">
        <v>319</v>
      </c>
      <c r="E132" s="522">
        <v>15.53</v>
      </c>
      <c r="F132" s="522"/>
      <c r="G132" s="333">
        <f t="shared" si="3"/>
        <v>3632.1399999999862</v>
      </c>
      <c r="H132" s="334"/>
      <c r="I132" s="335"/>
      <c r="J132" s="336"/>
      <c r="K132" s="301"/>
      <c r="L132" s="336"/>
      <c r="M132" s="301"/>
      <c r="N132" s="336"/>
      <c r="O132" s="301"/>
      <c r="P132" s="336"/>
      <c r="Q132" s="301"/>
      <c r="R132" s="336"/>
      <c r="S132" s="301"/>
      <c r="T132" s="336"/>
    </row>
    <row r="133" spans="1:20" ht="12" customHeight="1" x14ac:dyDescent="0.3">
      <c r="A133" s="329" t="s">
        <v>289</v>
      </c>
      <c r="B133" s="330">
        <v>2</v>
      </c>
      <c r="C133" s="298">
        <v>46184</v>
      </c>
      <c r="D133" s="299" t="s">
        <v>473</v>
      </c>
      <c r="E133" s="522">
        <v>83.89</v>
      </c>
      <c r="F133" s="522"/>
      <c r="G133" s="333">
        <f t="shared" ref="G133:G150" si="4">G134-E133+F133</f>
        <v>3647.6699999999864</v>
      </c>
      <c r="H133" s="334"/>
      <c r="I133" s="335"/>
      <c r="J133" s="336"/>
      <c r="K133" s="301"/>
      <c r="L133" s="336"/>
      <c r="M133" s="301"/>
      <c r="N133" s="336"/>
      <c r="O133" s="301"/>
      <c r="P133" s="336"/>
      <c r="Q133" s="301"/>
      <c r="R133" s="336"/>
      <c r="S133" s="301"/>
      <c r="T133" s="336"/>
    </row>
    <row r="134" spans="1:20" ht="12" customHeight="1" x14ac:dyDescent="0.3">
      <c r="A134" s="329" t="s">
        <v>294</v>
      </c>
      <c r="B134" s="330">
        <v>23</v>
      </c>
      <c r="C134" s="298">
        <v>46184</v>
      </c>
      <c r="D134" s="299" t="s">
        <v>67</v>
      </c>
      <c r="E134" s="522">
        <v>599.86</v>
      </c>
      <c r="F134" s="522"/>
      <c r="G134" s="333">
        <f t="shared" si="4"/>
        <v>3731.5599999999863</v>
      </c>
      <c r="H134" s="334"/>
      <c r="I134" s="335"/>
      <c r="J134" s="336"/>
      <c r="K134" s="301"/>
      <c r="L134" s="336"/>
      <c r="M134" s="301"/>
      <c r="N134" s="336"/>
      <c r="O134" s="301"/>
      <c r="P134" s="336"/>
      <c r="Q134" s="301"/>
      <c r="R134" s="336"/>
      <c r="S134" s="301"/>
      <c r="T134" s="336"/>
    </row>
    <row r="135" spans="1:20" ht="12" customHeight="1" x14ac:dyDescent="0.3">
      <c r="A135" s="329" t="s">
        <v>291</v>
      </c>
      <c r="B135" s="330">
        <v>41</v>
      </c>
      <c r="C135" s="298">
        <v>46184</v>
      </c>
      <c r="D135" s="299" t="s">
        <v>909</v>
      </c>
      <c r="E135" s="522"/>
      <c r="F135" s="522">
        <v>800</v>
      </c>
      <c r="G135" s="333">
        <f t="shared" si="4"/>
        <v>4331.4199999999864</v>
      </c>
      <c r="H135" s="334"/>
      <c r="I135" s="335"/>
      <c r="J135" s="336"/>
      <c r="K135" s="301"/>
      <c r="L135" s="336"/>
      <c r="M135" s="301"/>
      <c r="N135" s="336"/>
      <c r="O135" s="301"/>
      <c r="P135" s="336"/>
      <c r="Q135" s="301"/>
      <c r="R135" s="336"/>
      <c r="S135" s="301"/>
      <c r="T135" s="336"/>
    </row>
    <row r="136" spans="1:20" ht="12" customHeight="1" x14ac:dyDescent="0.3">
      <c r="A136" s="329" t="s">
        <v>291</v>
      </c>
      <c r="B136" s="330">
        <v>39</v>
      </c>
      <c r="C136" s="298">
        <v>46184</v>
      </c>
      <c r="D136" s="299" t="s">
        <v>292</v>
      </c>
      <c r="E136" s="522"/>
      <c r="F136" s="522">
        <v>2763.78</v>
      </c>
      <c r="G136" s="333">
        <f t="shared" si="4"/>
        <v>3531.4199999999864</v>
      </c>
      <c r="H136" s="334"/>
      <c r="I136" s="335"/>
      <c r="J136" s="336"/>
      <c r="K136" s="301"/>
      <c r="L136" s="336"/>
      <c r="M136" s="301"/>
      <c r="N136" s="336"/>
      <c r="O136" s="301"/>
      <c r="P136" s="336"/>
      <c r="Q136" s="301"/>
      <c r="R136" s="336"/>
      <c r="S136" s="301"/>
      <c r="T136" s="336"/>
    </row>
    <row r="137" spans="1:20" ht="12" customHeight="1" x14ac:dyDescent="0.3">
      <c r="A137" s="329" t="s">
        <v>287</v>
      </c>
      <c r="B137" s="330" t="s">
        <v>287</v>
      </c>
      <c r="C137" s="298">
        <v>46183</v>
      </c>
      <c r="D137" s="299" t="s">
        <v>910</v>
      </c>
      <c r="E137" s="522">
        <v>816.19</v>
      </c>
      <c r="F137" s="522">
        <v>816.19</v>
      </c>
      <c r="G137" s="333">
        <f t="shared" si="4"/>
        <v>767.639999999986</v>
      </c>
      <c r="H137" s="334"/>
      <c r="I137" s="335"/>
      <c r="J137" s="336"/>
      <c r="K137" s="301"/>
      <c r="L137" s="336"/>
      <c r="M137" s="301"/>
      <c r="N137" s="336"/>
      <c r="O137" s="301"/>
      <c r="P137" s="336"/>
      <c r="Q137" s="301"/>
      <c r="R137" s="336"/>
      <c r="S137" s="301"/>
      <c r="T137" s="336"/>
    </row>
    <row r="138" spans="1:20" ht="12" customHeight="1" x14ac:dyDescent="0.3">
      <c r="A138" s="329" t="s">
        <v>289</v>
      </c>
      <c r="B138" s="330">
        <v>6</v>
      </c>
      <c r="C138" s="298">
        <v>46183</v>
      </c>
      <c r="D138" s="299" t="s">
        <v>412</v>
      </c>
      <c r="E138" s="522">
        <v>-3.99</v>
      </c>
      <c r="F138" s="522"/>
      <c r="G138" s="333">
        <f t="shared" si="4"/>
        <v>767.639999999986</v>
      </c>
      <c r="H138" s="334"/>
      <c r="I138" s="335"/>
      <c r="J138" s="336"/>
      <c r="K138" s="301"/>
      <c r="L138" s="336"/>
      <c r="M138" s="301"/>
      <c r="N138" s="336"/>
      <c r="O138" s="301"/>
      <c r="P138" s="336"/>
      <c r="Q138" s="301"/>
      <c r="R138" s="336"/>
      <c r="S138" s="301"/>
      <c r="T138" s="336"/>
    </row>
    <row r="139" spans="1:20" ht="12" customHeight="1" x14ac:dyDescent="0.3">
      <c r="A139" s="329" t="s">
        <v>289</v>
      </c>
      <c r="B139" s="330">
        <v>6</v>
      </c>
      <c r="C139" s="298">
        <v>46183</v>
      </c>
      <c r="D139" s="299" t="s">
        <v>907</v>
      </c>
      <c r="E139" s="522">
        <v>-0.03</v>
      </c>
      <c r="F139" s="522"/>
      <c r="G139" s="333">
        <f t="shared" si="4"/>
        <v>763.64999999998599</v>
      </c>
      <c r="H139" s="334"/>
      <c r="I139" s="335"/>
      <c r="J139" s="336"/>
      <c r="K139" s="301"/>
      <c r="L139" s="336"/>
      <c r="M139" s="301"/>
      <c r="N139" s="336"/>
      <c r="O139" s="301"/>
      <c r="P139" s="336"/>
      <c r="Q139" s="301"/>
      <c r="R139" s="336"/>
      <c r="S139" s="301"/>
      <c r="T139" s="336"/>
    </row>
    <row r="140" spans="1:20" ht="12" customHeight="1" x14ac:dyDescent="0.3">
      <c r="A140" s="329" t="s">
        <v>291</v>
      </c>
      <c r="B140" s="330">
        <v>40</v>
      </c>
      <c r="C140" s="298">
        <v>46183</v>
      </c>
      <c r="D140" s="299" t="s">
        <v>316</v>
      </c>
      <c r="E140" s="522"/>
      <c r="F140" s="522">
        <v>1250.17</v>
      </c>
      <c r="G140" s="333">
        <f t="shared" si="4"/>
        <v>763.61999999998602</v>
      </c>
      <c r="H140" s="334"/>
      <c r="I140" s="335"/>
      <c r="J140" s="336"/>
      <c r="K140" s="301"/>
      <c r="L140" s="336"/>
      <c r="M140" s="301"/>
      <c r="N140" s="336"/>
      <c r="O140" s="301"/>
      <c r="P140" s="336"/>
      <c r="Q140" s="301"/>
      <c r="R140" s="336"/>
      <c r="S140" s="301"/>
      <c r="T140" s="336"/>
    </row>
    <row r="141" spans="1:20" ht="12" customHeight="1" x14ac:dyDescent="0.3">
      <c r="A141" s="329" t="s">
        <v>289</v>
      </c>
      <c r="B141" s="330">
        <v>2</v>
      </c>
      <c r="C141" s="298">
        <v>46182</v>
      </c>
      <c r="D141" s="299" t="s">
        <v>353</v>
      </c>
      <c r="E141" s="522">
        <v>25.98</v>
      </c>
      <c r="F141" s="522"/>
      <c r="G141" s="333">
        <f t="shared" si="4"/>
        <v>-486.55000000001405</v>
      </c>
      <c r="H141" s="334"/>
      <c r="I141" s="335"/>
      <c r="J141" s="336"/>
      <c r="K141" s="301"/>
      <c r="L141" s="336"/>
      <c r="M141" s="301"/>
      <c r="N141" s="336"/>
      <c r="O141" s="301"/>
      <c r="P141" s="336"/>
      <c r="Q141" s="301"/>
      <c r="R141" s="336"/>
      <c r="S141" s="301"/>
      <c r="T141" s="336"/>
    </row>
    <row r="142" spans="1:20" ht="12" customHeight="1" x14ac:dyDescent="0.3">
      <c r="A142" s="329" t="s">
        <v>289</v>
      </c>
      <c r="B142" s="330">
        <v>5</v>
      </c>
      <c r="C142" s="298">
        <v>46182</v>
      </c>
      <c r="D142" s="299" t="s">
        <v>854</v>
      </c>
      <c r="E142" s="522">
        <v>10.68</v>
      </c>
      <c r="F142" s="522"/>
      <c r="G142" s="333">
        <f t="shared" si="4"/>
        <v>-460.57000000001403</v>
      </c>
      <c r="H142" s="334"/>
      <c r="I142" s="335"/>
      <c r="J142" s="336"/>
      <c r="K142" s="301"/>
      <c r="L142" s="336"/>
      <c r="M142" s="301"/>
      <c r="N142" s="336"/>
      <c r="O142" s="301"/>
      <c r="P142" s="336"/>
      <c r="Q142" s="301"/>
      <c r="R142" s="336"/>
      <c r="S142" s="301"/>
      <c r="T142" s="336"/>
    </row>
    <row r="143" spans="1:20" ht="12" customHeight="1" x14ac:dyDescent="0.3">
      <c r="A143" s="329" t="s">
        <v>289</v>
      </c>
      <c r="B143" s="330">
        <v>2</v>
      </c>
      <c r="C143" s="298">
        <v>46182</v>
      </c>
      <c r="D143" s="299" t="s">
        <v>301</v>
      </c>
      <c r="E143" s="522">
        <v>29.95</v>
      </c>
      <c r="F143" s="522"/>
      <c r="G143" s="333">
        <f t="shared" si="4"/>
        <v>-449.89000000001403</v>
      </c>
      <c r="H143" s="334"/>
      <c r="I143" s="335"/>
      <c r="J143" s="336"/>
      <c r="K143" s="301"/>
      <c r="L143" s="336"/>
      <c r="M143" s="301"/>
      <c r="N143" s="336"/>
      <c r="O143" s="301"/>
      <c r="P143" s="336"/>
      <c r="Q143" s="301"/>
      <c r="R143" s="336"/>
      <c r="S143" s="301"/>
      <c r="T143" s="336"/>
    </row>
    <row r="144" spans="1:20" ht="12" customHeight="1" x14ac:dyDescent="0.3">
      <c r="A144" s="329" t="s">
        <v>294</v>
      </c>
      <c r="B144" s="330">
        <v>22</v>
      </c>
      <c r="C144" s="298">
        <v>46182</v>
      </c>
      <c r="D144" s="299" t="s">
        <v>908</v>
      </c>
      <c r="E144" s="522">
        <v>5.31</v>
      </c>
      <c r="F144" s="522"/>
      <c r="G144" s="333">
        <f t="shared" si="4"/>
        <v>-419.94000000001404</v>
      </c>
      <c r="H144" s="334"/>
      <c r="I144" s="335"/>
      <c r="J144" s="336"/>
      <c r="K144" s="301"/>
      <c r="L144" s="336"/>
      <c r="M144" s="301"/>
      <c r="N144" s="336"/>
      <c r="O144" s="301"/>
      <c r="P144" s="336"/>
      <c r="Q144" s="301"/>
      <c r="R144" s="336"/>
      <c r="S144" s="301"/>
      <c r="T144" s="336"/>
    </row>
    <row r="145" spans="1:20" ht="12" customHeight="1" x14ac:dyDescent="0.3">
      <c r="A145" s="329" t="s">
        <v>289</v>
      </c>
      <c r="B145" s="330">
        <v>2</v>
      </c>
      <c r="C145" s="298">
        <v>46182</v>
      </c>
      <c r="D145" s="299" t="s">
        <v>435</v>
      </c>
      <c r="E145" s="522">
        <v>58.69</v>
      </c>
      <c r="F145" s="522"/>
      <c r="G145" s="333">
        <f t="shared" si="4"/>
        <v>-414.63000000001404</v>
      </c>
      <c r="H145" s="334"/>
      <c r="I145" s="335"/>
      <c r="J145" s="336"/>
      <c r="K145" s="301"/>
      <c r="L145" s="336"/>
      <c r="M145" s="301"/>
      <c r="N145" s="336"/>
      <c r="O145" s="301"/>
      <c r="P145" s="336"/>
      <c r="Q145" s="301"/>
      <c r="R145" s="336"/>
      <c r="S145" s="301"/>
      <c r="T145" s="336"/>
    </row>
    <row r="146" spans="1:20" ht="12" customHeight="1" x14ac:dyDescent="0.3">
      <c r="A146" s="329" t="s">
        <v>289</v>
      </c>
      <c r="B146" s="330">
        <v>8</v>
      </c>
      <c r="C146" s="298">
        <v>46182</v>
      </c>
      <c r="D146" s="299" t="s">
        <v>435</v>
      </c>
      <c r="E146" s="522">
        <v>58.69</v>
      </c>
      <c r="F146" s="522"/>
      <c r="G146" s="333">
        <f t="shared" si="4"/>
        <v>-355.94000000001404</v>
      </c>
      <c r="H146" s="334"/>
      <c r="I146" s="335"/>
      <c r="J146" s="336"/>
      <c r="K146" s="301"/>
      <c r="L146" s="336"/>
      <c r="M146" s="301"/>
      <c r="N146" s="336"/>
      <c r="O146" s="301"/>
      <c r="P146" s="336"/>
      <c r="Q146" s="301"/>
      <c r="R146" s="336"/>
      <c r="S146" s="301"/>
      <c r="T146" s="336"/>
    </row>
    <row r="147" spans="1:20" ht="12" customHeight="1" x14ac:dyDescent="0.3">
      <c r="A147" s="329" t="s">
        <v>289</v>
      </c>
      <c r="B147" s="330">
        <v>8</v>
      </c>
      <c r="C147" s="298">
        <v>46181</v>
      </c>
      <c r="D147" s="299" t="s">
        <v>319</v>
      </c>
      <c r="E147" s="522">
        <v>8.86</v>
      </c>
      <c r="F147" s="522"/>
      <c r="G147" s="333">
        <f t="shared" si="4"/>
        <v>-297.25000000001404</v>
      </c>
      <c r="H147" s="334"/>
      <c r="I147" s="335"/>
      <c r="J147" s="336"/>
      <c r="K147" s="301"/>
      <c r="L147" s="336"/>
      <c r="M147" s="301"/>
      <c r="N147" s="336"/>
      <c r="O147" s="301"/>
      <c r="P147" s="336"/>
      <c r="Q147" s="301"/>
      <c r="R147" s="336"/>
      <c r="S147" s="301"/>
      <c r="T147" s="336"/>
    </row>
    <row r="148" spans="1:20" ht="12" customHeight="1" x14ac:dyDescent="0.3">
      <c r="A148" s="329" t="s">
        <v>289</v>
      </c>
      <c r="B148" s="330">
        <v>6</v>
      </c>
      <c r="C148" s="298">
        <v>46181</v>
      </c>
      <c r="D148" s="299" t="s">
        <v>397</v>
      </c>
      <c r="E148" s="522">
        <v>12.84</v>
      </c>
      <c r="F148" s="522"/>
      <c r="G148" s="333">
        <f t="shared" si="4"/>
        <v>-288.39000000001403</v>
      </c>
      <c r="H148" s="334"/>
      <c r="I148" s="335"/>
      <c r="J148" s="336"/>
      <c r="K148" s="301"/>
      <c r="L148" s="336"/>
      <c r="M148" s="301"/>
      <c r="N148" s="336"/>
      <c r="O148" s="301"/>
      <c r="P148" s="336"/>
      <c r="Q148" s="301"/>
      <c r="R148" s="336"/>
      <c r="S148" s="301"/>
      <c r="T148" s="336"/>
    </row>
    <row r="149" spans="1:20" ht="12" customHeight="1" x14ac:dyDescent="0.3">
      <c r="A149" s="329" t="s">
        <v>294</v>
      </c>
      <c r="B149" s="330">
        <v>9</v>
      </c>
      <c r="C149" s="298">
        <v>46181</v>
      </c>
      <c r="D149" s="299" t="s">
        <v>58</v>
      </c>
      <c r="E149" s="522">
        <v>1231.68</v>
      </c>
      <c r="F149" s="522"/>
      <c r="G149" s="333">
        <f t="shared" si="4"/>
        <v>-275.55000000001405</v>
      </c>
      <c r="H149" s="334"/>
      <c r="I149" s="335"/>
      <c r="J149" s="336"/>
      <c r="K149" s="301"/>
      <c r="L149" s="336"/>
      <c r="M149" s="301"/>
      <c r="N149" s="336"/>
      <c r="O149" s="301"/>
      <c r="P149" s="336"/>
      <c r="Q149" s="301"/>
      <c r="R149" s="336"/>
      <c r="S149" s="301"/>
      <c r="T149" s="336"/>
    </row>
    <row r="150" spans="1:20" ht="12" customHeight="1" x14ac:dyDescent="0.3">
      <c r="A150" s="329" t="s">
        <v>289</v>
      </c>
      <c r="B150" s="330">
        <v>4</v>
      </c>
      <c r="C150" s="298">
        <v>46180</v>
      </c>
      <c r="D150" s="299" t="s">
        <v>310</v>
      </c>
      <c r="E150" s="522">
        <v>47.6</v>
      </c>
      <c r="F150" s="522"/>
      <c r="G150" s="333">
        <f t="shared" si="4"/>
        <v>956.12999999998601</v>
      </c>
      <c r="H150" s="334"/>
      <c r="I150" s="335"/>
      <c r="J150" s="336"/>
      <c r="K150" s="301"/>
      <c r="L150" s="336"/>
      <c r="M150" s="301"/>
      <c r="N150" s="336"/>
      <c r="O150" s="301"/>
      <c r="P150" s="336"/>
      <c r="Q150" s="301"/>
      <c r="R150" s="336"/>
      <c r="S150" s="301"/>
      <c r="T150" s="336"/>
    </row>
    <row r="151" spans="1:20" ht="12" customHeight="1" x14ac:dyDescent="0.3">
      <c r="A151" s="329" t="s">
        <v>289</v>
      </c>
      <c r="B151" s="330">
        <v>1</v>
      </c>
      <c r="C151" s="298">
        <v>46180</v>
      </c>
      <c r="D151" s="299" t="s">
        <v>368</v>
      </c>
      <c r="E151" s="522">
        <v>48.62</v>
      </c>
      <c r="F151" s="522"/>
      <c r="G151" s="333">
        <f t="shared" ref="G151:G161" si="5">G152-E151+F151</f>
        <v>1003.729999999986</v>
      </c>
      <c r="H151" s="334"/>
      <c r="I151" s="335"/>
      <c r="J151" s="336"/>
      <c r="K151" s="301"/>
      <c r="L151" s="336"/>
      <c r="M151" s="301"/>
      <c r="N151" s="336"/>
      <c r="O151" s="301"/>
      <c r="P151" s="336"/>
      <c r="Q151" s="301"/>
      <c r="R151" s="336"/>
      <c r="S151" s="301"/>
      <c r="T151" s="336"/>
    </row>
    <row r="152" spans="1:20" ht="12" customHeight="1" x14ac:dyDescent="0.3">
      <c r="A152" s="329" t="s">
        <v>289</v>
      </c>
      <c r="B152" s="330">
        <v>8</v>
      </c>
      <c r="C152" s="298">
        <v>46180</v>
      </c>
      <c r="D152" s="299" t="s">
        <v>363</v>
      </c>
      <c r="E152" s="522">
        <v>6.37</v>
      </c>
      <c r="F152" s="522"/>
      <c r="G152" s="333">
        <f t="shared" si="5"/>
        <v>1052.349999999986</v>
      </c>
      <c r="H152" s="334"/>
      <c r="I152" s="335"/>
      <c r="J152" s="336"/>
      <c r="K152" s="301"/>
      <c r="L152" s="336"/>
      <c r="M152" s="301"/>
      <c r="N152" s="336"/>
      <c r="O152" s="301"/>
      <c r="P152" s="336"/>
      <c r="Q152" s="301"/>
      <c r="R152" s="336"/>
      <c r="S152" s="301"/>
      <c r="T152" s="336"/>
    </row>
    <row r="153" spans="1:20" ht="12" customHeight="1" x14ac:dyDescent="0.3">
      <c r="A153" s="329" t="s">
        <v>287</v>
      </c>
      <c r="B153" s="330" t="s">
        <v>287</v>
      </c>
      <c r="C153" s="298">
        <v>46180</v>
      </c>
      <c r="D153" s="299" t="s">
        <v>890</v>
      </c>
      <c r="E153" s="522">
        <v>313.77999999999997</v>
      </c>
      <c r="F153" s="522">
        <v>313.77999999999997</v>
      </c>
      <c r="G153" s="333">
        <f t="shared" si="5"/>
        <v>1058.7199999999859</v>
      </c>
      <c r="H153" s="334"/>
      <c r="I153" s="335"/>
      <c r="J153" s="336"/>
      <c r="K153" s="301"/>
      <c r="L153" s="336"/>
      <c r="M153" s="301"/>
      <c r="N153" s="336"/>
      <c r="O153" s="301"/>
      <c r="P153" s="336"/>
      <c r="Q153" s="301"/>
      <c r="R153" s="336"/>
      <c r="S153" s="301"/>
      <c r="T153" s="336"/>
    </row>
    <row r="154" spans="1:20" ht="12" customHeight="1" x14ac:dyDescent="0.3">
      <c r="A154" s="329" t="s">
        <v>289</v>
      </c>
      <c r="B154" s="330">
        <v>6</v>
      </c>
      <c r="C154" s="298">
        <v>46180</v>
      </c>
      <c r="D154" s="299" t="s">
        <v>397</v>
      </c>
      <c r="E154" s="522">
        <v>10.86</v>
      </c>
      <c r="F154" s="522"/>
      <c r="G154" s="333">
        <f t="shared" si="5"/>
        <v>1058.7199999999859</v>
      </c>
      <c r="H154" s="334"/>
      <c r="I154" s="335"/>
      <c r="J154" s="336"/>
      <c r="K154" s="301"/>
      <c r="L154" s="336"/>
      <c r="M154" s="301"/>
      <c r="N154" s="336"/>
      <c r="O154" s="301"/>
      <c r="P154" s="336"/>
      <c r="Q154" s="301"/>
      <c r="R154" s="336"/>
      <c r="S154" s="301"/>
      <c r="T154" s="336"/>
    </row>
    <row r="155" spans="1:20" ht="12" customHeight="1" x14ac:dyDescent="0.3">
      <c r="A155" s="329" t="s">
        <v>294</v>
      </c>
      <c r="B155" s="330">
        <v>14</v>
      </c>
      <c r="C155" s="298">
        <v>46179</v>
      </c>
      <c r="D155" s="299" t="s">
        <v>366</v>
      </c>
      <c r="E155" s="522">
        <v>66.67</v>
      </c>
      <c r="F155" s="522"/>
      <c r="G155" s="333">
        <f t="shared" si="5"/>
        <v>1069.5799999999858</v>
      </c>
      <c r="H155" s="334"/>
      <c r="I155" s="335"/>
      <c r="J155" s="336"/>
      <c r="K155" s="301"/>
      <c r="L155" s="336"/>
      <c r="M155" s="301"/>
      <c r="N155" s="336"/>
      <c r="O155" s="301"/>
      <c r="P155" s="336"/>
      <c r="Q155" s="301"/>
      <c r="R155" s="336"/>
      <c r="S155" s="301"/>
      <c r="T155" s="336"/>
    </row>
    <row r="156" spans="1:20" ht="12" customHeight="1" x14ac:dyDescent="0.3">
      <c r="A156" s="329" t="s">
        <v>289</v>
      </c>
      <c r="B156" s="330">
        <v>5</v>
      </c>
      <c r="C156" s="298">
        <v>46179</v>
      </c>
      <c r="D156" s="299" t="s">
        <v>906</v>
      </c>
      <c r="E156" s="522">
        <v>20</v>
      </c>
      <c r="F156" s="522"/>
      <c r="G156" s="333">
        <f t="shared" si="5"/>
        <v>1136.2499999999859</v>
      </c>
      <c r="H156" s="334"/>
      <c r="I156" s="335"/>
      <c r="J156" s="336"/>
      <c r="K156" s="301"/>
      <c r="L156" s="336"/>
      <c r="M156" s="301"/>
      <c r="N156" s="336"/>
      <c r="O156" s="301"/>
      <c r="P156" s="336"/>
      <c r="Q156" s="301"/>
      <c r="R156" s="336"/>
      <c r="S156" s="301"/>
      <c r="T156" s="336"/>
    </row>
    <row r="157" spans="1:20" ht="12" customHeight="1" x14ac:dyDescent="0.3">
      <c r="A157" s="329" t="s">
        <v>289</v>
      </c>
      <c r="B157" s="330">
        <v>1</v>
      </c>
      <c r="C157" s="298">
        <v>46179</v>
      </c>
      <c r="D157" s="299" t="s">
        <v>831</v>
      </c>
      <c r="E157" s="522">
        <v>54.06</v>
      </c>
      <c r="F157" s="522"/>
      <c r="G157" s="333">
        <f t="shared" si="5"/>
        <v>1156.2499999999859</v>
      </c>
      <c r="H157" s="334"/>
      <c r="I157" s="335"/>
      <c r="J157" s="336"/>
      <c r="K157" s="301"/>
      <c r="L157" s="336"/>
      <c r="M157" s="301"/>
      <c r="N157" s="336"/>
      <c r="O157" s="301"/>
      <c r="P157" s="336"/>
      <c r="Q157" s="301"/>
      <c r="R157" s="336"/>
      <c r="S157" s="301"/>
      <c r="T157" s="336"/>
    </row>
    <row r="158" spans="1:20" ht="12" customHeight="1" x14ac:dyDescent="0.3">
      <c r="A158" s="329" t="s">
        <v>289</v>
      </c>
      <c r="B158" s="330">
        <v>6</v>
      </c>
      <c r="C158" s="298">
        <v>46179</v>
      </c>
      <c r="D158" s="299" t="s">
        <v>903</v>
      </c>
      <c r="E158" s="522">
        <v>19.98</v>
      </c>
      <c r="F158" s="522"/>
      <c r="G158" s="333">
        <f t="shared" si="5"/>
        <v>1210.3099999999858</v>
      </c>
      <c r="H158" s="334"/>
      <c r="I158" s="335"/>
      <c r="J158" s="336"/>
      <c r="K158" s="301"/>
      <c r="L158" s="336"/>
      <c r="M158" s="301"/>
      <c r="N158" s="336"/>
      <c r="O158" s="301"/>
      <c r="P158" s="336"/>
      <c r="Q158" s="301"/>
      <c r="R158" s="336"/>
      <c r="S158" s="301"/>
      <c r="T158" s="336"/>
    </row>
    <row r="159" spans="1:20" ht="12" customHeight="1" x14ac:dyDescent="0.3">
      <c r="A159" s="329" t="s">
        <v>289</v>
      </c>
      <c r="B159" s="330">
        <v>6</v>
      </c>
      <c r="C159" s="298">
        <v>46179</v>
      </c>
      <c r="D159" s="299" t="s">
        <v>885</v>
      </c>
      <c r="E159" s="522">
        <v>100</v>
      </c>
      <c r="F159" s="522"/>
      <c r="G159" s="333">
        <f t="shared" si="5"/>
        <v>1230.2899999999859</v>
      </c>
      <c r="H159" s="334"/>
      <c r="I159" s="335"/>
      <c r="J159" s="336"/>
      <c r="K159" s="301"/>
      <c r="L159" s="336"/>
      <c r="M159" s="301"/>
      <c r="N159" s="336"/>
      <c r="O159" s="301"/>
      <c r="P159" s="336"/>
      <c r="Q159" s="301"/>
      <c r="R159" s="336"/>
      <c r="S159" s="301"/>
      <c r="T159" s="336"/>
    </row>
    <row r="160" spans="1:20" ht="12" customHeight="1" x14ac:dyDescent="0.3">
      <c r="A160" s="329" t="s">
        <v>289</v>
      </c>
      <c r="B160" s="330">
        <v>8</v>
      </c>
      <c r="C160" s="298">
        <v>46178</v>
      </c>
      <c r="D160" s="299" t="s">
        <v>319</v>
      </c>
      <c r="E160" s="522">
        <v>179.72</v>
      </c>
      <c r="F160" s="522"/>
      <c r="G160" s="333">
        <f t="shared" si="5"/>
        <v>1330.2899999999859</v>
      </c>
      <c r="H160" s="334"/>
      <c r="I160" s="335"/>
      <c r="J160" s="336"/>
      <c r="K160" s="301"/>
      <c r="L160" s="336"/>
      <c r="M160" s="301"/>
      <c r="N160" s="336"/>
      <c r="O160" s="301"/>
      <c r="P160" s="336"/>
      <c r="Q160" s="301"/>
      <c r="R160" s="336"/>
      <c r="S160" s="301"/>
      <c r="T160" s="336"/>
    </row>
    <row r="161" spans="1:20" ht="12" customHeight="1" x14ac:dyDescent="0.3">
      <c r="A161" s="329" t="s">
        <v>289</v>
      </c>
      <c r="B161" s="330">
        <v>4</v>
      </c>
      <c r="C161" s="298">
        <v>46178</v>
      </c>
      <c r="D161" s="299" t="s">
        <v>904</v>
      </c>
      <c r="E161" s="522">
        <v>41.26</v>
      </c>
      <c r="F161" s="522"/>
      <c r="G161" s="333">
        <f t="shared" si="5"/>
        <v>1510.0099999999859</v>
      </c>
      <c r="H161" s="334"/>
      <c r="I161" s="335"/>
      <c r="J161" s="336"/>
      <c r="K161" s="301"/>
      <c r="L161" s="336"/>
      <c r="M161" s="301"/>
      <c r="N161" s="336"/>
      <c r="O161" s="301"/>
      <c r="P161" s="336"/>
      <c r="Q161" s="301"/>
      <c r="R161" s="336"/>
      <c r="S161" s="301"/>
      <c r="T161" s="336"/>
    </row>
    <row r="162" spans="1:20" ht="12" customHeight="1" x14ac:dyDescent="0.3">
      <c r="A162" s="329" t="s">
        <v>289</v>
      </c>
      <c r="B162" s="330">
        <v>2</v>
      </c>
      <c r="C162" s="298">
        <v>46178</v>
      </c>
      <c r="D162" s="299" t="s">
        <v>358</v>
      </c>
      <c r="E162" s="522">
        <v>10.07</v>
      </c>
      <c r="F162" s="522"/>
      <c r="G162" s="333">
        <f t="shared" ref="G162:G174" si="6">G163-E162+F162</f>
        <v>1551.2699999999859</v>
      </c>
      <c r="H162" s="334"/>
      <c r="I162" s="335"/>
      <c r="J162" s="336"/>
      <c r="K162" s="301"/>
      <c r="L162" s="336"/>
      <c r="M162" s="301"/>
      <c r="N162" s="336"/>
      <c r="O162" s="301"/>
      <c r="P162" s="336"/>
      <c r="Q162" s="301"/>
      <c r="R162" s="336"/>
      <c r="S162" s="301"/>
      <c r="T162" s="336"/>
    </row>
    <row r="163" spans="1:20" ht="12" customHeight="1" x14ac:dyDescent="0.3">
      <c r="A163" s="329" t="s">
        <v>289</v>
      </c>
      <c r="B163" s="330">
        <v>2</v>
      </c>
      <c r="C163" s="298">
        <v>46178</v>
      </c>
      <c r="D163" s="299" t="s">
        <v>905</v>
      </c>
      <c r="E163" s="522">
        <v>11.75</v>
      </c>
      <c r="F163" s="522"/>
      <c r="G163" s="333">
        <f t="shared" si="6"/>
        <v>1561.3399999999858</v>
      </c>
      <c r="H163" s="334"/>
      <c r="I163" s="335"/>
      <c r="J163" s="336"/>
      <c r="K163" s="301"/>
      <c r="L163" s="336"/>
      <c r="M163" s="301"/>
      <c r="N163" s="336"/>
      <c r="O163" s="301"/>
      <c r="P163" s="336"/>
      <c r="Q163" s="301"/>
      <c r="R163" s="336"/>
      <c r="S163" s="301"/>
      <c r="T163" s="336"/>
    </row>
    <row r="164" spans="1:20" ht="12" customHeight="1" x14ac:dyDescent="0.3">
      <c r="A164" s="329" t="s">
        <v>335</v>
      </c>
      <c r="B164" s="330" t="s">
        <v>335</v>
      </c>
      <c r="C164" s="298">
        <v>46178</v>
      </c>
      <c r="D164" s="299" t="s">
        <v>447</v>
      </c>
      <c r="E164" s="522">
        <v>39.659999999999997</v>
      </c>
      <c r="F164" s="522"/>
      <c r="G164" s="333">
        <f t="shared" si="6"/>
        <v>1573.0899999999858</v>
      </c>
      <c r="H164" s="334"/>
      <c r="I164" s="335"/>
      <c r="J164" s="336"/>
      <c r="K164" s="301"/>
      <c r="L164" s="336"/>
      <c r="M164" s="301"/>
      <c r="N164" s="336"/>
      <c r="O164" s="301"/>
      <c r="P164" s="336"/>
      <c r="Q164" s="301"/>
      <c r="R164" s="336"/>
      <c r="S164" s="301"/>
      <c r="T164" s="336"/>
    </row>
    <row r="165" spans="1:20" ht="12" customHeight="1" x14ac:dyDescent="0.3">
      <c r="A165" s="329" t="s">
        <v>289</v>
      </c>
      <c r="B165" s="330">
        <v>6</v>
      </c>
      <c r="C165" s="298">
        <v>46178</v>
      </c>
      <c r="D165" s="299" t="s">
        <v>300</v>
      </c>
      <c r="E165" s="522">
        <v>9.57</v>
      </c>
      <c r="F165" s="522"/>
      <c r="G165" s="333">
        <f t="shared" si="6"/>
        <v>1612.7499999999859</v>
      </c>
      <c r="H165" s="334"/>
      <c r="I165" s="335"/>
      <c r="J165" s="336"/>
      <c r="K165" s="301"/>
      <c r="L165" s="336"/>
      <c r="M165" s="301"/>
      <c r="N165" s="336"/>
      <c r="O165" s="301"/>
      <c r="P165" s="336"/>
      <c r="Q165" s="301"/>
      <c r="R165" s="336"/>
      <c r="S165" s="301"/>
      <c r="T165" s="336"/>
    </row>
    <row r="166" spans="1:20" ht="12" customHeight="1" x14ac:dyDescent="0.3">
      <c r="A166" s="329" t="s">
        <v>289</v>
      </c>
      <c r="B166" s="330">
        <v>2</v>
      </c>
      <c r="C166" s="298">
        <v>46178</v>
      </c>
      <c r="D166" s="299" t="s">
        <v>376</v>
      </c>
      <c r="E166" s="522">
        <v>46.65</v>
      </c>
      <c r="F166" s="522"/>
      <c r="G166" s="333">
        <f t="shared" si="6"/>
        <v>1622.3199999999858</v>
      </c>
      <c r="H166" s="334"/>
      <c r="I166" s="335"/>
      <c r="J166" s="336"/>
      <c r="K166" s="301"/>
      <c r="L166" s="336"/>
      <c r="M166" s="301"/>
      <c r="N166" s="336"/>
      <c r="O166" s="301"/>
      <c r="P166" s="336"/>
      <c r="Q166" s="301"/>
      <c r="R166" s="336"/>
      <c r="S166" s="301"/>
      <c r="T166" s="336"/>
    </row>
    <row r="167" spans="1:20" ht="12" customHeight="1" x14ac:dyDescent="0.3">
      <c r="A167" s="329" t="s">
        <v>289</v>
      </c>
      <c r="B167" s="330">
        <v>4</v>
      </c>
      <c r="C167" s="298">
        <v>46177</v>
      </c>
      <c r="D167" s="299" t="s">
        <v>296</v>
      </c>
      <c r="E167" s="522">
        <v>43.69</v>
      </c>
      <c r="F167" s="522"/>
      <c r="G167" s="333">
        <f t="shared" si="6"/>
        <v>1668.9699999999859</v>
      </c>
      <c r="H167" s="334"/>
      <c r="I167" s="335"/>
      <c r="J167" s="336"/>
      <c r="K167" s="301"/>
      <c r="L167" s="336"/>
      <c r="M167" s="301"/>
      <c r="N167" s="336"/>
      <c r="O167" s="301"/>
      <c r="P167" s="336"/>
      <c r="Q167" s="301"/>
      <c r="R167" s="336"/>
      <c r="S167" s="301"/>
      <c r="T167" s="336"/>
    </row>
    <row r="168" spans="1:20" ht="12" customHeight="1" x14ac:dyDescent="0.3">
      <c r="A168" s="329" t="s">
        <v>289</v>
      </c>
      <c r="B168" s="330">
        <v>3</v>
      </c>
      <c r="C168" s="298">
        <v>46177</v>
      </c>
      <c r="D168" s="299" t="s">
        <v>334</v>
      </c>
      <c r="E168" s="522">
        <v>8.52</v>
      </c>
      <c r="F168" s="522"/>
      <c r="G168" s="333">
        <f t="shared" si="6"/>
        <v>1712.659999999986</v>
      </c>
      <c r="H168" s="334"/>
      <c r="I168" s="335"/>
      <c r="J168" s="336"/>
      <c r="K168" s="301"/>
      <c r="L168" s="336"/>
      <c r="M168" s="301"/>
      <c r="N168" s="336"/>
      <c r="O168" s="301"/>
      <c r="P168" s="336"/>
      <c r="Q168" s="301"/>
      <c r="R168" s="336"/>
      <c r="S168" s="301"/>
      <c r="T168" s="336"/>
    </row>
    <row r="169" spans="1:20" ht="12" customHeight="1" x14ac:dyDescent="0.3">
      <c r="A169" s="329" t="s">
        <v>294</v>
      </c>
      <c r="B169" s="330">
        <v>14</v>
      </c>
      <c r="C169" s="298">
        <v>46177</v>
      </c>
      <c r="D169" s="299" t="s">
        <v>367</v>
      </c>
      <c r="E169" s="522">
        <v>70.25</v>
      </c>
      <c r="F169" s="522"/>
      <c r="G169" s="333">
        <f t="shared" si="6"/>
        <v>1721.179999999986</v>
      </c>
      <c r="H169" s="334"/>
      <c r="I169" s="335"/>
      <c r="J169" s="336"/>
      <c r="K169" s="301"/>
      <c r="L169" s="336"/>
      <c r="M169" s="301"/>
      <c r="N169" s="336"/>
      <c r="O169" s="301"/>
      <c r="P169" s="336"/>
      <c r="Q169" s="301"/>
      <c r="R169" s="336"/>
      <c r="S169" s="301"/>
      <c r="T169" s="336"/>
    </row>
    <row r="170" spans="1:20" ht="12" customHeight="1" x14ac:dyDescent="0.3">
      <c r="A170" s="329" t="s">
        <v>289</v>
      </c>
      <c r="B170" s="330">
        <v>2</v>
      </c>
      <c r="C170" s="298">
        <v>46177</v>
      </c>
      <c r="D170" s="299" t="s">
        <v>386</v>
      </c>
      <c r="E170" s="522">
        <v>14.38</v>
      </c>
      <c r="F170" s="522"/>
      <c r="G170" s="333">
        <f t="shared" si="6"/>
        <v>1791.429999999986</v>
      </c>
      <c r="H170" s="334"/>
      <c r="I170" s="335"/>
      <c r="J170" s="336"/>
      <c r="K170" s="301"/>
      <c r="L170" s="336"/>
      <c r="M170" s="301"/>
      <c r="N170" s="336"/>
      <c r="O170" s="301"/>
      <c r="P170" s="336"/>
      <c r="Q170" s="301"/>
      <c r="R170" s="336"/>
      <c r="S170" s="301"/>
      <c r="T170" s="336"/>
    </row>
    <row r="171" spans="1:20" ht="12" customHeight="1" x14ac:dyDescent="0.3">
      <c r="A171" s="329" t="s">
        <v>294</v>
      </c>
      <c r="B171" s="330">
        <v>13</v>
      </c>
      <c r="C171" s="298">
        <v>46177</v>
      </c>
      <c r="D171" s="299" t="s">
        <v>902</v>
      </c>
      <c r="E171" s="522">
        <v>122.46</v>
      </c>
      <c r="F171" s="522"/>
      <c r="G171" s="333">
        <f t="shared" si="6"/>
        <v>1805.8099999999861</v>
      </c>
      <c r="H171" s="334"/>
      <c r="I171" s="335"/>
      <c r="J171" s="336"/>
      <c r="K171" s="301"/>
      <c r="L171" s="336"/>
      <c r="M171" s="301"/>
      <c r="N171" s="336"/>
      <c r="O171" s="301"/>
      <c r="P171" s="336"/>
      <c r="Q171" s="301"/>
      <c r="R171" s="336"/>
      <c r="S171" s="301"/>
      <c r="T171" s="336"/>
    </row>
    <row r="172" spans="1:20" ht="12" customHeight="1" x14ac:dyDescent="0.3">
      <c r="A172" s="329" t="s">
        <v>294</v>
      </c>
      <c r="B172" s="330">
        <v>17</v>
      </c>
      <c r="C172" s="298">
        <v>46177</v>
      </c>
      <c r="D172" s="299" t="s">
        <v>370</v>
      </c>
      <c r="E172" s="522">
        <v>99</v>
      </c>
      <c r="F172" s="522"/>
      <c r="G172" s="333">
        <f t="shared" si="6"/>
        <v>1928.2699999999861</v>
      </c>
      <c r="H172" s="334"/>
      <c r="I172" s="335"/>
      <c r="J172" s="336"/>
      <c r="K172" s="301"/>
      <c r="L172" s="336"/>
      <c r="M172" s="301"/>
      <c r="N172" s="336"/>
      <c r="O172" s="301"/>
      <c r="P172" s="336"/>
      <c r="Q172" s="301"/>
      <c r="R172" s="336"/>
      <c r="S172" s="301"/>
      <c r="T172" s="336"/>
    </row>
    <row r="173" spans="1:20" ht="12" customHeight="1" x14ac:dyDescent="0.3">
      <c r="A173" s="329" t="s">
        <v>294</v>
      </c>
      <c r="B173" s="330">
        <v>22</v>
      </c>
      <c r="C173" s="298">
        <v>46176</v>
      </c>
      <c r="D173" s="299" t="s">
        <v>861</v>
      </c>
      <c r="E173" s="522">
        <v>12.77</v>
      </c>
      <c r="F173" s="522"/>
      <c r="G173" s="333">
        <f t="shared" si="6"/>
        <v>2027.2699999999861</v>
      </c>
      <c r="H173" s="334"/>
      <c r="I173" s="335"/>
      <c r="J173" s="336"/>
      <c r="K173" s="301"/>
      <c r="L173" s="336"/>
      <c r="M173" s="301"/>
      <c r="N173" s="336"/>
      <c r="O173" s="301"/>
      <c r="P173" s="336"/>
      <c r="Q173" s="301"/>
      <c r="R173" s="336"/>
      <c r="S173" s="301"/>
      <c r="T173" s="336"/>
    </row>
    <row r="174" spans="1:20" ht="12" customHeight="1" x14ac:dyDescent="0.3">
      <c r="A174" s="329" t="s">
        <v>289</v>
      </c>
      <c r="B174" s="330">
        <v>8</v>
      </c>
      <c r="C174" s="298">
        <v>46176</v>
      </c>
      <c r="D174" s="299" t="s">
        <v>319</v>
      </c>
      <c r="E174" s="522">
        <v>11.55</v>
      </c>
      <c r="F174" s="522"/>
      <c r="G174" s="333">
        <f t="shared" si="6"/>
        <v>2040.0399999999861</v>
      </c>
      <c r="H174" s="334"/>
      <c r="I174" s="335"/>
      <c r="J174" s="336"/>
      <c r="K174" s="301"/>
      <c r="L174" s="336"/>
      <c r="M174" s="301"/>
      <c r="N174" s="336"/>
      <c r="O174" s="301"/>
      <c r="P174" s="336"/>
      <c r="Q174" s="301"/>
      <c r="R174" s="336"/>
      <c r="S174" s="301"/>
      <c r="T174" s="336"/>
    </row>
    <row r="175" spans="1:20" ht="12" customHeight="1" x14ac:dyDescent="0.3">
      <c r="A175" s="329" t="s">
        <v>289</v>
      </c>
      <c r="B175" s="330">
        <v>1</v>
      </c>
      <c r="C175" s="298">
        <v>46176</v>
      </c>
      <c r="D175" s="299" t="s">
        <v>306</v>
      </c>
      <c r="E175" s="522">
        <v>96.16</v>
      </c>
      <c r="F175" s="522"/>
      <c r="G175" s="333">
        <f t="shared" ref="G175:G233" si="7">G176-E175+F175</f>
        <v>2051.589999999986</v>
      </c>
      <c r="H175" s="334"/>
      <c r="I175" s="335"/>
      <c r="J175" s="336"/>
      <c r="K175" s="301"/>
      <c r="L175" s="336"/>
      <c r="M175" s="301"/>
      <c r="N175" s="336"/>
      <c r="O175" s="301"/>
      <c r="P175" s="336"/>
      <c r="Q175" s="301"/>
      <c r="R175" s="336"/>
      <c r="S175" s="301"/>
      <c r="T175" s="336"/>
    </row>
    <row r="176" spans="1:20" ht="12" customHeight="1" x14ac:dyDescent="0.3">
      <c r="A176" s="329" t="s">
        <v>289</v>
      </c>
      <c r="B176" s="330">
        <v>2</v>
      </c>
      <c r="C176" s="298">
        <v>46175</v>
      </c>
      <c r="D176" s="299" t="s">
        <v>899</v>
      </c>
      <c r="E176" s="522">
        <v>21.38</v>
      </c>
      <c r="F176" s="522"/>
      <c r="G176" s="333">
        <f t="shared" si="7"/>
        <v>2147.7499999999859</v>
      </c>
      <c r="H176" s="334"/>
      <c r="I176" s="335"/>
      <c r="J176" s="336"/>
      <c r="K176" s="301"/>
      <c r="L176" s="336"/>
      <c r="M176" s="301"/>
      <c r="N176" s="336"/>
      <c r="O176" s="301"/>
      <c r="P176" s="336"/>
      <c r="Q176" s="301"/>
      <c r="R176" s="336"/>
      <c r="S176" s="301"/>
      <c r="T176" s="336"/>
    </row>
    <row r="177" spans="1:20" ht="12" customHeight="1" x14ac:dyDescent="0.3">
      <c r="A177" s="329" t="s">
        <v>289</v>
      </c>
      <c r="B177" s="330">
        <v>2</v>
      </c>
      <c r="C177" s="298">
        <v>46175</v>
      </c>
      <c r="D177" s="299" t="s">
        <v>386</v>
      </c>
      <c r="E177" s="522">
        <v>14.38</v>
      </c>
      <c r="F177" s="522"/>
      <c r="G177" s="333">
        <f t="shared" si="7"/>
        <v>2169.129999999986</v>
      </c>
      <c r="H177" s="334"/>
      <c r="I177" s="335"/>
      <c r="J177" s="336"/>
      <c r="K177" s="301"/>
      <c r="L177" s="336"/>
      <c r="M177" s="301"/>
      <c r="N177" s="336"/>
      <c r="O177" s="301"/>
      <c r="P177" s="336"/>
      <c r="Q177" s="301"/>
      <c r="R177" s="336"/>
      <c r="S177" s="301"/>
      <c r="T177" s="336"/>
    </row>
    <row r="178" spans="1:20" ht="12" customHeight="1" x14ac:dyDescent="0.3">
      <c r="A178" s="329" t="s">
        <v>289</v>
      </c>
      <c r="B178" s="330">
        <v>6</v>
      </c>
      <c r="C178" s="298">
        <v>46175</v>
      </c>
      <c r="D178" s="299" t="s">
        <v>433</v>
      </c>
      <c r="E178" s="522">
        <v>-142</v>
      </c>
      <c r="F178" s="522"/>
      <c r="G178" s="333">
        <f t="shared" si="7"/>
        <v>2183.5099999999861</v>
      </c>
      <c r="H178" s="334"/>
      <c r="I178" s="335"/>
      <c r="J178" s="336"/>
      <c r="K178" s="301"/>
      <c r="L178" s="336"/>
      <c r="M178" s="301"/>
      <c r="N178" s="336"/>
      <c r="O178" s="301"/>
      <c r="P178" s="336"/>
      <c r="Q178" s="301"/>
      <c r="R178" s="336"/>
      <c r="S178" s="301"/>
      <c r="T178" s="336"/>
    </row>
    <row r="179" spans="1:20" ht="12" customHeight="1" x14ac:dyDescent="0.3">
      <c r="A179" s="329" t="s">
        <v>284</v>
      </c>
      <c r="B179" s="330">
        <v>36</v>
      </c>
      <c r="C179" s="298">
        <v>46175</v>
      </c>
      <c r="D179" s="299" t="s">
        <v>374</v>
      </c>
      <c r="E179" s="522">
        <v>50</v>
      </c>
      <c r="F179" s="522"/>
      <c r="G179" s="333">
        <f t="shared" si="7"/>
        <v>2041.5099999999861</v>
      </c>
      <c r="H179" s="334"/>
      <c r="I179" s="335"/>
      <c r="J179" s="336"/>
      <c r="K179" s="301"/>
      <c r="L179" s="336"/>
      <c r="M179" s="301"/>
      <c r="N179" s="336"/>
      <c r="O179" s="301"/>
      <c r="P179" s="336"/>
      <c r="Q179" s="301"/>
      <c r="R179" s="336"/>
      <c r="S179" s="301"/>
      <c r="T179" s="336"/>
    </row>
    <row r="180" spans="1:20" ht="12" customHeight="1" x14ac:dyDescent="0.3">
      <c r="A180" s="329" t="s">
        <v>294</v>
      </c>
      <c r="B180" s="330">
        <v>22</v>
      </c>
      <c r="C180" s="298">
        <v>46175</v>
      </c>
      <c r="D180" s="299" t="s">
        <v>375</v>
      </c>
      <c r="E180" s="522">
        <v>6.37</v>
      </c>
      <c r="F180" s="522"/>
      <c r="G180" s="333">
        <f t="shared" si="7"/>
        <v>2091.5099999999861</v>
      </c>
      <c r="H180" s="334"/>
      <c r="I180" s="335"/>
      <c r="J180" s="336"/>
      <c r="K180" s="301"/>
      <c r="L180" s="336"/>
      <c r="M180" s="301"/>
      <c r="N180" s="336"/>
      <c r="O180" s="301"/>
      <c r="P180" s="336"/>
      <c r="Q180" s="301"/>
      <c r="R180" s="336"/>
      <c r="S180" s="301"/>
      <c r="T180" s="336"/>
    </row>
    <row r="181" spans="1:20" ht="12" customHeight="1" x14ac:dyDescent="0.3">
      <c r="A181" s="329" t="s">
        <v>289</v>
      </c>
      <c r="B181" s="330">
        <v>1</v>
      </c>
      <c r="C181" s="298">
        <v>46174</v>
      </c>
      <c r="D181" s="299" t="s">
        <v>306</v>
      </c>
      <c r="E181" s="522">
        <v>84.03</v>
      </c>
      <c r="F181" s="522"/>
      <c r="G181" s="333">
        <f t="shared" si="7"/>
        <v>2097.879999999986</v>
      </c>
      <c r="H181" s="334"/>
      <c r="I181" s="335"/>
      <c r="J181" s="336"/>
      <c r="K181" s="301"/>
      <c r="L181" s="336"/>
      <c r="M181" s="301"/>
      <c r="N181" s="336"/>
      <c r="O181" s="301"/>
      <c r="P181" s="336"/>
      <c r="Q181" s="301"/>
      <c r="R181" s="336"/>
      <c r="S181" s="301"/>
      <c r="T181" s="336"/>
    </row>
    <row r="182" spans="1:20" ht="12" customHeight="1" x14ac:dyDescent="0.3">
      <c r="A182" s="329" t="s">
        <v>289</v>
      </c>
      <c r="B182" s="330">
        <v>3</v>
      </c>
      <c r="C182" s="298">
        <v>46174</v>
      </c>
      <c r="D182" s="299" t="s">
        <v>296</v>
      </c>
      <c r="E182" s="522">
        <v>10.31</v>
      </c>
      <c r="F182" s="522"/>
      <c r="G182" s="333">
        <f t="shared" si="7"/>
        <v>2181.9099999999862</v>
      </c>
      <c r="H182" s="334"/>
      <c r="I182" s="335"/>
      <c r="J182" s="336"/>
      <c r="K182" s="301"/>
      <c r="L182" s="336"/>
      <c r="M182" s="301"/>
      <c r="N182" s="336"/>
      <c r="O182" s="301"/>
      <c r="P182" s="336"/>
      <c r="Q182" s="301"/>
      <c r="R182" s="336"/>
      <c r="S182" s="301"/>
      <c r="T182" s="336"/>
    </row>
    <row r="183" spans="1:20" ht="12" customHeight="1" x14ac:dyDescent="0.3">
      <c r="A183" s="329" t="s">
        <v>289</v>
      </c>
      <c r="B183" s="330">
        <v>2</v>
      </c>
      <c r="C183" s="298">
        <v>46174</v>
      </c>
      <c r="D183" s="299" t="s">
        <v>301</v>
      </c>
      <c r="E183" s="522">
        <v>16.05</v>
      </c>
      <c r="F183" s="522"/>
      <c r="G183" s="333">
        <f t="shared" si="7"/>
        <v>2192.2199999999862</v>
      </c>
      <c r="H183" s="334"/>
      <c r="I183" s="335"/>
      <c r="J183" s="336"/>
      <c r="K183" s="301"/>
      <c r="L183" s="336"/>
      <c r="M183" s="301"/>
      <c r="N183" s="336"/>
      <c r="O183" s="301"/>
      <c r="P183" s="336"/>
      <c r="Q183" s="301"/>
      <c r="R183" s="336"/>
      <c r="S183" s="301"/>
      <c r="T183" s="336"/>
    </row>
    <row r="184" spans="1:20" ht="12" customHeight="1" x14ac:dyDescent="0.3">
      <c r="A184" s="329" t="s">
        <v>289</v>
      </c>
      <c r="B184" s="330">
        <v>1</v>
      </c>
      <c r="C184" s="298">
        <v>46174</v>
      </c>
      <c r="D184" s="299" t="s">
        <v>457</v>
      </c>
      <c r="E184" s="522">
        <v>50.44</v>
      </c>
      <c r="F184" s="522"/>
      <c r="G184" s="333">
        <f t="shared" si="7"/>
        <v>2208.2699999999863</v>
      </c>
      <c r="H184" s="334"/>
      <c r="I184" s="335"/>
      <c r="J184" s="336"/>
      <c r="K184" s="301"/>
      <c r="L184" s="336"/>
      <c r="M184" s="301"/>
      <c r="N184" s="336"/>
      <c r="O184" s="301"/>
      <c r="P184" s="336"/>
      <c r="Q184" s="301"/>
      <c r="R184" s="336"/>
      <c r="S184" s="301"/>
      <c r="T184" s="336"/>
    </row>
    <row r="185" spans="1:20" ht="12" customHeight="1" x14ac:dyDescent="0.3">
      <c r="A185" s="329" t="s">
        <v>289</v>
      </c>
      <c r="B185" s="330">
        <v>6</v>
      </c>
      <c r="C185" s="298">
        <v>46174</v>
      </c>
      <c r="D185" s="299" t="s">
        <v>898</v>
      </c>
      <c r="E185" s="522">
        <v>9.99</v>
      </c>
      <c r="F185" s="522"/>
      <c r="G185" s="333">
        <f t="shared" si="7"/>
        <v>2258.7099999999864</v>
      </c>
      <c r="H185" s="334"/>
      <c r="I185" s="335"/>
      <c r="J185" s="336"/>
      <c r="K185" s="301"/>
      <c r="L185" s="336"/>
      <c r="M185" s="301"/>
      <c r="N185" s="336"/>
      <c r="O185" s="301"/>
      <c r="P185" s="336"/>
      <c r="Q185" s="301"/>
      <c r="R185" s="336"/>
      <c r="S185" s="301"/>
      <c r="T185" s="336"/>
    </row>
    <row r="186" spans="1:20" ht="12" customHeight="1" x14ac:dyDescent="0.3">
      <c r="A186" s="329" t="s">
        <v>289</v>
      </c>
      <c r="B186" s="330">
        <v>4</v>
      </c>
      <c r="C186" s="298">
        <v>46174</v>
      </c>
      <c r="D186" s="299" t="s">
        <v>310</v>
      </c>
      <c r="E186" s="522">
        <v>44.98</v>
      </c>
      <c r="F186" s="522"/>
      <c r="G186" s="333">
        <f t="shared" si="7"/>
        <v>2268.6999999999862</v>
      </c>
      <c r="H186" s="334"/>
      <c r="I186" s="335"/>
      <c r="J186" s="336"/>
      <c r="K186" s="301"/>
      <c r="L186" s="336"/>
      <c r="M186" s="301"/>
      <c r="N186" s="336"/>
      <c r="O186" s="301"/>
      <c r="P186" s="336"/>
      <c r="Q186" s="301"/>
      <c r="R186" s="336"/>
      <c r="S186" s="301"/>
      <c r="T186" s="336"/>
    </row>
    <row r="187" spans="1:20" ht="12" customHeight="1" x14ac:dyDescent="0.3">
      <c r="A187" s="329" t="s">
        <v>289</v>
      </c>
      <c r="B187" s="330">
        <v>1</v>
      </c>
      <c r="C187" s="298">
        <v>46174</v>
      </c>
      <c r="D187" s="299" t="s">
        <v>311</v>
      </c>
      <c r="E187" s="522">
        <v>106.14</v>
      </c>
      <c r="F187" s="522"/>
      <c r="G187" s="333">
        <f t="shared" si="7"/>
        <v>2313.6799999999862</v>
      </c>
      <c r="H187" s="334"/>
      <c r="I187" s="335"/>
      <c r="J187" s="336"/>
      <c r="K187" s="301"/>
      <c r="L187" s="336"/>
      <c r="M187" s="301"/>
      <c r="N187" s="336"/>
      <c r="O187" s="301"/>
      <c r="P187" s="336"/>
      <c r="Q187" s="301"/>
      <c r="R187" s="336"/>
      <c r="S187" s="301"/>
      <c r="T187" s="336"/>
    </row>
    <row r="188" spans="1:20" ht="12" customHeight="1" x14ac:dyDescent="0.3">
      <c r="A188" s="329" t="s">
        <v>294</v>
      </c>
      <c r="B188" s="330">
        <v>16</v>
      </c>
      <c r="C188" s="298">
        <v>46174</v>
      </c>
      <c r="D188" s="299" t="s">
        <v>624</v>
      </c>
      <c r="E188" s="522">
        <v>62.31</v>
      </c>
      <c r="F188" s="522"/>
      <c r="G188" s="333">
        <f t="shared" si="7"/>
        <v>2419.8199999999861</v>
      </c>
      <c r="H188" s="334"/>
      <c r="I188" s="335"/>
      <c r="J188" s="336"/>
      <c r="K188" s="301"/>
      <c r="L188" s="336"/>
      <c r="M188" s="301"/>
      <c r="N188" s="336"/>
      <c r="O188" s="301"/>
      <c r="P188" s="336"/>
      <c r="Q188" s="301"/>
      <c r="R188" s="336"/>
      <c r="S188" s="301"/>
      <c r="T188" s="336"/>
    </row>
    <row r="189" spans="1:20" ht="12" customHeight="1" x14ac:dyDescent="0.3">
      <c r="A189" s="329" t="s">
        <v>289</v>
      </c>
      <c r="B189" s="330">
        <v>3</v>
      </c>
      <c r="C189" s="298">
        <v>46174</v>
      </c>
      <c r="D189" s="299" t="s">
        <v>351</v>
      </c>
      <c r="E189" s="522">
        <v>8.1</v>
      </c>
      <c r="F189" s="522"/>
      <c r="G189" s="333">
        <f t="shared" si="7"/>
        <v>2482.129999999986</v>
      </c>
      <c r="H189" s="334"/>
      <c r="I189" s="335"/>
      <c r="J189" s="336"/>
      <c r="K189" s="301"/>
      <c r="L189" s="336"/>
      <c r="M189" s="301"/>
      <c r="N189" s="336"/>
      <c r="O189" s="301"/>
      <c r="P189" s="336"/>
      <c r="Q189" s="301"/>
      <c r="R189" s="336"/>
      <c r="S189" s="301"/>
      <c r="T189" s="336"/>
    </row>
    <row r="190" spans="1:20" ht="12" customHeight="1" x14ac:dyDescent="0.3">
      <c r="A190" s="329" t="s">
        <v>287</v>
      </c>
      <c r="B190" s="330" t="s">
        <v>287</v>
      </c>
      <c r="C190" s="298">
        <v>46174</v>
      </c>
      <c r="D190" s="299" t="s">
        <v>888</v>
      </c>
      <c r="E190" s="522">
        <v>320</v>
      </c>
      <c r="F190" s="522">
        <v>320</v>
      </c>
      <c r="G190" s="333">
        <f t="shared" si="7"/>
        <v>2490.2299999999859</v>
      </c>
      <c r="H190" s="334"/>
      <c r="I190" s="335"/>
      <c r="J190" s="336"/>
      <c r="K190" s="301"/>
      <c r="L190" s="336"/>
      <c r="M190" s="301"/>
      <c r="N190" s="336"/>
      <c r="O190" s="301"/>
      <c r="P190" s="336"/>
      <c r="Q190" s="301"/>
      <c r="R190" s="336"/>
      <c r="S190" s="301"/>
      <c r="T190" s="336"/>
    </row>
    <row r="191" spans="1:20" ht="12" customHeight="1" x14ac:dyDescent="0.3">
      <c r="A191" s="329" t="s">
        <v>289</v>
      </c>
      <c r="B191" s="330">
        <v>6</v>
      </c>
      <c r="C191" s="298">
        <v>46174</v>
      </c>
      <c r="D191" s="299" t="s">
        <v>889</v>
      </c>
      <c r="E191" s="522">
        <v>20</v>
      </c>
      <c r="F191" s="522"/>
      <c r="G191" s="333">
        <f t="shared" si="7"/>
        <v>2490.2299999999859</v>
      </c>
      <c r="H191" s="334"/>
      <c r="I191" s="335"/>
      <c r="J191" s="336"/>
      <c r="K191" s="301"/>
      <c r="L191" s="336"/>
      <c r="M191" s="301"/>
      <c r="N191" s="336"/>
      <c r="O191" s="301"/>
      <c r="P191" s="336"/>
      <c r="Q191" s="301"/>
      <c r="R191" s="336"/>
      <c r="S191" s="301"/>
      <c r="T191" s="336"/>
    </row>
    <row r="192" spans="1:20" ht="12" customHeight="1" x14ac:dyDescent="0.3">
      <c r="A192" s="329" t="s">
        <v>284</v>
      </c>
      <c r="B192" s="330">
        <v>37</v>
      </c>
      <c r="C192" s="298">
        <v>46173</v>
      </c>
      <c r="D192" s="299" t="s">
        <v>895</v>
      </c>
      <c r="E192" s="522">
        <v>1160.3599999999999</v>
      </c>
      <c r="F192" s="522"/>
      <c r="G192" s="333">
        <f t="shared" si="7"/>
        <v>2510.2299999999859</v>
      </c>
      <c r="H192" s="334"/>
      <c r="I192" s="335"/>
      <c r="J192" s="336"/>
      <c r="K192" s="301"/>
      <c r="L192" s="336"/>
      <c r="M192" s="301"/>
      <c r="N192" s="336"/>
      <c r="O192" s="301"/>
      <c r="P192" s="336"/>
      <c r="Q192" s="301"/>
      <c r="R192" s="336"/>
      <c r="S192" s="301"/>
      <c r="T192" s="336"/>
    </row>
    <row r="193" spans="1:20" ht="12" customHeight="1" x14ac:dyDescent="0.3">
      <c r="A193" s="329" t="s">
        <v>286</v>
      </c>
      <c r="B193" s="330">
        <v>25</v>
      </c>
      <c r="C193" s="298">
        <v>46173</v>
      </c>
      <c r="D193" s="298" t="s">
        <v>204</v>
      </c>
      <c r="E193" s="331">
        <v>350</v>
      </c>
      <c r="F193" s="522"/>
      <c r="G193" s="333">
        <f t="shared" si="7"/>
        <v>3670.5899999999856</v>
      </c>
      <c r="H193" s="334"/>
      <c r="I193" s="335"/>
      <c r="J193" s="336"/>
      <c r="K193" s="301"/>
      <c r="L193" s="336"/>
      <c r="M193" s="301"/>
      <c r="N193" s="336"/>
      <c r="O193" s="301"/>
      <c r="P193" s="336"/>
      <c r="Q193" s="301"/>
      <c r="R193" s="336"/>
      <c r="S193" s="301"/>
      <c r="T193" s="336"/>
    </row>
    <row r="194" spans="1:20" ht="12" customHeight="1" x14ac:dyDescent="0.3">
      <c r="A194" s="329" t="s">
        <v>286</v>
      </c>
      <c r="B194" s="330">
        <v>26</v>
      </c>
      <c r="C194" s="298">
        <v>46173</v>
      </c>
      <c r="D194" s="298" t="s">
        <v>205</v>
      </c>
      <c r="E194" s="331">
        <v>320</v>
      </c>
      <c r="F194" s="522"/>
      <c r="G194" s="333">
        <f t="shared" si="7"/>
        <v>4020.5899999999856</v>
      </c>
      <c r="H194" s="334"/>
      <c r="I194" s="335"/>
      <c r="J194" s="336"/>
      <c r="K194" s="301"/>
      <c r="L194" s="336"/>
      <c r="M194" s="301"/>
      <c r="N194" s="336"/>
      <c r="O194" s="301"/>
      <c r="P194" s="336"/>
      <c r="Q194" s="301"/>
      <c r="R194" s="336"/>
      <c r="S194" s="301"/>
      <c r="T194" s="336"/>
    </row>
    <row r="195" spans="1:20" ht="12" customHeight="1" x14ac:dyDescent="0.3">
      <c r="A195" s="329" t="s">
        <v>286</v>
      </c>
      <c r="B195" s="330">
        <v>27</v>
      </c>
      <c r="C195" s="298">
        <v>46173</v>
      </c>
      <c r="D195" s="298" t="s">
        <v>206</v>
      </c>
      <c r="E195" s="331">
        <v>25</v>
      </c>
      <c r="F195" s="522"/>
      <c r="G195" s="333">
        <f t="shared" si="7"/>
        <v>4340.5899999999856</v>
      </c>
      <c r="H195" s="334"/>
      <c r="I195" s="335"/>
      <c r="J195" s="336"/>
      <c r="K195" s="301"/>
      <c r="L195" s="336"/>
      <c r="M195" s="301"/>
      <c r="N195" s="336"/>
      <c r="O195" s="301"/>
      <c r="P195" s="336"/>
      <c r="Q195" s="301"/>
      <c r="R195" s="336"/>
      <c r="S195" s="301"/>
      <c r="T195" s="336"/>
    </row>
    <row r="196" spans="1:20" ht="12" customHeight="1" x14ac:dyDescent="0.3">
      <c r="A196" s="329" t="s">
        <v>286</v>
      </c>
      <c r="B196" s="330">
        <v>28</v>
      </c>
      <c r="C196" s="298">
        <v>46173</v>
      </c>
      <c r="D196" s="298" t="s">
        <v>207</v>
      </c>
      <c r="E196" s="331">
        <v>25</v>
      </c>
      <c r="F196" s="522"/>
      <c r="G196" s="333">
        <f t="shared" si="7"/>
        <v>4365.5899999999856</v>
      </c>
      <c r="H196" s="334"/>
      <c r="I196" s="335"/>
      <c r="J196" s="336"/>
      <c r="K196" s="301"/>
      <c r="L196" s="336"/>
      <c r="M196" s="301"/>
      <c r="N196" s="336"/>
      <c r="O196" s="301"/>
      <c r="P196" s="336"/>
      <c r="Q196" s="301"/>
      <c r="R196" s="336"/>
      <c r="S196" s="301"/>
      <c r="T196" s="336"/>
    </row>
    <row r="197" spans="1:20" ht="12" customHeight="1" x14ac:dyDescent="0.3">
      <c r="A197" s="329" t="s">
        <v>286</v>
      </c>
      <c r="B197" s="330">
        <v>29</v>
      </c>
      <c r="C197" s="298">
        <v>46173</v>
      </c>
      <c r="D197" s="298" t="s">
        <v>208</v>
      </c>
      <c r="E197" s="331">
        <v>45</v>
      </c>
      <c r="F197" s="522"/>
      <c r="G197" s="333">
        <f t="shared" si="7"/>
        <v>4390.5899999999856</v>
      </c>
      <c r="H197" s="334"/>
      <c r="I197" s="335"/>
      <c r="J197" s="336"/>
      <c r="K197" s="301"/>
      <c r="L197" s="336"/>
      <c r="M197" s="301"/>
      <c r="N197" s="336"/>
      <c r="O197" s="301"/>
      <c r="P197" s="336"/>
      <c r="Q197" s="301"/>
      <c r="R197" s="336"/>
      <c r="S197" s="301"/>
      <c r="T197" s="336"/>
    </row>
    <row r="198" spans="1:20" ht="12" customHeight="1" x14ac:dyDescent="0.3">
      <c r="A198" s="329" t="s">
        <v>286</v>
      </c>
      <c r="B198" s="330">
        <v>30</v>
      </c>
      <c r="C198" s="298">
        <v>46173</v>
      </c>
      <c r="D198" s="298" t="s">
        <v>209</v>
      </c>
      <c r="E198" s="331">
        <v>400</v>
      </c>
      <c r="F198" s="522"/>
      <c r="G198" s="333">
        <f t="shared" si="7"/>
        <v>4435.5899999999856</v>
      </c>
      <c r="H198" s="334"/>
      <c r="I198" s="335"/>
      <c r="J198" s="336"/>
      <c r="K198" s="301"/>
      <c r="L198" s="336"/>
      <c r="M198" s="301"/>
      <c r="N198" s="336"/>
      <c r="O198" s="301"/>
      <c r="P198" s="336"/>
      <c r="Q198" s="301"/>
      <c r="R198" s="336"/>
      <c r="S198" s="301"/>
      <c r="T198" s="336"/>
    </row>
    <row r="199" spans="1:20" ht="12" customHeight="1" x14ac:dyDescent="0.3">
      <c r="A199" s="329" t="s">
        <v>286</v>
      </c>
      <c r="B199" s="330">
        <v>31</v>
      </c>
      <c r="C199" s="298">
        <v>46173</v>
      </c>
      <c r="D199" s="298" t="s">
        <v>210</v>
      </c>
      <c r="E199" s="331">
        <v>375</v>
      </c>
      <c r="F199" s="522"/>
      <c r="G199" s="333">
        <f t="shared" si="7"/>
        <v>4835.5899999999856</v>
      </c>
      <c r="H199" s="334"/>
      <c r="I199" s="335"/>
      <c r="J199" s="336"/>
      <c r="K199" s="301"/>
      <c r="L199" s="336"/>
      <c r="M199" s="301"/>
      <c r="N199" s="336"/>
      <c r="O199" s="301"/>
      <c r="P199" s="336"/>
      <c r="Q199" s="301"/>
      <c r="R199" s="336"/>
      <c r="S199" s="301"/>
      <c r="T199" s="336"/>
    </row>
    <row r="200" spans="1:20" ht="12" customHeight="1" x14ac:dyDescent="0.3">
      <c r="A200" s="329" t="s">
        <v>286</v>
      </c>
      <c r="B200" s="330">
        <v>32</v>
      </c>
      <c r="C200" s="298">
        <v>46173</v>
      </c>
      <c r="D200" s="298" t="s">
        <v>211</v>
      </c>
      <c r="E200" s="331">
        <v>100</v>
      </c>
      <c r="F200" s="522"/>
      <c r="G200" s="333">
        <f t="shared" si="7"/>
        <v>5210.5899999999856</v>
      </c>
      <c r="H200" s="334"/>
      <c r="I200" s="335"/>
      <c r="J200" s="336"/>
      <c r="K200" s="301"/>
      <c r="L200" s="336"/>
      <c r="M200" s="301"/>
      <c r="N200" s="336"/>
      <c r="O200" s="301"/>
      <c r="P200" s="336"/>
      <c r="Q200" s="301"/>
      <c r="R200" s="336"/>
      <c r="S200" s="301"/>
      <c r="T200" s="336"/>
    </row>
    <row r="201" spans="1:20" ht="12" customHeight="1" x14ac:dyDescent="0.3">
      <c r="A201" s="329" t="s">
        <v>286</v>
      </c>
      <c r="B201" s="330">
        <v>33</v>
      </c>
      <c r="C201" s="298">
        <v>46173</v>
      </c>
      <c r="D201" s="298" t="s">
        <v>212</v>
      </c>
      <c r="E201" s="331">
        <v>85</v>
      </c>
      <c r="F201" s="522"/>
      <c r="G201" s="333">
        <f t="shared" si="7"/>
        <v>5310.5899999999856</v>
      </c>
      <c r="H201" s="334"/>
      <c r="I201" s="335"/>
      <c r="J201" s="336"/>
      <c r="K201" s="301"/>
      <c r="L201" s="336"/>
      <c r="M201" s="301"/>
      <c r="N201" s="336"/>
      <c r="O201" s="301"/>
      <c r="P201" s="336"/>
      <c r="Q201" s="301"/>
      <c r="R201" s="336"/>
      <c r="S201" s="301"/>
      <c r="T201" s="336"/>
    </row>
    <row r="202" spans="1:20" ht="12" customHeight="1" x14ac:dyDescent="0.3">
      <c r="A202" s="329" t="s">
        <v>286</v>
      </c>
      <c r="B202" s="330">
        <v>34</v>
      </c>
      <c r="C202" s="298">
        <v>46173</v>
      </c>
      <c r="D202" s="298" t="s">
        <v>213</v>
      </c>
      <c r="E202" s="331">
        <v>230</v>
      </c>
      <c r="F202" s="522"/>
      <c r="G202" s="333">
        <f t="shared" si="7"/>
        <v>5395.5899999999856</v>
      </c>
      <c r="H202" s="334"/>
      <c r="I202" s="335"/>
      <c r="J202" s="336"/>
      <c r="K202" s="301"/>
      <c r="L202" s="336"/>
      <c r="M202" s="301"/>
      <c r="N202" s="336"/>
      <c r="O202" s="301"/>
      <c r="P202" s="336"/>
      <c r="Q202" s="301"/>
      <c r="R202" s="336"/>
      <c r="S202" s="301"/>
      <c r="T202" s="336"/>
    </row>
    <row r="203" spans="1:20" ht="12" customHeight="1" x14ac:dyDescent="0.3">
      <c r="A203" s="329" t="s">
        <v>286</v>
      </c>
      <c r="B203" s="330">
        <v>35</v>
      </c>
      <c r="C203" s="298">
        <v>46173</v>
      </c>
      <c r="D203" s="298" t="s">
        <v>214</v>
      </c>
      <c r="E203" s="331">
        <v>45</v>
      </c>
      <c r="F203" s="522"/>
      <c r="G203" s="333">
        <f t="shared" si="7"/>
        <v>5625.5899999999856</v>
      </c>
      <c r="H203" s="334"/>
      <c r="I203" s="335"/>
      <c r="J203" s="336"/>
      <c r="K203" s="301"/>
      <c r="L203" s="336"/>
      <c r="M203" s="301"/>
      <c r="N203" s="336"/>
      <c r="O203" s="301"/>
      <c r="P203" s="336"/>
      <c r="Q203" s="301"/>
      <c r="R203" s="336"/>
      <c r="S203" s="301"/>
      <c r="T203" s="336"/>
    </row>
    <row r="204" spans="1:20" ht="12" customHeight="1" x14ac:dyDescent="0.3">
      <c r="A204" s="329" t="s">
        <v>289</v>
      </c>
      <c r="B204" s="330">
        <v>6</v>
      </c>
      <c r="C204" s="298">
        <v>46173</v>
      </c>
      <c r="D204" s="298" t="s">
        <v>885</v>
      </c>
      <c r="E204" s="522">
        <v>50</v>
      </c>
      <c r="F204" s="522"/>
      <c r="G204" s="333">
        <f t="shared" si="7"/>
        <v>5670.5899999999856</v>
      </c>
      <c r="H204" s="334"/>
      <c r="I204" s="335"/>
      <c r="J204" s="336"/>
      <c r="K204" s="301"/>
      <c r="L204" s="336"/>
      <c r="M204" s="301"/>
      <c r="N204" s="336"/>
      <c r="O204" s="301"/>
      <c r="P204" s="336"/>
      <c r="Q204" s="301"/>
      <c r="R204" s="336"/>
      <c r="S204" s="301"/>
      <c r="T204" s="336"/>
    </row>
    <row r="205" spans="1:20" ht="12" customHeight="1" x14ac:dyDescent="0.3">
      <c r="A205" s="329" t="s">
        <v>294</v>
      </c>
      <c r="B205" s="330">
        <v>22</v>
      </c>
      <c r="C205" s="298">
        <v>46173</v>
      </c>
      <c r="D205" s="298" t="s">
        <v>835</v>
      </c>
      <c r="E205" s="522">
        <v>10.63</v>
      </c>
      <c r="F205" s="522"/>
      <c r="G205" s="333">
        <f t="shared" si="7"/>
        <v>5720.5899999999856</v>
      </c>
      <c r="H205" s="334"/>
      <c r="I205" s="335"/>
      <c r="J205" s="336"/>
      <c r="K205" s="301"/>
      <c r="L205" s="336"/>
      <c r="M205" s="301"/>
      <c r="N205" s="336"/>
      <c r="O205" s="301"/>
      <c r="P205" s="336"/>
      <c r="Q205" s="301"/>
      <c r="R205" s="336"/>
      <c r="S205" s="301"/>
      <c r="T205" s="336"/>
    </row>
    <row r="206" spans="1:20" ht="12" customHeight="1" x14ac:dyDescent="0.3">
      <c r="A206" s="329" t="s">
        <v>289</v>
      </c>
      <c r="B206" s="330">
        <v>4</v>
      </c>
      <c r="C206" s="298">
        <v>46173</v>
      </c>
      <c r="D206" s="298" t="s">
        <v>363</v>
      </c>
      <c r="E206" s="522">
        <v>108.69</v>
      </c>
      <c r="F206" s="522"/>
      <c r="G206" s="333">
        <f t="shared" si="7"/>
        <v>5731.2199999999857</v>
      </c>
      <c r="H206" s="334"/>
      <c r="I206" s="335"/>
      <c r="J206" s="336"/>
      <c r="K206" s="301"/>
      <c r="L206" s="336"/>
      <c r="M206" s="301"/>
      <c r="N206" s="336"/>
      <c r="O206" s="301"/>
      <c r="P206" s="336"/>
      <c r="Q206" s="301"/>
      <c r="R206" s="336"/>
      <c r="S206" s="301"/>
      <c r="T206" s="336"/>
    </row>
    <row r="207" spans="1:20" ht="12" customHeight="1" x14ac:dyDescent="0.3">
      <c r="A207" s="329" t="s">
        <v>294</v>
      </c>
      <c r="B207" s="330">
        <v>10</v>
      </c>
      <c r="C207" s="298">
        <v>46173</v>
      </c>
      <c r="D207" s="298" t="s">
        <v>176</v>
      </c>
      <c r="E207" s="522">
        <v>17.899999999999999</v>
      </c>
      <c r="F207" s="522"/>
      <c r="G207" s="333">
        <f t="shared" si="7"/>
        <v>5839.9099999999853</v>
      </c>
      <c r="H207" s="334"/>
      <c r="I207" s="335"/>
      <c r="J207" s="336"/>
      <c r="K207" s="301"/>
      <c r="L207" s="336"/>
      <c r="M207" s="301"/>
      <c r="N207" s="336"/>
      <c r="O207" s="301"/>
      <c r="P207" s="336"/>
      <c r="Q207" s="301"/>
      <c r="R207" s="336"/>
      <c r="S207" s="301"/>
      <c r="T207" s="336"/>
    </row>
    <row r="208" spans="1:20" ht="12" customHeight="1" x14ac:dyDescent="0.3">
      <c r="A208" s="329" t="s">
        <v>289</v>
      </c>
      <c r="B208" s="330">
        <v>1</v>
      </c>
      <c r="C208" s="298">
        <v>46173</v>
      </c>
      <c r="D208" s="298" t="s">
        <v>445</v>
      </c>
      <c r="E208" s="522">
        <v>9.57</v>
      </c>
      <c r="F208" s="522"/>
      <c r="G208" s="333">
        <f t="shared" si="7"/>
        <v>5857.8099999999849</v>
      </c>
      <c r="H208" s="334"/>
      <c r="I208" s="335"/>
      <c r="J208" s="336"/>
      <c r="K208" s="301"/>
      <c r="L208" s="336"/>
      <c r="M208" s="301"/>
      <c r="N208" s="336"/>
      <c r="O208" s="301"/>
      <c r="P208" s="336"/>
      <c r="Q208" s="301"/>
      <c r="R208" s="336"/>
      <c r="S208" s="301"/>
      <c r="T208" s="336"/>
    </row>
    <row r="209" spans="1:20" ht="12" customHeight="1" x14ac:dyDescent="0.3">
      <c r="A209" s="329" t="s">
        <v>289</v>
      </c>
      <c r="B209" s="330">
        <v>8</v>
      </c>
      <c r="C209" s="298">
        <v>46172</v>
      </c>
      <c r="D209" s="298" t="s">
        <v>319</v>
      </c>
      <c r="E209" s="522">
        <v>88.98</v>
      </c>
      <c r="F209" s="522"/>
      <c r="G209" s="333">
        <f t="shared" si="7"/>
        <v>5867.3799999999846</v>
      </c>
      <c r="H209" s="334"/>
      <c r="I209" s="335"/>
      <c r="J209" s="336"/>
      <c r="K209" s="301"/>
      <c r="L209" s="336"/>
      <c r="M209" s="301"/>
      <c r="N209" s="336"/>
      <c r="O209" s="301"/>
      <c r="P209" s="336"/>
      <c r="Q209" s="301"/>
      <c r="R209" s="336"/>
      <c r="S209" s="301"/>
      <c r="T209" s="336"/>
    </row>
    <row r="210" spans="1:20" ht="12" customHeight="1" x14ac:dyDescent="0.3">
      <c r="A210" s="329" t="s">
        <v>287</v>
      </c>
      <c r="B210" s="330" t="s">
        <v>287</v>
      </c>
      <c r="C210" s="298">
        <v>46172</v>
      </c>
      <c r="D210" s="298" t="s">
        <v>891</v>
      </c>
      <c r="E210" s="522">
        <v>219.38</v>
      </c>
      <c r="F210" s="522">
        <v>219.38</v>
      </c>
      <c r="G210" s="333">
        <f t="shared" si="7"/>
        <v>5956.3599999999842</v>
      </c>
      <c r="H210" s="334"/>
      <c r="I210" s="335"/>
      <c r="J210" s="336"/>
      <c r="K210" s="301"/>
      <c r="L210" s="336"/>
      <c r="M210" s="301"/>
      <c r="N210" s="336"/>
      <c r="O210" s="301"/>
      <c r="P210" s="336"/>
      <c r="Q210" s="301"/>
      <c r="R210" s="336"/>
      <c r="S210" s="301"/>
      <c r="T210" s="336"/>
    </row>
    <row r="211" spans="1:20" ht="12" customHeight="1" x14ac:dyDescent="0.3">
      <c r="A211" s="329" t="s">
        <v>287</v>
      </c>
      <c r="B211" s="330" t="s">
        <v>287</v>
      </c>
      <c r="C211" s="298">
        <v>46172</v>
      </c>
      <c r="D211" s="298" t="s">
        <v>890</v>
      </c>
      <c r="E211" s="522">
        <v>310.98</v>
      </c>
      <c r="F211" s="522">
        <v>310.98</v>
      </c>
      <c r="G211" s="333">
        <f t="shared" si="7"/>
        <v>5956.3599999999842</v>
      </c>
      <c r="H211" s="334"/>
      <c r="I211" s="335"/>
      <c r="J211" s="336"/>
      <c r="K211" s="301"/>
      <c r="L211" s="336"/>
      <c r="M211" s="301"/>
      <c r="N211" s="336"/>
      <c r="O211" s="301"/>
      <c r="P211" s="336"/>
      <c r="Q211" s="301"/>
      <c r="R211" s="336"/>
      <c r="S211" s="301"/>
      <c r="T211" s="336"/>
    </row>
    <row r="212" spans="1:20" ht="12" customHeight="1" x14ac:dyDescent="0.3">
      <c r="A212" s="329" t="s">
        <v>289</v>
      </c>
      <c r="B212" s="330">
        <v>2</v>
      </c>
      <c r="C212" s="298">
        <v>46172</v>
      </c>
      <c r="D212" s="298" t="s">
        <v>894</v>
      </c>
      <c r="E212" s="522">
        <v>130.68</v>
      </c>
      <c r="F212" s="522"/>
      <c r="G212" s="333">
        <f t="shared" si="7"/>
        <v>5956.3599999999842</v>
      </c>
      <c r="H212" s="334"/>
      <c r="I212" s="335"/>
      <c r="J212" s="336"/>
      <c r="K212" s="301"/>
      <c r="L212" s="336"/>
      <c r="M212" s="301"/>
      <c r="N212" s="336"/>
      <c r="O212" s="301"/>
      <c r="P212" s="336"/>
      <c r="Q212" s="301"/>
      <c r="R212" s="336"/>
      <c r="S212" s="301"/>
      <c r="T212" s="336"/>
    </row>
    <row r="213" spans="1:20" ht="12" customHeight="1" x14ac:dyDescent="0.3">
      <c r="A213" s="329" t="s">
        <v>289</v>
      </c>
      <c r="B213" s="330">
        <v>2</v>
      </c>
      <c r="C213" s="298">
        <v>46172</v>
      </c>
      <c r="D213" s="298" t="s">
        <v>356</v>
      </c>
      <c r="E213" s="522">
        <v>49.99</v>
      </c>
      <c r="F213" s="522"/>
      <c r="G213" s="333">
        <f t="shared" si="7"/>
        <v>6087.0399999999845</v>
      </c>
      <c r="H213" s="334"/>
      <c r="I213" s="335"/>
      <c r="J213" s="336"/>
      <c r="K213" s="301"/>
      <c r="L213" s="336"/>
      <c r="M213" s="301"/>
      <c r="N213" s="336"/>
      <c r="O213" s="301"/>
      <c r="P213" s="336"/>
      <c r="Q213" s="301"/>
      <c r="R213" s="336"/>
      <c r="S213" s="301"/>
      <c r="T213" s="336"/>
    </row>
    <row r="214" spans="1:20" ht="12" customHeight="1" x14ac:dyDescent="0.3">
      <c r="A214" s="329" t="s">
        <v>289</v>
      </c>
      <c r="B214" s="330">
        <v>2</v>
      </c>
      <c r="C214" s="298">
        <v>46171</v>
      </c>
      <c r="D214" s="298" t="s">
        <v>296</v>
      </c>
      <c r="E214" s="522">
        <v>15.1</v>
      </c>
      <c r="F214" s="522"/>
      <c r="G214" s="333">
        <f t="shared" si="7"/>
        <v>6137.0299999999843</v>
      </c>
      <c r="H214" s="334"/>
      <c r="I214" s="335"/>
      <c r="J214" s="336"/>
      <c r="K214" s="301"/>
      <c r="L214" s="336"/>
      <c r="M214" s="301"/>
      <c r="N214" s="336"/>
      <c r="O214" s="301"/>
      <c r="P214" s="336"/>
      <c r="Q214" s="301"/>
      <c r="R214" s="336"/>
      <c r="S214" s="301"/>
      <c r="T214" s="336"/>
    </row>
    <row r="215" spans="1:20" ht="12" customHeight="1" x14ac:dyDescent="0.3">
      <c r="A215" s="329" t="s">
        <v>289</v>
      </c>
      <c r="B215" s="330">
        <v>8</v>
      </c>
      <c r="C215" s="298">
        <v>46171</v>
      </c>
      <c r="D215" s="298" t="s">
        <v>295</v>
      </c>
      <c r="E215" s="522">
        <v>7.02</v>
      </c>
      <c r="F215" s="522"/>
      <c r="G215" s="333">
        <f t="shared" si="7"/>
        <v>6152.1299999999846</v>
      </c>
      <c r="H215" s="334"/>
      <c r="I215" s="335"/>
      <c r="J215" s="336"/>
      <c r="K215" s="301"/>
      <c r="L215" s="336"/>
      <c r="M215" s="301"/>
      <c r="N215" s="336"/>
      <c r="O215" s="301"/>
      <c r="P215" s="336"/>
      <c r="Q215" s="301"/>
      <c r="R215" s="336"/>
      <c r="S215" s="301"/>
      <c r="T215" s="336"/>
    </row>
    <row r="216" spans="1:20" ht="12" customHeight="1" x14ac:dyDescent="0.3">
      <c r="A216" s="329" t="s">
        <v>289</v>
      </c>
      <c r="B216" s="330">
        <v>4</v>
      </c>
      <c r="C216" s="298">
        <v>46171</v>
      </c>
      <c r="D216" s="298" t="s">
        <v>295</v>
      </c>
      <c r="E216" s="522">
        <v>93.38</v>
      </c>
      <c r="F216" s="522"/>
      <c r="G216" s="333">
        <f t="shared" si="7"/>
        <v>6159.1499999999851</v>
      </c>
      <c r="H216" s="334"/>
      <c r="I216" s="335"/>
      <c r="J216" s="336"/>
      <c r="K216" s="301"/>
      <c r="L216" s="336"/>
      <c r="M216" s="301"/>
      <c r="N216" s="336"/>
      <c r="O216" s="301"/>
      <c r="P216" s="336"/>
      <c r="Q216" s="301"/>
      <c r="R216" s="336"/>
      <c r="S216" s="301"/>
      <c r="T216" s="336"/>
    </row>
    <row r="217" spans="1:20" ht="12" customHeight="1" x14ac:dyDescent="0.3">
      <c r="A217" s="329" t="s">
        <v>289</v>
      </c>
      <c r="B217" s="330">
        <v>2</v>
      </c>
      <c r="C217" s="298">
        <v>46171</v>
      </c>
      <c r="D217" s="298" t="s">
        <v>353</v>
      </c>
      <c r="E217" s="522">
        <v>18.98</v>
      </c>
      <c r="F217" s="522"/>
      <c r="G217" s="333">
        <f t="shared" si="7"/>
        <v>6252.5299999999852</v>
      </c>
      <c r="H217" s="334"/>
      <c r="I217" s="335"/>
      <c r="J217" s="336"/>
      <c r="K217" s="301"/>
      <c r="L217" s="336"/>
      <c r="M217" s="301"/>
      <c r="N217" s="336"/>
      <c r="O217" s="301"/>
      <c r="P217" s="336"/>
      <c r="Q217" s="301"/>
      <c r="R217" s="336"/>
      <c r="S217" s="301"/>
      <c r="T217" s="336"/>
    </row>
    <row r="218" spans="1:20" ht="12" customHeight="1" x14ac:dyDescent="0.3">
      <c r="A218" s="329" t="s">
        <v>294</v>
      </c>
      <c r="B218" s="330">
        <v>23</v>
      </c>
      <c r="C218" s="298">
        <v>46171</v>
      </c>
      <c r="D218" s="299" t="s">
        <v>67</v>
      </c>
      <c r="E218" s="522">
        <v>650.88</v>
      </c>
      <c r="F218" s="522"/>
      <c r="G218" s="333">
        <f t="shared" si="7"/>
        <v>6271.5099999999848</v>
      </c>
      <c r="H218" s="334"/>
      <c r="I218" s="335"/>
      <c r="J218" s="336"/>
      <c r="K218" s="301"/>
      <c r="L218" s="336"/>
      <c r="M218" s="301"/>
      <c r="N218" s="336"/>
      <c r="O218" s="301"/>
      <c r="P218" s="336"/>
      <c r="Q218" s="301"/>
      <c r="R218" s="336"/>
      <c r="S218" s="301"/>
      <c r="T218" s="336"/>
    </row>
    <row r="219" spans="1:20" ht="12" customHeight="1" x14ac:dyDescent="0.3">
      <c r="A219" s="329" t="s">
        <v>294</v>
      </c>
      <c r="B219" s="330">
        <v>20</v>
      </c>
      <c r="C219" s="298">
        <v>46171</v>
      </c>
      <c r="D219" s="299" t="s">
        <v>193</v>
      </c>
      <c r="E219" s="522">
        <v>600</v>
      </c>
      <c r="F219" s="522"/>
      <c r="G219" s="333">
        <f t="shared" si="7"/>
        <v>6922.3899999999849</v>
      </c>
      <c r="H219" s="334"/>
      <c r="I219" s="335"/>
      <c r="J219" s="336"/>
      <c r="K219" s="301"/>
      <c r="L219" s="336"/>
      <c r="M219" s="301"/>
      <c r="N219" s="336"/>
      <c r="O219" s="301"/>
      <c r="P219" s="336"/>
      <c r="Q219" s="301"/>
      <c r="R219" s="336"/>
      <c r="S219" s="301"/>
      <c r="T219" s="336"/>
    </row>
    <row r="220" spans="1:20" ht="12" customHeight="1" x14ac:dyDescent="0.3">
      <c r="A220" s="329" t="s">
        <v>291</v>
      </c>
      <c r="B220" s="330">
        <v>38</v>
      </c>
      <c r="C220" s="298">
        <v>46171</v>
      </c>
      <c r="D220" s="299" t="s">
        <v>293</v>
      </c>
      <c r="E220" s="522"/>
      <c r="F220" s="522">
        <v>4597.8100000000004</v>
      </c>
      <c r="G220" s="333">
        <f t="shared" si="7"/>
        <v>7522.3899999999849</v>
      </c>
      <c r="H220" s="334"/>
      <c r="I220" s="335"/>
      <c r="J220" s="336"/>
      <c r="K220" s="301"/>
      <c r="L220" s="336"/>
      <c r="M220" s="301"/>
      <c r="N220" s="336"/>
      <c r="O220" s="301"/>
      <c r="P220" s="336"/>
      <c r="Q220" s="301"/>
      <c r="R220" s="336"/>
      <c r="S220" s="301"/>
      <c r="T220" s="336"/>
    </row>
    <row r="221" spans="1:20" ht="12" customHeight="1" x14ac:dyDescent="0.3">
      <c r="A221" s="329" t="s">
        <v>294</v>
      </c>
      <c r="B221" s="330">
        <v>42</v>
      </c>
      <c r="C221" s="298">
        <v>46171</v>
      </c>
      <c r="D221" s="299" t="s">
        <v>200</v>
      </c>
      <c r="E221" s="522">
        <v>50.92</v>
      </c>
      <c r="F221" s="522"/>
      <c r="G221" s="333">
        <f t="shared" si="7"/>
        <v>2924.5799999999849</v>
      </c>
      <c r="H221" s="334"/>
      <c r="I221" s="335"/>
      <c r="J221" s="336"/>
      <c r="K221" s="301"/>
      <c r="L221" s="336"/>
      <c r="M221" s="301"/>
      <c r="N221" s="336"/>
      <c r="O221" s="301"/>
      <c r="P221" s="336"/>
      <c r="Q221" s="301"/>
      <c r="R221" s="336"/>
      <c r="S221" s="301"/>
      <c r="T221" s="336"/>
    </row>
    <row r="222" spans="1:20" ht="12" customHeight="1" x14ac:dyDescent="0.3">
      <c r="A222" s="329" t="s">
        <v>294</v>
      </c>
      <c r="B222" s="330">
        <v>43</v>
      </c>
      <c r="C222" s="298">
        <v>46171</v>
      </c>
      <c r="D222" s="299" t="s">
        <v>201</v>
      </c>
      <c r="E222" s="522">
        <v>42.84</v>
      </c>
      <c r="F222" s="522"/>
      <c r="G222" s="333">
        <f t="shared" si="7"/>
        <v>2975.499999999985</v>
      </c>
      <c r="H222" s="334"/>
      <c r="I222" s="335"/>
      <c r="J222" s="336"/>
      <c r="K222" s="301"/>
      <c r="L222" s="336"/>
      <c r="M222" s="301"/>
      <c r="N222" s="336"/>
      <c r="O222" s="301"/>
      <c r="P222" s="336"/>
      <c r="Q222" s="301"/>
      <c r="R222" s="336"/>
      <c r="S222" s="301"/>
      <c r="T222" s="336"/>
    </row>
    <row r="223" spans="1:20" ht="12" customHeight="1" x14ac:dyDescent="0.3">
      <c r="A223" s="329" t="s">
        <v>291</v>
      </c>
      <c r="B223" s="330">
        <v>39</v>
      </c>
      <c r="C223" s="298">
        <v>46170</v>
      </c>
      <c r="D223" s="299" t="s">
        <v>292</v>
      </c>
      <c r="E223" s="522"/>
      <c r="F223" s="522">
        <v>2763.79</v>
      </c>
      <c r="G223" s="333">
        <f t="shared" si="7"/>
        <v>3018.3399999999851</v>
      </c>
      <c r="H223" s="334"/>
      <c r="I223" s="335"/>
      <c r="J223" s="336"/>
      <c r="K223" s="301"/>
      <c r="L223" s="336"/>
      <c r="M223" s="301"/>
      <c r="N223" s="336"/>
      <c r="O223" s="301"/>
      <c r="P223" s="336"/>
      <c r="Q223" s="301"/>
      <c r="R223" s="336"/>
      <c r="S223" s="301"/>
      <c r="T223" s="336"/>
    </row>
    <row r="224" spans="1:20" ht="12" customHeight="1" x14ac:dyDescent="0.3">
      <c r="A224" s="329" t="s">
        <v>289</v>
      </c>
      <c r="B224" s="330">
        <v>3</v>
      </c>
      <c r="C224" s="298">
        <v>46170</v>
      </c>
      <c r="D224" s="299" t="s">
        <v>884</v>
      </c>
      <c r="E224" s="522">
        <v>8.9499999999999993</v>
      </c>
      <c r="F224" s="522"/>
      <c r="G224" s="333">
        <f t="shared" si="7"/>
        <v>254.54999999998506</v>
      </c>
      <c r="H224" s="334"/>
      <c r="I224" s="335"/>
      <c r="J224" s="336"/>
      <c r="K224" s="301"/>
      <c r="L224" s="336"/>
      <c r="M224" s="301"/>
      <c r="N224" s="336"/>
      <c r="O224" s="301"/>
      <c r="P224" s="336"/>
      <c r="Q224" s="301"/>
      <c r="R224" s="336"/>
      <c r="S224" s="301"/>
      <c r="T224" s="336"/>
    </row>
    <row r="225" spans="1:20" ht="12" customHeight="1" x14ac:dyDescent="0.3">
      <c r="A225" s="329" t="s">
        <v>289</v>
      </c>
      <c r="B225" s="330">
        <v>4</v>
      </c>
      <c r="C225" s="298">
        <v>46170</v>
      </c>
      <c r="D225" s="299" t="s">
        <v>884</v>
      </c>
      <c r="E225" s="522">
        <v>43.44</v>
      </c>
      <c r="F225" s="522"/>
      <c r="G225" s="333">
        <f t="shared" si="7"/>
        <v>263.49999999998505</v>
      </c>
      <c r="H225" s="334"/>
      <c r="I225" s="335"/>
      <c r="J225" s="336"/>
      <c r="K225" s="301"/>
      <c r="L225" s="336"/>
      <c r="M225" s="301"/>
      <c r="N225" s="336"/>
      <c r="O225" s="301"/>
      <c r="P225" s="336"/>
      <c r="Q225" s="301"/>
      <c r="R225" s="336"/>
      <c r="S225" s="301"/>
      <c r="T225" s="336"/>
    </row>
    <row r="226" spans="1:20" ht="12" customHeight="1" x14ac:dyDescent="0.3">
      <c r="A226" s="329" t="s">
        <v>289</v>
      </c>
      <c r="B226" s="330">
        <v>6</v>
      </c>
      <c r="C226" s="298">
        <v>46170</v>
      </c>
      <c r="D226" s="299" t="s">
        <v>892</v>
      </c>
      <c r="E226" s="522">
        <v>30.89</v>
      </c>
      <c r="F226" s="522"/>
      <c r="G226" s="333">
        <f t="shared" si="7"/>
        <v>306.93999999998505</v>
      </c>
      <c r="H226" s="334"/>
      <c r="I226" s="335"/>
      <c r="J226" s="336"/>
      <c r="K226" s="301"/>
      <c r="L226" s="336"/>
      <c r="M226" s="301"/>
      <c r="N226" s="336"/>
      <c r="O226" s="301"/>
      <c r="P226" s="336"/>
      <c r="Q226" s="301"/>
      <c r="R226" s="336"/>
      <c r="S226" s="301"/>
      <c r="T226" s="336"/>
    </row>
    <row r="227" spans="1:20" ht="12" customHeight="1" x14ac:dyDescent="0.3">
      <c r="A227" s="329" t="s">
        <v>289</v>
      </c>
      <c r="B227" s="330">
        <v>2</v>
      </c>
      <c r="C227" s="298">
        <v>46170</v>
      </c>
      <c r="D227" s="299" t="s">
        <v>346</v>
      </c>
      <c r="E227" s="522">
        <v>32.659999999999997</v>
      </c>
      <c r="F227" s="522"/>
      <c r="G227" s="333">
        <f t="shared" si="7"/>
        <v>337.82999999998503</v>
      </c>
      <c r="H227" s="334"/>
      <c r="I227" s="335"/>
      <c r="J227" s="336"/>
      <c r="K227" s="301"/>
      <c r="L227" s="336"/>
      <c r="M227" s="301"/>
      <c r="N227" s="336"/>
      <c r="O227" s="301"/>
      <c r="P227" s="336"/>
      <c r="Q227" s="301"/>
      <c r="R227" s="336"/>
      <c r="S227" s="301"/>
      <c r="T227" s="336"/>
    </row>
    <row r="228" spans="1:20" ht="12" customHeight="1" x14ac:dyDescent="0.3">
      <c r="A228" s="329" t="s">
        <v>289</v>
      </c>
      <c r="B228" s="330">
        <v>2</v>
      </c>
      <c r="C228" s="298">
        <v>46170</v>
      </c>
      <c r="D228" s="299" t="s">
        <v>386</v>
      </c>
      <c r="E228" s="522">
        <v>9.09</v>
      </c>
      <c r="F228" s="522"/>
      <c r="G228" s="333">
        <f t="shared" si="7"/>
        <v>370.48999999998506</v>
      </c>
      <c r="H228" s="334"/>
      <c r="I228" s="335"/>
      <c r="J228" s="336"/>
      <c r="K228" s="301"/>
      <c r="L228" s="336"/>
      <c r="M228" s="301"/>
      <c r="N228" s="336"/>
      <c r="O228" s="301"/>
      <c r="P228" s="336"/>
      <c r="Q228" s="301"/>
      <c r="R228" s="336"/>
      <c r="S228" s="301"/>
      <c r="T228" s="336"/>
    </row>
    <row r="229" spans="1:20" ht="12" customHeight="1" x14ac:dyDescent="0.3">
      <c r="A229" s="329" t="s">
        <v>289</v>
      </c>
      <c r="B229" s="330">
        <v>8</v>
      </c>
      <c r="C229" s="298">
        <v>46170</v>
      </c>
      <c r="D229" s="299" t="s">
        <v>846</v>
      </c>
      <c r="E229" s="522">
        <v>36.74</v>
      </c>
      <c r="F229" s="522"/>
      <c r="G229" s="333">
        <f t="shared" si="7"/>
        <v>379.57999999998503</v>
      </c>
      <c r="H229" s="334"/>
      <c r="I229" s="335"/>
      <c r="J229" s="336"/>
      <c r="K229" s="301"/>
      <c r="L229" s="336"/>
      <c r="M229" s="301"/>
      <c r="N229" s="336"/>
      <c r="O229" s="301"/>
      <c r="P229" s="336"/>
      <c r="Q229" s="301"/>
      <c r="R229" s="336"/>
      <c r="S229" s="301"/>
      <c r="T229" s="336"/>
    </row>
    <row r="230" spans="1:20" ht="12" customHeight="1" x14ac:dyDescent="0.3">
      <c r="A230" s="329" t="s">
        <v>289</v>
      </c>
      <c r="B230" s="330">
        <v>5</v>
      </c>
      <c r="C230" s="298">
        <v>46170</v>
      </c>
      <c r="D230" s="299" t="s">
        <v>846</v>
      </c>
      <c r="E230" s="522">
        <v>11.2</v>
      </c>
      <c r="F230" s="522"/>
      <c r="G230" s="333">
        <f t="shared" si="7"/>
        <v>416.31999999998504</v>
      </c>
      <c r="H230" s="334"/>
      <c r="I230" s="335"/>
      <c r="J230" s="336"/>
      <c r="K230" s="301"/>
      <c r="L230" s="336"/>
      <c r="M230" s="301"/>
      <c r="N230" s="336"/>
      <c r="O230" s="301"/>
      <c r="P230" s="336"/>
      <c r="Q230" s="301"/>
      <c r="R230" s="336"/>
      <c r="S230" s="301"/>
      <c r="T230" s="336"/>
    </row>
    <row r="231" spans="1:20" ht="12" customHeight="1" x14ac:dyDescent="0.3">
      <c r="A231" s="329" t="s">
        <v>289</v>
      </c>
      <c r="B231" s="330">
        <v>2</v>
      </c>
      <c r="C231" s="298">
        <v>46169</v>
      </c>
      <c r="D231" s="299" t="s">
        <v>358</v>
      </c>
      <c r="E231" s="522">
        <v>11.29</v>
      </c>
      <c r="F231" s="522"/>
      <c r="G231" s="333">
        <f t="shared" si="7"/>
        <v>427.51999999998503</v>
      </c>
      <c r="H231" s="334"/>
      <c r="I231" s="335"/>
      <c r="J231" s="336"/>
      <c r="K231" s="301"/>
      <c r="L231" s="336"/>
      <c r="M231" s="301"/>
      <c r="N231" s="336"/>
      <c r="O231" s="301"/>
      <c r="P231" s="336"/>
      <c r="Q231" s="301"/>
      <c r="R231" s="336"/>
      <c r="S231" s="301"/>
      <c r="T231" s="336"/>
    </row>
    <row r="232" spans="1:20" ht="12" customHeight="1" x14ac:dyDescent="0.3">
      <c r="A232" s="329" t="s">
        <v>289</v>
      </c>
      <c r="B232" s="330">
        <v>4</v>
      </c>
      <c r="C232" s="298">
        <v>46169</v>
      </c>
      <c r="D232" s="299" t="s">
        <v>363</v>
      </c>
      <c r="E232" s="522">
        <v>44.84</v>
      </c>
      <c r="F232" s="522"/>
      <c r="G232" s="333">
        <f t="shared" si="7"/>
        <v>438.80999999998505</v>
      </c>
      <c r="H232" s="334"/>
      <c r="I232" s="335"/>
      <c r="J232" s="336"/>
      <c r="K232" s="301"/>
      <c r="L232" s="336"/>
      <c r="M232" s="301"/>
      <c r="N232" s="336"/>
      <c r="O232" s="301"/>
      <c r="P232" s="336"/>
      <c r="Q232" s="301"/>
      <c r="R232" s="336"/>
      <c r="S232" s="301"/>
      <c r="T232" s="336"/>
    </row>
    <row r="233" spans="1:20" ht="12" customHeight="1" x14ac:dyDescent="0.3">
      <c r="A233" s="329" t="s">
        <v>289</v>
      </c>
      <c r="B233" s="330">
        <v>7</v>
      </c>
      <c r="C233" s="298">
        <v>46169</v>
      </c>
      <c r="D233" s="299" t="s">
        <v>338</v>
      </c>
      <c r="E233" s="522">
        <v>139.88</v>
      </c>
      <c r="F233" s="522"/>
      <c r="G233" s="333">
        <f t="shared" si="7"/>
        <v>483.64999999998508</v>
      </c>
      <c r="H233" s="334"/>
      <c r="I233" s="335"/>
      <c r="J233" s="336"/>
      <c r="K233" s="301"/>
      <c r="L233" s="336"/>
      <c r="M233" s="301"/>
      <c r="N233" s="336"/>
      <c r="O233" s="301"/>
      <c r="P233" s="336"/>
      <c r="Q233" s="301"/>
      <c r="R233" s="336"/>
      <c r="S233" s="301"/>
      <c r="T233" s="336"/>
    </row>
    <row r="234" spans="1:20" ht="12" customHeight="1" x14ac:dyDescent="0.3">
      <c r="A234" s="329" t="s">
        <v>289</v>
      </c>
      <c r="B234" s="330">
        <v>8</v>
      </c>
      <c r="C234" s="298">
        <v>46169</v>
      </c>
      <c r="D234" s="299" t="s">
        <v>319</v>
      </c>
      <c r="E234" s="522">
        <v>46.84</v>
      </c>
      <c r="F234" s="522"/>
      <c r="G234" s="333">
        <f t="shared" ref="G234:G271" si="8">G235-E234+F234</f>
        <v>623.52999999998508</v>
      </c>
      <c r="H234" s="334"/>
      <c r="I234" s="335"/>
      <c r="J234" s="336"/>
      <c r="K234" s="301"/>
      <c r="L234" s="336"/>
      <c r="M234" s="301"/>
      <c r="N234" s="336"/>
      <c r="O234" s="301"/>
      <c r="P234" s="336"/>
      <c r="Q234" s="301"/>
      <c r="R234" s="336"/>
      <c r="S234" s="301"/>
      <c r="T234" s="336"/>
    </row>
    <row r="235" spans="1:20" ht="12" customHeight="1" x14ac:dyDescent="0.3">
      <c r="A235" s="329" t="s">
        <v>289</v>
      </c>
      <c r="B235" s="330">
        <v>2</v>
      </c>
      <c r="C235" s="298">
        <v>46169</v>
      </c>
      <c r="D235" s="299" t="s">
        <v>358</v>
      </c>
      <c r="E235" s="522">
        <v>9.4700000000000006</v>
      </c>
      <c r="F235" s="522"/>
      <c r="G235" s="333">
        <f t="shared" si="8"/>
        <v>670.36999999998511</v>
      </c>
      <c r="H235" s="334"/>
      <c r="I235" s="335"/>
      <c r="J235" s="336"/>
      <c r="K235" s="301"/>
      <c r="L235" s="336"/>
      <c r="M235" s="301"/>
      <c r="N235" s="336"/>
      <c r="O235" s="301"/>
      <c r="P235" s="336"/>
      <c r="Q235" s="301"/>
      <c r="R235" s="336"/>
      <c r="S235" s="301"/>
      <c r="T235" s="336"/>
    </row>
    <row r="236" spans="1:20" ht="12" customHeight="1" x14ac:dyDescent="0.3">
      <c r="A236" s="329" t="s">
        <v>289</v>
      </c>
      <c r="B236" s="330">
        <v>8</v>
      </c>
      <c r="C236" s="298">
        <v>46168</v>
      </c>
      <c r="D236" s="299" t="s">
        <v>308</v>
      </c>
      <c r="E236" s="522">
        <v>47.99</v>
      </c>
      <c r="F236" s="522"/>
      <c r="G236" s="333">
        <f t="shared" si="8"/>
        <v>679.83999999998514</v>
      </c>
      <c r="H236" s="334"/>
      <c r="I236" s="335"/>
      <c r="J236" s="336"/>
      <c r="K236" s="301"/>
      <c r="L236" s="336"/>
      <c r="M236" s="301"/>
      <c r="N236" s="336"/>
      <c r="O236" s="301"/>
      <c r="P236" s="336"/>
      <c r="Q236" s="301"/>
      <c r="R236" s="336"/>
      <c r="S236" s="301"/>
      <c r="T236" s="336"/>
    </row>
    <row r="237" spans="1:20" ht="12" customHeight="1" x14ac:dyDescent="0.3">
      <c r="A237" s="329" t="s">
        <v>289</v>
      </c>
      <c r="B237" s="330">
        <v>5</v>
      </c>
      <c r="C237" s="298">
        <v>46168</v>
      </c>
      <c r="D237" s="299" t="s">
        <v>872</v>
      </c>
      <c r="E237" s="522">
        <v>26</v>
      </c>
      <c r="F237" s="522"/>
      <c r="G237" s="333">
        <f t="shared" si="8"/>
        <v>727.82999999998515</v>
      </c>
      <c r="H237" s="334"/>
      <c r="I237" s="335"/>
      <c r="J237" s="336"/>
      <c r="K237" s="301"/>
      <c r="L237" s="336"/>
      <c r="M237" s="301"/>
      <c r="N237" s="336"/>
      <c r="O237" s="301"/>
      <c r="P237" s="336"/>
      <c r="Q237" s="301"/>
      <c r="R237" s="336"/>
      <c r="S237" s="301"/>
      <c r="T237" s="336"/>
    </row>
    <row r="238" spans="1:20" ht="12" customHeight="1" x14ac:dyDescent="0.3">
      <c r="A238" s="329" t="s">
        <v>289</v>
      </c>
      <c r="B238" s="330">
        <v>4</v>
      </c>
      <c r="C238" s="298">
        <v>46168</v>
      </c>
      <c r="D238" s="299" t="s">
        <v>310</v>
      </c>
      <c r="E238" s="522">
        <v>50.15</v>
      </c>
      <c r="F238" s="522"/>
      <c r="G238" s="333">
        <f t="shared" si="8"/>
        <v>753.82999999998515</v>
      </c>
      <c r="H238" s="334"/>
      <c r="I238" s="335"/>
      <c r="J238" s="336"/>
      <c r="K238" s="301"/>
      <c r="L238" s="336"/>
      <c r="M238" s="301"/>
      <c r="N238" s="336"/>
      <c r="O238" s="301"/>
      <c r="P238" s="336"/>
      <c r="Q238" s="301"/>
      <c r="R238" s="336"/>
      <c r="S238" s="301"/>
      <c r="T238" s="336"/>
    </row>
    <row r="239" spans="1:20" ht="12" customHeight="1" x14ac:dyDescent="0.3">
      <c r="A239" s="329" t="s">
        <v>287</v>
      </c>
      <c r="B239" s="330" t="s">
        <v>287</v>
      </c>
      <c r="C239" s="298">
        <v>46168</v>
      </c>
      <c r="D239" s="299" t="s">
        <v>882</v>
      </c>
      <c r="E239" s="522">
        <v>400</v>
      </c>
      <c r="F239" s="522">
        <v>400</v>
      </c>
      <c r="G239" s="333">
        <f t="shared" si="8"/>
        <v>803.97999999998513</v>
      </c>
      <c r="H239" s="334"/>
      <c r="I239" s="335"/>
      <c r="J239" s="336"/>
      <c r="K239" s="301"/>
      <c r="L239" s="336"/>
      <c r="M239" s="301"/>
      <c r="N239" s="336"/>
      <c r="O239" s="301"/>
      <c r="P239" s="336"/>
      <c r="Q239" s="301"/>
      <c r="R239" s="336"/>
      <c r="S239" s="301"/>
      <c r="T239" s="336"/>
    </row>
    <row r="240" spans="1:20" ht="12" customHeight="1" x14ac:dyDescent="0.3">
      <c r="A240" s="329" t="s">
        <v>294</v>
      </c>
      <c r="B240" s="330">
        <v>22</v>
      </c>
      <c r="C240" s="298">
        <v>46168</v>
      </c>
      <c r="D240" s="299" t="s">
        <v>835</v>
      </c>
      <c r="E240" s="522">
        <v>15.96</v>
      </c>
      <c r="F240" s="522"/>
      <c r="G240" s="333">
        <f t="shared" si="8"/>
        <v>803.97999999998513</v>
      </c>
      <c r="H240" s="334"/>
      <c r="I240" s="335"/>
      <c r="J240" s="336"/>
      <c r="K240" s="301"/>
      <c r="L240" s="336"/>
      <c r="M240" s="301"/>
      <c r="N240" s="336"/>
      <c r="O240" s="301"/>
      <c r="P240" s="336"/>
      <c r="Q240" s="301"/>
      <c r="R240" s="336"/>
      <c r="S240" s="301"/>
      <c r="T240" s="336"/>
    </row>
    <row r="241" spans="1:20" ht="12" customHeight="1" x14ac:dyDescent="0.3">
      <c r="A241" s="329" t="s">
        <v>289</v>
      </c>
      <c r="B241" s="330">
        <v>2</v>
      </c>
      <c r="C241" s="298">
        <v>46168</v>
      </c>
      <c r="D241" s="299" t="s">
        <v>296</v>
      </c>
      <c r="E241" s="522">
        <v>15.1</v>
      </c>
      <c r="F241" s="522"/>
      <c r="G241" s="333">
        <f t="shared" si="8"/>
        <v>819.93999999998516</v>
      </c>
      <c r="H241" s="334"/>
      <c r="I241" s="335"/>
      <c r="J241" s="336"/>
      <c r="K241" s="301"/>
      <c r="L241" s="336"/>
      <c r="M241" s="301"/>
      <c r="N241" s="336"/>
      <c r="O241" s="301"/>
      <c r="P241" s="336"/>
      <c r="Q241" s="301"/>
      <c r="R241" s="336"/>
      <c r="S241" s="301"/>
      <c r="T241" s="336"/>
    </row>
    <row r="242" spans="1:20" ht="12" customHeight="1" x14ac:dyDescent="0.3">
      <c r="A242" s="329" t="s">
        <v>289</v>
      </c>
      <c r="B242" s="330">
        <v>4</v>
      </c>
      <c r="C242" s="298">
        <v>46168</v>
      </c>
      <c r="D242" s="299" t="s">
        <v>296</v>
      </c>
      <c r="E242" s="522">
        <v>44.67</v>
      </c>
      <c r="F242" s="522"/>
      <c r="G242" s="333">
        <f t="shared" si="8"/>
        <v>835.03999999998518</v>
      </c>
      <c r="H242" s="334"/>
      <c r="I242" s="335"/>
      <c r="J242" s="336"/>
      <c r="K242" s="301"/>
      <c r="L242" s="336"/>
      <c r="M242" s="301"/>
      <c r="N242" s="336"/>
      <c r="O242" s="301"/>
      <c r="P242" s="336"/>
      <c r="Q242" s="301"/>
      <c r="R242" s="336"/>
      <c r="S242" s="301"/>
      <c r="T242" s="336"/>
    </row>
    <row r="243" spans="1:20" ht="12" customHeight="1" x14ac:dyDescent="0.3">
      <c r="A243" s="329" t="s">
        <v>289</v>
      </c>
      <c r="B243" s="330">
        <v>1</v>
      </c>
      <c r="C243" s="298">
        <v>46168</v>
      </c>
      <c r="D243" s="299" t="s">
        <v>300</v>
      </c>
      <c r="E243" s="522">
        <v>32.99</v>
      </c>
      <c r="F243" s="522"/>
      <c r="G243" s="333">
        <f t="shared" si="8"/>
        <v>879.70999999998514</v>
      </c>
      <c r="H243" s="334"/>
      <c r="I243" s="335"/>
      <c r="J243" s="336"/>
      <c r="K243" s="301"/>
      <c r="L243" s="336"/>
      <c r="M243" s="301"/>
      <c r="N243" s="336"/>
      <c r="O243" s="301"/>
      <c r="P243" s="336"/>
      <c r="Q243" s="301"/>
      <c r="R243" s="336"/>
      <c r="S243" s="301"/>
      <c r="T243" s="336"/>
    </row>
    <row r="244" spans="1:20" ht="12" customHeight="1" x14ac:dyDescent="0.3">
      <c r="A244" s="329" t="s">
        <v>289</v>
      </c>
      <c r="B244" s="330">
        <v>2</v>
      </c>
      <c r="C244" s="298">
        <v>46168</v>
      </c>
      <c r="D244" s="299" t="s">
        <v>386</v>
      </c>
      <c r="E244" s="522">
        <v>14.39</v>
      </c>
      <c r="F244" s="522"/>
      <c r="G244" s="333">
        <f t="shared" si="8"/>
        <v>912.69999999998515</v>
      </c>
      <c r="H244" s="334"/>
      <c r="I244" s="335"/>
      <c r="J244" s="336"/>
      <c r="K244" s="301"/>
      <c r="L244" s="336"/>
      <c r="M244" s="301"/>
      <c r="N244" s="336"/>
      <c r="O244" s="301"/>
      <c r="P244" s="336"/>
      <c r="Q244" s="301"/>
      <c r="R244" s="336"/>
      <c r="S244" s="301"/>
      <c r="T244" s="336"/>
    </row>
    <row r="245" spans="1:20" ht="12" customHeight="1" x14ac:dyDescent="0.3">
      <c r="A245" s="329" t="s">
        <v>294</v>
      </c>
      <c r="B245" s="330">
        <v>12</v>
      </c>
      <c r="C245" s="298">
        <v>46167</v>
      </c>
      <c r="D245" s="299" t="s">
        <v>314</v>
      </c>
      <c r="E245" s="522">
        <v>204.48</v>
      </c>
      <c r="F245" s="522"/>
      <c r="G245" s="333">
        <f t="shared" si="8"/>
        <v>927.08999999998514</v>
      </c>
      <c r="H245" s="334"/>
      <c r="I245" s="335"/>
      <c r="J245" s="336"/>
      <c r="K245" s="301"/>
      <c r="L245" s="336"/>
      <c r="M245" s="301"/>
      <c r="N245" s="336"/>
      <c r="O245" s="301"/>
      <c r="P245" s="336"/>
      <c r="Q245" s="301"/>
      <c r="R245" s="336"/>
      <c r="S245" s="301"/>
      <c r="T245" s="336"/>
    </row>
    <row r="246" spans="1:20" ht="12" customHeight="1" x14ac:dyDescent="0.3">
      <c r="A246" s="329" t="s">
        <v>289</v>
      </c>
      <c r="B246" s="330">
        <v>8</v>
      </c>
      <c r="C246" s="298">
        <v>46167</v>
      </c>
      <c r="D246" s="299" t="s">
        <v>319</v>
      </c>
      <c r="E246" s="522">
        <v>29.79</v>
      </c>
      <c r="F246" s="522"/>
      <c r="G246" s="333">
        <f t="shared" si="8"/>
        <v>1131.5699999999852</v>
      </c>
      <c r="H246" s="334"/>
      <c r="I246" s="335"/>
      <c r="J246" s="336"/>
      <c r="K246" s="301"/>
      <c r="L246" s="336"/>
      <c r="M246" s="301"/>
      <c r="N246" s="336"/>
      <c r="O246" s="301"/>
      <c r="P246" s="336"/>
      <c r="Q246" s="301"/>
      <c r="R246" s="336"/>
      <c r="S246" s="301"/>
      <c r="T246" s="336"/>
    </row>
    <row r="247" spans="1:20" ht="12" customHeight="1" x14ac:dyDescent="0.3">
      <c r="A247" s="329" t="s">
        <v>289</v>
      </c>
      <c r="B247" s="330">
        <v>3</v>
      </c>
      <c r="C247" s="298">
        <v>46167</v>
      </c>
      <c r="D247" s="299" t="s">
        <v>348</v>
      </c>
      <c r="E247" s="522">
        <v>50</v>
      </c>
      <c r="F247" s="522"/>
      <c r="G247" s="333">
        <f t="shared" si="8"/>
        <v>1161.3599999999851</v>
      </c>
      <c r="H247" s="334"/>
      <c r="I247" s="335"/>
      <c r="J247" s="336"/>
      <c r="K247" s="301"/>
      <c r="L247" s="336"/>
      <c r="M247" s="301"/>
      <c r="N247" s="336"/>
      <c r="O247" s="301"/>
      <c r="P247" s="336"/>
      <c r="Q247" s="301"/>
      <c r="R247" s="336"/>
      <c r="S247" s="301"/>
      <c r="T247" s="336"/>
    </row>
    <row r="248" spans="1:20" ht="12" customHeight="1" x14ac:dyDescent="0.3">
      <c r="A248" s="329" t="s">
        <v>289</v>
      </c>
      <c r="B248" s="330">
        <v>1</v>
      </c>
      <c r="C248" s="298">
        <v>46166</v>
      </c>
      <c r="D248" s="299" t="s">
        <v>329</v>
      </c>
      <c r="E248" s="522">
        <v>122.54</v>
      </c>
      <c r="F248" s="522"/>
      <c r="G248" s="333">
        <f t="shared" si="8"/>
        <v>1211.3599999999851</v>
      </c>
      <c r="H248" s="334"/>
      <c r="I248" s="335"/>
      <c r="J248" s="336"/>
      <c r="K248" s="301"/>
      <c r="L248" s="336"/>
      <c r="M248" s="301"/>
      <c r="N248" s="336"/>
      <c r="O248" s="301"/>
      <c r="P248" s="336"/>
      <c r="Q248" s="301"/>
      <c r="R248" s="336"/>
      <c r="S248" s="301"/>
      <c r="T248" s="336"/>
    </row>
    <row r="249" spans="1:20" ht="12" customHeight="1" x14ac:dyDescent="0.3">
      <c r="A249" s="329" t="s">
        <v>289</v>
      </c>
      <c r="B249" s="330">
        <v>1</v>
      </c>
      <c r="C249" s="298">
        <v>46166</v>
      </c>
      <c r="D249" s="299" t="s">
        <v>311</v>
      </c>
      <c r="E249" s="522">
        <v>157.97</v>
      </c>
      <c r="F249" s="522"/>
      <c r="G249" s="333">
        <f t="shared" si="8"/>
        <v>1333.8999999999851</v>
      </c>
      <c r="H249" s="334"/>
      <c r="I249" s="335"/>
      <c r="J249" s="336"/>
      <c r="K249" s="301"/>
      <c r="L249" s="336"/>
      <c r="M249" s="301"/>
      <c r="N249" s="336"/>
      <c r="O249" s="301"/>
      <c r="P249" s="336"/>
      <c r="Q249" s="301"/>
      <c r="R249" s="336"/>
      <c r="S249" s="301"/>
      <c r="T249" s="336"/>
    </row>
    <row r="250" spans="1:20" ht="12" customHeight="1" x14ac:dyDescent="0.3">
      <c r="A250" s="329" t="s">
        <v>289</v>
      </c>
      <c r="B250" s="330">
        <v>6</v>
      </c>
      <c r="C250" s="298">
        <v>46166</v>
      </c>
      <c r="D250" s="299" t="s">
        <v>300</v>
      </c>
      <c r="E250" s="522">
        <v>44.05</v>
      </c>
      <c r="F250" s="522"/>
      <c r="G250" s="333">
        <f t="shared" si="8"/>
        <v>1491.8699999999851</v>
      </c>
      <c r="H250" s="334"/>
      <c r="I250" s="335"/>
      <c r="J250" s="336"/>
      <c r="K250" s="301"/>
      <c r="L250" s="336"/>
      <c r="M250" s="301"/>
      <c r="N250" s="336"/>
      <c r="O250" s="301"/>
      <c r="P250" s="336"/>
      <c r="Q250" s="301"/>
      <c r="R250" s="336"/>
      <c r="S250" s="301"/>
      <c r="T250" s="336"/>
    </row>
    <row r="251" spans="1:20" ht="12" customHeight="1" x14ac:dyDescent="0.3">
      <c r="A251" s="329" t="s">
        <v>289</v>
      </c>
      <c r="B251" s="330">
        <v>8</v>
      </c>
      <c r="C251" s="298">
        <v>46166</v>
      </c>
      <c r="D251" s="299" t="s">
        <v>319</v>
      </c>
      <c r="E251" s="522">
        <v>70.44</v>
      </c>
      <c r="F251" s="522"/>
      <c r="G251" s="333">
        <f t="shared" si="8"/>
        <v>1535.9199999999851</v>
      </c>
      <c r="H251" s="334"/>
      <c r="I251" s="335"/>
      <c r="J251" s="336"/>
      <c r="K251" s="301"/>
      <c r="L251" s="336"/>
      <c r="M251" s="301"/>
      <c r="N251" s="336"/>
      <c r="O251" s="301"/>
      <c r="P251" s="336"/>
      <c r="Q251" s="301"/>
      <c r="R251" s="336"/>
      <c r="S251" s="301"/>
      <c r="T251" s="336"/>
    </row>
    <row r="252" spans="1:20" ht="12" customHeight="1" x14ac:dyDescent="0.3">
      <c r="A252" s="329" t="s">
        <v>289</v>
      </c>
      <c r="B252" s="330">
        <v>1</v>
      </c>
      <c r="C252" s="298">
        <v>46166</v>
      </c>
      <c r="D252" s="299" t="s">
        <v>329</v>
      </c>
      <c r="E252" s="522">
        <v>55.96</v>
      </c>
      <c r="F252" s="522"/>
      <c r="G252" s="333">
        <f t="shared" si="8"/>
        <v>1606.3599999999851</v>
      </c>
      <c r="H252" s="334"/>
      <c r="I252" s="335"/>
      <c r="J252" s="336"/>
      <c r="K252" s="301"/>
      <c r="L252" s="336"/>
      <c r="M252" s="301"/>
      <c r="N252" s="336"/>
      <c r="O252" s="301"/>
      <c r="P252" s="336"/>
      <c r="Q252" s="301"/>
      <c r="R252" s="336"/>
      <c r="S252" s="301"/>
      <c r="T252" s="336"/>
    </row>
    <row r="253" spans="1:20" ht="12" customHeight="1" x14ac:dyDescent="0.3">
      <c r="A253" s="329" t="s">
        <v>289</v>
      </c>
      <c r="B253" s="330">
        <v>6</v>
      </c>
      <c r="C253" s="298">
        <v>46166</v>
      </c>
      <c r="D253" s="299" t="s">
        <v>883</v>
      </c>
      <c r="E253" s="522">
        <v>597.83000000000004</v>
      </c>
      <c r="F253" s="522"/>
      <c r="G253" s="333">
        <f t="shared" si="8"/>
        <v>1662.3199999999852</v>
      </c>
      <c r="H253" s="334"/>
      <c r="I253" s="335"/>
      <c r="J253" s="336"/>
      <c r="K253" s="301"/>
      <c r="L253" s="336"/>
      <c r="M253" s="301"/>
      <c r="N253" s="336"/>
      <c r="O253" s="301"/>
      <c r="P253" s="336"/>
      <c r="Q253" s="301"/>
      <c r="R253" s="336"/>
      <c r="S253" s="301"/>
      <c r="T253" s="336"/>
    </row>
    <row r="254" spans="1:20" ht="12" customHeight="1" x14ac:dyDescent="0.3">
      <c r="A254" s="329" t="s">
        <v>287</v>
      </c>
      <c r="B254" s="330" t="s">
        <v>287</v>
      </c>
      <c r="C254" s="298">
        <v>46166</v>
      </c>
      <c r="D254" s="299" t="s">
        <v>845</v>
      </c>
      <c r="E254" s="522">
        <v>69.2</v>
      </c>
      <c r="F254" s="522">
        <v>69.2</v>
      </c>
      <c r="G254" s="333">
        <f t="shared" si="8"/>
        <v>2260.1499999999851</v>
      </c>
      <c r="H254" s="334"/>
      <c r="I254" s="335"/>
      <c r="J254" s="336"/>
      <c r="K254" s="301"/>
      <c r="L254" s="336"/>
      <c r="M254" s="301"/>
      <c r="N254" s="336"/>
      <c r="O254" s="301"/>
      <c r="P254" s="336"/>
      <c r="Q254" s="301"/>
      <c r="R254" s="336"/>
      <c r="S254" s="301"/>
      <c r="T254" s="336"/>
    </row>
    <row r="255" spans="1:20" ht="12" customHeight="1" x14ac:dyDescent="0.3">
      <c r="A255" s="329" t="s">
        <v>289</v>
      </c>
      <c r="B255" s="330">
        <v>1</v>
      </c>
      <c r="C255" s="298">
        <v>46165</v>
      </c>
      <c r="D255" s="299" t="s">
        <v>880</v>
      </c>
      <c r="E255" s="522">
        <v>94.76</v>
      </c>
      <c r="F255" s="522"/>
      <c r="G255" s="333">
        <f t="shared" si="8"/>
        <v>2260.1499999999851</v>
      </c>
      <c r="H255" s="334"/>
      <c r="I255" s="335"/>
      <c r="J255" s="336"/>
      <c r="K255" s="301"/>
      <c r="L255" s="336"/>
      <c r="M255" s="301"/>
      <c r="N255" s="336"/>
      <c r="O255" s="301"/>
      <c r="P255" s="336"/>
      <c r="Q255" s="301"/>
      <c r="R255" s="336"/>
      <c r="S255" s="301"/>
      <c r="T255" s="336"/>
    </row>
    <row r="256" spans="1:20" ht="12" customHeight="1" x14ac:dyDescent="0.3">
      <c r="A256" s="329" t="s">
        <v>289</v>
      </c>
      <c r="B256" s="330">
        <v>1</v>
      </c>
      <c r="C256" s="298">
        <v>46165</v>
      </c>
      <c r="D256" s="299" t="s">
        <v>393</v>
      </c>
      <c r="E256" s="522">
        <v>34.869999999999997</v>
      </c>
      <c r="F256" s="522"/>
      <c r="G256" s="333">
        <f t="shared" si="8"/>
        <v>2354.9099999999853</v>
      </c>
      <c r="H256" s="334"/>
      <c r="I256" s="335"/>
      <c r="J256" s="336"/>
      <c r="K256" s="301"/>
      <c r="L256" s="336"/>
      <c r="M256" s="301"/>
      <c r="N256" s="336"/>
      <c r="O256" s="301"/>
      <c r="P256" s="336"/>
      <c r="Q256" s="301"/>
      <c r="R256" s="336"/>
      <c r="S256" s="301"/>
      <c r="T256" s="336"/>
    </row>
    <row r="257" spans="1:20" ht="12" customHeight="1" x14ac:dyDescent="0.3">
      <c r="A257" s="329" t="s">
        <v>289</v>
      </c>
      <c r="B257" s="330">
        <v>8</v>
      </c>
      <c r="C257" s="298">
        <v>46165</v>
      </c>
      <c r="D257" s="299" t="s">
        <v>481</v>
      </c>
      <c r="E257" s="522">
        <v>80.48</v>
      </c>
      <c r="F257" s="522"/>
      <c r="G257" s="333">
        <f t="shared" si="8"/>
        <v>2389.7799999999852</v>
      </c>
      <c r="H257" s="334"/>
      <c r="I257" s="335"/>
      <c r="J257" s="336"/>
      <c r="K257" s="301"/>
      <c r="L257" s="336"/>
      <c r="M257" s="301"/>
      <c r="N257" s="336"/>
      <c r="O257" s="301"/>
      <c r="P257" s="336"/>
      <c r="Q257" s="301"/>
      <c r="R257" s="336"/>
      <c r="S257" s="301"/>
      <c r="T257" s="336"/>
    </row>
    <row r="258" spans="1:20" ht="12" customHeight="1" x14ac:dyDescent="0.3">
      <c r="A258" s="329" t="s">
        <v>289</v>
      </c>
      <c r="B258" s="330">
        <v>5</v>
      </c>
      <c r="C258" s="298">
        <v>46165</v>
      </c>
      <c r="D258" s="299" t="s">
        <v>879</v>
      </c>
      <c r="E258" s="522">
        <v>25</v>
      </c>
      <c r="F258" s="522"/>
      <c r="G258" s="333">
        <f t="shared" si="8"/>
        <v>2470.2599999999852</v>
      </c>
      <c r="H258" s="334" t="s">
        <v>298</v>
      </c>
      <c r="I258" s="335"/>
      <c r="J258" s="336"/>
      <c r="K258" s="301"/>
      <c r="L258" s="336"/>
      <c r="M258" s="301"/>
      <c r="N258" s="336"/>
      <c r="O258" s="301"/>
      <c r="P258" s="336"/>
      <c r="Q258" s="301"/>
      <c r="R258" s="336"/>
      <c r="S258" s="301"/>
      <c r="T258" s="336"/>
    </row>
    <row r="259" spans="1:20" ht="12" customHeight="1" x14ac:dyDescent="0.3">
      <c r="A259" s="329" t="s">
        <v>289</v>
      </c>
      <c r="B259" s="330">
        <v>6</v>
      </c>
      <c r="C259" s="298">
        <v>46165</v>
      </c>
      <c r="D259" s="299" t="s">
        <v>877</v>
      </c>
      <c r="E259" s="522">
        <v>50</v>
      </c>
      <c r="F259" s="522"/>
      <c r="G259" s="333">
        <f t="shared" si="8"/>
        <v>2495.2599999999852</v>
      </c>
      <c r="H259" s="334" t="s">
        <v>298</v>
      </c>
      <c r="I259" s="335"/>
      <c r="J259" s="336"/>
      <c r="K259" s="301"/>
      <c r="L259" s="336"/>
      <c r="M259" s="301"/>
      <c r="N259" s="336"/>
      <c r="O259" s="301"/>
      <c r="P259" s="336"/>
      <c r="Q259" s="301"/>
      <c r="R259" s="336"/>
      <c r="S259" s="301"/>
      <c r="T259" s="336"/>
    </row>
    <row r="260" spans="1:20" ht="12" customHeight="1" x14ac:dyDescent="0.3">
      <c r="A260" s="329" t="s">
        <v>289</v>
      </c>
      <c r="B260" s="330">
        <v>2</v>
      </c>
      <c r="C260" s="298">
        <v>46165</v>
      </c>
      <c r="D260" s="299" t="s">
        <v>878</v>
      </c>
      <c r="E260" s="522">
        <v>25</v>
      </c>
      <c r="F260" s="522"/>
      <c r="G260" s="333">
        <f t="shared" si="8"/>
        <v>2545.2599999999852</v>
      </c>
      <c r="H260" s="334" t="s">
        <v>298</v>
      </c>
      <c r="I260" s="335"/>
      <c r="J260" s="336"/>
      <c r="K260" s="301"/>
      <c r="L260" s="336"/>
      <c r="M260" s="301"/>
      <c r="N260" s="336"/>
      <c r="O260" s="301"/>
      <c r="P260" s="336"/>
      <c r="Q260" s="301"/>
      <c r="R260" s="336"/>
      <c r="S260" s="301"/>
      <c r="T260" s="336"/>
    </row>
    <row r="261" spans="1:20" ht="12" customHeight="1" x14ac:dyDescent="0.3">
      <c r="A261" s="329" t="s">
        <v>289</v>
      </c>
      <c r="B261" s="330">
        <v>2</v>
      </c>
      <c r="C261" s="298">
        <v>46164</v>
      </c>
      <c r="D261" s="299" t="s">
        <v>881</v>
      </c>
      <c r="E261" s="522">
        <v>45.46</v>
      </c>
      <c r="F261" s="522"/>
      <c r="G261" s="333">
        <f t="shared" si="8"/>
        <v>2570.2599999999852</v>
      </c>
      <c r="H261" s="334"/>
      <c r="I261" s="335"/>
      <c r="J261" s="336"/>
      <c r="K261" s="301"/>
      <c r="L261" s="336"/>
      <c r="M261" s="301"/>
      <c r="N261" s="336"/>
      <c r="O261" s="301"/>
      <c r="P261" s="336"/>
      <c r="Q261" s="301"/>
      <c r="R261" s="336"/>
      <c r="S261" s="301"/>
      <c r="T261" s="336"/>
    </row>
    <row r="262" spans="1:20" ht="12" customHeight="1" x14ac:dyDescent="0.3">
      <c r="A262" s="329" t="s">
        <v>289</v>
      </c>
      <c r="B262" s="330">
        <v>6</v>
      </c>
      <c r="C262" s="298">
        <v>46164</v>
      </c>
      <c r="D262" s="299" t="s">
        <v>873</v>
      </c>
      <c r="E262" s="522">
        <v>22</v>
      </c>
      <c r="F262" s="522"/>
      <c r="G262" s="333">
        <f t="shared" si="8"/>
        <v>2615.7199999999852</v>
      </c>
      <c r="H262" s="334"/>
      <c r="I262" s="335"/>
      <c r="J262" s="336"/>
      <c r="K262" s="301"/>
      <c r="L262" s="336"/>
      <c r="M262" s="301"/>
      <c r="N262" s="336"/>
      <c r="O262" s="301"/>
      <c r="P262" s="336"/>
      <c r="Q262" s="301"/>
      <c r="R262" s="336"/>
      <c r="S262" s="301"/>
      <c r="T262" s="336"/>
    </row>
    <row r="263" spans="1:20" ht="12" customHeight="1" x14ac:dyDescent="0.3">
      <c r="A263" s="329" t="s">
        <v>289</v>
      </c>
      <c r="B263" s="330">
        <v>2</v>
      </c>
      <c r="C263" s="298">
        <v>46164</v>
      </c>
      <c r="D263" s="299" t="s">
        <v>296</v>
      </c>
      <c r="E263" s="522">
        <v>14.57</v>
      </c>
      <c r="F263" s="522"/>
      <c r="G263" s="333">
        <f t="shared" si="8"/>
        <v>2637.7199999999852</v>
      </c>
      <c r="H263" s="334"/>
      <c r="I263" s="335"/>
      <c r="J263" s="336"/>
      <c r="K263" s="301"/>
      <c r="L263" s="336"/>
      <c r="M263" s="301"/>
      <c r="N263" s="336"/>
      <c r="O263" s="301"/>
      <c r="P263" s="336"/>
      <c r="Q263" s="301"/>
      <c r="R263" s="336"/>
      <c r="S263" s="301"/>
      <c r="T263" s="336"/>
    </row>
    <row r="264" spans="1:20" ht="12" customHeight="1" x14ac:dyDescent="0.3">
      <c r="A264" s="329" t="s">
        <v>289</v>
      </c>
      <c r="B264" s="330">
        <v>3</v>
      </c>
      <c r="C264" s="298">
        <v>46163</v>
      </c>
      <c r="D264" s="299" t="s">
        <v>334</v>
      </c>
      <c r="E264" s="522">
        <v>9.01</v>
      </c>
      <c r="F264" s="522"/>
      <c r="G264" s="333">
        <f t="shared" si="8"/>
        <v>2652.2899999999854</v>
      </c>
      <c r="H264" s="334"/>
      <c r="I264" s="335"/>
      <c r="J264" s="336"/>
      <c r="K264" s="301"/>
      <c r="L264" s="336"/>
      <c r="M264" s="301"/>
      <c r="N264" s="336"/>
      <c r="O264" s="301"/>
      <c r="P264" s="336"/>
      <c r="Q264" s="301"/>
      <c r="R264" s="336"/>
      <c r="S264" s="301"/>
      <c r="T264" s="336"/>
    </row>
    <row r="265" spans="1:20" ht="12" customHeight="1" x14ac:dyDescent="0.3">
      <c r="A265" s="329" t="s">
        <v>289</v>
      </c>
      <c r="B265" s="330">
        <v>8</v>
      </c>
      <c r="C265" s="298">
        <v>46163</v>
      </c>
      <c r="D265" s="299" t="s">
        <v>334</v>
      </c>
      <c r="E265" s="522">
        <v>6.8</v>
      </c>
      <c r="F265" s="522"/>
      <c r="G265" s="333">
        <f t="shared" si="8"/>
        <v>2661.2999999999856</v>
      </c>
      <c r="H265" s="334"/>
      <c r="I265" s="335"/>
      <c r="J265" s="336"/>
      <c r="K265" s="301"/>
      <c r="L265" s="336"/>
      <c r="M265" s="301"/>
      <c r="N265" s="336"/>
      <c r="O265" s="301"/>
      <c r="P265" s="336"/>
      <c r="Q265" s="301"/>
      <c r="R265" s="336"/>
      <c r="S265" s="301"/>
      <c r="T265" s="336"/>
    </row>
    <row r="266" spans="1:20" ht="12" customHeight="1" x14ac:dyDescent="0.3">
      <c r="A266" s="329" t="s">
        <v>289</v>
      </c>
      <c r="B266" s="330">
        <v>2</v>
      </c>
      <c r="C266" s="298">
        <v>46163</v>
      </c>
      <c r="D266" s="299" t="s">
        <v>358</v>
      </c>
      <c r="E266" s="522">
        <v>16.649999999999999</v>
      </c>
      <c r="F266" s="522"/>
      <c r="G266" s="333">
        <f t="shared" si="8"/>
        <v>2668.0999999999858</v>
      </c>
      <c r="H266" s="334"/>
      <c r="I266" s="335"/>
      <c r="J266" s="336"/>
      <c r="K266" s="301"/>
      <c r="L266" s="336"/>
      <c r="M266" s="301"/>
      <c r="N266" s="336"/>
      <c r="O266" s="301"/>
      <c r="P266" s="336"/>
      <c r="Q266" s="301"/>
      <c r="R266" s="336"/>
      <c r="S266" s="301"/>
      <c r="T266" s="336"/>
    </row>
    <row r="267" spans="1:20" ht="12" customHeight="1" x14ac:dyDescent="0.3">
      <c r="A267" s="329" t="s">
        <v>289</v>
      </c>
      <c r="B267" s="330">
        <v>8</v>
      </c>
      <c r="C267" s="298">
        <v>46163</v>
      </c>
      <c r="D267" s="299" t="s">
        <v>846</v>
      </c>
      <c r="E267" s="522">
        <v>24.89</v>
      </c>
      <c r="F267" s="522"/>
      <c r="G267" s="333">
        <f t="shared" si="8"/>
        <v>2684.7499999999859</v>
      </c>
      <c r="H267" s="334"/>
      <c r="I267" s="335"/>
      <c r="J267" s="336"/>
      <c r="K267" s="301"/>
      <c r="L267" s="336"/>
      <c r="M267" s="301"/>
      <c r="N267" s="336"/>
      <c r="O267" s="301"/>
      <c r="P267" s="336"/>
      <c r="Q267" s="301"/>
      <c r="R267" s="336"/>
      <c r="S267" s="301"/>
      <c r="T267" s="336"/>
    </row>
    <row r="268" spans="1:20" ht="12" customHeight="1" x14ac:dyDescent="0.3">
      <c r="A268" s="329" t="s">
        <v>289</v>
      </c>
      <c r="B268" s="330">
        <v>5</v>
      </c>
      <c r="C268" s="298">
        <v>46163</v>
      </c>
      <c r="D268" s="299" t="s">
        <v>846</v>
      </c>
      <c r="E268" s="522">
        <v>11.2</v>
      </c>
      <c r="F268" s="522"/>
      <c r="G268" s="333">
        <f t="shared" si="8"/>
        <v>2709.6399999999858</v>
      </c>
      <c r="H268" s="334"/>
      <c r="I268" s="335"/>
      <c r="J268" s="336"/>
      <c r="K268" s="301"/>
      <c r="L268" s="336"/>
      <c r="M268" s="301"/>
      <c r="N268" s="336"/>
      <c r="O268" s="301"/>
      <c r="P268" s="336"/>
      <c r="Q268" s="301"/>
      <c r="R268" s="336"/>
      <c r="S268" s="301"/>
      <c r="T268" s="336"/>
    </row>
    <row r="269" spans="1:20" ht="12" customHeight="1" x14ac:dyDescent="0.3">
      <c r="A269" s="329" t="s">
        <v>289</v>
      </c>
      <c r="B269" s="330">
        <v>2</v>
      </c>
      <c r="C269" s="298">
        <v>46162</v>
      </c>
      <c r="D269" s="299" t="s">
        <v>296</v>
      </c>
      <c r="E269" s="522">
        <v>11.18</v>
      </c>
      <c r="F269" s="522"/>
      <c r="G269" s="333">
        <f t="shared" si="8"/>
        <v>2720.8399999999856</v>
      </c>
      <c r="H269" s="334"/>
      <c r="I269" s="335"/>
      <c r="J269" s="336"/>
      <c r="K269" s="301"/>
      <c r="L269" s="336"/>
      <c r="M269" s="301"/>
      <c r="N269" s="336"/>
      <c r="O269" s="301"/>
      <c r="P269" s="336"/>
      <c r="Q269" s="301"/>
      <c r="R269" s="336"/>
      <c r="S269" s="301"/>
      <c r="T269" s="336"/>
    </row>
    <row r="270" spans="1:20" ht="12" customHeight="1" x14ac:dyDescent="0.3">
      <c r="A270" s="329" t="s">
        <v>289</v>
      </c>
      <c r="B270" s="330">
        <v>2</v>
      </c>
      <c r="C270" s="298">
        <v>46162</v>
      </c>
      <c r="D270" s="299" t="s">
        <v>386</v>
      </c>
      <c r="E270" s="522">
        <v>14.38</v>
      </c>
      <c r="F270" s="522"/>
      <c r="G270" s="333">
        <f t="shared" si="8"/>
        <v>2732.0199999999854</v>
      </c>
      <c r="H270" s="334"/>
      <c r="I270" s="335"/>
      <c r="J270" s="336"/>
      <c r="K270" s="301"/>
      <c r="L270" s="336"/>
      <c r="M270" s="301"/>
      <c r="N270" s="336"/>
      <c r="O270" s="301"/>
      <c r="P270" s="336"/>
      <c r="Q270" s="301"/>
      <c r="R270" s="336"/>
      <c r="S270" s="301"/>
      <c r="T270" s="336"/>
    </row>
    <row r="271" spans="1:20" ht="12" customHeight="1" x14ac:dyDescent="0.3">
      <c r="A271" s="329" t="s">
        <v>294</v>
      </c>
      <c r="B271" s="330">
        <v>22</v>
      </c>
      <c r="C271" s="298">
        <v>46162</v>
      </c>
      <c r="D271" s="299" t="s">
        <v>323</v>
      </c>
      <c r="E271" s="522">
        <v>20.22</v>
      </c>
      <c r="F271" s="522"/>
      <c r="G271" s="333">
        <f t="shared" si="8"/>
        <v>2746.3999999999855</v>
      </c>
      <c r="H271" s="334"/>
      <c r="I271" s="335"/>
      <c r="J271" s="336"/>
      <c r="K271" s="301"/>
      <c r="L271" s="336"/>
      <c r="M271" s="301"/>
      <c r="N271" s="336"/>
      <c r="O271" s="301"/>
      <c r="P271" s="336"/>
      <c r="Q271" s="301"/>
      <c r="R271" s="336"/>
      <c r="S271" s="301"/>
      <c r="T271" s="336"/>
    </row>
    <row r="272" spans="1:20" ht="12" customHeight="1" x14ac:dyDescent="0.3">
      <c r="A272" s="329" t="s">
        <v>289</v>
      </c>
      <c r="B272" s="330">
        <v>5</v>
      </c>
      <c r="C272" s="298">
        <v>46162</v>
      </c>
      <c r="D272" s="299" t="s">
        <v>872</v>
      </c>
      <c r="E272" s="522">
        <v>30</v>
      </c>
      <c r="F272" s="522"/>
      <c r="G272" s="333">
        <f t="shared" ref="G272:G286" si="9">G273-E272+F272</f>
        <v>2766.6199999999853</v>
      </c>
      <c r="H272" s="334"/>
      <c r="I272" s="335"/>
      <c r="J272" s="336"/>
      <c r="K272" s="301"/>
      <c r="L272" s="336"/>
      <c r="M272" s="301"/>
      <c r="N272" s="336"/>
      <c r="O272" s="301"/>
      <c r="P272" s="336"/>
      <c r="Q272" s="301"/>
      <c r="R272" s="336"/>
      <c r="S272" s="301"/>
      <c r="T272" s="336"/>
    </row>
    <row r="273" spans="1:20" ht="12" customHeight="1" x14ac:dyDescent="0.3">
      <c r="A273" s="329" t="s">
        <v>289</v>
      </c>
      <c r="B273" s="330">
        <v>2</v>
      </c>
      <c r="C273" s="298">
        <v>46162</v>
      </c>
      <c r="D273" s="299" t="s">
        <v>874</v>
      </c>
      <c r="E273" s="522">
        <v>46.72</v>
      </c>
      <c r="F273" s="522"/>
      <c r="G273" s="333">
        <f t="shared" si="9"/>
        <v>2796.6199999999853</v>
      </c>
      <c r="H273" s="334"/>
      <c r="I273" s="335"/>
      <c r="J273" s="336"/>
      <c r="K273" s="301"/>
      <c r="L273" s="336"/>
      <c r="M273" s="301"/>
      <c r="N273" s="336"/>
      <c r="O273" s="301"/>
      <c r="P273" s="336"/>
      <c r="Q273" s="301"/>
      <c r="R273" s="336"/>
      <c r="S273" s="301"/>
      <c r="T273" s="336"/>
    </row>
    <row r="274" spans="1:20" ht="12" customHeight="1" x14ac:dyDescent="0.3">
      <c r="A274" s="329" t="s">
        <v>289</v>
      </c>
      <c r="B274" s="330">
        <v>4</v>
      </c>
      <c r="C274" s="298">
        <v>46162</v>
      </c>
      <c r="D274" s="299" t="s">
        <v>310</v>
      </c>
      <c r="E274" s="522">
        <v>56.51</v>
      </c>
      <c r="F274" s="522"/>
      <c r="G274" s="333">
        <f t="shared" si="9"/>
        <v>2843.3399999999851</v>
      </c>
      <c r="H274" s="334"/>
      <c r="I274" s="335"/>
      <c r="J274" s="336"/>
      <c r="K274" s="301"/>
      <c r="L274" s="336"/>
      <c r="M274" s="301"/>
      <c r="N274" s="336"/>
      <c r="O274" s="301"/>
      <c r="P274" s="336"/>
      <c r="Q274" s="301"/>
      <c r="R274" s="336"/>
      <c r="S274" s="301"/>
      <c r="T274" s="336"/>
    </row>
    <row r="275" spans="1:20" ht="12" customHeight="1" x14ac:dyDescent="0.3">
      <c r="A275" s="329" t="s">
        <v>289</v>
      </c>
      <c r="B275" s="330">
        <v>6</v>
      </c>
      <c r="C275" s="298">
        <v>46161</v>
      </c>
      <c r="D275" s="299" t="s">
        <v>871</v>
      </c>
      <c r="E275" s="522">
        <v>63.99</v>
      </c>
      <c r="F275" s="522"/>
      <c r="G275" s="333">
        <f t="shared" si="9"/>
        <v>2899.8499999999854</v>
      </c>
      <c r="H275" s="334"/>
      <c r="I275" s="335"/>
      <c r="J275" s="336"/>
      <c r="K275" s="301"/>
      <c r="L275" s="336"/>
      <c r="M275" s="301"/>
      <c r="N275" s="336"/>
      <c r="O275" s="301"/>
      <c r="P275" s="336"/>
      <c r="Q275" s="301"/>
      <c r="R275" s="336"/>
      <c r="S275" s="301"/>
      <c r="T275" s="336"/>
    </row>
    <row r="276" spans="1:20" ht="12" customHeight="1" x14ac:dyDescent="0.3">
      <c r="A276" s="329" t="s">
        <v>289</v>
      </c>
      <c r="B276" s="330">
        <v>4</v>
      </c>
      <c r="C276" s="298">
        <v>46161</v>
      </c>
      <c r="D276" s="299" t="s">
        <v>296</v>
      </c>
      <c r="E276" s="522">
        <v>43.46</v>
      </c>
      <c r="F276" s="522"/>
      <c r="G276" s="333">
        <f t="shared" si="9"/>
        <v>2963.8399999999851</v>
      </c>
      <c r="H276" s="334"/>
      <c r="I276" s="335"/>
      <c r="J276" s="336"/>
      <c r="K276" s="301"/>
      <c r="L276" s="336"/>
      <c r="M276" s="301"/>
      <c r="N276" s="336"/>
      <c r="O276" s="301"/>
      <c r="P276" s="336"/>
      <c r="Q276" s="301"/>
      <c r="R276" s="336"/>
      <c r="S276" s="301"/>
      <c r="T276" s="336"/>
    </row>
    <row r="277" spans="1:20" ht="12" customHeight="1" x14ac:dyDescent="0.3">
      <c r="A277" s="329" t="s">
        <v>289</v>
      </c>
      <c r="B277" s="330">
        <v>3</v>
      </c>
      <c r="C277" s="298">
        <v>46161</v>
      </c>
      <c r="D277" s="299" t="s">
        <v>296</v>
      </c>
      <c r="E277" s="522">
        <v>8.7200000000000006</v>
      </c>
      <c r="F277" s="522"/>
      <c r="G277" s="333">
        <f t="shared" si="9"/>
        <v>3007.2999999999852</v>
      </c>
      <c r="H277" s="334"/>
      <c r="I277" s="335"/>
      <c r="J277" s="336"/>
      <c r="K277" s="301"/>
      <c r="L277" s="336"/>
      <c r="M277" s="301"/>
      <c r="N277" s="336"/>
      <c r="O277" s="301"/>
      <c r="P277" s="336"/>
      <c r="Q277" s="301"/>
      <c r="R277" s="336"/>
      <c r="S277" s="301"/>
      <c r="T277" s="336"/>
    </row>
    <row r="278" spans="1:20" ht="12" customHeight="1" x14ac:dyDescent="0.3">
      <c r="A278" s="329" t="s">
        <v>289</v>
      </c>
      <c r="B278" s="330">
        <v>2</v>
      </c>
      <c r="C278" s="298">
        <v>46161</v>
      </c>
      <c r="D278" s="299" t="s">
        <v>301</v>
      </c>
      <c r="E278" s="522">
        <v>30.9</v>
      </c>
      <c r="F278" s="522"/>
      <c r="G278" s="333">
        <f t="shared" si="9"/>
        <v>3016.019999999985</v>
      </c>
      <c r="H278" s="334"/>
      <c r="I278" s="335"/>
      <c r="J278" s="336"/>
      <c r="K278" s="301"/>
      <c r="L278" s="336"/>
      <c r="M278" s="301"/>
      <c r="N278" s="336"/>
      <c r="O278" s="301"/>
      <c r="P278" s="336"/>
      <c r="Q278" s="301"/>
      <c r="R278" s="336"/>
      <c r="S278" s="301"/>
      <c r="T278" s="336"/>
    </row>
    <row r="279" spans="1:20" ht="12" customHeight="1" x14ac:dyDescent="0.3">
      <c r="A279" s="329" t="s">
        <v>294</v>
      </c>
      <c r="B279" s="330">
        <v>22</v>
      </c>
      <c r="C279" s="298">
        <v>46161</v>
      </c>
      <c r="D279" s="299" t="s">
        <v>328</v>
      </c>
      <c r="E279" s="522">
        <v>7.46</v>
      </c>
      <c r="F279" s="522"/>
      <c r="G279" s="333">
        <f t="shared" si="9"/>
        <v>3046.9199999999851</v>
      </c>
      <c r="H279" s="334"/>
      <c r="I279" s="335"/>
      <c r="J279" s="336"/>
      <c r="K279" s="301"/>
      <c r="L279" s="336"/>
      <c r="M279" s="301"/>
      <c r="N279" s="336"/>
      <c r="O279" s="301"/>
      <c r="P279" s="336"/>
      <c r="Q279" s="301"/>
      <c r="R279" s="336"/>
      <c r="S279" s="301"/>
      <c r="T279" s="336"/>
    </row>
    <row r="280" spans="1:20" ht="12" customHeight="1" x14ac:dyDescent="0.3">
      <c r="A280" s="329" t="s">
        <v>289</v>
      </c>
      <c r="B280" s="330">
        <v>2</v>
      </c>
      <c r="C280" s="298">
        <v>46161</v>
      </c>
      <c r="D280" s="299" t="s">
        <v>869</v>
      </c>
      <c r="E280" s="522">
        <v>31.05</v>
      </c>
      <c r="F280" s="522"/>
      <c r="G280" s="333">
        <f t="shared" si="9"/>
        <v>3054.3799999999851</v>
      </c>
      <c r="H280" s="334"/>
      <c r="I280" s="335"/>
      <c r="J280" s="336"/>
      <c r="K280" s="301"/>
      <c r="L280" s="336"/>
      <c r="M280" s="301"/>
      <c r="N280" s="336"/>
      <c r="O280" s="301"/>
      <c r="P280" s="336"/>
      <c r="Q280" s="301"/>
      <c r="R280" s="336"/>
      <c r="S280" s="301"/>
      <c r="T280" s="336"/>
    </row>
    <row r="281" spans="1:20" ht="12" customHeight="1" x14ac:dyDescent="0.3">
      <c r="A281" s="329" t="s">
        <v>289</v>
      </c>
      <c r="B281" s="330">
        <v>2</v>
      </c>
      <c r="C281" s="298">
        <v>46161</v>
      </c>
      <c r="D281" s="299" t="s">
        <v>870</v>
      </c>
      <c r="E281" s="522">
        <v>54.41</v>
      </c>
      <c r="F281" s="522"/>
      <c r="G281" s="333">
        <f t="shared" si="9"/>
        <v>3085.4299999999853</v>
      </c>
      <c r="H281" s="334"/>
      <c r="I281" s="335"/>
      <c r="J281" s="336"/>
      <c r="K281" s="301"/>
      <c r="L281" s="336"/>
      <c r="M281" s="301"/>
      <c r="N281" s="336"/>
      <c r="O281" s="301"/>
      <c r="P281" s="336"/>
      <c r="Q281" s="301"/>
      <c r="R281" s="336"/>
      <c r="S281" s="301"/>
      <c r="T281" s="336"/>
    </row>
    <row r="282" spans="1:20" ht="12" customHeight="1" x14ac:dyDescent="0.3">
      <c r="A282" s="329" t="s">
        <v>289</v>
      </c>
      <c r="B282" s="330">
        <v>8</v>
      </c>
      <c r="C282" s="298">
        <v>46161</v>
      </c>
      <c r="D282" s="299" t="s">
        <v>875</v>
      </c>
      <c r="E282" s="522">
        <v>20.49</v>
      </c>
      <c r="F282" s="522"/>
      <c r="G282" s="333">
        <f t="shared" si="9"/>
        <v>3139.8399999999851</v>
      </c>
      <c r="H282" s="334"/>
      <c r="I282" s="335"/>
      <c r="J282" s="336"/>
      <c r="K282" s="301"/>
      <c r="L282" s="336"/>
      <c r="M282" s="301"/>
      <c r="N282" s="336"/>
      <c r="O282" s="301"/>
      <c r="P282" s="336"/>
      <c r="Q282" s="301"/>
      <c r="R282" s="336"/>
      <c r="S282" s="301"/>
      <c r="T282" s="336"/>
    </row>
    <row r="283" spans="1:20" ht="12" customHeight="1" x14ac:dyDescent="0.3">
      <c r="A283" s="329" t="s">
        <v>294</v>
      </c>
      <c r="B283" s="330">
        <v>22</v>
      </c>
      <c r="C283" s="298">
        <v>46160</v>
      </c>
      <c r="D283" s="299" t="s">
        <v>401</v>
      </c>
      <c r="E283" s="522">
        <v>13.84</v>
      </c>
      <c r="F283" s="522"/>
      <c r="G283" s="333">
        <f t="shared" si="9"/>
        <v>3160.3299999999849</v>
      </c>
      <c r="H283" s="334"/>
      <c r="I283" s="335"/>
      <c r="J283" s="336"/>
      <c r="K283" s="301"/>
      <c r="L283" s="336"/>
      <c r="M283" s="301"/>
      <c r="N283" s="336"/>
      <c r="O283" s="301"/>
      <c r="P283" s="336"/>
      <c r="Q283" s="301"/>
      <c r="R283" s="336"/>
      <c r="S283" s="301"/>
      <c r="T283" s="336"/>
    </row>
    <row r="284" spans="1:20" ht="12" customHeight="1" x14ac:dyDescent="0.3">
      <c r="A284" s="329" t="s">
        <v>287</v>
      </c>
      <c r="B284" s="330" t="s">
        <v>287</v>
      </c>
      <c r="C284" s="298">
        <v>46160</v>
      </c>
      <c r="D284" s="299" t="s">
        <v>876</v>
      </c>
      <c r="E284" s="522">
        <v>138.44</v>
      </c>
      <c r="F284" s="522">
        <v>138.44</v>
      </c>
      <c r="G284" s="333">
        <f t="shared" si="9"/>
        <v>3174.1699999999851</v>
      </c>
      <c r="H284" s="334"/>
      <c r="I284" s="335"/>
      <c r="J284" s="336"/>
      <c r="K284" s="301"/>
      <c r="L284" s="336"/>
      <c r="M284" s="301"/>
      <c r="N284" s="336"/>
      <c r="O284" s="301"/>
      <c r="P284" s="336"/>
      <c r="Q284" s="301"/>
      <c r="R284" s="336"/>
      <c r="S284" s="301"/>
      <c r="T284" s="336"/>
    </row>
    <row r="285" spans="1:20" ht="12" customHeight="1" x14ac:dyDescent="0.3">
      <c r="A285" s="329" t="s">
        <v>289</v>
      </c>
      <c r="B285" s="330">
        <v>2</v>
      </c>
      <c r="C285" s="298">
        <v>46160</v>
      </c>
      <c r="D285" s="299" t="s">
        <v>353</v>
      </c>
      <c r="E285" s="522">
        <v>25.48</v>
      </c>
      <c r="F285" s="522"/>
      <c r="G285" s="333">
        <f t="shared" si="9"/>
        <v>3174.1699999999851</v>
      </c>
      <c r="H285" s="334"/>
      <c r="I285" s="335"/>
      <c r="J285" s="336"/>
      <c r="K285" s="301"/>
      <c r="L285" s="336"/>
      <c r="M285" s="301"/>
      <c r="N285" s="336"/>
      <c r="O285" s="301"/>
      <c r="P285" s="336"/>
      <c r="Q285" s="301"/>
      <c r="R285" s="336"/>
      <c r="S285" s="301"/>
      <c r="T285" s="336"/>
    </row>
    <row r="286" spans="1:20" ht="12" customHeight="1" x14ac:dyDescent="0.3">
      <c r="A286" s="329" t="s">
        <v>294</v>
      </c>
      <c r="B286" s="330">
        <v>17</v>
      </c>
      <c r="C286" s="298">
        <v>46160</v>
      </c>
      <c r="D286" s="299" t="s">
        <v>188</v>
      </c>
      <c r="E286" s="522">
        <v>42.65</v>
      </c>
      <c r="F286" s="522"/>
      <c r="G286" s="333">
        <f t="shared" si="9"/>
        <v>3199.6499999999851</v>
      </c>
      <c r="H286" s="334"/>
      <c r="I286" s="335"/>
      <c r="J286" s="336"/>
      <c r="K286" s="301"/>
      <c r="L286" s="336"/>
      <c r="M286" s="301"/>
      <c r="N286" s="336"/>
      <c r="O286" s="301"/>
      <c r="P286" s="336"/>
      <c r="Q286" s="301"/>
      <c r="R286" s="336"/>
      <c r="S286" s="301"/>
      <c r="T286" s="336"/>
    </row>
    <row r="287" spans="1:20" ht="12" customHeight="1" x14ac:dyDescent="0.3">
      <c r="A287" s="329" t="s">
        <v>294</v>
      </c>
      <c r="B287" s="330">
        <v>15</v>
      </c>
      <c r="C287" s="298">
        <v>46160</v>
      </c>
      <c r="D287" s="299" t="s">
        <v>185</v>
      </c>
      <c r="E287" s="522">
        <v>101.37</v>
      </c>
      <c r="F287" s="522"/>
      <c r="G287" s="333">
        <f t="shared" ref="G287:G367" si="10">G288-E287+F287</f>
        <v>3242.2999999999852</v>
      </c>
      <c r="H287" s="334"/>
      <c r="I287" s="335"/>
      <c r="J287" s="336"/>
      <c r="K287" s="301"/>
      <c r="L287" s="336"/>
      <c r="M287" s="301"/>
      <c r="N287" s="336"/>
      <c r="O287" s="301"/>
      <c r="P287" s="336"/>
      <c r="Q287" s="301"/>
      <c r="R287" s="336"/>
      <c r="S287" s="301"/>
      <c r="T287" s="336"/>
    </row>
    <row r="288" spans="1:20" ht="12" customHeight="1" x14ac:dyDescent="0.3">
      <c r="A288" s="329" t="s">
        <v>335</v>
      </c>
      <c r="B288" s="330" t="s">
        <v>335</v>
      </c>
      <c r="C288" s="298">
        <v>46160</v>
      </c>
      <c r="D288" s="299" t="s">
        <v>336</v>
      </c>
      <c r="E288" s="522">
        <v>93.13</v>
      </c>
      <c r="F288" s="522"/>
      <c r="G288" s="333">
        <f t="shared" si="10"/>
        <v>3343.6699999999851</v>
      </c>
      <c r="H288" s="334"/>
      <c r="I288" s="335"/>
      <c r="J288" s="336"/>
      <c r="K288" s="301"/>
      <c r="L288" s="336"/>
      <c r="M288" s="301"/>
      <c r="N288" s="336"/>
      <c r="O288" s="301"/>
      <c r="P288" s="336"/>
      <c r="Q288" s="301"/>
      <c r="R288" s="336"/>
      <c r="S288" s="301"/>
      <c r="T288" s="336"/>
    </row>
    <row r="289" spans="1:20" ht="12" customHeight="1" x14ac:dyDescent="0.3">
      <c r="A289" s="329" t="s">
        <v>294</v>
      </c>
      <c r="B289" s="330">
        <v>11</v>
      </c>
      <c r="C289" s="298">
        <v>46160</v>
      </c>
      <c r="D289" s="299" t="s">
        <v>178</v>
      </c>
      <c r="E289" s="522">
        <v>267.68</v>
      </c>
      <c r="F289" s="522"/>
      <c r="G289" s="333">
        <f t="shared" si="10"/>
        <v>3436.7999999999852</v>
      </c>
      <c r="H289" s="334"/>
      <c r="I289" s="335"/>
      <c r="J289" s="336"/>
      <c r="K289" s="301"/>
      <c r="L289" s="336"/>
      <c r="M289" s="301"/>
      <c r="N289" s="336"/>
      <c r="O289" s="301"/>
      <c r="P289" s="336"/>
      <c r="Q289" s="301"/>
      <c r="R289" s="336"/>
      <c r="S289" s="301"/>
      <c r="T289" s="336"/>
    </row>
    <row r="290" spans="1:20" ht="12" customHeight="1" x14ac:dyDescent="0.3">
      <c r="A290" s="329" t="s">
        <v>294</v>
      </c>
      <c r="B290" s="330">
        <v>23</v>
      </c>
      <c r="C290" s="298">
        <v>46160</v>
      </c>
      <c r="D290" s="299" t="s">
        <v>63</v>
      </c>
      <c r="E290" s="522">
        <v>529.46</v>
      </c>
      <c r="F290" s="522"/>
      <c r="G290" s="333">
        <f t="shared" si="10"/>
        <v>3704.479999999985</v>
      </c>
      <c r="H290" s="334"/>
      <c r="I290" s="335"/>
      <c r="J290" s="336"/>
      <c r="K290" s="301"/>
      <c r="L290" s="336"/>
      <c r="M290" s="301"/>
      <c r="N290" s="336"/>
      <c r="O290" s="301"/>
      <c r="P290" s="336"/>
      <c r="Q290" s="301"/>
      <c r="R290" s="336"/>
      <c r="S290" s="301"/>
      <c r="T290" s="336"/>
    </row>
    <row r="291" spans="1:20" ht="12" customHeight="1" x14ac:dyDescent="0.3">
      <c r="A291" s="329" t="s">
        <v>289</v>
      </c>
      <c r="B291" s="330">
        <v>1</v>
      </c>
      <c r="C291" s="298">
        <v>46159</v>
      </c>
      <c r="D291" s="299" t="s">
        <v>311</v>
      </c>
      <c r="E291" s="522">
        <v>148.25</v>
      </c>
      <c r="F291" s="522"/>
      <c r="G291" s="333">
        <f t="shared" si="10"/>
        <v>4233.939999999985</v>
      </c>
      <c r="H291" s="334"/>
      <c r="I291" s="335"/>
      <c r="J291" s="336"/>
      <c r="K291" s="301"/>
      <c r="L291" s="336"/>
      <c r="M291" s="301"/>
      <c r="N291" s="336"/>
      <c r="O291" s="301"/>
      <c r="P291" s="336"/>
      <c r="Q291" s="301"/>
      <c r="R291" s="336"/>
      <c r="S291" s="301"/>
      <c r="T291" s="336"/>
    </row>
    <row r="292" spans="1:20" ht="12" customHeight="1" x14ac:dyDescent="0.3">
      <c r="A292" s="329" t="s">
        <v>289</v>
      </c>
      <c r="B292" s="330">
        <v>1</v>
      </c>
      <c r="C292" s="298">
        <v>46159</v>
      </c>
      <c r="D292" s="299" t="s">
        <v>306</v>
      </c>
      <c r="E292" s="522">
        <v>90.2</v>
      </c>
      <c r="F292" s="522"/>
      <c r="G292" s="333">
        <f t="shared" si="10"/>
        <v>4382.189999999985</v>
      </c>
      <c r="H292" s="334"/>
      <c r="I292" s="335"/>
      <c r="J292" s="336"/>
      <c r="K292" s="301"/>
      <c r="L292" s="336"/>
      <c r="M292" s="301"/>
      <c r="N292" s="336"/>
      <c r="O292" s="301"/>
      <c r="P292" s="336"/>
      <c r="Q292" s="301"/>
      <c r="R292" s="336"/>
      <c r="S292" s="301"/>
      <c r="T292" s="336"/>
    </row>
    <row r="293" spans="1:20" ht="12" customHeight="1" x14ac:dyDescent="0.3">
      <c r="A293" s="329" t="s">
        <v>294</v>
      </c>
      <c r="B293" s="330">
        <v>21</v>
      </c>
      <c r="C293" s="298">
        <v>46159</v>
      </c>
      <c r="D293" s="299" t="s">
        <v>194</v>
      </c>
      <c r="E293" s="522">
        <v>81</v>
      </c>
      <c r="F293" s="522"/>
      <c r="G293" s="333">
        <f t="shared" si="10"/>
        <v>4472.3899999999849</v>
      </c>
      <c r="H293" s="334"/>
      <c r="I293" s="335"/>
      <c r="J293" s="336"/>
      <c r="K293" s="301"/>
      <c r="L293" s="336"/>
      <c r="M293" s="301"/>
      <c r="N293" s="336"/>
      <c r="O293" s="301"/>
      <c r="P293" s="336"/>
      <c r="Q293" s="301"/>
      <c r="R293" s="336"/>
      <c r="S293" s="301"/>
      <c r="T293" s="336"/>
    </row>
    <row r="294" spans="1:20" ht="12" customHeight="1" x14ac:dyDescent="0.3">
      <c r="A294" s="329" t="s">
        <v>289</v>
      </c>
      <c r="B294" s="330">
        <v>6</v>
      </c>
      <c r="C294" s="298">
        <v>46159</v>
      </c>
      <c r="D294" s="299" t="s">
        <v>300</v>
      </c>
      <c r="E294" s="522">
        <v>38.33</v>
      </c>
      <c r="F294" s="522"/>
      <c r="G294" s="333">
        <f t="shared" si="10"/>
        <v>4553.3899999999849</v>
      </c>
      <c r="H294" s="334"/>
      <c r="I294" s="335"/>
      <c r="J294" s="336"/>
      <c r="K294" s="301"/>
      <c r="L294" s="336"/>
      <c r="M294" s="301"/>
      <c r="N294" s="336"/>
      <c r="O294" s="301"/>
      <c r="P294" s="336"/>
      <c r="Q294" s="301"/>
      <c r="R294" s="336"/>
      <c r="S294" s="301"/>
      <c r="T294" s="336"/>
    </row>
    <row r="295" spans="1:20" ht="12" customHeight="1" x14ac:dyDescent="0.3">
      <c r="A295" s="329" t="s">
        <v>294</v>
      </c>
      <c r="B295" s="330">
        <v>42</v>
      </c>
      <c r="C295" s="298">
        <v>46159</v>
      </c>
      <c r="D295" s="299" t="s">
        <v>333</v>
      </c>
      <c r="E295" s="522">
        <v>29.8</v>
      </c>
      <c r="F295" s="522"/>
      <c r="G295" s="333">
        <f t="shared" si="10"/>
        <v>4591.7199999999848</v>
      </c>
      <c r="H295" s="334"/>
      <c r="I295" s="335"/>
      <c r="J295" s="336"/>
      <c r="K295" s="301"/>
      <c r="L295" s="336"/>
      <c r="M295" s="301"/>
      <c r="N295" s="336"/>
      <c r="O295" s="301"/>
      <c r="P295" s="336"/>
      <c r="Q295" s="301"/>
      <c r="R295" s="336"/>
      <c r="S295" s="301"/>
      <c r="T295" s="336"/>
    </row>
    <row r="296" spans="1:20" ht="12" customHeight="1" x14ac:dyDescent="0.3">
      <c r="A296" s="329" t="s">
        <v>294</v>
      </c>
      <c r="B296" s="330">
        <v>43</v>
      </c>
      <c r="C296" s="298">
        <v>46159</v>
      </c>
      <c r="D296" s="299" t="s">
        <v>333</v>
      </c>
      <c r="E296" s="522">
        <v>22.35</v>
      </c>
      <c r="F296" s="522"/>
      <c r="G296" s="333">
        <f t="shared" si="10"/>
        <v>4621.519999999985</v>
      </c>
      <c r="H296" s="334"/>
      <c r="I296" s="335"/>
      <c r="J296" s="336"/>
      <c r="K296" s="301"/>
      <c r="L296" s="336"/>
      <c r="M296" s="301"/>
      <c r="N296" s="336"/>
      <c r="O296" s="301"/>
      <c r="P296" s="336"/>
      <c r="Q296" s="301"/>
      <c r="R296" s="336"/>
      <c r="S296" s="301"/>
      <c r="T296" s="336"/>
    </row>
    <row r="297" spans="1:20" ht="12" customHeight="1" x14ac:dyDescent="0.3">
      <c r="A297" s="329" t="s">
        <v>289</v>
      </c>
      <c r="B297" s="330">
        <v>8</v>
      </c>
      <c r="C297" s="298">
        <v>46159</v>
      </c>
      <c r="D297" s="299" t="s">
        <v>319</v>
      </c>
      <c r="E297" s="522">
        <v>50.75</v>
      </c>
      <c r="F297" s="522"/>
      <c r="G297" s="333">
        <f t="shared" si="10"/>
        <v>4643.8699999999853</v>
      </c>
      <c r="H297" s="334"/>
      <c r="I297" s="335"/>
      <c r="J297" s="336"/>
      <c r="K297" s="301"/>
      <c r="L297" s="336"/>
      <c r="M297" s="301"/>
      <c r="N297" s="336"/>
      <c r="O297" s="301"/>
      <c r="P297" s="336"/>
      <c r="Q297" s="301"/>
      <c r="R297" s="336"/>
      <c r="S297" s="301"/>
      <c r="T297" s="336"/>
    </row>
    <row r="298" spans="1:20" ht="12" customHeight="1" x14ac:dyDescent="0.3">
      <c r="A298" s="329" t="s">
        <v>289</v>
      </c>
      <c r="B298" s="330">
        <v>5</v>
      </c>
      <c r="C298" s="298">
        <v>46158</v>
      </c>
      <c r="D298" s="299" t="s">
        <v>340</v>
      </c>
      <c r="E298" s="522">
        <v>21.3</v>
      </c>
      <c r="F298" s="522"/>
      <c r="G298" s="333">
        <f t="shared" si="10"/>
        <v>4694.6199999999853</v>
      </c>
      <c r="H298" s="334"/>
      <c r="I298" s="335"/>
      <c r="J298" s="336"/>
      <c r="K298" s="301"/>
      <c r="L298" s="336"/>
      <c r="M298" s="301"/>
      <c r="N298" s="336"/>
      <c r="O298" s="301"/>
      <c r="P298" s="336"/>
      <c r="Q298" s="301"/>
      <c r="R298" s="336"/>
      <c r="S298" s="301"/>
      <c r="T298" s="336"/>
    </row>
    <row r="299" spans="1:20" ht="12" customHeight="1" x14ac:dyDescent="0.3">
      <c r="A299" s="329" t="s">
        <v>289</v>
      </c>
      <c r="B299" s="330">
        <v>8</v>
      </c>
      <c r="C299" s="298">
        <v>46158</v>
      </c>
      <c r="D299" s="299" t="s">
        <v>319</v>
      </c>
      <c r="E299" s="522">
        <v>41.46</v>
      </c>
      <c r="F299" s="522"/>
      <c r="G299" s="333">
        <f t="shared" si="10"/>
        <v>4715.9199999999855</v>
      </c>
      <c r="H299" s="334"/>
      <c r="I299" s="335"/>
      <c r="J299" s="336"/>
      <c r="K299" s="301"/>
      <c r="L299" s="336"/>
      <c r="M299" s="301"/>
      <c r="N299" s="336"/>
      <c r="O299" s="301"/>
      <c r="P299" s="336"/>
      <c r="Q299" s="301"/>
      <c r="R299" s="336"/>
      <c r="S299" s="301"/>
      <c r="T299" s="336"/>
    </row>
    <row r="300" spans="1:20" ht="12" customHeight="1" x14ac:dyDescent="0.3">
      <c r="A300" s="329" t="s">
        <v>287</v>
      </c>
      <c r="B300" s="330" t="s">
        <v>287</v>
      </c>
      <c r="C300" s="298">
        <v>46158</v>
      </c>
      <c r="D300" s="299" t="s">
        <v>849</v>
      </c>
      <c r="E300" s="522">
        <v>95.85</v>
      </c>
      <c r="F300" s="522">
        <v>95.85</v>
      </c>
      <c r="G300" s="333">
        <f t="shared" si="10"/>
        <v>4757.3799999999856</v>
      </c>
      <c r="H300" s="334"/>
      <c r="I300" s="335"/>
      <c r="J300" s="336"/>
      <c r="K300" s="301"/>
      <c r="L300" s="336"/>
      <c r="M300" s="301"/>
      <c r="N300" s="336"/>
      <c r="O300" s="301"/>
      <c r="P300" s="336"/>
      <c r="Q300" s="301"/>
      <c r="R300" s="336"/>
      <c r="S300" s="301"/>
      <c r="T300" s="336"/>
    </row>
    <row r="301" spans="1:20" ht="12" customHeight="1" x14ac:dyDescent="0.3">
      <c r="A301" s="329" t="s">
        <v>287</v>
      </c>
      <c r="B301" s="330" t="s">
        <v>287</v>
      </c>
      <c r="C301" s="298">
        <v>46158</v>
      </c>
      <c r="D301" s="299" t="s">
        <v>847</v>
      </c>
      <c r="E301" s="522">
        <v>87.13</v>
      </c>
      <c r="F301" s="522">
        <v>87.13</v>
      </c>
      <c r="G301" s="333">
        <f t="shared" si="10"/>
        <v>4757.3799999999856</v>
      </c>
      <c r="H301" s="334"/>
      <c r="I301" s="335"/>
      <c r="J301" s="336"/>
      <c r="K301" s="301"/>
      <c r="L301" s="336"/>
      <c r="M301" s="301"/>
      <c r="N301" s="336"/>
      <c r="O301" s="301"/>
      <c r="P301" s="336"/>
      <c r="Q301" s="301"/>
      <c r="R301" s="336"/>
      <c r="S301" s="301"/>
      <c r="T301" s="336"/>
    </row>
    <row r="302" spans="1:20" ht="12" customHeight="1" x14ac:dyDescent="0.3">
      <c r="A302" s="329" t="s">
        <v>289</v>
      </c>
      <c r="B302" s="330">
        <v>4</v>
      </c>
      <c r="C302" s="298">
        <v>46158</v>
      </c>
      <c r="D302" s="299" t="s">
        <v>310</v>
      </c>
      <c r="E302" s="522">
        <v>48.15</v>
      </c>
      <c r="F302" s="522"/>
      <c r="G302" s="333">
        <f t="shared" si="10"/>
        <v>4757.3799999999856</v>
      </c>
      <c r="H302" s="334"/>
      <c r="I302" s="335"/>
      <c r="J302" s="336"/>
      <c r="K302" s="301"/>
      <c r="L302" s="336"/>
      <c r="M302" s="301"/>
      <c r="N302" s="336"/>
      <c r="O302" s="301"/>
      <c r="P302" s="336"/>
      <c r="Q302" s="301"/>
      <c r="R302" s="336"/>
      <c r="S302" s="301"/>
      <c r="T302" s="336"/>
    </row>
    <row r="303" spans="1:20" ht="12" customHeight="1" x14ac:dyDescent="0.3">
      <c r="A303" s="329" t="s">
        <v>289</v>
      </c>
      <c r="B303" s="330">
        <v>8</v>
      </c>
      <c r="C303" s="298">
        <v>46158</v>
      </c>
      <c r="D303" s="299" t="s">
        <v>308</v>
      </c>
      <c r="E303" s="522">
        <v>75.069999999999993</v>
      </c>
      <c r="F303" s="522"/>
      <c r="G303" s="333">
        <f t="shared" si="10"/>
        <v>4805.5299999999852</v>
      </c>
      <c r="H303" s="334"/>
      <c r="I303" s="335"/>
      <c r="J303" s="336"/>
      <c r="K303" s="301"/>
      <c r="L303" s="336"/>
      <c r="M303" s="301"/>
      <c r="N303" s="336"/>
      <c r="O303" s="301"/>
      <c r="P303" s="336"/>
      <c r="Q303" s="301"/>
      <c r="R303" s="336"/>
      <c r="S303" s="301"/>
      <c r="T303" s="336"/>
    </row>
    <row r="304" spans="1:20" ht="12" customHeight="1" x14ac:dyDescent="0.3">
      <c r="A304" s="329" t="s">
        <v>289</v>
      </c>
      <c r="B304" s="330">
        <v>2</v>
      </c>
      <c r="C304" s="298">
        <v>46158</v>
      </c>
      <c r="D304" s="299" t="s">
        <v>308</v>
      </c>
      <c r="E304" s="522">
        <v>75</v>
      </c>
      <c r="F304" s="522"/>
      <c r="G304" s="333">
        <f t="shared" si="10"/>
        <v>4880.5999999999849</v>
      </c>
      <c r="H304" s="334"/>
      <c r="I304" s="335"/>
      <c r="J304" s="336"/>
      <c r="K304" s="301"/>
      <c r="L304" s="336"/>
      <c r="M304" s="301"/>
      <c r="N304" s="336"/>
      <c r="O304" s="301"/>
      <c r="P304" s="336"/>
      <c r="Q304" s="301"/>
      <c r="R304" s="336"/>
      <c r="S304" s="301"/>
      <c r="T304" s="336"/>
    </row>
    <row r="305" spans="1:20" ht="12" customHeight="1" x14ac:dyDescent="0.3">
      <c r="A305" s="329" t="s">
        <v>289</v>
      </c>
      <c r="B305" s="330">
        <v>3</v>
      </c>
      <c r="C305" s="298">
        <v>46158</v>
      </c>
      <c r="D305" s="299" t="s">
        <v>348</v>
      </c>
      <c r="E305" s="522">
        <v>8.3800000000000008</v>
      </c>
      <c r="F305" s="522"/>
      <c r="G305" s="333">
        <f t="shared" si="10"/>
        <v>4955.5999999999849</v>
      </c>
      <c r="H305" s="334"/>
      <c r="I305" s="335"/>
      <c r="J305" s="336"/>
      <c r="K305" s="301"/>
      <c r="L305" s="336"/>
      <c r="M305" s="301"/>
      <c r="N305" s="336"/>
      <c r="O305" s="301"/>
      <c r="P305" s="336"/>
      <c r="Q305" s="301"/>
      <c r="R305" s="336"/>
      <c r="S305" s="301"/>
      <c r="T305" s="336"/>
    </row>
    <row r="306" spans="1:20" ht="12" customHeight="1" x14ac:dyDescent="0.3">
      <c r="A306" s="329" t="s">
        <v>289</v>
      </c>
      <c r="B306" s="330">
        <v>8</v>
      </c>
      <c r="C306" s="298">
        <v>46157</v>
      </c>
      <c r="D306" s="299" t="s">
        <v>319</v>
      </c>
      <c r="E306" s="522">
        <v>63.55</v>
      </c>
      <c r="F306" s="522"/>
      <c r="G306" s="333">
        <f t="shared" si="10"/>
        <v>4963.979999999985</v>
      </c>
      <c r="H306" s="334"/>
      <c r="I306" s="335"/>
      <c r="J306" s="336"/>
      <c r="K306" s="301"/>
      <c r="L306" s="336"/>
      <c r="M306" s="301"/>
      <c r="N306" s="336"/>
      <c r="O306" s="301"/>
      <c r="P306" s="336"/>
      <c r="Q306" s="301"/>
      <c r="R306" s="336"/>
      <c r="S306" s="301"/>
      <c r="T306" s="336"/>
    </row>
    <row r="307" spans="1:20" ht="12" customHeight="1" x14ac:dyDescent="0.3">
      <c r="A307" s="329" t="s">
        <v>289</v>
      </c>
      <c r="B307" s="330">
        <v>4</v>
      </c>
      <c r="C307" s="298">
        <v>46157</v>
      </c>
      <c r="D307" s="299" t="s">
        <v>296</v>
      </c>
      <c r="E307" s="522">
        <v>45.1</v>
      </c>
      <c r="F307" s="522"/>
      <c r="G307" s="333">
        <f t="shared" si="10"/>
        <v>5027.5299999999852</v>
      </c>
      <c r="H307" s="334"/>
      <c r="I307" s="335"/>
      <c r="J307" s="336"/>
      <c r="K307" s="301"/>
      <c r="L307" s="336"/>
      <c r="M307" s="301"/>
      <c r="N307" s="336"/>
      <c r="O307" s="301"/>
      <c r="P307" s="336"/>
      <c r="Q307" s="301"/>
      <c r="R307" s="336"/>
      <c r="S307" s="301"/>
      <c r="T307" s="336"/>
    </row>
    <row r="308" spans="1:20" ht="12" customHeight="1" x14ac:dyDescent="0.3">
      <c r="A308" s="329" t="s">
        <v>289</v>
      </c>
      <c r="B308" s="330">
        <v>2</v>
      </c>
      <c r="C308" s="298">
        <v>46157</v>
      </c>
      <c r="D308" s="299" t="s">
        <v>296</v>
      </c>
      <c r="E308" s="522">
        <v>24.54</v>
      </c>
      <c r="F308" s="522"/>
      <c r="G308" s="333">
        <f t="shared" si="10"/>
        <v>5072.6299999999856</v>
      </c>
      <c r="H308" s="334"/>
      <c r="I308" s="335"/>
      <c r="J308" s="336"/>
      <c r="K308" s="301"/>
      <c r="L308" s="336"/>
      <c r="M308" s="301"/>
      <c r="N308" s="336"/>
      <c r="O308" s="301"/>
      <c r="P308" s="336"/>
      <c r="Q308" s="301"/>
      <c r="R308" s="336"/>
      <c r="S308" s="301"/>
      <c r="T308" s="336"/>
    </row>
    <row r="309" spans="1:20" ht="12" customHeight="1" x14ac:dyDescent="0.3">
      <c r="A309" s="329" t="s">
        <v>289</v>
      </c>
      <c r="B309" s="330">
        <v>2</v>
      </c>
      <c r="C309" s="298">
        <v>46157</v>
      </c>
      <c r="D309" s="299" t="s">
        <v>334</v>
      </c>
      <c r="E309" s="522">
        <v>14.28</v>
      </c>
      <c r="F309" s="522"/>
      <c r="G309" s="333">
        <f t="shared" si="10"/>
        <v>5097.1699999999855</v>
      </c>
      <c r="H309" s="334"/>
      <c r="I309" s="335"/>
      <c r="J309" s="336"/>
      <c r="K309" s="301"/>
      <c r="L309" s="336"/>
      <c r="M309" s="301"/>
      <c r="N309" s="336"/>
      <c r="O309" s="301"/>
      <c r="P309" s="336"/>
      <c r="Q309" s="301"/>
      <c r="R309" s="336"/>
      <c r="S309" s="301"/>
      <c r="T309" s="336"/>
    </row>
    <row r="310" spans="1:20" ht="12" customHeight="1" x14ac:dyDescent="0.3">
      <c r="A310" s="329" t="s">
        <v>287</v>
      </c>
      <c r="B310" s="330" t="s">
        <v>287</v>
      </c>
      <c r="C310" s="298">
        <v>46157</v>
      </c>
      <c r="D310" s="299" t="s">
        <v>506</v>
      </c>
      <c r="E310" s="522">
        <v>146.15</v>
      </c>
      <c r="F310" s="522">
        <v>146.15</v>
      </c>
      <c r="G310" s="333">
        <f t="shared" si="10"/>
        <v>5111.4499999999853</v>
      </c>
      <c r="H310" s="334"/>
      <c r="I310" s="335"/>
      <c r="J310" s="336"/>
      <c r="K310" s="301"/>
      <c r="L310" s="336"/>
      <c r="M310" s="301"/>
      <c r="N310" s="336"/>
      <c r="O310" s="301"/>
      <c r="P310" s="336"/>
      <c r="Q310" s="301"/>
      <c r="R310" s="336"/>
      <c r="S310" s="301"/>
      <c r="T310" s="336"/>
    </row>
    <row r="311" spans="1:20" ht="12" customHeight="1" x14ac:dyDescent="0.3">
      <c r="A311" s="329" t="s">
        <v>289</v>
      </c>
      <c r="B311" s="330">
        <v>2</v>
      </c>
      <c r="C311" s="298">
        <v>46157</v>
      </c>
      <c r="D311" s="299" t="s">
        <v>868</v>
      </c>
      <c r="E311" s="522">
        <v>202.87</v>
      </c>
      <c r="F311" s="522"/>
      <c r="G311" s="333">
        <f>G312-E311+F311</f>
        <v>5111.4499999999853</v>
      </c>
      <c r="H311" s="334"/>
      <c r="I311" s="335"/>
      <c r="J311" s="336"/>
      <c r="K311" s="301"/>
      <c r="L311" s="336"/>
      <c r="M311" s="301"/>
      <c r="N311" s="336"/>
      <c r="O311" s="301"/>
      <c r="P311" s="336"/>
      <c r="Q311" s="301"/>
      <c r="R311" s="336"/>
      <c r="S311" s="301"/>
      <c r="T311" s="336"/>
    </row>
    <row r="312" spans="1:20" ht="12" customHeight="1" x14ac:dyDescent="0.3">
      <c r="A312" s="329" t="s">
        <v>289</v>
      </c>
      <c r="B312" s="330">
        <v>6</v>
      </c>
      <c r="C312" s="298">
        <v>46157</v>
      </c>
      <c r="D312" s="299" t="s">
        <v>300</v>
      </c>
      <c r="E312" s="522">
        <v>14.9</v>
      </c>
      <c r="F312" s="522"/>
      <c r="G312" s="333">
        <f t="shared" si="10"/>
        <v>5314.3199999999852</v>
      </c>
      <c r="H312" s="334"/>
      <c r="I312" s="335"/>
      <c r="J312" s="336"/>
      <c r="K312" s="301"/>
      <c r="L312" s="336"/>
      <c r="M312" s="301"/>
      <c r="N312" s="336"/>
      <c r="O312" s="301"/>
      <c r="P312" s="336"/>
      <c r="Q312" s="301"/>
      <c r="R312" s="336"/>
      <c r="S312" s="301"/>
      <c r="T312" s="336"/>
    </row>
    <row r="313" spans="1:20" ht="12" customHeight="1" x14ac:dyDescent="0.3">
      <c r="A313" s="329" t="s">
        <v>291</v>
      </c>
      <c r="B313" s="330">
        <v>38</v>
      </c>
      <c r="C313" s="298">
        <v>46157</v>
      </c>
      <c r="D313" s="299" t="s">
        <v>293</v>
      </c>
      <c r="E313" s="522"/>
      <c r="F313" s="522">
        <v>4597.82</v>
      </c>
      <c r="G313" s="333">
        <f t="shared" si="10"/>
        <v>5329.2199999999848</v>
      </c>
      <c r="H313" s="334"/>
      <c r="I313" s="335"/>
      <c r="J313" s="336"/>
      <c r="K313" s="301"/>
      <c r="L313" s="336"/>
      <c r="M313" s="301"/>
      <c r="N313" s="336"/>
      <c r="O313" s="301"/>
      <c r="P313" s="336"/>
      <c r="Q313" s="301"/>
      <c r="R313" s="336"/>
      <c r="S313" s="301"/>
      <c r="T313" s="336"/>
    </row>
    <row r="314" spans="1:20" ht="12" customHeight="1" x14ac:dyDescent="0.3">
      <c r="A314" s="329" t="s">
        <v>289</v>
      </c>
      <c r="B314" s="330">
        <v>8</v>
      </c>
      <c r="C314" s="298">
        <v>46156</v>
      </c>
      <c r="D314" s="299" t="s">
        <v>867</v>
      </c>
      <c r="E314" s="522">
        <v>34.96</v>
      </c>
      <c r="F314" s="522"/>
      <c r="G314" s="333">
        <f t="shared" si="10"/>
        <v>731.39999999998463</v>
      </c>
      <c r="H314" s="334"/>
      <c r="I314" s="335"/>
      <c r="J314" s="336"/>
      <c r="K314" s="301"/>
      <c r="L314" s="336"/>
      <c r="M314" s="301"/>
      <c r="N314" s="336"/>
      <c r="O314" s="301"/>
      <c r="P314" s="336"/>
      <c r="Q314" s="301"/>
      <c r="R314" s="336"/>
      <c r="S314" s="301"/>
      <c r="T314" s="336"/>
    </row>
    <row r="315" spans="1:20" ht="12" customHeight="1" x14ac:dyDescent="0.3">
      <c r="A315" s="329" t="s">
        <v>289</v>
      </c>
      <c r="B315" s="330">
        <v>2</v>
      </c>
      <c r="C315" s="298">
        <v>46156</v>
      </c>
      <c r="D315" s="299" t="s">
        <v>408</v>
      </c>
      <c r="E315" s="522">
        <v>23.9</v>
      </c>
      <c r="F315" s="522"/>
      <c r="G315" s="333">
        <f t="shared" si="10"/>
        <v>766.35999999998467</v>
      </c>
      <c r="H315" s="334"/>
      <c r="I315" s="335"/>
      <c r="J315" s="336"/>
      <c r="K315" s="301"/>
      <c r="L315" s="336"/>
      <c r="M315" s="301"/>
      <c r="N315" s="336"/>
      <c r="O315" s="301"/>
      <c r="P315" s="336"/>
      <c r="Q315" s="301"/>
      <c r="R315" s="336"/>
      <c r="S315" s="301"/>
      <c r="T315" s="336"/>
    </row>
    <row r="316" spans="1:20" ht="12" customHeight="1" x14ac:dyDescent="0.3">
      <c r="A316" s="329" t="s">
        <v>294</v>
      </c>
      <c r="B316" s="330">
        <v>24</v>
      </c>
      <c r="C316" s="298">
        <v>46156</v>
      </c>
      <c r="D316" s="299" t="s">
        <v>860</v>
      </c>
      <c r="E316" s="522">
        <v>109.92</v>
      </c>
      <c r="F316" s="522"/>
      <c r="G316" s="333">
        <f t="shared" si="10"/>
        <v>790.25999999998464</v>
      </c>
      <c r="H316" s="334"/>
      <c r="I316" s="335"/>
      <c r="J316" s="336"/>
      <c r="K316" s="301"/>
      <c r="L316" s="336"/>
      <c r="M316" s="301"/>
      <c r="N316" s="336"/>
      <c r="O316" s="301"/>
      <c r="P316" s="336"/>
      <c r="Q316" s="301"/>
      <c r="R316" s="336"/>
      <c r="S316" s="301"/>
      <c r="T316" s="336"/>
    </row>
    <row r="317" spans="1:20" ht="12" customHeight="1" x14ac:dyDescent="0.3">
      <c r="A317" s="329" t="s">
        <v>289</v>
      </c>
      <c r="B317" s="330">
        <v>2</v>
      </c>
      <c r="C317" s="298">
        <v>46156</v>
      </c>
      <c r="D317" s="299" t="s">
        <v>334</v>
      </c>
      <c r="E317" s="522">
        <v>24.34</v>
      </c>
      <c r="F317" s="522"/>
      <c r="G317" s="333">
        <f t="shared" si="10"/>
        <v>900.1799999999846</v>
      </c>
      <c r="H317" s="334"/>
      <c r="I317" s="335"/>
      <c r="J317" s="336"/>
      <c r="K317" s="301"/>
      <c r="L317" s="336"/>
      <c r="M317" s="301"/>
      <c r="N317" s="336"/>
      <c r="O317" s="301"/>
      <c r="P317" s="336"/>
      <c r="Q317" s="301"/>
      <c r="R317" s="336"/>
      <c r="S317" s="301"/>
      <c r="T317" s="336"/>
    </row>
    <row r="318" spans="1:20" ht="12" customHeight="1" x14ac:dyDescent="0.3">
      <c r="A318" s="329" t="s">
        <v>289</v>
      </c>
      <c r="B318" s="330">
        <v>8</v>
      </c>
      <c r="C318" s="298">
        <v>46156</v>
      </c>
      <c r="D318" s="299" t="s">
        <v>846</v>
      </c>
      <c r="E318" s="522">
        <v>24.89</v>
      </c>
      <c r="F318" s="522"/>
      <c r="G318" s="333">
        <f t="shared" si="10"/>
        <v>924.51999999998463</v>
      </c>
      <c r="H318" s="334"/>
      <c r="I318" s="335"/>
      <c r="J318" s="336"/>
      <c r="K318" s="301"/>
      <c r="L318" s="336"/>
      <c r="M318" s="301"/>
      <c r="N318" s="336"/>
      <c r="O318" s="301"/>
      <c r="P318" s="336"/>
      <c r="Q318" s="301"/>
      <c r="R318" s="336"/>
      <c r="S318" s="301"/>
      <c r="T318" s="336"/>
    </row>
    <row r="319" spans="1:20" ht="12" customHeight="1" x14ac:dyDescent="0.3">
      <c r="A319" s="329" t="s">
        <v>289</v>
      </c>
      <c r="B319" s="330">
        <v>5</v>
      </c>
      <c r="C319" s="298">
        <v>46156</v>
      </c>
      <c r="D319" s="299" t="s">
        <v>846</v>
      </c>
      <c r="E319" s="522">
        <v>11.2</v>
      </c>
      <c r="F319" s="522"/>
      <c r="G319" s="333">
        <f t="shared" si="10"/>
        <v>949.40999999998462</v>
      </c>
      <c r="H319" s="334"/>
      <c r="I319" s="335"/>
      <c r="J319" s="336"/>
      <c r="K319" s="301"/>
      <c r="L319" s="336"/>
      <c r="M319" s="301"/>
      <c r="N319" s="336"/>
      <c r="O319" s="301"/>
      <c r="P319" s="336"/>
      <c r="Q319" s="301"/>
      <c r="R319" s="336"/>
      <c r="S319" s="301"/>
      <c r="T319" s="336"/>
    </row>
    <row r="320" spans="1:20" ht="12" customHeight="1" x14ac:dyDescent="0.3">
      <c r="A320" s="329" t="s">
        <v>289</v>
      </c>
      <c r="B320" s="330">
        <v>2</v>
      </c>
      <c r="C320" s="298">
        <v>46156</v>
      </c>
      <c r="D320" s="299" t="s">
        <v>324</v>
      </c>
      <c r="E320" s="522">
        <v>22.04</v>
      </c>
      <c r="F320" s="522"/>
      <c r="G320" s="333">
        <f t="shared" si="10"/>
        <v>960.60999999998467</v>
      </c>
      <c r="H320" s="334"/>
      <c r="I320" s="335"/>
      <c r="J320" s="336"/>
      <c r="K320" s="301"/>
      <c r="L320" s="336"/>
      <c r="M320" s="301"/>
      <c r="N320" s="336"/>
      <c r="O320" s="301"/>
      <c r="P320" s="336"/>
      <c r="Q320" s="301"/>
      <c r="R320" s="336"/>
      <c r="S320" s="301"/>
      <c r="T320" s="336"/>
    </row>
    <row r="321" spans="1:20" ht="12" customHeight="1" x14ac:dyDescent="0.3">
      <c r="A321" s="329" t="s">
        <v>291</v>
      </c>
      <c r="B321" s="330">
        <v>39</v>
      </c>
      <c r="C321" s="298">
        <v>46156</v>
      </c>
      <c r="D321" s="299" t="s">
        <v>292</v>
      </c>
      <c r="E321" s="522"/>
      <c r="F321" s="522">
        <v>2763.78</v>
      </c>
      <c r="G321" s="333">
        <f t="shared" si="10"/>
        <v>982.64999999998463</v>
      </c>
      <c r="H321" s="334"/>
      <c r="I321" s="335"/>
      <c r="J321" s="336"/>
      <c r="K321" s="301"/>
      <c r="L321" s="336"/>
      <c r="M321" s="301"/>
      <c r="N321" s="336"/>
      <c r="O321" s="301"/>
      <c r="P321" s="336"/>
      <c r="Q321" s="301"/>
      <c r="R321" s="336"/>
      <c r="S321" s="301"/>
      <c r="T321" s="336"/>
    </row>
    <row r="322" spans="1:20" ht="12" customHeight="1" x14ac:dyDescent="0.3">
      <c r="A322" s="329" t="s">
        <v>291</v>
      </c>
      <c r="B322" s="330">
        <v>41</v>
      </c>
      <c r="C322" s="298">
        <v>46156</v>
      </c>
      <c r="D322" s="299" t="s">
        <v>299</v>
      </c>
      <c r="E322" s="522"/>
      <c r="F322" s="522">
        <v>250</v>
      </c>
      <c r="G322" s="333">
        <f t="shared" si="10"/>
        <v>-1781.1300000000156</v>
      </c>
      <c r="H322" s="334"/>
      <c r="I322" s="335"/>
      <c r="J322" s="336"/>
      <c r="K322" s="301"/>
      <c r="L322" s="336"/>
      <c r="M322" s="301"/>
      <c r="N322" s="336"/>
      <c r="O322" s="301"/>
      <c r="P322" s="336"/>
      <c r="Q322" s="301"/>
      <c r="R322" s="336"/>
      <c r="S322" s="301"/>
      <c r="T322" s="336"/>
    </row>
    <row r="323" spans="1:20" ht="12" customHeight="1" x14ac:dyDescent="0.3">
      <c r="A323" s="329" t="s">
        <v>335</v>
      </c>
      <c r="B323" s="330" t="s">
        <v>335</v>
      </c>
      <c r="C323" s="298">
        <v>46156</v>
      </c>
      <c r="D323" s="299" t="s">
        <v>460</v>
      </c>
      <c r="E323" s="522"/>
      <c r="F323" s="522">
        <v>100</v>
      </c>
      <c r="G323" s="333">
        <f t="shared" si="10"/>
        <v>-2031.1300000000156</v>
      </c>
      <c r="H323" s="334"/>
      <c r="I323" s="335"/>
      <c r="J323" s="336"/>
      <c r="K323" s="301"/>
      <c r="L323" s="336"/>
      <c r="M323" s="301"/>
      <c r="N323" s="336"/>
      <c r="O323" s="301"/>
      <c r="P323" s="336"/>
      <c r="Q323" s="301"/>
      <c r="R323" s="336"/>
      <c r="S323" s="301"/>
      <c r="T323" s="336"/>
    </row>
    <row r="324" spans="1:20" ht="12" customHeight="1" x14ac:dyDescent="0.3">
      <c r="A324" s="329" t="s">
        <v>289</v>
      </c>
      <c r="B324" s="330">
        <v>6</v>
      </c>
      <c r="C324" s="298">
        <v>46156</v>
      </c>
      <c r="D324" s="299" t="s">
        <v>300</v>
      </c>
      <c r="E324" s="522">
        <v>13.3</v>
      </c>
      <c r="F324" s="522"/>
      <c r="G324" s="333">
        <f t="shared" si="10"/>
        <v>-2131.1300000000156</v>
      </c>
      <c r="H324" s="334"/>
      <c r="I324" s="335"/>
      <c r="J324" s="336"/>
      <c r="K324" s="301"/>
      <c r="L324" s="336"/>
      <c r="M324" s="301"/>
      <c r="N324" s="336"/>
      <c r="O324" s="301"/>
      <c r="P324" s="336"/>
      <c r="Q324" s="301"/>
      <c r="R324" s="336"/>
      <c r="S324" s="301"/>
      <c r="T324" s="336"/>
    </row>
    <row r="325" spans="1:20" ht="12" customHeight="1" x14ac:dyDescent="0.3">
      <c r="A325" s="329" t="s">
        <v>289</v>
      </c>
      <c r="B325" s="330">
        <v>2</v>
      </c>
      <c r="C325" s="298">
        <v>46155</v>
      </c>
      <c r="D325" s="299" t="s">
        <v>296</v>
      </c>
      <c r="E325" s="522">
        <v>14.67</v>
      </c>
      <c r="F325" s="522"/>
      <c r="G325" s="333">
        <f t="shared" si="10"/>
        <v>-2117.8300000000154</v>
      </c>
      <c r="H325" s="334"/>
      <c r="I325" s="335"/>
      <c r="J325" s="336"/>
      <c r="K325" s="301"/>
      <c r="L325" s="336"/>
      <c r="M325" s="301"/>
      <c r="N325" s="336"/>
      <c r="O325" s="301"/>
      <c r="P325" s="336"/>
      <c r="Q325" s="301"/>
      <c r="R325" s="336"/>
      <c r="S325" s="301"/>
      <c r="T325" s="336"/>
    </row>
    <row r="326" spans="1:20" ht="12" customHeight="1" x14ac:dyDescent="0.3">
      <c r="A326" s="329" t="s">
        <v>289</v>
      </c>
      <c r="B326" s="330">
        <v>8</v>
      </c>
      <c r="C326" s="298">
        <v>46155</v>
      </c>
      <c r="D326" s="299" t="s">
        <v>319</v>
      </c>
      <c r="E326" s="522">
        <v>22.96</v>
      </c>
      <c r="F326" s="522"/>
      <c r="G326" s="333">
        <f t="shared" si="10"/>
        <v>-2103.1600000000153</v>
      </c>
      <c r="H326" s="334"/>
      <c r="I326" s="335"/>
      <c r="J326" s="336"/>
      <c r="K326" s="301"/>
      <c r="L326" s="336"/>
      <c r="M326" s="301"/>
      <c r="N326" s="336"/>
      <c r="O326" s="301"/>
      <c r="P326" s="336"/>
      <c r="Q326" s="301"/>
      <c r="R326" s="336"/>
      <c r="S326" s="301"/>
      <c r="T326" s="336"/>
    </row>
    <row r="327" spans="1:20" ht="12" customHeight="1" x14ac:dyDescent="0.3">
      <c r="A327" s="329" t="s">
        <v>287</v>
      </c>
      <c r="B327" s="330" t="s">
        <v>287</v>
      </c>
      <c r="C327" s="298">
        <v>46155</v>
      </c>
      <c r="D327" s="299" t="s">
        <v>855</v>
      </c>
      <c r="E327" s="522">
        <v>100</v>
      </c>
      <c r="F327" s="522">
        <v>100</v>
      </c>
      <c r="G327" s="333">
        <f t="shared" si="10"/>
        <v>-2080.2000000000153</v>
      </c>
      <c r="H327" s="334"/>
      <c r="I327" s="335"/>
      <c r="J327" s="336"/>
      <c r="K327" s="301"/>
      <c r="L327" s="336"/>
      <c r="M327" s="301"/>
      <c r="N327" s="336"/>
      <c r="O327" s="301"/>
      <c r="P327" s="336"/>
      <c r="Q327" s="301"/>
      <c r="R327" s="336"/>
      <c r="S327" s="301"/>
      <c r="T327" s="336"/>
    </row>
    <row r="328" spans="1:20" ht="12" customHeight="1" x14ac:dyDescent="0.3">
      <c r="A328" s="329" t="s">
        <v>289</v>
      </c>
      <c r="B328" s="330">
        <v>4</v>
      </c>
      <c r="C328" s="298">
        <v>46154</v>
      </c>
      <c r="D328" s="299" t="s">
        <v>455</v>
      </c>
      <c r="E328" s="522">
        <v>43.14</v>
      </c>
      <c r="F328" s="522"/>
      <c r="G328" s="333">
        <f t="shared" si="10"/>
        <v>-2080.2000000000153</v>
      </c>
      <c r="H328" s="334"/>
      <c r="I328" s="335"/>
      <c r="J328" s="336"/>
      <c r="K328" s="301"/>
      <c r="L328" s="336"/>
      <c r="M328" s="301"/>
      <c r="N328" s="336"/>
      <c r="O328" s="301"/>
      <c r="P328" s="336"/>
      <c r="Q328" s="301"/>
      <c r="R328" s="336"/>
      <c r="S328" s="301"/>
      <c r="T328" s="336"/>
    </row>
    <row r="329" spans="1:20" ht="12" customHeight="1" x14ac:dyDescent="0.3">
      <c r="A329" s="329" t="s">
        <v>289</v>
      </c>
      <c r="B329" s="330">
        <v>3</v>
      </c>
      <c r="C329" s="298">
        <v>46154</v>
      </c>
      <c r="D329" s="299" t="s">
        <v>455</v>
      </c>
      <c r="E329" s="522">
        <v>7.29</v>
      </c>
      <c r="F329" s="522"/>
      <c r="G329" s="333">
        <f t="shared" si="10"/>
        <v>-2037.0600000000154</v>
      </c>
      <c r="H329" s="334"/>
      <c r="I329" s="335"/>
      <c r="J329" s="336"/>
      <c r="K329" s="301"/>
      <c r="L329" s="336"/>
      <c r="M329" s="301"/>
      <c r="N329" s="336"/>
      <c r="O329" s="301"/>
      <c r="P329" s="336"/>
      <c r="Q329" s="301"/>
      <c r="R329" s="336"/>
      <c r="S329" s="301"/>
      <c r="T329" s="336"/>
    </row>
    <row r="330" spans="1:20" ht="12" customHeight="1" x14ac:dyDescent="0.3">
      <c r="A330" s="329" t="s">
        <v>294</v>
      </c>
      <c r="B330" s="330">
        <v>19</v>
      </c>
      <c r="C330" s="298">
        <v>46154</v>
      </c>
      <c r="D330" s="299" t="s">
        <v>191</v>
      </c>
      <c r="E330" s="522">
        <v>200</v>
      </c>
      <c r="F330" s="522"/>
      <c r="G330" s="333">
        <f t="shared" si="10"/>
        <v>-2029.7700000000154</v>
      </c>
      <c r="H330" s="334"/>
      <c r="I330" s="335"/>
      <c r="J330" s="336"/>
      <c r="K330" s="301"/>
      <c r="L330" s="336"/>
      <c r="M330" s="301"/>
      <c r="N330" s="336"/>
      <c r="O330" s="301"/>
      <c r="P330" s="336"/>
      <c r="Q330" s="301"/>
      <c r="R330" s="336"/>
      <c r="S330" s="301"/>
      <c r="T330" s="336"/>
    </row>
    <row r="331" spans="1:20" ht="12" customHeight="1" x14ac:dyDescent="0.3">
      <c r="A331" s="329" t="s">
        <v>289</v>
      </c>
      <c r="B331" s="330">
        <v>6</v>
      </c>
      <c r="C331" s="298">
        <v>46154</v>
      </c>
      <c r="D331" s="299" t="s">
        <v>446</v>
      </c>
      <c r="E331" s="522">
        <v>-0.06</v>
      </c>
      <c r="F331" s="522"/>
      <c r="G331" s="333">
        <f t="shared" si="10"/>
        <v>-1829.7700000000154</v>
      </c>
      <c r="H331" s="334"/>
      <c r="I331" s="335"/>
      <c r="J331" s="336"/>
      <c r="K331" s="301"/>
      <c r="L331" s="336"/>
      <c r="M331" s="301"/>
      <c r="N331" s="336"/>
      <c r="O331" s="301"/>
      <c r="P331" s="336"/>
      <c r="Q331" s="301"/>
      <c r="R331" s="336"/>
      <c r="S331" s="301"/>
      <c r="T331" s="336"/>
    </row>
    <row r="332" spans="1:20" ht="12" customHeight="1" x14ac:dyDescent="0.3">
      <c r="A332" s="329" t="s">
        <v>289</v>
      </c>
      <c r="B332" s="330">
        <v>2</v>
      </c>
      <c r="C332" s="298">
        <v>46154</v>
      </c>
      <c r="D332" s="299" t="s">
        <v>301</v>
      </c>
      <c r="E332" s="522">
        <v>21.55</v>
      </c>
      <c r="F332" s="522"/>
      <c r="G332" s="333">
        <f t="shared" si="10"/>
        <v>-1829.8300000000154</v>
      </c>
      <c r="H332" s="334"/>
      <c r="I332" s="335"/>
      <c r="J332" s="336"/>
      <c r="K332" s="301"/>
      <c r="L332" s="336"/>
      <c r="M332" s="301"/>
      <c r="N332" s="336"/>
      <c r="O332" s="301"/>
      <c r="P332" s="336"/>
      <c r="Q332" s="301"/>
      <c r="R332" s="336"/>
      <c r="S332" s="301"/>
      <c r="T332" s="336"/>
    </row>
    <row r="333" spans="1:20" ht="12" customHeight="1" x14ac:dyDescent="0.3">
      <c r="A333" s="329" t="s">
        <v>289</v>
      </c>
      <c r="B333" s="330">
        <v>3</v>
      </c>
      <c r="C333" s="298">
        <v>46153</v>
      </c>
      <c r="D333" s="299" t="s">
        <v>296</v>
      </c>
      <c r="E333" s="522">
        <v>4.79</v>
      </c>
      <c r="F333" s="522"/>
      <c r="G333" s="333">
        <f t="shared" si="10"/>
        <v>-1808.2800000000154</v>
      </c>
      <c r="H333" s="334"/>
      <c r="I333" s="335"/>
      <c r="J333" s="336"/>
      <c r="K333" s="301"/>
      <c r="L333" s="336"/>
      <c r="M333" s="301"/>
      <c r="N333" s="336"/>
      <c r="O333" s="301"/>
      <c r="P333" s="336"/>
      <c r="Q333" s="301"/>
      <c r="R333" s="336"/>
      <c r="S333" s="301"/>
      <c r="T333" s="336"/>
    </row>
    <row r="334" spans="1:20" ht="12" customHeight="1" x14ac:dyDescent="0.3">
      <c r="A334" s="329" t="s">
        <v>289</v>
      </c>
      <c r="B334" s="330">
        <v>4</v>
      </c>
      <c r="C334" s="298">
        <v>46153</v>
      </c>
      <c r="D334" s="299" t="s">
        <v>296</v>
      </c>
      <c r="E334" s="522">
        <v>66.59</v>
      </c>
      <c r="F334" s="522"/>
      <c r="G334" s="333">
        <f t="shared" si="10"/>
        <v>-1803.4900000000155</v>
      </c>
      <c r="H334" s="334"/>
      <c r="I334" s="335"/>
      <c r="J334" s="336"/>
      <c r="K334" s="301"/>
      <c r="L334" s="336"/>
      <c r="M334" s="301"/>
      <c r="N334" s="336"/>
      <c r="O334" s="301"/>
      <c r="P334" s="336"/>
      <c r="Q334" s="301"/>
      <c r="R334" s="336"/>
      <c r="S334" s="301"/>
      <c r="T334" s="336"/>
    </row>
    <row r="335" spans="1:20" ht="12" customHeight="1" x14ac:dyDescent="0.3">
      <c r="A335" s="329" t="s">
        <v>287</v>
      </c>
      <c r="B335" s="330" t="s">
        <v>287</v>
      </c>
      <c r="C335" s="298">
        <v>46153</v>
      </c>
      <c r="D335" s="299" t="s">
        <v>843</v>
      </c>
      <c r="E335" s="522">
        <v>-51.06</v>
      </c>
      <c r="F335" s="522">
        <v>-51.06</v>
      </c>
      <c r="G335" s="333">
        <f t="shared" si="10"/>
        <v>-1736.9000000000156</v>
      </c>
      <c r="H335" s="334"/>
      <c r="I335" s="335"/>
      <c r="J335" s="336"/>
      <c r="K335" s="301"/>
      <c r="L335" s="336"/>
      <c r="M335" s="301"/>
      <c r="N335" s="336"/>
      <c r="O335" s="301"/>
      <c r="P335" s="336"/>
      <c r="Q335" s="301"/>
      <c r="R335" s="336"/>
      <c r="S335" s="301"/>
      <c r="T335" s="336"/>
    </row>
    <row r="336" spans="1:20" ht="12" customHeight="1" x14ac:dyDescent="0.3">
      <c r="A336" s="329" t="s">
        <v>294</v>
      </c>
      <c r="B336" s="330">
        <v>22</v>
      </c>
      <c r="C336" s="298">
        <v>46153</v>
      </c>
      <c r="D336" s="299" t="s">
        <v>352</v>
      </c>
      <c r="E336" s="522">
        <v>21.29</v>
      </c>
      <c r="F336" s="522"/>
      <c r="G336" s="333">
        <f t="shared" si="10"/>
        <v>-1736.9000000000156</v>
      </c>
      <c r="H336" s="334"/>
      <c r="I336" s="335"/>
      <c r="J336" s="336"/>
      <c r="K336" s="301"/>
      <c r="L336" s="336"/>
      <c r="M336" s="301"/>
      <c r="N336" s="336"/>
      <c r="O336" s="301"/>
      <c r="P336" s="336"/>
      <c r="Q336" s="301"/>
      <c r="R336" s="336"/>
      <c r="S336" s="301"/>
      <c r="T336" s="336"/>
    </row>
    <row r="337" spans="1:20" ht="12" customHeight="1" x14ac:dyDescent="0.3">
      <c r="A337" s="329" t="s">
        <v>289</v>
      </c>
      <c r="B337" s="330">
        <v>8</v>
      </c>
      <c r="C337" s="298">
        <v>46152</v>
      </c>
      <c r="D337" s="299" t="s">
        <v>319</v>
      </c>
      <c r="E337" s="522">
        <v>59.25</v>
      </c>
      <c r="F337" s="522"/>
      <c r="G337" s="333">
        <f t="shared" si="10"/>
        <v>-1715.6100000000156</v>
      </c>
      <c r="H337" s="334"/>
      <c r="I337" s="335"/>
      <c r="J337" s="336"/>
      <c r="K337" s="301"/>
      <c r="L337" s="336"/>
      <c r="M337" s="301"/>
      <c r="N337" s="336"/>
      <c r="O337" s="301"/>
      <c r="P337" s="336"/>
      <c r="Q337" s="301"/>
      <c r="R337" s="336"/>
      <c r="S337" s="301"/>
      <c r="T337" s="336"/>
    </row>
    <row r="338" spans="1:20" ht="12" customHeight="1" x14ac:dyDescent="0.3">
      <c r="A338" s="329" t="s">
        <v>289</v>
      </c>
      <c r="B338" s="330">
        <v>1</v>
      </c>
      <c r="C338" s="298">
        <v>46152</v>
      </c>
      <c r="D338" s="299" t="s">
        <v>304</v>
      </c>
      <c r="E338" s="522">
        <v>145.94999999999999</v>
      </c>
      <c r="F338" s="522"/>
      <c r="G338" s="333">
        <f t="shared" si="10"/>
        <v>-1656.3600000000156</v>
      </c>
      <c r="H338" s="334"/>
      <c r="I338" s="335"/>
      <c r="J338" s="336"/>
      <c r="K338" s="301"/>
      <c r="L338" s="336"/>
      <c r="M338" s="301"/>
      <c r="N338" s="336"/>
      <c r="O338" s="301"/>
      <c r="P338" s="336"/>
      <c r="Q338" s="301"/>
      <c r="R338" s="336"/>
      <c r="S338" s="301"/>
      <c r="T338" s="336"/>
    </row>
    <row r="339" spans="1:20" ht="12" customHeight="1" x14ac:dyDescent="0.3">
      <c r="A339" s="329" t="s">
        <v>289</v>
      </c>
      <c r="B339" s="330">
        <v>1</v>
      </c>
      <c r="C339" s="298">
        <v>46152</v>
      </c>
      <c r="D339" s="299" t="s">
        <v>311</v>
      </c>
      <c r="E339" s="522">
        <v>131.9</v>
      </c>
      <c r="F339" s="522"/>
      <c r="G339" s="333">
        <f t="shared" si="10"/>
        <v>-1510.4100000000155</v>
      </c>
      <c r="H339" s="334"/>
      <c r="I339" s="335"/>
      <c r="J339" s="336"/>
      <c r="K339" s="301"/>
      <c r="L339" s="336"/>
      <c r="M339" s="301"/>
      <c r="N339" s="336"/>
      <c r="O339" s="301"/>
      <c r="P339" s="336"/>
      <c r="Q339" s="301"/>
      <c r="R339" s="336"/>
      <c r="S339" s="301"/>
      <c r="T339" s="336"/>
    </row>
    <row r="340" spans="1:20" ht="12" customHeight="1" x14ac:dyDescent="0.3">
      <c r="A340" s="329" t="s">
        <v>289</v>
      </c>
      <c r="B340" s="330">
        <v>2</v>
      </c>
      <c r="C340" s="298">
        <v>46152</v>
      </c>
      <c r="D340" s="299" t="s">
        <v>850</v>
      </c>
      <c r="E340" s="522">
        <v>96.46</v>
      </c>
      <c r="F340" s="522"/>
      <c r="G340" s="333">
        <f t="shared" si="10"/>
        <v>-1378.5100000000155</v>
      </c>
      <c r="H340" s="334"/>
      <c r="I340" s="335"/>
      <c r="J340" s="336"/>
      <c r="K340" s="301"/>
      <c r="L340" s="336"/>
      <c r="M340" s="301"/>
      <c r="N340" s="336"/>
      <c r="O340" s="301"/>
      <c r="P340" s="336"/>
      <c r="Q340" s="301"/>
      <c r="R340" s="336"/>
      <c r="S340" s="301"/>
      <c r="T340" s="336"/>
    </row>
    <row r="341" spans="1:20" ht="12" customHeight="1" x14ac:dyDescent="0.3">
      <c r="A341" s="329" t="s">
        <v>289</v>
      </c>
      <c r="B341" s="330">
        <v>7</v>
      </c>
      <c r="C341" s="298">
        <v>46152</v>
      </c>
      <c r="D341" s="299" t="s">
        <v>851</v>
      </c>
      <c r="E341" s="522">
        <v>162</v>
      </c>
      <c r="F341" s="522"/>
      <c r="G341" s="333">
        <f t="shared" si="10"/>
        <v>-1282.0500000000154</v>
      </c>
      <c r="H341" s="334"/>
      <c r="I341" s="335"/>
      <c r="J341" s="336"/>
      <c r="K341" s="301"/>
      <c r="L341" s="336"/>
      <c r="M341" s="301"/>
      <c r="N341" s="336"/>
      <c r="O341" s="301"/>
      <c r="P341" s="336"/>
      <c r="Q341" s="301"/>
      <c r="R341" s="336"/>
      <c r="S341" s="301"/>
      <c r="T341" s="336"/>
    </row>
    <row r="342" spans="1:20" ht="12" customHeight="1" x14ac:dyDescent="0.3">
      <c r="A342" s="329" t="s">
        <v>289</v>
      </c>
      <c r="B342" s="330">
        <v>3</v>
      </c>
      <c r="C342" s="298">
        <v>46152</v>
      </c>
      <c r="D342" s="299" t="s">
        <v>348</v>
      </c>
      <c r="E342" s="522">
        <v>25</v>
      </c>
      <c r="F342" s="522"/>
      <c r="G342" s="333">
        <f t="shared" si="10"/>
        <v>-1120.0500000000154</v>
      </c>
      <c r="H342" s="334"/>
      <c r="I342" s="335"/>
      <c r="J342" s="336"/>
      <c r="K342" s="301"/>
      <c r="L342" s="336"/>
      <c r="M342" s="301"/>
      <c r="N342" s="336"/>
      <c r="O342" s="301"/>
      <c r="P342" s="336"/>
      <c r="Q342" s="301"/>
      <c r="R342" s="336"/>
      <c r="S342" s="301"/>
      <c r="T342" s="336"/>
    </row>
    <row r="343" spans="1:20" ht="12" customHeight="1" x14ac:dyDescent="0.3">
      <c r="A343" s="329" t="s">
        <v>289</v>
      </c>
      <c r="B343" s="330">
        <v>2</v>
      </c>
      <c r="C343" s="298">
        <v>46151</v>
      </c>
      <c r="D343" s="299" t="s">
        <v>852</v>
      </c>
      <c r="E343" s="522">
        <v>35.83</v>
      </c>
      <c r="F343" s="522"/>
      <c r="G343" s="333">
        <f t="shared" si="10"/>
        <v>-1095.0500000000154</v>
      </c>
      <c r="H343" s="334"/>
      <c r="I343" s="335"/>
      <c r="J343" s="336"/>
      <c r="K343" s="301"/>
      <c r="L343" s="336"/>
      <c r="M343" s="301"/>
      <c r="N343" s="336"/>
      <c r="O343" s="301"/>
      <c r="P343" s="336"/>
      <c r="Q343" s="301"/>
      <c r="R343" s="336"/>
      <c r="S343" s="301"/>
      <c r="T343" s="336"/>
    </row>
    <row r="344" spans="1:20" ht="12" customHeight="1" x14ac:dyDescent="0.3">
      <c r="A344" s="329" t="s">
        <v>289</v>
      </c>
      <c r="B344" s="330">
        <v>4</v>
      </c>
      <c r="C344" s="298">
        <v>46151</v>
      </c>
      <c r="D344" s="299" t="s">
        <v>310</v>
      </c>
      <c r="E344" s="522">
        <v>50.58</v>
      </c>
      <c r="F344" s="522"/>
      <c r="G344" s="333">
        <f t="shared" si="10"/>
        <v>-1059.2200000000155</v>
      </c>
      <c r="H344" s="334"/>
      <c r="I344" s="335"/>
      <c r="J344" s="336"/>
      <c r="K344" s="301"/>
      <c r="L344" s="336"/>
      <c r="M344" s="301"/>
      <c r="N344" s="336"/>
      <c r="O344" s="301"/>
      <c r="P344" s="336"/>
      <c r="Q344" s="301"/>
      <c r="R344" s="336"/>
      <c r="S344" s="301"/>
      <c r="T344" s="336"/>
    </row>
    <row r="345" spans="1:20" ht="12" customHeight="1" x14ac:dyDescent="0.3">
      <c r="A345" s="329" t="s">
        <v>289</v>
      </c>
      <c r="B345" s="330">
        <v>2</v>
      </c>
      <c r="C345" s="298">
        <v>46151</v>
      </c>
      <c r="D345" s="299" t="s">
        <v>853</v>
      </c>
      <c r="E345" s="522">
        <v>20.65</v>
      </c>
      <c r="F345" s="522"/>
      <c r="G345" s="333">
        <f t="shared" si="10"/>
        <v>-1008.6400000000156</v>
      </c>
      <c r="H345" s="334"/>
      <c r="I345" s="335"/>
      <c r="J345" s="336"/>
      <c r="K345" s="301"/>
      <c r="L345" s="336"/>
      <c r="M345" s="301"/>
      <c r="N345" s="336"/>
      <c r="O345" s="301"/>
      <c r="P345" s="336"/>
      <c r="Q345" s="301"/>
      <c r="R345" s="336"/>
      <c r="S345" s="301"/>
      <c r="T345" s="336"/>
    </row>
    <row r="346" spans="1:20" ht="12" customHeight="1" x14ac:dyDescent="0.3">
      <c r="A346" s="329" t="s">
        <v>289</v>
      </c>
      <c r="B346" s="330">
        <v>8</v>
      </c>
      <c r="C346" s="298">
        <v>46151</v>
      </c>
      <c r="D346" s="299" t="s">
        <v>319</v>
      </c>
      <c r="E346" s="522">
        <v>38.770000000000003</v>
      </c>
      <c r="F346" s="522"/>
      <c r="G346" s="333">
        <f t="shared" si="10"/>
        <v>-987.99000000001558</v>
      </c>
      <c r="H346" s="334"/>
      <c r="I346" s="335"/>
      <c r="J346" s="336"/>
      <c r="K346" s="301"/>
      <c r="L346" s="336"/>
      <c r="M346" s="301"/>
      <c r="N346" s="336"/>
      <c r="O346" s="301"/>
      <c r="P346" s="336"/>
      <c r="Q346" s="301"/>
      <c r="R346" s="336"/>
      <c r="S346" s="301"/>
      <c r="T346" s="336"/>
    </row>
    <row r="347" spans="1:20" ht="12" customHeight="1" x14ac:dyDescent="0.3">
      <c r="A347" s="329" t="s">
        <v>287</v>
      </c>
      <c r="B347" s="330" t="s">
        <v>287</v>
      </c>
      <c r="C347" s="298">
        <v>46151</v>
      </c>
      <c r="D347" s="299" t="s">
        <v>843</v>
      </c>
      <c r="E347" s="522">
        <v>383.63</v>
      </c>
      <c r="F347" s="522">
        <v>383.63</v>
      </c>
      <c r="G347" s="333">
        <f t="shared" si="10"/>
        <v>-949.2200000000156</v>
      </c>
      <c r="H347" s="334"/>
      <c r="I347" s="335"/>
      <c r="J347" s="336"/>
      <c r="K347" s="301"/>
      <c r="L347" s="336"/>
      <c r="M347" s="301"/>
      <c r="N347" s="336"/>
      <c r="O347" s="301"/>
      <c r="P347" s="336"/>
      <c r="Q347" s="301"/>
      <c r="R347" s="336"/>
      <c r="S347" s="301"/>
      <c r="T347" s="336"/>
    </row>
    <row r="348" spans="1:20" ht="12" customHeight="1" x14ac:dyDescent="0.3">
      <c r="A348" s="329" t="s">
        <v>289</v>
      </c>
      <c r="B348" s="330">
        <v>5</v>
      </c>
      <c r="C348" s="298">
        <v>46151</v>
      </c>
      <c r="D348" s="299" t="s">
        <v>854</v>
      </c>
      <c r="E348" s="522">
        <v>10.68</v>
      </c>
      <c r="F348" s="522"/>
      <c r="G348" s="333">
        <f t="shared" si="10"/>
        <v>-949.2200000000156</v>
      </c>
      <c r="H348" s="334"/>
      <c r="I348" s="335"/>
      <c r="J348" s="336"/>
      <c r="K348" s="301"/>
      <c r="L348" s="336"/>
      <c r="M348" s="301"/>
      <c r="N348" s="336"/>
      <c r="O348" s="301"/>
      <c r="P348" s="336"/>
      <c r="Q348" s="301"/>
      <c r="R348" s="336"/>
      <c r="S348" s="301"/>
      <c r="T348" s="336"/>
    </row>
    <row r="349" spans="1:20" ht="12" customHeight="1" x14ac:dyDescent="0.3">
      <c r="A349" s="329" t="s">
        <v>289</v>
      </c>
      <c r="B349" s="330">
        <v>3</v>
      </c>
      <c r="C349" s="298">
        <v>46151</v>
      </c>
      <c r="D349" s="299" t="s">
        <v>348</v>
      </c>
      <c r="E349" s="522">
        <v>9.35</v>
      </c>
      <c r="F349" s="522"/>
      <c r="G349" s="333">
        <f t="shared" si="10"/>
        <v>-938.54000000001565</v>
      </c>
      <c r="H349" s="334"/>
      <c r="I349" s="335"/>
      <c r="J349" s="336"/>
      <c r="K349" s="301"/>
      <c r="L349" s="336"/>
      <c r="M349" s="301"/>
      <c r="N349" s="336"/>
      <c r="O349" s="301"/>
      <c r="P349" s="336"/>
      <c r="Q349" s="301"/>
      <c r="R349" s="336"/>
      <c r="S349" s="301"/>
      <c r="T349" s="336"/>
    </row>
    <row r="350" spans="1:20" ht="12" customHeight="1" x14ac:dyDescent="0.3">
      <c r="A350" s="329" t="s">
        <v>287</v>
      </c>
      <c r="B350" s="330" t="s">
        <v>287</v>
      </c>
      <c r="C350" s="298">
        <v>46151</v>
      </c>
      <c r="D350" s="299" t="s">
        <v>331</v>
      </c>
      <c r="E350" s="522">
        <v>-150.9</v>
      </c>
      <c r="F350" s="522">
        <v>-150.9</v>
      </c>
      <c r="G350" s="333">
        <f t="shared" si="10"/>
        <v>-929.19000000001563</v>
      </c>
      <c r="H350" s="334"/>
      <c r="I350" s="335"/>
      <c r="J350" s="336"/>
      <c r="K350" s="301"/>
      <c r="L350" s="336"/>
      <c r="M350" s="301"/>
      <c r="N350" s="336"/>
      <c r="O350" s="301"/>
      <c r="P350" s="336"/>
      <c r="Q350" s="301"/>
      <c r="R350" s="336"/>
      <c r="S350" s="301"/>
      <c r="T350" s="336"/>
    </row>
    <row r="351" spans="1:20" ht="12" customHeight="1" x14ac:dyDescent="0.3">
      <c r="A351" s="329" t="s">
        <v>287</v>
      </c>
      <c r="B351" s="330" t="s">
        <v>287</v>
      </c>
      <c r="C351" s="298">
        <v>46151</v>
      </c>
      <c r="D351" s="299" t="s">
        <v>847</v>
      </c>
      <c r="E351" s="522">
        <v>557.9</v>
      </c>
      <c r="F351" s="522">
        <v>557.9</v>
      </c>
      <c r="G351" s="333">
        <f t="shared" si="10"/>
        <v>-929.19000000001563</v>
      </c>
      <c r="H351" s="334"/>
      <c r="I351" s="335"/>
      <c r="J351" s="336"/>
      <c r="K351" s="301"/>
      <c r="L351" s="336"/>
      <c r="M351" s="301"/>
      <c r="N351" s="336"/>
      <c r="O351" s="301"/>
      <c r="P351" s="336"/>
      <c r="Q351" s="301"/>
      <c r="R351" s="336"/>
      <c r="S351" s="301"/>
      <c r="T351" s="336"/>
    </row>
    <row r="352" spans="1:20" ht="12" customHeight="1" x14ac:dyDescent="0.3">
      <c r="A352" s="329" t="s">
        <v>294</v>
      </c>
      <c r="B352" s="330">
        <v>18</v>
      </c>
      <c r="C352" s="298">
        <v>46150</v>
      </c>
      <c r="D352" s="299" t="s">
        <v>361</v>
      </c>
      <c r="E352" s="522">
        <v>400</v>
      </c>
      <c r="F352" s="522"/>
      <c r="G352" s="333">
        <f t="shared" si="10"/>
        <v>-929.19000000001574</v>
      </c>
      <c r="H352" s="334"/>
      <c r="I352" s="335"/>
      <c r="J352" s="336"/>
      <c r="K352" s="301"/>
      <c r="L352" s="336"/>
      <c r="M352" s="301"/>
      <c r="N352" s="336"/>
      <c r="O352" s="301"/>
      <c r="P352" s="336"/>
      <c r="Q352" s="301"/>
      <c r="R352" s="336"/>
      <c r="S352" s="301"/>
      <c r="T352" s="336"/>
    </row>
    <row r="353" spans="1:20" ht="12" customHeight="1" x14ac:dyDescent="0.3">
      <c r="A353" s="329" t="s">
        <v>287</v>
      </c>
      <c r="B353" s="330" t="s">
        <v>287</v>
      </c>
      <c r="C353" s="298">
        <v>46150</v>
      </c>
      <c r="D353" s="299" t="s">
        <v>842</v>
      </c>
      <c r="E353" s="522">
        <v>200</v>
      </c>
      <c r="F353" s="522">
        <v>200</v>
      </c>
      <c r="G353" s="333">
        <f t="shared" si="10"/>
        <v>-529.19000000001574</v>
      </c>
      <c r="H353" s="334"/>
      <c r="I353" s="335"/>
      <c r="J353" s="336"/>
      <c r="K353" s="301"/>
      <c r="L353" s="336"/>
      <c r="M353" s="301"/>
      <c r="N353" s="336"/>
      <c r="O353" s="301"/>
      <c r="P353" s="336"/>
      <c r="Q353" s="301"/>
      <c r="R353" s="336"/>
      <c r="S353" s="301"/>
      <c r="T353" s="336"/>
    </row>
    <row r="354" spans="1:20" ht="12" customHeight="1" x14ac:dyDescent="0.3">
      <c r="A354" s="329" t="s">
        <v>289</v>
      </c>
      <c r="B354" s="330">
        <v>2</v>
      </c>
      <c r="C354" s="298">
        <v>46150</v>
      </c>
      <c r="D354" s="299" t="s">
        <v>473</v>
      </c>
      <c r="E354" s="522">
        <v>52.78</v>
      </c>
      <c r="F354" s="522"/>
      <c r="G354" s="333">
        <f t="shared" si="10"/>
        <v>-529.19000000001574</v>
      </c>
      <c r="H354" s="334"/>
      <c r="I354" s="335"/>
      <c r="J354" s="336"/>
      <c r="K354" s="301"/>
      <c r="L354" s="336"/>
      <c r="M354" s="301"/>
      <c r="N354" s="336"/>
      <c r="O354" s="301"/>
      <c r="P354" s="336"/>
      <c r="Q354" s="301"/>
      <c r="R354" s="336"/>
      <c r="S354" s="301"/>
      <c r="T354" s="336"/>
    </row>
    <row r="355" spans="1:20" ht="12" customHeight="1" x14ac:dyDescent="0.3">
      <c r="A355" s="329" t="s">
        <v>287</v>
      </c>
      <c r="B355" s="330" t="s">
        <v>287</v>
      </c>
      <c r="C355" s="298">
        <v>46150</v>
      </c>
      <c r="D355" s="299" t="s">
        <v>848</v>
      </c>
      <c r="E355" s="522">
        <v>137.07</v>
      </c>
      <c r="F355" s="522">
        <v>137.07</v>
      </c>
      <c r="G355" s="333">
        <f t="shared" si="10"/>
        <v>-476.41000000001571</v>
      </c>
      <c r="H355" s="334"/>
      <c r="I355" s="335"/>
      <c r="J355" s="336"/>
      <c r="K355" s="301"/>
      <c r="L355" s="336"/>
      <c r="M355" s="301"/>
      <c r="N355" s="336"/>
      <c r="O355" s="301"/>
      <c r="P355" s="336"/>
      <c r="Q355" s="301"/>
      <c r="R355" s="336"/>
      <c r="S355" s="301"/>
      <c r="T355" s="336"/>
    </row>
    <row r="356" spans="1:20" ht="12" customHeight="1" x14ac:dyDescent="0.3">
      <c r="A356" s="329" t="s">
        <v>289</v>
      </c>
      <c r="B356" s="330">
        <v>2</v>
      </c>
      <c r="C356" s="298">
        <v>46150</v>
      </c>
      <c r="D356" s="299" t="s">
        <v>358</v>
      </c>
      <c r="E356" s="522">
        <v>17.440000000000001</v>
      </c>
      <c r="F356" s="522"/>
      <c r="G356" s="333">
        <f t="shared" si="10"/>
        <v>-476.41000000001566</v>
      </c>
      <c r="H356" s="334"/>
      <c r="I356" s="335"/>
      <c r="J356" s="336"/>
      <c r="K356" s="301"/>
      <c r="L356" s="336"/>
      <c r="M356" s="301"/>
      <c r="N356" s="336"/>
      <c r="O356" s="301"/>
      <c r="P356" s="336"/>
      <c r="Q356" s="301"/>
      <c r="R356" s="336"/>
      <c r="S356" s="301"/>
      <c r="T356" s="336"/>
    </row>
    <row r="357" spans="1:20" ht="12" customHeight="1" x14ac:dyDescent="0.3">
      <c r="A357" s="329" t="s">
        <v>287</v>
      </c>
      <c r="B357" s="330" t="s">
        <v>287</v>
      </c>
      <c r="C357" s="298">
        <v>46150</v>
      </c>
      <c r="D357" s="299" t="s">
        <v>849</v>
      </c>
      <c r="E357" s="522">
        <v>359.81</v>
      </c>
      <c r="F357" s="522">
        <v>359.81</v>
      </c>
      <c r="G357" s="333">
        <f t="shared" si="10"/>
        <v>-458.97000000001566</v>
      </c>
      <c r="H357" s="334"/>
      <c r="I357" s="335"/>
      <c r="J357" s="336"/>
      <c r="K357" s="301"/>
      <c r="L357" s="336"/>
      <c r="M357" s="301"/>
      <c r="N357" s="336"/>
      <c r="O357" s="301"/>
      <c r="P357" s="336"/>
      <c r="Q357" s="301"/>
      <c r="R357" s="336"/>
      <c r="S357" s="301"/>
      <c r="T357" s="336"/>
    </row>
    <row r="358" spans="1:20" ht="12" customHeight="1" x14ac:dyDescent="0.3">
      <c r="A358" s="329" t="s">
        <v>289</v>
      </c>
      <c r="B358" s="330">
        <v>8</v>
      </c>
      <c r="C358" s="298">
        <v>46149</v>
      </c>
      <c r="D358" s="299" t="s">
        <v>846</v>
      </c>
      <c r="E358" s="522">
        <v>23.7</v>
      </c>
      <c r="F358" s="522"/>
      <c r="G358" s="333">
        <f t="shared" si="10"/>
        <v>-458.97000000001566</v>
      </c>
      <c r="H358" s="334"/>
      <c r="I358" s="335"/>
      <c r="J358" s="336"/>
      <c r="K358" s="301"/>
      <c r="L358" s="336"/>
      <c r="M358" s="301"/>
      <c r="N358" s="336"/>
      <c r="O358" s="301"/>
      <c r="P358" s="336"/>
      <c r="Q358" s="301"/>
      <c r="R358" s="336"/>
      <c r="S358" s="301"/>
      <c r="T358" s="336"/>
    </row>
    <row r="359" spans="1:20" ht="12" customHeight="1" x14ac:dyDescent="0.3">
      <c r="A359" s="329" t="s">
        <v>289</v>
      </c>
      <c r="B359" s="330">
        <v>2</v>
      </c>
      <c r="C359" s="298">
        <v>46149</v>
      </c>
      <c r="D359" s="299" t="s">
        <v>371</v>
      </c>
      <c r="E359" s="522">
        <v>13.43</v>
      </c>
      <c r="F359" s="522"/>
      <c r="G359" s="333">
        <f t="shared" si="10"/>
        <v>-435.27000000001567</v>
      </c>
      <c r="H359" s="334"/>
      <c r="I359" s="335"/>
      <c r="J359" s="336"/>
      <c r="K359" s="301"/>
      <c r="L359" s="336"/>
      <c r="M359" s="301"/>
      <c r="N359" s="336"/>
      <c r="O359" s="301"/>
      <c r="P359" s="336"/>
      <c r="Q359" s="301"/>
      <c r="R359" s="336"/>
      <c r="S359" s="301"/>
      <c r="T359" s="336"/>
    </row>
    <row r="360" spans="1:20" ht="12" customHeight="1" x14ac:dyDescent="0.3">
      <c r="A360" s="329" t="s">
        <v>294</v>
      </c>
      <c r="B360" s="330">
        <v>13</v>
      </c>
      <c r="C360" s="298">
        <v>46149</v>
      </c>
      <c r="D360" s="299" t="s">
        <v>182</v>
      </c>
      <c r="E360" s="522">
        <v>122.18</v>
      </c>
      <c r="F360" s="522"/>
      <c r="G360" s="333">
        <f t="shared" si="10"/>
        <v>-421.84000000001566</v>
      </c>
      <c r="H360" s="334"/>
      <c r="I360" s="335"/>
      <c r="J360" s="336"/>
      <c r="K360" s="301"/>
      <c r="L360" s="336"/>
      <c r="M360" s="301"/>
      <c r="N360" s="336"/>
      <c r="O360" s="301"/>
      <c r="P360" s="336"/>
      <c r="Q360" s="301"/>
      <c r="R360" s="336"/>
      <c r="S360" s="301"/>
      <c r="T360" s="336"/>
    </row>
    <row r="361" spans="1:20" ht="12" customHeight="1" x14ac:dyDescent="0.3">
      <c r="A361" s="329" t="s">
        <v>335</v>
      </c>
      <c r="B361" s="330" t="s">
        <v>335</v>
      </c>
      <c r="C361" s="298">
        <v>46149</v>
      </c>
      <c r="D361" s="299" t="s">
        <v>447</v>
      </c>
      <c r="E361" s="522">
        <v>43.62</v>
      </c>
      <c r="F361" s="522"/>
      <c r="G361" s="333">
        <f t="shared" si="10"/>
        <v>-299.66000000001566</v>
      </c>
      <c r="H361" s="334"/>
      <c r="I361" s="335"/>
      <c r="J361" s="336"/>
      <c r="K361" s="301"/>
      <c r="L361" s="336"/>
      <c r="M361" s="301"/>
      <c r="N361" s="336"/>
      <c r="O361" s="301"/>
      <c r="P361" s="336"/>
      <c r="Q361" s="301"/>
      <c r="R361" s="336"/>
      <c r="S361" s="301"/>
      <c r="T361" s="336"/>
    </row>
    <row r="362" spans="1:20" ht="12" customHeight="1" x14ac:dyDescent="0.3">
      <c r="A362" s="329" t="s">
        <v>294</v>
      </c>
      <c r="B362" s="330">
        <v>9</v>
      </c>
      <c r="C362" s="298">
        <v>46149</v>
      </c>
      <c r="D362" s="299" t="s">
        <v>58</v>
      </c>
      <c r="E362" s="522">
        <v>1231.68</v>
      </c>
      <c r="F362" s="522"/>
      <c r="G362" s="333">
        <f t="shared" si="10"/>
        <v>-256.04000000001565</v>
      </c>
      <c r="H362" s="334"/>
      <c r="I362" s="335"/>
      <c r="J362" s="336"/>
      <c r="K362" s="301"/>
      <c r="L362" s="336"/>
      <c r="M362" s="301"/>
      <c r="N362" s="336"/>
      <c r="O362" s="301"/>
      <c r="P362" s="336"/>
      <c r="Q362" s="301"/>
      <c r="R362" s="336"/>
      <c r="S362" s="301"/>
      <c r="T362" s="336"/>
    </row>
    <row r="363" spans="1:20" ht="12" customHeight="1" x14ac:dyDescent="0.3">
      <c r="A363" s="329" t="s">
        <v>289</v>
      </c>
      <c r="B363" s="330">
        <v>3</v>
      </c>
      <c r="C363" s="298">
        <v>46149</v>
      </c>
      <c r="D363" s="299" t="s">
        <v>309</v>
      </c>
      <c r="E363" s="522">
        <v>4.49</v>
      </c>
      <c r="F363" s="522"/>
      <c r="G363" s="333">
        <f t="shared" si="10"/>
        <v>975.63999999998441</v>
      </c>
      <c r="H363" s="334"/>
      <c r="I363" s="335"/>
      <c r="J363" s="336"/>
      <c r="K363" s="301"/>
      <c r="L363" s="336"/>
      <c r="M363" s="301"/>
      <c r="N363" s="336"/>
      <c r="O363" s="301"/>
      <c r="P363" s="336"/>
      <c r="Q363" s="301"/>
      <c r="R363" s="336"/>
      <c r="S363" s="301"/>
      <c r="T363" s="336"/>
    </row>
    <row r="364" spans="1:20" ht="12" customHeight="1" x14ac:dyDescent="0.3">
      <c r="A364" s="329" t="s">
        <v>289</v>
      </c>
      <c r="B364" s="330">
        <v>5</v>
      </c>
      <c r="C364" s="298">
        <v>46149</v>
      </c>
      <c r="D364" s="299" t="s">
        <v>846</v>
      </c>
      <c r="E364" s="522">
        <v>19.2</v>
      </c>
      <c r="F364" s="522"/>
      <c r="G364" s="333">
        <f t="shared" si="10"/>
        <v>980.12999999998442</v>
      </c>
      <c r="H364" s="334"/>
      <c r="I364" s="335"/>
      <c r="J364" s="336"/>
      <c r="K364" s="301"/>
      <c r="L364" s="336"/>
      <c r="M364" s="301"/>
      <c r="N364" s="336"/>
      <c r="O364" s="301"/>
      <c r="P364" s="336"/>
      <c r="Q364" s="301"/>
      <c r="R364" s="336"/>
      <c r="S364" s="301"/>
      <c r="T364" s="336"/>
    </row>
    <row r="365" spans="1:20" ht="12" customHeight="1" x14ac:dyDescent="0.3">
      <c r="A365" s="329" t="s">
        <v>289</v>
      </c>
      <c r="B365" s="330">
        <v>8</v>
      </c>
      <c r="C365" s="298">
        <v>46149</v>
      </c>
      <c r="D365" s="299" t="s">
        <v>846</v>
      </c>
      <c r="E365" s="522">
        <v>35</v>
      </c>
      <c r="F365" s="522"/>
      <c r="G365" s="333">
        <f t="shared" si="10"/>
        <v>999.32999999998447</v>
      </c>
      <c r="H365" s="334"/>
      <c r="I365" s="335"/>
      <c r="J365" s="336"/>
      <c r="K365" s="301"/>
      <c r="L365" s="336"/>
      <c r="M365" s="301"/>
      <c r="N365" s="336"/>
      <c r="O365" s="301"/>
      <c r="P365" s="336"/>
      <c r="Q365" s="301"/>
      <c r="R365" s="336"/>
      <c r="S365" s="301"/>
      <c r="T365" s="336"/>
    </row>
    <row r="366" spans="1:20" ht="12" customHeight="1" x14ac:dyDescent="0.3">
      <c r="A366" s="329" t="s">
        <v>289</v>
      </c>
      <c r="B366" s="330">
        <v>8</v>
      </c>
      <c r="C366" s="298">
        <v>46149</v>
      </c>
      <c r="D366" s="299" t="s">
        <v>319</v>
      </c>
      <c r="E366" s="522">
        <v>15.93</v>
      </c>
      <c r="F366" s="522"/>
      <c r="G366" s="333">
        <f t="shared" si="10"/>
        <v>1034.3299999999845</v>
      </c>
      <c r="H366" s="334"/>
      <c r="I366" s="335"/>
      <c r="J366" s="336"/>
      <c r="K366" s="301"/>
      <c r="L366" s="336"/>
      <c r="M366" s="301"/>
      <c r="N366" s="336"/>
      <c r="O366" s="301"/>
      <c r="P366" s="336"/>
      <c r="Q366" s="301"/>
      <c r="R366" s="336"/>
      <c r="S366" s="301"/>
      <c r="T366" s="336"/>
    </row>
    <row r="367" spans="1:20" ht="12" customHeight="1" x14ac:dyDescent="0.3">
      <c r="A367" s="329" t="s">
        <v>289</v>
      </c>
      <c r="B367" s="330">
        <v>2</v>
      </c>
      <c r="C367" s="298">
        <v>46149</v>
      </c>
      <c r="D367" s="299" t="s">
        <v>296</v>
      </c>
      <c r="E367" s="522">
        <v>11.18</v>
      </c>
      <c r="F367" s="522"/>
      <c r="G367" s="333">
        <f t="shared" si="10"/>
        <v>1050.2599999999845</v>
      </c>
      <c r="H367" s="334"/>
      <c r="I367" s="335"/>
      <c r="J367" s="336"/>
      <c r="K367" s="301"/>
      <c r="L367" s="336"/>
      <c r="M367" s="301"/>
      <c r="N367" s="336"/>
      <c r="O367" s="301"/>
      <c r="P367" s="336"/>
      <c r="Q367" s="301"/>
      <c r="R367" s="336"/>
      <c r="S367" s="301"/>
      <c r="T367" s="336"/>
    </row>
    <row r="368" spans="1:20" ht="12" customHeight="1" x14ac:dyDescent="0.3">
      <c r="A368" s="329" t="s">
        <v>289</v>
      </c>
      <c r="B368" s="330">
        <v>2</v>
      </c>
      <c r="C368" s="298">
        <v>46149</v>
      </c>
      <c r="D368" s="299" t="s">
        <v>301</v>
      </c>
      <c r="E368" s="522">
        <v>16.05</v>
      </c>
      <c r="F368" s="522"/>
      <c r="G368" s="333">
        <f t="shared" ref="G368:G407" si="11">G369-E368+F368</f>
        <v>1061.4399999999846</v>
      </c>
      <c r="H368" s="334"/>
      <c r="I368" s="335"/>
      <c r="J368" s="336"/>
      <c r="K368" s="301"/>
      <c r="L368" s="336"/>
      <c r="M368" s="301"/>
      <c r="N368" s="336"/>
      <c r="O368" s="301"/>
      <c r="P368" s="336"/>
      <c r="Q368" s="301"/>
      <c r="R368" s="336"/>
      <c r="S368" s="301"/>
      <c r="T368" s="336"/>
    </row>
    <row r="369" spans="1:20" ht="12" customHeight="1" x14ac:dyDescent="0.3">
      <c r="A369" s="329" t="s">
        <v>289</v>
      </c>
      <c r="B369" s="330">
        <v>5</v>
      </c>
      <c r="C369" s="298">
        <v>46148</v>
      </c>
      <c r="D369" s="299" t="s">
        <v>340</v>
      </c>
      <c r="E369" s="522">
        <v>47.93</v>
      </c>
      <c r="F369" s="522"/>
      <c r="G369" s="333">
        <f t="shared" si="11"/>
        <v>1077.4899999999845</v>
      </c>
      <c r="H369" s="334"/>
      <c r="I369" s="335"/>
      <c r="J369" s="336"/>
      <c r="K369" s="301"/>
      <c r="L369" s="336"/>
      <c r="M369" s="301"/>
      <c r="N369" s="336"/>
      <c r="O369" s="301"/>
      <c r="P369" s="336"/>
      <c r="Q369" s="301"/>
      <c r="R369" s="336"/>
      <c r="S369" s="301"/>
      <c r="T369" s="336"/>
    </row>
    <row r="370" spans="1:20" ht="12" customHeight="1" x14ac:dyDescent="0.3">
      <c r="A370" s="329" t="s">
        <v>294</v>
      </c>
      <c r="B370" s="330">
        <v>14</v>
      </c>
      <c r="C370" s="298">
        <v>46148</v>
      </c>
      <c r="D370" s="299" t="s">
        <v>366</v>
      </c>
      <c r="E370" s="522">
        <v>66.67</v>
      </c>
      <c r="F370" s="522"/>
      <c r="G370" s="333">
        <f t="shared" si="11"/>
        <v>1125.4199999999846</v>
      </c>
      <c r="H370" s="334"/>
      <c r="I370" s="335"/>
      <c r="J370" s="336"/>
      <c r="K370" s="301"/>
      <c r="L370" s="336"/>
      <c r="M370" s="301"/>
      <c r="N370" s="336"/>
      <c r="O370" s="301"/>
      <c r="P370" s="336"/>
      <c r="Q370" s="301"/>
      <c r="R370" s="336"/>
      <c r="S370" s="301"/>
      <c r="T370" s="336"/>
    </row>
    <row r="371" spans="1:20" ht="12" customHeight="1" x14ac:dyDescent="0.3">
      <c r="A371" s="329" t="s">
        <v>289</v>
      </c>
      <c r="B371" s="330">
        <v>8</v>
      </c>
      <c r="C371" s="298">
        <v>46148</v>
      </c>
      <c r="D371" s="299" t="s">
        <v>319</v>
      </c>
      <c r="E371" s="522">
        <v>19.14</v>
      </c>
      <c r="F371" s="522"/>
      <c r="G371" s="333">
        <f t="shared" si="11"/>
        <v>1192.0899999999847</v>
      </c>
      <c r="H371" s="334"/>
      <c r="I371" s="335"/>
      <c r="J371" s="336"/>
      <c r="K371" s="301"/>
      <c r="L371" s="336"/>
      <c r="M371" s="301"/>
      <c r="N371" s="336"/>
      <c r="O371" s="301"/>
      <c r="P371" s="336"/>
      <c r="Q371" s="301"/>
      <c r="R371" s="336"/>
      <c r="S371" s="301"/>
      <c r="T371" s="336"/>
    </row>
    <row r="372" spans="1:20" ht="12" customHeight="1" x14ac:dyDescent="0.3">
      <c r="A372" s="329" t="s">
        <v>289</v>
      </c>
      <c r="B372" s="330">
        <v>4</v>
      </c>
      <c r="C372" s="298">
        <v>46148</v>
      </c>
      <c r="D372" s="299" t="s">
        <v>310</v>
      </c>
      <c r="E372" s="522">
        <v>103.69</v>
      </c>
      <c r="F372" s="522"/>
      <c r="G372" s="333">
        <f t="shared" si="11"/>
        <v>1211.2299999999848</v>
      </c>
      <c r="H372" s="334"/>
      <c r="I372" s="335"/>
      <c r="J372" s="336"/>
      <c r="K372" s="301"/>
      <c r="L372" s="336"/>
      <c r="M372" s="301"/>
      <c r="N372" s="336"/>
      <c r="O372" s="301"/>
      <c r="P372" s="336"/>
      <c r="Q372" s="301"/>
      <c r="R372" s="336"/>
      <c r="S372" s="301"/>
      <c r="T372" s="336"/>
    </row>
    <row r="373" spans="1:20" ht="12" customHeight="1" x14ac:dyDescent="0.3">
      <c r="A373" s="329" t="s">
        <v>287</v>
      </c>
      <c r="B373" s="330" t="s">
        <v>287</v>
      </c>
      <c r="C373" s="298">
        <v>46148</v>
      </c>
      <c r="D373" s="299" t="s">
        <v>843</v>
      </c>
      <c r="E373" s="522">
        <v>513.29999999999995</v>
      </c>
      <c r="F373" s="522">
        <v>513.29999999999995</v>
      </c>
      <c r="G373" s="333">
        <f t="shared" si="11"/>
        <v>1314.9199999999848</v>
      </c>
      <c r="H373" s="334"/>
      <c r="I373" s="335"/>
      <c r="J373" s="336"/>
      <c r="K373" s="301"/>
      <c r="L373" s="336"/>
      <c r="M373" s="301"/>
      <c r="N373" s="336"/>
      <c r="O373" s="301"/>
      <c r="P373" s="336"/>
      <c r="Q373" s="301"/>
      <c r="R373" s="336"/>
      <c r="S373" s="301"/>
      <c r="T373" s="336"/>
    </row>
    <row r="374" spans="1:20" ht="12" customHeight="1" x14ac:dyDescent="0.3">
      <c r="A374" s="329" t="s">
        <v>289</v>
      </c>
      <c r="B374" s="330">
        <v>6</v>
      </c>
      <c r="C374" s="298">
        <v>46148</v>
      </c>
      <c r="D374" s="299" t="s">
        <v>300</v>
      </c>
      <c r="E374" s="522">
        <v>41.52</v>
      </c>
      <c r="F374" s="522"/>
      <c r="G374" s="333">
        <f t="shared" si="11"/>
        <v>1314.9199999999848</v>
      </c>
      <c r="H374" s="334"/>
      <c r="I374" s="335"/>
      <c r="J374" s="336"/>
      <c r="K374" s="301"/>
      <c r="L374" s="336"/>
      <c r="M374" s="301"/>
      <c r="N374" s="336"/>
      <c r="O374" s="301"/>
      <c r="P374" s="336"/>
      <c r="Q374" s="301"/>
      <c r="R374" s="336"/>
      <c r="S374" s="301"/>
      <c r="T374" s="336"/>
    </row>
    <row r="375" spans="1:20" ht="12" customHeight="1" x14ac:dyDescent="0.3">
      <c r="A375" s="329" t="s">
        <v>287</v>
      </c>
      <c r="B375" s="330" t="s">
        <v>287</v>
      </c>
      <c r="C375" s="298">
        <v>46148</v>
      </c>
      <c r="D375" s="299" t="s">
        <v>844</v>
      </c>
      <c r="E375" s="522">
        <v>500.5</v>
      </c>
      <c r="F375" s="522">
        <v>500.5</v>
      </c>
      <c r="G375" s="333">
        <f t="shared" si="11"/>
        <v>1356.4399999999848</v>
      </c>
      <c r="H375" s="334"/>
      <c r="I375" s="335"/>
      <c r="J375" s="336"/>
      <c r="K375" s="301"/>
      <c r="L375" s="336"/>
      <c r="M375" s="301"/>
      <c r="N375" s="336"/>
      <c r="O375" s="301"/>
      <c r="P375" s="336"/>
      <c r="Q375" s="301"/>
      <c r="R375" s="336"/>
      <c r="S375" s="301"/>
      <c r="T375" s="336"/>
    </row>
    <row r="376" spans="1:20" ht="12" customHeight="1" x14ac:dyDescent="0.3">
      <c r="A376" s="329" t="s">
        <v>287</v>
      </c>
      <c r="B376" s="330" t="s">
        <v>287</v>
      </c>
      <c r="C376" s="298">
        <v>46148</v>
      </c>
      <c r="D376" s="299" t="s">
        <v>845</v>
      </c>
      <c r="E376" s="522">
        <v>457.94</v>
      </c>
      <c r="F376" s="522">
        <v>457.94</v>
      </c>
      <c r="G376" s="333">
        <f t="shared" si="11"/>
        <v>1356.4399999999848</v>
      </c>
      <c r="H376" s="334"/>
      <c r="I376" s="335"/>
      <c r="J376" s="336"/>
      <c r="K376" s="301"/>
      <c r="L376" s="336"/>
      <c r="M376" s="301"/>
      <c r="N376" s="336"/>
      <c r="O376" s="301"/>
      <c r="P376" s="336"/>
      <c r="Q376" s="301"/>
      <c r="R376" s="336"/>
      <c r="S376" s="301"/>
      <c r="T376" s="336"/>
    </row>
    <row r="377" spans="1:20" ht="12" customHeight="1" x14ac:dyDescent="0.3">
      <c r="A377" s="329" t="s">
        <v>289</v>
      </c>
      <c r="B377" s="330">
        <v>1</v>
      </c>
      <c r="C377" s="298">
        <v>46148</v>
      </c>
      <c r="D377" s="299" t="s">
        <v>306</v>
      </c>
      <c r="E377" s="522">
        <v>23.48</v>
      </c>
      <c r="F377" s="522"/>
      <c r="G377" s="333">
        <f t="shared" si="11"/>
        <v>1356.4399999999848</v>
      </c>
      <c r="H377" s="334"/>
      <c r="I377" s="335"/>
      <c r="J377" s="336"/>
      <c r="K377" s="301"/>
      <c r="L377" s="336"/>
      <c r="M377" s="301"/>
      <c r="N377" s="336"/>
      <c r="O377" s="301"/>
      <c r="P377" s="336"/>
      <c r="Q377" s="301"/>
      <c r="R377" s="336"/>
      <c r="S377" s="301"/>
      <c r="T377" s="336"/>
    </row>
    <row r="378" spans="1:20" ht="12" customHeight="1" x14ac:dyDescent="0.3">
      <c r="A378" s="329" t="s">
        <v>289</v>
      </c>
      <c r="B378" s="330">
        <v>2</v>
      </c>
      <c r="C378" s="298">
        <v>46147</v>
      </c>
      <c r="D378" s="299" t="s">
        <v>384</v>
      </c>
      <c r="E378" s="522">
        <v>59.03</v>
      </c>
      <c r="F378" s="522"/>
      <c r="G378" s="333">
        <f t="shared" si="11"/>
        <v>1379.9199999999848</v>
      </c>
      <c r="H378" s="334"/>
      <c r="I378" s="335"/>
      <c r="J378" s="336"/>
      <c r="K378" s="301"/>
      <c r="L378" s="336"/>
      <c r="M378" s="301"/>
      <c r="N378" s="336"/>
      <c r="O378" s="301"/>
      <c r="P378" s="336"/>
      <c r="Q378" s="301"/>
      <c r="R378" s="336"/>
      <c r="S378" s="301"/>
      <c r="T378" s="336"/>
    </row>
    <row r="379" spans="1:20" ht="12" customHeight="1" x14ac:dyDescent="0.3">
      <c r="A379" s="329" t="s">
        <v>289</v>
      </c>
      <c r="B379" s="330">
        <v>2</v>
      </c>
      <c r="C379" s="298">
        <v>46147</v>
      </c>
      <c r="D379" s="299" t="s">
        <v>334</v>
      </c>
      <c r="E379" s="522">
        <v>11.06</v>
      </c>
      <c r="F379" s="522"/>
      <c r="G379" s="333">
        <f t="shared" si="11"/>
        <v>1438.9499999999848</v>
      </c>
      <c r="H379" s="334"/>
      <c r="I379" s="335"/>
      <c r="J379" s="336"/>
      <c r="K379" s="301"/>
      <c r="L379" s="336"/>
      <c r="M379" s="301"/>
      <c r="N379" s="336"/>
      <c r="O379" s="301"/>
      <c r="P379" s="336"/>
      <c r="Q379" s="301"/>
      <c r="R379" s="336"/>
      <c r="S379" s="301"/>
      <c r="T379" s="336"/>
    </row>
    <row r="380" spans="1:20" ht="12" customHeight="1" x14ac:dyDescent="0.3">
      <c r="A380" s="329" t="s">
        <v>289</v>
      </c>
      <c r="B380" s="330">
        <v>2</v>
      </c>
      <c r="C380" s="298">
        <v>46147</v>
      </c>
      <c r="D380" s="299" t="s">
        <v>296</v>
      </c>
      <c r="E380" s="522">
        <v>8.7200000000000006</v>
      </c>
      <c r="F380" s="522"/>
      <c r="G380" s="333">
        <f t="shared" si="11"/>
        <v>1450.0099999999848</v>
      </c>
      <c r="H380" s="334"/>
      <c r="I380" s="335"/>
      <c r="J380" s="336"/>
      <c r="K380" s="301"/>
      <c r="L380" s="336"/>
      <c r="M380" s="301"/>
      <c r="N380" s="336"/>
      <c r="O380" s="301"/>
      <c r="P380" s="336"/>
      <c r="Q380" s="301"/>
      <c r="R380" s="336"/>
      <c r="S380" s="301"/>
      <c r="T380" s="336"/>
    </row>
    <row r="381" spans="1:20" ht="12" customHeight="1" x14ac:dyDescent="0.3">
      <c r="A381" s="329" t="s">
        <v>289</v>
      </c>
      <c r="B381" s="330">
        <v>4</v>
      </c>
      <c r="C381" s="298">
        <v>46147</v>
      </c>
      <c r="D381" s="299" t="s">
        <v>296</v>
      </c>
      <c r="E381" s="522">
        <v>42.88</v>
      </c>
      <c r="F381" s="522"/>
      <c r="G381" s="333">
        <f t="shared" si="11"/>
        <v>1458.7299999999848</v>
      </c>
      <c r="H381" s="334"/>
      <c r="I381" s="335"/>
      <c r="J381" s="336"/>
      <c r="K381" s="301"/>
      <c r="L381" s="336"/>
      <c r="M381" s="301"/>
      <c r="N381" s="336"/>
      <c r="O381" s="301"/>
      <c r="P381" s="336"/>
      <c r="Q381" s="301"/>
      <c r="R381" s="336"/>
      <c r="S381" s="301"/>
      <c r="T381" s="336"/>
    </row>
    <row r="382" spans="1:20" ht="12" customHeight="1" x14ac:dyDescent="0.3">
      <c r="A382" s="329" t="s">
        <v>289</v>
      </c>
      <c r="B382" s="330">
        <v>6</v>
      </c>
      <c r="C382" s="298">
        <v>46147</v>
      </c>
      <c r="D382" s="299" t="s">
        <v>300</v>
      </c>
      <c r="E382" s="522">
        <v>17.03</v>
      </c>
      <c r="F382" s="522"/>
      <c r="G382" s="333">
        <f t="shared" si="11"/>
        <v>1501.6099999999849</v>
      </c>
      <c r="H382" s="334"/>
      <c r="I382" s="335"/>
      <c r="J382" s="336"/>
      <c r="K382" s="301"/>
      <c r="L382" s="336"/>
      <c r="M382" s="301"/>
      <c r="N382" s="336"/>
      <c r="O382" s="301"/>
      <c r="P382" s="336"/>
      <c r="Q382" s="301"/>
      <c r="R382" s="336"/>
      <c r="S382" s="301"/>
      <c r="T382" s="336"/>
    </row>
    <row r="383" spans="1:20" ht="12" customHeight="1" x14ac:dyDescent="0.3">
      <c r="A383" s="329" t="s">
        <v>294</v>
      </c>
      <c r="B383" s="330">
        <v>22</v>
      </c>
      <c r="C383" s="298">
        <v>46146</v>
      </c>
      <c r="D383" s="299" t="s">
        <v>835</v>
      </c>
      <c r="E383" s="522">
        <v>13.83</v>
      </c>
      <c r="F383" s="522"/>
      <c r="G383" s="333">
        <f t="shared" si="11"/>
        <v>1518.6399999999849</v>
      </c>
      <c r="H383" s="334"/>
      <c r="I383" s="335"/>
      <c r="J383" s="336"/>
      <c r="K383" s="301"/>
      <c r="L383" s="336"/>
      <c r="M383" s="301"/>
      <c r="N383" s="336"/>
      <c r="O383" s="301"/>
      <c r="P383" s="336"/>
      <c r="Q383" s="301"/>
      <c r="R383" s="336"/>
      <c r="S383" s="301"/>
      <c r="T383" s="336"/>
    </row>
    <row r="384" spans="1:20" ht="12" customHeight="1" x14ac:dyDescent="0.3">
      <c r="A384" s="329" t="s">
        <v>289</v>
      </c>
      <c r="B384" s="330">
        <v>5</v>
      </c>
      <c r="C384" s="298">
        <v>46146</v>
      </c>
      <c r="D384" s="299" t="s">
        <v>340</v>
      </c>
      <c r="E384" s="522">
        <v>47.93</v>
      </c>
      <c r="F384" s="522"/>
      <c r="G384" s="333">
        <f t="shared" si="11"/>
        <v>1532.4699999999848</v>
      </c>
      <c r="H384" s="334"/>
      <c r="I384" s="335"/>
      <c r="J384" s="336"/>
      <c r="K384" s="301"/>
      <c r="L384" s="336"/>
      <c r="M384" s="301"/>
      <c r="N384" s="336"/>
      <c r="O384" s="301"/>
      <c r="P384" s="336"/>
      <c r="Q384" s="301"/>
      <c r="R384" s="336"/>
      <c r="S384" s="301"/>
      <c r="T384" s="336"/>
    </row>
    <row r="385" spans="1:20" ht="12" customHeight="1" x14ac:dyDescent="0.3">
      <c r="A385" s="329" t="s">
        <v>289</v>
      </c>
      <c r="B385" s="330">
        <v>2</v>
      </c>
      <c r="C385" s="298">
        <v>46146</v>
      </c>
      <c r="D385" s="299" t="s">
        <v>334</v>
      </c>
      <c r="E385" s="522">
        <v>11.06</v>
      </c>
      <c r="F385" s="522"/>
      <c r="G385" s="333">
        <f t="shared" si="11"/>
        <v>1580.3999999999849</v>
      </c>
      <c r="H385" s="334"/>
      <c r="I385" s="335"/>
      <c r="J385" s="336"/>
      <c r="K385" s="301"/>
      <c r="L385" s="336"/>
      <c r="M385" s="301"/>
      <c r="N385" s="336"/>
      <c r="O385" s="301"/>
      <c r="P385" s="336"/>
      <c r="Q385" s="301"/>
      <c r="R385" s="336"/>
      <c r="S385" s="301"/>
      <c r="T385" s="336"/>
    </row>
    <row r="386" spans="1:20" ht="12" customHeight="1" x14ac:dyDescent="0.3">
      <c r="A386" s="329" t="s">
        <v>294</v>
      </c>
      <c r="B386" s="330">
        <v>14</v>
      </c>
      <c r="C386" s="298">
        <v>46146</v>
      </c>
      <c r="D386" s="299" t="s">
        <v>367</v>
      </c>
      <c r="E386" s="522">
        <v>70.25</v>
      </c>
      <c r="F386" s="522"/>
      <c r="G386" s="333">
        <f t="shared" si="11"/>
        <v>1591.4599999999848</v>
      </c>
      <c r="H386" s="334"/>
      <c r="I386" s="335"/>
      <c r="J386" s="336"/>
      <c r="K386" s="301"/>
      <c r="L386" s="336"/>
      <c r="M386" s="301"/>
      <c r="N386" s="336"/>
      <c r="O386" s="301"/>
      <c r="P386" s="336"/>
      <c r="Q386" s="301"/>
      <c r="R386" s="336"/>
      <c r="S386" s="301"/>
      <c r="T386" s="336"/>
    </row>
    <row r="387" spans="1:20" ht="12" customHeight="1" x14ac:dyDescent="0.3">
      <c r="A387" s="329" t="s">
        <v>284</v>
      </c>
      <c r="B387" s="330">
        <v>36</v>
      </c>
      <c r="C387" s="298">
        <v>46146</v>
      </c>
      <c r="D387" s="299" t="s">
        <v>374</v>
      </c>
      <c r="E387" s="522">
        <v>50</v>
      </c>
      <c r="F387" s="522"/>
      <c r="G387" s="333">
        <f t="shared" si="11"/>
        <v>1661.7099999999848</v>
      </c>
      <c r="H387" s="334"/>
      <c r="I387" s="335"/>
      <c r="J387" s="336"/>
      <c r="K387" s="301"/>
      <c r="L387" s="336"/>
      <c r="M387" s="301"/>
      <c r="N387" s="336"/>
      <c r="O387" s="301"/>
      <c r="P387" s="336"/>
      <c r="Q387" s="301"/>
      <c r="R387" s="336"/>
      <c r="S387" s="301"/>
      <c r="T387" s="336"/>
    </row>
    <row r="388" spans="1:20" ht="12" customHeight="1" x14ac:dyDescent="0.3">
      <c r="A388" s="329" t="s">
        <v>294</v>
      </c>
      <c r="B388" s="330">
        <v>17</v>
      </c>
      <c r="C388" s="298">
        <v>46146</v>
      </c>
      <c r="D388" s="299" t="s">
        <v>370</v>
      </c>
      <c r="E388" s="522">
        <v>99</v>
      </c>
      <c r="F388" s="522"/>
      <c r="G388" s="333">
        <f t="shared" si="11"/>
        <v>1711.7099999999848</v>
      </c>
      <c r="H388" s="334"/>
      <c r="I388" s="335"/>
      <c r="J388" s="336"/>
      <c r="K388" s="301"/>
      <c r="L388" s="336"/>
      <c r="M388" s="301"/>
      <c r="N388" s="336"/>
      <c r="O388" s="301"/>
      <c r="P388" s="336"/>
      <c r="Q388" s="301"/>
      <c r="R388" s="336"/>
      <c r="S388" s="301"/>
      <c r="T388" s="336"/>
    </row>
    <row r="389" spans="1:20" ht="12" customHeight="1" x14ac:dyDescent="0.3">
      <c r="A389" s="329" t="s">
        <v>289</v>
      </c>
      <c r="B389" s="330">
        <v>5</v>
      </c>
      <c r="C389" s="298">
        <v>46145</v>
      </c>
      <c r="D389" s="299" t="s">
        <v>834</v>
      </c>
      <c r="E389" s="522">
        <v>49.13</v>
      </c>
      <c r="F389" s="522"/>
      <c r="G389" s="333">
        <f t="shared" si="11"/>
        <v>1810.7099999999848</v>
      </c>
      <c r="H389" s="334"/>
      <c r="I389" s="335"/>
      <c r="J389" s="336"/>
      <c r="K389" s="301"/>
      <c r="L389" s="336"/>
      <c r="M389" s="301"/>
      <c r="N389" s="336"/>
      <c r="O389" s="301"/>
      <c r="P389" s="336"/>
      <c r="Q389" s="301"/>
      <c r="R389" s="336"/>
      <c r="S389" s="301"/>
      <c r="T389" s="336"/>
    </row>
    <row r="390" spans="1:20" ht="12" customHeight="1" x14ac:dyDescent="0.3">
      <c r="A390" s="329" t="s">
        <v>289</v>
      </c>
      <c r="B390" s="330">
        <v>1</v>
      </c>
      <c r="C390" s="298">
        <v>46145</v>
      </c>
      <c r="D390" s="299" t="s">
        <v>831</v>
      </c>
      <c r="E390" s="522">
        <v>50</v>
      </c>
      <c r="F390" s="522"/>
      <c r="G390" s="333">
        <f t="shared" si="11"/>
        <v>1859.8399999999849</v>
      </c>
      <c r="H390" s="334"/>
      <c r="I390" s="335"/>
      <c r="J390" s="336"/>
      <c r="K390" s="301"/>
      <c r="L390" s="336"/>
      <c r="M390" s="301"/>
      <c r="N390" s="336"/>
      <c r="O390" s="301"/>
      <c r="P390" s="336"/>
      <c r="Q390" s="301"/>
      <c r="R390" s="336"/>
      <c r="S390" s="301"/>
      <c r="T390" s="336"/>
    </row>
    <row r="391" spans="1:20" ht="12" customHeight="1" x14ac:dyDescent="0.3">
      <c r="A391" s="329" t="s">
        <v>289</v>
      </c>
      <c r="B391" s="330">
        <v>1</v>
      </c>
      <c r="C391" s="298">
        <v>46145</v>
      </c>
      <c r="D391" s="299" t="s">
        <v>311</v>
      </c>
      <c r="E391" s="522">
        <v>91.98</v>
      </c>
      <c r="F391" s="522"/>
      <c r="G391" s="333">
        <f t="shared" si="11"/>
        <v>1909.8399999999849</v>
      </c>
      <c r="H391" s="334"/>
      <c r="I391" s="335"/>
      <c r="J391" s="336"/>
      <c r="K391" s="301"/>
      <c r="L391" s="336"/>
      <c r="M391" s="301"/>
      <c r="N391" s="336"/>
      <c r="O391" s="301"/>
      <c r="P391" s="336"/>
      <c r="Q391" s="301"/>
      <c r="R391" s="336"/>
      <c r="S391" s="301"/>
      <c r="T391" s="336"/>
    </row>
    <row r="392" spans="1:20" ht="12" customHeight="1" x14ac:dyDescent="0.3">
      <c r="A392" s="329" t="s">
        <v>289</v>
      </c>
      <c r="B392" s="330">
        <v>6</v>
      </c>
      <c r="C392" s="298">
        <v>46145</v>
      </c>
      <c r="D392" s="299" t="s">
        <v>832</v>
      </c>
      <c r="E392" s="522">
        <v>24.68</v>
      </c>
      <c r="F392" s="522"/>
      <c r="G392" s="333">
        <f t="shared" si="11"/>
        <v>2001.8199999999849</v>
      </c>
      <c r="H392" s="334"/>
      <c r="I392" s="335"/>
      <c r="J392" s="336"/>
      <c r="K392" s="301"/>
      <c r="L392" s="336"/>
      <c r="M392" s="301"/>
      <c r="N392" s="336"/>
      <c r="O392" s="301"/>
      <c r="P392" s="336"/>
      <c r="Q392" s="301"/>
      <c r="R392" s="336"/>
      <c r="S392" s="301"/>
      <c r="T392" s="336"/>
    </row>
    <row r="393" spans="1:20" ht="12" customHeight="1" x14ac:dyDescent="0.3">
      <c r="A393" s="329" t="s">
        <v>289</v>
      </c>
      <c r="B393" s="330">
        <v>2</v>
      </c>
      <c r="C393" s="298">
        <v>46145</v>
      </c>
      <c r="D393" s="299" t="s">
        <v>358</v>
      </c>
      <c r="E393" s="522">
        <v>2.4900000000000002</v>
      </c>
      <c r="F393" s="522"/>
      <c r="G393" s="333">
        <f t="shared" si="11"/>
        <v>2026.499999999985</v>
      </c>
      <c r="H393" s="334"/>
      <c r="I393" s="335"/>
      <c r="J393" s="336"/>
      <c r="K393" s="301"/>
      <c r="L393" s="336"/>
      <c r="M393" s="301"/>
      <c r="N393" s="336"/>
      <c r="O393" s="301"/>
      <c r="P393" s="336"/>
      <c r="Q393" s="301"/>
      <c r="R393" s="336"/>
      <c r="S393" s="301"/>
      <c r="T393" s="336"/>
    </row>
    <row r="394" spans="1:20" ht="12" customHeight="1" x14ac:dyDescent="0.3">
      <c r="A394" s="329" t="s">
        <v>294</v>
      </c>
      <c r="B394" s="330">
        <v>22</v>
      </c>
      <c r="C394" s="298">
        <v>46145</v>
      </c>
      <c r="D394" s="299" t="s">
        <v>861</v>
      </c>
      <c r="E394" s="522">
        <v>12.77</v>
      </c>
      <c r="F394" s="522"/>
      <c r="G394" s="333">
        <f t="shared" si="11"/>
        <v>2028.989999999985</v>
      </c>
      <c r="H394" s="334"/>
      <c r="I394" s="335"/>
      <c r="J394" s="336"/>
      <c r="K394" s="301"/>
      <c r="L394" s="336"/>
      <c r="M394" s="301"/>
      <c r="N394" s="336"/>
      <c r="O394" s="301"/>
      <c r="P394" s="336"/>
      <c r="Q394" s="301"/>
      <c r="R394" s="336"/>
      <c r="S394" s="301"/>
      <c r="T394" s="336"/>
    </row>
    <row r="395" spans="1:20" ht="12" customHeight="1" x14ac:dyDescent="0.3">
      <c r="A395" s="329" t="s">
        <v>289</v>
      </c>
      <c r="B395" s="330">
        <v>2</v>
      </c>
      <c r="C395" s="298">
        <v>46145</v>
      </c>
      <c r="D395" s="299" t="s">
        <v>458</v>
      </c>
      <c r="E395" s="522">
        <v>192.97</v>
      </c>
      <c r="F395" s="522"/>
      <c r="G395" s="333">
        <f t="shared" si="11"/>
        <v>2041.759999999985</v>
      </c>
      <c r="H395" s="334"/>
      <c r="I395" s="335"/>
      <c r="J395" s="336"/>
      <c r="K395" s="301"/>
      <c r="L395" s="336"/>
      <c r="M395" s="301"/>
      <c r="N395" s="336"/>
      <c r="O395" s="301"/>
      <c r="P395" s="336"/>
      <c r="Q395" s="301"/>
      <c r="R395" s="336"/>
      <c r="S395" s="301"/>
      <c r="T395" s="336"/>
    </row>
    <row r="396" spans="1:20" ht="12" customHeight="1" x14ac:dyDescent="0.3">
      <c r="A396" s="329" t="s">
        <v>289</v>
      </c>
      <c r="B396" s="330">
        <v>3</v>
      </c>
      <c r="C396" s="298">
        <v>46145</v>
      </c>
      <c r="D396" s="299" t="s">
        <v>348</v>
      </c>
      <c r="E396" s="522">
        <v>9.35</v>
      </c>
      <c r="F396" s="522"/>
      <c r="G396" s="333">
        <f t="shared" si="11"/>
        <v>2234.729999999985</v>
      </c>
      <c r="H396" s="334"/>
      <c r="I396" s="335"/>
      <c r="J396" s="336"/>
      <c r="K396" s="301"/>
      <c r="L396" s="336"/>
      <c r="M396" s="301"/>
      <c r="N396" s="336"/>
      <c r="O396" s="301"/>
      <c r="P396" s="336"/>
      <c r="Q396" s="301"/>
      <c r="R396" s="336"/>
      <c r="S396" s="301"/>
      <c r="T396" s="336"/>
    </row>
    <row r="397" spans="1:20" ht="12" customHeight="1" x14ac:dyDescent="0.3">
      <c r="A397" s="329" t="s">
        <v>289</v>
      </c>
      <c r="B397" s="330">
        <v>4</v>
      </c>
      <c r="C397" s="298">
        <v>46144</v>
      </c>
      <c r="D397" s="299" t="s">
        <v>310</v>
      </c>
      <c r="E397" s="522">
        <v>57.69</v>
      </c>
      <c r="F397" s="522"/>
      <c r="G397" s="333">
        <f t="shared" si="11"/>
        <v>2244.0799999999849</v>
      </c>
      <c r="H397" s="334"/>
      <c r="I397" s="335"/>
      <c r="J397" s="336"/>
      <c r="K397" s="301"/>
      <c r="L397" s="336"/>
      <c r="M397" s="301"/>
      <c r="N397" s="336"/>
      <c r="O397" s="301"/>
      <c r="P397" s="336"/>
      <c r="Q397" s="301"/>
      <c r="R397" s="336"/>
      <c r="S397" s="301"/>
      <c r="T397" s="336"/>
    </row>
    <row r="398" spans="1:20" ht="12" customHeight="1" x14ac:dyDescent="0.3">
      <c r="A398" s="329" t="s">
        <v>289</v>
      </c>
      <c r="B398" s="330">
        <v>8</v>
      </c>
      <c r="C398" s="298">
        <v>46144</v>
      </c>
      <c r="D398" s="299" t="s">
        <v>310</v>
      </c>
      <c r="E398" s="522">
        <v>6.37</v>
      </c>
      <c r="F398" s="522"/>
      <c r="G398" s="333">
        <f t="shared" si="11"/>
        <v>2301.769999999985</v>
      </c>
      <c r="H398" s="334"/>
      <c r="I398" s="335"/>
      <c r="J398" s="336"/>
      <c r="K398" s="301"/>
      <c r="L398" s="336"/>
      <c r="M398" s="301"/>
      <c r="N398" s="336"/>
      <c r="O398" s="301"/>
      <c r="P398" s="336"/>
      <c r="Q398" s="301"/>
      <c r="R398" s="336"/>
      <c r="S398" s="301"/>
      <c r="T398" s="336"/>
    </row>
    <row r="399" spans="1:20" ht="12" customHeight="1" x14ac:dyDescent="0.3">
      <c r="A399" s="329" t="s">
        <v>294</v>
      </c>
      <c r="B399" s="330">
        <v>22</v>
      </c>
      <c r="C399" s="298">
        <v>46144</v>
      </c>
      <c r="D399" s="299" t="s">
        <v>375</v>
      </c>
      <c r="E399" s="522">
        <v>6.37</v>
      </c>
      <c r="F399" s="522"/>
      <c r="G399" s="333">
        <f t="shared" si="11"/>
        <v>2308.1399999999849</v>
      </c>
      <c r="H399" s="334"/>
      <c r="I399" s="335"/>
      <c r="J399" s="336"/>
      <c r="K399" s="301"/>
      <c r="L399" s="336"/>
      <c r="M399" s="301"/>
      <c r="N399" s="336"/>
      <c r="O399" s="301"/>
      <c r="P399" s="336"/>
      <c r="Q399" s="301"/>
      <c r="R399" s="336"/>
      <c r="S399" s="301"/>
      <c r="T399" s="336"/>
    </row>
    <row r="400" spans="1:20" ht="12" customHeight="1" x14ac:dyDescent="0.3">
      <c r="A400" s="329" t="s">
        <v>289</v>
      </c>
      <c r="B400" s="330">
        <v>6</v>
      </c>
      <c r="C400" s="298">
        <v>46144</v>
      </c>
      <c r="D400" s="299" t="s">
        <v>300</v>
      </c>
      <c r="E400" s="522">
        <v>41.51</v>
      </c>
      <c r="F400" s="522"/>
      <c r="G400" s="333">
        <f t="shared" si="11"/>
        <v>2314.5099999999848</v>
      </c>
      <c r="H400" s="334"/>
      <c r="I400" s="335"/>
      <c r="J400" s="336"/>
      <c r="K400" s="301"/>
      <c r="L400" s="336"/>
      <c r="M400" s="301"/>
      <c r="N400" s="336"/>
      <c r="O400" s="301"/>
      <c r="P400" s="336"/>
      <c r="Q400" s="301"/>
      <c r="R400" s="336"/>
      <c r="S400" s="301"/>
      <c r="T400" s="336"/>
    </row>
    <row r="401" spans="1:20" ht="12" customHeight="1" x14ac:dyDescent="0.3">
      <c r="A401" s="329" t="s">
        <v>289</v>
      </c>
      <c r="B401" s="330">
        <v>7</v>
      </c>
      <c r="C401" s="298">
        <v>46144</v>
      </c>
      <c r="D401" s="299" t="s">
        <v>833</v>
      </c>
      <c r="E401" s="522">
        <v>74.53</v>
      </c>
      <c r="F401" s="522"/>
      <c r="G401" s="333">
        <f t="shared" si="11"/>
        <v>2356.019999999985</v>
      </c>
      <c r="H401" s="334"/>
      <c r="I401" s="335"/>
      <c r="J401" s="336"/>
      <c r="K401" s="301"/>
      <c r="L401" s="336"/>
      <c r="M401" s="301"/>
      <c r="N401" s="336"/>
      <c r="O401" s="301"/>
      <c r="P401" s="336"/>
      <c r="Q401" s="301"/>
      <c r="R401" s="336"/>
      <c r="S401" s="301"/>
      <c r="T401" s="336"/>
    </row>
    <row r="402" spans="1:20" ht="12" customHeight="1" x14ac:dyDescent="0.3">
      <c r="A402" s="329" t="s">
        <v>289</v>
      </c>
      <c r="B402" s="330">
        <v>1</v>
      </c>
      <c r="C402" s="298">
        <v>46144</v>
      </c>
      <c r="D402" s="299" t="s">
        <v>306</v>
      </c>
      <c r="E402" s="522">
        <v>72.73</v>
      </c>
      <c r="F402" s="522"/>
      <c r="G402" s="333">
        <f t="shared" si="11"/>
        <v>2430.5499999999852</v>
      </c>
      <c r="H402" s="334"/>
      <c r="I402" s="335"/>
      <c r="J402" s="336"/>
      <c r="K402" s="301"/>
      <c r="L402" s="336"/>
      <c r="M402" s="301"/>
      <c r="N402" s="336"/>
      <c r="O402" s="301"/>
      <c r="P402" s="336"/>
      <c r="Q402" s="301"/>
      <c r="R402" s="336"/>
      <c r="S402" s="301"/>
      <c r="T402" s="336"/>
    </row>
    <row r="403" spans="1:20" ht="12" customHeight="1" x14ac:dyDescent="0.3">
      <c r="A403" s="329" t="s">
        <v>289</v>
      </c>
      <c r="B403" s="330">
        <v>3</v>
      </c>
      <c r="C403" s="298">
        <v>46144</v>
      </c>
      <c r="D403" s="299" t="s">
        <v>348</v>
      </c>
      <c r="E403" s="522">
        <v>25</v>
      </c>
      <c r="F403" s="522"/>
      <c r="G403" s="333">
        <f t="shared" si="11"/>
        <v>2503.2799999999852</v>
      </c>
      <c r="H403" s="334"/>
      <c r="I403" s="335"/>
      <c r="J403" s="336"/>
      <c r="K403" s="301"/>
      <c r="L403" s="336"/>
      <c r="M403" s="301"/>
      <c r="N403" s="336"/>
      <c r="O403" s="301"/>
      <c r="P403" s="336"/>
      <c r="Q403" s="301"/>
      <c r="R403" s="336"/>
      <c r="S403" s="301"/>
      <c r="T403" s="336"/>
    </row>
    <row r="404" spans="1:20" ht="12" customHeight="1" x14ac:dyDescent="0.3">
      <c r="A404" s="329" t="s">
        <v>287</v>
      </c>
      <c r="B404" s="330" t="s">
        <v>287</v>
      </c>
      <c r="C404" s="298">
        <v>46144</v>
      </c>
      <c r="D404" s="299" t="s">
        <v>485</v>
      </c>
      <c r="E404" s="522">
        <v>121.4</v>
      </c>
      <c r="F404" s="522">
        <v>121.4</v>
      </c>
      <c r="G404" s="333">
        <f t="shared" si="11"/>
        <v>2528.2799999999852</v>
      </c>
      <c r="H404" s="334"/>
      <c r="I404" s="335"/>
      <c r="J404" s="336"/>
      <c r="K404" s="301"/>
      <c r="L404" s="336"/>
      <c r="M404" s="301"/>
      <c r="N404" s="336"/>
      <c r="O404" s="301"/>
      <c r="P404" s="336"/>
      <c r="Q404" s="301"/>
      <c r="R404" s="336"/>
      <c r="S404" s="301"/>
      <c r="T404" s="336"/>
    </row>
    <row r="405" spans="1:20" ht="12" customHeight="1" x14ac:dyDescent="0.3">
      <c r="A405" s="329" t="s">
        <v>289</v>
      </c>
      <c r="B405" s="330">
        <v>3</v>
      </c>
      <c r="C405" s="298">
        <v>46144</v>
      </c>
      <c r="D405" s="299" t="s">
        <v>348</v>
      </c>
      <c r="E405" s="522">
        <v>9.73</v>
      </c>
      <c r="F405" s="522"/>
      <c r="G405" s="333">
        <f t="shared" si="11"/>
        <v>2528.2799999999852</v>
      </c>
      <c r="H405" s="334"/>
      <c r="I405" s="335"/>
      <c r="J405" s="336"/>
      <c r="K405" s="301"/>
      <c r="L405" s="336"/>
      <c r="M405" s="301"/>
      <c r="N405" s="336"/>
      <c r="O405" s="301"/>
      <c r="P405" s="336"/>
      <c r="Q405" s="301"/>
      <c r="R405" s="336"/>
      <c r="S405" s="301"/>
      <c r="T405" s="336"/>
    </row>
    <row r="406" spans="1:20" ht="12" customHeight="1" x14ac:dyDescent="0.3">
      <c r="A406" s="329" t="s">
        <v>289</v>
      </c>
      <c r="B406" s="330">
        <v>2</v>
      </c>
      <c r="C406" s="298">
        <v>46143</v>
      </c>
      <c r="D406" s="299" t="s">
        <v>358</v>
      </c>
      <c r="E406" s="522">
        <v>8.9700000000000006</v>
      </c>
      <c r="F406" s="522"/>
      <c r="G406" s="333">
        <f t="shared" si="11"/>
        <v>2538.0099999999852</v>
      </c>
      <c r="H406" s="334"/>
      <c r="I406" s="335"/>
      <c r="J406" s="336"/>
      <c r="K406" s="301"/>
      <c r="L406" s="336"/>
      <c r="M406" s="301"/>
      <c r="N406" s="336"/>
      <c r="O406" s="301"/>
      <c r="P406" s="336"/>
      <c r="Q406" s="301"/>
      <c r="R406" s="336"/>
      <c r="S406" s="301"/>
      <c r="T406" s="336"/>
    </row>
    <row r="407" spans="1:20" s="540" customFormat="1" ht="12" customHeight="1" x14ac:dyDescent="0.3">
      <c r="A407" s="530" t="s">
        <v>284</v>
      </c>
      <c r="B407" s="531">
        <v>37</v>
      </c>
      <c r="C407" s="532">
        <v>46142</v>
      </c>
      <c r="D407" s="533" t="s">
        <v>285</v>
      </c>
      <c r="E407" s="534">
        <v>5616.82</v>
      </c>
      <c r="F407" s="534"/>
      <c r="G407" s="535">
        <f t="shared" si="11"/>
        <v>2546.979999999985</v>
      </c>
      <c r="H407" s="536"/>
      <c r="I407" s="537"/>
      <c r="J407" s="538"/>
      <c r="K407" s="539"/>
      <c r="L407" s="538"/>
      <c r="M407" s="539"/>
      <c r="N407" s="538"/>
      <c r="O407" s="539"/>
      <c r="P407" s="538"/>
      <c r="Q407" s="539"/>
      <c r="R407" s="538"/>
      <c r="S407" s="539"/>
      <c r="T407" s="538"/>
    </row>
    <row r="408" spans="1:20" ht="12" customHeight="1" x14ac:dyDescent="0.3">
      <c r="A408" s="329" t="s">
        <v>286</v>
      </c>
      <c r="B408" s="330">
        <v>25</v>
      </c>
      <c r="C408" s="298">
        <v>46142</v>
      </c>
      <c r="D408" s="298" t="s">
        <v>204</v>
      </c>
      <c r="E408" s="331">
        <v>350</v>
      </c>
      <c r="F408" s="331"/>
      <c r="G408" s="333">
        <f t="shared" ref="G408:G409" si="12">G409-E408+F408</f>
        <v>8163.7999999999847</v>
      </c>
      <c r="H408" s="334"/>
      <c r="I408" s="335"/>
      <c r="J408" s="336"/>
      <c r="K408" s="301"/>
      <c r="L408" s="336"/>
      <c r="M408" s="301"/>
      <c r="N408" s="336"/>
      <c r="O408" s="301"/>
      <c r="P408" s="336"/>
      <c r="Q408" s="301"/>
      <c r="R408" s="336"/>
      <c r="S408" s="301"/>
      <c r="T408" s="336"/>
    </row>
    <row r="409" spans="1:20" ht="12" customHeight="1" x14ac:dyDescent="0.3">
      <c r="A409" s="329" t="s">
        <v>286</v>
      </c>
      <c r="B409" s="330">
        <v>26</v>
      </c>
      <c r="C409" s="298">
        <v>46142</v>
      </c>
      <c r="D409" s="298" t="s">
        <v>205</v>
      </c>
      <c r="E409" s="331">
        <v>320</v>
      </c>
      <c r="F409" s="331"/>
      <c r="G409" s="333">
        <f t="shared" si="12"/>
        <v>8513.7999999999847</v>
      </c>
      <c r="H409" s="334"/>
      <c r="I409" s="335"/>
      <c r="J409" s="336"/>
      <c r="K409" s="301"/>
      <c r="L409" s="336"/>
      <c r="M409" s="301"/>
      <c r="N409" s="336"/>
      <c r="O409" s="301"/>
      <c r="P409" s="336"/>
      <c r="Q409" s="301"/>
      <c r="R409" s="336"/>
      <c r="S409" s="301"/>
      <c r="T409" s="336"/>
    </row>
    <row r="410" spans="1:20" ht="12" customHeight="1" x14ac:dyDescent="0.3">
      <c r="A410" s="329" t="s">
        <v>286</v>
      </c>
      <c r="B410" s="330">
        <v>27</v>
      </c>
      <c r="C410" s="298">
        <v>46142</v>
      </c>
      <c r="D410" s="298" t="s">
        <v>206</v>
      </c>
      <c r="E410" s="331">
        <v>25</v>
      </c>
      <c r="F410" s="331"/>
      <c r="G410" s="333">
        <f t="shared" ref="G410:G661" si="13">G411-E410+F410</f>
        <v>8833.7999999999847</v>
      </c>
      <c r="H410" s="334"/>
      <c r="I410" s="335"/>
      <c r="J410" s="336"/>
      <c r="K410" s="301"/>
      <c r="L410" s="336"/>
      <c r="M410" s="301"/>
      <c r="N410" s="336"/>
      <c r="O410" s="301"/>
      <c r="P410" s="336"/>
      <c r="Q410" s="301"/>
      <c r="R410" s="336"/>
      <c r="S410" s="301"/>
      <c r="T410" s="336"/>
    </row>
    <row r="411" spans="1:20" ht="12" customHeight="1" x14ac:dyDescent="0.3">
      <c r="A411" s="329" t="s">
        <v>286</v>
      </c>
      <c r="B411" s="330">
        <v>28</v>
      </c>
      <c r="C411" s="298">
        <v>46142</v>
      </c>
      <c r="D411" s="298" t="s">
        <v>207</v>
      </c>
      <c r="E411" s="331">
        <v>25</v>
      </c>
      <c r="F411" s="331"/>
      <c r="G411" s="333">
        <f t="shared" si="13"/>
        <v>8858.7999999999847</v>
      </c>
      <c r="H411" s="334"/>
      <c r="I411" s="335"/>
      <c r="J411" s="336"/>
      <c r="K411" s="301"/>
      <c r="L411" s="336"/>
      <c r="M411" s="301"/>
      <c r="N411" s="336"/>
      <c r="O411" s="301"/>
      <c r="P411" s="336"/>
      <c r="Q411" s="301"/>
      <c r="R411" s="336"/>
      <c r="S411" s="301"/>
      <c r="T411" s="336"/>
    </row>
    <row r="412" spans="1:20" ht="12" customHeight="1" x14ac:dyDescent="0.3">
      <c r="A412" s="329" t="s">
        <v>286</v>
      </c>
      <c r="B412" s="330">
        <v>29</v>
      </c>
      <c r="C412" s="298">
        <v>46142</v>
      </c>
      <c r="D412" s="298" t="s">
        <v>208</v>
      </c>
      <c r="E412" s="331">
        <v>45</v>
      </c>
      <c r="F412" s="331"/>
      <c r="G412" s="333">
        <f t="shared" si="13"/>
        <v>8883.7999999999847</v>
      </c>
      <c r="H412" s="334"/>
      <c r="I412" s="335"/>
      <c r="J412" s="336"/>
      <c r="K412" s="301"/>
      <c r="L412" s="336"/>
      <c r="M412" s="301"/>
      <c r="N412" s="336"/>
      <c r="O412" s="301"/>
      <c r="P412" s="336"/>
      <c r="Q412" s="301"/>
      <c r="R412" s="336"/>
      <c r="S412" s="301"/>
      <c r="T412" s="336"/>
    </row>
    <row r="413" spans="1:20" ht="12" customHeight="1" x14ac:dyDescent="0.3">
      <c r="A413" s="329" t="s">
        <v>286</v>
      </c>
      <c r="B413" s="330">
        <v>30</v>
      </c>
      <c r="C413" s="298">
        <v>46142</v>
      </c>
      <c r="D413" s="298" t="s">
        <v>209</v>
      </c>
      <c r="E413" s="331">
        <v>400</v>
      </c>
      <c r="F413" s="331"/>
      <c r="G413" s="333">
        <f t="shared" si="13"/>
        <v>8928.7999999999847</v>
      </c>
      <c r="H413" s="334"/>
      <c r="I413" s="335"/>
      <c r="J413" s="336"/>
      <c r="K413" s="301"/>
      <c r="L413" s="336"/>
      <c r="M413" s="301"/>
      <c r="N413" s="336"/>
      <c r="O413" s="301"/>
      <c r="P413" s="336"/>
      <c r="Q413" s="301"/>
      <c r="R413" s="336"/>
      <c r="S413" s="301"/>
      <c r="T413" s="336"/>
    </row>
    <row r="414" spans="1:20" ht="12" customHeight="1" x14ac:dyDescent="0.3">
      <c r="A414" s="329" t="s">
        <v>286</v>
      </c>
      <c r="B414" s="330">
        <v>31</v>
      </c>
      <c r="C414" s="298">
        <v>46142</v>
      </c>
      <c r="D414" s="298" t="s">
        <v>210</v>
      </c>
      <c r="E414" s="331">
        <v>375</v>
      </c>
      <c r="F414" s="331"/>
      <c r="G414" s="333">
        <f t="shared" si="13"/>
        <v>9328.7999999999847</v>
      </c>
      <c r="H414" s="334"/>
      <c r="I414" s="335"/>
      <c r="J414" s="336"/>
      <c r="K414" s="301"/>
      <c r="L414" s="336"/>
      <c r="M414" s="301"/>
      <c r="N414" s="336"/>
      <c r="O414" s="301"/>
      <c r="P414" s="336"/>
      <c r="Q414" s="301"/>
      <c r="R414" s="336"/>
      <c r="S414" s="301"/>
      <c r="T414" s="336"/>
    </row>
    <row r="415" spans="1:20" ht="12" customHeight="1" x14ac:dyDescent="0.3">
      <c r="A415" s="329" t="s">
        <v>286</v>
      </c>
      <c r="B415" s="330">
        <v>32</v>
      </c>
      <c r="C415" s="298">
        <v>46142</v>
      </c>
      <c r="D415" s="298" t="s">
        <v>211</v>
      </c>
      <c r="E415" s="331">
        <v>100</v>
      </c>
      <c r="F415" s="331"/>
      <c r="G415" s="333">
        <f t="shared" si="13"/>
        <v>9703.7999999999847</v>
      </c>
      <c r="H415" s="334"/>
      <c r="I415" s="335"/>
      <c r="J415" s="336"/>
      <c r="K415" s="301"/>
      <c r="L415" s="336"/>
      <c r="M415" s="301"/>
      <c r="N415" s="336"/>
      <c r="O415" s="301"/>
      <c r="P415" s="336"/>
      <c r="Q415" s="301"/>
      <c r="R415" s="336"/>
      <c r="S415" s="301"/>
      <c r="T415" s="336"/>
    </row>
    <row r="416" spans="1:20" ht="12" customHeight="1" x14ac:dyDescent="0.3">
      <c r="A416" s="329" t="s">
        <v>286</v>
      </c>
      <c r="B416" s="330">
        <v>33</v>
      </c>
      <c r="C416" s="298">
        <v>46142</v>
      </c>
      <c r="D416" s="298" t="s">
        <v>212</v>
      </c>
      <c r="E416" s="331">
        <v>85</v>
      </c>
      <c r="F416" s="331"/>
      <c r="G416" s="333">
        <f t="shared" si="13"/>
        <v>9803.7999999999847</v>
      </c>
      <c r="H416" s="334"/>
      <c r="I416" s="335"/>
      <c r="J416" s="336"/>
      <c r="K416" s="301"/>
      <c r="L416" s="336"/>
      <c r="M416" s="301"/>
      <c r="N416" s="336"/>
      <c r="O416" s="301"/>
      <c r="P416" s="336"/>
      <c r="Q416" s="301"/>
      <c r="R416" s="336"/>
      <c r="S416" s="301"/>
      <c r="T416" s="336"/>
    </row>
    <row r="417" spans="1:20" ht="12" customHeight="1" x14ac:dyDescent="0.3">
      <c r="A417" s="329" t="s">
        <v>286</v>
      </c>
      <c r="B417" s="330">
        <v>34</v>
      </c>
      <c r="C417" s="298">
        <v>46142</v>
      </c>
      <c r="D417" s="298" t="s">
        <v>213</v>
      </c>
      <c r="E417" s="331">
        <v>230</v>
      </c>
      <c r="F417" s="331"/>
      <c r="G417" s="333">
        <f t="shared" si="13"/>
        <v>9888.7999999999847</v>
      </c>
      <c r="H417" s="334"/>
      <c r="I417" s="335"/>
      <c r="J417" s="336"/>
      <c r="K417" s="301"/>
      <c r="L417" s="336"/>
      <c r="M417" s="301"/>
      <c r="N417" s="336"/>
      <c r="O417" s="301"/>
      <c r="P417" s="336"/>
      <c r="Q417" s="301"/>
      <c r="R417" s="336"/>
      <c r="S417" s="301"/>
      <c r="T417" s="336"/>
    </row>
    <row r="418" spans="1:20" ht="12" customHeight="1" x14ac:dyDescent="0.3">
      <c r="A418" s="329" t="s">
        <v>286</v>
      </c>
      <c r="B418" s="330">
        <v>35</v>
      </c>
      <c r="C418" s="298">
        <v>46142</v>
      </c>
      <c r="D418" s="298" t="s">
        <v>214</v>
      </c>
      <c r="E418" s="331">
        <v>45</v>
      </c>
      <c r="F418" s="331"/>
      <c r="G418" s="333">
        <f t="shared" si="13"/>
        <v>10118.799999999985</v>
      </c>
      <c r="H418" s="334"/>
      <c r="I418" s="335"/>
      <c r="J418" s="336"/>
      <c r="K418" s="301"/>
      <c r="L418" s="336"/>
      <c r="M418" s="301"/>
      <c r="N418" s="336"/>
      <c r="O418" s="301"/>
      <c r="P418" s="336"/>
      <c r="Q418" s="301"/>
      <c r="R418" s="336"/>
      <c r="S418" s="301"/>
      <c r="T418" s="336"/>
    </row>
    <row r="419" spans="1:20" ht="12" customHeight="1" x14ac:dyDescent="0.3">
      <c r="A419" s="329" t="s">
        <v>287</v>
      </c>
      <c r="B419" s="330" t="s">
        <v>287</v>
      </c>
      <c r="C419" s="298">
        <v>46142</v>
      </c>
      <c r="D419" s="299" t="s">
        <v>288</v>
      </c>
      <c r="E419" s="331">
        <v>185.64</v>
      </c>
      <c r="F419" s="331">
        <v>185.64</v>
      </c>
      <c r="G419" s="333">
        <f t="shared" si="13"/>
        <v>10163.799999999985</v>
      </c>
      <c r="H419" s="334"/>
      <c r="I419" s="335"/>
      <c r="J419" s="336"/>
      <c r="K419" s="301"/>
      <c r="L419" s="336"/>
      <c r="M419" s="301"/>
      <c r="N419" s="336"/>
      <c r="O419" s="301"/>
      <c r="P419" s="336"/>
      <c r="Q419" s="301"/>
      <c r="R419" s="336"/>
      <c r="S419" s="301"/>
      <c r="T419" s="336"/>
    </row>
    <row r="420" spans="1:20" ht="12" customHeight="1" x14ac:dyDescent="0.3">
      <c r="A420" s="329" t="s">
        <v>289</v>
      </c>
      <c r="B420" s="330">
        <v>6</v>
      </c>
      <c r="C420" s="298">
        <v>46142</v>
      </c>
      <c r="D420" s="299" t="s">
        <v>290</v>
      </c>
      <c r="E420" s="331">
        <v>30</v>
      </c>
      <c r="F420" s="331"/>
      <c r="G420" s="333">
        <f t="shared" si="13"/>
        <v>10163.799999999985</v>
      </c>
      <c r="H420" s="334"/>
      <c r="I420" s="335"/>
      <c r="J420" s="336"/>
      <c r="K420" s="301"/>
      <c r="L420" s="336"/>
      <c r="M420" s="301"/>
      <c r="N420" s="336"/>
      <c r="O420" s="301"/>
      <c r="P420" s="336"/>
      <c r="Q420" s="301"/>
      <c r="R420" s="336"/>
      <c r="S420" s="301"/>
      <c r="T420" s="336"/>
    </row>
    <row r="421" spans="1:20" ht="12" customHeight="1" x14ac:dyDescent="0.3">
      <c r="A421" s="329" t="s">
        <v>291</v>
      </c>
      <c r="B421" s="330">
        <v>39</v>
      </c>
      <c r="C421" s="298">
        <v>46142</v>
      </c>
      <c r="D421" s="299" t="s">
        <v>292</v>
      </c>
      <c r="E421" s="331"/>
      <c r="F421" s="331">
        <v>2763.78</v>
      </c>
      <c r="G421" s="333">
        <f t="shared" si="13"/>
        <v>10193.799999999985</v>
      </c>
      <c r="H421" s="334"/>
      <c r="I421" s="335"/>
      <c r="J421" s="336"/>
      <c r="K421" s="301"/>
      <c r="L421" s="336"/>
      <c r="M421" s="301"/>
      <c r="N421" s="336"/>
      <c r="O421" s="301"/>
      <c r="P421" s="336"/>
      <c r="Q421" s="301"/>
      <c r="R421" s="336"/>
      <c r="S421" s="301"/>
      <c r="T421" s="336"/>
    </row>
    <row r="422" spans="1:20" ht="12" customHeight="1" x14ac:dyDescent="0.3">
      <c r="A422" s="329" t="s">
        <v>291</v>
      </c>
      <c r="B422" s="330">
        <v>38</v>
      </c>
      <c r="C422" s="298">
        <v>46142</v>
      </c>
      <c r="D422" s="299" t="s">
        <v>293</v>
      </c>
      <c r="E422" s="331"/>
      <c r="F422" s="331">
        <v>4597.82</v>
      </c>
      <c r="G422" s="333">
        <f t="shared" si="13"/>
        <v>7430.019999999985</v>
      </c>
      <c r="H422" s="334"/>
      <c r="I422" s="335"/>
      <c r="J422" s="336"/>
      <c r="K422" s="301"/>
      <c r="L422" s="336"/>
      <c r="M422" s="301"/>
      <c r="N422" s="336"/>
      <c r="O422" s="301"/>
      <c r="P422" s="336"/>
      <c r="Q422" s="301"/>
      <c r="R422" s="336"/>
      <c r="S422" s="301"/>
      <c r="T422" s="336"/>
    </row>
    <row r="423" spans="1:20" ht="12" customHeight="1" x14ac:dyDescent="0.3">
      <c r="A423" s="329" t="s">
        <v>294</v>
      </c>
      <c r="B423" s="330">
        <v>42</v>
      </c>
      <c r="C423" s="298">
        <v>46142</v>
      </c>
      <c r="D423" s="299" t="s">
        <v>200</v>
      </c>
      <c r="E423" s="331">
        <v>50.92</v>
      </c>
      <c r="F423" s="331"/>
      <c r="G423" s="333">
        <f t="shared" si="13"/>
        <v>2832.1999999999853</v>
      </c>
      <c r="H423" s="334"/>
      <c r="I423" s="335"/>
      <c r="J423" s="336"/>
      <c r="K423" s="301"/>
      <c r="L423" s="336"/>
      <c r="M423" s="301"/>
      <c r="N423" s="336"/>
      <c r="O423" s="301"/>
      <c r="P423" s="336"/>
      <c r="Q423" s="301"/>
      <c r="R423" s="336"/>
      <c r="S423" s="301"/>
      <c r="T423" s="336"/>
    </row>
    <row r="424" spans="1:20" ht="12" customHeight="1" x14ac:dyDescent="0.3">
      <c r="A424" s="329" t="s">
        <v>294</v>
      </c>
      <c r="B424" s="330">
        <v>43</v>
      </c>
      <c r="C424" s="298">
        <v>46142</v>
      </c>
      <c r="D424" s="299" t="s">
        <v>201</v>
      </c>
      <c r="E424" s="331">
        <v>50.92</v>
      </c>
      <c r="F424" s="331"/>
      <c r="G424" s="333">
        <f t="shared" si="13"/>
        <v>2883.1199999999853</v>
      </c>
      <c r="H424" s="334"/>
      <c r="I424" s="335"/>
      <c r="J424" s="336"/>
      <c r="K424" s="301"/>
      <c r="L424" s="336"/>
      <c r="M424" s="301"/>
      <c r="N424" s="336"/>
      <c r="O424" s="301"/>
      <c r="P424" s="336"/>
      <c r="Q424" s="301"/>
      <c r="R424" s="336"/>
      <c r="S424" s="301"/>
      <c r="T424" s="336"/>
    </row>
    <row r="425" spans="1:20" ht="12" customHeight="1" x14ac:dyDescent="0.3">
      <c r="A425" s="329" t="s">
        <v>289</v>
      </c>
      <c r="B425" s="330">
        <v>4</v>
      </c>
      <c r="C425" s="298">
        <v>46142</v>
      </c>
      <c r="D425" s="299" t="s">
        <v>295</v>
      </c>
      <c r="E425" s="331">
        <v>35.799999999999997</v>
      </c>
      <c r="F425" s="331"/>
      <c r="G425" s="333">
        <f t="shared" si="13"/>
        <v>2934.0399999999854</v>
      </c>
      <c r="H425" s="334"/>
      <c r="I425" s="335"/>
      <c r="J425" s="336"/>
      <c r="K425" s="301"/>
      <c r="L425" s="336"/>
      <c r="M425" s="301"/>
      <c r="N425" s="336"/>
      <c r="O425" s="301"/>
      <c r="P425" s="336"/>
      <c r="Q425" s="301"/>
      <c r="R425" s="336"/>
      <c r="S425" s="301"/>
      <c r="T425" s="336"/>
    </row>
    <row r="426" spans="1:20" ht="12" customHeight="1" x14ac:dyDescent="0.3">
      <c r="A426" s="329" t="s">
        <v>294</v>
      </c>
      <c r="B426" s="330">
        <v>10</v>
      </c>
      <c r="C426" s="298">
        <v>46142</v>
      </c>
      <c r="D426" s="299" t="s">
        <v>176</v>
      </c>
      <c r="E426" s="331">
        <v>17.899999999999999</v>
      </c>
      <c r="F426" s="331"/>
      <c r="G426" s="333">
        <f t="shared" si="13"/>
        <v>2969.8399999999856</v>
      </c>
      <c r="H426" s="334"/>
      <c r="I426" s="335"/>
      <c r="J426" s="336"/>
      <c r="K426" s="301"/>
      <c r="L426" s="336"/>
      <c r="M426" s="301"/>
      <c r="N426" s="336"/>
      <c r="O426" s="301"/>
      <c r="P426" s="336"/>
      <c r="Q426" s="301"/>
      <c r="R426" s="336"/>
      <c r="S426" s="301"/>
      <c r="T426" s="336"/>
    </row>
    <row r="427" spans="1:20" ht="12" customHeight="1" x14ac:dyDescent="0.3">
      <c r="A427" s="329" t="s">
        <v>289</v>
      </c>
      <c r="B427" s="330">
        <v>2</v>
      </c>
      <c r="C427" s="298">
        <v>46142</v>
      </c>
      <c r="D427" s="299" t="s">
        <v>296</v>
      </c>
      <c r="E427" s="331">
        <v>8.7200000000000006</v>
      </c>
      <c r="F427" s="331"/>
      <c r="G427" s="333">
        <f t="shared" si="13"/>
        <v>2987.7399999999857</v>
      </c>
      <c r="H427" s="334"/>
      <c r="I427" s="335"/>
      <c r="J427" s="336"/>
      <c r="K427" s="301"/>
      <c r="L427" s="336"/>
      <c r="M427" s="301"/>
      <c r="N427" s="336"/>
      <c r="O427" s="301"/>
      <c r="P427" s="336"/>
      <c r="Q427" s="301"/>
      <c r="R427" s="336"/>
      <c r="S427" s="301"/>
      <c r="T427" s="336"/>
    </row>
    <row r="428" spans="1:20" ht="12" customHeight="1" x14ac:dyDescent="0.3">
      <c r="A428" s="329" t="s">
        <v>289</v>
      </c>
      <c r="B428" s="330">
        <v>2</v>
      </c>
      <c r="C428" s="298">
        <v>46142</v>
      </c>
      <c r="D428" s="299" t="s">
        <v>297</v>
      </c>
      <c r="E428" s="331">
        <v>100</v>
      </c>
      <c r="F428" s="331"/>
      <c r="G428" s="333">
        <f t="shared" si="13"/>
        <v>2996.4599999999855</v>
      </c>
      <c r="H428" s="334" t="s">
        <v>298</v>
      </c>
      <c r="I428" s="335"/>
      <c r="J428" s="336"/>
      <c r="K428" s="301"/>
      <c r="L428" s="336"/>
      <c r="M428" s="301"/>
      <c r="N428" s="336"/>
      <c r="O428" s="301"/>
      <c r="P428" s="336"/>
      <c r="Q428" s="301"/>
      <c r="R428" s="336"/>
      <c r="S428" s="301"/>
      <c r="T428" s="336"/>
    </row>
    <row r="429" spans="1:20" ht="12" customHeight="1" x14ac:dyDescent="0.3">
      <c r="A429" s="329" t="s">
        <v>289</v>
      </c>
      <c r="B429" s="330">
        <v>5</v>
      </c>
      <c r="C429" s="298">
        <v>46142</v>
      </c>
      <c r="D429" s="299" t="s">
        <v>297</v>
      </c>
      <c r="E429" s="331">
        <v>100</v>
      </c>
      <c r="F429" s="331"/>
      <c r="G429" s="333">
        <f t="shared" si="13"/>
        <v>3096.4599999999855</v>
      </c>
      <c r="H429" s="334" t="s">
        <v>298</v>
      </c>
      <c r="I429" s="335"/>
      <c r="J429" s="336"/>
      <c r="K429" s="301"/>
      <c r="L429" s="336"/>
      <c r="M429" s="301"/>
      <c r="N429" s="336"/>
      <c r="O429" s="301"/>
      <c r="P429" s="336"/>
      <c r="Q429" s="301"/>
      <c r="R429" s="336"/>
      <c r="S429" s="301"/>
      <c r="T429" s="336"/>
    </row>
    <row r="430" spans="1:20" ht="12" customHeight="1" x14ac:dyDescent="0.3">
      <c r="A430" s="329" t="s">
        <v>289</v>
      </c>
      <c r="B430" s="330">
        <v>6</v>
      </c>
      <c r="C430" s="298">
        <v>46142</v>
      </c>
      <c r="D430" s="299" t="s">
        <v>297</v>
      </c>
      <c r="E430" s="331">
        <v>100</v>
      </c>
      <c r="F430" s="331"/>
      <c r="G430" s="333">
        <f t="shared" si="13"/>
        <v>3196.4599999999855</v>
      </c>
      <c r="H430" s="334" t="s">
        <v>298</v>
      </c>
      <c r="I430" s="335"/>
      <c r="J430" s="336"/>
      <c r="K430" s="301"/>
      <c r="L430" s="336"/>
      <c r="M430" s="301"/>
      <c r="N430" s="336"/>
      <c r="O430" s="301"/>
      <c r="P430" s="336"/>
      <c r="Q430" s="301"/>
      <c r="R430" s="336"/>
      <c r="S430" s="301"/>
      <c r="T430" s="336"/>
    </row>
    <row r="431" spans="1:20" ht="12" customHeight="1" x14ac:dyDescent="0.3">
      <c r="A431" s="329" t="s">
        <v>289</v>
      </c>
      <c r="B431" s="330">
        <v>8</v>
      </c>
      <c r="C431" s="298">
        <v>46142</v>
      </c>
      <c r="D431" s="299" t="s">
        <v>297</v>
      </c>
      <c r="E431" s="331">
        <v>100</v>
      </c>
      <c r="F431" s="331"/>
      <c r="G431" s="333">
        <f t="shared" si="13"/>
        <v>3296.4599999999855</v>
      </c>
      <c r="H431" s="334" t="s">
        <v>298</v>
      </c>
      <c r="I431" s="335"/>
      <c r="J431" s="336"/>
      <c r="K431" s="301"/>
      <c r="L431" s="336"/>
      <c r="M431" s="301"/>
      <c r="N431" s="336"/>
      <c r="O431" s="301"/>
      <c r="P431" s="336"/>
      <c r="Q431" s="301"/>
      <c r="R431" s="336"/>
      <c r="S431" s="301"/>
      <c r="T431" s="336"/>
    </row>
    <row r="432" spans="1:20" ht="12" customHeight="1" x14ac:dyDescent="0.3">
      <c r="A432" s="329" t="s">
        <v>291</v>
      </c>
      <c r="B432" s="330">
        <v>41</v>
      </c>
      <c r="C432" s="298">
        <v>46142</v>
      </c>
      <c r="D432" s="299" t="s">
        <v>299</v>
      </c>
      <c r="E432" s="331"/>
      <c r="F432" s="331">
        <v>250</v>
      </c>
      <c r="G432" s="333">
        <f t="shared" si="13"/>
        <v>3396.4599999999855</v>
      </c>
      <c r="H432" s="334"/>
      <c r="I432" s="335"/>
      <c r="J432" s="336"/>
      <c r="K432" s="301"/>
      <c r="L432" s="336"/>
      <c r="M432" s="301"/>
      <c r="N432" s="336"/>
      <c r="O432" s="301"/>
      <c r="P432" s="336"/>
      <c r="Q432" s="301"/>
      <c r="R432" s="336"/>
      <c r="S432" s="301"/>
      <c r="T432" s="336"/>
    </row>
    <row r="433" spans="1:20" ht="12" customHeight="1" x14ac:dyDescent="0.3">
      <c r="A433" s="329" t="s">
        <v>289</v>
      </c>
      <c r="B433" s="330">
        <v>6</v>
      </c>
      <c r="C433" s="298">
        <v>46142</v>
      </c>
      <c r="D433" s="299" t="s">
        <v>300</v>
      </c>
      <c r="E433" s="331">
        <v>42.44</v>
      </c>
      <c r="F433" s="331"/>
      <c r="G433" s="333">
        <f t="shared" si="13"/>
        <v>3146.4599999999855</v>
      </c>
      <c r="H433" s="334"/>
      <c r="I433" s="335"/>
      <c r="J433" s="336"/>
      <c r="K433" s="301"/>
      <c r="L433" s="336"/>
      <c r="M433" s="301"/>
      <c r="N433" s="336"/>
      <c r="O433" s="301"/>
      <c r="P433" s="336"/>
      <c r="Q433" s="301"/>
      <c r="R433" s="336"/>
      <c r="S433" s="301"/>
      <c r="T433" s="336"/>
    </row>
    <row r="434" spans="1:20" ht="12" customHeight="1" x14ac:dyDescent="0.3">
      <c r="A434" s="329" t="s">
        <v>289</v>
      </c>
      <c r="B434" s="330">
        <v>6</v>
      </c>
      <c r="C434" s="298">
        <v>46142</v>
      </c>
      <c r="D434" s="299" t="s">
        <v>300</v>
      </c>
      <c r="E434" s="331">
        <v>24.05</v>
      </c>
      <c r="F434" s="331"/>
      <c r="G434" s="333">
        <f t="shared" si="13"/>
        <v>3188.8999999999855</v>
      </c>
      <c r="H434" s="334"/>
      <c r="I434" s="335"/>
      <c r="J434" s="336"/>
      <c r="K434" s="301"/>
      <c r="L434" s="336"/>
      <c r="M434" s="301"/>
      <c r="N434" s="336"/>
      <c r="O434" s="301"/>
      <c r="P434" s="336"/>
      <c r="Q434" s="301"/>
      <c r="R434" s="336"/>
      <c r="S434" s="301"/>
      <c r="T434" s="336"/>
    </row>
    <row r="435" spans="1:20" ht="12" customHeight="1" x14ac:dyDescent="0.3">
      <c r="A435" s="329" t="s">
        <v>289</v>
      </c>
      <c r="B435" s="330">
        <v>2</v>
      </c>
      <c r="C435" s="298">
        <v>46141</v>
      </c>
      <c r="D435" s="299" t="s">
        <v>301</v>
      </c>
      <c r="E435" s="331">
        <v>31.8</v>
      </c>
      <c r="F435" s="331"/>
      <c r="G435" s="333">
        <f t="shared" si="13"/>
        <v>3212.9499999999857</v>
      </c>
      <c r="H435" s="334"/>
      <c r="I435" s="335"/>
      <c r="J435" s="336"/>
      <c r="K435" s="301"/>
      <c r="L435" s="336"/>
      <c r="M435" s="301"/>
      <c r="N435" s="336"/>
      <c r="O435" s="301"/>
      <c r="P435" s="336"/>
      <c r="Q435" s="301"/>
      <c r="R435" s="336"/>
      <c r="S435" s="301"/>
      <c r="T435" s="336"/>
    </row>
    <row r="436" spans="1:20" ht="12" customHeight="1" x14ac:dyDescent="0.3">
      <c r="A436" s="329" t="s">
        <v>289</v>
      </c>
      <c r="B436" s="330">
        <v>6</v>
      </c>
      <c r="C436" s="298">
        <v>46141</v>
      </c>
      <c r="D436" s="299" t="s">
        <v>302</v>
      </c>
      <c r="E436" s="331">
        <v>100</v>
      </c>
      <c r="F436" s="331"/>
      <c r="G436" s="333">
        <f t="shared" si="13"/>
        <v>3244.7499999999859</v>
      </c>
      <c r="H436" s="334"/>
      <c r="I436" s="335"/>
      <c r="J436" s="336"/>
      <c r="K436" s="301"/>
      <c r="L436" s="336"/>
      <c r="M436" s="301"/>
      <c r="N436" s="336"/>
      <c r="O436" s="301"/>
      <c r="P436" s="336"/>
      <c r="Q436" s="301"/>
      <c r="R436" s="336"/>
      <c r="S436" s="301"/>
      <c r="T436" s="336"/>
    </row>
    <row r="437" spans="1:20" ht="12" customHeight="1" x14ac:dyDescent="0.3">
      <c r="A437" s="329" t="s">
        <v>289</v>
      </c>
      <c r="B437" s="330">
        <v>6</v>
      </c>
      <c r="C437" s="298">
        <v>46141</v>
      </c>
      <c r="D437" s="299" t="s">
        <v>303</v>
      </c>
      <c r="E437" s="331">
        <v>75</v>
      </c>
      <c r="F437" s="331"/>
      <c r="G437" s="333">
        <f t="shared" si="13"/>
        <v>3344.7499999999859</v>
      </c>
      <c r="H437" s="334"/>
      <c r="I437" s="335"/>
      <c r="J437" s="336"/>
      <c r="K437" s="301"/>
      <c r="L437" s="336"/>
      <c r="M437" s="301"/>
      <c r="N437" s="336"/>
      <c r="O437" s="301"/>
      <c r="P437" s="336"/>
      <c r="Q437" s="301"/>
      <c r="R437" s="336"/>
      <c r="S437" s="301"/>
      <c r="T437" s="336"/>
    </row>
    <row r="438" spans="1:20" ht="12" customHeight="1" x14ac:dyDescent="0.3">
      <c r="A438" s="329" t="s">
        <v>289</v>
      </c>
      <c r="B438" s="330">
        <v>1</v>
      </c>
      <c r="C438" s="298">
        <v>46141</v>
      </c>
      <c r="D438" s="299" t="s">
        <v>304</v>
      </c>
      <c r="E438" s="331">
        <v>52.5</v>
      </c>
      <c r="F438" s="331"/>
      <c r="G438" s="333">
        <f t="shared" si="13"/>
        <v>3419.7499999999859</v>
      </c>
      <c r="H438" s="334"/>
      <c r="I438" s="335"/>
      <c r="J438" s="336"/>
      <c r="K438" s="301"/>
      <c r="L438" s="336"/>
      <c r="M438" s="301"/>
      <c r="N438" s="336"/>
      <c r="O438" s="301"/>
      <c r="P438" s="336"/>
      <c r="Q438" s="301"/>
      <c r="R438" s="336"/>
      <c r="S438" s="301"/>
      <c r="T438" s="336"/>
    </row>
    <row r="439" spans="1:20" ht="12" customHeight="1" x14ac:dyDescent="0.3">
      <c r="A439" s="329" t="s">
        <v>289</v>
      </c>
      <c r="B439" s="330">
        <v>6</v>
      </c>
      <c r="C439" s="298">
        <v>46141</v>
      </c>
      <c r="D439" s="299" t="s">
        <v>305</v>
      </c>
      <c r="E439" s="331">
        <v>-256</v>
      </c>
      <c r="F439" s="331"/>
      <c r="G439" s="333">
        <f t="shared" si="13"/>
        <v>3472.2499999999859</v>
      </c>
      <c r="H439" s="334"/>
      <c r="I439" s="335"/>
      <c r="J439" s="336"/>
      <c r="K439" s="301"/>
      <c r="L439" s="336"/>
      <c r="M439" s="301"/>
      <c r="N439" s="336"/>
      <c r="O439" s="301"/>
      <c r="P439" s="336"/>
      <c r="Q439" s="301"/>
      <c r="R439" s="336"/>
      <c r="S439" s="301"/>
      <c r="T439" s="336"/>
    </row>
    <row r="440" spans="1:20" ht="12" customHeight="1" x14ac:dyDescent="0.3">
      <c r="A440" s="329" t="s">
        <v>289</v>
      </c>
      <c r="B440" s="330">
        <v>6</v>
      </c>
      <c r="C440" s="298">
        <v>46140</v>
      </c>
      <c r="D440" s="299" t="s">
        <v>300</v>
      </c>
      <c r="E440" s="331">
        <v>20.38</v>
      </c>
      <c r="F440" s="331"/>
      <c r="G440" s="333">
        <f t="shared" si="13"/>
        <v>3216.2499999999859</v>
      </c>
      <c r="H440" s="334"/>
      <c r="I440" s="335"/>
      <c r="J440" s="336"/>
      <c r="K440" s="301"/>
      <c r="L440" s="336"/>
      <c r="M440" s="301"/>
      <c r="N440" s="336"/>
      <c r="O440" s="301"/>
      <c r="P440" s="336"/>
      <c r="Q440" s="301"/>
      <c r="R440" s="336"/>
      <c r="S440" s="301"/>
      <c r="T440" s="336"/>
    </row>
    <row r="441" spans="1:20" ht="12" customHeight="1" x14ac:dyDescent="0.3">
      <c r="A441" s="329" t="s">
        <v>289</v>
      </c>
      <c r="B441" s="330">
        <v>2</v>
      </c>
      <c r="C441" s="298">
        <v>46140</v>
      </c>
      <c r="D441" s="299" t="s">
        <v>296</v>
      </c>
      <c r="E441" s="331">
        <v>15.41</v>
      </c>
      <c r="F441" s="331"/>
      <c r="G441" s="333">
        <f t="shared" si="13"/>
        <v>3236.629999999986</v>
      </c>
      <c r="H441" s="334"/>
      <c r="I441" s="335"/>
      <c r="J441" s="336"/>
      <c r="K441" s="301"/>
      <c r="L441" s="336"/>
      <c r="M441" s="301"/>
      <c r="N441" s="336"/>
      <c r="O441" s="301"/>
      <c r="P441" s="336"/>
      <c r="Q441" s="301"/>
      <c r="R441" s="336"/>
      <c r="S441" s="301"/>
      <c r="T441" s="336"/>
    </row>
    <row r="442" spans="1:20" ht="12" customHeight="1" x14ac:dyDescent="0.3">
      <c r="A442" s="329" t="s">
        <v>289</v>
      </c>
      <c r="B442" s="330">
        <v>4</v>
      </c>
      <c r="C442" s="298">
        <v>46140</v>
      </c>
      <c r="D442" s="299" t="s">
        <v>296</v>
      </c>
      <c r="E442" s="331">
        <v>33.840000000000003</v>
      </c>
      <c r="F442" s="331"/>
      <c r="G442" s="333">
        <f t="shared" si="13"/>
        <v>3252.0399999999859</v>
      </c>
      <c r="H442" s="334"/>
      <c r="I442" s="335"/>
      <c r="J442" s="336"/>
      <c r="K442" s="301"/>
      <c r="L442" s="336"/>
      <c r="M442" s="301"/>
      <c r="N442" s="336"/>
      <c r="O442" s="301"/>
      <c r="P442" s="336"/>
      <c r="Q442" s="301"/>
      <c r="R442" s="336"/>
      <c r="S442" s="301"/>
      <c r="T442" s="336"/>
    </row>
    <row r="443" spans="1:20" ht="12" customHeight="1" x14ac:dyDescent="0.3">
      <c r="A443" s="329" t="s">
        <v>289</v>
      </c>
      <c r="B443" s="330">
        <v>1</v>
      </c>
      <c r="C443" s="298">
        <v>46140</v>
      </c>
      <c r="D443" s="299" t="s">
        <v>306</v>
      </c>
      <c r="E443" s="331">
        <v>5.3</v>
      </c>
      <c r="F443" s="331"/>
      <c r="G443" s="333">
        <f t="shared" si="13"/>
        <v>3285.879999999986</v>
      </c>
      <c r="H443" s="334"/>
      <c r="I443" s="335"/>
      <c r="J443" s="336"/>
      <c r="K443" s="301"/>
      <c r="L443" s="336"/>
      <c r="M443" s="301"/>
      <c r="N443" s="336"/>
      <c r="O443" s="301"/>
      <c r="P443" s="336"/>
      <c r="Q443" s="301"/>
      <c r="R443" s="336"/>
      <c r="S443" s="301"/>
      <c r="T443" s="336"/>
    </row>
    <row r="444" spans="1:20" ht="12" customHeight="1" x14ac:dyDescent="0.3">
      <c r="A444" s="329" t="s">
        <v>289</v>
      </c>
      <c r="B444" s="330">
        <v>5</v>
      </c>
      <c r="C444" s="298">
        <v>46140</v>
      </c>
      <c r="D444" s="299" t="s">
        <v>307</v>
      </c>
      <c r="E444" s="331">
        <v>500</v>
      </c>
      <c r="F444" s="331"/>
      <c r="G444" s="333">
        <f t="shared" si="13"/>
        <v>3291.1799999999862</v>
      </c>
      <c r="H444" s="334"/>
      <c r="I444" s="335"/>
      <c r="J444" s="336"/>
      <c r="K444" s="301"/>
      <c r="L444" s="336"/>
      <c r="M444" s="301"/>
      <c r="N444" s="336"/>
      <c r="O444" s="301"/>
      <c r="P444" s="336"/>
      <c r="Q444" s="301"/>
      <c r="R444" s="336"/>
      <c r="S444" s="301"/>
      <c r="T444" s="336"/>
    </row>
    <row r="445" spans="1:20" ht="12" customHeight="1" x14ac:dyDescent="0.3">
      <c r="A445" s="329" t="s">
        <v>289</v>
      </c>
      <c r="B445" s="330">
        <v>8</v>
      </c>
      <c r="C445" s="298">
        <v>46140</v>
      </c>
      <c r="D445" s="299" t="s">
        <v>308</v>
      </c>
      <c r="E445" s="331">
        <v>47.99</v>
      </c>
      <c r="F445" s="331"/>
      <c r="G445" s="333">
        <f t="shared" si="13"/>
        <v>3791.1799999999862</v>
      </c>
      <c r="H445" s="334"/>
      <c r="I445" s="335"/>
      <c r="J445" s="336"/>
      <c r="K445" s="301"/>
      <c r="L445" s="336"/>
      <c r="M445" s="301"/>
      <c r="N445" s="336"/>
      <c r="O445" s="301"/>
      <c r="P445" s="336"/>
      <c r="Q445" s="301"/>
      <c r="R445" s="336"/>
      <c r="S445" s="301"/>
      <c r="T445" s="336"/>
    </row>
    <row r="446" spans="1:20" ht="12" customHeight="1" x14ac:dyDescent="0.3">
      <c r="A446" s="329" t="s">
        <v>289</v>
      </c>
      <c r="B446" s="330">
        <v>3</v>
      </c>
      <c r="C446" s="298">
        <v>46139</v>
      </c>
      <c r="D446" s="299" t="s">
        <v>309</v>
      </c>
      <c r="E446" s="331">
        <v>13.11</v>
      </c>
      <c r="F446" s="331"/>
      <c r="G446" s="333">
        <f t="shared" si="13"/>
        <v>3839.169999999986</v>
      </c>
      <c r="H446" s="334"/>
      <c r="I446" s="335"/>
      <c r="J446" s="336"/>
      <c r="K446" s="301"/>
      <c r="L446" s="336"/>
      <c r="M446" s="301"/>
      <c r="N446" s="336"/>
      <c r="O446" s="301"/>
      <c r="P446" s="336"/>
      <c r="Q446" s="301"/>
      <c r="R446" s="336"/>
      <c r="S446" s="301"/>
      <c r="T446" s="336"/>
    </row>
    <row r="447" spans="1:20" ht="12" customHeight="1" x14ac:dyDescent="0.3">
      <c r="A447" s="329" t="s">
        <v>289</v>
      </c>
      <c r="B447" s="330">
        <v>4</v>
      </c>
      <c r="C447" s="298">
        <v>46139</v>
      </c>
      <c r="D447" s="299" t="s">
        <v>310</v>
      </c>
      <c r="E447" s="331">
        <v>30.54</v>
      </c>
      <c r="F447" s="331"/>
      <c r="G447" s="333">
        <f t="shared" si="13"/>
        <v>3852.2799999999861</v>
      </c>
      <c r="H447" s="334"/>
      <c r="I447" s="335"/>
      <c r="J447" s="336"/>
      <c r="K447" s="301"/>
      <c r="L447" s="336"/>
      <c r="M447" s="301"/>
      <c r="N447" s="336"/>
      <c r="O447" s="301"/>
      <c r="P447" s="336"/>
      <c r="Q447" s="301"/>
      <c r="R447" s="336"/>
      <c r="S447" s="301"/>
      <c r="T447" s="336"/>
    </row>
    <row r="448" spans="1:20" ht="12" customHeight="1" x14ac:dyDescent="0.3">
      <c r="A448" s="329" t="s">
        <v>289</v>
      </c>
      <c r="B448" s="330">
        <v>1</v>
      </c>
      <c r="C448" s="298">
        <v>46139</v>
      </c>
      <c r="D448" s="299" t="s">
        <v>311</v>
      </c>
      <c r="E448" s="331">
        <v>163.01</v>
      </c>
      <c r="F448" s="331"/>
      <c r="G448" s="333">
        <f t="shared" si="13"/>
        <v>3882.8199999999861</v>
      </c>
      <c r="H448" s="334"/>
      <c r="I448" s="335"/>
      <c r="J448" s="336"/>
      <c r="K448" s="301"/>
      <c r="L448" s="336"/>
      <c r="M448" s="301"/>
      <c r="N448" s="336"/>
      <c r="O448" s="301"/>
      <c r="P448" s="336"/>
      <c r="Q448" s="301"/>
      <c r="R448" s="336"/>
      <c r="S448" s="301"/>
      <c r="T448" s="336"/>
    </row>
    <row r="449" spans="1:20" ht="12" customHeight="1" x14ac:dyDescent="0.3">
      <c r="A449" s="329" t="s">
        <v>289</v>
      </c>
      <c r="B449" s="330">
        <v>6</v>
      </c>
      <c r="C449" s="298">
        <v>46139</v>
      </c>
      <c r="D449" s="299" t="s">
        <v>312</v>
      </c>
      <c r="E449" s="331">
        <v>54.97</v>
      </c>
      <c r="F449" s="331"/>
      <c r="G449" s="333">
        <f t="shared" si="13"/>
        <v>4045.8299999999858</v>
      </c>
      <c r="H449" s="334"/>
      <c r="I449" s="335"/>
      <c r="J449" s="336"/>
      <c r="K449" s="301"/>
      <c r="L449" s="336"/>
      <c r="M449" s="301"/>
      <c r="N449" s="336"/>
      <c r="O449" s="301"/>
      <c r="P449" s="336"/>
      <c r="Q449" s="301"/>
      <c r="R449" s="336"/>
      <c r="S449" s="301"/>
      <c r="T449" s="336"/>
    </row>
    <row r="450" spans="1:20" ht="12" customHeight="1" x14ac:dyDescent="0.3">
      <c r="A450" s="329" t="s">
        <v>289</v>
      </c>
      <c r="B450" s="330">
        <v>1</v>
      </c>
      <c r="C450" s="298">
        <v>46139</v>
      </c>
      <c r="D450" s="299" t="s">
        <v>306</v>
      </c>
      <c r="E450" s="331">
        <v>51.28</v>
      </c>
      <c r="F450" s="331"/>
      <c r="G450" s="333">
        <f t="shared" si="13"/>
        <v>4100.7999999999856</v>
      </c>
      <c r="H450" s="334"/>
      <c r="I450" s="335"/>
      <c r="J450" s="336"/>
      <c r="K450" s="301"/>
      <c r="L450" s="336"/>
      <c r="M450" s="301"/>
      <c r="N450" s="336"/>
      <c r="O450" s="301"/>
      <c r="P450" s="336"/>
      <c r="Q450" s="301"/>
      <c r="R450" s="336"/>
      <c r="S450" s="301"/>
      <c r="T450" s="336"/>
    </row>
    <row r="451" spans="1:20" ht="12" customHeight="1" x14ac:dyDescent="0.3">
      <c r="A451" s="329" t="s">
        <v>289</v>
      </c>
      <c r="B451" s="330">
        <v>6</v>
      </c>
      <c r="C451" s="298">
        <v>46138</v>
      </c>
      <c r="D451" s="299" t="s">
        <v>312</v>
      </c>
      <c r="E451" s="331">
        <v>38.979999999999997</v>
      </c>
      <c r="F451" s="331"/>
      <c r="G451" s="333">
        <f t="shared" si="13"/>
        <v>4152.0799999999854</v>
      </c>
      <c r="H451" s="334"/>
      <c r="I451" s="335"/>
      <c r="J451" s="336"/>
      <c r="K451" s="301"/>
      <c r="L451" s="336"/>
      <c r="M451" s="301"/>
      <c r="N451" s="336"/>
      <c r="O451" s="301"/>
      <c r="P451" s="336"/>
      <c r="Q451" s="301"/>
      <c r="R451" s="336"/>
      <c r="S451" s="301"/>
      <c r="T451" s="336"/>
    </row>
    <row r="452" spans="1:20" ht="12" customHeight="1" x14ac:dyDescent="0.3">
      <c r="A452" s="329" t="s">
        <v>289</v>
      </c>
      <c r="B452" s="330">
        <v>2</v>
      </c>
      <c r="C452" s="298">
        <v>46138</v>
      </c>
      <c r="D452" s="299" t="s">
        <v>313</v>
      </c>
      <c r="E452" s="331">
        <v>39.83</v>
      </c>
      <c r="F452" s="331"/>
      <c r="G452" s="333">
        <f t="shared" si="13"/>
        <v>4191.0599999999849</v>
      </c>
      <c r="H452" s="334"/>
      <c r="I452" s="335"/>
      <c r="J452" s="336"/>
      <c r="K452" s="301"/>
      <c r="L452" s="336"/>
      <c r="M452" s="301"/>
      <c r="N452" s="336"/>
      <c r="O452" s="301"/>
      <c r="P452" s="336"/>
      <c r="Q452" s="301"/>
      <c r="R452" s="336"/>
      <c r="S452" s="301"/>
      <c r="T452" s="336"/>
    </row>
    <row r="453" spans="1:20" ht="12" customHeight="1" x14ac:dyDescent="0.3">
      <c r="A453" s="329" t="s">
        <v>289</v>
      </c>
      <c r="B453" s="330">
        <v>8</v>
      </c>
      <c r="C453" s="298">
        <v>46138</v>
      </c>
      <c r="D453" s="299" t="s">
        <v>313</v>
      </c>
      <c r="E453" s="331">
        <v>51.24</v>
      </c>
      <c r="F453" s="331"/>
      <c r="G453" s="333">
        <f t="shared" si="13"/>
        <v>4230.8899999999849</v>
      </c>
      <c r="H453" s="334"/>
      <c r="I453" s="335"/>
      <c r="J453" s="336"/>
      <c r="K453" s="301"/>
      <c r="L453" s="336"/>
      <c r="M453" s="301"/>
      <c r="N453" s="336"/>
      <c r="O453" s="301"/>
      <c r="P453" s="336"/>
      <c r="Q453" s="301"/>
      <c r="R453" s="336"/>
      <c r="S453" s="301"/>
      <c r="T453" s="336"/>
    </row>
    <row r="454" spans="1:20" ht="12" customHeight="1" x14ac:dyDescent="0.3">
      <c r="A454" s="329" t="s">
        <v>294</v>
      </c>
      <c r="B454" s="330">
        <v>12</v>
      </c>
      <c r="C454" s="298">
        <v>46137</v>
      </c>
      <c r="D454" s="299" t="s">
        <v>314</v>
      </c>
      <c r="E454" s="331">
        <v>214.74</v>
      </c>
      <c r="F454" s="331"/>
      <c r="G454" s="333">
        <f t="shared" si="13"/>
        <v>4282.1299999999846</v>
      </c>
      <c r="H454" s="334"/>
      <c r="I454" s="335"/>
      <c r="J454" s="336"/>
      <c r="K454" s="301"/>
      <c r="L454" s="336"/>
      <c r="M454" s="301"/>
      <c r="N454" s="336"/>
      <c r="O454" s="301"/>
      <c r="P454" s="336"/>
      <c r="Q454" s="301"/>
      <c r="R454" s="336"/>
      <c r="S454" s="301"/>
      <c r="T454" s="336"/>
    </row>
    <row r="455" spans="1:20" ht="12" customHeight="1" x14ac:dyDescent="0.3">
      <c r="A455" s="329" t="s">
        <v>287</v>
      </c>
      <c r="B455" s="330" t="s">
        <v>287</v>
      </c>
      <c r="C455" s="298">
        <v>46136</v>
      </c>
      <c r="D455" s="299" t="s">
        <v>315</v>
      </c>
      <c r="E455" s="331">
        <v>127.68</v>
      </c>
      <c r="F455" s="331">
        <v>127.68</v>
      </c>
      <c r="G455" s="333">
        <f t="shared" si="13"/>
        <v>4496.8699999999844</v>
      </c>
      <c r="H455" s="334"/>
      <c r="I455" s="335"/>
      <c r="J455" s="336"/>
      <c r="K455" s="301"/>
      <c r="L455" s="336"/>
      <c r="M455" s="301"/>
      <c r="N455" s="336"/>
      <c r="O455" s="301"/>
      <c r="P455" s="336"/>
      <c r="Q455" s="301"/>
      <c r="R455" s="336"/>
      <c r="S455" s="301"/>
      <c r="T455" s="336"/>
    </row>
    <row r="456" spans="1:20" ht="12" customHeight="1" x14ac:dyDescent="0.3">
      <c r="A456" s="329" t="s">
        <v>289</v>
      </c>
      <c r="B456" s="330">
        <v>8</v>
      </c>
      <c r="C456" s="298">
        <v>46135</v>
      </c>
      <c r="D456" s="299" t="s">
        <v>863</v>
      </c>
      <c r="E456" s="331">
        <v>65</v>
      </c>
      <c r="F456" s="331"/>
      <c r="G456" s="333">
        <f t="shared" si="13"/>
        <v>4496.8699999999844</v>
      </c>
      <c r="H456" s="334"/>
      <c r="I456" s="335"/>
      <c r="J456" s="336"/>
      <c r="K456" s="301"/>
      <c r="L456" s="336"/>
      <c r="M456" s="301"/>
      <c r="N456" s="336"/>
      <c r="O456" s="301"/>
      <c r="P456" s="336"/>
      <c r="Q456" s="301"/>
      <c r="R456" s="336"/>
      <c r="S456" s="301"/>
      <c r="T456" s="336"/>
    </row>
    <row r="457" spans="1:20" ht="12" customHeight="1" x14ac:dyDescent="0.3">
      <c r="A457" s="329" t="s">
        <v>291</v>
      </c>
      <c r="B457" s="330">
        <v>40</v>
      </c>
      <c r="C457" s="298">
        <v>46134</v>
      </c>
      <c r="D457" s="299" t="s">
        <v>316</v>
      </c>
      <c r="E457" s="331"/>
      <c r="F457" s="331">
        <v>838.69</v>
      </c>
      <c r="G457" s="333">
        <f t="shared" si="13"/>
        <v>4561.8699999999844</v>
      </c>
      <c r="H457" s="334"/>
      <c r="I457" s="335"/>
      <c r="J457" s="336"/>
      <c r="K457" s="301"/>
      <c r="L457" s="336"/>
      <c r="M457" s="301"/>
      <c r="N457" s="336"/>
      <c r="O457" s="301"/>
      <c r="P457" s="336"/>
      <c r="Q457" s="301"/>
      <c r="R457" s="336"/>
      <c r="S457" s="301"/>
      <c r="T457" s="336"/>
    </row>
    <row r="458" spans="1:20" ht="12" customHeight="1" x14ac:dyDescent="0.3">
      <c r="A458" s="329" t="s">
        <v>289</v>
      </c>
      <c r="B458" s="330">
        <v>2</v>
      </c>
      <c r="C458" s="298">
        <v>46134</v>
      </c>
      <c r="D458" s="299" t="s">
        <v>317</v>
      </c>
      <c r="E458" s="331">
        <v>17.03</v>
      </c>
      <c r="F458" s="331"/>
      <c r="G458" s="333">
        <f t="shared" si="13"/>
        <v>3723.1799999999848</v>
      </c>
      <c r="H458" s="334"/>
      <c r="I458" s="335"/>
      <c r="J458" s="336"/>
      <c r="K458" s="301"/>
      <c r="L458" s="336"/>
      <c r="M458" s="301"/>
      <c r="N458" s="336"/>
      <c r="O458" s="301"/>
      <c r="P458" s="336"/>
      <c r="Q458" s="301"/>
      <c r="R458" s="336"/>
      <c r="S458" s="301"/>
      <c r="T458" s="336"/>
    </row>
    <row r="459" spans="1:20" ht="12" customHeight="1" x14ac:dyDescent="0.3">
      <c r="A459" s="329" t="s">
        <v>289</v>
      </c>
      <c r="B459" s="330">
        <v>6</v>
      </c>
      <c r="C459" s="298">
        <v>46134</v>
      </c>
      <c r="D459" s="299" t="s">
        <v>312</v>
      </c>
      <c r="E459" s="331">
        <v>51.94</v>
      </c>
      <c r="F459" s="331"/>
      <c r="G459" s="333">
        <f t="shared" si="13"/>
        <v>3740.209999999985</v>
      </c>
      <c r="H459" s="334"/>
      <c r="I459" s="335"/>
      <c r="J459" s="336"/>
      <c r="K459" s="301"/>
      <c r="L459" s="336"/>
      <c r="M459" s="301"/>
      <c r="N459" s="336"/>
      <c r="O459" s="301"/>
      <c r="P459" s="336"/>
      <c r="Q459" s="301"/>
      <c r="R459" s="336"/>
      <c r="S459" s="301"/>
      <c r="T459" s="336"/>
    </row>
    <row r="460" spans="1:20" ht="12" customHeight="1" x14ac:dyDescent="0.3">
      <c r="A460" s="329" t="s">
        <v>289</v>
      </c>
      <c r="B460" s="330">
        <v>1</v>
      </c>
      <c r="C460" s="298">
        <v>46134</v>
      </c>
      <c r="D460" s="299" t="s">
        <v>306</v>
      </c>
      <c r="E460" s="331">
        <v>226.7</v>
      </c>
      <c r="F460" s="331"/>
      <c r="G460" s="333">
        <f t="shared" si="13"/>
        <v>3792.1499999999851</v>
      </c>
      <c r="H460" s="334"/>
      <c r="I460" s="335"/>
      <c r="J460" s="336"/>
      <c r="K460" s="301"/>
      <c r="L460" s="336"/>
      <c r="M460" s="301"/>
      <c r="N460" s="336"/>
      <c r="O460" s="301"/>
      <c r="P460" s="336"/>
      <c r="Q460" s="301"/>
      <c r="R460" s="336"/>
      <c r="S460" s="301"/>
      <c r="T460" s="336"/>
    </row>
    <row r="461" spans="1:20" ht="12" customHeight="1" x14ac:dyDescent="0.3">
      <c r="A461" s="329" t="s">
        <v>289</v>
      </c>
      <c r="B461" s="330">
        <v>2</v>
      </c>
      <c r="C461" s="298">
        <v>46133</v>
      </c>
      <c r="D461" s="299" t="s">
        <v>318</v>
      </c>
      <c r="E461" s="331">
        <v>70</v>
      </c>
      <c r="F461" s="331"/>
      <c r="G461" s="333">
        <f t="shared" si="13"/>
        <v>4018.8499999999849</v>
      </c>
      <c r="H461" s="334"/>
      <c r="I461" s="335"/>
      <c r="J461" s="336"/>
      <c r="K461" s="301"/>
      <c r="L461" s="336"/>
      <c r="M461" s="301"/>
      <c r="N461" s="336"/>
      <c r="O461" s="301"/>
      <c r="P461" s="336"/>
      <c r="Q461" s="301"/>
      <c r="R461" s="336"/>
      <c r="S461" s="301"/>
      <c r="T461" s="336"/>
    </row>
    <row r="462" spans="1:20" ht="12" customHeight="1" x14ac:dyDescent="0.3">
      <c r="A462" s="329" t="s">
        <v>289</v>
      </c>
      <c r="B462" s="330">
        <v>8</v>
      </c>
      <c r="C462" s="298">
        <v>46133</v>
      </c>
      <c r="D462" s="299" t="s">
        <v>319</v>
      </c>
      <c r="E462" s="331">
        <v>14.26</v>
      </c>
      <c r="F462" s="331"/>
      <c r="G462" s="333">
        <f t="shared" si="13"/>
        <v>4088.8499999999849</v>
      </c>
      <c r="H462" s="334"/>
      <c r="I462" s="335"/>
      <c r="J462" s="336"/>
      <c r="K462" s="301"/>
      <c r="L462" s="336"/>
      <c r="M462" s="301"/>
      <c r="N462" s="336"/>
      <c r="O462" s="301"/>
      <c r="P462" s="336"/>
      <c r="Q462" s="301"/>
      <c r="R462" s="336"/>
      <c r="S462" s="301"/>
      <c r="T462" s="336"/>
    </row>
    <row r="463" spans="1:20" ht="12" customHeight="1" x14ac:dyDescent="0.3">
      <c r="A463" s="329" t="s">
        <v>289</v>
      </c>
      <c r="B463" s="330">
        <v>1</v>
      </c>
      <c r="C463" s="298">
        <v>46133</v>
      </c>
      <c r="D463" s="299" t="s">
        <v>320</v>
      </c>
      <c r="E463" s="331">
        <v>8.51</v>
      </c>
      <c r="F463" s="331"/>
      <c r="G463" s="333">
        <f t="shared" si="13"/>
        <v>4103.1099999999851</v>
      </c>
      <c r="H463" s="334"/>
      <c r="I463" s="335"/>
      <c r="J463" s="336"/>
      <c r="K463" s="301"/>
      <c r="L463" s="336"/>
      <c r="M463" s="301"/>
      <c r="N463" s="336"/>
      <c r="O463" s="301"/>
      <c r="P463" s="336"/>
      <c r="Q463" s="301"/>
      <c r="R463" s="336"/>
      <c r="S463" s="301"/>
      <c r="T463" s="336"/>
    </row>
    <row r="464" spans="1:20" ht="12" customHeight="1" x14ac:dyDescent="0.3">
      <c r="A464" s="329" t="s">
        <v>289</v>
      </c>
      <c r="B464" s="330">
        <v>5</v>
      </c>
      <c r="C464" s="298">
        <v>46133</v>
      </c>
      <c r="D464" s="299" t="s">
        <v>321</v>
      </c>
      <c r="E464" s="331">
        <v>20</v>
      </c>
      <c r="F464" s="331"/>
      <c r="G464" s="333">
        <f t="shared" si="13"/>
        <v>4111.6199999999853</v>
      </c>
      <c r="H464" s="334"/>
      <c r="I464" s="335"/>
      <c r="J464" s="336"/>
      <c r="K464" s="301"/>
      <c r="L464" s="336"/>
      <c r="M464" s="301"/>
      <c r="N464" s="336"/>
      <c r="O464" s="301"/>
      <c r="P464" s="336"/>
      <c r="Q464" s="301"/>
      <c r="R464" s="336"/>
      <c r="S464" s="301"/>
      <c r="T464" s="336"/>
    </row>
    <row r="465" spans="1:20" ht="12" customHeight="1" x14ac:dyDescent="0.3">
      <c r="A465" s="329" t="s">
        <v>294</v>
      </c>
      <c r="B465" s="330">
        <v>23</v>
      </c>
      <c r="C465" s="298">
        <v>46133</v>
      </c>
      <c r="D465" s="299" t="s">
        <v>67</v>
      </c>
      <c r="E465" s="331">
        <v>650.88</v>
      </c>
      <c r="F465" s="331"/>
      <c r="G465" s="333">
        <f t="shared" si="13"/>
        <v>4131.6199999999853</v>
      </c>
      <c r="H465" s="334"/>
      <c r="I465" s="335"/>
      <c r="J465" s="336"/>
      <c r="K465" s="301"/>
      <c r="L465" s="336"/>
      <c r="M465" s="301"/>
      <c r="N465" s="336"/>
      <c r="O465" s="301"/>
      <c r="P465" s="336"/>
      <c r="Q465" s="301"/>
      <c r="R465" s="336"/>
      <c r="S465" s="301"/>
      <c r="T465" s="336"/>
    </row>
    <row r="466" spans="1:20" ht="12" customHeight="1" x14ac:dyDescent="0.3">
      <c r="A466" s="329" t="s">
        <v>289</v>
      </c>
      <c r="B466" s="330">
        <v>6</v>
      </c>
      <c r="C466" s="298">
        <v>46133</v>
      </c>
      <c r="D466" s="299" t="s">
        <v>322</v>
      </c>
      <c r="E466" s="331">
        <v>15</v>
      </c>
      <c r="F466" s="331"/>
      <c r="G466" s="333">
        <f t="shared" si="13"/>
        <v>4782.4999999999854</v>
      </c>
      <c r="H466" s="334"/>
      <c r="I466" s="335"/>
      <c r="J466" s="336"/>
      <c r="K466" s="301"/>
      <c r="L466" s="336"/>
      <c r="M466" s="301"/>
      <c r="N466" s="336"/>
      <c r="O466" s="301"/>
      <c r="P466" s="336"/>
      <c r="Q466" s="301"/>
      <c r="R466" s="336"/>
      <c r="S466" s="301"/>
      <c r="T466" s="336"/>
    </row>
    <row r="467" spans="1:20" ht="12" customHeight="1" x14ac:dyDescent="0.3">
      <c r="A467" s="329" t="s">
        <v>289</v>
      </c>
      <c r="B467" s="330">
        <v>5</v>
      </c>
      <c r="C467" s="298">
        <v>46133</v>
      </c>
      <c r="D467" s="299" t="s">
        <v>322</v>
      </c>
      <c r="E467" s="331">
        <v>250</v>
      </c>
      <c r="F467" s="331"/>
      <c r="G467" s="333">
        <f t="shared" si="13"/>
        <v>4797.4999999999854</v>
      </c>
      <c r="H467" s="334"/>
      <c r="I467" s="335"/>
      <c r="J467" s="336"/>
      <c r="K467" s="301"/>
      <c r="L467" s="336"/>
      <c r="M467" s="301"/>
      <c r="N467" s="336"/>
      <c r="O467" s="301"/>
      <c r="P467" s="336"/>
      <c r="Q467" s="301"/>
      <c r="R467" s="336"/>
      <c r="S467" s="301"/>
      <c r="T467" s="336"/>
    </row>
    <row r="468" spans="1:20" ht="12" customHeight="1" x14ac:dyDescent="0.3">
      <c r="A468" s="329" t="s">
        <v>294</v>
      </c>
      <c r="B468" s="330">
        <v>22</v>
      </c>
      <c r="C468" s="298">
        <v>46132</v>
      </c>
      <c r="D468" s="299" t="s">
        <v>323</v>
      </c>
      <c r="E468" s="331">
        <v>20.22</v>
      </c>
      <c r="F468" s="331"/>
      <c r="G468" s="333">
        <f t="shared" si="13"/>
        <v>5047.4999999999854</v>
      </c>
      <c r="H468" s="334"/>
      <c r="I468" s="335"/>
      <c r="J468" s="336"/>
      <c r="K468" s="301"/>
      <c r="L468" s="336"/>
      <c r="M468" s="301"/>
      <c r="N468" s="336"/>
      <c r="O468" s="301"/>
      <c r="P468" s="336"/>
      <c r="Q468" s="301"/>
      <c r="R468" s="336"/>
      <c r="S468" s="301"/>
      <c r="T468" s="336"/>
    </row>
    <row r="469" spans="1:20" ht="12" customHeight="1" x14ac:dyDescent="0.3">
      <c r="A469" s="329" t="s">
        <v>289</v>
      </c>
      <c r="B469" s="330">
        <v>6</v>
      </c>
      <c r="C469" s="298">
        <v>46132</v>
      </c>
      <c r="D469" s="299" t="s">
        <v>403</v>
      </c>
      <c r="E469" s="331">
        <v>44</v>
      </c>
      <c r="F469" s="331"/>
      <c r="G469" s="333">
        <f t="shared" si="13"/>
        <v>5067.7199999999857</v>
      </c>
      <c r="H469" s="334"/>
      <c r="I469" s="335"/>
      <c r="J469" s="336"/>
      <c r="K469" s="301"/>
      <c r="L469" s="336"/>
      <c r="M469" s="301"/>
      <c r="N469" s="336"/>
      <c r="O469" s="301"/>
      <c r="P469" s="336"/>
      <c r="Q469" s="301"/>
      <c r="R469" s="336"/>
      <c r="S469" s="301"/>
      <c r="T469" s="336"/>
    </row>
    <row r="470" spans="1:20" ht="12" customHeight="1" x14ac:dyDescent="0.3">
      <c r="A470" s="329" t="s">
        <v>289</v>
      </c>
      <c r="B470" s="330">
        <v>2</v>
      </c>
      <c r="C470" s="298">
        <v>46132</v>
      </c>
      <c r="D470" s="299" t="s">
        <v>324</v>
      </c>
      <c r="E470" s="331">
        <v>12.01</v>
      </c>
      <c r="F470" s="331"/>
      <c r="G470" s="333">
        <f t="shared" si="13"/>
        <v>5111.7199999999857</v>
      </c>
      <c r="H470" s="334"/>
      <c r="I470" s="335"/>
      <c r="J470" s="336"/>
      <c r="K470" s="301"/>
      <c r="L470" s="336"/>
      <c r="M470" s="301"/>
      <c r="N470" s="336"/>
      <c r="O470" s="301"/>
      <c r="P470" s="336"/>
      <c r="Q470" s="301"/>
      <c r="R470" s="336"/>
      <c r="S470" s="301"/>
      <c r="T470" s="336"/>
    </row>
    <row r="471" spans="1:20" ht="12" customHeight="1" x14ac:dyDescent="0.3">
      <c r="A471" s="329" t="s">
        <v>289</v>
      </c>
      <c r="B471" s="330">
        <v>2</v>
      </c>
      <c r="C471" s="298">
        <v>46132</v>
      </c>
      <c r="D471" s="299" t="s">
        <v>296</v>
      </c>
      <c r="E471" s="331">
        <v>12.21</v>
      </c>
      <c r="F471" s="331"/>
      <c r="G471" s="333">
        <f t="shared" si="13"/>
        <v>5123.7299999999859</v>
      </c>
      <c r="H471" s="334"/>
      <c r="I471" s="335"/>
      <c r="J471" s="336"/>
      <c r="K471" s="301"/>
      <c r="L471" s="336"/>
      <c r="M471" s="301"/>
      <c r="N471" s="336"/>
      <c r="O471" s="301"/>
      <c r="P471" s="336"/>
      <c r="Q471" s="301"/>
      <c r="R471" s="336"/>
      <c r="S471" s="301"/>
      <c r="T471" s="336"/>
    </row>
    <row r="472" spans="1:20" ht="12" customHeight="1" x14ac:dyDescent="0.3">
      <c r="A472" s="329" t="s">
        <v>289</v>
      </c>
      <c r="B472" s="330">
        <v>2</v>
      </c>
      <c r="C472" s="298">
        <v>46132</v>
      </c>
      <c r="D472" s="299" t="s">
        <v>325</v>
      </c>
      <c r="E472" s="331">
        <v>46.4</v>
      </c>
      <c r="F472" s="331"/>
      <c r="G472" s="333">
        <f t="shared" si="13"/>
        <v>5135.939999999986</v>
      </c>
      <c r="H472" s="334"/>
      <c r="I472" s="335"/>
      <c r="J472" s="336"/>
      <c r="K472" s="301"/>
      <c r="L472" s="336"/>
      <c r="M472" s="301"/>
      <c r="N472" s="336"/>
      <c r="O472" s="301"/>
      <c r="P472" s="336"/>
      <c r="Q472" s="301"/>
      <c r="R472" s="336"/>
      <c r="S472" s="301"/>
      <c r="T472" s="336"/>
    </row>
    <row r="473" spans="1:20" ht="12" customHeight="1" x14ac:dyDescent="0.3">
      <c r="A473" s="329" t="s">
        <v>289</v>
      </c>
      <c r="B473" s="330">
        <v>2</v>
      </c>
      <c r="C473" s="298">
        <v>46131</v>
      </c>
      <c r="D473" s="299" t="s">
        <v>326</v>
      </c>
      <c r="E473" s="331">
        <v>31.7</v>
      </c>
      <c r="F473" s="331"/>
      <c r="G473" s="333">
        <f t="shared" si="13"/>
        <v>5182.3399999999856</v>
      </c>
      <c r="H473" s="334"/>
      <c r="I473" s="335"/>
      <c r="J473" s="336"/>
      <c r="K473" s="301"/>
      <c r="L473" s="336"/>
      <c r="M473" s="301"/>
      <c r="N473" s="336"/>
      <c r="O473" s="301"/>
      <c r="P473" s="336"/>
      <c r="Q473" s="301"/>
      <c r="R473" s="336"/>
      <c r="S473" s="301"/>
      <c r="T473" s="336"/>
    </row>
    <row r="474" spans="1:20" ht="12" customHeight="1" x14ac:dyDescent="0.3">
      <c r="A474" s="329" t="s">
        <v>289</v>
      </c>
      <c r="B474" s="330">
        <v>8</v>
      </c>
      <c r="C474" s="298">
        <v>46131</v>
      </c>
      <c r="D474" s="299" t="s">
        <v>327</v>
      </c>
      <c r="E474" s="331">
        <v>11.11</v>
      </c>
      <c r="F474" s="331"/>
      <c r="G474" s="333">
        <f t="shared" si="13"/>
        <v>5214.0399999999854</v>
      </c>
      <c r="H474" s="334"/>
      <c r="I474" s="335"/>
      <c r="J474" s="336"/>
      <c r="K474" s="301"/>
      <c r="L474" s="336"/>
      <c r="M474" s="301"/>
      <c r="N474" s="336"/>
      <c r="O474" s="301"/>
      <c r="P474" s="336"/>
      <c r="Q474" s="301"/>
      <c r="R474" s="336"/>
      <c r="S474" s="301"/>
      <c r="T474" s="336"/>
    </row>
    <row r="475" spans="1:20" ht="12" customHeight="1" x14ac:dyDescent="0.3">
      <c r="A475" s="329" t="s">
        <v>289</v>
      </c>
      <c r="B475" s="330">
        <v>1</v>
      </c>
      <c r="C475" s="298">
        <v>46131</v>
      </c>
      <c r="D475" s="299" t="s">
        <v>306</v>
      </c>
      <c r="E475" s="331">
        <v>79.16</v>
      </c>
      <c r="F475" s="331"/>
      <c r="G475" s="333">
        <f t="shared" si="13"/>
        <v>5225.1499999999851</v>
      </c>
      <c r="H475" s="334"/>
      <c r="I475" s="335"/>
      <c r="J475" s="336"/>
      <c r="K475" s="301"/>
      <c r="L475" s="336"/>
      <c r="M475" s="301"/>
      <c r="N475" s="336"/>
      <c r="O475" s="301"/>
      <c r="P475" s="336"/>
      <c r="Q475" s="301"/>
      <c r="R475" s="336"/>
      <c r="S475" s="301"/>
      <c r="T475" s="336"/>
    </row>
    <row r="476" spans="1:20" ht="12" customHeight="1" x14ac:dyDescent="0.3">
      <c r="A476" s="329" t="s">
        <v>294</v>
      </c>
      <c r="B476" s="330">
        <v>22</v>
      </c>
      <c r="C476" s="298">
        <v>46131</v>
      </c>
      <c r="D476" s="299" t="s">
        <v>328</v>
      </c>
      <c r="E476" s="331">
        <v>7.46</v>
      </c>
      <c r="F476" s="331"/>
      <c r="G476" s="333">
        <f t="shared" si="13"/>
        <v>5304.3099999999849</v>
      </c>
      <c r="H476" s="334"/>
      <c r="I476" s="335"/>
      <c r="J476" s="336"/>
      <c r="K476" s="301"/>
      <c r="L476" s="336"/>
      <c r="M476" s="301"/>
      <c r="N476" s="336"/>
      <c r="O476" s="301"/>
      <c r="P476" s="336"/>
      <c r="Q476" s="301"/>
      <c r="R476" s="336"/>
      <c r="S476" s="301"/>
      <c r="T476" s="336"/>
    </row>
    <row r="477" spans="1:20" ht="12" customHeight="1" x14ac:dyDescent="0.3">
      <c r="A477" s="329" t="s">
        <v>289</v>
      </c>
      <c r="B477" s="330">
        <v>6</v>
      </c>
      <c r="C477" s="298">
        <v>46131</v>
      </c>
      <c r="D477" s="299" t="s">
        <v>300</v>
      </c>
      <c r="E477" s="331">
        <v>13.83</v>
      </c>
      <c r="F477" s="331"/>
      <c r="G477" s="333">
        <f t="shared" si="13"/>
        <v>5311.769999999985</v>
      </c>
      <c r="H477" s="334"/>
      <c r="I477" s="335"/>
      <c r="J477" s="336"/>
      <c r="K477" s="301"/>
      <c r="L477" s="336"/>
      <c r="M477" s="301"/>
      <c r="N477" s="336"/>
      <c r="O477" s="301"/>
      <c r="P477" s="336"/>
      <c r="Q477" s="301"/>
      <c r="R477" s="336"/>
      <c r="S477" s="301"/>
      <c r="T477" s="336"/>
    </row>
    <row r="478" spans="1:20" ht="12" customHeight="1" x14ac:dyDescent="0.3">
      <c r="A478" s="329" t="s">
        <v>289</v>
      </c>
      <c r="B478" s="330">
        <v>6</v>
      </c>
      <c r="C478" s="298">
        <v>46131</v>
      </c>
      <c r="D478" s="299" t="s">
        <v>300</v>
      </c>
      <c r="E478" s="331">
        <v>30</v>
      </c>
      <c r="F478" s="331"/>
      <c r="G478" s="333">
        <f t="shared" si="13"/>
        <v>5325.5999999999849</v>
      </c>
      <c r="H478" s="334"/>
      <c r="I478" s="335"/>
      <c r="J478" s="336"/>
      <c r="K478" s="301"/>
      <c r="L478" s="336"/>
      <c r="M478" s="301"/>
      <c r="N478" s="336"/>
      <c r="O478" s="301"/>
      <c r="P478" s="336"/>
      <c r="Q478" s="301"/>
      <c r="R478" s="336"/>
      <c r="S478" s="301"/>
      <c r="T478" s="336"/>
    </row>
    <row r="479" spans="1:20" ht="12" customHeight="1" x14ac:dyDescent="0.3">
      <c r="A479" s="329" t="s">
        <v>289</v>
      </c>
      <c r="B479" s="330">
        <v>6</v>
      </c>
      <c r="C479" s="298">
        <v>46131</v>
      </c>
      <c r="D479" s="299" t="s">
        <v>300</v>
      </c>
      <c r="E479" s="331">
        <v>15.17</v>
      </c>
      <c r="F479" s="331"/>
      <c r="G479" s="333">
        <f t="shared" si="13"/>
        <v>5355.5999999999849</v>
      </c>
      <c r="H479" s="334"/>
      <c r="I479" s="335"/>
      <c r="J479" s="336"/>
      <c r="K479" s="301"/>
      <c r="L479" s="336"/>
      <c r="M479" s="301"/>
      <c r="N479" s="336"/>
      <c r="O479" s="301"/>
      <c r="P479" s="336"/>
      <c r="Q479" s="301"/>
      <c r="R479" s="336"/>
      <c r="S479" s="301"/>
      <c r="T479" s="336"/>
    </row>
    <row r="480" spans="1:20" ht="12" customHeight="1" x14ac:dyDescent="0.3">
      <c r="A480" s="329" t="s">
        <v>289</v>
      </c>
      <c r="B480" s="330">
        <v>1</v>
      </c>
      <c r="C480" s="298">
        <v>46130</v>
      </c>
      <c r="D480" s="299" t="s">
        <v>329</v>
      </c>
      <c r="E480" s="331">
        <v>75.55</v>
      </c>
      <c r="F480" s="331"/>
      <c r="G480" s="333">
        <f t="shared" si="13"/>
        <v>5370.769999999985</v>
      </c>
      <c r="H480" s="334"/>
      <c r="I480" s="335"/>
      <c r="J480" s="336"/>
      <c r="K480" s="301"/>
      <c r="L480" s="336"/>
      <c r="M480" s="301"/>
      <c r="N480" s="336"/>
      <c r="O480" s="301"/>
      <c r="P480" s="336"/>
      <c r="Q480" s="301"/>
      <c r="R480" s="336"/>
      <c r="S480" s="301"/>
      <c r="T480" s="336"/>
    </row>
    <row r="481" spans="1:20" ht="12" customHeight="1" x14ac:dyDescent="0.3">
      <c r="A481" s="329" t="s">
        <v>289</v>
      </c>
      <c r="B481" s="330">
        <v>2</v>
      </c>
      <c r="C481" s="298">
        <v>46130</v>
      </c>
      <c r="D481" s="299" t="s">
        <v>330</v>
      </c>
      <c r="E481" s="331">
        <v>26</v>
      </c>
      <c r="F481" s="331"/>
      <c r="G481" s="333">
        <f t="shared" si="13"/>
        <v>5446.3199999999852</v>
      </c>
      <c r="H481" s="334"/>
      <c r="I481" s="335"/>
      <c r="J481" s="336"/>
      <c r="K481" s="301"/>
      <c r="L481" s="336"/>
      <c r="M481" s="301"/>
      <c r="N481" s="336"/>
      <c r="O481" s="301"/>
      <c r="P481" s="336"/>
      <c r="Q481" s="301"/>
      <c r="R481" s="336"/>
      <c r="S481" s="301"/>
      <c r="T481" s="336"/>
    </row>
    <row r="482" spans="1:20" ht="12" customHeight="1" x14ac:dyDescent="0.3">
      <c r="A482" s="329" t="s">
        <v>289</v>
      </c>
      <c r="B482" s="330">
        <v>1</v>
      </c>
      <c r="C482" s="298">
        <v>46130</v>
      </c>
      <c r="D482" s="299" t="s">
        <v>311</v>
      </c>
      <c r="E482" s="331">
        <v>25.28</v>
      </c>
      <c r="F482" s="331"/>
      <c r="G482" s="333">
        <f t="shared" si="13"/>
        <v>5472.3199999999852</v>
      </c>
      <c r="H482" s="334"/>
      <c r="I482" s="335"/>
      <c r="J482" s="336"/>
      <c r="K482" s="301"/>
      <c r="L482" s="336"/>
      <c r="M482" s="301"/>
      <c r="N482" s="336"/>
      <c r="O482" s="301"/>
      <c r="P482" s="336"/>
      <c r="Q482" s="301"/>
      <c r="R482" s="336"/>
      <c r="S482" s="301"/>
      <c r="T482" s="336"/>
    </row>
    <row r="483" spans="1:20" ht="12" customHeight="1" x14ac:dyDescent="0.3">
      <c r="A483" s="329" t="s">
        <v>289</v>
      </c>
      <c r="B483" s="330">
        <v>3</v>
      </c>
      <c r="C483" s="298">
        <v>46130</v>
      </c>
      <c r="D483" s="299" t="s">
        <v>296</v>
      </c>
      <c r="E483" s="331">
        <v>7.76</v>
      </c>
      <c r="F483" s="331"/>
      <c r="G483" s="333">
        <f t="shared" si="13"/>
        <v>5497.5999999999849</v>
      </c>
      <c r="H483" s="334"/>
      <c r="I483" s="335"/>
      <c r="J483" s="336"/>
      <c r="K483" s="301"/>
      <c r="L483" s="336"/>
      <c r="M483" s="301"/>
      <c r="N483" s="336"/>
      <c r="O483" s="301"/>
      <c r="P483" s="336"/>
      <c r="Q483" s="301"/>
      <c r="R483" s="336"/>
      <c r="S483" s="301"/>
      <c r="T483" s="336"/>
    </row>
    <row r="484" spans="1:20" ht="12" customHeight="1" x14ac:dyDescent="0.3">
      <c r="A484" s="329" t="s">
        <v>294</v>
      </c>
      <c r="B484" s="330">
        <v>22</v>
      </c>
      <c r="C484" s="298">
        <v>46130</v>
      </c>
      <c r="D484" s="299" t="s">
        <v>401</v>
      </c>
      <c r="E484" s="331">
        <v>13.84</v>
      </c>
      <c r="F484" s="331"/>
      <c r="G484" s="333">
        <f t="shared" si="13"/>
        <v>5505.3599999999851</v>
      </c>
      <c r="H484" s="334"/>
      <c r="I484" s="335"/>
      <c r="J484" s="336"/>
      <c r="K484" s="301"/>
      <c r="L484" s="336"/>
      <c r="M484" s="301"/>
      <c r="N484" s="336"/>
      <c r="O484" s="301"/>
      <c r="P484" s="336"/>
      <c r="Q484" s="301"/>
      <c r="R484" s="336"/>
      <c r="S484" s="301"/>
      <c r="T484" s="336"/>
    </row>
    <row r="485" spans="1:20" ht="12" customHeight="1" x14ac:dyDescent="0.3">
      <c r="A485" s="329" t="s">
        <v>287</v>
      </c>
      <c r="B485" s="330" t="s">
        <v>287</v>
      </c>
      <c r="C485" s="298">
        <v>46130</v>
      </c>
      <c r="D485" s="299" t="s">
        <v>331</v>
      </c>
      <c r="E485" s="331">
        <v>578.57000000000005</v>
      </c>
      <c r="F485" s="331">
        <v>578.57000000000005</v>
      </c>
      <c r="G485" s="333">
        <f t="shared" si="13"/>
        <v>5519.1999999999853</v>
      </c>
      <c r="H485" s="334"/>
      <c r="I485" s="335"/>
      <c r="J485" s="336"/>
      <c r="K485" s="301"/>
      <c r="L485" s="336"/>
      <c r="M485" s="301"/>
      <c r="N485" s="336"/>
      <c r="O485" s="301"/>
      <c r="P485" s="336"/>
      <c r="Q485" s="301"/>
      <c r="R485" s="336"/>
      <c r="S485" s="301"/>
      <c r="T485" s="336"/>
    </row>
    <row r="486" spans="1:20" ht="12" customHeight="1" x14ac:dyDescent="0.3">
      <c r="A486" s="329" t="s">
        <v>289</v>
      </c>
      <c r="B486" s="330">
        <v>2</v>
      </c>
      <c r="C486" s="298">
        <v>46129</v>
      </c>
      <c r="D486" s="299" t="s">
        <v>324</v>
      </c>
      <c r="E486" s="331">
        <v>12.84</v>
      </c>
      <c r="F486" s="331"/>
      <c r="G486" s="333">
        <f t="shared" si="13"/>
        <v>5519.1999999999853</v>
      </c>
      <c r="H486" s="334"/>
      <c r="I486" s="335"/>
      <c r="J486" s="336"/>
      <c r="K486" s="301"/>
      <c r="L486" s="336"/>
      <c r="M486" s="301"/>
      <c r="N486" s="336"/>
      <c r="O486" s="301"/>
      <c r="P486" s="336"/>
      <c r="Q486" s="301"/>
      <c r="R486" s="336"/>
      <c r="S486" s="301"/>
      <c r="T486" s="336"/>
    </row>
    <row r="487" spans="1:20" ht="12" customHeight="1" x14ac:dyDescent="0.3">
      <c r="A487" s="329" t="s">
        <v>289</v>
      </c>
      <c r="B487" s="330">
        <v>2</v>
      </c>
      <c r="C487" s="298">
        <v>46129</v>
      </c>
      <c r="D487" s="299" t="s">
        <v>332</v>
      </c>
      <c r="E487" s="331">
        <v>59.71</v>
      </c>
      <c r="F487" s="331"/>
      <c r="G487" s="333">
        <f t="shared" si="13"/>
        <v>5532.0399999999854</v>
      </c>
      <c r="H487" s="334"/>
      <c r="I487" s="335"/>
      <c r="J487" s="336"/>
      <c r="K487" s="301"/>
      <c r="L487" s="336"/>
      <c r="M487" s="301"/>
      <c r="N487" s="336"/>
      <c r="O487" s="301"/>
      <c r="P487" s="336"/>
      <c r="Q487" s="301"/>
      <c r="R487" s="336"/>
      <c r="S487" s="301"/>
      <c r="T487" s="336"/>
    </row>
    <row r="488" spans="1:20" ht="12" customHeight="1" x14ac:dyDescent="0.3">
      <c r="A488" s="329" t="s">
        <v>294</v>
      </c>
      <c r="B488" s="330">
        <v>21</v>
      </c>
      <c r="C488" s="298">
        <v>46129</v>
      </c>
      <c r="D488" s="299" t="s">
        <v>194</v>
      </c>
      <c r="E488" s="331">
        <v>75.599999999999994</v>
      </c>
      <c r="F488" s="331"/>
      <c r="G488" s="333">
        <f t="shared" si="13"/>
        <v>5591.7499999999854</v>
      </c>
      <c r="H488" s="334"/>
      <c r="I488" s="335"/>
      <c r="J488" s="336"/>
      <c r="K488" s="301"/>
      <c r="L488" s="336"/>
      <c r="M488" s="301"/>
      <c r="N488" s="336"/>
      <c r="O488" s="301"/>
      <c r="P488" s="336"/>
      <c r="Q488" s="301"/>
      <c r="R488" s="336"/>
      <c r="S488" s="301"/>
      <c r="T488" s="336"/>
    </row>
    <row r="489" spans="1:20" ht="12" customHeight="1" x14ac:dyDescent="0.3">
      <c r="A489" s="329" t="s">
        <v>294</v>
      </c>
      <c r="B489" s="330">
        <v>43</v>
      </c>
      <c r="C489" s="298">
        <v>46129</v>
      </c>
      <c r="D489" s="299" t="s">
        <v>333</v>
      </c>
      <c r="E489" s="331">
        <v>22.35</v>
      </c>
      <c r="F489" s="331"/>
      <c r="G489" s="333">
        <f t="shared" si="13"/>
        <v>5667.3499999999858</v>
      </c>
      <c r="H489" s="334"/>
      <c r="I489" s="335"/>
      <c r="J489" s="336"/>
      <c r="K489" s="301"/>
      <c r="L489" s="336"/>
      <c r="M489" s="301"/>
      <c r="N489" s="336"/>
      <c r="O489" s="301"/>
      <c r="P489" s="336"/>
      <c r="Q489" s="301"/>
      <c r="R489" s="336"/>
      <c r="S489" s="301"/>
      <c r="T489" s="336"/>
    </row>
    <row r="490" spans="1:20" ht="12" customHeight="1" x14ac:dyDescent="0.3">
      <c r="A490" s="329" t="s">
        <v>294</v>
      </c>
      <c r="B490" s="330">
        <v>42</v>
      </c>
      <c r="C490" s="298">
        <v>46129</v>
      </c>
      <c r="D490" s="299" t="s">
        <v>333</v>
      </c>
      <c r="E490" s="331">
        <v>37.25</v>
      </c>
      <c r="F490" s="331"/>
      <c r="G490" s="333">
        <f t="shared" si="13"/>
        <v>5689.6999999999862</v>
      </c>
      <c r="H490" s="334"/>
      <c r="I490" s="335"/>
      <c r="J490" s="336"/>
      <c r="K490" s="301"/>
      <c r="L490" s="336"/>
      <c r="M490" s="301"/>
      <c r="N490" s="336"/>
      <c r="O490" s="301"/>
      <c r="P490" s="336"/>
      <c r="Q490" s="301"/>
      <c r="R490" s="336"/>
      <c r="S490" s="301"/>
      <c r="T490" s="336"/>
    </row>
    <row r="491" spans="1:20" ht="12" customHeight="1" x14ac:dyDescent="0.3">
      <c r="A491" s="329" t="s">
        <v>289</v>
      </c>
      <c r="B491" s="330">
        <v>8</v>
      </c>
      <c r="C491" s="298">
        <v>46129</v>
      </c>
      <c r="D491" s="299" t="s">
        <v>319</v>
      </c>
      <c r="E491" s="331">
        <v>35.119999999999997</v>
      </c>
      <c r="F491" s="331"/>
      <c r="G491" s="333">
        <f t="shared" si="13"/>
        <v>5726.9499999999862</v>
      </c>
      <c r="H491" s="334"/>
      <c r="I491" s="335"/>
      <c r="J491" s="336"/>
      <c r="K491" s="301"/>
      <c r="L491" s="336"/>
      <c r="M491" s="301"/>
      <c r="N491" s="336"/>
      <c r="O491" s="301"/>
      <c r="P491" s="336"/>
      <c r="Q491" s="301"/>
      <c r="R491" s="336"/>
      <c r="S491" s="301"/>
      <c r="T491" s="336"/>
    </row>
    <row r="492" spans="1:20" ht="12" customHeight="1" x14ac:dyDescent="0.3">
      <c r="A492" s="329" t="s">
        <v>289</v>
      </c>
      <c r="B492" s="330">
        <v>3</v>
      </c>
      <c r="C492" s="298">
        <v>46129</v>
      </c>
      <c r="D492" s="299" t="s">
        <v>296</v>
      </c>
      <c r="E492" s="331">
        <v>8.7200000000000006</v>
      </c>
      <c r="F492" s="331"/>
      <c r="G492" s="333">
        <f t="shared" si="13"/>
        <v>5762.0699999999861</v>
      </c>
      <c r="H492" s="334"/>
      <c r="I492" s="335"/>
      <c r="J492" s="336"/>
      <c r="K492" s="301"/>
      <c r="L492" s="336"/>
      <c r="M492" s="301"/>
      <c r="N492" s="336"/>
      <c r="O492" s="301"/>
      <c r="P492" s="336"/>
      <c r="Q492" s="301"/>
      <c r="R492" s="336"/>
      <c r="S492" s="301"/>
      <c r="T492" s="336"/>
    </row>
    <row r="493" spans="1:20" ht="12" customHeight="1" x14ac:dyDescent="0.3">
      <c r="A493" s="329" t="s">
        <v>289</v>
      </c>
      <c r="B493" s="330">
        <v>2</v>
      </c>
      <c r="C493" s="298">
        <v>46129</v>
      </c>
      <c r="D493" s="299" t="s">
        <v>334</v>
      </c>
      <c r="E493" s="331">
        <v>13.21</v>
      </c>
      <c r="F493" s="331"/>
      <c r="G493" s="333">
        <f t="shared" si="13"/>
        <v>5770.7899999999863</v>
      </c>
      <c r="H493" s="334"/>
      <c r="I493" s="335"/>
      <c r="J493" s="336"/>
      <c r="K493" s="301"/>
      <c r="L493" s="336"/>
      <c r="M493" s="301"/>
      <c r="N493" s="336"/>
      <c r="O493" s="301"/>
      <c r="P493" s="336"/>
      <c r="Q493" s="301"/>
      <c r="R493" s="336"/>
      <c r="S493" s="301"/>
      <c r="T493" s="336"/>
    </row>
    <row r="494" spans="1:20" ht="12" customHeight="1" x14ac:dyDescent="0.3">
      <c r="A494" s="329" t="s">
        <v>294</v>
      </c>
      <c r="B494" s="330">
        <v>17</v>
      </c>
      <c r="C494" s="298">
        <v>46129</v>
      </c>
      <c r="D494" s="299" t="s">
        <v>188</v>
      </c>
      <c r="E494" s="331">
        <v>42.65</v>
      </c>
      <c r="F494" s="331"/>
      <c r="G494" s="333">
        <f t="shared" si="13"/>
        <v>5783.9999999999864</v>
      </c>
      <c r="H494" s="334"/>
      <c r="I494" s="335"/>
      <c r="J494" s="336"/>
      <c r="K494" s="301"/>
      <c r="L494" s="336"/>
      <c r="M494" s="301"/>
      <c r="N494" s="336"/>
      <c r="O494" s="301"/>
      <c r="P494" s="336"/>
      <c r="Q494" s="301"/>
      <c r="R494" s="336"/>
      <c r="S494" s="301"/>
      <c r="T494" s="336"/>
    </row>
    <row r="495" spans="1:20" ht="12" customHeight="1" x14ac:dyDescent="0.3">
      <c r="A495" s="329" t="s">
        <v>335</v>
      </c>
      <c r="B495" s="330" t="s">
        <v>335</v>
      </c>
      <c r="C495" s="298">
        <v>46129</v>
      </c>
      <c r="D495" s="299" t="s">
        <v>336</v>
      </c>
      <c r="E495" s="331">
        <v>130.31</v>
      </c>
      <c r="F495" s="331"/>
      <c r="G495" s="333">
        <f t="shared" si="13"/>
        <v>5826.649999999986</v>
      </c>
      <c r="H495" s="334"/>
      <c r="I495" s="335"/>
      <c r="J495" s="336"/>
      <c r="K495" s="301"/>
      <c r="L495" s="336"/>
      <c r="M495" s="301"/>
      <c r="N495" s="336"/>
      <c r="O495" s="301"/>
      <c r="P495" s="336"/>
      <c r="Q495" s="301"/>
      <c r="R495" s="336"/>
      <c r="S495" s="301"/>
      <c r="T495" s="336"/>
    </row>
    <row r="496" spans="1:20" ht="12" customHeight="1" x14ac:dyDescent="0.3">
      <c r="A496" s="329" t="s">
        <v>294</v>
      </c>
      <c r="B496" s="330">
        <v>15</v>
      </c>
      <c r="C496" s="298">
        <v>46129</v>
      </c>
      <c r="D496" s="299" t="s">
        <v>185</v>
      </c>
      <c r="E496" s="331">
        <v>131.22999999999999</v>
      </c>
      <c r="F496" s="331"/>
      <c r="G496" s="333">
        <f t="shared" si="13"/>
        <v>5956.9599999999864</v>
      </c>
      <c r="H496" s="334"/>
      <c r="I496" s="335"/>
      <c r="J496" s="336"/>
      <c r="K496" s="301"/>
      <c r="L496" s="336"/>
      <c r="M496" s="301"/>
      <c r="N496" s="336"/>
      <c r="O496" s="301"/>
      <c r="P496" s="336"/>
      <c r="Q496" s="301"/>
      <c r="R496" s="336"/>
      <c r="S496" s="301"/>
      <c r="T496" s="336"/>
    </row>
    <row r="497" spans="1:20" ht="12" customHeight="1" x14ac:dyDescent="0.3">
      <c r="A497" s="329" t="s">
        <v>289</v>
      </c>
      <c r="B497" s="330">
        <v>6</v>
      </c>
      <c r="C497" s="298">
        <v>46129</v>
      </c>
      <c r="D497" s="299" t="s">
        <v>337</v>
      </c>
      <c r="E497" s="331">
        <v>210</v>
      </c>
      <c r="F497" s="331"/>
      <c r="G497" s="333">
        <f t="shared" si="13"/>
        <v>6088.189999999986</v>
      </c>
      <c r="H497" s="334"/>
      <c r="I497" s="335"/>
      <c r="J497" s="336"/>
      <c r="K497" s="301"/>
      <c r="L497" s="336"/>
      <c r="M497" s="301"/>
      <c r="N497" s="336"/>
      <c r="O497" s="301"/>
      <c r="P497" s="336"/>
      <c r="Q497" s="301"/>
      <c r="R497" s="336"/>
      <c r="S497" s="301"/>
      <c r="T497" s="336"/>
    </row>
    <row r="498" spans="1:20" ht="12" customHeight="1" x14ac:dyDescent="0.3">
      <c r="A498" s="329" t="s">
        <v>294</v>
      </c>
      <c r="B498" s="330">
        <v>23</v>
      </c>
      <c r="C498" s="298">
        <v>46129</v>
      </c>
      <c r="D498" s="299" t="s">
        <v>63</v>
      </c>
      <c r="E498" s="331">
        <v>529.46</v>
      </c>
      <c r="F498" s="331"/>
      <c r="G498" s="333">
        <f t="shared" si="13"/>
        <v>6298.189999999986</v>
      </c>
      <c r="H498" s="334"/>
      <c r="I498" s="335"/>
      <c r="J498" s="336"/>
      <c r="K498" s="301"/>
      <c r="L498" s="336"/>
      <c r="M498" s="301"/>
      <c r="N498" s="336"/>
      <c r="O498" s="301"/>
      <c r="P498" s="336"/>
      <c r="Q498" s="301"/>
      <c r="R498" s="336"/>
      <c r="S498" s="301"/>
      <c r="T498" s="336"/>
    </row>
    <row r="499" spans="1:20" ht="12" customHeight="1" x14ac:dyDescent="0.3">
      <c r="A499" s="329" t="s">
        <v>289</v>
      </c>
      <c r="B499" s="330">
        <v>7</v>
      </c>
      <c r="C499" s="298">
        <v>46129</v>
      </c>
      <c r="D499" s="299" t="s">
        <v>338</v>
      </c>
      <c r="E499" s="331">
        <v>32.78</v>
      </c>
      <c r="F499" s="331"/>
      <c r="G499" s="333">
        <f t="shared" si="13"/>
        <v>6827.649999999986</v>
      </c>
      <c r="H499" s="334"/>
      <c r="I499" s="335"/>
      <c r="J499" s="336"/>
      <c r="K499" s="301"/>
      <c r="L499" s="336"/>
      <c r="M499" s="301"/>
      <c r="N499" s="336"/>
      <c r="O499" s="301"/>
      <c r="P499" s="336"/>
      <c r="Q499" s="301"/>
      <c r="R499" s="336"/>
      <c r="S499" s="301"/>
      <c r="T499" s="336"/>
    </row>
    <row r="500" spans="1:20" ht="12" customHeight="1" x14ac:dyDescent="0.3">
      <c r="A500" s="329" t="s">
        <v>289</v>
      </c>
      <c r="B500" s="330">
        <v>4</v>
      </c>
      <c r="C500" s="298">
        <v>46128</v>
      </c>
      <c r="D500" s="299" t="s">
        <v>310</v>
      </c>
      <c r="E500" s="331">
        <v>44.41</v>
      </c>
      <c r="F500" s="331"/>
      <c r="G500" s="333">
        <f t="shared" si="13"/>
        <v>6860.4299999999857</v>
      </c>
      <c r="H500" s="334"/>
      <c r="I500" s="335"/>
      <c r="J500" s="336"/>
      <c r="K500" s="301"/>
      <c r="L500" s="336"/>
      <c r="M500" s="301"/>
      <c r="N500" s="336"/>
      <c r="O500" s="301"/>
      <c r="P500" s="336"/>
      <c r="Q500" s="301"/>
      <c r="R500" s="336"/>
      <c r="S500" s="301"/>
      <c r="T500" s="336"/>
    </row>
    <row r="501" spans="1:20" ht="12" customHeight="1" x14ac:dyDescent="0.3">
      <c r="A501" s="329" t="s">
        <v>294</v>
      </c>
      <c r="B501" s="330">
        <v>16</v>
      </c>
      <c r="C501" s="298">
        <v>46128</v>
      </c>
      <c r="D501" s="299" t="s">
        <v>339</v>
      </c>
      <c r="E501" s="331">
        <v>15</v>
      </c>
      <c r="F501" s="331"/>
      <c r="G501" s="333">
        <f t="shared" si="13"/>
        <v>6904.8399999999856</v>
      </c>
      <c r="H501" s="334"/>
      <c r="I501" s="335"/>
      <c r="J501" s="336"/>
      <c r="K501" s="301"/>
      <c r="L501" s="336"/>
      <c r="M501" s="301"/>
      <c r="N501" s="336"/>
      <c r="O501" s="301"/>
      <c r="P501" s="336"/>
      <c r="Q501" s="301"/>
      <c r="R501" s="336"/>
      <c r="S501" s="301"/>
      <c r="T501" s="336"/>
    </row>
    <row r="502" spans="1:20" ht="12" customHeight="1" x14ac:dyDescent="0.3">
      <c r="A502" s="329" t="s">
        <v>289</v>
      </c>
      <c r="B502" s="330">
        <v>2</v>
      </c>
      <c r="C502" s="298">
        <v>46128</v>
      </c>
      <c r="D502" s="299" t="s">
        <v>301</v>
      </c>
      <c r="E502" s="331">
        <v>41.95</v>
      </c>
      <c r="F502" s="331"/>
      <c r="G502" s="333">
        <f t="shared" si="13"/>
        <v>6919.8399999999856</v>
      </c>
      <c r="H502" s="334"/>
      <c r="I502" s="335"/>
      <c r="J502" s="336"/>
      <c r="K502" s="301"/>
      <c r="L502" s="336"/>
      <c r="M502" s="301"/>
      <c r="N502" s="336"/>
      <c r="O502" s="301"/>
      <c r="P502" s="336"/>
      <c r="Q502" s="301"/>
      <c r="R502" s="336"/>
      <c r="S502" s="301"/>
      <c r="T502" s="336"/>
    </row>
    <row r="503" spans="1:20" ht="12" customHeight="1" x14ac:dyDescent="0.3">
      <c r="A503" s="329" t="s">
        <v>289</v>
      </c>
      <c r="B503" s="330">
        <v>5</v>
      </c>
      <c r="C503" s="298">
        <v>46128</v>
      </c>
      <c r="D503" s="299" t="s">
        <v>340</v>
      </c>
      <c r="E503" s="331">
        <v>21.3</v>
      </c>
      <c r="F503" s="331"/>
      <c r="G503" s="333">
        <f t="shared" si="13"/>
        <v>6961.7899999999854</v>
      </c>
      <c r="H503" s="334"/>
      <c r="I503" s="335"/>
      <c r="J503" s="336"/>
      <c r="K503" s="301"/>
      <c r="L503" s="336"/>
      <c r="M503" s="301"/>
      <c r="N503" s="336"/>
      <c r="O503" s="301"/>
      <c r="P503" s="336"/>
      <c r="Q503" s="301"/>
      <c r="R503" s="336"/>
      <c r="S503" s="301"/>
      <c r="T503" s="336"/>
    </row>
    <row r="504" spans="1:20" ht="12" customHeight="1" x14ac:dyDescent="0.3">
      <c r="A504" s="329" t="s">
        <v>289</v>
      </c>
      <c r="B504" s="330">
        <v>4</v>
      </c>
      <c r="C504" s="298">
        <v>46128</v>
      </c>
      <c r="D504" s="299" t="s">
        <v>296</v>
      </c>
      <c r="E504" s="331">
        <v>70.03</v>
      </c>
      <c r="F504" s="331"/>
      <c r="G504" s="333">
        <f t="shared" si="13"/>
        <v>6983.0899999999856</v>
      </c>
      <c r="H504" s="334"/>
      <c r="I504" s="335"/>
      <c r="J504" s="336"/>
      <c r="K504" s="301"/>
      <c r="L504" s="336"/>
      <c r="M504" s="301"/>
      <c r="N504" s="336"/>
      <c r="O504" s="301"/>
      <c r="P504" s="336"/>
      <c r="Q504" s="301"/>
      <c r="R504" s="336"/>
      <c r="S504" s="301"/>
      <c r="T504" s="336"/>
    </row>
    <row r="505" spans="1:20" ht="12" customHeight="1" x14ac:dyDescent="0.3">
      <c r="A505" s="329" t="s">
        <v>289</v>
      </c>
      <c r="B505" s="330">
        <v>2</v>
      </c>
      <c r="C505" s="298">
        <v>46128</v>
      </c>
      <c r="D505" s="299" t="s">
        <v>296</v>
      </c>
      <c r="E505" s="331">
        <v>11.48</v>
      </c>
      <c r="F505" s="331"/>
      <c r="G505" s="333">
        <f t="shared" si="13"/>
        <v>7053.1199999999853</v>
      </c>
      <c r="H505" s="334"/>
      <c r="I505" s="335"/>
      <c r="J505" s="336"/>
      <c r="K505" s="301"/>
      <c r="L505" s="336"/>
      <c r="M505" s="301"/>
      <c r="N505" s="336"/>
      <c r="O505" s="301"/>
      <c r="P505" s="336"/>
      <c r="Q505" s="301"/>
      <c r="R505" s="336"/>
      <c r="S505" s="301"/>
      <c r="T505" s="336"/>
    </row>
    <row r="506" spans="1:20" ht="12" customHeight="1" x14ac:dyDescent="0.3">
      <c r="A506" s="329" t="s">
        <v>289</v>
      </c>
      <c r="B506" s="330">
        <v>6</v>
      </c>
      <c r="C506" s="298">
        <v>46128</v>
      </c>
      <c r="D506" s="299" t="s">
        <v>341</v>
      </c>
      <c r="E506" s="331">
        <v>26.61</v>
      </c>
      <c r="F506" s="331"/>
      <c r="G506" s="333">
        <f t="shared" si="13"/>
        <v>7064.5999999999849</v>
      </c>
      <c r="H506" s="334"/>
      <c r="I506" s="335"/>
      <c r="J506" s="336"/>
      <c r="K506" s="301"/>
      <c r="L506" s="336"/>
      <c r="M506" s="301"/>
      <c r="N506" s="336"/>
      <c r="O506" s="301"/>
      <c r="P506" s="336"/>
      <c r="Q506" s="301"/>
      <c r="R506" s="336"/>
      <c r="S506" s="301"/>
      <c r="T506" s="336"/>
    </row>
    <row r="507" spans="1:20" ht="12" customHeight="1" x14ac:dyDescent="0.3">
      <c r="A507" s="329" t="s">
        <v>289</v>
      </c>
      <c r="B507" s="330">
        <v>6</v>
      </c>
      <c r="C507" s="298">
        <v>46128</v>
      </c>
      <c r="D507" s="299" t="s">
        <v>342</v>
      </c>
      <c r="E507" s="331">
        <v>42.59</v>
      </c>
      <c r="F507" s="331"/>
      <c r="G507" s="333">
        <f t="shared" si="13"/>
        <v>7091.2099999999846</v>
      </c>
      <c r="H507" s="334"/>
      <c r="I507" s="335"/>
      <c r="J507" s="336"/>
      <c r="K507" s="301"/>
      <c r="L507" s="336"/>
      <c r="M507" s="301"/>
      <c r="N507" s="336"/>
      <c r="O507" s="301"/>
      <c r="P507" s="336"/>
      <c r="Q507" s="301"/>
      <c r="R507" s="336"/>
      <c r="S507" s="301"/>
      <c r="T507" s="336"/>
    </row>
    <row r="508" spans="1:20" ht="12" customHeight="1" x14ac:dyDescent="0.3">
      <c r="A508" s="329" t="s">
        <v>289</v>
      </c>
      <c r="B508" s="330">
        <v>6</v>
      </c>
      <c r="C508" s="298">
        <v>46128</v>
      </c>
      <c r="D508" s="299" t="s">
        <v>300</v>
      </c>
      <c r="E508" s="331">
        <v>20.58</v>
      </c>
      <c r="F508" s="331"/>
      <c r="G508" s="333">
        <f t="shared" si="13"/>
        <v>7133.7999999999847</v>
      </c>
      <c r="H508" s="334"/>
      <c r="I508" s="335"/>
      <c r="J508" s="336"/>
      <c r="K508" s="301"/>
      <c r="L508" s="336"/>
      <c r="M508" s="301"/>
      <c r="N508" s="336"/>
      <c r="O508" s="301"/>
      <c r="P508" s="336"/>
      <c r="Q508" s="301"/>
      <c r="R508" s="336"/>
      <c r="S508" s="301"/>
      <c r="T508" s="336"/>
    </row>
    <row r="509" spans="1:20" ht="12" customHeight="1" x14ac:dyDescent="0.3">
      <c r="A509" s="329" t="s">
        <v>294</v>
      </c>
      <c r="B509" s="330">
        <v>11</v>
      </c>
      <c r="C509" s="298">
        <v>46128</v>
      </c>
      <c r="D509" s="299" t="s">
        <v>178</v>
      </c>
      <c r="E509" s="331">
        <v>267.91000000000003</v>
      </c>
      <c r="F509" s="331"/>
      <c r="G509" s="333">
        <f t="shared" si="13"/>
        <v>7154.3799999999846</v>
      </c>
      <c r="H509" s="334"/>
      <c r="I509" s="335"/>
      <c r="J509" s="336"/>
      <c r="K509" s="301"/>
      <c r="L509" s="336"/>
      <c r="M509" s="301"/>
      <c r="N509" s="336"/>
      <c r="O509" s="301"/>
      <c r="P509" s="336"/>
      <c r="Q509" s="301"/>
      <c r="R509" s="336"/>
      <c r="S509" s="301"/>
      <c r="T509" s="336"/>
    </row>
    <row r="510" spans="1:20" ht="12" customHeight="1" x14ac:dyDescent="0.3">
      <c r="A510" s="329" t="s">
        <v>291</v>
      </c>
      <c r="B510" s="330">
        <v>41</v>
      </c>
      <c r="C510" s="298">
        <v>46128</v>
      </c>
      <c r="D510" s="299" t="s">
        <v>299</v>
      </c>
      <c r="E510" s="331"/>
      <c r="F510" s="331">
        <v>300</v>
      </c>
      <c r="G510" s="333">
        <f t="shared" si="13"/>
        <v>7422.2899999999845</v>
      </c>
      <c r="H510" s="334"/>
      <c r="I510" s="335"/>
      <c r="J510" s="336"/>
      <c r="K510" s="301"/>
      <c r="L510" s="336"/>
      <c r="M510" s="301"/>
      <c r="N510" s="336"/>
      <c r="O510" s="301"/>
      <c r="P510" s="336"/>
      <c r="Q510" s="301"/>
      <c r="R510" s="336"/>
      <c r="S510" s="301"/>
      <c r="T510" s="336"/>
    </row>
    <row r="511" spans="1:20" ht="12" customHeight="1" x14ac:dyDescent="0.3">
      <c r="A511" s="329" t="s">
        <v>291</v>
      </c>
      <c r="B511" s="330">
        <v>39</v>
      </c>
      <c r="C511" s="298">
        <v>46128</v>
      </c>
      <c r="D511" s="299" t="s">
        <v>292</v>
      </c>
      <c r="E511" s="331"/>
      <c r="F511" s="331">
        <v>2763.78</v>
      </c>
      <c r="G511" s="333">
        <f t="shared" si="13"/>
        <v>7122.2899999999845</v>
      </c>
      <c r="H511" s="334"/>
      <c r="I511" s="335"/>
      <c r="J511" s="336"/>
      <c r="K511" s="301"/>
      <c r="L511" s="336"/>
      <c r="M511" s="301"/>
      <c r="N511" s="336"/>
      <c r="O511" s="301"/>
      <c r="P511" s="336"/>
      <c r="Q511" s="301"/>
      <c r="R511" s="336"/>
      <c r="S511" s="301"/>
      <c r="T511" s="336"/>
    </row>
    <row r="512" spans="1:20" ht="12" customHeight="1" x14ac:dyDescent="0.3">
      <c r="A512" s="329" t="s">
        <v>287</v>
      </c>
      <c r="B512" s="330" t="s">
        <v>287</v>
      </c>
      <c r="C512" s="298">
        <v>46127</v>
      </c>
      <c r="D512" s="299" t="s">
        <v>343</v>
      </c>
      <c r="E512" s="331">
        <v>93.71</v>
      </c>
      <c r="F512" s="331">
        <v>93.71</v>
      </c>
      <c r="G512" s="333">
        <f t="shared" si="13"/>
        <v>4358.5099999999848</v>
      </c>
      <c r="H512" s="334"/>
      <c r="I512" s="335"/>
      <c r="J512" s="336"/>
      <c r="K512" s="301"/>
      <c r="L512" s="336"/>
      <c r="M512" s="301"/>
      <c r="N512" s="336"/>
      <c r="O512" s="301"/>
      <c r="P512" s="336"/>
      <c r="Q512" s="301"/>
      <c r="R512" s="336"/>
      <c r="S512" s="301"/>
      <c r="T512" s="336"/>
    </row>
    <row r="513" spans="1:20" ht="12" customHeight="1" x14ac:dyDescent="0.3">
      <c r="A513" s="329" t="s">
        <v>289</v>
      </c>
      <c r="B513" s="330">
        <v>6</v>
      </c>
      <c r="C513" s="298">
        <v>46127</v>
      </c>
      <c r="D513" s="299" t="s">
        <v>344</v>
      </c>
      <c r="E513" s="331">
        <v>27</v>
      </c>
      <c r="F513" s="331"/>
      <c r="G513" s="333">
        <f t="shared" si="13"/>
        <v>4358.5099999999848</v>
      </c>
      <c r="H513" s="334"/>
      <c r="I513" s="335"/>
      <c r="J513" s="336"/>
      <c r="K513" s="301"/>
      <c r="L513" s="336"/>
      <c r="M513" s="301"/>
      <c r="N513" s="336"/>
      <c r="O513" s="301"/>
      <c r="P513" s="336"/>
      <c r="Q513" s="301"/>
      <c r="R513" s="336"/>
      <c r="S513" s="301"/>
      <c r="T513" s="336"/>
    </row>
    <row r="514" spans="1:20" ht="12" customHeight="1" x14ac:dyDescent="0.3">
      <c r="A514" s="329" t="s">
        <v>291</v>
      </c>
      <c r="B514" s="330">
        <v>38</v>
      </c>
      <c r="C514" s="298">
        <v>46127</v>
      </c>
      <c r="D514" s="299" t="s">
        <v>293</v>
      </c>
      <c r="E514" s="331"/>
      <c r="F514" s="331">
        <v>4597.82</v>
      </c>
      <c r="G514" s="333">
        <f t="shared" si="13"/>
        <v>4385.5099999999848</v>
      </c>
      <c r="H514" s="334"/>
      <c r="I514" s="335"/>
      <c r="J514" s="336"/>
      <c r="K514" s="301"/>
      <c r="L514" s="336"/>
      <c r="M514" s="301"/>
      <c r="N514" s="336"/>
      <c r="O514" s="301"/>
      <c r="P514" s="336"/>
      <c r="Q514" s="301"/>
      <c r="R514" s="336"/>
      <c r="S514" s="301"/>
      <c r="T514" s="336"/>
    </row>
    <row r="515" spans="1:20" ht="12" customHeight="1" x14ac:dyDescent="0.3">
      <c r="A515" s="329" t="s">
        <v>289</v>
      </c>
      <c r="B515" s="330">
        <v>2</v>
      </c>
      <c r="C515" s="298">
        <v>46127</v>
      </c>
      <c r="D515" s="299" t="s">
        <v>296</v>
      </c>
      <c r="E515" s="331">
        <v>14.67</v>
      </c>
      <c r="F515" s="331"/>
      <c r="G515" s="333">
        <f t="shared" si="13"/>
        <v>-212.31000000001481</v>
      </c>
      <c r="H515" s="334"/>
      <c r="I515" s="335"/>
      <c r="J515" s="336"/>
      <c r="K515" s="301"/>
      <c r="L515" s="336"/>
      <c r="M515" s="301"/>
      <c r="N515" s="336"/>
      <c r="O515" s="301"/>
      <c r="P515" s="336"/>
      <c r="Q515" s="301"/>
      <c r="R515" s="336"/>
      <c r="S515" s="301"/>
      <c r="T515" s="336"/>
    </row>
    <row r="516" spans="1:20" ht="12" customHeight="1" x14ac:dyDescent="0.3">
      <c r="A516" s="329" t="s">
        <v>289</v>
      </c>
      <c r="B516" s="330">
        <v>2</v>
      </c>
      <c r="C516" s="298">
        <v>46127</v>
      </c>
      <c r="D516" s="299" t="s">
        <v>345</v>
      </c>
      <c r="E516" s="331">
        <v>102.2</v>
      </c>
      <c r="F516" s="331"/>
      <c r="G516" s="333">
        <f t="shared" si="13"/>
        <v>-197.64000000001482</v>
      </c>
      <c r="H516" s="334"/>
      <c r="I516" s="335"/>
      <c r="J516" s="336"/>
      <c r="K516" s="301"/>
      <c r="L516" s="336"/>
      <c r="M516" s="301"/>
      <c r="N516" s="336"/>
      <c r="O516" s="301"/>
      <c r="P516" s="336"/>
      <c r="Q516" s="301"/>
      <c r="R516" s="336"/>
      <c r="S516" s="301"/>
      <c r="T516" s="336"/>
    </row>
    <row r="517" spans="1:20" ht="12" customHeight="1" x14ac:dyDescent="0.3">
      <c r="A517" s="329" t="s">
        <v>289</v>
      </c>
      <c r="B517" s="330">
        <v>8</v>
      </c>
      <c r="C517" s="298">
        <v>46126</v>
      </c>
      <c r="D517" s="299" t="s">
        <v>319</v>
      </c>
      <c r="E517" s="331">
        <v>15.53</v>
      </c>
      <c r="F517" s="331"/>
      <c r="G517" s="333">
        <f t="shared" si="13"/>
        <v>-95.440000000014805</v>
      </c>
      <c r="H517" s="334"/>
      <c r="I517" s="335"/>
      <c r="J517" s="336"/>
      <c r="K517" s="301"/>
      <c r="L517" s="336"/>
      <c r="M517" s="301"/>
      <c r="N517" s="336"/>
      <c r="O517" s="301"/>
      <c r="P517" s="336"/>
      <c r="Q517" s="301"/>
      <c r="R517" s="336"/>
      <c r="S517" s="301"/>
      <c r="T517" s="336"/>
    </row>
    <row r="518" spans="1:20" ht="12" customHeight="1" x14ac:dyDescent="0.3">
      <c r="A518" s="329" t="s">
        <v>294</v>
      </c>
      <c r="B518" s="330">
        <v>24</v>
      </c>
      <c r="C518" s="298">
        <v>46126</v>
      </c>
      <c r="D518" s="299" t="s">
        <v>860</v>
      </c>
      <c r="E518" s="331">
        <v>105.33</v>
      </c>
      <c r="F518" s="331"/>
      <c r="G518" s="333">
        <f t="shared" si="13"/>
        <v>-79.910000000014804</v>
      </c>
      <c r="H518" s="334"/>
      <c r="I518" s="335"/>
      <c r="J518" s="336"/>
      <c r="K518" s="301"/>
      <c r="L518" s="336"/>
      <c r="M518" s="301"/>
      <c r="N518" s="336"/>
      <c r="O518" s="301"/>
      <c r="P518" s="336"/>
      <c r="Q518" s="301"/>
      <c r="R518" s="336"/>
      <c r="S518" s="301"/>
      <c r="T518" s="336"/>
    </row>
    <row r="519" spans="1:20" ht="12" customHeight="1" x14ac:dyDescent="0.3">
      <c r="A519" s="329" t="s">
        <v>289</v>
      </c>
      <c r="B519" s="330">
        <v>2</v>
      </c>
      <c r="C519" s="298">
        <v>46125</v>
      </c>
      <c r="D519" s="299" t="s">
        <v>346</v>
      </c>
      <c r="E519" s="331">
        <v>11.64</v>
      </c>
      <c r="F519" s="331"/>
      <c r="G519" s="333">
        <f t="shared" si="13"/>
        <v>25.419999999985201</v>
      </c>
      <c r="H519" s="334"/>
      <c r="I519" s="335"/>
      <c r="J519" s="336"/>
      <c r="K519" s="301"/>
      <c r="L519" s="336"/>
      <c r="M519" s="301"/>
      <c r="N519" s="336"/>
      <c r="O519" s="301"/>
      <c r="P519" s="336"/>
      <c r="Q519" s="301"/>
      <c r="R519" s="336"/>
      <c r="S519" s="301"/>
      <c r="T519" s="336"/>
    </row>
    <row r="520" spans="1:20" ht="12" customHeight="1" x14ac:dyDescent="0.3">
      <c r="A520" s="329" t="s">
        <v>289</v>
      </c>
      <c r="B520" s="330">
        <v>1</v>
      </c>
      <c r="C520" s="298">
        <v>46125</v>
      </c>
      <c r="D520" s="299" t="s">
        <v>306</v>
      </c>
      <c r="E520" s="331">
        <v>50.71</v>
      </c>
      <c r="F520" s="331"/>
      <c r="G520" s="333">
        <f t="shared" si="13"/>
        <v>37.059999999985202</v>
      </c>
      <c r="H520" s="334"/>
      <c r="I520" s="335"/>
      <c r="J520" s="336"/>
      <c r="K520" s="301"/>
      <c r="L520" s="336"/>
      <c r="M520" s="301"/>
      <c r="N520" s="336"/>
      <c r="O520" s="301"/>
      <c r="P520" s="336"/>
      <c r="Q520" s="301"/>
      <c r="R520" s="336"/>
      <c r="S520" s="301"/>
      <c r="T520" s="336"/>
    </row>
    <row r="521" spans="1:20" ht="12" customHeight="1" x14ac:dyDescent="0.3">
      <c r="A521" s="329" t="s">
        <v>289</v>
      </c>
      <c r="B521" s="330">
        <v>2</v>
      </c>
      <c r="C521" s="298">
        <v>46125</v>
      </c>
      <c r="D521" s="299" t="s">
        <v>334</v>
      </c>
      <c r="E521" s="331">
        <v>11.06</v>
      </c>
      <c r="F521" s="331"/>
      <c r="G521" s="333">
        <f t="shared" si="13"/>
        <v>87.769999999985203</v>
      </c>
      <c r="H521" s="334"/>
      <c r="I521" s="335"/>
      <c r="J521" s="336"/>
      <c r="K521" s="301"/>
      <c r="L521" s="336"/>
      <c r="M521" s="301"/>
      <c r="N521" s="336"/>
      <c r="O521" s="301"/>
      <c r="P521" s="336"/>
      <c r="Q521" s="301"/>
      <c r="R521" s="336"/>
      <c r="S521" s="301"/>
      <c r="T521" s="336"/>
    </row>
    <row r="522" spans="1:20" ht="12" customHeight="1" x14ac:dyDescent="0.3">
      <c r="A522" s="329" t="s">
        <v>289</v>
      </c>
      <c r="B522" s="330">
        <v>4</v>
      </c>
      <c r="C522" s="298">
        <v>46125</v>
      </c>
      <c r="D522" s="299" t="s">
        <v>295</v>
      </c>
      <c r="E522" s="331">
        <v>35.979999999999997</v>
      </c>
      <c r="F522" s="331"/>
      <c r="G522" s="333">
        <f t="shared" si="13"/>
        <v>98.829999999985205</v>
      </c>
      <c r="H522" s="334"/>
      <c r="I522" s="335"/>
      <c r="J522" s="336"/>
      <c r="K522" s="301"/>
      <c r="L522" s="336"/>
      <c r="M522" s="301"/>
      <c r="N522" s="336"/>
      <c r="O522" s="301"/>
      <c r="P522" s="336"/>
      <c r="Q522" s="301"/>
      <c r="R522" s="336"/>
      <c r="S522" s="301"/>
      <c r="T522" s="336"/>
    </row>
    <row r="523" spans="1:20" ht="12" customHeight="1" x14ac:dyDescent="0.3">
      <c r="A523" s="329" t="s">
        <v>289</v>
      </c>
      <c r="B523" s="330">
        <v>8</v>
      </c>
      <c r="C523" s="298">
        <v>46125</v>
      </c>
      <c r="D523" s="299" t="s">
        <v>347</v>
      </c>
      <c r="E523" s="331">
        <v>7.83</v>
      </c>
      <c r="F523" s="331"/>
      <c r="G523" s="333">
        <f t="shared" si="13"/>
        <v>134.80999999998519</v>
      </c>
      <c r="H523" s="334"/>
      <c r="I523" s="335"/>
      <c r="J523" s="336"/>
      <c r="K523" s="301"/>
      <c r="L523" s="336"/>
      <c r="M523" s="301"/>
      <c r="N523" s="336"/>
      <c r="O523" s="301"/>
      <c r="P523" s="336"/>
      <c r="Q523" s="301"/>
      <c r="R523" s="336"/>
      <c r="S523" s="301"/>
      <c r="T523" s="336"/>
    </row>
    <row r="524" spans="1:20" ht="12" customHeight="1" x14ac:dyDescent="0.3">
      <c r="A524" s="329" t="s">
        <v>289</v>
      </c>
      <c r="B524" s="330">
        <v>3</v>
      </c>
      <c r="C524" s="298">
        <v>46125</v>
      </c>
      <c r="D524" s="299" t="s">
        <v>348</v>
      </c>
      <c r="E524" s="331">
        <v>4.1900000000000004</v>
      </c>
      <c r="F524" s="331"/>
      <c r="G524" s="333">
        <f t="shared" si="13"/>
        <v>142.63999999998521</v>
      </c>
      <c r="H524" s="334"/>
      <c r="I524" s="335"/>
      <c r="J524" s="336"/>
      <c r="K524" s="301"/>
      <c r="L524" s="336"/>
      <c r="M524" s="301"/>
      <c r="N524" s="336"/>
      <c r="O524" s="301"/>
      <c r="P524" s="336"/>
      <c r="Q524" s="301"/>
      <c r="R524" s="336"/>
      <c r="S524" s="301"/>
      <c r="T524" s="336"/>
    </row>
    <row r="525" spans="1:20" ht="12" customHeight="1" x14ac:dyDescent="0.3">
      <c r="A525" s="329" t="s">
        <v>289</v>
      </c>
      <c r="B525" s="330">
        <v>8</v>
      </c>
      <c r="C525" s="298">
        <v>46125</v>
      </c>
      <c r="D525" s="299" t="s">
        <v>349</v>
      </c>
      <c r="E525" s="331">
        <v>39.25</v>
      </c>
      <c r="F525" s="331"/>
      <c r="G525" s="333">
        <f t="shared" si="13"/>
        <v>146.8299999999852</v>
      </c>
      <c r="H525" s="334"/>
      <c r="I525" s="335"/>
      <c r="J525" s="336"/>
      <c r="K525" s="301"/>
      <c r="L525" s="336"/>
      <c r="M525" s="301"/>
      <c r="N525" s="336"/>
      <c r="O525" s="301"/>
      <c r="P525" s="336"/>
      <c r="Q525" s="301"/>
      <c r="R525" s="336"/>
      <c r="S525" s="301"/>
      <c r="T525" s="336"/>
    </row>
    <row r="526" spans="1:20" ht="12" customHeight="1" x14ac:dyDescent="0.3">
      <c r="A526" s="329" t="s">
        <v>287</v>
      </c>
      <c r="B526" s="330" t="s">
        <v>287</v>
      </c>
      <c r="C526" s="298">
        <v>46125</v>
      </c>
      <c r="D526" s="299" t="s">
        <v>350</v>
      </c>
      <c r="E526" s="331">
        <v>318.36</v>
      </c>
      <c r="F526" s="331">
        <v>318.36</v>
      </c>
      <c r="G526" s="333">
        <f t="shared" si="13"/>
        <v>186.0799999999852</v>
      </c>
      <c r="H526" s="334"/>
      <c r="I526" s="335"/>
      <c r="J526" s="336"/>
      <c r="K526" s="301"/>
      <c r="L526" s="336"/>
      <c r="M526" s="301"/>
      <c r="N526" s="336"/>
      <c r="O526" s="301"/>
      <c r="P526" s="336"/>
      <c r="Q526" s="301"/>
      <c r="R526" s="336"/>
      <c r="S526" s="301"/>
      <c r="T526" s="336"/>
    </row>
    <row r="527" spans="1:20" ht="12" customHeight="1" x14ac:dyDescent="0.3">
      <c r="A527" s="329" t="s">
        <v>294</v>
      </c>
      <c r="B527" s="330">
        <v>19</v>
      </c>
      <c r="C527" s="298">
        <v>46125</v>
      </c>
      <c r="D527" s="299" t="s">
        <v>191</v>
      </c>
      <c r="E527" s="331">
        <v>200</v>
      </c>
      <c r="F527" s="331"/>
      <c r="G527" s="333">
        <f t="shared" si="13"/>
        <v>186.0799999999852</v>
      </c>
      <c r="H527" s="334"/>
      <c r="I527" s="335"/>
      <c r="J527" s="336"/>
      <c r="K527" s="301"/>
      <c r="L527" s="336"/>
      <c r="M527" s="301"/>
      <c r="N527" s="336"/>
      <c r="O527" s="301"/>
      <c r="P527" s="336"/>
      <c r="Q527" s="301"/>
      <c r="R527" s="336"/>
      <c r="S527" s="301"/>
      <c r="T527" s="336"/>
    </row>
    <row r="528" spans="1:20" ht="12" customHeight="1" x14ac:dyDescent="0.3">
      <c r="A528" s="329" t="s">
        <v>289</v>
      </c>
      <c r="B528" s="330">
        <v>1</v>
      </c>
      <c r="C528" s="298">
        <v>46124</v>
      </c>
      <c r="D528" s="299" t="s">
        <v>304</v>
      </c>
      <c r="E528" s="331">
        <v>136.05000000000001</v>
      </c>
      <c r="F528" s="331"/>
      <c r="G528" s="333">
        <f t="shared" si="13"/>
        <v>386.0799999999852</v>
      </c>
      <c r="H528" s="334"/>
      <c r="I528" s="335"/>
      <c r="J528" s="336"/>
      <c r="K528" s="301"/>
      <c r="L528" s="336"/>
      <c r="M528" s="301"/>
      <c r="N528" s="336"/>
      <c r="O528" s="301"/>
      <c r="P528" s="336"/>
      <c r="Q528" s="301"/>
      <c r="R528" s="336"/>
      <c r="S528" s="301"/>
      <c r="T528" s="336"/>
    </row>
    <row r="529" spans="1:20" ht="12" customHeight="1" x14ac:dyDescent="0.3">
      <c r="A529" s="329" t="s">
        <v>289</v>
      </c>
      <c r="B529" s="330">
        <v>3</v>
      </c>
      <c r="C529" s="298">
        <v>46124</v>
      </c>
      <c r="D529" s="299" t="s">
        <v>348</v>
      </c>
      <c r="E529" s="331">
        <v>13.09</v>
      </c>
      <c r="F529" s="331"/>
      <c r="G529" s="333">
        <f t="shared" si="13"/>
        <v>522.12999999998522</v>
      </c>
      <c r="H529" s="334"/>
      <c r="I529" s="335"/>
      <c r="J529" s="336"/>
      <c r="K529" s="301"/>
      <c r="L529" s="336"/>
      <c r="M529" s="301"/>
      <c r="N529" s="336"/>
      <c r="O529" s="301"/>
      <c r="P529" s="336"/>
      <c r="Q529" s="301"/>
      <c r="R529" s="336"/>
      <c r="S529" s="301"/>
      <c r="T529" s="336"/>
    </row>
    <row r="530" spans="1:20" ht="12" customHeight="1" x14ac:dyDescent="0.3">
      <c r="A530" s="329" t="s">
        <v>289</v>
      </c>
      <c r="B530" s="330">
        <v>8</v>
      </c>
      <c r="C530" s="298">
        <v>46124</v>
      </c>
      <c r="D530" s="299" t="s">
        <v>319</v>
      </c>
      <c r="E530" s="331">
        <v>24.47</v>
      </c>
      <c r="F530" s="331"/>
      <c r="G530" s="333">
        <f t="shared" si="13"/>
        <v>535.21999999998525</v>
      </c>
      <c r="H530" s="334"/>
      <c r="I530" s="335"/>
      <c r="J530" s="336"/>
      <c r="K530" s="301"/>
      <c r="L530" s="336"/>
      <c r="M530" s="301"/>
      <c r="N530" s="336"/>
      <c r="O530" s="301"/>
      <c r="P530" s="336"/>
      <c r="Q530" s="301"/>
      <c r="R530" s="336"/>
      <c r="S530" s="301"/>
      <c r="T530" s="336"/>
    </row>
    <row r="531" spans="1:20" ht="12" customHeight="1" x14ac:dyDescent="0.3">
      <c r="A531" s="329" t="s">
        <v>289</v>
      </c>
      <c r="B531" s="330">
        <v>8</v>
      </c>
      <c r="C531" s="298">
        <v>46124</v>
      </c>
      <c r="D531" s="299" t="s">
        <v>319</v>
      </c>
      <c r="E531" s="331">
        <v>14.29</v>
      </c>
      <c r="F531" s="331"/>
      <c r="G531" s="333">
        <f t="shared" si="13"/>
        <v>559.68999999998528</v>
      </c>
      <c r="H531" s="334"/>
      <c r="I531" s="335"/>
      <c r="J531" s="336"/>
      <c r="K531" s="301"/>
      <c r="L531" s="336"/>
      <c r="M531" s="301"/>
      <c r="N531" s="336"/>
      <c r="O531" s="301"/>
      <c r="P531" s="336"/>
      <c r="Q531" s="301"/>
      <c r="R531" s="336"/>
      <c r="S531" s="301"/>
      <c r="T531" s="336"/>
    </row>
    <row r="532" spans="1:20" ht="12" customHeight="1" x14ac:dyDescent="0.3">
      <c r="A532" s="329" t="s">
        <v>294</v>
      </c>
      <c r="B532" s="330">
        <v>22</v>
      </c>
      <c r="C532" s="298">
        <v>46124</v>
      </c>
      <c r="D532" s="299" t="s">
        <v>835</v>
      </c>
      <c r="E532" s="331">
        <v>9.57</v>
      </c>
      <c r="F532" s="331"/>
      <c r="G532" s="333">
        <f t="shared" si="13"/>
        <v>573.97999999998524</v>
      </c>
      <c r="H532" s="334"/>
      <c r="I532" s="335"/>
      <c r="J532" s="336"/>
      <c r="K532" s="301"/>
      <c r="L532" s="336"/>
      <c r="M532" s="301"/>
      <c r="N532" s="336"/>
      <c r="O532" s="301"/>
      <c r="P532" s="336"/>
      <c r="Q532" s="301"/>
      <c r="R532" s="336"/>
      <c r="S532" s="301"/>
      <c r="T532" s="336"/>
    </row>
    <row r="533" spans="1:20" ht="12" customHeight="1" x14ac:dyDescent="0.3">
      <c r="A533" s="329" t="s">
        <v>289</v>
      </c>
      <c r="B533" s="330">
        <v>3</v>
      </c>
      <c r="C533" s="298">
        <v>46124</v>
      </c>
      <c r="D533" s="299" t="s">
        <v>351</v>
      </c>
      <c r="E533" s="331">
        <v>25</v>
      </c>
      <c r="F533" s="331"/>
      <c r="G533" s="333">
        <f t="shared" si="13"/>
        <v>583.54999999998529</v>
      </c>
      <c r="H533" s="334"/>
      <c r="I533" s="335"/>
      <c r="J533" s="336"/>
      <c r="K533" s="301"/>
      <c r="L533" s="336"/>
      <c r="M533" s="301"/>
      <c r="N533" s="336"/>
      <c r="O533" s="301"/>
      <c r="P533" s="336"/>
      <c r="Q533" s="301"/>
      <c r="R533" s="336"/>
      <c r="S533" s="301"/>
      <c r="T533" s="336"/>
    </row>
    <row r="534" spans="1:20" ht="12" customHeight="1" x14ac:dyDescent="0.3">
      <c r="A534" s="329" t="s">
        <v>294</v>
      </c>
      <c r="B534" s="330">
        <v>22</v>
      </c>
      <c r="C534" s="298">
        <v>46123</v>
      </c>
      <c r="D534" s="299" t="s">
        <v>352</v>
      </c>
      <c r="E534" s="331">
        <v>19.16</v>
      </c>
      <c r="F534" s="331"/>
      <c r="G534" s="333">
        <f t="shared" si="13"/>
        <v>608.54999999998529</v>
      </c>
      <c r="H534" s="334"/>
      <c r="I534" s="335"/>
      <c r="J534" s="336"/>
      <c r="K534" s="301"/>
      <c r="L534" s="336"/>
      <c r="M534" s="301"/>
      <c r="N534" s="336"/>
      <c r="O534" s="301"/>
      <c r="P534" s="336"/>
      <c r="Q534" s="301"/>
      <c r="R534" s="336"/>
      <c r="S534" s="301"/>
      <c r="T534" s="336"/>
    </row>
    <row r="535" spans="1:20" ht="12" customHeight="1" x14ac:dyDescent="0.3">
      <c r="A535" s="329" t="s">
        <v>289</v>
      </c>
      <c r="B535" s="330">
        <v>2</v>
      </c>
      <c r="C535" s="298">
        <v>46123</v>
      </c>
      <c r="D535" s="299" t="s">
        <v>301</v>
      </c>
      <c r="E535" s="331">
        <v>20.91</v>
      </c>
      <c r="F535" s="331"/>
      <c r="G535" s="333">
        <f t="shared" si="13"/>
        <v>627.70999999998526</v>
      </c>
      <c r="H535" s="334"/>
      <c r="I535" s="335"/>
      <c r="J535" s="336"/>
      <c r="K535" s="301"/>
      <c r="L535" s="336"/>
      <c r="M535" s="301"/>
      <c r="N535" s="336"/>
      <c r="O535" s="301"/>
      <c r="P535" s="336"/>
      <c r="Q535" s="301"/>
      <c r="R535" s="336"/>
      <c r="S535" s="301"/>
      <c r="T535" s="336"/>
    </row>
    <row r="536" spans="1:20" ht="12" customHeight="1" x14ac:dyDescent="0.3">
      <c r="A536" s="329" t="s">
        <v>289</v>
      </c>
      <c r="B536" s="330">
        <v>2</v>
      </c>
      <c r="C536" s="298">
        <v>46123</v>
      </c>
      <c r="D536" s="299" t="s">
        <v>296</v>
      </c>
      <c r="E536" s="331">
        <v>12.44</v>
      </c>
      <c r="F536" s="331"/>
      <c r="G536" s="333">
        <f t="shared" si="13"/>
        <v>648.61999999998523</v>
      </c>
      <c r="H536" s="334"/>
      <c r="I536" s="335"/>
      <c r="J536" s="336"/>
      <c r="K536" s="301"/>
      <c r="L536" s="336"/>
      <c r="M536" s="301"/>
      <c r="N536" s="336"/>
      <c r="O536" s="301"/>
      <c r="P536" s="336"/>
      <c r="Q536" s="301"/>
      <c r="R536" s="336"/>
      <c r="S536" s="301"/>
      <c r="T536" s="336"/>
    </row>
    <row r="537" spans="1:20" ht="12" customHeight="1" x14ac:dyDescent="0.3">
      <c r="A537" s="329" t="s">
        <v>289</v>
      </c>
      <c r="B537" s="330">
        <v>2</v>
      </c>
      <c r="C537" s="298">
        <v>46123</v>
      </c>
      <c r="D537" s="299" t="s">
        <v>353</v>
      </c>
      <c r="E537" s="331">
        <v>41.34</v>
      </c>
      <c r="F537" s="331"/>
      <c r="G537" s="333">
        <f t="shared" si="13"/>
        <v>661.05999999998528</v>
      </c>
      <c r="H537" s="334"/>
      <c r="I537" s="335"/>
      <c r="J537" s="336"/>
      <c r="K537" s="301"/>
      <c r="L537" s="336"/>
      <c r="M537" s="301"/>
      <c r="N537" s="336"/>
      <c r="O537" s="301"/>
      <c r="P537" s="336"/>
      <c r="Q537" s="301"/>
      <c r="R537" s="336"/>
      <c r="S537" s="301"/>
      <c r="T537" s="336"/>
    </row>
    <row r="538" spans="1:20" ht="12" customHeight="1" x14ac:dyDescent="0.3">
      <c r="A538" s="329" t="s">
        <v>289</v>
      </c>
      <c r="B538" s="330">
        <v>6</v>
      </c>
      <c r="C538" s="298">
        <v>46122</v>
      </c>
      <c r="D538" s="299" t="s">
        <v>446</v>
      </c>
      <c r="E538" s="331">
        <v>-0.04</v>
      </c>
      <c r="F538" s="331"/>
      <c r="G538" s="333">
        <f t="shared" si="13"/>
        <v>702.39999999998531</v>
      </c>
      <c r="H538" s="334"/>
      <c r="I538" s="335"/>
      <c r="J538" s="336"/>
      <c r="K538" s="301"/>
      <c r="L538" s="336"/>
      <c r="M538" s="301"/>
      <c r="N538" s="336"/>
      <c r="O538" s="301"/>
      <c r="P538" s="336"/>
      <c r="Q538" s="301"/>
      <c r="R538" s="336"/>
      <c r="S538" s="301"/>
      <c r="T538" s="336"/>
    </row>
    <row r="539" spans="1:20" ht="12" customHeight="1" x14ac:dyDescent="0.3">
      <c r="A539" s="329" t="s">
        <v>289</v>
      </c>
      <c r="B539" s="330">
        <v>5</v>
      </c>
      <c r="C539" s="298">
        <v>46122</v>
      </c>
      <c r="D539" s="299" t="s">
        <v>354</v>
      </c>
      <c r="E539" s="331">
        <v>372</v>
      </c>
      <c r="F539" s="331"/>
      <c r="G539" s="333">
        <f t="shared" si="13"/>
        <v>702.35999999998535</v>
      </c>
      <c r="H539" s="334" t="s">
        <v>298</v>
      </c>
      <c r="I539" s="335"/>
      <c r="J539" s="336"/>
      <c r="K539" s="301"/>
      <c r="L539" s="336"/>
      <c r="M539" s="301"/>
      <c r="N539" s="336"/>
      <c r="O539" s="301"/>
      <c r="P539" s="336"/>
      <c r="Q539" s="301"/>
      <c r="R539" s="336"/>
      <c r="S539" s="301"/>
      <c r="T539" s="336"/>
    </row>
    <row r="540" spans="1:20" ht="12" customHeight="1" x14ac:dyDescent="0.3">
      <c r="A540" s="329" t="s">
        <v>289</v>
      </c>
      <c r="B540" s="330">
        <v>2</v>
      </c>
      <c r="C540" s="298">
        <v>46122</v>
      </c>
      <c r="D540" s="299" t="s">
        <v>355</v>
      </c>
      <c r="E540" s="331">
        <v>15.22</v>
      </c>
      <c r="F540" s="331"/>
      <c r="G540" s="333">
        <f t="shared" si="13"/>
        <v>1074.3599999999853</v>
      </c>
      <c r="H540" s="334"/>
      <c r="I540" s="335"/>
      <c r="J540" s="336"/>
      <c r="K540" s="301"/>
      <c r="L540" s="336"/>
      <c r="M540" s="301"/>
      <c r="N540" s="336"/>
      <c r="O540" s="301"/>
      <c r="P540" s="336"/>
      <c r="Q540" s="301"/>
      <c r="R540" s="336"/>
      <c r="S540" s="301"/>
      <c r="T540" s="336"/>
    </row>
    <row r="541" spans="1:20" ht="12" customHeight="1" x14ac:dyDescent="0.3">
      <c r="A541" s="329" t="s">
        <v>289</v>
      </c>
      <c r="B541" s="330">
        <v>3</v>
      </c>
      <c r="C541" s="298">
        <v>46122</v>
      </c>
      <c r="D541" s="299" t="s">
        <v>296</v>
      </c>
      <c r="E541" s="331">
        <v>9.5500000000000007</v>
      </c>
      <c r="F541" s="331"/>
      <c r="G541" s="333">
        <f t="shared" si="13"/>
        <v>1089.5799999999854</v>
      </c>
      <c r="H541" s="334"/>
      <c r="I541" s="335"/>
      <c r="J541" s="336"/>
      <c r="K541" s="301"/>
      <c r="L541" s="336"/>
      <c r="M541" s="301"/>
      <c r="N541" s="336"/>
      <c r="O541" s="301"/>
      <c r="P541" s="336"/>
      <c r="Q541" s="301"/>
      <c r="R541" s="336"/>
      <c r="S541" s="301"/>
      <c r="T541" s="336"/>
    </row>
    <row r="542" spans="1:20" ht="12" customHeight="1" x14ac:dyDescent="0.3">
      <c r="A542" s="329" t="s">
        <v>289</v>
      </c>
      <c r="B542" s="330">
        <v>8</v>
      </c>
      <c r="C542" s="298">
        <v>46122</v>
      </c>
      <c r="D542" s="299" t="s">
        <v>356</v>
      </c>
      <c r="E542" s="331">
        <v>52.65</v>
      </c>
      <c r="F542" s="331"/>
      <c r="G542" s="333">
        <f t="shared" si="13"/>
        <v>1099.1299999999853</v>
      </c>
      <c r="H542" s="334"/>
      <c r="I542" s="335"/>
      <c r="J542" s="336"/>
      <c r="K542" s="301"/>
      <c r="L542" s="336"/>
      <c r="M542" s="301"/>
      <c r="N542" s="336"/>
      <c r="O542" s="301"/>
      <c r="P542" s="336"/>
      <c r="Q542" s="301"/>
      <c r="R542" s="336"/>
      <c r="S542" s="301"/>
      <c r="T542" s="336"/>
    </row>
    <row r="543" spans="1:20" ht="12" customHeight="1" x14ac:dyDescent="0.3">
      <c r="A543" s="329" t="s">
        <v>289</v>
      </c>
      <c r="B543" s="330">
        <v>1</v>
      </c>
      <c r="C543" s="298">
        <v>46122</v>
      </c>
      <c r="D543" s="299" t="s">
        <v>311</v>
      </c>
      <c r="E543" s="331">
        <v>68.989999999999995</v>
      </c>
      <c r="F543" s="331"/>
      <c r="G543" s="333">
        <f t="shared" si="13"/>
        <v>1151.7799999999854</v>
      </c>
      <c r="H543" s="334"/>
      <c r="I543" s="335"/>
      <c r="J543" s="336"/>
      <c r="K543" s="301"/>
      <c r="L543" s="336"/>
      <c r="M543" s="301"/>
      <c r="N543" s="336"/>
      <c r="O543" s="301"/>
      <c r="P543" s="336"/>
      <c r="Q543" s="301"/>
      <c r="R543" s="336"/>
      <c r="S543" s="301"/>
      <c r="T543" s="336"/>
    </row>
    <row r="544" spans="1:20" ht="12" customHeight="1" x14ac:dyDescent="0.3">
      <c r="A544" s="329" t="s">
        <v>289</v>
      </c>
      <c r="B544" s="330">
        <v>2</v>
      </c>
      <c r="C544" s="298">
        <v>46122</v>
      </c>
      <c r="D544" s="299" t="s">
        <v>324</v>
      </c>
      <c r="E544" s="331">
        <v>17.37</v>
      </c>
      <c r="F544" s="331"/>
      <c r="G544" s="333">
        <f t="shared" si="13"/>
        <v>1220.7699999999854</v>
      </c>
      <c r="H544" s="334"/>
      <c r="I544" s="335"/>
      <c r="J544" s="336"/>
      <c r="K544" s="301"/>
      <c r="L544" s="336"/>
      <c r="M544" s="301"/>
      <c r="N544" s="336"/>
      <c r="O544" s="301"/>
      <c r="P544" s="336"/>
      <c r="Q544" s="301"/>
      <c r="R544" s="336"/>
      <c r="S544" s="301"/>
      <c r="T544" s="336"/>
    </row>
    <row r="545" spans="1:20" ht="12" customHeight="1" x14ac:dyDescent="0.3">
      <c r="A545" s="329" t="s">
        <v>289</v>
      </c>
      <c r="B545" s="330">
        <v>8</v>
      </c>
      <c r="C545" s="298">
        <v>46121</v>
      </c>
      <c r="D545" s="299" t="s">
        <v>357</v>
      </c>
      <c r="E545" s="331">
        <v>64.42</v>
      </c>
      <c r="F545" s="331"/>
      <c r="G545" s="333">
        <f t="shared" si="13"/>
        <v>1238.1399999999853</v>
      </c>
      <c r="H545" s="334"/>
      <c r="I545" s="335"/>
      <c r="J545" s="336"/>
      <c r="K545" s="301"/>
      <c r="L545" s="336"/>
      <c r="M545" s="301"/>
      <c r="N545" s="336"/>
      <c r="O545" s="301"/>
      <c r="P545" s="336"/>
      <c r="Q545" s="301"/>
      <c r="R545" s="336"/>
      <c r="S545" s="301"/>
      <c r="T545" s="336"/>
    </row>
    <row r="546" spans="1:20" ht="12" customHeight="1" x14ac:dyDescent="0.3">
      <c r="A546" s="329" t="s">
        <v>289</v>
      </c>
      <c r="B546" s="330">
        <v>2</v>
      </c>
      <c r="C546" s="298">
        <v>46121</v>
      </c>
      <c r="D546" s="299" t="s">
        <v>358</v>
      </c>
      <c r="E546" s="331">
        <v>9.4700000000000006</v>
      </c>
      <c r="F546" s="331"/>
      <c r="G546" s="333">
        <f t="shared" si="13"/>
        <v>1302.5599999999854</v>
      </c>
      <c r="H546" s="334"/>
      <c r="I546" s="335"/>
      <c r="J546" s="336"/>
      <c r="K546" s="301"/>
      <c r="L546" s="336"/>
      <c r="M546" s="301"/>
      <c r="N546" s="336"/>
      <c r="O546" s="301"/>
      <c r="P546" s="336"/>
      <c r="Q546" s="301"/>
      <c r="R546" s="336"/>
      <c r="S546" s="301"/>
      <c r="T546" s="336"/>
    </row>
    <row r="547" spans="1:20" ht="12" customHeight="1" x14ac:dyDescent="0.3">
      <c r="A547" s="329" t="s">
        <v>289</v>
      </c>
      <c r="B547" s="330">
        <v>5</v>
      </c>
      <c r="C547" s="298">
        <v>46121</v>
      </c>
      <c r="D547" s="299" t="s">
        <v>854</v>
      </c>
      <c r="E547" s="331">
        <v>10.68</v>
      </c>
      <c r="F547" s="331"/>
      <c r="G547" s="333">
        <f t="shared" si="13"/>
        <v>1312.0299999999854</v>
      </c>
      <c r="H547" s="334"/>
      <c r="I547" s="335"/>
      <c r="J547" s="336"/>
      <c r="K547" s="301"/>
      <c r="L547" s="336"/>
      <c r="M547" s="301"/>
      <c r="N547" s="336"/>
      <c r="O547" s="301"/>
      <c r="P547" s="336"/>
      <c r="Q547" s="301"/>
      <c r="R547" s="336"/>
      <c r="S547" s="301"/>
      <c r="T547" s="336"/>
    </row>
    <row r="548" spans="1:20" ht="12" customHeight="1" x14ac:dyDescent="0.3">
      <c r="A548" s="329" t="s">
        <v>289</v>
      </c>
      <c r="B548" s="330">
        <v>7</v>
      </c>
      <c r="C548" s="298">
        <v>46121</v>
      </c>
      <c r="D548" s="299" t="s">
        <v>359</v>
      </c>
      <c r="E548" s="331">
        <v>68.010000000000005</v>
      </c>
      <c r="F548" s="331"/>
      <c r="G548" s="333">
        <f t="shared" si="13"/>
        <v>1322.7099999999855</v>
      </c>
      <c r="H548" s="334"/>
      <c r="I548" s="335"/>
      <c r="J548" s="336"/>
      <c r="K548" s="301"/>
      <c r="L548" s="336"/>
      <c r="M548" s="301"/>
      <c r="N548" s="336"/>
      <c r="O548" s="301"/>
      <c r="P548" s="336"/>
      <c r="Q548" s="301"/>
      <c r="R548" s="336"/>
      <c r="S548" s="301"/>
      <c r="T548" s="336"/>
    </row>
    <row r="549" spans="1:20" ht="12" customHeight="1" x14ac:dyDescent="0.3">
      <c r="A549" s="329" t="s">
        <v>289</v>
      </c>
      <c r="B549" s="330">
        <v>4</v>
      </c>
      <c r="C549" s="298">
        <v>46121</v>
      </c>
      <c r="D549" s="299" t="s">
        <v>310</v>
      </c>
      <c r="E549" s="331">
        <v>40.85</v>
      </c>
      <c r="F549" s="331"/>
      <c r="G549" s="333">
        <f t="shared" si="13"/>
        <v>1390.7199999999855</v>
      </c>
      <c r="H549" s="334"/>
      <c r="I549" s="335"/>
      <c r="J549" s="336"/>
      <c r="K549" s="301"/>
      <c r="L549" s="336"/>
      <c r="M549" s="301"/>
      <c r="N549" s="336"/>
      <c r="O549" s="301"/>
      <c r="P549" s="336"/>
      <c r="Q549" s="301"/>
      <c r="R549" s="336"/>
      <c r="S549" s="301"/>
      <c r="T549" s="336"/>
    </row>
    <row r="550" spans="1:20" ht="12" customHeight="1" x14ac:dyDescent="0.3">
      <c r="A550" s="329" t="s">
        <v>289</v>
      </c>
      <c r="B550" s="330">
        <v>6</v>
      </c>
      <c r="C550" s="298">
        <v>46121</v>
      </c>
      <c r="D550" s="299" t="s">
        <v>360</v>
      </c>
      <c r="E550" s="331">
        <v>25</v>
      </c>
      <c r="F550" s="331"/>
      <c r="G550" s="333">
        <f t="shared" si="13"/>
        <v>1431.5699999999854</v>
      </c>
      <c r="H550" s="334"/>
      <c r="I550" s="335"/>
      <c r="J550" s="336"/>
      <c r="K550" s="301"/>
      <c r="L550" s="336"/>
      <c r="M550" s="301"/>
      <c r="N550" s="336"/>
      <c r="O550" s="301"/>
      <c r="P550" s="336"/>
      <c r="Q550" s="301"/>
      <c r="R550" s="336"/>
      <c r="S550" s="301"/>
      <c r="T550" s="336"/>
    </row>
    <row r="551" spans="1:20" ht="12" customHeight="1" x14ac:dyDescent="0.3">
      <c r="A551" s="329" t="s">
        <v>294</v>
      </c>
      <c r="B551" s="330">
        <v>18</v>
      </c>
      <c r="C551" s="298">
        <v>46120</v>
      </c>
      <c r="D551" s="299" t="s">
        <v>361</v>
      </c>
      <c r="E551" s="331">
        <v>400</v>
      </c>
      <c r="F551" s="331"/>
      <c r="G551" s="333">
        <f t="shared" si="13"/>
        <v>1456.5699999999854</v>
      </c>
      <c r="H551" s="334"/>
      <c r="I551" s="335"/>
      <c r="J551" s="336"/>
      <c r="K551" s="301"/>
      <c r="L551" s="336"/>
      <c r="M551" s="301"/>
      <c r="N551" s="336"/>
      <c r="O551" s="301"/>
      <c r="P551" s="336"/>
      <c r="Q551" s="301"/>
      <c r="R551" s="336"/>
      <c r="S551" s="301"/>
      <c r="T551" s="336"/>
    </row>
    <row r="552" spans="1:20" ht="12" customHeight="1" x14ac:dyDescent="0.3">
      <c r="A552" s="329" t="s">
        <v>335</v>
      </c>
      <c r="B552" s="330" t="s">
        <v>335</v>
      </c>
      <c r="C552" s="298">
        <v>46120</v>
      </c>
      <c r="D552" s="299" t="s">
        <v>447</v>
      </c>
      <c r="E552" s="331">
        <v>44.96</v>
      </c>
      <c r="F552" s="331"/>
      <c r="G552" s="333">
        <f t="shared" si="13"/>
        <v>1856.5699999999854</v>
      </c>
      <c r="H552" s="334"/>
      <c r="I552" s="335"/>
      <c r="J552" s="336"/>
      <c r="K552" s="301"/>
      <c r="L552" s="336"/>
      <c r="M552" s="301"/>
      <c r="N552" s="336"/>
      <c r="O552" s="301"/>
      <c r="P552" s="336"/>
      <c r="Q552" s="301"/>
      <c r="R552" s="336"/>
      <c r="S552" s="301"/>
      <c r="T552" s="336"/>
    </row>
    <row r="553" spans="1:20" ht="12" customHeight="1" x14ac:dyDescent="0.3">
      <c r="A553" s="329" t="s">
        <v>294</v>
      </c>
      <c r="B553" s="330">
        <v>13</v>
      </c>
      <c r="C553" s="298">
        <v>46120</v>
      </c>
      <c r="D553" s="299" t="s">
        <v>182</v>
      </c>
      <c r="E553" s="331">
        <v>104.98</v>
      </c>
      <c r="F553" s="331"/>
      <c r="G553" s="333">
        <f t="shared" si="13"/>
        <v>1901.5299999999854</v>
      </c>
      <c r="H553" s="334"/>
      <c r="I553" s="335"/>
      <c r="J553" s="336"/>
      <c r="K553" s="301"/>
      <c r="L553" s="336"/>
      <c r="M553" s="301"/>
      <c r="N553" s="336"/>
      <c r="O553" s="301"/>
      <c r="P553" s="336"/>
      <c r="Q553" s="301"/>
      <c r="R553" s="336"/>
      <c r="S553" s="301"/>
      <c r="T553" s="336"/>
    </row>
    <row r="554" spans="1:20" ht="12" customHeight="1" x14ac:dyDescent="0.3">
      <c r="A554" s="329" t="s">
        <v>289</v>
      </c>
      <c r="B554" s="330">
        <v>2</v>
      </c>
      <c r="C554" s="298">
        <v>46120</v>
      </c>
      <c r="D554" s="299" t="s">
        <v>296</v>
      </c>
      <c r="E554" s="331">
        <v>13.8</v>
      </c>
      <c r="F554" s="331"/>
      <c r="G554" s="333">
        <f t="shared" si="13"/>
        <v>2006.5099999999854</v>
      </c>
      <c r="H554" s="334"/>
      <c r="I554" s="335"/>
      <c r="J554" s="336"/>
      <c r="K554" s="301"/>
      <c r="L554" s="336"/>
      <c r="M554" s="301"/>
      <c r="N554" s="336"/>
      <c r="O554" s="301"/>
      <c r="P554" s="336"/>
      <c r="Q554" s="301"/>
      <c r="R554" s="336"/>
      <c r="S554" s="301"/>
      <c r="T554" s="336"/>
    </row>
    <row r="555" spans="1:20" ht="12" customHeight="1" x14ac:dyDescent="0.3">
      <c r="A555" s="329" t="s">
        <v>289</v>
      </c>
      <c r="B555" s="330">
        <v>4</v>
      </c>
      <c r="C555" s="298">
        <v>46120</v>
      </c>
      <c r="D555" s="299" t="s">
        <v>295</v>
      </c>
      <c r="E555" s="331">
        <v>37.92</v>
      </c>
      <c r="F555" s="331"/>
      <c r="G555" s="333">
        <f t="shared" si="13"/>
        <v>2020.3099999999854</v>
      </c>
      <c r="H555" s="334"/>
      <c r="I555" s="335"/>
      <c r="J555" s="336"/>
      <c r="K555" s="301"/>
      <c r="L555" s="336"/>
      <c r="M555" s="301"/>
      <c r="N555" s="336"/>
      <c r="O555" s="301"/>
      <c r="P555" s="336"/>
      <c r="Q555" s="301"/>
      <c r="R555" s="336"/>
      <c r="S555" s="301"/>
      <c r="T555" s="336"/>
    </row>
    <row r="556" spans="1:20" ht="12" customHeight="1" x14ac:dyDescent="0.3">
      <c r="A556" s="329" t="s">
        <v>289</v>
      </c>
      <c r="B556" s="330">
        <v>6</v>
      </c>
      <c r="C556" s="298">
        <v>46120</v>
      </c>
      <c r="D556" s="299" t="s">
        <v>300</v>
      </c>
      <c r="E556" s="331">
        <v>56.68</v>
      </c>
      <c r="F556" s="331"/>
      <c r="G556" s="333">
        <f t="shared" si="13"/>
        <v>2058.2299999999855</v>
      </c>
      <c r="H556" s="334"/>
      <c r="I556" s="335"/>
      <c r="J556" s="336"/>
      <c r="K556" s="301"/>
      <c r="L556" s="336"/>
      <c r="M556" s="301"/>
      <c r="N556" s="336"/>
      <c r="O556" s="301"/>
      <c r="P556" s="336"/>
      <c r="Q556" s="301"/>
      <c r="R556" s="336"/>
      <c r="S556" s="301"/>
      <c r="T556" s="336"/>
    </row>
    <row r="557" spans="1:20" ht="12" customHeight="1" x14ac:dyDescent="0.3">
      <c r="A557" s="329" t="s">
        <v>289</v>
      </c>
      <c r="B557" s="330">
        <v>6</v>
      </c>
      <c r="C557" s="298">
        <v>46120</v>
      </c>
      <c r="D557" s="299" t="s">
        <v>362</v>
      </c>
      <c r="E557" s="331">
        <v>29.26</v>
      </c>
      <c r="F557" s="331"/>
      <c r="G557" s="333">
        <f t="shared" si="13"/>
        <v>2114.9099999999853</v>
      </c>
      <c r="H557" s="334"/>
      <c r="I557" s="335"/>
      <c r="J557" s="336"/>
      <c r="K557" s="301"/>
      <c r="L557" s="336"/>
      <c r="M557" s="301"/>
      <c r="N557" s="336"/>
      <c r="O557" s="301"/>
      <c r="P557" s="336"/>
      <c r="Q557" s="301"/>
      <c r="R557" s="336"/>
      <c r="S557" s="301"/>
      <c r="T557" s="336"/>
    </row>
    <row r="558" spans="1:20" ht="12" customHeight="1" x14ac:dyDescent="0.3">
      <c r="A558" s="329" t="s">
        <v>294</v>
      </c>
      <c r="B558" s="330">
        <v>9</v>
      </c>
      <c r="C558" s="298">
        <v>46119</v>
      </c>
      <c r="D558" s="299" t="s">
        <v>58</v>
      </c>
      <c r="E558" s="331">
        <v>1281.53</v>
      </c>
      <c r="F558" s="331"/>
      <c r="G558" s="333">
        <f t="shared" si="13"/>
        <v>2144.1699999999855</v>
      </c>
      <c r="H558" s="334"/>
      <c r="I558" s="335"/>
      <c r="J558" s="336"/>
      <c r="K558" s="301"/>
      <c r="L558" s="336"/>
      <c r="M558" s="301"/>
      <c r="N558" s="336"/>
      <c r="O558" s="301"/>
      <c r="P558" s="336"/>
      <c r="Q558" s="301"/>
      <c r="R558" s="336"/>
      <c r="S558" s="301"/>
      <c r="T558" s="336"/>
    </row>
    <row r="559" spans="1:20" ht="12" customHeight="1" x14ac:dyDescent="0.3">
      <c r="A559" s="329" t="s">
        <v>289</v>
      </c>
      <c r="B559" s="330">
        <v>4</v>
      </c>
      <c r="C559" s="298">
        <v>46119</v>
      </c>
      <c r="D559" s="299" t="s">
        <v>363</v>
      </c>
      <c r="E559" s="331">
        <v>25.84</v>
      </c>
      <c r="F559" s="331"/>
      <c r="G559" s="333">
        <f t="shared" si="13"/>
        <v>3425.6999999999853</v>
      </c>
      <c r="H559" s="334"/>
      <c r="I559" s="335"/>
      <c r="J559" s="336"/>
      <c r="K559" s="301"/>
      <c r="L559" s="336"/>
      <c r="M559" s="301"/>
      <c r="N559" s="336"/>
      <c r="O559" s="301"/>
      <c r="P559" s="336"/>
      <c r="Q559" s="301"/>
      <c r="R559" s="336"/>
      <c r="S559" s="301"/>
      <c r="T559" s="336"/>
    </row>
    <row r="560" spans="1:20" ht="12" customHeight="1" x14ac:dyDescent="0.3">
      <c r="A560" s="329" t="s">
        <v>289</v>
      </c>
      <c r="B560" s="330">
        <v>8</v>
      </c>
      <c r="C560" s="298">
        <v>46119</v>
      </c>
      <c r="D560" s="299" t="s">
        <v>319</v>
      </c>
      <c r="E560" s="331">
        <v>12.05</v>
      </c>
      <c r="F560" s="331"/>
      <c r="G560" s="333">
        <f t="shared" si="13"/>
        <v>3451.5399999999854</v>
      </c>
      <c r="H560" s="334"/>
      <c r="I560" s="335"/>
      <c r="J560" s="336"/>
      <c r="K560" s="301"/>
      <c r="L560" s="336"/>
      <c r="M560" s="301"/>
      <c r="N560" s="336"/>
      <c r="O560" s="301"/>
      <c r="P560" s="336"/>
      <c r="Q560" s="301"/>
      <c r="R560" s="336"/>
      <c r="S560" s="301"/>
      <c r="T560" s="336"/>
    </row>
    <row r="561" spans="1:20" ht="12" customHeight="1" x14ac:dyDescent="0.3">
      <c r="A561" s="329" t="s">
        <v>289</v>
      </c>
      <c r="B561" s="330">
        <v>4</v>
      </c>
      <c r="C561" s="298">
        <v>46119</v>
      </c>
      <c r="D561" s="299" t="s">
        <v>334</v>
      </c>
      <c r="E561" s="331">
        <v>82.04</v>
      </c>
      <c r="F561" s="331"/>
      <c r="G561" s="333">
        <f t="shared" si="13"/>
        <v>3463.5899999999856</v>
      </c>
      <c r="H561" s="334"/>
      <c r="I561" s="335"/>
      <c r="J561" s="336"/>
      <c r="K561" s="301"/>
      <c r="L561" s="336"/>
      <c r="M561" s="301"/>
      <c r="N561" s="336"/>
      <c r="O561" s="301"/>
      <c r="P561" s="336"/>
      <c r="Q561" s="301"/>
      <c r="R561" s="336"/>
      <c r="S561" s="301"/>
      <c r="T561" s="336"/>
    </row>
    <row r="562" spans="1:20" ht="12" customHeight="1" x14ac:dyDescent="0.3">
      <c r="A562" s="329" t="s">
        <v>289</v>
      </c>
      <c r="B562" s="330">
        <v>2</v>
      </c>
      <c r="C562" s="298">
        <v>46119</v>
      </c>
      <c r="D562" s="299" t="s">
        <v>364</v>
      </c>
      <c r="E562" s="331">
        <v>22.92</v>
      </c>
      <c r="F562" s="331"/>
      <c r="G562" s="333">
        <f t="shared" si="13"/>
        <v>3545.6299999999856</v>
      </c>
      <c r="H562" s="334"/>
      <c r="I562" s="335"/>
      <c r="J562" s="336"/>
      <c r="K562" s="301"/>
      <c r="L562" s="336"/>
      <c r="M562" s="301"/>
      <c r="N562" s="336"/>
      <c r="O562" s="301"/>
      <c r="P562" s="336"/>
      <c r="Q562" s="301"/>
      <c r="R562" s="336"/>
      <c r="S562" s="301"/>
      <c r="T562" s="336"/>
    </row>
    <row r="563" spans="1:20" ht="12" customHeight="1" x14ac:dyDescent="0.3">
      <c r="A563" s="329" t="s">
        <v>289</v>
      </c>
      <c r="B563" s="330">
        <v>5</v>
      </c>
      <c r="C563" s="298">
        <v>46118</v>
      </c>
      <c r="D563" s="299" t="s">
        <v>365</v>
      </c>
      <c r="E563" s="331">
        <v>400</v>
      </c>
      <c r="F563" s="331"/>
      <c r="G563" s="333">
        <f t="shared" si="13"/>
        <v>3568.5499999999856</v>
      </c>
      <c r="H563" s="334"/>
      <c r="I563" s="335"/>
      <c r="J563" s="336"/>
      <c r="K563" s="301"/>
      <c r="L563" s="336"/>
      <c r="M563" s="301"/>
      <c r="N563" s="336"/>
      <c r="O563" s="301"/>
      <c r="P563" s="336"/>
      <c r="Q563" s="301"/>
      <c r="R563" s="336"/>
      <c r="S563" s="301"/>
      <c r="T563" s="336"/>
    </row>
    <row r="564" spans="1:20" ht="12" customHeight="1" x14ac:dyDescent="0.3">
      <c r="A564" s="329" t="s">
        <v>294</v>
      </c>
      <c r="B564" s="330">
        <v>14</v>
      </c>
      <c r="C564" s="298">
        <v>46118</v>
      </c>
      <c r="D564" s="299" t="s">
        <v>366</v>
      </c>
      <c r="E564" s="331">
        <v>66.67</v>
      </c>
      <c r="F564" s="331"/>
      <c r="G564" s="333">
        <f t="shared" si="13"/>
        <v>3968.5499999999856</v>
      </c>
      <c r="H564" s="334"/>
      <c r="I564" s="335"/>
      <c r="J564" s="336"/>
      <c r="K564" s="301"/>
      <c r="L564" s="336"/>
      <c r="M564" s="301"/>
      <c r="N564" s="336"/>
      <c r="O564" s="301"/>
      <c r="P564" s="336"/>
      <c r="Q564" s="301"/>
      <c r="R564" s="336"/>
      <c r="S564" s="301"/>
      <c r="T564" s="336"/>
    </row>
    <row r="565" spans="1:20" ht="12" customHeight="1" x14ac:dyDescent="0.3">
      <c r="A565" s="329" t="s">
        <v>294</v>
      </c>
      <c r="B565" s="330">
        <v>14</v>
      </c>
      <c r="C565" s="298">
        <v>46118</v>
      </c>
      <c r="D565" s="299" t="s">
        <v>367</v>
      </c>
      <c r="E565" s="331">
        <v>70.25</v>
      </c>
      <c r="F565" s="331"/>
      <c r="G565" s="333">
        <f t="shared" si="13"/>
        <v>4035.2199999999857</v>
      </c>
      <c r="H565" s="334"/>
      <c r="I565" s="335"/>
      <c r="J565" s="336"/>
      <c r="K565" s="301"/>
      <c r="L565" s="336"/>
      <c r="M565" s="301"/>
      <c r="N565" s="336"/>
      <c r="O565" s="301"/>
      <c r="P565" s="336"/>
      <c r="Q565" s="301"/>
      <c r="R565" s="336"/>
      <c r="S565" s="301"/>
      <c r="T565" s="336"/>
    </row>
    <row r="566" spans="1:20" ht="12" customHeight="1" x14ac:dyDescent="0.3">
      <c r="A566" s="329" t="s">
        <v>289</v>
      </c>
      <c r="B566" s="330">
        <v>1</v>
      </c>
      <c r="C566" s="298">
        <v>46117</v>
      </c>
      <c r="D566" s="299" t="s">
        <v>368</v>
      </c>
      <c r="E566" s="331">
        <v>25.6</v>
      </c>
      <c r="F566" s="331"/>
      <c r="G566" s="333">
        <f t="shared" si="13"/>
        <v>4105.4699999999857</v>
      </c>
      <c r="H566" s="334"/>
      <c r="I566" s="335"/>
      <c r="J566" s="336"/>
      <c r="K566" s="301"/>
      <c r="L566" s="336"/>
      <c r="M566" s="301"/>
      <c r="N566" s="336"/>
      <c r="O566" s="301"/>
      <c r="P566" s="336"/>
      <c r="Q566" s="301"/>
      <c r="R566" s="336"/>
      <c r="S566" s="301"/>
      <c r="T566" s="336"/>
    </row>
    <row r="567" spans="1:20" ht="12" customHeight="1" x14ac:dyDescent="0.3">
      <c r="A567" s="329" t="s">
        <v>289</v>
      </c>
      <c r="B567" s="330">
        <v>8</v>
      </c>
      <c r="C567" s="298">
        <v>46117</v>
      </c>
      <c r="D567" s="299" t="s">
        <v>319</v>
      </c>
      <c r="E567" s="331">
        <v>8.56</v>
      </c>
      <c r="F567" s="331"/>
      <c r="G567" s="333">
        <f t="shared" si="13"/>
        <v>4131.0699999999861</v>
      </c>
      <c r="H567" s="334"/>
      <c r="I567" s="335"/>
      <c r="J567" s="336"/>
      <c r="K567" s="301"/>
      <c r="L567" s="336"/>
      <c r="M567" s="301"/>
      <c r="N567" s="336"/>
      <c r="O567" s="301"/>
      <c r="P567" s="336"/>
      <c r="Q567" s="301"/>
      <c r="R567" s="336"/>
      <c r="S567" s="301"/>
      <c r="T567" s="336"/>
    </row>
    <row r="568" spans="1:20" ht="12" customHeight="1" x14ac:dyDescent="0.3">
      <c r="A568" s="329" t="s">
        <v>289</v>
      </c>
      <c r="B568" s="330">
        <v>6</v>
      </c>
      <c r="C568" s="298">
        <v>46117</v>
      </c>
      <c r="D568" s="299" t="s">
        <v>369</v>
      </c>
      <c r="E568" s="331">
        <v>301.67</v>
      </c>
      <c r="F568" s="331"/>
      <c r="G568" s="333">
        <f t="shared" si="13"/>
        <v>4139.6299999999865</v>
      </c>
      <c r="H568" s="334"/>
      <c r="I568" s="335"/>
      <c r="J568" s="336"/>
      <c r="K568" s="301"/>
      <c r="L568" s="336"/>
      <c r="M568" s="301"/>
      <c r="N568" s="336"/>
      <c r="O568" s="301"/>
      <c r="P568" s="336"/>
      <c r="Q568" s="301"/>
      <c r="R568" s="336"/>
      <c r="S568" s="301"/>
      <c r="T568" s="336"/>
    </row>
    <row r="569" spans="1:20" ht="12" customHeight="1" x14ac:dyDescent="0.3">
      <c r="A569" s="329" t="s">
        <v>289</v>
      </c>
      <c r="B569" s="330">
        <v>1</v>
      </c>
      <c r="C569" s="298">
        <v>46116</v>
      </c>
      <c r="D569" s="299" t="s">
        <v>306</v>
      </c>
      <c r="E569" s="331">
        <v>176.85</v>
      </c>
      <c r="F569" s="331"/>
      <c r="G569" s="333">
        <f t="shared" si="13"/>
        <v>4441.2999999999865</v>
      </c>
      <c r="H569" s="334"/>
      <c r="I569" s="335"/>
      <c r="J569" s="336"/>
      <c r="K569" s="301"/>
      <c r="L569" s="336"/>
      <c r="M569" s="301"/>
      <c r="N569" s="336"/>
      <c r="O569" s="301"/>
      <c r="P569" s="336"/>
      <c r="Q569" s="301"/>
      <c r="R569" s="336"/>
      <c r="S569" s="301"/>
      <c r="T569" s="336"/>
    </row>
    <row r="570" spans="1:20" ht="12" customHeight="1" x14ac:dyDescent="0.3">
      <c r="A570" s="329" t="s">
        <v>289</v>
      </c>
      <c r="B570" s="330">
        <v>1</v>
      </c>
      <c r="C570" s="298">
        <v>46116</v>
      </c>
      <c r="D570" s="299" t="s">
        <v>311</v>
      </c>
      <c r="E570" s="331">
        <v>139.34</v>
      </c>
      <c r="F570" s="331"/>
      <c r="G570" s="333">
        <f t="shared" si="13"/>
        <v>4618.1499999999869</v>
      </c>
      <c r="H570" s="334"/>
      <c r="I570" s="335"/>
      <c r="J570" s="336"/>
      <c r="K570" s="301"/>
      <c r="L570" s="336"/>
      <c r="M570" s="301"/>
      <c r="N570" s="336"/>
      <c r="O570" s="301"/>
      <c r="P570" s="336"/>
      <c r="Q570" s="301"/>
      <c r="R570" s="336"/>
      <c r="S570" s="301"/>
      <c r="T570" s="336"/>
    </row>
    <row r="571" spans="1:20" ht="12" customHeight="1" x14ac:dyDescent="0.3">
      <c r="A571" s="329" t="s">
        <v>294</v>
      </c>
      <c r="B571" s="330">
        <v>17</v>
      </c>
      <c r="C571" s="298">
        <v>46116</v>
      </c>
      <c r="D571" s="299" t="s">
        <v>370</v>
      </c>
      <c r="E571" s="331">
        <v>99</v>
      </c>
      <c r="F571" s="331"/>
      <c r="G571" s="333">
        <f t="shared" si="13"/>
        <v>4757.489999999987</v>
      </c>
      <c r="H571" s="334"/>
      <c r="I571" s="335"/>
      <c r="J571" s="336"/>
      <c r="K571" s="301"/>
      <c r="L571" s="336"/>
      <c r="M571" s="301"/>
      <c r="N571" s="336"/>
      <c r="O571" s="301"/>
      <c r="P571" s="336"/>
      <c r="Q571" s="301"/>
      <c r="R571" s="336"/>
      <c r="S571" s="301"/>
      <c r="T571" s="336"/>
    </row>
    <row r="572" spans="1:20" ht="12" customHeight="1" x14ac:dyDescent="0.3">
      <c r="A572" s="329" t="s">
        <v>289</v>
      </c>
      <c r="B572" s="330">
        <v>2</v>
      </c>
      <c r="C572" s="298">
        <v>46116</v>
      </c>
      <c r="D572" s="299" t="s">
        <v>371</v>
      </c>
      <c r="E572" s="331">
        <v>34</v>
      </c>
      <c r="F572" s="331"/>
      <c r="G572" s="333">
        <f t="shared" si="13"/>
        <v>4856.489999999987</v>
      </c>
      <c r="H572" s="334"/>
      <c r="I572" s="335"/>
      <c r="J572" s="336"/>
      <c r="K572" s="301"/>
      <c r="L572" s="336"/>
      <c r="M572" s="301"/>
      <c r="N572" s="336"/>
      <c r="O572" s="301"/>
      <c r="P572" s="336"/>
      <c r="Q572" s="301"/>
      <c r="R572" s="336"/>
      <c r="S572" s="301"/>
      <c r="T572" s="336"/>
    </row>
    <row r="573" spans="1:20" ht="12" customHeight="1" x14ac:dyDescent="0.3">
      <c r="A573" s="329" t="s">
        <v>289</v>
      </c>
      <c r="B573" s="330">
        <v>3</v>
      </c>
      <c r="C573" s="298">
        <v>46116</v>
      </c>
      <c r="D573" s="299" t="s">
        <v>348</v>
      </c>
      <c r="E573" s="331">
        <v>10.24</v>
      </c>
      <c r="F573" s="331"/>
      <c r="G573" s="333">
        <f t="shared" si="13"/>
        <v>4890.489999999987</v>
      </c>
      <c r="H573" s="334"/>
      <c r="I573" s="335"/>
      <c r="J573" s="336"/>
      <c r="K573" s="301"/>
      <c r="L573" s="336"/>
      <c r="M573" s="301"/>
      <c r="N573" s="336"/>
      <c r="O573" s="301"/>
      <c r="P573" s="336"/>
      <c r="Q573" s="301"/>
      <c r="R573" s="336"/>
      <c r="S573" s="301"/>
      <c r="T573" s="336"/>
    </row>
    <row r="574" spans="1:20" ht="12" customHeight="1" x14ac:dyDescent="0.3">
      <c r="A574" s="329" t="s">
        <v>289</v>
      </c>
      <c r="B574" s="330">
        <v>7</v>
      </c>
      <c r="C574" s="298">
        <v>46115</v>
      </c>
      <c r="D574" s="299" t="s">
        <v>372</v>
      </c>
      <c r="E574" s="331">
        <v>100</v>
      </c>
      <c r="F574" s="331"/>
      <c r="G574" s="333">
        <f t="shared" si="13"/>
        <v>4900.7299999999868</v>
      </c>
      <c r="H574" s="334"/>
      <c r="I574" s="335"/>
      <c r="J574" s="336"/>
      <c r="K574" s="301"/>
      <c r="L574" s="336"/>
      <c r="M574" s="301"/>
      <c r="N574" s="336"/>
      <c r="O574" s="301"/>
      <c r="P574" s="336"/>
      <c r="Q574" s="301"/>
      <c r="R574" s="336"/>
      <c r="S574" s="301"/>
      <c r="T574" s="336"/>
    </row>
    <row r="575" spans="1:20" ht="12" customHeight="1" x14ac:dyDescent="0.3">
      <c r="A575" s="329" t="s">
        <v>289</v>
      </c>
      <c r="B575" s="330">
        <v>6</v>
      </c>
      <c r="C575" s="298">
        <v>46115</v>
      </c>
      <c r="D575" s="299" t="s">
        <v>300</v>
      </c>
      <c r="E575" s="331">
        <v>7.68</v>
      </c>
      <c r="F575" s="331"/>
      <c r="G575" s="333">
        <f t="shared" si="13"/>
        <v>5000.7299999999868</v>
      </c>
      <c r="H575" s="334"/>
      <c r="I575" s="335"/>
      <c r="J575" s="336"/>
      <c r="K575" s="301"/>
      <c r="L575" s="336"/>
      <c r="M575" s="301"/>
      <c r="N575" s="336"/>
      <c r="O575" s="301"/>
      <c r="P575" s="336"/>
      <c r="Q575" s="301"/>
      <c r="R575" s="336"/>
      <c r="S575" s="301"/>
      <c r="T575" s="336"/>
    </row>
    <row r="576" spans="1:20" ht="12" customHeight="1" x14ac:dyDescent="0.3">
      <c r="A576" s="329" t="s">
        <v>289</v>
      </c>
      <c r="B576" s="330">
        <v>2</v>
      </c>
      <c r="C576" s="298">
        <v>46115</v>
      </c>
      <c r="D576" s="299" t="s">
        <v>296</v>
      </c>
      <c r="E576" s="331">
        <v>8.7200000000000006</v>
      </c>
      <c r="F576" s="331"/>
      <c r="G576" s="333">
        <f t="shared" si="13"/>
        <v>5008.4099999999871</v>
      </c>
      <c r="H576" s="334"/>
      <c r="I576" s="335"/>
      <c r="J576" s="336"/>
      <c r="K576" s="301"/>
      <c r="L576" s="336"/>
      <c r="M576" s="301"/>
      <c r="N576" s="336"/>
      <c r="O576" s="301"/>
      <c r="P576" s="336"/>
      <c r="Q576" s="301"/>
      <c r="R576" s="336"/>
      <c r="S576" s="301"/>
      <c r="T576" s="336"/>
    </row>
    <row r="577" spans="1:20" ht="12" customHeight="1" x14ac:dyDescent="0.3">
      <c r="A577" s="329" t="s">
        <v>289</v>
      </c>
      <c r="B577" s="330">
        <v>8</v>
      </c>
      <c r="C577" s="298">
        <v>46114</v>
      </c>
      <c r="D577" s="299" t="s">
        <v>373</v>
      </c>
      <c r="E577" s="331">
        <v>81.739999999999995</v>
      </c>
      <c r="F577" s="331"/>
      <c r="G577" s="333">
        <f t="shared" si="13"/>
        <v>5017.1299999999874</v>
      </c>
      <c r="H577" s="334"/>
      <c r="I577" s="335"/>
      <c r="J577" s="336"/>
      <c r="K577" s="301"/>
      <c r="L577" s="336"/>
      <c r="M577" s="301"/>
      <c r="N577" s="336"/>
      <c r="O577" s="301"/>
      <c r="P577" s="336"/>
      <c r="Q577" s="301"/>
      <c r="R577" s="336"/>
      <c r="S577" s="301"/>
      <c r="T577" s="336"/>
    </row>
    <row r="578" spans="1:20" ht="12" customHeight="1" x14ac:dyDescent="0.3">
      <c r="A578" s="329" t="s">
        <v>284</v>
      </c>
      <c r="B578" s="330">
        <v>36</v>
      </c>
      <c r="C578" s="298">
        <v>46114</v>
      </c>
      <c r="D578" s="299" t="s">
        <v>374</v>
      </c>
      <c r="E578" s="331">
        <v>50</v>
      </c>
      <c r="F578" s="331"/>
      <c r="G578" s="333">
        <f t="shared" si="13"/>
        <v>5098.8699999999872</v>
      </c>
      <c r="H578" s="334"/>
      <c r="I578" s="335"/>
      <c r="J578" s="336"/>
      <c r="K578" s="301"/>
      <c r="L578" s="336"/>
      <c r="M578" s="301"/>
      <c r="N578" s="336"/>
      <c r="O578" s="301"/>
      <c r="P578" s="336"/>
      <c r="Q578" s="301"/>
      <c r="R578" s="336"/>
      <c r="S578" s="301"/>
      <c r="T578" s="336"/>
    </row>
    <row r="579" spans="1:20" ht="12" customHeight="1" x14ac:dyDescent="0.3">
      <c r="A579" s="329" t="s">
        <v>294</v>
      </c>
      <c r="B579" s="330">
        <v>22</v>
      </c>
      <c r="C579" s="298">
        <v>46114</v>
      </c>
      <c r="D579" s="299" t="s">
        <v>375</v>
      </c>
      <c r="E579" s="331">
        <v>6.37</v>
      </c>
      <c r="F579" s="331"/>
      <c r="G579" s="333">
        <f t="shared" si="13"/>
        <v>5148.8699999999872</v>
      </c>
      <c r="H579" s="334"/>
      <c r="I579" s="335"/>
      <c r="J579" s="336"/>
      <c r="K579" s="301"/>
      <c r="L579" s="336"/>
      <c r="M579" s="301"/>
      <c r="N579" s="336"/>
      <c r="O579" s="301"/>
      <c r="P579" s="336"/>
      <c r="Q579" s="301"/>
      <c r="R579" s="336"/>
      <c r="S579" s="301"/>
      <c r="T579" s="336"/>
    </row>
    <row r="580" spans="1:20" ht="12" customHeight="1" x14ac:dyDescent="0.3">
      <c r="A580" s="329" t="s">
        <v>289</v>
      </c>
      <c r="B580" s="330">
        <v>2</v>
      </c>
      <c r="C580" s="298">
        <v>46114</v>
      </c>
      <c r="D580" s="299" t="s">
        <v>326</v>
      </c>
      <c r="E580" s="331">
        <v>55.22</v>
      </c>
      <c r="F580" s="331"/>
      <c r="G580" s="333">
        <f t="shared" si="13"/>
        <v>5155.239999999987</v>
      </c>
      <c r="H580" s="334"/>
      <c r="I580" s="335"/>
      <c r="J580" s="336"/>
      <c r="K580" s="301"/>
      <c r="L580" s="336"/>
      <c r="M580" s="301"/>
      <c r="N580" s="336"/>
      <c r="O580" s="301"/>
      <c r="P580" s="336"/>
      <c r="Q580" s="301"/>
      <c r="R580" s="336"/>
      <c r="S580" s="301"/>
      <c r="T580" s="336"/>
    </row>
    <row r="581" spans="1:20" ht="12" customHeight="1" x14ac:dyDescent="0.3">
      <c r="A581" s="329" t="s">
        <v>289</v>
      </c>
      <c r="B581" s="330">
        <v>8</v>
      </c>
      <c r="C581" s="298">
        <v>46114</v>
      </c>
      <c r="D581" s="299" t="s">
        <v>319</v>
      </c>
      <c r="E581" s="331">
        <v>8.5</v>
      </c>
      <c r="F581" s="331"/>
      <c r="G581" s="333">
        <f t="shared" si="13"/>
        <v>5210.4599999999873</v>
      </c>
      <c r="H581" s="334"/>
      <c r="I581" s="335"/>
      <c r="J581" s="336"/>
      <c r="K581" s="301"/>
      <c r="L581" s="336"/>
      <c r="M581" s="301"/>
      <c r="N581" s="336"/>
      <c r="O581" s="301"/>
      <c r="P581" s="336"/>
      <c r="Q581" s="301"/>
      <c r="R581" s="336"/>
      <c r="S581" s="301"/>
      <c r="T581" s="336"/>
    </row>
    <row r="582" spans="1:20" ht="12" customHeight="1" x14ac:dyDescent="0.3">
      <c r="A582" s="329" t="s">
        <v>289</v>
      </c>
      <c r="B582" s="330">
        <v>4</v>
      </c>
      <c r="C582" s="298">
        <v>46114</v>
      </c>
      <c r="D582" s="299" t="s">
        <v>334</v>
      </c>
      <c r="E582" s="331">
        <v>38.99</v>
      </c>
      <c r="F582" s="331"/>
      <c r="G582" s="333">
        <f t="shared" si="13"/>
        <v>5218.9599999999873</v>
      </c>
      <c r="H582" s="334"/>
      <c r="I582" s="335"/>
      <c r="J582" s="336"/>
      <c r="K582" s="301"/>
      <c r="L582" s="336"/>
      <c r="M582" s="301"/>
      <c r="N582" s="336"/>
      <c r="O582" s="301"/>
      <c r="P582" s="336"/>
      <c r="Q582" s="301"/>
      <c r="R582" s="336"/>
      <c r="S582" s="301"/>
      <c r="T582" s="336"/>
    </row>
    <row r="583" spans="1:20" ht="12" customHeight="1" x14ac:dyDescent="0.3">
      <c r="A583" s="329" t="s">
        <v>291</v>
      </c>
      <c r="B583" s="330">
        <v>39</v>
      </c>
      <c r="C583" s="298">
        <v>46113</v>
      </c>
      <c r="D583" s="299" t="s">
        <v>292</v>
      </c>
      <c r="E583" s="331"/>
      <c r="F583" s="331">
        <v>2763.78</v>
      </c>
      <c r="G583" s="333">
        <f t="shared" si="13"/>
        <v>5257.9499999999871</v>
      </c>
      <c r="H583" s="334"/>
      <c r="I583" s="335"/>
      <c r="J583" s="336"/>
      <c r="K583" s="301"/>
      <c r="L583" s="336"/>
      <c r="M583" s="301"/>
      <c r="N583" s="336"/>
      <c r="O583" s="301"/>
      <c r="P583" s="336"/>
      <c r="Q583" s="301"/>
      <c r="R583" s="336"/>
      <c r="S583" s="301"/>
      <c r="T583" s="336"/>
    </row>
    <row r="584" spans="1:20" ht="12" customHeight="1" x14ac:dyDescent="0.3">
      <c r="A584" s="329" t="s">
        <v>289</v>
      </c>
      <c r="B584" s="330">
        <v>4</v>
      </c>
      <c r="C584" s="298">
        <v>46113</v>
      </c>
      <c r="D584" s="299" t="s">
        <v>296</v>
      </c>
      <c r="E584" s="331">
        <v>36.090000000000003</v>
      </c>
      <c r="F584" s="331"/>
      <c r="G584" s="333">
        <f t="shared" si="13"/>
        <v>2494.1699999999869</v>
      </c>
      <c r="H584" s="334"/>
      <c r="I584" s="335"/>
      <c r="J584" s="336"/>
      <c r="K584" s="301"/>
      <c r="L584" s="336"/>
      <c r="M584" s="301"/>
      <c r="N584" s="336"/>
      <c r="O584" s="301"/>
      <c r="P584" s="336"/>
      <c r="Q584" s="301"/>
      <c r="R584" s="336"/>
      <c r="S584" s="301"/>
      <c r="T584" s="336"/>
    </row>
    <row r="585" spans="1:20" ht="12" customHeight="1" x14ac:dyDescent="0.3">
      <c r="A585" s="329" t="s">
        <v>289</v>
      </c>
      <c r="B585" s="330">
        <v>4</v>
      </c>
      <c r="C585" s="298">
        <v>46113</v>
      </c>
      <c r="D585" s="299" t="s">
        <v>310</v>
      </c>
      <c r="E585" s="331">
        <v>80</v>
      </c>
      <c r="F585" s="331"/>
      <c r="G585" s="333">
        <f t="shared" si="13"/>
        <v>2530.259999999987</v>
      </c>
      <c r="H585" s="334"/>
      <c r="I585" s="335"/>
      <c r="J585" s="336"/>
      <c r="K585" s="301"/>
      <c r="L585" s="336"/>
      <c r="M585" s="301"/>
      <c r="N585" s="336"/>
      <c r="O585" s="301"/>
      <c r="P585" s="336"/>
      <c r="Q585" s="301"/>
      <c r="R585" s="336"/>
      <c r="S585" s="301"/>
      <c r="T585" s="336"/>
    </row>
    <row r="586" spans="1:20" ht="12" customHeight="1" x14ac:dyDescent="0.3">
      <c r="A586" s="329" t="s">
        <v>289</v>
      </c>
      <c r="B586" s="330">
        <v>7</v>
      </c>
      <c r="C586" s="298">
        <v>46113</v>
      </c>
      <c r="D586" s="299" t="s">
        <v>320</v>
      </c>
      <c r="E586" s="331">
        <v>47.84</v>
      </c>
      <c r="F586" s="331"/>
      <c r="G586" s="333">
        <f t="shared" si="13"/>
        <v>2610.259999999987</v>
      </c>
      <c r="H586" s="334"/>
      <c r="I586" s="335"/>
      <c r="J586" s="336"/>
      <c r="K586" s="301"/>
      <c r="L586" s="336"/>
      <c r="M586" s="301"/>
      <c r="N586" s="336"/>
      <c r="O586" s="301"/>
      <c r="P586" s="336"/>
      <c r="Q586" s="301"/>
      <c r="R586" s="336"/>
      <c r="S586" s="301"/>
      <c r="T586" s="336"/>
    </row>
    <row r="587" spans="1:20" ht="12" customHeight="1" x14ac:dyDescent="0.3">
      <c r="A587" s="329" t="s">
        <v>289</v>
      </c>
      <c r="B587" s="330">
        <v>7</v>
      </c>
      <c r="C587" s="298">
        <v>46113</v>
      </c>
      <c r="D587" s="299" t="s">
        <v>320</v>
      </c>
      <c r="E587" s="331">
        <v>21.25</v>
      </c>
      <c r="F587" s="331"/>
      <c r="G587" s="333">
        <f t="shared" si="13"/>
        <v>2658.0999999999872</v>
      </c>
      <c r="H587" s="334"/>
      <c r="I587" s="335"/>
      <c r="J587" s="336"/>
      <c r="K587" s="301"/>
      <c r="L587" s="336"/>
      <c r="M587" s="301"/>
      <c r="N587" s="336"/>
      <c r="O587" s="301"/>
      <c r="P587" s="336"/>
      <c r="Q587" s="301"/>
      <c r="R587" s="336"/>
      <c r="S587" s="301"/>
      <c r="T587" s="336"/>
    </row>
    <row r="588" spans="1:20" ht="12" customHeight="1" x14ac:dyDescent="0.3">
      <c r="A588" s="329" t="s">
        <v>289</v>
      </c>
      <c r="B588" s="330">
        <v>2</v>
      </c>
      <c r="C588" s="298">
        <v>46113</v>
      </c>
      <c r="D588" s="299" t="s">
        <v>376</v>
      </c>
      <c r="E588" s="331">
        <v>42.9</v>
      </c>
      <c r="F588" s="331"/>
      <c r="G588" s="333">
        <f t="shared" si="13"/>
        <v>2679.3499999999872</v>
      </c>
      <c r="H588" s="334"/>
      <c r="I588" s="335"/>
      <c r="J588" s="336"/>
      <c r="K588" s="301"/>
      <c r="L588" s="336"/>
      <c r="M588" s="301"/>
      <c r="N588" s="336"/>
      <c r="O588" s="301"/>
      <c r="P588" s="336"/>
      <c r="Q588" s="301"/>
      <c r="R588" s="336"/>
      <c r="S588" s="301"/>
      <c r="T588" s="336"/>
    </row>
    <row r="589" spans="1:20" ht="12" customHeight="1" x14ac:dyDescent="0.3">
      <c r="A589" s="329" t="s">
        <v>284</v>
      </c>
      <c r="B589" s="330">
        <v>37</v>
      </c>
      <c r="C589" s="298">
        <v>46112</v>
      </c>
      <c r="D589" s="299" t="s">
        <v>377</v>
      </c>
      <c r="E589" s="331">
        <v>4309.58</v>
      </c>
      <c r="F589" s="331"/>
      <c r="G589" s="333">
        <f t="shared" si="13"/>
        <v>2722.2499999999873</v>
      </c>
      <c r="H589" s="334"/>
      <c r="I589" s="335"/>
      <c r="J589" s="336"/>
      <c r="K589" s="301"/>
      <c r="L589" s="336"/>
      <c r="M589" s="301"/>
      <c r="N589" s="336"/>
      <c r="O589" s="301"/>
      <c r="P589" s="336"/>
      <c r="Q589" s="301"/>
      <c r="R589" s="336"/>
      <c r="S589" s="301"/>
      <c r="T589" s="336"/>
    </row>
    <row r="590" spans="1:20" ht="12" customHeight="1" x14ac:dyDescent="0.3">
      <c r="A590" s="329" t="s">
        <v>286</v>
      </c>
      <c r="B590" s="330">
        <v>25</v>
      </c>
      <c r="C590" s="298">
        <v>46112</v>
      </c>
      <c r="D590" s="298" t="s">
        <v>204</v>
      </c>
      <c r="E590" s="331">
        <v>350</v>
      </c>
      <c r="F590" s="331"/>
      <c r="G590" s="333">
        <f t="shared" si="13"/>
        <v>7031.8299999999872</v>
      </c>
      <c r="H590" s="334"/>
      <c r="I590" s="335"/>
      <c r="J590" s="336"/>
      <c r="K590" s="301"/>
      <c r="L590" s="336"/>
      <c r="M590" s="301"/>
      <c r="N590" s="336"/>
      <c r="O590" s="301"/>
      <c r="P590" s="336"/>
      <c r="Q590" s="301"/>
      <c r="R590" s="336"/>
      <c r="S590" s="301"/>
      <c r="T590" s="336"/>
    </row>
    <row r="591" spans="1:20" ht="12" customHeight="1" x14ac:dyDescent="0.3">
      <c r="A591" s="329" t="s">
        <v>286</v>
      </c>
      <c r="B591" s="330">
        <v>26</v>
      </c>
      <c r="C591" s="298">
        <v>46112</v>
      </c>
      <c r="D591" s="298" t="s">
        <v>205</v>
      </c>
      <c r="E591" s="331">
        <v>320</v>
      </c>
      <c r="F591" s="331"/>
      <c r="G591" s="333">
        <f t="shared" si="13"/>
        <v>7381.8299999999872</v>
      </c>
      <c r="H591" s="334"/>
      <c r="I591" s="335"/>
      <c r="J591" s="336"/>
      <c r="K591" s="301"/>
      <c r="L591" s="336"/>
      <c r="M591" s="301"/>
      <c r="N591" s="336"/>
      <c r="O591" s="301"/>
      <c r="P591" s="336"/>
      <c r="Q591" s="301"/>
      <c r="R591" s="336"/>
      <c r="S591" s="301"/>
      <c r="T591" s="336"/>
    </row>
    <row r="592" spans="1:20" ht="12" customHeight="1" x14ac:dyDescent="0.3">
      <c r="A592" s="329" t="s">
        <v>286</v>
      </c>
      <c r="B592" s="330">
        <v>27</v>
      </c>
      <c r="C592" s="298">
        <v>46112</v>
      </c>
      <c r="D592" s="298" t="s">
        <v>206</v>
      </c>
      <c r="E592" s="331">
        <v>25</v>
      </c>
      <c r="F592" s="331"/>
      <c r="G592" s="333">
        <f t="shared" si="13"/>
        <v>7701.8299999999872</v>
      </c>
      <c r="H592" s="334"/>
      <c r="I592" s="335"/>
      <c r="J592" s="336"/>
      <c r="K592" s="301"/>
      <c r="L592" s="336"/>
      <c r="M592" s="301"/>
      <c r="N592" s="336"/>
      <c r="O592" s="301"/>
      <c r="P592" s="336"/>
      <c r="Q592" s="301"/>
      <c r="R592" s="336"/>
      <c r="S592" s="301"/>
      <c r="T592" s="336"/>
    </row>
    <row r="593" spans="1:20" ht="12" customHeight="1" x14ac:dyDescent="0.3">
      <c r="A593" s="329" t="s">
        <v>286</v>
      </c>
      <c r="B593" s="330">
        <v>28</v>
      </c>
      <c r="C593" s="298">
        <v>46112</v>
      </c>
      <c r="D593" s="298" t="s">
        <v>207</v>
      </c>
      <c r="E593" s="331">
        <v>25</v>
      </c>
      <c r="F593" s="331"/>
      <c r="G593" s="333">
        <f t="shared" si="13"/>
        <v>7726.8299999999872</v>
      </c>
      <c r="H593" s="334"/>
      <c r="I593" s="335"/>
      <c r="J593" s="336"/>
      <c r="K593" s="301"/>
      <c r="L593" s="336"/>
      <c r="M593" s="301"/>
      <c r="N593" s="336"/>
      <c r="O593" s="301"/>
      <c r="P593" s="336"/>
      <c r="Q593" s="301"/>
      <c r="R593" s="336"/>
      <c r="S593" s="301"/>
      <c r="T593" s="336"/>
    </row>
    <row r="594" spans="1:20" ht="12" customHeight="1" x14ac:dyDescent="0.3">
      <c r="A594" s="329" t="s">
        <v>286</v>
      </c>
      <c r="B594" s="330">
        <v>29</v>
      </c>
      <c r="C594" s="298">
        <v>46112</v>
      </c>
      <c r="D594" s="298" t="s">
        <v>208</v>
      </c>
      <c r="E594" s="331">
        <v>45</v>
      </c>
      <c r="F594" s="331"/>
      <c r="G594" s="333">
        <f t="shared" si="13"/>
        <v>7751.8299999999872</v>
      </c>
      <c r="H594" s="334"/>
      <c r="I594" s="335"/>
      <c r="J594" s="336"/>
      <c r="K594" s="301"/>
      <c r="L594" s="336"/>
      <c r="M594" s="301"/>
      <c r="N594" s="336"/>
      <c r="O594" s="301"/>
      <c r="P594" s="336"/>
      <c r="Q594" s="301"/>
      <c r="R594" s="336"/>
      <c r="S594" s="301"/>
      <c r="T594" s="336"/>
    </row>
    <row r="595" spans="1:20" ht="12" customHeight="1" x14ac:dyDescent="0.3">
      <c r="A595" s="329" t="s">
        <v>286</v>
      </c>
      <c r="B595" s="330">
        <v>30</v>
      </c>
      <c r="C595" s="298">
        <v>46112</v>
      </c>
      <c r="D595" s="298" t="s">
        <v>209</v>
      </c>
      <c r="E595" s="331">
        <v>400</v>
      </c>
      <c r="F595" s="331"/>
      <c r="G595" s="333">
        <f t="shared" si="13"/>
        <v>7796.8299999999872</v>
      </c>
      <c r="H595" s="334"/>
      <c r="I595" s="335"/>
      <c r="J595" s="336"/>
      <c r="K595" s="301"/>
      <c r="L595" s="336"/>
      <c r="M595" s="301"/>
      <c r="N595" s="336"/>
      <c r="O595" s="301"/>
      <c r="P595" s="336"/>
      <c r="Q595" s="301"/>
      <c r="R595" s="336"/>
      <c r="S595" s="301"/>
      <c r="T595" s="336"/>
    </row>
    <row r="596" spans="1:20" ht="12" customHeight="1" x14ac:dyDescent="0.3">
      <c r="A596" s="329" t="s">
        <v>286</v>
      </c>
      <c r="B596" s="330">
        <v>31</v>
      </c>
      <c r="C596" s="298">
        <v>46112</v>
      </c>
      <c r="D596" s="298" t="s">
        <v>210</v>
      </c>
      <c r="E596" s="331">
        <v>375</v>
      </c>
      <c r="F596" s="331"/>
      <c r="G596" s="333">
        <f t="shared" si="13"/>
        <v>8196.8299999999872</v>
      </c>
      <c r="H596" s="334"/>
      <c r="I596" s="335"/>
      <c r="J596" s="336"/>
      <c r="K596" s="301"/>
      <c r="L596" s="336"/>
      <c r="M596" s="301"/>
      <c r="N596" s="336"/>
      <c r="O596" s="301"/>
      <c r="P596" s="336"/>
      <c r="Q596" s="301"/>
      <c r="R596" s="336"/>
      <c r="S596" s="301"/>
      <c r="T596" s="336"/>
    </row>
    <row r="597" spans="1:20" ht="12" customHeight="1" x14ac:dyDescent="0.3">
      <c r="A597" s="329" t="s">
        <v>286</v>
      </c>
      <c r="B597" s="330">
        <v>32</v>
      </c>
      <c r="C597" s="298">
        <v>46112</v>
      </c>
      <c r="D597" s="298" t="s">
        <v>211</v>
      </c>
      <c r="E597" s="331">
        <v>100</v>
      </c>
      <c r="F597" s="331"/>
      <c r="G597" s="333">
        <f t="shared" si="13"/>
        <v>8571.8299999999872</v>
      </c>
      <c r="H597" s="334"/>
      <c r="I597" s="335"/>
      <c r="J597" s="336"/>
      <c r="K597" s="301"/>
      <c r="L597" s="336"/>
      <c r="M597" s="301"/>
      <c r="N597" s="336"/>
      <c r="O597" s="301"/>
      <c r="P597" s="336"/>
      <c r="Q597" s="301"/>
      <c r="R597" s="336"/>
      <c r="S597" s="301"/>
      <c r="T597" s="336"/>
    </row>
    <row r="598" spans="1:20" ht="12" customHeight="1" x14ac:dyDescent="0.3">
      <c r="A598" s="329" t="s">
        <v>286</v>
      </c>
      <c r="B598" s="330">
        <v>33</v>
      </c>
      <c r="C598" s="298">
        <v>46112</v>
      </c>
      <c r="D598" s="298" t="s">
        <v>212</v>
      </c>
      <c r="E598" s="331">
        <v>85</v>
      </c>
      <c r="F598" s="331"/>
      <c r="G598" s="333">
        <f t="shared" si="13"/>
        <v>8671.8299999999872</v>
      </c>
      <c r="H598" s="334"/>
      <c r="I598" s="335"/>
      <c r="J598" s="336"/>
      <c r="K598" s="301"/>
      <c r="L598" s="336"/>
      <c r="M598" s="301"/>
      <c r="N598" s="336"/>
      <c r="O598" s="301"/>
      <c r="P598" s="336"/>
      <c r="Q598" s="301"/>
      <c r="R598" s="336"/>
      <c r="S598" s="301"/>
      <c r="T598" s="336"/>
    </row>
    <row r="599" spans="1:20" ht="12" customHeight="1" x14ac:dyDescent="0.3">
      <c r="A599" s="329" t="s">
        <v>286</v>
      </c>
      <c r="B599" s="330">
        <v>34</v>
      </c>
      <c r="C599" s="298">
        <v>46112</v>
      </c>
      <c r="D599" s="298" t="s">
        <v>213</v>
      </c>
      <c r="E599" s="331">
        <v>230</v>
      </c>
      <c r="F599" s="331"/>
      <c r="G599" s="333">
        <f t="shared" si="13"/>
        <v>8756.8299999999872</v>
      </c>
      <c r="H599" s="334"/>
      <c r="I599" s="335"/>
      <c r="J599" s="336"/>
      <c r="K599" s="301"/>
      <c r="L599" s="336"/>
      <c r="M599" s="301"/>
      <c r="N599" s="336"/>
      <c r="O599" s="301"/>
      <c r="P599" s="336"/>
      <c r="Q599" s="301"/>
      <c r="R599" s="336"/>
      <c r="S599" s="301"/>
      <c r="T599" s="336"/>
    </row>
    <row r="600" spans="1:20" ht="12" customHeight="1" x14ac:dyDescent="0.3">
      <c r="A600" s="329" t="s">
        <v>286</v>
      </c>
      <c r="B600" s="330">
        <v>35</v>
      </c>
      <c r="C600" s="298">
        <v>46112</v>
      </c>
      <c r="D600" s="298" t="s">
        <v>214</v>
      </c>
      <c r="E600" s="331">
        <v>45</v>
      </c>
      <c r="F600" s="331"/>
      <c r="G600" s="333">
        <f t="shared" si="13"/>
        <v>8986.8299999999872</v>
      </c>
      <c r="H600" s="334"/>
      <c r="I600" s="335"/>
      <c r="J600" s="336"/>
      <c r="K600" s="301"/>
      <c r="L600" s="336"/>
      <c r="M600" s="301"/>
      <c r="N600" s="336"/>
      <c r="O600" s="301"/>
      <c r="P600" s="336"/>
      <c r="Q600" s="301"/>
      <c r="R600" s="336"/>
      <c r="S600" s="301"/>
      <c r="T600" s="336"/>
    </row>
    <row r="601" spans="1:20" ht="12" customHeight="1" x14ac:dyDescent="0.3">
      <c r="A601" s="329" t="s">
        <v>289</v>
      </c>
      <c r="B601" s="330">
        <v>6</v>
      </c>
      <c r="C601" s="298">
        <v>46112</v>
      </c>
      <c r="D601" s="298" t="s">
        <v>378</v>
      </c>
      <c r="E601" s="331">
        <v>40</v>
      </c>
      <c r="F601" s="331"/>
      <c r="G601" s="333">
        <f t="shared" si="13"/>
        <v>9031.8299999999872</v>
      </c>
      <c r="H601" s="334"/>
      <c r="I601" s="335"/>
      <c r="J601" s="336"/>
      <c r="K601" s="301"/>
      <c r="L601" s="336"/>
      <c r="M601" s="301"/>
      <c r="N601" s="336"/>
      <c r="O601" s="301"/>
      <c r="P601" s="336"/>
      <c r="Q601" s="301"/>
      <c r="R601" s="336"/>
      <c r="S601" s="301"/>
      <c r="T601" s="336"/>
    </row>
    <row r="602" spans="1:20" ht="12" customHeight="1" x14ac:dyDescent="0.3">
      <c r="A602" s="329" t="s">
        <v>294</v>
      </c>
      <c r="B602" s="330">
        <v>42</v>
      </c>
      <c r="C602" s="298">
        <v>46112</v>
      </c>
      <c r="D602" s="298" t="s">
        <v>200</v>
      </c>
      <c r="E602" s="331">
        <v>59</v>
      </c>
      <c r="F602" s="331"/>
      <c r="G602" s="333">
        <f t="shared" si="13"/>
        <v>9071.8299999999872</v>
      </c>
      <c r="H602" s="334"/>
      <c r="I602" s="335"/>
      <c r="J602" s="336"/>
      <c r="K602" s="301"/>
      <c r="L602" s="336"/>
      <c r="M602" s="301"/>
      <c r="N602" s="336"/>
      <c r="O602" s="301"/>
      <c r="P602" s="336"/>
      <c r="Q602" s="301"/>
      <c r="R602" s="336"/>
      <c r="S602" s="301"/>
      <c r="T602" s="336"/>
    </row>
    <row r="603" spans="1:20" ht="12" customHeight="1" x14ac:dyDescent="0.3">
      <c r="A603" s="329" t="s">
        <v>294</v>
      </c>
      <c r="B603" s="330">
        <v>43</v>
      </c>
      <c r="C603" s="298">
        <v>46112</v>
      </c>
      <c r="D603" s="298" t="s">
        <v>201</v>
      </c>
      <c r="E603" s="331">
        <v>42.84</v>
      </c>
      <c r="F603" s="331"/>
      <c r="G603" s="333">
        <f t="shared" si="13"/>
        <v>9130.8299999999872</v>
      </c>
      <c r="H603" s="334"/>
      <c r="I603" s="335"/>
      <c r="J603" s="336"/>
      <c r="K603" s="301"/>
      <c r="L603" s="336"/>
      <c r="M603" s="301"/>
      <c r="N603" s="336"/>
      <c r="O603" s="301"/>
      <c r="P603" s="336"/>
      <c r="Q603" s="301"/>
      <c r="R603" s="336"/>
      <c r="S603" s="301"/>
      <c r="T603" s="336"/>
    </row>
    <row r="604" spans="1:20" ht="12" customHeight="1" x14ac:dyDescent="0.3">
      <c r="A604" s="329" t="s">
        <v>289</v>
      </c>
      <c r="B604" s="330">
        <v>6</v>
      </c>
      <c r="C604" s="298">
        <v>46112</v>
      </c>
      <c r="D604" s="298" t="s">
        <v>300</v>
      </c>
      <c r="E604" s="331">
        <v>57.21</v>
      </c>
      <c r="F604" s="331"/>
      <c r="G604" s="333">
        <f t="shared" si="13"/>
        <v>9173.6699999999873</v>
      </c>
      <c r="H604" s="334"/>
      <c r="I604" s="335"/>
      <c r="J604" s="336"/>
      <c r="K604" s="301"/>
      <c r="L604" s="336"/>
      <c r="M604" s="301"/>
      <c r="N604" s="336"/>
      <c r="O604" s="301"/>
      <c r="P604" s="336"/>
      <c r="Q604" s="301"/>
      <c r="R604" s="336"/>
      <c r="S604" s="301"/>
      <c r="T604" s="336"/>
    </row>
    <row r="605" spans="1:20" ht="12" customHeight="1" x14ac:dyDescent="0.3">
      <c r="A605" s="329" t="s">
        <v>289</v>
      </c>
      <c r="B605" s="330">
        <v>8</v>
      </c>
      <c r="C605" s="298">
        <v>46112</v>
      </c>
      <c r="D605" s="298" t="s">
        <v>296</v>
      </c>
      <c r="E605" s="331">
        <v>11.18</v>
      </c>
      <c r="F605" s="331"/>
      <c r="G605" s="333">
        <f t="shared" si="13"/>
        <v>9230.8799999999865</v>
      </c>
      <c r="H605" s="334"/>
      <c r="I605" s="335"/>
      <c r="J605" s="336"/>
      <c r="K605" s="301"/>
      <c r="L605" s="336"/>
      <c r="M605" s="301"/>
      <c r="N605" s="336"/>
      <c r="O605" s="301"/>
      <c r="P605" s="336"/>
      <c r="Q605" s="301"/>
      <c r="R605" s="336"/>
      <c r="S605" s="301"/>
      <c r="T605" s="336"/>
    </row>
    <row r="606" spans="1:20" ht="12" customHeight="1" x14ac:dyDescent="0.3">
      <c r="A606" s="329" t="s">
        <v>294</v>
      </c>
      <c r="B606" s="330">
        <v>10</v>
      </c>
      <c r="C606" s="298">
        <v>46112</v>
      </c>
      <c r="D606" s="298" t="s">
        <v>176</v>
      </c>
      <c r="E606" s="331">
        <v>17.899999999999999</v>
      </c>
      <c r="F606" s="331"/>
      <c r="G606" s="333">
        <f t="shared" si="13"/>
        <v>9242.0599999999868</v>
      </c>
      <c r="H606" s="334"/>
      <c r="I606" s="335"/>
      <c r="J606" s="336"/>
      <c r="K606" s="301"/>
      <c r="L606" s="336"/>
      <c r="M606" s="301"/>
      <c r="N606" s="336"/>
      <c r="O606" s="301"/>
      <c r="P606" s="336"/>
      <c r="Q606" s="301"/>
      <c r="R606" s="336"/>
      <c r="S606" s="301"/>
      <c r="T606" s="336"/>
    </row>
    <row r="607" spans="1:20" ht="12" customHeight="1" x14ac:dyDescent="0.3">
      <c r="A607" s="329" t="s">
        <v>289</v>
      </c>
      <c r="B607" s="330">
        <v>2</v>
      </c>
      <c r="C607" s="298">
        <v>46111</v>
      </c>
      <c r="D607" s="298" t="s">
        <v>334</v>
      </c>
      <c r="E607" s="331">
        <v>23.83</v>
      </c>
      <c r="F607" s="331"/>
      <c r="G607" s="333">
        <f t="shared" si="13"/>
        <v>9259.9599999999864</v>
      </c>
      <c r="H607" s="334"/>
      <c r="I607" s="335"/>
      <c r="J607" s="336"/>
      <c r="K607" s="301"/>
      <c r="L607" s="336"/>
      <c r="M607" s="301"/>
      <c r="N607" s="336"/>
      <c r="O607" s="301"/>
      <c r="P607" s="336"/>
      <c r="Q607" s="301"/>
      <c r="R607" s="336"/>
      <c r="S607" s="301"/>
      <c r="T607" s="336"/>
    </row>
    <row r="608" spans="1:20" ht="12" customHeight="1" x14ac:dyDescent="0.3">
      <c r="A608" s="329" t="s">
        <v>291</v>
      </c>
      <c r="B608" s="330">
        <v>38</v>
      </c>
      <c r="C608" s="298">
        <v>46111</v>
      </c>
      <c r="D608" s="299" t="s">
        <v>293</v>
      </c>
      <c r="E608" s="331"/>
      <c r="F608" s="331">
        <v>4278.1400000000003</v>
      </c>
      <c r="G608" s="333">
        <f t="shared" si="13"/>
        <v>9283.7899999999863</v>
      </c>
      <c r="H608" s="334"/>
      <c r="I608" s="335"/>
      <c r="J608" s="336"/>
      <c r="K608" s="301"/>
      <c r="L608" s="336"/>
      <c r="M608" s="301"/>
      <c r="N608" s="336"/>
      <c r="O608" s="301"/>
      <c r="P608" s="336"/>
      <c r="Q608" s="301"/>
      <c r="R608" s="336"/>
      <c r="S608" s="301"/>
      <c r="T608" s="336"/>
    </row>
    <row r="609" spans="1:20" ht="12" customHeight="1" x14ac:dyDescent="0.3">
      <c r="A609" s="329" t="s">
        <v>289</v>
      </c>
      <c r="B609" s="330">
        <v>3</v>
      </c>
      <c r="C609" s="298">
        <v>46111</v>
      </c>
      <c r="D609" s="299" t="s">
        <v>351</v>
      </c>
      <c r="E609" s="331">
        <v>30</v>
      </c>
      <c r="F609" s="331"/>
      <c r="G609" s="333">
        <f t="shared" si="13"/>
        <v>5005.649999999986</v>
      </c>
      <c r="H609" s="334"/>
      <c r="I609" s="335"/>
      <c r="J609" s="336"/>
      <c r="K609" s="301"/>
      <c r="L609" s="336"/>
      <c r="M609" s="301"/>
      <c r="N609" s="336"/>
      <c r="O609" s="301"/>
      <c r="P609" s="336"/>
      <c r="Q609" s="301"/>
      <c r="R609" s="336"/>
      <c r="S609" s="301"/>
      <c r="T609" s="336"/>
    </row>
    <row r="610" spans="1:20" ht="12" customHeight="1" x14ac:dyDescent="0.3">
      <c r="A610" s="329" t="s">
        <v>289</v>
      </c>
      <c r="B610" s="330">
        <v>6</v>
      </c>
      <c r="C610" s="298">
        <v>46111</v>
      </c>
      <c r="D610" s="299" t="s">
        <v>300</v>
      </c>
      <c r="E610" s="331">
        <v>15.96</v>
      </c>
      <c r="F610" s="331"/>
      <c r="G610" s="333">
        <f t="shared" si="13"/>
        <v>5035.649999999986</v>
      </c>
      <c r="H610" s="334"/>
      <c r="I610" s="335"/>
      <c r="J610" s="336"/>
      <c r="K610" s="301"/>
      <c r="L610" s="336"/>
      <c r="M610" s="301"/>
      <c r="N610" s="336"/>
      <c r="O610" s="301"/>
      <c r="P610" s="336"/>
      <c r="Q610" s="301"/>
      <c r="R610" s="336"/>
      <c r="S610" s="301"/>
      <c r="T610" s="336"/>
    </row>
    <row r="611" spans="1:20" ht="12" customHeight="1" x14ac:dyDescent="0.3">
      <c r="A611" s="329" t="s">
        <v>289</v>
      </c>
      <c r="B611" s="330">
        <v>3</v>
      </c>
      <c r="C611" s="298">
        <v>46111</v>
      </c>
      <c r="D611" s="299" t="s">
        <v>379</v>
      </c>
      <c r="E611" s="331">
        <v>18.96</v>
      </c>
      <c r="F611" s="331"/>
      <c r="G611" s="333">
        <f t="shared" si="13"/>
        <v>5051.609999999986</v>
      </c>
      <c r="H611" s="334"/>
      <c r="I611" s="335"/>
      <c r="J611" s="336"/>
      <c r="K611" s="301"/>
      <c r="L611" s="336"/>
      <c r="M611" s="301"/>
      <c r="N611" s="336"/>
      <c r="O611" s="301"/>
      <c r="P611" s="336"/>
      <c r="Q611" s="301"/>
      <c r="R611" s="336"/>
      <c r="S611" s="301"/>
      <c r="T611" s="336"/>
    </row>
    <row r="612" spans="1:20" ht="12" customHeight="1" x14ac:dyDescent="0.3">
      <c r="A612" s="329" t="s">
        <v>289</v>
      </c>
      <c r="B612" s="330">
        <v>1</v>
      </c>
      <c r="C612" s="298">
        <v>46110</v>
      </c>
      <c r="D612" s="299" t="s">
        <v>311</v>
      </c>
      <c r="E612" s="331">
        <v>144.22</v>
      </c>
      <c r="F612" s="331"/>
      <c r="G612" s="333">
        <f t="shared" si="13"/>
        <v>5070.5699999999861</v>
      </c>
      <c r="H612" s="334"/>
      <c r="I612" s="335"/>
      <c r="J612" s="336"/>
      <c r="K612" s="301"/>
      <c r="L612" s="336"/>
      <c r="M612" s="301"/>
      <c r="N612" s="336"/>
      <c r="O612" s="301"/>
      <c r="P612" s="336"/>
      <c r="Q612" s="301"/>
      <c r="R612" s="336"/>
      <c r="S612" s="301"/>
      <c r="T612" s="336"/>
    </row>
    <row r="613" spans="1:20" ht="12" customHeight="1" x14ac:dyDescent="0.3">
      <c r="A613" s="329" t="s">
        <v>289</v>
      </c>
      <c r="B613" s="330">
        <v>7</v>
      </c>
      <c r="C613" s="298">
        <v>46110</v>
      </c>
      <c r="D613" s="299" t="s">
        <v>380</v>
      </c>
      <c r="E613" s="331">
        <v>181.04</v>
      </c>
      <c r="F613" s="331"/>
      <c r="G613" s="333">
        <f t="shared" si="13"/>
        <v>5214.7899999999863</v>
      </c>
      <c r="H613" s="334"/>
      <c r="I613" s="335"/>
      <c r="J613" s="336"/>
      <c r="K613" s="301"/>
      <c r="L613" s="336"/>
      <c r="M613" s="301"/>
      <c r="N613" s="336"/>
      <c r="O613" s="301"/>
      <c r="P613" s="336"/>
      <c r="Q613" s="301"/>
      <c r="R613" s="336"/>
      <c r="S613" s="301"/>
      <c r="T613" s="336"/>
    </row>
    <row r="614" spans="1:20" ht="12" customHeight="1" x14ac:dyDescent="0.3">
      <c r="A614" s="329" t="s">
        <v>289</v>
      </c>
      <c r="B614" s="330">
        <v>6</v>
      </c>
      <c r="C614" s="298">
        <v>46110</v>
      </c>
      <c r="D614" s="299" t="s">
        <v>381</v>
      </c>
      <c r="E614" s="331">
        <v>196.9</v>
      </c>
      <c r="F614" s="331"/>
      <c r="G614" s="333">
        <f t="shared" si="13"/>
        <v>5395.8299999999863</v>
      </c>
      <c r="H614" s="334"/>
      <c r="I614" s="335"/>
      <c r="J614" s="336"/>
      <c r="K614" s="301"/>
      <c r="L614" s="336"/>
      <c r="M614" s="301"/>
      <c r="N614" s="336"/>
      <c r="O614" s="301"/>
      <c r="P614" s="336"/>
      <c r="Q614" s="301"/>
      <c r="R614" s="336"/>
      <c r="S614" s="301"/>
      <c r="T614" s="336"/>
    </row>
    <row r="615" spans="1:20" ht="12" customHeight="1" x14ac:dyDescent="0.3">
      <c r="A615" s="329" t="s">
        <v>289</v>
      </c>
      <c r="B615" s="330">
        <v>3</v>
      </c>
      <c r="C615" s="298">
        <v>46110</v>
      </c>
      <c r="D615" s="299" t="s">
        <v>382</v>
      </c>
      <c r="E615" s="331">
        <v>7.5</v>
      </c>
      <c r="F615" s="331"/>
      <c r="G615" s="333">
        <f t="shared" si="13"/>
        <v>5592.7299999999859</v>
      </c>
      <c r="H615" s="334"/>
      <c r="I615" s="335"/>
      <c r="J615" s="336"/>
      <c r="K615" s="301"/>
      <c r="L615" s="336"/>
      <c r="M615" s="301"/>
      <c r="N615" s="336"/>
      <c r="O615" s="301"/>
      <c r="P615" s="336"/>
      <c r="Q615" s="301"/>
      <c r="R615" s="336"/>
      <c r="S615" s="301"/>
      <c r="T615" s="336"/>
    </row>
    <row r="616" spans="1:20" ht="12" customHeight="1" x14ac:dyDescent="0.3">
      <c r="A616" s="329" t="s">
        <v>289</v>
      </c>
      <c r="B616" s="330">
        <v>8</v>
      </c>
      <c r="C616" s="298">
        <v>46109</v>
      </c>
      <c r="D616" s="299" t="s">
        <v>319</v>
      </c>
      <c r="E616" s="331">
        <v>11.7</v>
      </c>
      <c r="F616" s="331"/>
      <c r="G616" s="333">
        <f t="shared" si="13"/>
        <v>5600.2299999999859</v>
      </c>
      <c r="H616" s="334"/>
      <c r="I616" s="335"/>
      <c r="J616" s="336"/>
      <c r="K616" s="301"/>
      <c r="L616" s="336"/>
      <c r="M616" s="301"/>
      <c r="N616" s="336"/>
      <c r="O616" s="301"/>
      <c r="P616" s="336"/>
      <c r="Q616" s="301"/>
      <c r="R616" s="336"/>
      <c r="S616" s="301"/>
      <c r="T616" s="336"/>
    </row>
    <row r="617" spans="1:20" ht="12" customHeight="1" x14ac:dyDescent="0.3">
      <c r="A617" s="329" t="s">
        <v>289</v>
      </c>
      <c r="B617" s="330">
        <v>2</v>
      </c>
      <c r="C617" s="298">
        <v>46109</v>
      </c>
      <c r="D617" s="299" t="s">
        <v>308</v>
      </c>
      <c r="E617" s="331">
        <v>210.76</v>
      </c>
      <c r="F617" s="331"/>
      <c r="G617" s="333">
        <f t="shared" si="13"/>
        <v>5611.9299999999857</v>
      </c>
      <c r="H617" s="334"/>
      <c r="I617" s="335"/>
      <c r="J617" s="336"/>
      <c r="K617" s="301"/>
      <c r="L617" s="336"/>
      <c r="M617" s="301"/>
      <c r="N617" s="336"/>
      <c r="O617" s="301"/>
      <c r="P617" s="336"/>
      <c r="Q617" s="301"/>
      <c r="R617" s="336"/>
      <c r="S617" s="301"/>
      <c r="T617" s="336"/>
    </row>
    <row r="618" spans="1:20" ht="12" customHeight="1" x14ac:dyDescent="0.3">
      <c r="A618" s="329" t="s">
        <v>289</v>
      </c>
      <c r="B618" s="330">
        <v>4</v>
      </c>
      <c r="C618" s="298">
        <v>46109</v>
      </c>
      <c r="D618" s="299" t="s">
        <v>310</v>
      </c>
      <c r="E618" s="331">
        <v>46.9</v>
      </c>
      <c r="F618" s="331"/>
      <c r="G618" s="333">
        <f t="shared" si="13"/>
        <v>5822.689999999986</v>
      </c>
      <c r="H618" s="334"/>
      <c r="I618" s="335"/>
      <c r="J618" s="336"/>
      <c r="K618" s="301"/>
      <c r="L618" s="336"/>
      <c r="M618" s="301"/>
      <c r="N618" s="336"/>
      <c r="O618" s="301"/>
      <c r="P618" s="336"/>
      <c r="Q618" s="301"/>
      <c r="R618" s="336"/>
      <c r="S618" s="301"/>
      <c r="T618" s="336"/>
    </row>
    <row r="619" spans="1:20" ht="12" customHeight="1" x14ac:dyDescent="0.3">
      <c r="A619" s="329" t="s">
        <v>289</v>
      </c>
      <c r="B619" s="330">
        <v>1</v>
      </c>
      <c r="C619" s="298">
        <v>46109</v>
      </c>
      <c r="D619" s="299" t="s">
        <v>329</v>
      </c>
      <c r="E619" s="331">
        <v>179.1</v>
      </c>
      <c r="F619" s="331"/>
      <c r="G619" s="333">
        <f t="shared" si="13"/>
        <v>5869.5899999999856</v>
      </c>
      <c r="H619" s="334"/>
      <c r="I619" s="335"/>
      <c r="J619" s="336"/>
      <c r="K619" s="301"/>
      <c r="L619" s="336"/>
      <c r="M619" s="301"/>
      <c r="N619" s="336"/>
      <c r="O619" s="301"/>
      <c r="P619" s="336"/>
      <c r="Q619" s="301"/>
      <c r="R619" s="336"/>
      <c r="S619" s="301"/>
      <c r="T619" s="336"/>
    </row>
    <row r="620" spans="1:20" ht="12" customHeight="1" x14ac:dyDescent="0.3">
      <c r="A620" s="329" t="s">
        <v>289</v>
      </c>
      <c r="B620" s="330">
        <v>8</v>
      </c>
      <c r="C620" s="298">
        <v>46109</v>
      </c>
      <c r="D620" s="299" t="s">
        <v>308</v>
      </c>
      <c r="E620" s="331">
        <v>31.97</v>
      </c>
      <c r="F620" s="331"/>
      <c r="G620" s="333">
        <f t="shared" si="13"/>
        <v>6048.689999999986</v>
      </c>
      <c r="H620" s="334"/>
      <c r="I620" s="335"/>
      <c r="J620" s="336"/>
      <c r="K620" s="301"/>
      <c r="L620" s="336"/>
      <c r="M620" s="301"/>
      <c r="N620" s="336"/>
      <c r="O620" s="301"/>
      <c r="P620" s="336"/>
      <c r="Q620" s="301"/>
      <c r="R620" s="336"/>
      <c r="S620" s="301"/>
      <c r="T620" s="336"/>
    </row>
    <row r="621" spans="1:20" ht="12" customHeight="1" x14ac:dyDescent="0.3">
      <c r="A621" s="329" t="s">
        <v>289</v>
      </c>
      <c r="B621" s="330">
        <v>8</v>
      </c>
      <c r="C621" s="298">
        <v>46109</v>
      </c>
      <c r="D621" s="299" t="s">
        <v>308</v>
      </c>
      <c r="E621" s="331">
        <v>12.19</v>
      </c>
      <c r="F621" s="331"/>
      <c r="G621" s="333">
        <f t="shared" si="13"/>
        <v>6080.6599999999862</v>
      </c>
      <c r="H621" s="334"/>
      <c r="I621" s="335"/>
      <c r="J621" s="336"/>
      <c r="K621" s="301"/>
      <c r="L621" s="336"/>
      <c r="M621" s="301"/>
      <c r="N621" s="336"/>
      <c r="O621" s="301"/>
      <c r="P621" s="336"/>
      <c r="Q621" s="301"/>
      <c r="R621" s="336"/>
      <c r="S621" s="301"/>
      <c r="T621" s="336"/>
    </row>
    <row r="622" spans="1:20" ht="12" customHeight="1" x14ac:dyDescent="0.3">
      <c r="A622" s="329" t="s">
        <v>291</v>
      </c>
      <c r="B622" s="330">
        <v>41</v>
      </c>
      <c r="C622" s="298">
        <v>46108</v>
      </c>
      <c r="D622" s="299" t="s">
        <v>383</v>
      </c>
      <c r="E622" s="331"/>
      <c r="F622" s="331">
        <v>400</v>
      </c>
      <c r="G622" s="333">
        <f t="shared" si="13"/>
        <v>6092.8499999999858</v>
      </c>
      <c r="H622" s="334"/>
      <c r="I622" s="335"/>
      <c r="J622" s="336"/>
      <c r="K622" s="301"/>
      <c r="L622" s="336"/>
      <c r="M622" s="301"/>
      <c r="N622" s="336"/>
      <c r="O622" s="301"/>
      <c r="P622" s="336"/>
      <c r="Q622" s="301"/>
      <c r="R622" s="336"/>
      <c r="S622" s="301"/>
      <c r="T622" s="336"/>
    </row>
    <row r="623" spans="1:20" ht="12" customHeight="1" x14ac:dyDescent="0.3">
      <c r="A623" s="329" t="s">
        <v>289</v>
      </c>
      <c r="B623" s="330">
        <v>2</v>
      </c>
      <c r="C623" s="298">
        <v>46108</v>
      </c>
      <c r="D623" s="299" t="s">
        <v>301</v>
      </c>
      <c r="E623" s="331">
        <v>19.5</v>
      </c>
      <c r="F623" s="331"/>
      <c r="G623" s="333">
        <f t="shared" si="13"/>
        <v>5692.8499999999858</v>
      </c>
      <c r="H623" s="334"/>
      <c r="I623" s="335"/>
      <c r="J623" s="336"/>
      <c r="K623" s="301"/>
      <c r="L623" s="336"/>
      <c r="M623" s="301"/>
      <c r="N623" s="336"/>
      <c r="O623" s="301"/>
      <c r="P623" s="336"/>
      <c r="Q623" s="301"/>
      <c r="R623" s="336"/>
      <c r="S623" s="301"/>
      <c r="T623" s="336"/>
    </row>
    <row r="624" spans="1:20" ht="12" customHeight="1" x14ac:dyDescent="0.3">
      <c r="A624" s="329" t="s">
        <v>289</v>
      </c>
      <c r="B624" s="330">
        <v>2</v>
      </c>
      <c r="C624" s="298">
        <v>46108</v>
      </c>
      <c r="D624" s="299" t="s">
        <v>296</v>
      </c>
      <c r="E624" s="331">
        <v>11.48</v>
      </c>
      <c r="F624" s="331"/>
      <c r="G624" s="333">
        <f t="shared" si="13"/>
        <v>5712.3499999999858</v>
      </c>
      <c r="H624" s="334"/>
      <c r="I624" s="335"/>
      <c r="J624" s="336"/>
      <c r="K624" s="301"/>
      <c r="L624" s="336"/>
      <c r="M624" s="301"/>
      <c r="N624" s="336"/>
      <c r="O624" s="301"/>
      <c r="P624" s="336"/>
      <c r="Q624" s="301"/>
      <c r="R624" s="336"/>
      <c r="S624" s="301"/>
      <c r="T624" s="336"/>
    </row>
    <row r="625" spans="1:20" ht="12" customHeight="1" x14ac:dyDescent="0.3">
      <c r="A625" s="329" t="s">
        <v>289</v>
      </c>
      <c r="B625" s="330">
        <v>8</v>
      </c>
      <c r="C625" s="298">
        <v>46108</v>
      </c>
      <c r="D625" s="299" t="s">
        <v>334</v>
      </c>
      <c r="E625" s="331">
        <v>11.46</v>
      </c>
      <c r="F625" s="331"/>
      <c r="G625" s="333">
        <f t="shared" si="13"/>
        <v>5723.8299999999854</v>
      </c>
      <c r="H625" s="334"/>
      <c r="I625" s="335"/>
      <c r="J625" s="336"/>
      <c r="K625" s="301"/>
      <c r="L625" s="336"/>
      <c r="M625" s="301"/>
      <c r="N625" s="336"/>
      <c r="O625" s="301"/>
      <c r="P625" s="336"/>
      <c r="Q625" s="301"/>
      <c r="R625" s="336"/>
      <c r="S625" s="301"/>
      <c r="T625" s="336"/>
    </row>
    <row r="626" spans="1:20" ht="12" customHeight="1" x14ac:dyDescent="0.3">
      <c r="A626" s="329" t="s">
        <v>289</v>
      </c>
      <c r="B626" s="330">
        <v>4</v>
      </c>
      <c r="C626" s="298">
        <v>46108</v>
      </c>
      <c r="D626" s="299" t="s">
        <v>334</v>
      </c>
      <c r="E626" s="331">
        <v>38.21</v>
      </c>
      <c r="F626" s="331"/>
      <c r="G626" s="333">
        <f t="shared" si="13"/>
        <v>5735.2899999999854</v>
      </c>
      <c r="H626" s="334"/>
      <c r="I626" s="335"/>
      <c r="J626" s="336"/>
      <c r="K626" s="301"/>
      <c r="L626" s="336"/>
      <c r="M626" s="301"/>
      <c r="N626" s="336"/>
      <c r="O626" s="301"/>
      <c r="P626" s="336"/>
      <c r="Q626" s="301"/>
      <c r="R626" s="336"/>
      <c r="S626" s="301"/>
      <c r="T626" s="336"/>
    </row>
    <row r="627" spans="1:20" ht="12" customHeight="1" x14ac:dyDescent="0.3">
      <c r="A627" s="329" t="s">
        <v>289</v>
      </c>
      <c r="B627" s="330">
        <v>2</v>
      </c>
      <c r="C627" s="298">
        <v>46108</v>
      </c>
      <c r="D627" s="299" t="s">
        <v>384</v>
      </c>
      <c r="E627" s="331">
        <v>69.95</v>
      </c>
      <c r="F627" s="331"/>
      <c r="G627" s="333">
        <f t="shared" si="13"/>
        <v>5773.4999999999854</v>
      </c>
      <c r="H627" s="334"/>
      <c r="I627" s="335"/>
      <c r="J627" s="336"/>
      <c r="K627" s="301"/>
      <c r="L627" s="336"/>
      <c r="M627" s="301"/>
      <c r="N627" s="336"/>
      <c r="O627" s="301"/>
      <c r="P627" s="336"/>
      <c r="Q627" s="301"/>
      <c r="R627" s="336"/>
      <c r="S627" s="301"/>
      <c r="T627" s="336"/>
    </row>
    <row r="628" spans="1:20" ht="12" customHeight="1" x14ac:dyDescent="0.3">
      <c r="A628" s="329" t="s">
        <v>289</v>
      </c>
      <c r="B628" s="330">
        <v>3</v>
      </c>
      <c r="C628" s="298">
        <v>46108</v>
      </c>
      <c r="D628" s="299" t="s">
        <v>348</v>
      </c>
      <c r="E628" s="331">
        <v>10.78</v>
      </c>
      <c r="F628" s="331"/>
      <c r="G628" s="333">
        <f t="shared" si="13"/>
        <v>5843.4499999999853</v>
      </c>
      <c r="H628" s="334"/>
      <c r="I628" s="335"/>
      <c r="J628" s="336"/>
      <c r="K628" s="301"/>
      <c r="L628" s="336"/>
      <c r="M628" s="301"/>
      <c r="N628" s="336"/>
      <c r="O628" s="301"/>
      <c r="P628" s="336"/>
      <c r="Q628" s="301"/>
      <c r="R628" s="336"/>
      <c r="S628" s="301"/>
      <c r="T628" s="336"/>
    </row>
    <row r="629" spans="1:20" ht="12" customHeight="1" x14ac:dyDescent="0.3">
      <c r="A629" s="329" t="s">
        <v>289</v>
      </c>
      <c r="B629" s="330">
        <v>6</v>
      </c>
      <c r="C629" s="298">
        <v>46108</v>
      </c>
      <c r="D629" s="299" t="s">
        <v>300</v>
      </c>
      <c r="E629" s="331">
        <v>15.84</v>
      </c>
      <c r="F629" s="331"/>
      <c r="G629" s="333">
        <f t="shared" si="13"/>
        <v>5854.229999999985</v>
      </c>
      <c r="H629" s="334"/>
      <c r="I629" s="335"/>
      <c r="J629" s="336"/>
      <c r="K629" s="301"/>
      <c r="L629" s="336"/>
      <c r="M629" s="301"/>
      <c r="N629" s="336"/>
      <c r="O629" s="301"/>
      <c r="P629" s="336"/>
      <c r="Q629" s="301"/>
      <c r="R629" s="336"/>
      <c r="S629" s="301"/>
      <c r="T629" s="336"/>
    </row>
    <row r="630" spans="1:20" ht="12" customHeight="1" x14ac:dyDescent="0.3">
      <c r="A630" s="329" t="s">
        <v>289</v>
      </c>
      <c r="B630" s="330">
        <v>8</v>
      </c>
      <c r="C630" s="298">
        <v>46108</v>
      </c>
      <c r="D630" s="299" t="s">
        <v>385</v>
      </c>
      <c r="E630" s="331">
        <v>22.48</v>
      </c>
      <c r="F630" s="331"/>
      <c r="G630" s="333">
        <f t="shared" si="13"/>
        <v>5870.0699999999852</v>
      </c>
      <c r="H630" s="334"/>
      <c r="I630" s="335"/>
      <c r="J630" s="336"/>
      <c r="K630" s="301"/>
      <c r="L630" s="336"/>
      <c r="M630" s="301"/>
      <c r="N630" s="336"/>
      <c r="O630" s="301"/>
      <c r="P630" s="336"/>
      <c r="Q630" s="301"/>
      <c r="R630" s="336"/>
      <c r="S630" s="301"/>
      <c r="T630" s="336"/>
    </row>
    <row r="631" spans="1:20" ht="12" customHeight="1" x14ac:dyDescent="0.3">
      <c r="A631" s="329" t="s">
        <v>289</v>
      </c>
      <c r="B631" s="330">
        <v>2</v>
      </c>
      <c r="C631" s="298">
        <v>46107</v>
      </c>
      <c r="D631" s="299" t="s">
        <v>358</v>
      </c>
      <c r="E631" s="331">
        <v>11.17</v>
      </c>
      <c r="F631" s="331"/>
      <c r="G631" s="333">
        <f t="shared" si="13"/>
        <v>5892.5499999999847</v>
      </c>
      <c r="H631" s="334"/>
      <c r="I631" s="335"/>
      <c r="J631" s="336"/>
      <c r="K631" s="301"/>
      <c r="L631" s="336"/>
      <c r="M631" s="301"/>
      <c r="N631" s="336"/>
      <c r="O631" s="301"/>
      <c r="P631" s="336"/>
      <c r="Q631" s="301"/>
      <c r="R631" s="336"/>
      <c r="S631" s="301"/>
      <c r="T631" s="336"/>
    </row>
    <row r="632" spans="1:20" ht="12" customHeight="1" x14ac:dyDescent="0.3">
      <c r="A632" s="329" t="s">
        <v>289</v>
      </c>
      <c r="B632" s="330">
        <v>2</v>
      </c>
      <c r="C632" s="298">
        <v>46107</v>
      </c>
      <c r="D632" s="299" t="s">
        <v>386</v>
      </c>
      <c r="E632" s="331">
        <v>14.38</v>
      </c>
      <c r="F632" s="331"/>
      <c r="G632" s="333">
        <f t="shared" si="13"/>
        <v>5903.7199999999848</v>
      </c>
      <c r="H632" s="334"/>
      <c r="I632" s="335"/>
      <c r="J632" s="336"/>
      <c r="K632" s="301"/>
      <c r="L632" s="336"/>
      <c r="M632" s="301"/>
      <c r="N632" s="336"/>
      <c r="O632" s="301"/>
      <c r="P632" s="336"/>
      <c r="Q632" s="301"/>
      <c r="R632" s="336"/>
      <c r="S632" s="301"/>
      <c r="T632" s="336"/>
    </row>
    <row r="633" spans="1:20" ht="12" customHeight="1" x14ac:dyDescent="0.3">
      <c r="A633" s="329" t="s">
        <v>289</v>
      </c>
      <c r="B633" s="330">
        <v>8</v>
      </c>
      <c r="C633" s="298">
        <v>46107</v>
      </c>
      <c r="D633" s="299" t="s">
        <v>387</v>
      </c>
      <c r="E633" s="331">
        <v>45</v>
      </c>
      <c r="F633" s="331"/>
      <c r="G633" s="333">
        <f t="shared" si="13"/>
        <v>5918.0999999999849</v>
      </c>
      <c r="H633" s="334"/>
      <c r="I633" s="335"/>
      <c r="J633" s="336"/>
      <c r="K633" s="301"/>
      <c r="L633" s="336"/>
      <c r="M633" s="301"/>
      <c r="N633" s="336"/>
      <c r="O633" s="301"/>
      <c r="P633" s="336"/>
      <c r="Q633" s="301"/>
      <c r="R633" s="336"/>
      <c r="S633" s="301"/>
      <c r="T633" s="336"/>
    </row>
    <row r="634" spans="1:20" ht="12" customHeight="1" x14ac:dyDescent="0.3">
      <c r="A634" s="329" t="s">
        <v>289</v>
      </c>
      <c r="B634" s="330">
        <v>2</v>
      </c>
      <c r="C634" s="298">
        <v>46107</v>
      </c>
      <c r="D634" s="299" t="s">
        <v>324</v>
      </c>
      <c r="E634" s="331">
        <v>9.0299999999999994</v>
      </c>
      <c r="F634" s="331"/>
      <c r="G634" s="333">
        <f t="shared" si="13"/>
        <v>5963.0999999999849</v>
      </c>
      <c r="H634" s="334"/>
      <c r="I634" s="335"/>
      <c r="J634" s="336"/>
      <c r="K634" s="301"/>
      <c r="L634" s="336"/>
      <c r="M634" s="301"/>
      <c r="N634" s="336"/>
      <c r="O634" s="301"/>
      <c r="P634" s="336"/>
      <c r="Q634" s="301"/>
      <c r="R634" s="336"/>
      <c r="S634" s="301"/>
      <c r="T634" s="336"/>
    </row>
    <row r="635" spans="1:20" ht="12" customHeight="1" x14ac:dyDescent="0.3">
      <c r="A635" s="329" t="s">
        <v>289</v>
      </c>
      <c r="B635" s="330">
        <v>2</v>
      </c>
      <c r="C635" s="298">
        <v>46107</v>
      </c>
      <c r="D635" s="299" t="s">
        <v>301</v>
      </c>
      <c r="E635" s="331">
        <v>30</v>
      </c>
      <c r="F635" s="331"/>
      <c r="G635" s="333">
        <f t="shared" si="13"/>
        <v>5972.1299999999846</v>
      </c>
      <c r="H635" s="334"/>
      <c r="I635" s="335"/>
      <c r="J635" s="336"/>
      <c r="K635" s="301"/>
      <c r="L635" s="336"/>
      <c r="M635" s="301"/>
      <c r="N635" s="336"/>
      <c r="O635" s="301"/>
      <c r="P635" s="336"/>
      <c r="Q635" s="301"/>
      <c r="R635" s="336"/>
      <c r="S635" s="301"/>
      <c r="T635" s="336"/>
    </row>
    <row r="636" spans="1:20" ht="12" customHeight="1" x14ac:dyDescent="0.3">
      <c r="A636" s="329" t="s">
        <v>289</v>
      </c>
      <c r="B636" s="330">
        <v>6</v>
      </c>
      <c r="C636" s="298">
        <v>46106</v>
      </c>
      <c r="D636" s="299" t="s">
        <v>388</v>
      </c>
      <c r="E636" s="331">
        <v>12</v>
      </c>
      <c r="F636" s="331"/>
      <c r="G636" s="333">
        <f t="shared" si="13"/>
        <v>6002.1299999999846</v>
      </c>
      <c r="H636" s="334"/>
      <c r="I636" s="335"/>
      <c r="J636" s="336"/>
      <c r="K636" s="301"/>
      <c r="L636" s="336"/>
      <c r="M636" s="301"/>
      <c r="N636" s="336"/>
      <c r="O636" s="301"/>
      <c r="P636" s="336"/>
      <c r="Q636" s="301"/>
      <c r="R636" s="336"/>
      <c r="S636" s="301"/>
      <c r="T636" s="336"/>
    </row>
    <row r="637" spans="1:20" ht="12" customHeight="1" x14ac:dyDescent="0.3">
      <c r="A637" s="329" t="s">
        <v>289</v>
      </c>
      <c r="B637" s="330">
        <v>6</v>
      </c>
      <c r="C637" s="298">
        <v>46106</v>
      </c>
      <c r="D637" s="299" t="s">
        <v>389</v>
      </c>
      <c r="E637" s="331">
        <v>20</v>
      </c>
      <c r="F637" s="331"/>
      <c r="G637" s="333">
        <f t="shared" si="13"/>
        <v>6014.1299999999846</v>
      </c>
      <c r="H637" s="334"/>
      <c r="I637" s="335"/>
      <c r="J637" s="336"/>
      <c r="K637" s="301"/>
      <c r="L637" s="336"/>
      <c r="M637" s="301"/>
      <c r="N637" s="336"/>
      <c r="O637" s="301"/>
      <c r="P637" s="336"/>
      <c r="Q637" s="301"/>
      <c r="R637" s="336"/>
      <c r="S637" s="301"/>
      <c r="T637" s="336"/>
    </row>
    <row r="638" spans="1:20" ht="12" customHeight="1" x14ac:dyDescent="0.3">
      <c r="A638" s="329" t="s">
        <v>289</v>
      </c>
      <c r="B638" s="330">
        <v>2</v>
      </c>
      <c r="C638" s="298">
        <v>46106</v>
      </c>
      <c r="D638" s="299" t="s">
        <v>296</v>
      </c>
      <c r="E638" s="331">
        <v>21.05</v>
      </c>
      <c r="F638" s="331"/>
      <c r="G638" s="333">
        <f t="shared" si="13"/>
        <v>6034.1299999999846</v>
      </c>
      <c r="H638" s="334"/>
      <c r="I638" s="335"/>
      <c r="J638" s="336"/>
      <c r="K638" s="301"/>
      <c r="L638" s="336"/>
      <c r="M638" s="301"/>
      <c r="N638" s="336"/>
      <c r="O638" s="301"/>
      <c r="P638" s="336"/>
      <c r="Q638" s="301"/>
      <c r="R638" s="336"/>
      <c r="S638" s="301"/>
      <c r="T638" s="336"/>
    </row>
    <row r="639" spans="1:20" ht="12" customHeight="1" x14ac:dyDescent="0.3">
      <c r="A639" s="329" t="s">
        <v>289</v>
      </c>
      <c r="B639" s="330">
        <v>4</v>
      </c>
      <c r="C639" s="298">
        <v>46106</v>
      </c>
      <c r="D639" s="299" t="s">
        <v>296</v>
      </c>
      <c r="E639" s="331">
        <v>38.58</v>
      </c>
      <c r="F639" s="331"/>
      <c r="G639" s="333">
        <f t="shared" si="13"/>
        <v>6055.1799999999848</v>
      </c>
      <c r="H639" s="334"/>
      <c r="I639" s="335"/>
      <c r="J639" s="336"/>
      <c r="K639" s="301"/>
      <c r="L639" s="336"/>
      <c r="M639" s="301"/>
      <c r="N639" s="336"/>
      <c r="O639" s="301"/>
      <c r="P639" s="336"/>
      <c r="Q639" s="301"/>
      <c r="R639" s="336"/>
      <c r="S639" s="301"/>
      <c r="T639" s="336"/>
    </row>
    <row r="640" spans="1:20" ht="12" customHeight="1" x14ac:dyDescent="0.3">
      <c r="A640" s="329" t="s">
        <v>294</v>
      </c>
      <c r="B640" s="330">
        <v>12</v>
      </c>
      <c r="C640" s="298">
        <v>46106</v>
      </c>
      <c r="D640" s="299" t="s">
        <v>314</v>
      </c>
      <c r="E640" s="331">
        <v>204.47</v>
      </c>
      <c r="F640" s="331"/>
      <c r="G640" s="333">
        <f t="shared" si="13"/>
        <v>6093.7599999999848</v>
      </c>
      <c r="H640" s="334"/>
      <c r="I640" s="335"/>
      <c r="J640" s="336"/>
      <c r="K640" s="301"/>
      <c r="L640" s="336"/>
      <c r="M640" s="301"/>
      <c r="N640" s="336"/>
      <c r="O640" s="301"/>
      <c r="P640" s="336"/>
      <c r="Q640" s="301"/>
      <c r="R640" s="336"/>
      <c r="S640" s="301"/>
      <c r="T640" s="336"/>
    </row>
    <row r="641" spans="1:20" ht="12" customHeight="1" x14ac:dyDescent="0.3">
      <c r="A641" s="329" t="s">
        <v>294</v>
      </c>
      <c r="B641" s="330">
        <v>24</v>
      </c>
      <c r="C641" s="298">
        <v>46105</v>
      </c>
      <c r="D641" s="299" t="s">
        <v>860</v>
      </c>
      <c r="E641" s="331">
        <v>86.58</v>
      </c>
      <c r="F641" s="331"/>
      <c r="G641" s="333">
        <f t="shared" si="13"/>
        <v>6298.229999999985</v>
      </c>
      <c r="H641" s="334"/>
      <c r="I641" s="335"/>
      <c r="J641" s="336"/>
      <c r="K641" s="301"/>
      <c r="L641" s="336"/>
      <c r="M641" s="301"/>
      <c r="N641" s="336"/>
      <c r="O641" s="301"/>
      <c r="P641" s="336"/>
      <c r="Q641" s="301"/>
      <c r="R641" s="336"/>
      <c r="S641" s="301"/>
      <c r="T641" s="336"/>
    </row>
    <row r="642" spans="1:20" ht="12" customHeight="1" x14ac:dyDescent="0.3">
      <c r="A642" s="329" t="s">
        <v>289</v>
      </c>
      <c r="B642" s="330">
        <v>6</v>
      </c>
      <c r="C642" s="298">
        <v>46105</v>
      </c>
      <c r="D642" s="299" t="s">
        <v>389</v>
      </c>
      <c r="E642" s="331">
        <v>20</v>
      </c>
      <c r="F642" s="331"/>
      <c r="G642" s="333">
        <f t="shared" si="13"/>
        <v>6384.8099999999849</v>
      </c>
      <c r="H642" s="334"/>
      <c r="I642" s="335"/>
      <c r="J642" s="336"/>
      <c r="K642" s="301"/>
      <c r="L642" s="336"/>
      <c r="M642" s="301"/>
      <c r="N642" s="336"/>
      <c r="O642" s="301"/>
      <c r="P642" s="336"/>
      <c r="Q642" s="301"/>
      <c r="R642" s="336"/>
      <c r="S642" s="301"/>
      <c r="T642" s="336"/>
    </row>
    <row r="643" spans="1:20" ht="12" customHeight="1" x14ac:dyDescent="0.3">
      <c r="A643" s="329" t="s">
        <v>289</v>
      </c>
      <c r="B643" s="330">
        <v>2</v>
      </c>
      <c r="C643" s="298">
        <v>46105</v>
      </c>
      <c r="D643" s="299" t="s">
        <v>390</v>
      </c>
      <c r="E643" s="331">
        <v>15.29</v>
      </c>
      <c r="F643" s="331"/>
      <c r="G643" s="333">
        <f t="shared" si="13"/>
        <v>6404.8099999999849</v>
      </c>
      <c r="H643" s="334"/>
      <c r="I643" s="335"/>
      <c r="J643" s="336"/>
      <c r="K643" s="301"/>
      <c r="L643" s="336"/>
      <c r="M643" s="301"/>
      <c r="N643" s="336"/>
      <c r="O643" s="301"/>
      <c r="P643" s="336"/>
      <c r="Q643" s="301"/>
      <c r="R643" s="336"/>
      <c r="S643" s="301"/>
      <c r="T643" s="336"/>
    </row>
    <row r="644" spans="1:20" ht="12" customHeight="1" x14ac:dyDescent="0.3">
      <c r="A644" s="329" t="s">
        <v>289</v>
      </c>
      <c r="B644" s="330">
        <v>8</v>
      </c>
      <c r="C644" s="298">
        <v>46105</v>
      </c>
      <c r="D644" s="299" t="s">
        <v>308</v>
      </c>
      <c r="E644" s="331">
        <v>47.99</v>
      </c>
      <c r="F644" s="331"/>
      <c r="G644" s="333">
        <f t="shared" si="13"/>
        <v>6420.0999999999849</v>
      </c>
      <c r="H644" s="334"/>
      <c r="I644" s="335"/>
      <c r="J644" s="336"/>
      <c r="K644" s="301"/>
      <c r="L644" s="336"/>
      <c r="M644" s="301"/>
      <c r="N644" s="336"/>
      <c r="O644" s="301"/>
      <c r="P644" s="336"/>
      <c r="Q644" s="301"/>
      <c r="R644" s="336"/>
      <c r="S644" s="301"/>
      <c r="T644" s="336"/>
    </row>
    <row r="645" spans="1:20" ht="12" customHeight="1" x14ac:dyDescent="0.3">
      <c r="A645" s="329" t="s">
        <v>294</v>
      </c>
      <c r="B645" s="330">
        <v>23</v>
      </c>
      <c r="C645" s="298">
        <v>46104</v>
      </c>
      <c r="D645" s="299" t="s">
        <v>67</v>
      </c>
      <c r="E645" s="331">
        <v>650.88</v>
      </c>
      <c r="F645" s="331"/>
      <c r="G645" s="333">
        <f t="shared" si="13"/>
        <v>6468.0899999999847</v>
      </c>
      <c r="H645" s="334"/>
      <c r="I645" s="335"/>
      <c r="J645" s="336"/>
      <c r="K645" s="301"/>
      <c r="L645" s="336"/>
      <c r="M645" s="301"/>
      <c r="N645" s="336"/>
      <c r="O645" s="301"/>
      <c r="P645" s="336"/>
      <c r="Q645" s="301"/>
      <c r="R645" s="336"/>
      <c r="S645" s="301"/>
      <c r="T645" s="336"/>
    </row>
    <row r="646" spans="1:20" ht="12" customHeight="1" x14ac:dyDescent="0.3">
      <c r="A646" s="329" t="s">
        <v>289</v>
      </c>
      <c r="B646" s="330">
        <v>2</v>
      </c>
      <c r="C646" s="298">
        <v>46104</v>
      </c>
      <c r="D646" s="299" t="s">
        <v>391</v>
      </c>
      <c r="E646" s="331">
        <v>46</v>
      </c>
      <c r="F646" s="331"/>
      <c r="G646" s="333">
        <f t="shared" si="13"/>
        <v>7118.9699999999848</v>
      </c>
      <c r="H646" s="334"/>
      <c r="I646" s="335"/>
      <c r="J646" s="336"/>
      <c r="K646" s="301"/>
      <c r="L646" s="336"/>
      <c r="M646" s="301"/>
      <c r="N646" s="336"/>
      <c r="O646" s="301"/>
      <c r="P646" s="336"/>
      <c r="Q646" s="301"/>
      <c r="R646" s="336"/>
      <c r="S646" s="301"/>
      <c r="T646" s="336"/>
    </row>
    <row r="647" spans="1:20" ht="12" customHeight="1" x14ac:dyDescent="0.3">
      <c r="A647" s="329" t="s">
        <v>289</v>
      </c>
      <c r="B647" s="330">
        <v>2</v>
      </c>
      <c r="C647" s="298">
        <v>46103</v>
      </c>
      <c r="D647" s="299" t="s">
        <v>392</v>
      </c>
      <c r="E647" s="331">
        <v>24.81</v>
      </c>
      <c r="F647" s="331"/>
      <c r="G647" s="333">
        <f t="shared" si="13"/>
        <v>7164.9699999999848</v>
      </c>
      <c r="H647" s="334"/>
      <c r="I647" s="335"/>
      <c r="J647" s="336"/>
      <c r="K647" s="301"/>
      <c r="L647" s="336"/>
      <c r="M647" s="301"/>
      <c r="N647" s="336"/>
      <c r="O647" s="301"/>
      <c r="P647" s="336"/>
      <c r="Q647" s="301"/>
      <c r="R647" s="336"/>
      <c r="S647" s="301"/>
      <c r="T647" s="336"/>
    </row>
    <row r="648" spans="1:20" ht="12" customHeight="1" x14ac:dyDescent="0.3">
      <c r="A648" s="329" t="s">
        <v>289</v>
      </c>
      <c r="B648" s="330">
        <v>4</v>
      </c>
      <c r="C648" s="298">
        <v>46103</v>
      </c>
      <c r="D648" s="299" t="s">
        <v>296</v>
      </c>
      <c r="E648" s="331">
        <v>28.77</v>
      </c>
      <c r="F648" s="331"/>
      <c r="G648" s="333">
        <f t="shared" si="13"/>
        <v>7189.7799999999852</v>
      </c>
      <c r="H648" s="334"/>
      <c r="I648" s="335"/>
      <c r="J648" s="336"/>
      <c r="K648" s="301"/>
      <c r="L648" s="336"/>
      <c r="M648" s="301"/>
      <c r="N648" s="336"/>
      <c r="O648" s="301"/>
      <c r="P648" s="336"/>
      <c r="Q648" s="301"/>
      <c r="R648" s="336"/>
      <c r="S648" s="301"/>
      <c r="T648" s="336"/>
    </row>
    <row r="649" spans="1:20" ht="12" customHeight="1" x14ac:dyDescent="0.3">
      <c r="A649" s="329" t="s">
        <v>289</v>
      </c>
      <c r="B649" s="330">
        <v>8</v>
      </c>
      <c r="C649" s="298">
        <v>46103</v>
      </c>
      <c r="D649" s="299" t="s">
        <v>296</v>
      </c>
      <c r="E649" s="331">
        <v>11.9</v>
      </c>
      <c r="F649" s="331"/>
      <c r="G649" s="333">
        <f t="shared" si="13"/>
        <v>7218.5499999999856</v>
      </c>
      <c r="H649" s="334"/>
      <c r="I649" s="335"/>
      <c r="J649" s="336"/>
      <c r="K649" s="301"/>
      <c r="L649" s="336"/>
      <c r="M649" s="301"/>
      <c r="N649" s="336"/>
      <c r="O649" s="301"/>
      <c r="P649" s="336"/>
      <c r="Q649" s="301"/>
      <c r="R649" s="336"/>
      <c r="S649" s="301"/>
      <c r="T649" s="336"/>
    </row>
    <row r="650" spans="1:20" ht="12" customHeight="1" x14ac:dyDescent="0.3">
      <c r="A650" s="329" t="s">
        <v>289</v>
      </c>
      <c r="B650" s="330">
        <v>1</v>
      </c>
      <c r="C650" s="298">
        <v>46103</v>
      </c>
      <c r="D650" s="299" t="s">
        <v>300</v>
      </c>
      <c r="E650" s="331">
        <v>42.59</v>
      </c>
      <c r="F650" s="331"/>
      <c r="G650" s="333">
        <f t="shared" si="13"/>
        <v>7230.4499999999853</v>
      </c>
      <c r="H650" s="334"/>
      <c r="I650" s="335"/>
      <c r="J650" s="336"/>
      <c r="K650" s="301"/>
      <c r="L650" s="336"/>
      <c r="M650" s="301"/>
      <c r="N650" s="336"/>
      <c r="O650" s="301"/>
      <c r="P650" s="336"/>
      <c r="Q650" s="301"/>
      <c r="R650" s="336"/>
      <c r="S650" s="301"/>
      <c r="T650" s="336"/>
    </row>
    <row r="651" spans="1:20" ht="12" customHeight="1" x14ac:dyDescent="0.3">
      <c r="A651" s="329" t="s">
        <v>289</v>
      </c>
      <c r="B651" s="330">
        <v>6</v>
      </c>
      <c r="C651" s="298">
        <v>46103</v>
      </c>
      <c r="D651" s="299" t="s">
        <v>300</v>
      </c>
      <c r="E651" s="331">
        <v>17.579999999999998</v>
      </c>
      <c r="F651" s="331"/>
      <c r="G651" s="333">
        <f t="shared" si="13"/>
        <v>7273.0399999999854</v>
      </c>
      <c r="H651" s="334"/>
      <c r="I651" s="335"/>
      <c r="J651" s="336"/>
      <c r="K651" s="301"/>
      <c r="L651" s="336"/>
      <c r="M651" s="301"/>
      <c r="N651" s="336"/>
      <c r="O651" s="301"/>
      <c r="P651" s="336"/>
      <c r="Q651" s="301"/>
      <c r="R651" s="336"/>
      <c r="S651" s="301"/>
      <c r="T651" s="336"/>
    </row>
    <row r="652" spans="1:20" ht="12" customHeight="1" x14ac:dyDescent="0.3">
      <c r="A652" s="329" t="s">
        <v>289</v>
      </c>
      <c r="B652" s="330">
        <v>1</v>
      </c>
      <c r="C652" s="298">
        <v>46103</v>
      </c>
      <c r="D652" s="299" t="s">
        <v>300</v>
      </c>
      <c r="E652" s="331">
        <v>11.99</v>
      </c>
      <c r="F652" s="331"/>
      <c r="G652" s="333">
        <f t="shared" si="13"/>
        <v>7290.6199999999853</v>
      </c>
      <c r="H652" s="334"/>
      <c r="I652" s="335"/>
      <c r="J652" s="336"/>
      <c r="K652" s="301"/>
      <c r="L652" s="336"/>
      <c r="M652" s="301"/>
      <c r="N652" s="336"/>
      <c r="O652" s="301"/>
      <c r="P652" s="336"/>
      <c r="Q652" s="301"/>
      <c r="R652" s="336"/>
      <c r="S652" s="301"/>
      <c r="T652" s="336"/>
    </row>
    <row r="653" spans="1:20" ht="12" customHeight="1" x14ac:dyDescent="0.3">
      <c r="A653" s="329" t="s">
        <v>289</v>
      </c>
      <c r="B653" s="330">
        <v>1</v>
      </c>
      <c r="C653" s="298">
        <v>46103</v>
      </c>
      <c r="D653" s="299" t="s">
        <v>311</v>
      </c>
      <c r="E653" s="331">
        <v>81.31</v>
      </c>
      <c r="F653" s="331"/>
      <c r="G653" s="333">
        <f t="shared" si="13"/>
        <v>7302.6099999999851</v>
      </c>
      <c r="H653" s="334"/>
      <c r="I653" s="335"/>
      <c r="J653" s="336"/>
      <c r="K653" s="301"/>
      <c r="L653" s="336"/>
      <c r="M653" s="301"/>
      <c r="N653" s="336"/>
      <c r="O653" s="301"/>
      <c r="P653" s="336"/>
      <c r="Q653" s="301"/>
      <c r="R653" s="336"/>
      <c r="S653" s="301"/>
      <c r="T653" s="336"/>
    </row>
    <row r="654" spans="1:20" ht="12" customHeight="1" x14ac:dyDescent="0.3">
      <c r="A654" s="329" t="s">
        <v>289</v>
      </c>
      <c r="B654" s="330">
        <v>1</v>
      </c>
      <c r="C654" s="298">
        <v>46103</v>
      </c>
      <c r="D654" s="299" t="s">
        <v>393</v>
      </c>
      <c r="E654" s="331">
        <v>38.44</v>
      </c>
      <c r="F654" s="331"/>
      <c r="G654" s="333">
        <f t="shared" si="13"/>
        <v>7383.9199999999855</v>
      </c>
      <c r="H654" s="334"/>
      <c r="I654" s="335"/>
      <c r="J654" s="336"/>
      <c r="K654" s="301"/>
      <c r="L654" s="336"/>
      <c r="M654" s="301"/>
      <c r="N654" s="336"/>
      <c r="O654" s="301"/>
      <c r="P654" s="336"/>
      <c r="Q654" s="301"/>
      <c r="R654" s="336"/>
      <c r="S654" s="301"/>
      <c r="T654" s="336"/>
    </row>
    <row r="655" spans="1:20" ht="12" customHeight="1" x14ac:dyDescent="0.3">
      <c r="A655" s="329" t="s">
        <v>289</v>
      </c>
      <c r="B655" s="330">
        <v>2</v>
      </c>
      <c r="C655" s="298">
        <v>46103</v>
      </c>
      <c r="D655" s="299" t="s">
        <v>394</v>
      </c>
      <c r="E655" s="331">
        <v>35.700000000000003</v>
      </c>
      <c r="F655" s="331"/>
      <c r="G655" s="333">
        <f t="shared" si="13"/>
        <v>7422.3599999999851</v>
      </c>
      <c r="H655" s="334"/>
      <c r="I655" s="335"/>
      <c r="J655" s="336"/>
      <c r="K655" s="301"/>
      <c r="L655" s="336"/>
      <c r="M655" s="301"/>
      <c r="N655" s="336"/>
      <c r="O655" s="301"/>
      <c r="P655" s="336"/>
      <c r="Q655" s="301"/>
      <c r="R655" s="336"/>
      <c r="S655" s="301"/>
      <c r="T655" s="336"/>
    </row>
    <row r="656" spans="1:20" ht="12" customHeight="1" x14ac:dyDescent="0.3">
      <c r="A656" s="329" t="s">
        <v>289</v>
      </c>
      <c r="B656" s="330">
        <v>6</v>
      </c>
      <c r="C656" s="298">
        <v>46102</v>
      </c>
      <c r="D656" s="299" t="s">
        <v>300</v>
      </c>
      <c r="E656" s="331">
        <v>10.64</v>
      </c>
      <c r="F656" s="331"/>
      <c r="G656" s="333">
        <f t="shared" si="13"/>
        <v>7458.0599999999849</v>
      </c>
      <c r="H656" s="334"/>
      <c r="I656" s="335"/>
      <c r="J656" s="336"/>
      <c r="K656" s="301"/>
      <c r="L656" s="336"/>
      <c r="M656" s="301"/>
      <c r="N656" s="336"/>
      <c r="O656" s="301"/>
      <c r="P656" s="336"/>
      <c r="Q656" s="301"/>
      <c r="R656" s="336"/>
      <c r="S656" s="301"/>
      <c r="T656" s="336"/>
    </row>
    <row r="657" spans="1:20" ht="12" customHeight="1" x14ac:dyDescent="0.3">
      <c r="A657" s="329" t="s">
        <v>289</v>
      </c>
      <c r="B657" s="330">
        <v>1</v>
      </c>
      <c r="C657" s="298">
        <v>46102</v>
      </c>
      <c r="D657" s="299" t="s">
        <v>300</v>
      </c>
      <c r="E657" s="331">
        <v>28.69</v>
      </c>
      <c r="F657" s="331"/>
      <c r="G657" s="333">
        <f t="shared" si="13"/>
        <v>7468.6999999999853</v>
      </c>
      <c r="H657" s="334"/>
      <c r="I657" s="335"/>
      <c r="J657" s="336"/>
      <c r="K657" s="301"/>
      <c r="L657" s="336"/>
      <c r="M657" s="301"/>
      <c r="N657" s="336"/>
      <c r="O657" s="301"/>
      <c r="P657" s="336"/>
      <c r="Q657" s="301"/>
      <c r="R657" s="336"/>
      <c r="S657" s="301"/>
      <c r="T657" s="336"/>
    </row>
    <row r="658" spans="1:20" ht="12" customHeight="1" x14ac:dyDescent="0.3">
      <c r="A658" s="329" t="s">
        <v>289</v>
      </c>
      <c r="B658" s="330">
        <v>3</v>
      </c>
      <c r="C658" s="298">
        <v>46102</v>
      </c>
      <c r="D658" s="299" t="s">
        <v>348</v>
      </c>
      <c r="E658" s="331">
        <v>11.59</v>
      </c>
      <c r="F658" s="331"/>
      <c r="G658" s="333">
        <f t="shared" si="13"/>
        <v>7497.3899999999849</v>
      </c>
      <c r="H658" s="334"/>
      <c r="I658" s="335"/>
      <c r="J658" s="336"/>
      <c r="K658" s="301"/>
      <c r="L658" s="336"/>
      <c r="M658" s="301"/>
      <c r="N658" s="336"/>
      <c r="O658" s="301"/>
      <c r="P658" s="336"/>
      <c r="Q658" s="301"/>
      <c r="R658" s="336"/>
      <c r="S658" s="301"/>
      <c r="T658" s="336"/>
    </row>
    <row r="659" spans="1:20" ht="12" customHeight="1" x14ac:dyDescent="0.3">
      <c r="A659" s="329" t="s">
        <v>291</v>
      </c>
      <c r="B659" s="330">
        <v>41</v>
      </c>
      <c r="C659" s="298">
        <v>46102</v>
      </c>
      <c r="D659" s="299" t="s">
        <v>383</v>
      </c>
      <c r="E659" s="331"/>
      <c r="F659" s="331">
        <v>400</v>
      </c>
      <c r="G659" s="333">
        <f t="shared" si="13"/>
        <v>7508.979999999985</v>
      </c>
      <c r="H659" s="334"/>
      <c r="I659" s="335"/>
      <c r="J659" s="336"/>
      <c r="K659" s="301"/>
      <c r="L659" s="336"/>
      <c r="M659" s="301"/>
      <c r="N659" s="336"/>
      <c r="O659" s="301"/>
      <c r="P659" s="336"/>
      <c r="Q659" s="301"/>
      <c r="R659" s="336"/>
      <c r="S659" s="301"/>
      <c r="T659" s="336"/>
    </row>
    <row r="660" spans="1:20" ht="12" customHeight="1" x14ac:dyDescent="0.3">
      <c r="A660" s="329" t="s">
        <v>289</v>
      </c>
      <c r="B660" s="330">
        <v>5</v>
      </c>
      <c r="C660" s="298">
        <v>46102</v>
      </c>
      <c r="D660" s="299" t="s">
        <v>395</v>
      </c>
      <c r="E660" s="331">
        <v>170</v>
      </c>
      <c r="F660" s="331"/>
      <c r="G660" s="333">
        <f t="shared" si="13"/>
        <v>7108.979999999985</v>
      </c>
      <c r="H660" s="334" t="s">
        <v>298</v>
      </c>
      <c r="I660" s="335"/>
      <c r="J660" s="336"/>
      <c r="K660" s="301"/>
      <c r="L660" s="336"/>
      <c r="M660" s="301"/>
      <c r="N660" s="336"/>
      <c r="O660" s="301"/>
      <c r="P660" s="336"/>
      <c r="Q660" s="301"/>
      <c r="R660" s="336"/>
      <c r="S660" s="301"/>
      <c r="T660" s="336"/>
    </row>
    <row r="661" spans="1:20" ht="12" customHeight="1" x14ac:dyDescent="0.3">
      <c r="A661" s="329" t="s">
        <v>289</v>
      </c>
      <c r="B661" s="330">
        <v>5</v>
      </c>
      <c r="C661" s="298">
        <v>46102</v>
      </c>
      <c r="D661" s="299" t="s">
        <v>354</v>
      </c>
      <c r="E661" s="331">
        <v>70</v>
      </c>
      <c r="F661" s="331"/>
      <c r="G661" s="333">
        <f t="shared" si="13"/>
        <v>7278.979999999985</v>
      </c>
      <c r="H661" s="334" t="s">
        <v>298</v>
      </c>
      <c r="I661" s="335"/>
      <c r="J661" s="336"/>
      <c r="K661" s="301"/>
      <c r="L661" s="336"/>
      <c r="M661" s="301"/>
      <c r="N661" s="336"/>
      <c r="O661" s="301"/>
      <c r="P661" s="336"/>
      <c r="Q661" s="301"/>
      <c r="R661" s="336"/>
      <c r="S661" s="301"/>
      <c r="T661" s="336"/>
    </row>
    <row r="662" spans="1:20" ht="12" customHeight="1" x14ac:dyDescent="0.3">
      <c r="A662" s="329" t="s">
        <v>289</v>
      </c>
      <c r="B662" s="330">
        <v>5</v>
      </c>
      <c r="C662" s="298">
        <v>46102</v>
      </c>
      <c r="D662" s="299" t="s">
        <v>396</v>
      </c>
      <c r="E662" s="331">
        <v>40</v>
      </c>
      <c r="F662" s="331"/>
      <c r="G662" s="333">
        <f t="shared" ref="G662:G916" si="14">G663-E662+F662</f>
        <v>7348.979999999985</v>
      </c>
      <c r="H662" s="334" t="s">
        <v>298</v>
      </c>
      <c r="I662" s="335"/>
      <c r="J662" s="336"/>
      <c r="K662" s="301"/>
      <c r="L662" s="336"/>
      <c r="M662" s="301"/>
      <c r="N662" s="336"/>
      <c r="O662" s="301"/>
      <c r="P662" s="336"/>
      <c r="Q662" s="301"/>
      <c r="R662" s="336"/>
      <c r="S662" s="301"/>
      <c r="T662" s="336"/>
    </row>
    <row r="663" spans="1:20" ht="12" customHeight="1" x14ac:dyDescent="0.3">
      <c r="A663" s="329" t="s">
        <v>289</v>
      </c>
      <c r="B663" s="330">
        <v>3</v>
      </c>
      <c r="C663" s="298">
        <v>46102</v>
      </c>
      <c r="D663" s="299" t="s">
        <v>348</v>
      </c>
      <c r="E663" s="331">
        <v>25</v>
      </c>
      <c r="F663" s="331"/>
      <c r="G663" s="333">
        <f t="shared" si="14"/>
        <v>7388.979999999985</v>
      </c>
      <c r="H663" s="334"/>
      <c r="I663" s="335"/>
      <c r="J663" s="336"/>
      <c r="K663" s="301"/>
      <c r="L663" s="336"/>
      <c r="M663" s="301"/>
      <c r="N663" s="336"/>
      <c r="O663" s="301"/>
      <c r="P663" s="336"/>
      <c r="Q663" s="301"/>
      <c r="R663" s="336"/>
      <c r="S663" s="301"/>
      <c r="T663" s="336"/>
    </row>
    <row r="664" spans="1:20" ht="12" customHeight="1" x14ac:dyDescent="0.3">
      <c r="A664" s="329" t="s">
        <v>289</v>
      </c>
      <c r="B664" s="330">
        <v>1</v>
      </c>
      <c r="C664" s="298">
        <v>46102</v>
      </c>
      <c r="D664" s="299" t="s">
        <v>304</v>
      </c>
      <c r="E664" s="331">
        <v>65.19</v>
      </c>
      <c r="F664" s="331"/>
      <c r="G664" s="333">
        <f t="shared" si="14"/>
        <v>7413.979999999985</v>
      </c>
      <c r="H664" s="334"/>
      <c r="I664" s="335"/>
      <c r="J664" s="336"/>
      <c r="K664" s="301"/>
      <c r="L664" s="336"/>
      <c r="M664" s="301"/>
      <c r="N664" s="336"/>
      <c r="O664" s="301"/>
      <c r="P664" s="336"/>
      <c r="Q664" s="301"/>
      <c r="R664" s="336"/>
      <c r="S664" s="301"/>
      <c r="T664" s="336"/>
    </row>
    <row r="665" spans="1:20" ht="12" customHeight="1" x14ac:dyDescent="0.3">
      <c r="A665" s="329" t="s">
        <v>289</v>
      </c>
      <c r="B665" s="330">
        <v>4</v>
      </c>
      <c r="C665" s="298">
        <v>46102</v>
      </c>
      <c r="D665" s="299" t="s">
        <v>310</v>
      </c>
      <c r="E665" s="331">
        <v>37.450000000000003</v>
      </c>
      <c r="F665" s="331"/>
      <c r="G665" s="333">
        <f t="shared" si="14"/>
        <v>7479.1699999999846</v>
      </c>
      <c r="H665" s="334"/>
      <c r="I665" s="335"/>
      <c r="J665" s="336"/>
      <c r="K665" s="301"/>
      <c r="L665" s="336"/>
      <c r="M665" s="301"/>
      <c r="N665" s="336"/>
      <c r="O665" s="301"/>
      <c r="P665" s="336"/>
      <c r="Q665" s="301"/>
      <c r="R665" s="336"/>
      <c r="S665" s="301"/>
      <c r="T665" s="336"/>
    </row>
    <row r="666" spans="1:20" ht="12" customHeight="1" x14ac:dyDescent="0.3">
      <c r="A666" s="329" t="s">
        <v>289</v>
      </c>
      <c r="B666" s="330">
        <v>8</v>
      </c>
      <c r="C666" s="298">
        <v>46101</v>
      </c>
      <c r="D666" s="299" t="s">
        <v>356</v>
      </c>
      <c r="E666" s="331">
        <v>65.099999999999994</v>
      </c>
      <c r="F666" s="331"/>
      <c r="G666" s="333">
        <f t="shared" si="14"/>
        <v>7516.6199999999844</v>
      </c>
      <c r="H666" s="334"/>
      <c r="I666" s="335"/>
      <c r="J666" s="336"/>
      <c r="K666" s="301"/>
      <c r="L666" s="336"/>
      <c r="M666" s="301"/>
      <c r="N666" s="336"/>
      <c r="O666" s="301"/>
      <c r="P666" s="336"/>
      <c r="Q666" s="301"/>
      <c r="R666" s="336"/>
      <c r="S666" s="301"/>
      <c r="T666" s="336"/>
    </row>
    <row r="667" spans="1:20" ht="12" customHeight="1" x14ac:dyDescent="0.3">
      <c r="A667" s="329" t="s">
        <v>294</v>
      </c>
      <c r="B667" s="330">
        <v>22</v>
      </c>
      <c r="C667" s="298">
        <v>46101</v>
      </c>
      <c r="D667" s="299" t="s">
        <v>323</v>
      </c>
      <c r="E667" s="331">
        <v>20.22</v>
      </c>
      <c r="F667" s="331"/>
      <c r="G667" s="333">
        <f t="shared" si="14"/>
        <v>7581.7199999999848</v>
      </c>
      <c r="H667" s="334"/>
      <c r="I667" s="335"/>
      <c r="J667" s="336"/>
      <c r="K667" s="301"/>
      <c r="L667" s="336"/>
      <c r="M667" s="301"/>
      <c r="N667" s="336"/>
      <c r="O667" s="301"/>
      <c r="P667" s="336"/>
      <c r="Q667" s="301"/>
      <c r="R667" s="336"/>
      <c r="S667" s="301"/>
      <c r="T667" s="336"/>
    </row>
    <row r="668" spans="1:20" ht="12" customHeight="1" x14ac:dyDescent="0.3">
      <c r="A668" s="329" t="s">
        <v>289</v>
      </c>
      <c r="B668" s="330">
        <v>6</v>
      </c>
      <c r="C668" s="298">
        <v>46101</v>
      </c>
      <c r="D668" s="299" t="s">
        <v>433</v>
      </c>
      <c r="E668" s="331">
        <v>-73</v>
      </c>
      <c r="F668" s="331"/>
      <c r="G668" s="333">
        <f t="shared" si="14"/>
        <v>7601.939999999985</v>
      </c>
      <c r="H668" s="334"/>
      <c r="I668" s="335"/>
      <c r="J668" s="336"/>
      <c r="K668" s="301"/>
      <c r="L668" s="336"/>
      <c r="M668" s="301"/>
      <c r="N668" s="336"/>
      <c r="O668" s="301"/>
      <c r="P668" s="336"/>
      <c r="Q668" s="301"/>
      <c r="R668" s="336"/>
      <c r="S668" s="301"/>
      <c r="T668" s="336"/>
    </row>
    <row r="669" spans="1:20" ht="12" customHeight="1" x14ac:dyDescent="0.3">
      <c r="A669" s="329" t="s">
        <v>289</v>
      </c>
      <c r="B669" s="330">
        <v>6</v>
      </c>
      <c r="C669" s="298">
        <v>46101</v>
      </c>
      <c r="D669" s="299" t="s">
        <v>300</v>
      </c>
      <c r="E669" s="331">
        <v>34.68</v>
      </c>
      <c r="F669" s="331"/>
      <c r="G669" s="333">
        <f t="shared" si="14"/>
        <v>7528.939999999985</v>
      </c>
      <c r="H669" s="334"/>
      <c r="I669" s="335"/>
      <c r="J669" s="336"/>
      <c r="K669" s="301"/>
      <c r="L669" s="336"/>
      <c r="M669" s="301"/>
      <c r="N669" s="336"/>
      <c r="O669" s="301"/>
      <c r="P669" s="336"/>
      <c r="Q669" s="301"/>
      <c r="R669" s="336"/>
      <c r="S669" s="301"/>
      <c r="T669" s="336"/>
    </row>
    <row r="670" spans="1:20" ht="12" customHeight="1" x14ac:dyDescent="0.3">
      <c r="A670" s="329" t="s">
        <v>289</v>
      </c>
      <c r="B670" s="330">
        <v>6</v>
      </c>
      <c r="C670" s="298">
        <v>46101</v>
      </c>
      <c r="D670" s="299" t="s">
        <v>397</v>
      </c>
      <c r="E670" s="331">
        <v>10.63</v>
      </c>
      <c r="F670" s="331"/>
      <c r="G670" s="333">
        <f t="shared" si="14"/>
        <v>7563.6199999999853</v>
      </c>
      <c r="H670" s="334"/>
      <c r="I670" s="335"/>
      <c r="J670" s="336"/>
      <c r="K670" s="301"/>
      <c r="L670" s="336"/>
      <c r="M670" s="301"/>
      <c r="N670" s="336"/>
      <c r="O670" s="301"/>
      <c r="P670" s="336"/>
      <c r="Q670" s="301"/>
      <c r="R670" s="336"/>
      <c r="S670" s="301"/>
      <c r="T670" s="336"/>
    </row>
    <row r="671" spans="1:20" ht="12" customHeight="1" x14ac:dyDescent="0.3">
      <c r="A671" s="329" t="s">
        <v>289</v>
      </c>
      <c r="B671" s="330">
        <v>5</v>
      </c>
      <c r="C671" s="298">
        <v>46101</v>
      </c>
      <c r="D671" s="299" t="s">
        <v>398</v>
      </c>
      <c r="E671" s="331">
        <v>106.49</v>
      </c>
      <c r="F671" s="331"/>
      <c r="G671" s="333">
        <f t="shared" si="14"/>
        <v>7574.2499999999854</v>
      </c>
      <c r="H671" s="334"/>
      <c r="I671" s="335"/>
      <c r="J671" s="336"/>
      <c r="K671" s="301"/>
      <c r="L671" s="336"/>
      <c r="M671" s="301"/>
      <c r="N671" s="336"/>
      <c r="O671" s="301"/>
      <c r="P671" s="336"/>
      <c r="Q671" s="301"/>
      <c r="R671" s="336"/>
      <c r="S671" s="301"/>
      <c r="T671" s="336"/>
    </row>
    <row r="672" spans="1:20" ht="12" customHeight="1" x14ac:dyDescent="0.3">
      <c r="A672" s="329" t="s">
        <v>289</v>
      </c>
      <c r="B672" s="330">
        <v>8</v>
      </c>
      <c r="C672" s="298">
        <v>46100</v>
      </c>
      <c r="D672" s="299" t="s">
        <v>357</v>
      </c>
      <c r="E672" s="331">
        <v>16.739999999999998</v>
      </c>
      <c r="F672" s="331"/>
      <c r="G672" s="333">
        <f t="shared" si="14"/>
        <v>7680.7399999999852</v>
      </c>
      <c r="H672" s="334"/>
      <c r="I672" s="335"/>
      <c r="J672" s="336"/>
      <c r="K672" s="301"/>
      <c r="L672" s="336"/>
      <c r="M672" s="301"/>
      <c r="N672" s="336"/>
      <c r="O672" s="301"/>
      <c r="P672" s="336"/>
      <c r="Q672" s="301"/>
      <c r="R672" s="336"/>
      <c r="S672" s="301"/>
      <c r="T672" s="336"/>
    </row>
    <row r="673" spans="1:20" ht="12" customHeight="1" x14ac:dyDescent="0.3">
      <c r="A673" s="329" t="s">
        <v>289</v>
      </c>
      <c r="B673" s="330">
        <v>8</v>
      </c>
      <c r="C673" s="298">
        <v>46100</v>
      </c>
      <c r="D673" s="299" t="s">
        <v>399</v>
      </c>
      <c r="E673" s="331">
        <v>108.54</v>
      </c>
      <c r="F673" s="331"/>
      <c r="G673" s="333">
        <f t="shared" si="14"/>
        <v>7697.479999999985</v>
      </c>
      <c r="H673" s="334"/>
      <c r="I673" s="335"/>
      <c r="J673" s="336"/>
      <c r="K673" s="301"/>
      <c r="L673" s="336"/>
      <c r="M673" s="301"/>
      <c r="N673" s="336"/>
      <c r="O673" s="301"/>
      <c r="P673" s="336"/>
      <c r="Q673" s="301"/>
      <c r="R673" s="336"/>
      <c r="S673" s="301"/>
      <c r="T673" s="336"/>
    </row>
    <row r="674" spans="1:20" ht="12" customHeight="1" x14ac:dyDescent="0.3">
      <c r="A674" s="329" t="s">
        <v>294</v>
      </c>
      <c r="B674" s="330">
        <v>22</v>
      </c>
      <c r="C674" s="298">
        <v>46100</v>
      </c>
      <c r="D674" s="299" t="s">
        <v>835</v>
      </c>
      <c r="E674" s="331">
        <v>12.77</v>
      </c>
      <c r="F674" s="331"/>
      <c r="G674" s="333">
        <f t="shared" si="14"/>
        <v>7806.019999999985</v>
      </c>
      <c r="H674" s="334"/>
      <c r="I674" s="335"/>
      <c r="J674" s="336"/>
      <c r="K674" s="301"/>
      <c r="L674" s="336"/>
      <c r="M674" s="301"/>
      <c r="N674" s="336"/>
      <c r="O674" s="301"/>
      <c r="P674" s="336"/>
      <c r="Q674" s="301"/>
      <c r="R674" s="336"/>
      <c r="S674" s="301"/>
      <c r="T674" s="336"/>
    </row>
    <row r="675" spans="1:20" ht="12" customHeight="1" x14ac:dyDescent="0.3">
      <c r="A675" s="329" t="s">
        <v>289</v>
      </c>
      <c r="B675" s="330">
        <v>8</v>
      </c>
      <c r="C675" s="298">
        <v>46100</v>
      </c>
      <c r="D675" s="299" t="s">
        <v>334</v>
      </c>
      <c r="E675" s="331">
        <v>28.33</v>
      </c>
      <c r="F675" s="331"/>
      <c r="G675" s="333">
        <f t="shared" si="14"/>
        <v>7818.7899999999854</v>
      </c>
      <c r="H675" s="334"/>
      <c r="I675" s="335"/>
      <c r="J675" s="336"/>
      <c r="K675" s="301"/>
      <c r="L675" s="336"/>
      <c r="M675" s="301"/>
      <c r="N675" s="336"/>
      <c r="O675" s="301"/>
      <c r="P675" s="336"/>
      <c r="Q675" s="301"/>
      <c r="R675" s="336"/>
      <c r="S675" s="301"/>
      <c r="T675" s="336"/>
    </row>
    <row r="676" spans="1:20" ht="12" customHeight="1" x14ac:dyDescent="0.3">
      <c r="A676" s="329" t="s">
        <v>289</v>
      </c>
      <c r="B676" s="330">
        <v>2</v>
      </c>
      <c r="C676" s="298">
        <v>46100</v>
      </c>
      <c r="D676" s="299" t="s">
        <v>358</v>
      </c>
      <c r="E676" s="331">
        <v>17.45</v>
      </c>
      <c r="F676" s="331"/>
      <c r="G676" s="333">
        <f t="shared" si="14"/>
        <v>7847.1199999999853</v>
      </c>
      <c r="H676" s="334"/>
      <c r="I676" s="335"/>
      <c r="J676" s="336"/>
      <c r="K676" s="301"/>
      <c r="L676" s="336"/>
      <c r="M676" s="301"/>
      <c r="N676" s="336"/>
      <c r="O676" s="301"/>
      <c r="P676" s="336"/>
      <c r="Q676" s="301"/>
      <c r="R676" s="336"/>
      <c r="S676" s="301"/>
      <c r="T676" s="336"/>
    </row>
    <row r="677" spans="1:20" ht="12" customHeight="1" x14ac:dyDescent="0.3">
      <c r="A677" s="329" t="s">
        <v>294</v>
      </c>
      <c r="B677" s="330">
        <v>22</v>
      </c>
      <c r="C677" s="298">
        <v>46100</v>
      </c>
      <c r="D677" s="299" t="s">
        <v>328</v>
      </c>
      <c r="E677" s="331">
        <v>7.46</v>
      </c>
      <c r="F677" s="331"/>
      <c r="G677" s="333">
        <f t="shared" si="14"/>
        <v>7864.5699999999852</v>
      </c>
      <c r="H677" s="334"/>
      <c r="I677" s="335"/>
      <c r="J677" s="336"/>
      <c r="K677" s="301"/>
      <c r="L677" s="336"/>
      <c r="M677" s="301"/>
      <c r="N677" s="336"/>
      <c r="O677" s="301"/>
      <c r="P677" s="336"/>
      <c r="Q677" s="301"/>
      <c r="R677" s="336"/>
      <c r="S677" s="301"/>
      <c r="T677" s="336"/>
    </row>
    <row r="678" spans="1:20" ht="12" customHeight="1" x14ac:dyDescent="0.3">
      <c r="A678" s="329" t="s">
        <v>335</v>
      </c>
      <c r="B678" s="330" t="s">
        <v>335</v>
      </c>
      <c r="C678" s="298">
        <v>46100</v>
      </c>
      <c r="D678" s="299" t="s">
        <v>336</v>
      </c>
      <c r="E678" s="331">
        <v>172.29</v>
      </c>
      <c r="F678" s="331"/>
      <c r="G678" s="333">
        <f t="shared" si="14"/>
        <v>7872.0299999999852</v>
      </c>
      <c r="H678" s="334"/>
      <c r="I678" s="335"/>
      <c r="J678" s="336"/>
      <c r="K678" s="301"/>
      <c r="L678" s="336"/>
      <c r="M678" s="301"/>
      <c r="N678" s="336"/>
      <c r="O678" s="301"/>
      <c r="P678" s="336"/>
      <c r="Q678" s="301"/>
      <c r="R678" s="336"/>
      <c r="S678" s="301"/>
      <c r="T678" s="336"/>
    </row>
    <row r="679" spans="1:20" ht="12" customHeight="1" x14ac:dyDescent="0.3">
      <c r="A679" s="329" t="s">
        <v>294</v>
      </c>
      <c r="B679" s="330">
        <v>15</v>
      </c>
      <c r="C679" s="298">
        <v>46100</v>
      </c>
      <c r="D679" s="299" t="s">
        <v>185</v>
      </c>
      <c r="E679" s="331">
        <v>175.09</v>
      </c>
      <c r="F679" s="331"/>
      <c r="G679" s="333">
        <f t="shared" si="14"/>
        <v>8044.3199999999852</v>
      </c>
      <c r="H679" s="334"/>
      <c r="I679" s="335"/>
      <c r="J679" s="336"/>
      <c r="K679" s="301"/>
      <c r="L679" s="336"/>
      <c r="M679" s="301"/>
      <c r="N679" s="336"/>
      <c r="O679" s="301"/>
      <c r="P679" s="336"/>
      <c r="Q679" s="301"/>
      <c r="R679" s="336"/>
      <c r="S679" s="301"/>
      <c r="T679" s="336"/>
    </row>
    <row r="680" spans="1:20" ht="12" customHeight="1" x14ac:dyDescent="0.3">
      <c r="A680" s="329" t="s">
        <v>291</v>
      </c>
      <c r="B680" s="330">
        <v>39</v>
      </c>
      <c r="C680" s="298">
        <v>46100</v>
      </c>
      <c r="D680" s="299" t="s">
        <v>292</v>
      </c>
      <c r="E680" s="331"/>
      <c r="F680" s="331">
        <v>2763.78</v>
      </c>
      <c r="G680" s="333">
        <f t="shared" si="14"/>
        <v>8219.4099999999853</v>
      </c>
      <c r="H680" s="334"/>
      <c r="I680" s="335"/>
      <c r="J680" s="336"/>
      <c r="K680" s="301"/>
      <c r="L680" s="336"/>
      <c r="M680" s="301"/>
      <c r="N680" s="336"/>
      <c r="O680" s="301"/>
      <c r="P680" s="336"/>
      <c r="Q680" s="301"/>
      <c r="R680" s="336"/>
      <c r="S680" s="301"/>
      <c r="T680" s="336"/>
    </row>
    <row r="681" spans="1:20" ht="12" customHeight="1" x14ac:dyDescent="0.3">
      <c r="A681" s="329" t="s">
        <v>289</v>
      </c>
      <c r="B681" s="330">
        <v>2</v>
      </c>
      <c r="C681" s="298">
        <v>46099</v>
      </c>
      <c r="D681" s="299" t="s">
        <v>400</v>
      </c>
      <c r="E681" s="331">
        <v>47.46</v>
      </c>
      <c r="F681" s="331"/>
      <c r="G681" s="333">
        <f t="shared" si="14"/>
        <v>5455.6299999999856</v>
      </c>
      <c r="H681" s="334"/>
      <c r="I681" s="335"/>
      <c r="J681" s="336"/>
      <c r="K681" s="301"/>
      <c r="L681" s="336"/>
      <c r="M681" s="301"/>
      <c r="N681" s="336"/>
      <c r="O681" s="301"/>
      <c r="P681" s="336"/>
      <c r="Q681" s="301"/>
      <c r="R681" s="336"/>
      <c r="S681" s="301"/>
      <c r="T681" s="336"/>
    </row>
    <row r="682" spans="1:20" ht="12" customHeight="1" x14ac:dyDescent="0.3">
      <c r="A682" s="329" t="s">
        <v>289</v>
      </c>
      <c r="B682" s="330">
        <v>8</v>
      </c>
      <c r="C682" s="298">
        <v>46099</v>
      </c>
      <c r="D682" s="299" t="s">
        <v>400</v>
      </c>
      <c r="E682" s="331">
        <v>15.01</v>
      </c>
      <c r="F682" s="331"/>
      <c r="G682" s="333">
        <f t="shared" si="14"/>
        <v>5503.0899999999856</v>
      </c>
      <c r="H682" s="334"/>
      <c r="I682" s="335"/>
      <c r="J682" s="336"/>
      <c r="K682" s="301"/>
      <c r="L682" s="336"/>
      <c r="M682" s="301"/>
      <c r="N682" s="336"/>
      <c r="O682" s="301"/>
      <c r="P682" s="336"/>
      <c r="Q682" s="301"/>
      <c r="R682" s="336"/>
      <c r="S682" s="301"/>
      <c r="T682" s="336"/>
    </row>
    <row r="683" spans="1:20" ht="12" customHeight="1" x14ac:dyDescent="0.3">
      <c r="A683" s="329" t="s">
        <v>291</v>
      </c>
      <c r="B683" s="330">
        <v>40</v>
      </c>
      <c r="C683" s="298">
        <v>46099</v>
      </c>
      <c r="D683" s="299" t="s">
        <v>316</v>
      </c>
      <c r="E683" s="331"/>
      <c r="F683" s="331">
        <v>838.67</v>
      </c>
      <c r="G683" s="333">
        <f t="shared" si="14"/>
        <v>5518.0999999999858</v>
      </c>
      <c r="H683" s="334"/>
      <c r="I683" s="335"/>
      <c r="J683" s="336"/>
      <c r="K683" s="301"/>
      <c r="L683" s="336"/>
      <c r="M683" s="301"/>
      <c r="N683" s="336"/>
      <c r="O683" s="301"/>
      <c r="P683" s="336"/>
      <c r="Q683" s="301"/>
      <c r="R683" s="336"/>
      <c r="S683" s="301"/>
      <c r="T683" s="336"/>
    </row>
    <row r="684" spans="1:20" ht="12" customHeight="1" x14ac:dyDescent="0.3">
      <c r="A684" s="329" t="s">
        <v>289</v>
      </c>
      <c r="B684" s="330">
        <v>2</v>
      </c>
      <c r="C684" s="298">
        <v>46099</v>
      </c>
      <c r="D684" s="299" t="s">
        <v>296</v>
      </c>
      <c r="E684" s="331">
        <v>14.67</v>
      </c>
      <c r="F684" s="331"/>
      <c r="G684" s="333">
        <f t="shared" si="14"/>
        <v>4679.4299999999857</v>
      </c>
      <c r="H684" s="334"/>
      <c r="I684" s="335"/>
      <c r="J684" s="336"/>
      <c r="K684" s="301"/>
      <c r="L684" s="336"/>
      <c r="M684" s="301"/>
      <c r="N684" s="336"/>
      <c r="O684" s="301"/>
      <c r="P684" s="336"/>
      <c r="Q684" s="301"/>
      <c r="R684" s="336"/>
      <c r="S684" s="301"/>
      <c r="T684" s="336"/>
    </row>
    <row r="685" spans="1:20" ht="12" customHeight="1" x14ac:dyDescent="0.3">
      <c r="A685" s="329" t="s">
        <v>289</v>
      </c>
      <c r="B685" s="330">
        <v>4</v>
      </c>
      <c r="C685" s="298">
        <v>46099</v>
      </c>
      <c r="D685" s="299" t="s">
        <v>296</v>
      </c>
      <c r="E685" s="331">
        <v>40.22</v>
      </c>
      <c r="F685" s="331"/>
      <c r="G685" s="333">
        <f t="shared" si="14"/>
        <v>4694.0999999999858</v>
      </c>
      <c r="H685" s="334"/>
      <c r="I685" s="335"/>
      <c r="J685" s="336"/>
      <c r="K685" s="301"/>
      <c r="L685" s="336"/>
      <c r="M685" s="301"/>
      <c r="N685" s="336"/>
      <c r="O685" s="301"/>
      <c r="P685" s="336"/>
      <c r="Q685" s="301"/>
      <c r="R685" s="336"/>
      <c r="S685" s="301"/>
      <c r="T685" s="336"/>
    </row>
    <row r="686" spans="1:20" ht="12" customHeight="1" x14ac:dyDescent="0.3">
      <c r="A686" s="329" t="s">
        <v>289</v>
      </c>
      <c r="B686" s="330">
        <v>8</v>
      </c>
      <c r="C686" s="298">
        <v>46099</v>
      </c>
      <c r="D686" s="299" t="s">
        <v>295</v>
      </c>
      <c r="E686" s="331">
        <v>3.49</v>
      </c>
      <c r="F686" s="331"/>
      <c r="G686" s="333">
        <f t="shared" si="14"/>
        <v>4734.3199999999861</v>
      </c>
      <c r="H686" s="334"/>
      <c r="I686" s="335"/>
      <c r="J686" s="336"/>
      <c r="K686" s="301"/>
      <c r="L686" s="336"/>
      <c r="M686" s="301"/>
      <c r="N686" s="336"/>
      <c r="O686" s="301"/>
      <c r="P686" s="336"/>
      <c r="Q686" s="301"/>
      <c r="R686" s="336"/>
      <c r="S686" s="301"/>
      <c r="T686" s="336"/>
    </row>
    <row r="687" spans="1:20" ht="12" customHeight="1" x14ac:dyDescent="0.3">
      <c r="A687" s="329" t="s">
        <v>294</v>
      </c>
      <c r="B687" s="330">
        <v>22</v>
      </c>
      <c r="C687" s="298">
        <v>46099</v>
      </c>
      <c r="D687" s="299" t="s">
        <v>401</v>
      </c>
      <c r="E687" s="331">
        <v>13.84</v>
      </c>
      <c r="F687" s="331"/>
      <c r="G687" s="333">
        <f t="shared" si="14"/>
        <v>4737.8099999999858</v>
      </c>
      <c r="H687" s="334"/>
      <c r="I687" s="335"/>
      <c r="J687" s="336"/>
      <c r="K687" s="301"/>
      <c r="L687" s="336"/>
      <c r="M687" s="301"/>
      <c r="N687" s="336"/>
      <c r="O687" s="301"/>
      <c r="P687" s="336"/>
      <c r="Q687" s="301"/>
      <c r="R687" s="336"/>
      <c r="S687" s="301"/>
      <c r="T687" s="336"/>
    </row>
    <row r="688" spans="1:20" ht="12" customHeight="1" x14ac:dyDescent="0.3">
      <c r="A688" s="329" t="s">
        <v>294</v>
      </c>
      <c r="B688" s="330">
        <v>17</v>
      </c>
      <c r="C688" s="298">
        <v>46098</v>
      </c>
      <c r="D688" s="299" t="s">
        <v>188</v>
      </c>
      <c r="E688" s="331">
        <v>42.65</v>
      </c>
      <c r="F688" s="331"/>
      <c r="G688" s="333">
        <f t="shared" si="14"/>
        <v>4751.649999999986</v>
      </c>
      <c r="H688" s="334"/>
      <c r="I688" s="335"/>
      <c r="J688" s="336"/>
      <c r="K688" s="301"/>
      <c r="L688" s="336"/>
      <c r="M688" s="301"/>
      <c r="N688" s="336"/>
      <c r="O688" s="301"/>
      <c r="P688" s="336"/>
      <c r="Q688" s="301"/>
      <c r="R688" s="336"/>
      <c r="S688" s="301"/>
      <c r="T688" s="336"/>
    </row>
    <row r="689" spans="1:20" ht="12" customHeight="1" x14ac:dyDescent="0.3">
      <c r="A689" s="329" t="s">
        <v>294</v>
      </c>
      <c r="B689" s="330">
        <v>23</v>
      </c>
      <c r="C689" s="298">
        <v>46098</v>
      </c>
      <c r="D689" s="299" t="s">
        <v>402</v>
      </c>
      <c r="E689" s="331">
        <v>529.46</v>
      </c>
      <c r="F689" s="331"/>
      <c r="G689" s="333">
        <f t="shared" si="14"/>
        <v>4794.2999999999856</v>
      </c>
      <c r="H689" s="334"/>
      <c r="I689" s="335"/>
      <c r="J689" s="336"/>
      <c r="K689" s="301"/>
      <c r="L689" s="336"/>
      <c r="M689" s="301"/>
      <c r="N689" s="336"/>
      <c r="O689" s="301"/>
      <c r="P689" s="336"/>
      <c r="Q689" s="301"/>
      <c r="R689" s="336"/>
      <c r="S689" s="301"/>
      <c r="T689" s="336"/>
    </row>
    <row r="690" spans="1:20" ht="12" customHeight="1" x14ac:dyDescent="0.3">
      <c r="A690" s="329" t="s">
        <v>294</v>
      </c>
      <c r="B690" s="330">
        <v>43</v>
      </c>
      <c r="C690" s="298">
        <v>46098</v>
      </c>
      <c r="D690" s="299" t="s">
        <v>333</v>
      </c>
      <c r="E690" s="331">
        <v>22.35</v>
      </c>
      <c r="F690" s="331"/>
      <c r="G690" s="333">
        <f t="shared" si="14"/>
        <v>5323.7599999999857</v>
      </c>
      <c r="H690" s="334"/>
      <c r="I690" s="335"/>
      <c r="J690" s="336"/>
      <c r="K690" s="301"/>
      <c r="L690" s="336"/>
      <c r="M690" s="301"/>
      <c r="N690" s="336"/>
      <c r="O690" s="301"/>
      <c r="P690" s="336"/>
      <c r="Q690" s="301"/>
      <c r="R690" s="336"/>
      <c r="S690" s="301"/>
      <c r="T690" s="336"/>
    </row>
    <row r="691" spans="1:20" ht="12" customHeight="1" x14ac:dyDescent="0.3">
      <c r="A691" s="329" t="s">
        <v>294</v>
      </c>
      <c r="B691" s="330">
        <v>42</v>
      </c>
      <c r="C691" s="298">
        <v>46098</v>
      </c>
      <c r="D691" s="299" t="s">
        <v>333</v>
      </c>
      <c r="E691" s="331">
        <v>37.25</v>
      </c>
      <c r="F691" s="331"/>
      <c r="G691" s="333">
        <f t="shared" si="14"/>
        <v>5346.109999999986</v>
      </c>
      <c r="H691" s="334"/>
      <c r="I691" s="335"/>
      <c r="J691" s="336"/>
      <c r="K691" s="301"/>
      <c r="L691" s="336"/>
      <c r="M691" s="301"/>
      <c r="N691" s="336"/>
      <c r="O691" s="301"/>
      <c r="P691" s="336"/>
      <c r="Q691" s="301"/>
      <c r="R691" s="336"/>
      <c r="S691" s="301"/>
      <c r="T691" s="336"/>
    </row>
    <row r="692" spans="1:20" ht="12" customHeight="1" x14ac:dyDescent="0.3">
      <c r="A692" s="329" t="s">
        <v>289</v>
      </c>
      <c r="B692" s="330">
        <v>8</v>
      </c>
      <c r="C692" s="298">
        <v>46098</v>
      </c>
      <c r="D692" s="299" t="s">
        <v>319</v>
      </c>
      <c r="E692" s="331">
        <v>3.99</v>
      </c>
      <c r="F692" s="331"/>
      <c r="G692" s="333">
        <f t="shared" si="14"/>
        <v>5383.359999999986</v>
      </c>
      <c r="H692" s="334"/>
      <c r="I692" s="335"/>
      <c r="J692" s="336"/>
      <c r="K692" s="301"/>
      <c r="L692" s="336"/>
      <c r="M692" s="301"/>
      <c r="N692" s="336"/>
      <c r="O692" s="301"/>
      <c r="P692" s="336"/>
      <c r="Q692" s="301"/>
      <c r="R692" s="336"/>
      <c r="S692" s="301"/>
      <c r="T692" s="336"/>
    </row>
    <row r="693" spans="1:20" ht="12" customHeight="1" x14ac:dyDescent="0.3">
      <c r="A693" s="329" t="s">
        <v>289</v>
      </c>
      <c r="B693" s="330">
        <v>8</v>
      </c>
      <c r="C693" s="298">
        <v>46098</v>
      </c>
      <c r="D693" s="299" t="s">
        <v>319</v>
      </c>
      <c r="E693" s="331">
        <v>24.47</v>
      </c>
      <c r="F693" s="331"/>
      <c r="G693" s="333">
        <f t="shared" si="14"/>
        <v>5387.3499999999858</v>
      </c>
      <c r="H693" s="334"/>
      <c r="I693" s="335"/>
      <c r="J693" s="336"/>
      <c r="K693" s="301"/>
      <c r="L693" s="336"/>
      <c r="M693" s="301"/>
      <c r="N693" s="336"/>
      <c r="O693" s="301"/>
      <c r="P693" s="336"/>
      <c r="Q693" s="301"/>
      <c r="R693" s="336"/>
      <c r="S693" s="301"/>
      <c r="T693" s="336"/>
    </row>
    <row r="694" spans="1:20" ht="12" customHeight="1" x14ac:dyDescent="0.3">
      <c r="A694" s="329" t="s">
        <v>294</v>
      </c>
      <c r="B694" s="330">
        <v>21</v>
      </c>
      <c r="C694" s="298">
        <v>46098</v>
      </c>
      <c r="D694" s="299" t="s">
        <v>194</v>
      </c>
      <c r="E694" s="331">
        <v>75.599999999999994</v>
      </c>
      <c r="F694" s="331"/>
      <c r="G694" s="333">
        <f t="shared" si="14"/>
        <v>5411.8199999999861</v>
      </c>
      <c r="H694" s="334"/>
      <c r="I694" s="335"/>
      <c r="J694" s="336"/>
      <c r="K694" s="301"/>
      <c r="L694" s="336"/>
      <c r="M694" s="301"/>
      <c r="N694" s="336"/>
      <c r="O694" s="301"/>
      <c r="P694" s="336"/>
      <c r="Q694" s="301"/>
      <c r="R694" s="336"/>
      <c r="S694" s="301"/>
      <c r="T694" s="336"/>
    </row>
    <row r="695" spans="1:20" ht="12" customHeight="1" x14ac:dyDescent="0.3">
      <c r="A695" s="329" t="s">
        <v>289</v>
      </c>
      <c r="B695" s="330">
        <v>5</v>
      </c>
      <c r="C695" s="298">
        <v>46097</v>
      </c>
      <c r="D695" s="299" t="s">
        <v>340</v>
      </c>
      <c r="E695" s="331">
        <v>21.3</v>
      </c>
      <c r="F695" s="331"/>
      <c r="G695" s="333">
        <f t="shared" si="14"/>
        <v>5487.4199999999864</v>
      </c>
      <c r="H695" s="334"/>
      <c r="I695" s="335"/>
      <c r="J695" s="336"/>
      <c r="K695" s="301"/>
      <c r="L695" s="336"/>
      <c r="M695" s="301"/>
      <c r="N695" s="336"/>
      <c r="O695" s="301"/>
      <c r="P695" s="336"/>
      <c r="Q695" s="301"/>
      <c r="R695" s="336"/>
      <c r="S695" s="301"/>
      <c r="T695" s="336"/>
    </row>
    <row r="696" spans="1:20" ht="12" customHeight="1" x14ac:dyDescent="0.3">
      <c r="A696" s="329" t="s">
        <v>294</v>
      </c>
      <c r="B696" s="330">
        <v>11</v>
      </c>
      <c r="C696" s="298">
        <v>46097</v>
      </c>
      <c r="D696" s="299" t="s">
        <v>178</v>
      </c>
      <c r="E696" s="331">
        <v>267.91000000000003</v>
      </c>
      <c r="F696" s="331"/>
      <c r="G696" s="333">
        <f t="shared" si="14"/>
        <v>5508.7199999999866</v>
      </c>
      <c r="H696" s="334"/>
      <c r="I696" s="335"/>
      <c r="J696" s="336"/>
      <c r="K696" s="301"/>
      <c r="L696" s="336"/>
      <c r="M696" s="301"/>
      <c r="N696" s="336"/>
      <c r="O696" s="301"/>
      <c r="P696" s="336"/>
      <c r="Q696" s="301"/>
      <c r="R696" s="336"/>
      <c r="S696" s="301"/>
      <c r="T696" s="336"/>
    </row>
    <row r="697" spans="1:20" ht="12" customHeight="1" x14ac:dyDescent="0.3">
      <c r="A697" s="329" t="s">
        <v>287</v>
      </c>
      <c r="B697" s="330" t="s">
        <v>287</v>
      </c>
      <c r="C697" s="298">
        <v>46097</v>
      </c>
      <c r="D697" s="299" t="s">
        <v>403</v>
      </c>
      <c r="E697" s="331"/>
      <c r="F697" s="331">
        <v>80</v>
      </c>
      <c r="G697" s="333">
        <f t="shared" si="14"/>
        <v>5776.6299999999865</v>
      </c>
      <c r="H697" s="334" t="s">
        <v>298</v>
      </c>
      <c r="I697" s="335"/>
      <c r="J697" s="336"/>
      <c r="K697" s="301"/>
      <c r="L697" s="336"/>
      <c r="M697" s="301"/>
      <c r="N697" s="336"/>
      <c r="O697" s="301"/>
      <c r="P697" s="336"/>
      <c r="Q697" s="301"/>
      <c r="R697" s="336"/>
      <c r="S697" s="301"/>
      <c r="T697" s="336"/>
    </row>
    <row r="698" spans="1:20" ht="12" customHeight="1" x14ac:dyDescent="0.3">
      <c r="A698" s="329" t="s">
        <v>287</v>
      </c>
      <c r="B698" s="330" t="s">
        <v>287</v>
      </c>
      <c r="C698" s="298">
        <v>46097</v>
      </c>
      <c r="D698" s="299" t="s">
        <v>302</v>
      </c>
      <c r="E698" s="331">
        <v>80</v>
      </c>
      <c r="F698" s="331"/>
      <c r="G698" s="333">
        <f t="shared" si="14"/>
        <v>5696.6299999999865</v>
      </c>
      <c r="H698" s="334"/>
      <c r="I698" s="335"/>
      <c r="J698" s="336"/>
      <c r="K698" s="301"/>
      <c r="L698" s="336"/>
      <c r="M698" s="301"/>
      <c r="N698" s="336"/>
      <c r="O698" s="301"/>
      <c r="P698" s="336"/>
      <c r="Q698" s="301"/>
      <c r="R698" s="336"/>
      <c r="S698" s="301"/>
      <c r="T698" s="336"/>
    </row>
    <row r="699" spans="1:20" ht="12" customHeight="1" x14ac:dyDescent="0.3">
      <c r="A699" s="329" t="s">
        <v>289</v>
      </c>
      <c r="B699" s="330">
        <v>4</v>
      </c>
      <c r="C699" s="298">
        <v>46097</v>
      </c>
      <c r="D699" s="299" t="s">
        <v>310</v>
      </c>
      <c r="E699" s="331">
        <v>42.47</v>
      </c>
      <c r="F699" s="331"/>
      <c r="G699" s="333">
        <f t="shared" si="14"/>
        <v>5776.6299999999865</v>
      </c>
      <c r="H699" s="334"/>
      <c r="I699" s="335"/>
      <c r="J699" s="336"/>
      <c r="K699" s="301"/>
      <c r="L699" s="336"/>
      <c r="M699" s="301"/>
      <c r="N699" s="336"/>
      <c r="O699" s="301"/>
      <c r="P699" s="336"/>
      <c r="Q699" s="301"/>
      <c r="R699" s="336"/>
      <c r="S699" s="301"/>
      <c r="T699" s="336"/>
    </row>
    <row r="700" spans="1:20" ht="12" customHeight="1" x14ac:dyDescent="0.3">
      <c r="A700" s="329" t="s">
        <v>289</v>
      </c>
      <c r="B700" s="330">
        <v>2</v>
      </c>
      <c r="C700" s="298">
        <v>46097</v>
      </c>
      <c r="D700" s="299" t="s">
        <v>296</v>
      </c>
      <c r="E700" s="331">
        <v>11.18</v>
      </c>
      <c r="F700" s="331"/>
      <c r="G700" s="333">
        <f t="shared" si="14"/>
        <v>5819.0999999999867</v>
      </c>
      <c r="H700" s="334"/>
      <c r="I700" s="335"/>
      <c r="J700" s="336"/>
      <c r="K700" s="301"/>
      <c r="L700" s="336"/>
      <c r="M700" s="301"/>
      <c r="N700" s="336"/>
      <c r="O700" s="301"/>
      <c r="P700" s="336"/>
      <c r="Q700" s="301"/>
      <c r="R700" s="336"/>
      <c r="S700" s="301"/>
      <c r="T700" s="336"/>
    </row>
    <row r="701" spans="1:20" ht="12" customHeight="1" x14ac:dyDescent="0.3">
      <c r="A701" s="329" t="s">
        <v>289</v>
      </c>
      <c r="B701" s="330">
        <v>2</v>
      </c>
      <c r="C701" s="298">
        <v>46096</v>
      </c>
      <c r="D701" s="299" t="s">
        <v>404</v>
      </c>
      <c r="E701" s="331">
        <v>38.67</v>
      </c>
      <c r="F701" s="331"/>
      <c r="G701" s="333">
        <f t="shared" si="14"/>
        <v>5830.279999999987</v>
      </c>
      <c r="H701" s="334"/>
      <c r="I701" s="335"/>
      <c r="J701" s="336"/>
      <c r="K701" s="301"/>
      <c r="L701" s="336"/>
      <c r="M701" s="301"/>
      <c r="N701" s="336"/>
      <c r="O701" s="301"/>
      <c r="P701" s="336"/>
      <c r="Q701" s="301"/>
      <c r="R701" s="336"/>
      <c r="S701" s="301"/>
      <c r="T701" s="336"/>
    </row>
    <row r="702" spans="1:20" ht="12" customHeight="1" x14ac:dyDescent="0.3">
      <c r="A702" s="329" t="s">
        <v>289</v>
      </c>
      <c r="B702" s="330">
        <v>3</v>
      </c>
      <c r="C702" s="298">
        <v>46096</v>
      </c>
      <c r="D702" s="299" t="s">
        <v>348</v>
      </c>
      <c r="E702" s="331">
        <v>7.11</v>
      </c>
      <c r="F702" s="331"/>
      <c r="G702" s="333">
        <f t="shared" si="14"/>
        <v>5868.9499999999871</v>
      </c>
      <c r="H702" s="334"/>
      <c r="I702" s="335"/>
      <c r="J702" s="336"/>
      <c r="K702" s="301"/>
      <c r="L702" s="336"/>
      <c r="M702" s="301"/>
      <c r="N702" s="336"/>
      <c r="O702" s="301"/>
      <c r="P702" s="336"/>
      <c r="Q702" s="301"/>
      <c r="R702" s="336"/>
      <c r="S702" s="301"/>
      <c r="T702" s="336"/>
    </row>
    <row r="703" spans="1:20" ht="12" customHeight="1" x14ac:dyDescent="0.3">
      <c r="A703" s="329" t="s">
        <v>289</v>
      </c>
      <c r="B703" s="330">
        <v>1</v>
      </c>
      <c r="C703" s="298">
        <v>46096</v>
      </c>
      <c r="D703" s="299" t="s">
        <v>304</v>
      </c>
      <c r="E703" s="331">
        <v>126.64</v>
      </c>
      <c r="F703" s="331"/>
      <c r="G703" s="333">
        <f t="shared" si="14"/>
        <v>5876.0599999999868</v>
      </c>
      <c r="H703" s="334"/>
      <c r="I703" s="335"/>
      <c r="J703" s="336"/>
      <c r="K703" s="301"/>
      <c r="L703" s="336"/>
      <c r="M703" s="301"/>
      <c r="N703" s="336"/>
      <c r="O703" s="301"/>
      <c r="P703" s="336"/>
      <c r="Q703" s="301"/>
      <c r="R703" s="336"/>
      <c r="S703" s="301"/>
      <c r="T703" s="336"/>
    </row>
    <row r="704" spans="1:20" ht="12" customHeight="1" x14ac:dyDescent="0.3">
      <c r="A704" s="329" t="s">
        <v>289</v>
      </c>
      <c r="B704" s="330">
        <v>1</v>
      </c>
      <c r="C704" s="298">
        <v>46096</v>
      </c>
      <c r="D704" s="299" t="s">
        <v>311</v>
      </c>
      <c r="E704" s="331">
        <v>125.2</v>
      </c>
      <c r="F704" s="331"/>
      <c r="G704" s="333">
        <f t="shared" si="14"/>
        <v>6002.6999999999871</v>
      </c>
      <c r="H704" s="334"/>
      <c r="I704" s="335"/>
      <c r="J704" s="336"/>
      <c r="K704" s="301"/>
      <c r="L704" s="336"/>
      <c r="M704" s="301"/>
      <c r="N704" s="336"/>
      <c r="O704" s="301"/>
      <c r="P704" s="336"/>
      <c r="Q704" s="301"/>
      <c r="R704" s="336"/>
      <c r="S704" s="301"/>
      <c r="T704" s="336"/>
    </row>
    <row r="705" spans="1:20" ht="12" customHeight="1" x14ac:dyDescent="0.3">
      <c r="A705" s="329" t="s">
        <v>289</v>
      </c>
      <c r="B705" s="330">
        <v>1</v>
      </c>
      <c r="C705" s="298">
        <v>46096</v>
      </c>
      <c r="D705" s="299" t="s">
        <v>306</v>
      </c>
      <c r="E705" s="331">
        <v>37.159999999999997</v>
      </c>
      <c r="F705" s="331"/>
      <c r="G705" s="333">
        <f t="shared" si="14"/>
        <v>6127.8999999999869</v>
      </c>
      <c r="H705" s="334"/>
      <c r="I705" s="335"/>
      <c r="J705" s="336"/>
      <c r="K705" s="301"/>
      <c r="L705" s="336"/>
      <c r="M705" s="301"/>
      <c r="N705" s="336"/>
      <c r="O705" s="301"/>
      <c r="P705" s="336"/>
      <c r="Q705" s="301"/>
      <c r="R705" s="336"/>
      <c r="S705" s="301"/>
      <c r="T705" s="336"/>
    </row>
    <row r="706" spans="1:20" ht="12" customHeight="1" x14ac:dyDescent="0.3">
      <c r="A706" s="329" t="s">
        <v>294</v>
      </c>
      <c r="B706" s="330">
        <v>16</v>
      </c>
      <c r="C706" s="298">
        <v>46096</v>
      </c>
      <c r="D706" s="299" t="s">
        <v>405</v>
      </c>
      <c r="E706" s="331">
        <v>713.06</v>
      </c>
      <c r="F706" s="331"/>
      <c r="G706" s="333">
        <f t="shared" si="14"/>
        <v>6165.0599999999868</v>
      </c>
      <c r="H706" s="334"/>
      <c r="I706" s="335"/>
      <c r="J706" s="336"/>
      <c r="K706" s="301"/>
      <c r="L706" s="336"/>
      <c r="M706" s="301"/>
      <c r="N706" s="336"/>
      <c r="O706" s="301"/>
      <c r="P706" s="336"/>
      <c r="Q706" s="301"/>
      <c r="R706" s="336"/>
      <c r="S706" s="301"/>
      <c r="T706" s="336"/>
    </row>
    <row r="707" spans="1:20" ht="12" customHeight="1" x14ac:dyDescent="0.3">
      <c r="A707" s="329" t="s">
        <v>289</v>
      </c>
      <c r="B707" s="330">
        <v>5</v>
      </c>
      <c r="C707" s="298">
        <v>46095</v>
      </c>
      <c r="D707" s="299" t="s">
        <v>406</v>
      </c>
      <c r="E707" s="331">
        <v>24</v>
      </c>
      <c r="F707" s="331"/>
      <c r="G707" s="333">
        <f t="shared" si="14"/>
        <v>6878.1199999999862</v>
      </c>
      <c r="H707" s="334"/>
      <c r="I707" s="335"/>
      <c r="J707" s="336"/>
      <c r="K707" s="301"/>
      <c r="L707" s="336"/>
      <c r="M707" s="301"/>
      <c r="N707" s="336"/>
      <c r="O707" s="301"/>
      <c r="P707" s="336"/>
      <c r="Q707" s="301"/>
      <c r="R707" s="336"/>
      <c r="S707" s="301"/>
      <c r="T707" s="336"/>
    </row>
    <row r="708" spans="1:20" ht="12" customHeight="1" x14ac:dyDescent="0.3">
      <c r="A708" s="329" t="s">
        <v>289</v>
      </c>
      <c r="B708" s="330">
        <v>3</v>
      </c>
      <c r="C708" s="298">
        <v>46095</v>
      </c>
      <c r="D708" s="299" t="s">
        <v>348</v>
      </c>
      <c r="E708" s="331">
        <v>14.58</v>
      </c>
      <c r="F708" s="331"/>
      <c r="G708" s="333">
        <f t="shared" si="14"/>
        <v>6902.1199999999862</v>
      </c>
      <c r="H708" s="334"/>
      <c r="I708" s="335"/>
      <c r="J708" s="336"/>
      <c r="K708" s="301"/>
      <c r="L708" s="336"/>
      <c r="M708" s="301"/>
      <c r="N708" s="336"/>
      <c r="O708" s="301"/>
      <c r="P708" s="336"/>
      <c r="Q708" s="301"/>
      <c r="R708" s="336"/>
      <c r="S708" s="301"/>
      <c r="T708" s="336"/>
    </row>
    <row r="709" spans="1:20" ht="12" customHeight="1" x14ac:dyDescent="0.3">
      <c r="A709" s="329" t="s">
        <v>291</v>
      </c>
      <c r="B709" s="330">
        <v>41</v>
      </c>
      <c r="C709" s="298">
        <v>46094</v>
      </c>
      <c r="D709" s="299" t="s">
        <v>407</v>
      </c>
      <c r="E709" s="331"/>
      <c r="F709" s="331">
        <v>300</v>
      </c>
      <c r="G709" s="333">
        <f t="shared" si="14"/>
        <v>6916.6999999999862</v>
      </c>
      <c r="H709" s="334"/>
      <c r="I709" s="335"/>
      <c r="J709" s="336"/>
      <c r="K709" s="301"/>
      <c r="L709" s="336"/>
      <c r="M709" s="301"/>
      <c r="N709" s="336"/>
      <c r="O709" s="301"/>
      <c r="P709" s="336"/>
      <c r="Q709" s="301"/>
      <c r="R709" s="336"/>
      <c r="S709" s="301"/>
      <c r="T709" s="336"/>
    </row>
    <row r="710" spans="1:20" ht="12" customHeight="1" x14ac:dyDescent="0.3">
      <c r="A710" s="329" t="s">
        <v>289</v>
      </c>
      <c r="B710" s="330">
        <v>1</v>
      </c>
      <c r="C710" s="298">
        <v>46094</v>
      </c>
      <c r="D710" s="299" t="s">
        <v>311</v>
      </c>
      <c r="E710" s="331">
        <v>17.71</v>
      </c>
      <c r="F710" s="331"/>
      <c r="G710" s="333">
        <f t="shared" si="14"/>
        <v>6616.6999999999862</v>
      </c>
      <c r="H710" s="334"/>
      <c r="I710" s="335"/>
      <c r="J710" s="336"/>
      <c r="K710" s="301"/>
      <c r="L710" s="336"/>
      <c r="M710" s="301"/>
      <c r="N710" s="336"/>
      <c r="O710" s="301"/>
      <c r="P710" s="336"/>
      <c r="Q710" s="301"/>
      <c r="R710" s="336"/>
      <c r="S710" s="301"/>
      <c r="T710" s="336"/>
    </row>
    <row r="711" spans="1:20" ht="12" customHeight="1" x14ac:dyDescent="0.3">
      <c r="A711" s="329" t="s">
        <v>289</v>
      </c>
      <c r="B711" s="330">
        <v>4</v>
      </c>
      <c r="C711" s="298">
        <v>46094</v>
      </c>
      <c r="D711" s="299" t="s">
        <v>296</v>
      </c>
      <c r="E711" s="331">
        <v>31.56</v>
      </c>
      <c r="F711" s="331"/>
      <c r="G711" s="333">
        <f t="shared" si="14"/>
        <v>6634.4099999999862</v>
      </c>
      <c r="H711" s="334"/>
      <c r="I711" s="335"/>
      <c r="J711" s="336"/>
      <c r="K711" s="301"/>
      <c r="L711" s="336"/>
      <c r="M711" s="301"/>
      <c r="N711" s="336"/>
      <c r="O711" s="301"/>
      <c r="P711" s="336"/>
      <c r="Q711" s="301"/>
      <c r="R711" s="336"/>
      <c r="S711" s="301"/>
      <c r="T711" s="336"/>
    </row>
    <row r="712" spans="1:20" ht="12" customHeight="1" x14ac:dyDescent="0.3">
      <c r="A712" s="329" t="s">
        <v>289</v>
      </c>
      <c r="B712" s="330">
        <v>2</v>
      </c>
      <c r="C712" s="298">
        <v>46094</v>
      </c>
      <c r="D712" s="299" t="s">
        <v>296</v>
      </c>
      <c r="E712" s="331">
        <v>34.79</v>
      </c>
      <c r="F712" s="331"/>
      <c r="G712" s="333">
        <f t="shared" si="14"/>
        <v>6665.9699999999866</v>
      </c>
      <c r="H712" s="334"/>
      <c r="I712" s="335"/>
      <c r="J712" s="336"/>
      <c r="K712" s="301"/>
      <c r="L712" s="336"/>
      <c r="M712" s="301"/>
      <c r="N712" s="336"/>
      <c r="O712" s="301"/>
      <c r="P712" s="336"/>
      <c r="Q712" s="301"/>
      <c r="R712" s="336"/>
      <c r="S712" s="301"/>
      <c r="T712" s="336"/>
    </row>
    <row r="713" spans="1:20" ht="12" customHeight="1" x14ac:dyDescent="0.3">
      <c r="A713" s="329" t="s">
        <v>289</v>
      </c>
      <c r="B713" s="330">
        <v>2</v>
      </c>
      <c r="C713" s="298">
        <v>46094</v>
      </c>
      <c r="D713" s="299" t="s">
        <v>408</v>
      </c>
      <c r="E713" s="331">
        <v>23.9</v>
      </c>
      <c r="F713" s="331"/>
      <c r="G713" s="333">
        <f t="shared" si="14"/>
        <v>6700.7599999999866</v>
      </c>
      <c r="H713" s="334"/>
      <c r="I713" s="335"/>
      <c r="J713" s="336"/>
      <c r="K713" s="301"/>
      <c r="L713" s="336"/>
      <c r="M713" s="301"/>
      <c r="N713" s="336"/>
      <c r="O713" s="301"/>
      <c r="P713" s="336"/>
      <c r="Q713" s="301"/>
      <c r="R713" s="336"/>
      <c r="S713" s="301"/>
      <c r="T713" s="336"/>
    </row>
    <row r="714" spans="1:20" ht="12" customHeight="1" x14ac:dyDescent="0.3">
      <c r="A714" s="329" t="s">
        <v>289</v>
      </c>
      <c r="B714" s="330">
        <v>3</v>
      </c>
      <c r="C714" s="298">
        <v>46094</v>
      </c>
      <c r="D714" s="299" t="s">
        <v>348</v>
      </c>
      <c r="E714" s="331">
        <v>7.26</v>
      </c>
      <c r="F714" s="331"/>
      <c r="G714" s="333">
        <f t="shared" si="14"/>
        <v>6724.6599999999862</v>
      </c>
      <c r="H714" s="334"/>
      <c r="I714" s="335"/>
      <c r="J714" s="336"/>
      <c r="K714" s="301"/>
      <c r="L714" s="336"/>
      <c r="M714" s="301"/>
      <c r="N714" s="336"/>
      <c r="O714" s="301"/>
      <c r="P714" s="336"/>
      <c r="Q714" s="301"/>
      <c r="R714" s="336"/>
      <c r="S714" s="301"/>
      <c r="T714" s="336"/>
    </row>
    <row r="715" spans="1:20" ht="12" customHeight="1" x14ac:dyDescent="0.3">
      <c r="A715" s="329" t="s">
        <v>289</v>
      </c>
      <c r="B715" s="330">
        <v>5</v>
      </c>
      <c r="C715" s="298">
        <v>46094</v>
      </c>
      <c r="D715" s="299" t="s">
        <v>354</v>
      </c>
      <c r="E715" s="331">
        <v>85</v>
      </c>
      <c r="F715" s="331"/>
      <c r="G715" s="333">
        <f t="shared" si="14"/>
        <v>6731.9199999999864</v>
      </c>
      <c r="H715" s="334" t="s">
        <v>298</v>
      </c>
      <c r="I715" s="335"/>
      <c r="J715" s="336"/>
      <c r="K715" s="301"/>
      <c r="L715" s="336"/>
      <c r="M715" s="301"/>
      <c r="N715" s="336"/>
      <c r="O715" s="301"/>
      <c r="P715" s="336"/>
      <c r="Q715" s="301"/>
      <c r="R715" s="336"/>
      <c r="S715" s="301"/>
      <c r="T715" s="336"/>
    </row>
    <row r="716" spans="1:20" ht="12" customHeight="1" x14ac:dyDescent="0.3">
      <c r="A716" s="329" t="s">
        <v>289</v>
      </c>
      <c r="B716" s="330">
        <v>8</v>
      </c>
      <c r="C716" s="298">
        <v>46093</v>
      </c>
      <c r="D716" s="299" t="s">
        <v>409</v>
      </c>
      <c r="E716" s="331">
        <v>51.22</v>
      </c>
      <c r="F716" s="331"/>
      <c r="G716" s="333">
        <f t="shared" si="14"/>
        <v>6816.9199999999864</v>
      </c>
      <c r="H716" s="334"/>
      <c r="I716" s="335"/>
      <c r="J716" s="336"/>
      <c r="K716" s="301"/>
      <c r="L716" s="336"/>
      <c r="M716" s="301"/>
      <c r="N716" s="336"/>
      <c r="O716" s="301"/>
      <c r="P716" s="336"/>
      <c r="Q716" s="301"/>
      <c r="R716" s="336"/>
      <c r="S716" s="301"/>
      <c r="T716" s="336"/>
    </row>
    <row r="717" spans="1:20" ht="12" customHeight="1" x14ac:dyDescent="0.3">
      <c r="A717" s="329" t="s">
        <v>289</v>
      </c>
      <c r="B717" s="330">
        <v>2</v>
      </c>
      <c r="C717" s="298">
        <v>46093</v>
      </c>
      <c r="D717" s="299" t="s">
        <v>410</v>
      </c>
      <c r="E717" s="331">
        <v>57.43</v>
      </c>
      <c r="F717" s="331"/>
      <c r="G717" s="333">
        <f t="shared" si="14"/>
        <v>6868.1399999999867</v>
      </c>
      <c r="H717" s="334"/>
      <c r="I717" s="335"/>
      <c r="J717" s="336"/>
      <c r="K717" s="301"/>
      <c r="L717" s="336"/>
      <c r="M717" s="301"/>
      <c r="N717" s="336"/>
      <c r="O717" s="301"/>
      <c r="P717" s="336"/>
      <c r="Q717" s="301"/>
      <c r="R717" s="336"/>
      <c r="S717" s="301"/>
      <c r="T717" s="336"/>
    </row>
    <row r="718" spans="1:20" ht="12" customHeight="1" x14ac:dyDescent="0.3">
      <c r="A718" s="329" t="s">
        <v>289</v>
      </c>
      <c r="B718" s="330">
        <v>2</v>
      </c>
      <c r="C718" s="298">
        <v>46093</v>
      </c>
      <c r="D718" s="299" t="s">
        <v>358</v>
      </c>
      <c r="E718" s="331">
        <v>17.45</v>
      </c>
      <c r="F718" s="331"/>
      <c r="G718" s="333">
        <f t="shared" si="14"/>
        <v>6925.569999999987</v>
      </c>
      <c r="H718" s="334"/>
      <c r="I718" s="335"/>
      <c r="J718" s="336"/>
      <c r="K718" s="301"/>
      <c r="L718" s="336"/>
      <c r="M718" s="301"/>
      <c r="N718" s="336"/>
      <c r="O718" s="301"/>
      <c r="P718" s="336"/>
      <c r="Q718" s="301"/>
      <c r="R718" s="336"/>
      <c r="S718" s="301"/>
      <c r="T718" s="336"/>
    </row>
    <row r="719" spans="1:20" ht="12" customHeight="1" x14ac:dyDescent="0.3">
      <c r="A719" s="329" t="s">
        <v>289</v>
      </c>
      <c r="B719" s="330">
        <v>8</v>
      </c>
      <c r="C719" s="298">
        <v>46093</v>
      </c>
      <c r="D719" s="299" t="s">
        <v>319</v>
      </c>
      <c r="E719" s="331">
        <v>7.92</v>
      </c>
      <c r="F719" s="331"/>
      <c r="G719" s="333">
        <f t="shared" si="14"/>
        <v>6943.0199999999868</v>
      </c>
      <c r="H719" s="334"/>
      <c r="I719" s="335"/>
      <c r="J719" s="336"/>
      <c r="K719" s="301"/>
      <c r="L719" s="336"/>
      <c r="M719" s="301"/>
      <c r="N719" s="336"/>
      <c r="O719" s="301"/>
      <c r="P719" s="336"/>
      <c r="Q719" s="301"/>
      <c r="R719" s="336"/>
      <c r="S719" s="301"/>
      <c r="T719" s="336"/>
    </row>
    <row r="720" spans="1:20" ht="12" customHeight="1" x14ac:dyDescent="0.3">
      <c r="A720" s="329" t="s">
        <v>291</v>
      </c>
      <c r="B720" s="330">
        <v>38</v>
      </c>
      <c r="C720" s="298">
        <v>46093</v>
      </c>
      <c r="D720" s="299" t="s">
        <v>293</v>
      </c>
      <c r="E720" s="331"/>
      <c r="F720" s="331">
        <v>4726.92</v>
      </c>
      <c r="G720" s="333">
        <f t="shared" si="14"/>
        <v>6950.9399999999869</v>
      </c>
      <c r="H720" s="334"/>
      <c r="I720" s="335"/>
      <c r="J720" s="336"/>
      <c r="K720" s="301"/>
      <c r="L720" s="336"/>
      <c r="M720" s="301"/>
      <c r="N720" s="336"/>
      <c r="O720" s="301"/>
      <c r="P720" s="336"/>
      <c r="Q720" s="301"/>
      <c r="R720" s="336"/>
      <c r="S720" s="301"/>
      <c r="T720" s="336"/>
    </row>
    <row r="721" spans="1:20" ht="12" customHeight="1" x14ac:dyDescent="0.3">
      <c r="A721" s="329" t="s">
        <v>289</v>
      </c>
      <c r="B721" s="330">
        <v>2</v>
      </c>
      <c r="C721" s="298">
        <v>46093</v>
      </c>
      <c r="D721" s="299" t="s">
        <v>386</v>
      </c>
      <c r="E721" s="331">
        <v>15</v>
      </c>
      <c r="F721" s="331"/>
      <c r="G721" s="333">
        <f t="shared" si="14"/>
        <v>2224.0199999999868</v>
      </c>
      <c r="H721" s="334"/>
      <c r="I721" s="335"/>
      <c r="J721" s="336"/>
      <c r="K721" s="301"/>
      <c r="L721" s="336"/>
      <c r="M721" s="301"/>
      <c r="N721" s="336"/>
      <c r="O721" s="301"/>
      <c r="P721" s="336"/>
      <c r="Q721" s="301"/>
      <c r="R721" s="336"/>
      <c r="S721" s="301"/>
      <c r="T721" s="336"/>
    </row>
    <row r="722" spans="1:20" ht="12" customHeight="1" x14ac:dyDescent="0.3">
      <c r="A722" s="329" t="s">
        <v>289</v>
      </c>
      <c r="B722" s="330">
        <v>6</v>
      </c>
      <c r="C722" s="298">
        <v>46093</v>
      </c>
      <c r="D722" s="299" t="s">
        <v>411</v>
      </c>
      <c r="E722" s="331">
        <v>12</v>
      </c>
      <c r="F722" s="331"/>
      <c r="G722" s="333">
        <f t="shared" si="14"/>
        <v>2239.0199999999868</v>
      </c>
      <c r="H722" s="334"/>
      <c r="I722" s="335"/>
      <c r="J722" s="336"/>
      <c r="K722" s="301"/>
      <c r="L722" s="336"/>
      <c r="M722" s="301"/>
      <c r="N722" s="336"/>
      <c r="O722" s="301"/>
      <c r="P722" s="336"/>
      <c r="Q722" s="301"/>
      <c r="R722" s="336"/>
      <c r="S722" s="301"/>
      <c r="T722" s="336"/>
    </row>
    <row r="723" spans="1:20" ht="12" customHeight="1" x14ac:dyDescent="0.3">
      <c r="A723" s="329" t="s">
        <v>294</v>
      </c>
      <c r="B723" s="330">
        <v>19</v>
      </c>
      <c r="C723" s="298">
        <v>46093</v>
      </c>
      <c r="D723" s="299" t="s">
        <v>191</v>
      </c>
      <c r="E723" s="331">
        <v>200</v>
      </c>
      <c r="F723" s="331"/>
      <c r="G723" s="333">
        <f t="shared" si="14"/>
        <v>2251.0199999999868</v>
      </c>
      <c r="H723" s="334"/>
      <c r="I723" s="335"/>
      <c r="J723" s="336"/>
      <c r="K723" s="301"/>
      <c r="L723" s="336"/>
      <c r="M723" s="301"/>
      <c r="N723" s="336"/>
      <c r="O723" s="301"/>
      <c r="P723" s="336"/>
      <c r="Q723" s="301"/>
      <c r="R723" s="336"/>
      <c r="S723" s="301"/>
      <c r="T723" s="336"/>
    </row>
    <row r="724" spans="1:20" ht="12" customHeight="1" x14ac:dyDescent="0.3">
      <c r="A724" s="329" t="s">
        <v>289</v>
      </c>
      <c r="B724" s="330">
        <v>6</v>
      </c>
      <c r="C724" s="298">
        <v>46092</v>
      </c>
      <c r="D724" s="299" t="s">
        <v>412</v>
      </c>
      <c r="E724" s="331">
        <v>-10.050000000000001</v>
      </c>
      <c r="F724" s="331"/>
      <c r="G724" s="333">
        <f t="shared" si="14"/>
        <v>2451.0199999999868</v>
      </c>
      <c r="H724" s="334"/>
      <c r="I724" s="335"/>
      <c r="J724" s="336"/>
      <c r="K724" s="301"/>
      <c r="L724" s="336"/>
      <c r="M724" s="301"/>
      <c r="N724" s="336"/>
      <c r="O724" s="301"/>
      <c r="P724" s="336"/>
      <c r="Q724" s="301"/>
      <c r="R724" s="336"/>
      <c r="S724" s="301"/>
      <c r="T724" s="336"/>
    </row>
    <row r="725" spans="1:20" ht="12" customHeight="1" x14ac:dyDescent="0.3">
      <c r="A725" s="329" t="s">
        <v>289</v>
      </c>
      <c r="B725" s="330">
        <v>6</v>
      </c>
      <c r="C725" s="298">
        <v>46092</v>
      </c>
      <c r="D725" s="299" t="s">
        <v>413</v>
      </c>
      <c r="E725" s="331">
        <v>25</v>
      </c>
      <c r="F725" s="331"/>
      <c r="G725" s="333">
        <f t="shared" si="14"/>
        <v>2440.9699999999866</v>
      </c>
      <c r="H725" s="334"/>
      <c r="I725" s="335"/>
      <c r="J725" s="336"/>
      <c r="K725" s="301"/>
      <c r="L725" s="336"/>
      <c r="M725" s="301"/>
      <c r="N725" s="336"/>
      <c r="O725" s="301"/>
      <c r="P725" s="336"/>
      <c r="Q725" s="301"/>
      <c r="R725" s="336"/>
      <c r="S725" s="301"/>
      <c r="T725" s="336"/>
    </row>
    <row r="726" spans="1:20" ht="12" customHeight="1" x14ac:dyDescent="0.3">
      <c r="A726" s="329" t="s">
        <v>289</v>
      </c>
      <c r="B726" s="330">
        <v>2</v>
      </c>
      <c r="C726" s="298">
        <v>46092</v>
      </c>
      <c r="D726" s="299" t="s">
        <v>301</v>
      </c>
      <c r="E726" s="331">
        <v>-9</v>
      </c>
      <c r="F726" s="331"/>
      <c r="G726" s="333">
        <f t="shared" si="14"/>
        <v>2465.9699999999866</v>
      </c>
      <c r="H726" s="334"/>
      <c r="I726" s="335"/>
      <c r="J726" s="336"/>
      <c r="K726" s="301"/>
      <c r="L726" s="336"/>
      <c r="M726" s="301"/>
      <c r="N726" s="336"/>
      <c r="O726" s="301"/>
      <c r="P726" s="336"/>
      <c r="Q726" s="301"/>
      <c r="R726" s="336"/>
      <c r="S726" s="301"/>
      <c r="T726" s="336"/>
    </row>
    <row r="727" spans="1:20" ht="12" customHeight="1" x14ac:dyDescent="0.3">
      <c r="A727" s="329" t="s">
        <v>291</v>
      </c>
      <c r="B727" s="330">
        <v>41</v>
      </c>
      <c r="C727" s="298">
        <v>46092</v>
      </c>
      <c r="D727" s="299" t="s">
        <v>407</v>
      </c>
      <c r="E727" s="331"/>
      <c r="F727" s="331">
        <v>500</v>
      </c>
      <c r="G727" s="333">
        <f t="shared" si="14"/>
        <v>2456.9699999999866</v>
      </c>
      <c r="H727" s="334"/>
      <c r="I727" s="335"/>
      <c r="J727" s="336"/>
      <c r="K727" s="301"/>
      <c r="L727" s="336"/>
      <c r="M727" s="301"/>
      <c r="N727" s="336"/>
      <c r="O727" s="301"/>
      <c r="P727" s="336"/>
      <c r="Q727" s="301"/>
      <c r="R727" s="336"/>
      <c r="S727" s="301"/>
      <c r="T727" s="336"/>
    </row>
    <row r="728" spans="1:20" ht="12" customHeight="1" x14ac:dyDescent="0.3">
      <c r="A728" s="329" t="s">
        <v>289</v>
      </c>
      <c r="B728" s="330">
        <v>2</v>
      </c>
      <c r="C728" s="298">
        <v>46092</v>
      </c>
      <c r="D728" s="299" t="s">
        <v>296</v>
      </c>
      <c r="E728" s="331">
        <v>16.170000000000002</v>
      </c>
      <c r="F728" s="331"/>
      <c r="G728" s="333">
        <f t="shared" si="14"/>
        <v>1956.9699999999864</v>
      </c>
      <c r="H728" s="334"/>
      <c r="I728" s="335"/>
      <c r="J728" s="336"/>
      <c r="K728" s="301"/>
      <c r="L728" s="336"/>
      <c r="M728" s="301"/>
      <c r="N728" s="336"/>
      <c r="O728" s="301"/>
      <c r="P728" s="336"/>
      <c r="Q728" s="301"/>
      <c r="R728" s="336"/>
      <c r="S728" s="301"/>
      <c r="T728" s="336"/>
    </row>
    <row r="729" spans="1:20" ht="12" customHeight="1" x14ac:dyDescent="0.3">
      <c r="A729" s="329" t="s">
        <v>294</v>
      </c>
      <c r="B729" s="330">
        <v>22</v>
      </c>
      <c r="C729" s="298">
        <v>46092</v>
      </c>
      <c r="D729" s="299" t="s">
        <v>352</v>
      </c>
      <c r="E729" s="331">
        <v>19.16</v>
      </c>
      <c r="F729" s="331"/>
      <c r="G729" s="333">
        <f t="shared" si="14"/>
        <v>1973.1399999999865</v>
      </c>
      <c r="H729" s="334"/>
      <c r="I729" s="335"/>
      <c r="J729" s="336"/>
      <c r="K729" s="301"/>
      <c r="L729" s="336"/>
      <c r="M729" s="301"/>
      <c r="N729" s="336"/>
      <c r="O729" s="301"/>
      <c r="P729" s="336"/>
      <c r="Q729" s="301"/>
      <c r="R729" s="336"/>
      <c r="S729" s="301"/>
      <c r="T729" s="336"/>
    </row>
    <row r="730" spans="1:20" ht="12" customHeight="1" x14ac:dyDescent="0.3">
      <c r="A730" s="329" t="s">
        <v>335</v>
      </c>
      <c r="B730" s="330" t="s">
        <v>335</v>
      </c>
      <c r="C730" s="298">
        <v>46091</v>
      </c>
      <c r="D730" s="299" t="s">
        <v>447</v>
      </c>
      <c r="E730" s="331">
        <v>47.28</v>
      </c>
      <c r="F730" s="331"/>
      <c r="G730" s="333">
        <f t="shared" si="14"/>
        <v>1992.2999999999865</v>
      </c>
      <c r="H730" s="334"/>
      <c r="I730" s="335"/>
      <c r="J730" s="336"/>
      <c r="K730" s="301"/>
      <c r="L730" s="336"/>
      <c r="M730" s="301"/>
      <c r="N730" s="336"/>
      <c r="O730" s="301"/>
      <c r="P730" s="336"/>
      <c r="Q730" s="301"/>
      <c r="R730" s="336"/>
      <c r="S730" s="301"/>
      <c r="T730" s="336"/>
    </row>
    <row r="731" spans="1:20" ht="12" customHeight="1" x14ac:dyDescent="0.3">
      <c r="A731" s="329" t="s">
        <v>294</v>
      </c>
      <c r="B731" s="330">
        <v>13</v>
      </c>
      <c r="C731" s="298">
        <v>46091</v>
      </c>
      <c r="D731" s="299" t="s">
        <v>182</v>
      </c>
      <c r="E731" s="331">
        <v>134.93</v>
      </c>
      <c r="F731" s="331"/>
      <c r="G731" s="333">
        <f t="shared" si="14"/>
        <v>2039.5799999999865</v>
      </c>
      <c r="H731" s="334"/>
      <c r="I731" s="335"/>
      <c r="J731" s="336"/>
      <c r="K731" s="301"/>
      <c r="L731" s="336"/>
      <c r="M731" s="301"/>
      <c r="N731" s="336"/>
      <c r="O731" s="301"/>
      <c r="P731" s="336"/>
      <c r="Q731" s="301"/>
      <c r="R731" s="336"/>
      <c r="S731" s="301"/>
      <c r="T731" s="336"/>
    </row>
    <row r="732" spans="1:20" ht="12" customHeight="1" x14ac:dyDescent="0.3">
      <c r="A732" s="329" t="s">
        <v>289</v>
      </c>
      <c r="B732" s="330">
        <v>8</v>
      </c>
      <c r="C732" s="298">
        <v>46091</v>
      </c>
      <c r="D732" s="299" t="s">
        <v>295</v>
      </c>
      <c r="E732" s="331">
        <v>7.44</v>
      </c>
      <c r="F732" s="331"/>
      <c r="G732" s="333">
        <f t="shared" si="14"/>
        <v>2174.5099999999866</v>
      </c>
      <c r="H732" s="334"/>
      <c r="I732" s="335"/>
      <c r="J732" s="336"/>
      <c r="K732" s="301"/>
      <c r="L732" s="336"/>
      <c r="M732" s="301"/>
      <c r="N732" s="336"/>
      <c r="O732" s="301"/>
      <c r="P732" s="336"/>
      <c r="Q732" s="301"/>
      <c r="R732" s="336"/>
      <c r="S732" s="301"/>
      <c r="T732" s="336"/>
    </row>
    <row r="733" spans="1:20" ht="12" customHeight="1" x14ac:dyDescent="0.3">
      <c r="A733" s="329" t="s">
        <v>289</v>
      </c>
      <c r="B733" s="330">
        <v>4</v>
      </c>
      <c r="C733" s="298">
        <v>46091</v>
      </c>
      <c r="D733" s="299" t="s">
        <v>295</v>
      </c>
      <c r="E733" s="331">
        <v>29.53</v>
      </c>
      <c r="F733" s="331"/>
      <c r="G733" s="333">
        <f t="shared" si="14"/>
        <v>2181.9499999999866</v>
      </c>
      <c r="H733" s="334"/>
      <c r="I733" s="335"/>
      <c r="J733" s="336"/>
      <c r="K733" s="301"/>
      <c r="L733" s="336"/>
      <c r="M733" s="301"/>
      <c r="N733" s="336"/>
      <c r="O733" s="301"/>
      <c r="P733" s="336"/>
      <c r="Q733" s="301"/>
      <c r="R733" s="336"/>
      <c r="S733" s="301"/>
      <c r="T733" s="336"/>
    </row>
    <row r="734" spans="1:20" ht="12" customHeight="1" x14ac:dyDescent="0.3">
      <c r="A734" s="329" t="s">
        <v>289</v>
      </c>
      <c r="B734" s="330">
        <v>4</v>
      </c>
      <c r="C734" s="298">
        <v>46091</v>
      </c>
      <c r="D734" s="299" t="s">
        <v>310</v>
      </c>
      <c r="E734" s="331">
        <v>34.119999999999997</v>
      </c>
      <c r="F734" s="331"/>
      <c r="G734" s="333">
        <f t="shared" si="14"/>
        <v>2211.4799999999868</v>
      </c>
      <c r="H734" s="334"/>
      <c r="I734" s="335"/>
      <c r="J734" s="336"/>
      <c r="K734" s="301"/>
      <c r="L734" s="336"/>
      <c r="M734" s="301"/>
      <c r="N734" s="336"/>
      <c r="O734" s="301"/>
      <c r="P734" s="336"/>
      <c r="Q734" s="301"/>
      <c r="R734" s="336"/>
      <c r="S734" s="301"/>
      <c r="T734" s="336"/>
    </row>
    <row r="735" spans="1:20" ht="12" customHeight="1" x14ac:dyDescent="0.3">
      <c r="A735" s="329" t="s">
        <v>289</v>
      </c>
      <c r="B735" s="330">
        <v>2</v>
      </c>
      <c r="C735" s="298">
        <v>46091</v>
      </c>
      <c r="D735" s="299" t="s">
        <v>414</v>
      </c>
      <c r="E735" s="331">
        <v>18.57</v>
      </c>
      <c r="F735" s="331"/>
      <c r="G735" s="333">
        <f t="shared" si="14"/>
        <v>2245.5999999999867</v>
      </c>
      <c r="H735" s="334"/>
      <c r="I735" s="335"/>
      <c r="J735" s="336"/>
      <c r="K735" s="301"/>
      <c r="L735" s="336"/>
      <c r="M735" s="301"/>
      <c r="N735" s="336"/>
      <c r="O735" s="301"/>
      <c r="P735" s="336"/>
      <c r="Q735" s="301"/>
      <c r="R735" s="336"/>
      <c r="S735" s="301"/>
      <c r="T735" s="336"/>
    </row>
    <row r="736" spans="1:20" ht="12" customHeight="1" x14ac:dyDescent="0.3">
      <c r="A736" s="329" t="s">
        <v>294</v>
      </c>
      <c r="B736" s="330">
        <v>16</v>
      </c>
      <c r="C736" s="298">
        <v>46091</v>
      </c>
      <c r="D736" s="299" t="s">
        <v>415</v>
      </c>
      <c r="E736" s="331">
        <v>107</v>
      </c>
      <c r="F736" s="331"/>
      <c r="G736" s="333">
        <f t="shared" si="14"/>
        <v>2264.1699999999869</v>
      </c>
      <c r="H736" s="334"/>
      <c r="I736" s="335"/>
      <c r="J736" s="336"/>
      <c r="K736" s="301"/>
      <c r="L736" s="336"/>
      <c r="M736" s="301"/>
      <c r="N736" s="336"/>
      <c r="O736" s="301"/>
      <c r="P736" s="336"/>
      <c r="Q736" s="301"/>
      <c r="R736" s="336"/>
      <c r="S736" s="301"/>
      <c r="T736" s="336"/>
    </row>
    <row r="737" spans="1:20" ht="12" customHeight="1" x14ac:dyDescent="0.3">
      <c r="A737" s="329" t="s">
        <v>294</v>
      </c>
      <c r="B737" s="330">
        <v>18</v>
      </c>
      <c r="C737" s="298">
        <v>46090</v>
      </c>
      <c r="D737" s="299" t="s">
        <v>361</v>
      </c>
      <c r="E737" s="331">
        <v>400</v>
      </c>
      <c r="F737" s="331"/>
      <c r="G737" s="333">
        <f t="shared" si="14"/>
        <v>2371.1699999999869</v>
      </c>
      <c r="H737" s="334"/>
      <c r="I737" s="335"/>
      <c r="J737" s="336"/>
      <c r="K737" s="301"/>
      <c r="L737" s="336"/>
      <c r="M737" s="301"/>
      <c r="N737" s="336"/>
      <c r="O737" s="301"/>
      <c r="P737" s="336"/>
      <c r="Q737" s="301"/>
      <c r="R737" s="336"/>
      <c r="S737" s="301"/>
      <c r="T737" s="336"/>
    </row>
    <row r="738" spans="1:20" ht="12" customHeight="1" x14ac:dyDescent="0.3">
      <c r="A738" s="329" t="s">
        <v>289</v>
      </c>
      <c r="B738" s="330">
        <v>4</v>
      </c>
      <c r="C738" s="298">
        <v>46090</v>
      </c>
      <c r="D738" s="299" t="s">
        <v>296</v>
      </c>
      <c r="E738" s="331">
        <v>24.69</v>
      </c>
      <c r="F738" s="331"/>
      <c r="G738" s="333">
        <f t="shared" si="14"/>
        <v>2771.1699999999869</v>
      </c>
      <c r="H738" s="334"/>
      <c r="I738" s="335"/>
      <c r="J738" s="336"/>
      <c r="K738" s="301"/>
      <c r="L738" s="336"/>
      <c r="M738" s="301"/>
      <c r="N738" s="336"/>
      <c r="O738" s="301"/>
      <c r="P738" s="336"/>
      <c r="Q738" s="301"/>
      <c r="R738" s="336"/>
      <c r="S738" s="301"/>
      <c r="T738" s="336"/>
    </row>
    <row r="739" spans="1:20" ht="12" customHeight="1" x14ac:dyDescent="0.3">
      <c r="A739" s="329" t="s">
        <v>289</v>
      </c>
      <c r="B739" s="330">
        <v>3</v>
      </c>
      <c r="C739" s="298">
        <v>46090</v>
      </c>
      <c r="D739" s="299" t="s">
        <v>416</v>
      </c>
      <c r="E739" s="331">
        <v>4.59</v>
      </c>
      <c r="F739" s="331"/>
      <c r="G739" s="333">
        <f t="shared" si="14"/>
        <v>2795.8599999999869</v>
      </c>
      <c r="H739" s="334"/>
      <c r="I739" s="335"/>
      <c r="J739" s="336"/>
      <c r="K739" s="301"/>
      <c r="L739" s="336"/>
      <c r="M739" s="301"/>
      <c r="N739" s="336"/>
      <c r="O739" s="301"/>
      <c r="P739" s="336"/>
      <c r="Q739" s="301"/>
      <c r="R739" s="336"/>
      <c r="S739" s="301"/>
      <c r="T739" s="336"/>
    </row>
    <row r="740" spans="1:20" ht="12" customHeight="1" x14ac:dyDescent="0.3">
      <c r="A740" s="329" t="s">
        <v>294</v>
      </c>
      <c r="B740" s="330">
        <v>9</v>
      </c>
      <c r="C740" s="298">
        <v>46090</v>
      </c>
      <c r="D740" s="299" t="s">
        <v>58</v>
      </c>
      <c r="E740" s="331">
        <v>1281.53</v>
      </c>
      <c r="F740" s="331"/>
      <c r="G740" s="333">
        <f t="shared" si="14"/>
        <v>2800.4499999999871</v>
      </c>
      <c r="H740" s="334"/>
      <c r="I740" s="335"/>
      <c r="J740" s="336"/>
      <c r="K740" s="301"/>
      <c r="L740" s="336"/>
      <c r="M740" s="301"/>
      <c r="N740" s="336"/>
      <c r="O740" s="301"/>
      <c r="P740" s="336"/>
      <c r="Q740" s="301"/>
      <c r="R740" s="336"/>
      <c r="S740" s="301"/>
      <c r="T740" s="336"/>
    </row>
    <row r="741" spans="1:20" ht="12" customHeight="1" x14ac:dyDescent="0.3">
      <c r="A741" s="329" t="s">
        <v>289</v>
      </c>
      <c r="B741" s="330">
        <v>7</v>
      </c>
      <c r="C741" s="298">
        <v>46090</v>
      </c>
      <c r="D741" s="299" t="s">
        <v>338</v>
      </c>
      <c r="E741" s="331">
        <v>40.61</v>
      </c>
      <c r="F741" s="331"/>
      <c r="G741" s="333">
        <f t="shared" si="14"/>
        <v>4081.9799999999873</v>
      </c>
      <c r="H741" s="334"/>
      <c r="I741" s="335"/>
      <c r="J741" s="336"/>
      <c r="K741" s="301"/>
      <c r="L741" s="336"/>
      <c r="M741" s="301"/>
      <c r="N741" s="336"/>
      <c r="O741" s="301"/>
      <c r="P741" s="336"/>
      <c r="Q741" s="301"/>
      <c r="R741" s="336"/>
      <c r="S741" s="301"/>
      <c r="T741" s="336"/>
    </row>
    <row r="742" spans="1:20" ht="12" customHeight="1" x14ac:dyDescent="0.3">
      <c r="A742" s="329" t="s">
        <v>287</v>
      </c>
      <c r="B742" s="330" t="s">
        <v>287</v>
      </c>
      <c r="C742" s="298">
        <v>46090</v>
      </c>
      <c r="D742" s="299" t="s">
        <v>417</v>
      </c>
      <c r="E742" s="331">
        <v>380</v>
      </c>
      <c r="F742" s="331">
        <v>380</v>
      </c>
      <c r="G742" s="333">
        <f t="shared" si="14"/>
        <v>4122.5899999999874</v>
      </c>
      <c r="H742" s="334"/>
      <c r="I742" s="335"/>
      <c r="J742" s="336"/>
      <c r="K742" s="301"/>
      <c r="L742" s="336"/>
      <c r="M742" s="301"/>
      <c r="N742" s="336"/>
      <c r="O742" s="301"/>
      <c r="P742" s="336"/>
      <c r="Q742" s="301"/>
      <c r="R742" s="336"/>
      <c r="S742" s="301"/>
      <c r="T742" s="336"/>
    </row>
    <row r="743" spans="1:20" ht="12" customHeight="1" x14ac:dyDescent="0.3">
      <c r="A743" s="329" t="s">
        <v>289</v>
      </c>
      <c r="B743" s="330">
        <v>2</v>
      </c>
      <c r="C743" s="298">
        <v>46090</v>
      </c>
      <c r="D743" s="299" t="s">
        <v>418</v>
      </c>
      <c r="E743" s="331">
        <v>15</v>
      </c>
      <c r="F743" s="331"/>
      <c r="G743" s="333">
        <f t="shared" si="14"/>
        <v>4122.5899999999874</v>
      </c>
      <c r="H743" s="334"/>
      <c r="I743" s="335"/>
      <c r="J743" s="336"/>
      <c r="K743" s="301"/>
      <c r="L743" s="336"/>
      <c r="M743" s="301"/>
      <c r="N743" s="336"/>
      <c r="O743" s="301"/>
      <c r="P743" s="336"/>
      <c r="Q743" s="301"/>
      <c r="R743" s="336"/>
      <c r="S743" s="301"/>
      <c r="T743" s="336"/>
    </row>
    <row r="744" spans="1:20" ht="12" customHeight="1" x14ac:dyDescent="0.3">
      <c r="A744" s="329" t="s">
        <v>289</v>
      </c>
      <c r="B744" s="330">
        <v>2</v>
      </c>
      <c r="C744" s="298">
        <v>46090</v>
      </c>
      <c r="D744" s="299" t="s">
        <v>386</v>
      </c>
      <c r="E744" s="331">
        <v>15</v>
      </c>
      <c r="F744" s="331"/>
      <c r="G744" s="333">
        <f t="shared" si="14"/>
        <v>4137.5899999999874</v>
      </c>
      <c r="H744" s="334"/>
      <c r="I744" s="335"/>
      <c r="J744" s="336"/>
      <c r="K744" s="301"/>
      <c r="L744" s="336"/>
      <c r="M744" s="301"/>
      <c r="N744" s="336"/>
      <c r="O744" s="301"/>
      <c r="P744" s="336"/>
      <c r="Q744" s="301"/>
      <c r="R744" s="336"/>
      <c r="S744" s="301"/>
      <c r="T744" s="336"/>
    </row>
    <row r="745" spans="1:20" ht="12" customHeight="1" x14ac:dyDescent="0.3">
      <c r="A745" s="329" t="s">
        <v>289</v>
      </c>
      <c r="B745" s="330">
        <v>6</v>
      </c>
      <c r="C745" s="298">
        <v>46090</v>
      </c>
      <c r="D745" s="299" t="s">
        <v>300</v>
      </c>
      <c r="E745" s="331">
        <v>70.66</v>
      </c>
      <c r="F745" s="331"/>
      <c r="G745" s="333">
        <f t="shared" si="14"/>
        <v>4152.5899999999874</v>
      </c>
      <c r="H745" s="334"/>
      <c r="I745" s="335"/>
      <c r="J745" s="336"/>
      <c r="K745" s="301"/>
      <c r="L745" s="336"/>
      <c r="M745" s="301"/>
      <c r="N745" s="336"/>
      <c r="O745" s="301"/>
      <c r="P745" s="336"/>
      <c r="Q745" s="301"/>
      <c r="R745" s="336"/>
      <c r="S745" s="301"/>
      <c r="T745" s="336"/>
    </row>
    <row r="746" spans="1:20" ht="12" customHeight="1" x14ac:dyDescent="0.3">
      <c r="A746" s="329" t="s">
        <v>289</v>
      </c>
      <c r="B746" s="330">
        <v>1</v>
      </c>
      <c r="C746" s="298">
        <v>46089</v>
      </c>
      <c r="D746" s="299" t="s">
        <v>311</v>
      </c>
      <c r="E746" s="331">
        <v>109.77</v>
      </c>
      <c r="F746" s="331"/>
      <c r="G746" s="333">
        <f t="shared" si="14"/>
        <v>4223.2499999999873</v>
      </c>
      <c r="H746" s="334"/>
      <c r="I746" s="335"/>
      <c r="J746" s="336"/>
      <c r="K746" s="301"/>
      <c r="L746" s="336"/>
      <c r="M746" s="301"/>
      <c r="N746" s="336"/>
      <c r="O746" s="301"/>
      <c r="P746" s="336"/>
      <c r="Q746" s="301"/>
      <c r="R746" s="336"/>
      <c r="S746" s="301"/>
      <c r="T746" s="336"/>
    </row>
    <row r="747" spans="1:20" ht="12" customHeight="1" x14ac:dyDescent="0.3">
      <c r="A747" s="329" t="s">
        <v>289</v>
      </c>
      <c r="B747" s="330">
        <v>6</v>
      </c>
      <c r="C747" s="298">
        <v>46089</v>
      </c>
      <c r="D747" s="299" t="s">
        <v>306</v>
      </c>
      <c r="E747" s="331">
        <v>9.3800000000000008</v>
      </c>
      <c r="F747" s="331"/>
      <c r="G747" s="333">
        <f t="shared" si="14"/>
        <v>4333.0199999999877</v>
      </c>
      <c r="H747" s="334"/>
      <c r="I747" s="335"/>
      <c r="J747" s="336"/>
      <c r="K747" s="301"/>
      <c r="L747" s="336"/>
      <c r="M747" s="301"/>
      <c r="N747" s="336"/>
      <c r="O747" s="301"/>
      <c r="P747" s="336"/>
      <c r="Q747" s="301"/>
      <c r="R747" s="336"/>
      <c r="S747" s="301"/>
      <c r="T747" s="336"/>
    </row>
    <row r="748" spans="1:20" ht="12" customHeight="1" x14ac:dyDescent="0.3">
      <c r="A748" s="329" t="s">
        <v>289</v>
      </c>
      <c r="B748" s="330">
        <v>3</v>
      </c>
      <c r="C748" s="298">
        <v>46089</v>
      </c>
      <c r="D748" s="299" t="s">
        <v>419</v>
      </c>
      <c r="E748" s="331">
        <v>3.85</v>
      </c>
      <c r="F748" s="331"/>
      <c r="G748" s="333">
        <f t="shared" si="14"/>
        <v>4342.3999999999878</v>
      </c>
      <c r="H748" s="334"/>
      <c r="I748" s="335"/>
      <c r="J748" s="336"/>
      <c r="K748" s="301"/>
      <c r="L748" s="336"/>
      <c r="M748" s="301"/>
      <c r="N748" s="336"/>
      <c r="O748" s="301"/>
      <c r="P748" s="336"/>
      <c r="Q748" s="301"/>
      <c r="R748" s="336"/>
      <c r="S748" s="301"/>
      <c r="T748" s="336"/>
    </row>
    <row r="749" spans="1:20" ht="12" customHeight="1" x14ac:dyDescent="0.3">
      <c r="A749" s="329" t="s">
        <v>289</v>
      </c>
      <c r="B749" s="330">
        <v>2</v>
      </c>
      <c r="C749" s="298">
        <v>46089</v>
      </c>
      <c r="D749" s="299" t="s">
        <v>404</v>
      </c>
      <c r="E749" s="331">
        <v>88.54</v>
      </c>
      <c r="F749" s="331"/>
      <c r="G749" s="333">
        <f t="shared" si="14"/>
        <v>4346.2499999999882</v>
      </c>
      <c r="H749" s="334"/>
      <c r="I749" s="335"/>
      <c r="J749" s="336"/>
      <c r="K749" s="301"/>
      <c r="L749" s="336"/>
      <c r="M749" s="301"/>
      <c r="N749" s="336"/>
      <c r="O749" s="301"/>
      <c r="P749" s="336"/>
      <c r="Q749" s="301"/>
      <c r="R749" s="336"/>
      <c r="S749" s="301"/>
      <c r="T749" s="336"/>
    </row>
    <row r="750" spans="1:20" ht="12" customHeight="1" x14ac:dyDescent="0.3">
      <c r="A750" s="329" t="s">
        <v>289</v>
      </c>
      <c r="B750" s="330">
        <v>2</v>
      </c>
      <c r="C750" s="298">
        <v>46089</v>
      </c>
      <c r="D750" s="299" t="s">
        <v>358</v>
      </c>
      <c r="E750" s="331">
        <v>8.3800000000000008</v>
      </c>
      <c r="F750" s="331"/>
      <c r="G750" s="333">
        <f t="shared" si="14"/>
        <v>4434.7899999999881</v>
      </c>
      <c r="H750" s="334"/>
      <c r="I750" s="335"/>
      <c r="J750" s="336"/>
      <c r="K750" s="301"/>
      <c r="L750" s="336"/>
      <c r="M750" s="301"/>
      <c r="N750" s="336"/>
      <c r="O750" s="301"/>
      <c r="P750" s="336"/>
      <c r="Q750" s="301"/>
      <c r="R750" s="336"/>
      <c r="S750" s="301"/>
      <c r="T750" s="336"/>
    </row>
    <row r="751" spans="1:20" ht="12" customHeight="1" x14ac:dyDescent="0.3">
      <c r="A751" s="329" t="s">
        <v>289</v>
      </c>
      <c r="B751" s="330">
        <v>2</v>
      </c>
      <c r="C751" s="298">
        <v>46089</v>
      </c>
      <c r="D751" s="299" t="s">
        <v>301</v>
      </c>
      <c r="E751" s="331">
        <v>39.549999999999997</v>
      </c>
      <c r="F751" s="331"/>
      <c r="G751" s="333">
        <f t="shared" si="14"/>
        <v>4443.1699999999882</v>
      </c>
      <c r="H751" s="334"/>
      <c r="I751" s="335"/>
      <c r="J751" s="336"/>
      <c r="K751" s="301"/>
      <c r="L751" s="336"/>
      <c r="M751" s="301"/>
      <c r="N751" s="336"/>
      <c r="O751" s="301"/>
      <c r="P751" s="336"/>
      <c r="Q751" s="301"/>
      <c r="R751" s="336"/>
      <c r="S751" s="301"/>
      <c r="T751" s="336"/>
    </row>
    <row r="752" spans="1:20" ht="12" customHeight="1" x14ac:dyDescent="0.3">
      <c r="A752" s="329" t="s">
        <v>289</v>
      </c>
      <c r="B752" s="330">
        <v>4</v>
      </c>
      <c r="C752" s="298">
        <v>46089</v>
      </c>
      <c r="D752" s="299" t="s">
        <v>420</v>
      </c>
      <c r="E752" s="331">
        <v>31.68</v>
      </c>
      <c r="F752" s="331"/>
      <c r="G752" s="333">
        <f t="shared" si="14"/>
        <v>4482.7199999999884</v>
      </c>
      <c r="H752" s="334"/>
      <c r="I752" s="335"/>
      <c r="J752" s="336"/>
      <c r="K752" s="301"/>
      <c r="L752" s="336"/>
      <c r="M752" s="301"/>
      <c r="N752" s="336"/>
      <c r="O752" s="301"/>
      <c r="P752" s="336"/>
      <c r="Q752" s="301"/>
      <c r="R752" s="336"/>
      <c r="S752" s="301"/>
      <c r="T752" s="336"/>
    </row>
    <row r="753" spans="1:20" ht="12" customHeight="1" x14ac:dyDescent="0.3">
      <c r="A753" s="329" t="s">
        <v>289</v>
      </c>
      <c r="B753" s="330">
        <v>8</v>
      </c>
      <c r="C753" s="298">
        <v>46088</v>
      </c>
      <c r="D753" s="299" t="s">
        <v>308</v>
      </c>
      <c r="E753" s="331">
        <v>24.65</v>
      </c>
      <c r="F753" s="331"/>
      <c r="G753" s="333">
        <f t="shared" si="14"/>
        <v>4514.3999999999887</v>
      </c>
      <c r="H753" s="334"/>
      <c r="I753" s="335"/>
      <c r="J753" s="336"/>
      <c r="K753" s="301"/>
      <c r="L753" s="336"/>
      <c r="M753" s="301"/>
      <c r="N753" s="336"/>
      <c r="O753" s="301"/>
      <c r="P753" s="336"/>
      <c r="Q753" s="301"/>
      <c r="R753" s="336"/>
      <c r="S753" s="301"/>
      <c r="T753" s="336"/>
    </row>
    <row r="754" spans="1:20" ht="12" customHeight="1" x14ac:dyDescent="0.3">
      <c r="A754" s="329" t="s">
        <v>289</v>
      </c>
      <c r="B754" s="330">
        <v>2</v>
      </c>
      <c r="C754" s="298">
        <v>46088</v>
      </c>
      <c r="D754" s="299" t="s">
        <v>346</v>
      </c>
      <c r="E754" s="331">
        <v>11.04</v>
      </c>
      <c r="F754" s="331"/>
      <c r="G754" s="333">
        <f t="shared" si="14"/>
        <v>4539.0499999999884</v>
      </c>
      <c r="H754" s="334"/>
      <c r="I754" s="335"/>
      <c r="J754" s="336"/>
      <c r="K754" s="301"/>
      <c r="L754" s="336"/>
      <c r="M754" s="301"/>
      <c r="N754" s="336"/>
      <c r="O754" s="301"/>
      <c r="P754" s="336"/>
      <c r="Q754" s="301"/>
      <c r="R754" s="336"/>
      <c r="S754" s="301"/>
      <c r="T754" s="336"/>
    </row>
    <row r="755" spans="1:20" ht="12" customHeight="1" x14ac:dyDescent="0.3">
      <c r="A755" s="329" t="s">
        <v>289</v>
      </c>
      <c r="B755" s="330">
        <v>8</v>
      </c>
      <c r="C755" s="298">
        <v>46088</v>
      </c>
      <c r="D755" s="299" t="s">
        <v>319</v>
      </c>
      <c r="E755" s="331">
        <v>11.5</v>
      </c>
      <c r="F755" s="331"/>
      <c r="G755" s="333">
        <f t="shared" si="14"/>
        <v>4550.0899999999883</v>
      </c>
      <c r="H755" s="334"/>
      <c r="I755" s="335"/>
      <c r="J755" s="336"/>
      <c r="K755" s="301"/>
      <c r="L755" s="336"/>
      <c r="M755" s="301"/>
      <c r="N755" s="336"/>
      <c r="O755" s="301"/>
      <c r="P755" s="336"/>
      <c r="Q755" s="301"/>
      <c r="R755" s="336"/>
      <c r="S755" s="301"/>
      <c r="T755" s="336"/>
    </row>
    <row r="756" spans="1:20" ht="12" customHeight="1" x14ac:dyDescent="0.3">
      <c r="A756" s="329" t="s">
        <v>289</v>
      </c>
      <c r="B756" s="330">
        <v>8</v>
      </c>
      <c r="C756" s="298">
        <v>46088</v>
      </c>
      <c r="D756" s="299" t="s">
        <v>296</v>
      </c>
      <c r="E756" s="331">
        <v>12.44</v>
      </c>
      <c r="F756" s="331"/>
      <c r="G756" s="333">
        <f t="shared" si="14"/>
        <v>4561.5899999999883</v>
      </c>
      <c r="H756" s="334"/>
      <c r="I756" s="335"/>
      <c r="J756" s="336"/>
      <c r="K756" s="301"/>
      <c r="L756" s="336"/>
      <c r="M756" s="301"/>
      <c r="N756" s="336"/>
      <c r="O756" s="301"/>
      <c r="P756" s="336"/>
      <c r="Q756" s="301"/>
      <c r="R756" s="336"/>
      <c r="S756" s="301"/>
      <c r="T756" s="336"/>
    </row>
    <row r="757" spans="1:20" ht="12" customHeight="1" x14ac:dyDescent="0.3">
      <c r="A757" s="329" t="s">
        <v>289</v>
      </c>
      <c r="B757" s="330">
        <v>4</v>
      </c>
      <c r="C757" s="298">
        <v>46088</v>
      </c>
      <c r="D757" s="299" t="s">
        <v>296</v>
      </c>
      <c r="E757" s="331">
        <v>23.62</v>
      </c>
      <c r="F757" s="331"/>
      <c r="G757" s="333">
        <f t="shared" si="14"/>
        <v>4574.0299999999879</v>
      </c>
      <c r="H757" s="334"/>
      <c r="I757" s="335"/>
      <c r="J757" s="336"/>
      <c r="K757" s="301"/>
      <c r="L757" s="336"/>
      <c r="M757" s="301"/>
      <c r="N757" s="336"/>
      <c r="O757" s="301"/>
      <c r="P757" s="336"/>
      <c r="Q757" s="301"/>
      <c r="R757" s="336"/>
      <c r="S757" s="301"/>
      <c r="T757" s="336"/>
    </row>
    <row r="758" spans="1:20" ht="12" customHeight="1" x14ac:dyDescent="0.3">
      <c r="A758" s="329" t="s">
        <v>289</v>
      </c>
      <c r="B758" s="330">
        <v>2</v>
      </c>
      <c r="C758" s="298">
        <v>46088</v>
      </c>
      <c r="D758" s="299" t="s">
        <v>301</v>
      </c>
      <c r="E758" s="331">
        <v>36.049999999999997</v>
      </c>
      <c r="F758" s="331"/>
      <c r="G758" s="333">
        <f t="shared" si="14"/>
        <v>4597.6499999999878</v>
      </c>
      <c r="H758" s="334"/>
      <c r="I758" s="335"/>
      <c r="J758" s="336"/>
      <c r="K758" s="301"/>
      <c r="L758" s="336"/>
      <c r="M758" s="301"/>
      <c r="N758" s="336"/>
      <c r="O758" s="301"/>
      <c r="P758" s="336"/>
      <c r="Q758" s="301"/>
      <c r="R758" s="336"/>
      <c r="S758" s="301"/>
      <c r="T758" s="336"/>
    </row>
    <row r="759" spans="1:20" ht="12" customHeight="1" x14ac:dyDescent="0.3">
      <c r="A759" s="329" t="s">
        <v>294</v>
      </c>
      <c r="B759" s="330">
        <v>14</v>
      </c>
      <c r="C759" s="298">
        <v>46087</v>
      </c>
      <c r="D759" s="299" t="s">
        <v>366</v>
      </c>
      <c r="E759" s="331">
        <v>66.67</v>
      </c>
      <c r="F759" s="331"/>
      <c r="G759" s="333">
        <f t="shared" si="14"/>
        <v>4633.699999999988</v>
      </c>
      <c r="H759" s="334"/>
      <c r="I759" s="335"/>
      <c r="J759" s="336"/>
      <c r="K759" s="301"/>
      <c r="L759" s="336"/>
      <c r="M759" s="301"/>
      <c r="N759" s="336"/>
      <c r="O759" s="301"/>
      <c r="P759" s="336"/>
      <c r="Q759" s="301"/>
      <c r="R759" s="336"/>
      <c r="S759" s="301"/>
      <c r="T759" s="336"/>
    </row>
    <row r="760" spans="1:20" ht="12" customHeight="1" x14ac:dyDescent="0.3">
      <c r="A760" s="329" t="s">
        <v>289</v>
      </c>
      <c r="B760" s="330">
        <v>2</v>
      </c>
      <c r="C760" s="298">
        <v>46087</v>
      </c>
      <c r="D760" s="299" t="s">
        <v>296</v>
      </c>
      <c r="E760" s="331">
        <v>17.850000000000001</v>
      </c>
      <c r="F760" s="331"/>
      <c r="G760" s="333">
        <f t="shared" si="14"/>
        <v>4700.3699999999881</v>
      </c>
      <c r="H760" s="334"/>
      <c r="I760" s="335"/>
      <c r="J760" s="336"/>
      <c r="K760" s="301"/>
      <c r="L760" s="336"/>
      <c r="M760" s="301"/>
      <c r="N760" s="336"/>
      <c r="O760" s="301"/>
      <c r="P760" s="336"/>
      <c r="Q760" s="301"/>
      <c r="R760" s="336"/>
      <c r="S760" s="301"/>
      <c r="T760" s="336"/>
    </row>
    <row r="761" spans="1:20" ht="12" customHeight="1" x14ac:dyDescent="0.3">
      <c r="A761" s="329" t="s">
        <v>289</v>
      </c>
      <c r="B761" s="330">
        <v>1</v>
      </c>
      <c r="C761" s="298">
        <v>46087</v>
      </c>
      <c r="D761" s="299" t="s">
        <v>304</v>
      </c>
      <c r="E761" s="331">
        <v>112.13</v>
      </c>
      <c r="F761" s="331"/>
      <c r="G761" s="333">
        <f t="shared" si="14"/>
        <v>4718.2199999999884</v>
      </c>
      <c r="H761" s="334"/>
      <c r="I761" s="335"/>
      <c r="J761" s="336"/>
      <c r="K761" s="301"/>
      <c r="L761" s="336"/>
      <c r="M761" s="301"/>
      <c r="N761" s="336"/>
      <c r="O761" s="301"/>
      <c r="P761" s="336"/>
      <c r="Q761" s="301"/>
      <c r="R761" s="336"/>
      <c r="S761" s="301"/>
      <c r="T761" s="336"/>
    </row>
    <row r="762" spans="1:20" ht="12" customHeight="1" x14ac:dyDescent="0.3">
      <c r="A762" s="329" t="s">
        <v>289</v>
      </c>
      <c r="B762" s="330">
        <v>3</v>
      </c>
      <c r="C762" s="298">
        <v>46087</v>
      </c>
      <c r="D762" s="299" t="s">
        <v>324</v>
      </c>
      <c r="E762" s="331">
        <v>7.31</v>
      </c>
      <c r="F762" s="331"/>
      <c r="G762" s="333">
        <f t="shared" si="14"/>
        <v>4830.3499999999885</v>
      </c>
      <c r="H762" s="334"/>
      <c r="I762" s="335"/>
      <c r="J762" s="336"/>
      <c r="K762" s="301"/>
      <c r="L762" s="336"/>
      <c r="M762" s="301"/>
      <c r="N762" s="336"/>
      <c r="O762" s="301"/>
      <c r="P762" s="336"/>
      <c r="Q762" s="301"/>
      <c r="R762" s="336"/>
      <c r="S762" s="301"/>
      <c r="T762" s="336"/>
    </row>
    <row r="763" spans="1:20" ht="12" customHeight="1" x14ac:dyDescent="0.3">
      <c r="A763" s="329" t="s">
        <v>291</v>
      </c>
      <c r="B763" s="330">
        <v>39</v>
      </c>
      <c r="C763" s="298">
        <v>46086</v>
      </c>
      <c r="D763" s="299" t="s">
        <v>292</v>
      </c>
      <c r="E763" s="331"/>
      <c r="F763" s="331">
        <v>2763.78</v>
      </c>
      <c r="G763" s="333">
        <f t="shared" si="14"/>
        <v>4837.6599999999889</v>
      </c>
      <c r="H763" s="334"/>
      <c r="I763" s="335"/>
      <c r="J763" s="336"/>
      <c r="K763" s="301"/>
      <c r="L763" s="336"/>
      <c r="M763" s="301"/>
      <c r="N763" s="336"/>
      <c r="O763" s="301"/>
      <c r="P763" s="336"/>
      <c r="Q763" s="301"/>
      <c r="R763" s="336"/>
      <c r="S763" s="301"/>
      <c r="T763" s="336"/>
    </row>
    <row r="764" spans="1:20" ht="12" customHeight="1" x14ac:dyDescent="0.3">
      <c r="A764" s="329" t="s">
        <v>289</v>
      </c>
      <c r="B764" s="330">
        <v>4</v>
      </c>
      <c r="C764" s="298">
        <v>46086</v>
      </c>
      <c r="D764" s="299" t="s">
        <v>295</v>
      </c>
      <c r="E764" s="331">
        <v>31.52</v>
      </c>
      <c r="F764" s="331"/>
      <c r="G764" s="333">
        <f t="shared" si="14"/>
        <v>2073.8799999999892</v>
      </c>
      <c r="H764" s="334"/>
      <c r="I764" s="335"/>
      <c r="J764" s="336"/>
      <c r="K764" s="301"/>
      <c r="L764" s="336"/>
      <c r="M764" s="301"/>
      <c r="N764" s="336"/>
      <c r="O764" s="301"/>
      <c r="P764" s="336"/>
      <c r="Q764" s="301"/>
      <c r="R764" s="336"/>
      <c r="S764" s="301"/>
      <c r="T764" s="336"/>
    </row>
    <row r="765" spans="1:20" ht="12" customHeight="1" x14ac:dyDescent="0.3">
      <c r="A765" s="329" t="s">
        <v>289</v>
      </c>
      <c r="B765" s="330">
        <v>2</v>
      </c>
      <c r="C765" s="298">
        <v>46086</v>
      </c>
      <c r="D765" s="299" t="s">
        <v>358</v>
      </c>
      <c r="E765" s="331">
        <v>14.86</v>
      </c>
      <c r="F765" s="331"/>
      <c r="G765" s="333">
        <f t="shared" si="14"/>
        <v>2105.3999999999892</v>
      </c>
      <c r="H765" s="334"/>
      <c r="I765" s="335"/>
      <c r="J765" s="336"/>
      <c r="K765" s="301"/>
      <c r="L765" s="336"/>
      <c r="M765" s="301"/>
      <c r="N765" s="336"/>
      <c r="O765" s="301"/>
      <c r="P765" s="336"/>
      <c r="Q765" s="301"/>
      <c r="R765" s="336"/>
      <c r="S765" s="301"/>
      <c r="T765" s="336"/>
    </row>
    <row r="766" spans="1:20" ht="12" customHeight="1" x14ac:dyDescent="0.3">
      <c r="A766" s="329" t="s">
        <v>289</v>
      </c>
      <c r="B766" s="330">
        <v>8</v>
      </c>
      <c r="C766" s="298">
        <v>46086</v>
      </c>
      <c r="D766" s="299" t="s">
        <v>409</v>
      </c>
      <c r="E766" s="331">
        <v>44.99</v>
      </c>
      <c r="F766" s="331"/>
      <c r="G766" s="333">
        <f t="shared" si="14"/>
        <v>2120.2599999999893</v>
      </c>
      <c r="H766" s="334"/>
      <c r="I766" s="335"/>
      <c r="J766" s="336"/>
      <c r="K766" s="301"/>
      <c r="L766" s="336"/>
      <c r="M766" s="301"/>
      <c r="N766" s="336"/>
      <c r="O766" s="301"/>
      <c r="P766" s="336"/>
      <c r="Q766" s="301"/>
      <c r="R766" s="336"/>
      <c r="S766" s="301"/>
      <c r="T766" s="336"/>
    </row>
    <row r="767" spans="1:20" ht="12" customHeight="1" x14ac:dyDescent="0.3">
      <c r="A767" s="329" t="s">
        <v>289</v>
      </c>
      <c r="B767" s="330">
        <v>2</v>
      </c>
      <c r="C767" s="298">
        <v>46085</v>
      </c>
      <c r="D767" s="299" t="s">
        <v>421</v>
      </c>
      <c r="E767" s="331">
        <v>15</v>
      </c>
      <c r="F767" s="331"/>
      <c r="G767" s="333">
        <f t="shared" si="14"/>
        <v>2165.2499999999891</v>
      </c>
      <c r="H767" s="334"/>
      <c r="I767" s="335"/>
      <c r="J767" s="336"/>
      <c r="K767" s="301"/>
      <c r="L767" s="336"/>
      <c r="M767" s="301"/>
      <c r="N767" s="336"/>
      <c r="O767" s="301"/>
      <c r="P767" s="336"/>
      <c r="Q767" s="301"/>
      <c r="R767" s="336"/>
      <c r="S767" s="301"/>
      <c r="T767" s="336"/>
    </row>
    <row r="768" spans="1:20" ht="12" customHeight="1" x14ac:dyDescent="0.3">
      <c r="A768" s="329" t="s">
        <v>289</v>
      </c>
      <c r="B768" s="330">
        <v>2</v>
      </c>
      <c r="C768" s="298">
        <v>46085</v>
      </c>
      <c r="D768" s="299" t="s">
        <v>296</v>
      </c>
      <c r="E768" s="331">
        <v>10.84</v>
      </c>
      <c r="F768" s="331"/>
      <c r="G768" s="333">
        <f t="shared" si="14"/>
        <v>2180.2499999999891</v>
      </c>
      <c r="H768" s="334"/>
      <c r="I768" s="335"/>
      <c r="J768" s="336"/>
      <c r="K768" s="301"/>
      <c r="L768" s="336"/>
      <c r="M768" s="301"/>
      <c r="N768" s="336"/>
      <c r="O768" s="301"/>
      <c r="P768" s="336"/>
      <c r="Q768" s="301"/>
      <c r="R768" s="336"/>
      <c r="S768" s="301"/>
      <c r="T768" s="336"/>
    </row>
    <row r="769" spans="1:20" ht="12" customHeight="1" x14ac:dyDescent="0.3">
      <c r="A769" s="329" t="s">
        <v>294</v>
      </c>
      <c r="B769" s="330">
        <v>14</v>
      </c>
      <c r="C769" s="298">
        <v>46085</v>
      </c>
      <c r="D769" s="299" t="s">
        <v>367</v>
      </c>
      <c r="E769" s="331">
        <v>68.739999999999995</v>
      </c>
      <c r="F769" s="331"/>
      <c r="G769" s="333">
        <f t="shared" si="14"/>
        <v>2191.0899999999892</v>
      </c>
      <c r="H769" s="334"/>
      <c r="I769" s="335"/>
      <c r="J769" s="336"/>
      <c r="K769" s="301"/>
      <c r="L769" s="336"/>
      <c r="M769" s="301"/>
      <c r="N769" s="336"/>
      <c r="O769" s="301"/>
      <c r="P769" s="336"/>
      <c r="Q769" s="301"/>
      <c r="R769" s="336"/>
      <c r="S769" s="301"/>
      <c r="T769" s="336"/>
    </row>
    <row r="770" spans="1:20" ht="12" customHeight="1" x14ac:dyDescent="0.3">
      <c r="A770" s="329" t="s">
        <v>289</v>
      </c>
      <c r="B770" s="330">
        <v>4</v>
      </c>
      <c r="C770" s="298">
        <v>46085</v>
      </c>
      <c r="D770" s="299" t="s">
        <v>310</v>
      </c>
      <c r="E770" s="331">
        <v>30.67</v>
      </c>
      <c r="F770" s="331"/>
      <c r="G770" s="333">
        <f t="shared" si="14"/>
        <v>2259.829999999989</v>
      </c>
      <c r="H770" s="334"/>
      <c r="I770" s="335"/>
      <c r="J770" s="336"/>
      <c r="K770" s="301"/>
      <c r="L770" s="336"/>
      <c r="M770" s="301"/>
      <c r="N770" s="336"/>
      <c r="O770" s="301"/>
      <c r="P770" s="336"/>
      <c r="Q770" s="301"/>
      <c r="R770" s="336"/>
      <c r="S770" s="301"/>
      <c r="T770" s="336"/>
    </row>
    <row r="771" spans="1:20" ht="12" customHeight="1" x14ac:dyDescent="0.3">
      <c r="A771" s="329" t="s">
        <v>294</v>
      </c>
      <c r="B771" s="330">
        <v>17</v>
      </c>
      <c r="C771" s="298">
        <v>46085</v>
      </c>
      <c r="D771" s="299" t="s">
        <v>370</v>
      </c>
      <c r="E771" s="331">
        <v>99</v>
      </c>
      <c r="F771" s="331"/>
      <c r="G771" s="333">
        <f t="shared" si="14"/>
        <v>2290.4999999999891</v>
      </c>
      <c r="H771" s="334"/>
      <c r="I771" s="335"/>
      <c r="J771" s="336"/>
      <c r="K771" s="301"/>
      <c r="L771" s="336"/>
      <c r="M771" s="301"/>
      <c r="N771" s="336"/>
      <c r="O771" s="301"/>
      <c r="P771" s="336"/>
      <c r="Q771" s="301"/>
      <c r="R771" s="336"/>
      <c r="S771" s="301"/>
      <c r="T771" s="336"/>
    </row>
    <row r="772" spans="1:20" ht="12" customHeight="1" x14ac:dyDescent="0.3">
      <c r="A772" s="329" t="s">
        <v>294</v>
      </c>
      <c r="B772" s="330">
        <v>21</v>
      </c>
      <c r="C772" s="298">
        <v>46084</v>
      </c>
      <c r="D772" s="299" t="s">
        <v>194</v>
      </c>
      <c r="E772" s="331">
        <v>40.72</v>
      </c>
      <c r="F772" s="331"/>
      <c r="G772" s="333">
        <f t="shared" si="14"/>
        <v>2389.4999999999891</v>
      </c>
      <c r="H772" s="334"/>
      <c r="I772" s="335"/>
      <c r="J772" s="336"/>
      <c r="K772" s="301"/>
      <c r="L772" s="336"/>
      <c r="M772" s="301"/>
      <c r="N772" s="336"/>
      <c r="O772" s="301"/>
      <c r="P772" s="336"/>
      <c r="Q772" s="301"/>
      <c r="R772" s="336"/>
      <c r="S772" s="301"/>
      <c r="T772" s="336"/>
    </row>
    <row r="773" spans="1:20" ht="12" customHeight="1" x14ac:dyDescent="0.3">
      <c r="A773" s="329" t="s">
        <v>284</v>
      </c>
      <c r="B773" s="330">
        <v>36</v>
      </c>
      <c r="C773" s="298">
        <v>46084</v>
      </c>
      <c r="D773" s="299" t="s">
        <v>374</v>
      </c>
      <c r="E773" s="331">
        <v>50</v>
      </c>
      <c r="F773" s="331"/>
      <c r="G773" s="333">
        <f t="shared" si="14"/>
        <v>2430.2199999999889</v>
      </c>
      <c r="H773" s="334"/>
      <c r="I773" s="335"/>
      <c r="J773" s="336"/>
      <c r="K773" s="301"/>
      <c r="L773" s="336"/>
      <c r="M773" s="301"/>
      <c r="N773" s="336"/>
      <c r="O773" s="301"/>
      <c r="P773" s="336"/>
      <c r="Q773" s="301"/>
      <c r="R773" s="336"/>
      <c r="S773" s="301"/>
      <c r="T773" s="336"/>
    </row>
    <row r="774" spans="1:20" ht="12" customHeight="1" x14ac:dyDescent="0.3">
      <c r="A774" s="329" t="s">
        <v>289</v>
      </c>
      <c r="B774" s="330">
        <v>2</v>
      </c>
      <c r="C774" s="298">
        <v>46084</v>
      </c>
      <c r="D774" s="299" t="s">
        <v>296</v>
      </c>
      <c r="E774" s="331">
        <v>14.67</v>
      </c>
      <c r="F774" s="331"/>
      <c r="G774" s="333">
        <f t="shared" si="14"/>
        <v>2480.2199999999889</v>
      </c>
      <c r="H774" s="334"/>
      <c r="I774" s="335"/>
      <c r="J774" s="336"/>
      <c r="K774" s="301"/>
      <c r="L774" s="336"/>
      <c r="M774" s="301"/>
      <c r="N774" s="336"/>
      <c r="O774" s="301"/>
      <c r="P774" s="336"/>
      <c r="Q774" s="301"/>
      <c r="R774" s="336"/>
      <c r="S774" s="301"/>
      <c r="T774" s="336"/>
    </row>
    <row r="775" spans="1:20" ht="12" customHeight="1" x14ac:dyDescent="0.3">
      <c r="A775" s="329" t="s">
        <v>289</v>
      </c>
      <c r="B775" s="330">
        <v>4</v>
      </c>
      <c r="C775" s="298">
        <v>46084</v>
      </c>
      <c r="D775" s="299" t="s">
        <v>296</v>
      </c>
      <c r="E775" s="331">
        <v>27.42</v>
      </c>
      <c r="F775" s="331"/>
      <c r="G775" s="333">
        <f t="shared" si="14"/>
        <v>2494.889999999989</v>
      </c>
      <c r="H775" s="334"/>
      <c r="I775" s="335"/>
      <c r="J775" s="336"/>
      <c r="K775" s="301"/>
      <c r="L775" s="336"/>
      <c r="M775" s="301"/>
      <c r="N775" s="336"/>
      <c r="O775" s="301"/>
      <c r="P775" s="336"/>
      <c r="Q775" s="301"/>
      <c r="R775" s="336"/>
      <c r="S775" s="301"/>
      <c r="T775" s="336"/>
    </row>
    <row r="776" spans="1:20" ht="12" customHeight="1" x14ac:dyDescent="0.3">
      <c r="A776" s="329" t="s">
        <v>289</v>
      </c>
      <c r="B776" s="330">
        <v>6</v>
      </c>
      <c r="C776" s="298">
        <v>46084</v>
      </c>
      <c r="D776" s="299" t="s">
        <v>422</v>
      </c>
      <c r="E776" s="331">
        <v>106.27</v>
      </c>
      <c r="F776" s="331"/>
      <c r="G776" s="333">
        <f t="shared" si="14"/>
        <v>2522.309999999989</v>
      </c>
      <c r="H776" s="334"/>
      <c r="I776" s="335"/>
      <c r="J776" s="336"/>
      <c r="K776" s="301"/>
      <c r="L776" s="336"/>
      <c r="M776" s="301"/>
      <c r="N776" s="336"/>
      <c r="O776" s="301"/>
      <c r="P776" s="336"/>
      <c r="Q776" s="301"/>
      <c r="R776" s="336"/>
      <c r="S776" s="301"/>
      <c r="T776" s="336"/>
    </row>
    <row r="777" spans="1:20" ht="12" customHeight="1" x14ac:dyDescent="0.3">
      <c r="A777" s="329" t="s">
        <v>289</v>
      </c>
      <c r="B777" s="330">
        <v>6</v>
      </c>
      <c r="C777" s="298">
        <v>46084</v>
      </c>
      <c r="D777" s="299" t="s">
        <v>422</v>
      </c>
      <c r="E777" s="331">
        <v>-107</v>
      </c>
      <c r="F777" s="331"/>
      <c r="G777" s="333">
        <f t="shared" si="14"/>
        <v>2628.579999999989</v>
      </c>
      <c r="H777" s="334" t="s">
        <v>298</v>
      </c>
      <c r="I777" s="335"/>
      <c r="J777" s="336"/>
      <c r="K777" s="301"/>
      <c r="L777" s="336"/>
      <c r="M777" s="301"/>
      <c r="N777" s="336"/>
      <c r="O777" s="301"/>
      <c r="P777" s="336"/>
      <c r="Q777" s="301"/>
      <c r="R777" s="336"/>
      <c r="S777" s="301"/>
      <c r="T777" s="336"/>
    </row>
    <row r="778" spans="1:20" ht="12" customHeight="1" x14ac:dyDescent="0.3">
      <c r="A778" s="329" t="s">
        <v>289</v>
      </c>
      <c r="B778" s="330">
        <v>2</v>
      </c>
      <c r="C778" s="298">
        <v>46083</v>
      </c>
      <c r="D778" s="299" t="s">
        <v>301</v>
      </c>
      <c r="E778" s="331">
        <v>20</v>
      </c>
      <c r="F778" s="331"/>
      <c r="G778" s="333">
        <f t="shared" si="14"/>
        <v>2521.579999999989</v>
      </c>
      <c r="H778" s="334"/>
      <c r="I778" s="335"/>
      <c r="J778" s="336"/>
      <c r="K778" s="301"/>
      <c r="L778" s="336"/>
      <c r="M778" s="301"/>
      <c r="N778" s="336"/>
      <c r="O778" s="301"/>
      <c r="P778" s="336"/>
      <c r="Q778" s="301"/>
      <c r="R778" s="336"/>
      <c r="S778" s="301"/>
      <c r="T778" s="336"/>
    </row>
    <row r="779" spans="1:20" ht="12" customHeight="1" x14ac:dyDescent="0.3">
      <c r="A779" s="329" t="s">
        <v>287</v>
      </c>
      <c r="B779" s="330" t="s">
        <v>287</v>
      </c>
      <c r="C779" s="298">
        <v>46083</v>
      </c>
      <c r="D779" s="299" t="s">
        <v>288</v>
      </c>
      <c r="E779" s="331">
        <v>185.64</v>
      </c>
      <c r="F779" s="331">
        <v>185.64</v>
      </c>
      <c r="G779" s="333">
        <f t="shared" si="14"/>
        <v>2541.579999999989</v>
      </c>
      <c r="H779" s="334"/>
      <c r="I779" s="335"/>
      <c r="J779" s="336"/>
      <c r="K779" s="301"/>
      <c r="L779" s="336"/>
      <c r="M779" s="301"/>
      <c r="N779" s="336"/>
      <c r="O779" s="301"/>
      <c r="P779" s="336"/>
      <c r="Q779" s="301"/>
      <c r="R779" s="336"/>
      <c r="S779" s="301"/>
      <c r="T779" s="336"/>
    </row>
    <row r="780" spans="1:20" ht="12" customHeight="1" x14ac:dyDescent="0.3">
      <c r="A780" s="329" t="s">
        <v>289</v>
      </c>
      <c r="B780" s="330">
        <v>2</v>
      </c>
      <c r="C780" s="298">
        <v>46083</v>
      </c>
      <c r="D780" s="299" t="s">
        <v>424</v>
      </c>
      <c r="E780" s="331">
        <v>70.12</v>
      </c>
      <c r="F780" s="331"/>
      <c r="G780" s="333">
        <f t="shared" si="14"/>
        <v>2541.579999999989</v>
      </c>
      <c r="H780" s="334"/>
      <c r="I780" s="335"/>
      <c r="J780" s="336"/>
      <c r="K780" s="301"/>
      <c r="L780" s="336"/>
      <c r="M780" s="301"/>
      <c r="N780" s="336"/>
      <c r="O780" s="301"/>
      <c r="P780" s="336"/>
      <c r="Q780" s="301"/>
      <c r="R780" s="336"/>
      <c r="S780" s="301"/>
      <c r="T780" s="336"/>
    </row>
    <row r="781" spans="1:20" ht="12" customHeight="1" x14ac:dyDescent="0.3">
      <c r="A781" s="329" t="s">
        <v>294</v>
      </c>
      <c r="B781" s="330">
        <v>17</v>
      </c>
      <c r="C781" s="298">
        <v>46083</v>
      </c>
      <c r="D781" s="299" t="s">
        <v>188</v>
      </c>
      <c r="E781" s="331">
        <v>41.44</v>
      </c>
      <c r="F781" s="331"/>
      <c r="G781" s="333">
        <f t="shared" si="14"/>
        <v>2611.6999999999889</v>
      </c>
      <c r="H781" s="334"/>
      <c r="I781" s="335"/>
      <c r="J781" s="336"/>
      <c r="K781" s="301"/>
      <c r="L781" s="336"/>
      <c r="M781" s="301"/>
      <c r="N781" s="336"/>
      <c r="O781" s="301"/>
      <c r="P781" s="336"/>
      <c r="Q781" s="301"/>
      <c r="R781" s="336"/>
      <c r="S781" s="301"/>
      <c r="T781" s="336"/>
    </row>
    <row r="782" spans="1:20" ht="12" customHeight="1" x14ac:dyDescent="0.3">
      <c r="A782" s="329" t="s">
        <v>289</v>
      </c>
      <c r="B782" s="330">
        <v>8</v>
      </c>
      <c r="C782" s="298">
        <v>46083</v>
      </c>
      <c r="D782" s="299" t="s">
        <v>296</v>
      </c>
      <c r="E782" s="331">
        <v>8.7200000000000006</v>
      </c>
      <c r="F782" s="331"/>
      <c r="G782" s="333">
        <f t="shared" si="14"/>
        <v>2653.139999999989</v>
      </c>
      <c r="H782" s="334"/>
      <c r="I782" s="335"/>
      <c r="J782" s="336"/>
      <c r="K782" s="301"/>
      <c r="L782" s="336"/>
      <c r="M782" s="301"/>
      <c r="N782" s="336"/>
      <c r="O782" s="301"/>
      <c r="P782" s="336"/>
      <c r="Q782" s="301"/>
      <c r="R782" s="336"/>
      <c r="S782" s="301"/>
      <c r="T782" s="336"/>
    </row>
    <row r="783" spans="1:20" ht="12" customHeight="1" x14ac:dyDescent="0.3">
      <c r="A783" s="329" t="s">
        <v>294</v>
      </c>
      <c r="B783" s="330">
        <v>22</v>
      </c>
      <c r="C783" s="298">
        <v>46082</v>
      </c>
      <c r="D783" s="299" t="s">
        <v>375</v>
      </c>
      <c r="E783" s="331">
        <v>6.37</v>
      </c>
      <c r="F783" s="331"/>
      <c r="G783" s="333">
        <f t="shared" si="14"/>
        <v>2661.8599999999888</v>
      </c>
      <c r="H783" s="334"/>
      <c r="I783" s="335"/>
      <c r="J783" s="336"/>
      <c r="K783" s="301"/>
      <c r="L783" s="336"/>
      <c r="M783" s="301"/>
      <c r="N783" s="336"/>
      <c r="O783" s="301"/>
      <c r="P783" s="336"/>
      <c r="Q783" s="301"/>
      <c r="R783" s="336"/>
      <c r="S783" s="301"/>
      <c r="T783" s="336"/>
    </row>
    <row r="784" spans="1:20" ht="12" customHeight="1" x14ac:dyDescent="0.3">
      <c r="A784" s="329" t="s">
        <v>289</v>
      </c>
      <c r="B784" s="330">
        <v>2</v>
      </c>
      <c r="C784" s="298">
        <v>46082</v>
      </c>
      <c r="D784" s="299" t="s">
        <v>296</v>
      </c>
      <c r="E784" s="331">
        <v>9.8699999999999992</v>
      </c>
      <c r="F784" s="331"/>
      <c r="G784" s="333">
        <f t="shared" si="14"/>
        <v>2668.2299999999886</v>
      </c>
      <c r="H784" s="334"/>
      <c r="I784" s="335"/>
      <c r="J784" s="336"/>
      <c r="K784" s="301"/>
      <c r="L784" s="336"/>
      <c r="M784" s="301"/>
      <c r="N784" s="336"/>
      <c r="O784" s="301"/>
      <c r="P784" s="336"/>
      <c r="Q784" s="301"/>
      <c r="R784" s="336"/>
      <c r="S784" s="301"/>
      <c r="T784" s="336"/>
    </row>
    <row r="785" spans="1:20" ht="12" customHeight="1" x14ac:dyDescent="0.3">
      <c r="A785" s="329" t="s">
        <v>289</v>
      </c>
      <c r="B785" s="330">
        <v>1</v>
      </c>
      <c r="C785" s="298">
        <v>46082</v>
      </c>
      <c r="D785" s="299" t="s">
        <v>311</v>
      </c>
      <c r="E785" s="331">
        <v>119.55</v>
      </c>
      <c r="F785" s="331"/>
      <c r="G785" s="333">
        <f t="shared" si="14"/>
        <v>2678.0999999999885</v>
      </c>
      <c r="H785" s="334"/>
      <c r="I785" s="335"/>
      <c r="J785" s="336"/>
      <c r="K785" s="301"/>
      <c r="L785" s="336"/>
      <c r="M785" s="301"/>
      <c r="N785" s="336"/>
      <c r="O785" s="301"/>
      <c r="P785" s="336"/>
      <c r="Q785" s="301"/>
      <c r="R785" s="336"/>
      <c r="S785" s="301"/>
      <c r="T785" s="336"/>
    </row>
    <row r="786" spans="1:20" ht="12" customHeight="1" x14ac:dyDescent="0.3">
      <c r="A786" s="329" t="s">
        <v>289</v>
      </c>
      <c r="B786" s="330">
        <v>3</v>
      </c>
      <c r="C786" s="298">
        <v>46082</v>
      </c>
      <c r="D786" s="299" t="s">
        <v>348</v>
      </c>
      <c r="E786" s="331">
        <v>25</v>
      </c>
      <c r="F786" s="331"/>
      <c r="G786" s="333">
        <f t="shared" si="14"/>
        <v>2797.6499999999887</v>
      </c>
      <c r="H786" s="334"/>
      <c r="I786" s="335"/>
      <c r="J786" s="336"/>
      <c r="K786" s="301"/>
      <c r="L786" s="336"/>
      <c r="M786" s="301"/>
      <c r="N786" s="336"/>
      <c r="O786" s="301"/>
      <c r="P786" s="336"/>
      <c r="Q786" s="301"/>
      <c r="R786" s="336"/>
      <c r="S786" s="301"/>
      <c r="T786" s="336"/>
    </row>
    <row r="787" spans="1:20" ht="12" customHeight="1" x14ac:dyDescent="0.3">
      <c r="A787" s="329" t="s">
        <v>289</v>
      </c>
      <c r="B787" s="330">
        <v>1</v>
      </c>
      <c r="C787" s="298">
        <v>46082</v>
      </c>
      <c r="D787" s="299" t="s">
        <v>304</v>
      </c>
      <c r="E787" s="331">
        <v>119.17</v>
      </c>
      <c r="F787" s="331"/>
      <c r="G787" s="333">
        <f t="shared" si="14"/>
        <v>2822.6499999999887</v>
      </c>
      <c r="H787" s="334"/>
      <c r="I787" s="335"/>
      <c r="J787" s="336"/>
      <c r="K787" s="301"/>
      <c r="L787" s="336"/>
      <c r="M787" s="301"/>
      <c r="N787" s="336"/>
      <c r="O787" s="301"/>
      <c r="P787" s="336"/>
      <c r="Q787" s="301"/>
      <c r="R787" s="336"/>
      <c r="S787" s="301"/>
      <c r="T787" s="336"/>
    </row>
    <row r="788" spans="1:20" ht="12" customHeight="1" x14ac:dyDescent="0.3">
      <c r="A788" s="329" t="s">
        <v>284</v>
      </c>
      <c r="B788" s="330">
        <v>37</v>
      </c>
      <c r="C788" s="298">
        <v>46081</v>
      </c>
      <c r="D788" s="299" t="s">
        <v>425</v>
      </c>
      <c r="E788" s="331">
        <v>3764.91</v>
      </c>
      <c r="F788" s="331"/>
      <c r="G788" s="333">
        <f t="shared" si="14"/>
        <v>2941.8199999999888</v>
      </c>
      <c r="H788" s="334"/>
      <c r="I788" s="335"/>
      <c r="J788" s="336"/>
      <c r="K788" s="301"/>
      <c r="L788" s="336"/>
      <c r="M788" s="301"/>
      <c r="N788" s="336"/>
      <c r="O788" s="301"/>
      <c r="P788" s="336"/>
      <c r="Q788" s="301"/>
      <c r="R788" s="336"/>
      <c r="S788" s="301"/>
      <c r="T788" s="336"/>
    </row>
    <row r="789" spans="1:20" ht="12" customHeight="1" x14ac:dyDescent="0.3">
      <c r="A789" s="329" t="s">
        <v>286</v>
      </c>
      <c r="B789" s="330">
        <v>25</v>
      </c>
      <c r="C789" s="298">
        <v>46081</v>
      </c>
      <c r="D789" s="298" t="s">
        <v>204</v>
      </c>
      <c r="E789" s="331">
        <v>350</v>
      </c>
      <c r="F789" s="331"/>
      <c r="G789" s="333">
        <f t="shared" si="14"/>
        <v>6706.7299999999886</v>
      </c>
      <c r="H789" s="334"/>
      <c r="I789" s="335"/>
      <c r="J789" s="336"/>
      <c r="K789" s="301"/>
      <c r="L789" s="336"/>
      <c r="M789" s="301"/>
      <c r="N789" s="336"/>
      <c r="O789" s="301"/>
      <c r="P789" s="336"/>
      <c r="Q789" s="301"/>
      <c r="R789" s="336"/>
      <c r="S789" s="301"/>
      <c r="T789" s="336"/>
    </row>
    <row r="790" spans="1:20" ht="12" customHeight="1" x14ac:dyDescent="0.3">
      <c r="A790" s="329" t="s">
        <v>286</v>
      </c>
      <c r="B790" s="330">
        <v>26</v>
      </c>
      <c r="C790" s="298">
        <v>46081</v>
      </c>
      <c r="D790" s="298" t="s">
        <v>205</v>
      </c>
      <c r="E790" s="331">
        <v>320</v>
      </c>
      <c r="F790" s="331"/>
      <c r="G790" s="333">
        <f t="shared" si="14"/>
        <v>7056.7299999999886</v>
      </c>
      <c r="H790" s="334"/>
      <c r="I790" s="335"/>
      <c r="J790" s="336"/>
      <c r="K790" s="301"/>
      <c r="L790" s="336"/>
      <c r="M790" s="301"/>
      <c r="N790" s="336"/>
      <c r="O790" s="301"/>
      <c r="P790" s="336"/>
      <c r="Q790" s="301"/>
      <c r="R790" s="336"/>
      <c r="S790" s="301"/>
      <c r="T790" s="336"/>
    </row>
    <row r="791" spans="1:20" ht="12" customHeight="1" x14ac:dyDescent="0.3">
      <c r="A791" s="329" t="s">
        <v>286</v>
      </c>
      <c r="B791" s="330">
        <v>27</v>
      </c>
      <c r="C791" s="298">
        <v>46081</v>
      </c>
      <c r="D791" s="298" t="s">
        <v>206</v>
      </c>
      <c r="E791" s="331">
        <v>25</v>
      </c>
      <c r="F791" s="331"/>
      <c r="G791" s="333">
        <f t="shared" si="14"/>
        <v>7376.7299999999886</v>
      </c>
      <c r="H791" s="334"/>
      <c r="I791" s="335"/>
      <c r="J791" s="336"/>
      <c r="K791" s="301"/>
      <c r="L791" s="336"/>
      <c r="M791" s="301"/>
      <c r="N791" s="336"/>
      <c r="O791" s="301"/>
      <c r="P791" s="336"/>
      <c r="Q791" s="301"/>
      <c r="R791" s="336"/>
      <c r="S791" s="301"/>
      <c r="T791" s="336"/>
    </row>
    <row r="792" spans="1:20" ht="12" customHeight="1" x14ac:dyDescent="0.3">
      <c r="A792" s="329" t="s">
        <v>286</v>
      </c>
      <c r="B792" s="330">
        <v>28</v>
      </c>
      <c r="C792" s="298">
        <v>46081</v>
      </c>
      <c r="D792" s="298" t="s">
        <v>207</v>
      </c>
      <c r="E792" s="331">
        <v>25</v>
      </c>
      <c r="F792" s="331"/>
      <c r="G792" s="333">
        <f t="shared" si="14"/>
        <v>7401.7299999999886</v>
      </c>
      <c r="H792" s="334"/>
      <c r="I792" s="335"/>
      <c r="J792" s="336"/>
      <c r="K792" s="301"/>
      <c r="L792" s="336"/>
      <c r="M792" s="301"/>
      <c r="N792" s="336"/>
      <c r="O792" s="301"/>
      <c r="P792" s="336"/>
      <c r="Q792" s="301"/>
      <c r="R792" s="336"/>
      <c r="S792" s="301"/>
      <c r="T792" s="336"/>
    </row>
    <row r="793" spans="1:20" ht="12" customHeight="1" x14ac:dyDescent="0.3">
      <c r="A793" s="329" t="s">
        <v>286</v>
      </c>
      <c r="B793" s="330">
        <v>29</v>
      </c>
      <c r="C793" s="298">
        <v>46081</v>
      </c>
      <c r="D793" s="298" t="s">
        <v>208</v>
      </c>
      <c r="E793" s="331">
        <v>45</v>
      </c>
      <c r="F793" s="331"/>
      <c r="G793" s="333">
        <f t="shared" si="14"/>
        <v>7426.7299999999886</v>
      </c>
      <c r="H793" s="334"/>
      <c r="I793" s="335"/>
      <c r="J793" s="336"/>
      <c r="K793" s="301"/>
      <c r="L793" s="336"/>
      <c r="M793" s="301"/>
      <c r="N793" s="336"/>
      <c r="O793" s="301"/>
      <c r="P793" s="336"/>
      <c r="Q793" s="301"/>
      <c r="R793" s="336"/>
      <c r="S793" s="301"/>
      <c r="T793" s="336"/>
    </row>
    <row r="794" spans="1:20" ht="12" customHeight="1" x14ac:dyDescent="0.3">
      <c r="A794" s="329" t="s">
        <v>286</v>
      </c>
      <c r="B794" s="330">
        <v>30</v>
      </c>
      <c r="C794" s="298">
        <v>46081</v>
      </c>
      <c r="D794" s="298" t="s">
        <v>209</v>
      </c>
      <c r="E794" s="331">
        <v>400</v>
      </c>
      <c r="F794" s="331"/>
      <c r="G794" s="333">
        <f t="shared" si="14"/>
        <v>7471.7299999999886</v>
      </c>
      <c r="H794" s="334"/>
      <c r="I794" s="335"/>
      <c r="J794" s="336"/>
      <c r="K794" s="301"/>
      <c r="L794" s="336"/>
      <c r="M794" s="301"/>
      <c r="N794" s="336"/>
      <c r="O794" s="301"/>
      <c r="P794" s="336"/>
      <c r="Q794" s="301"/>
      <c r="R794" s="336"/>
      <c r="S794" s="301"/>
      <c r="T794" s="336"/>
    </row>
    <row r="795" spans="1:20" ht="12" customHeight="1" x14ac:dyDescent="0.3">
      <c r="A795" s="329" t="s">
        <v>286</v>
      </c>
      <c r="B795" s="330">
        <v>31</v>
      </c>
      <c r="C795" s="298">
        <v>46081</v>
      </c>
      <c r="D795" s="298" t="s">
        <v>210</v>
      </c>
      <c r="E795" s="331">
        <v>375</v>
      </c>
      <c r="F795" s="331"/>
      <c r="G795" s="333">
        <f t="shared" si="14"/>
        <v>7871.7299999999886</v>
      </c>
      <c r="H795" s="334"/>
      <c r="I795" s="335"/>
      <c r="J795" s="336"/>
      <c r="K795" s="301"/>
      <c r="L795" s="336"/>
      <c r="M795" s="301"/>
      <c r="N795" s="336"/>
      <c r="O795" s="301"/>
      <c r="P795" s="336"/>
      <c r="Q795" s="301"/>
      <c r="R795" s="336"/>
      <c r="S795" s="301"/>
      <c r="T795" s="336"/>
    </row>
    <row r="796" spans="1:20" ht="12" customHeight="1" x14ac:dyDescent="0.3">
      <c r="A796" s="329" t="s">
        <v>286</v>
      </c>
      <c r="B796" s="330">
        <v>32</v>
      </c>
      <c r="C796" s="298">
        <v>46081</v>
      </c>
      <c r="D796" s="298" t="s">
        <v>211</v>
      </c>
      <c r="E796" s="331">
        <v>100</v>
      </c>
      <c r="F796" s="331"/>
      <c r="G796" s="333">
        <f t="shared" si="14"/>
        <v>8246.7299999999886</v>
      </c>
      <c r="H796" s="334"/>
      <c r="I796" s="335"/>
      <c r="J796" s="336"/>
      <c r="K796" s="301"/>
      <c r="L796" s="336"/>
      <c r="M796" s="301"/>
      <c r="N796" s="336"/>
      <c r="O796" s="301"/>
      <c r="P796" s="336"/>
      <c r="Q796" s="301"/>
      <c r="R796" s="336"/>
      <c r="S796" s="301"/>
      <c r="T796" s="336"/>
    </row>
    <row r="797" spans="1:20" ht="12" customHeight="1" x14ac:dyDescent="0.3">
      <c r="A797" s="329" t="s">
        <v>286</v>
      </c>
      <c r="B797" s="330">
        <v>33</v>
      </c>
      <c r="C797" s="298">
        <v>46081</v>
      </c>
      <c r="D797" s="298" t="s">
        <v>212</v>
      </c>
      <c r="E797" s="331">
        <v>85</v>
      </c>
      <c r="F797" s="331"/>
      <c r="G797" s="333">
        <f t="shared" si="14"/>
        <v>8346.7299999999886</v>
      </c>
      <c r="H797" s="334"/>
      <c r="I797" s="335"/>
      <c r="J797" s="336"/>
      <c r="K797" s="301"/>
      <c r="L797" s="336"/>
      <c r="M797" s="301"/>
      <c r="N797" s="336"/>
      <c r="O797" s="301"/>
      <c r="P797" s="336"/>
      <c r="Q797" s="301"/>
      <c r="R797" s="336"/>
      <c r="S797" s="301"/>
      <c r="T797" s="336"/>
    </row>
    <row r="798" spans="1:20" ht="12" customHeight="1" x14ac:dyDescent="0.3">
      <c r="A798" s="329" t="s">
        <v>286</v>
      </c>
      <c r="B798" s="330">
        <v>34</v>
      </c>
      <c r="C798" s="298">
        <v>46081</v>
      </c>
      <c r="D798" s="298" t="s">
        <v>213</v>
      </c>
      <c r="E798" s="331">
        <v>230</v>
      </c>
      <c r="F798" s="331"/>
      <c r="G798" s="333">
        <f t="shared" si="14"/>
        <v>8431.7299999999886</v>
      </c>
      <c r="H798" s="334"/>
      <c r="I798" s="335"/>
      <c r="J798" s="336"/>
      <c r="K798" s="301"/>
      <c r="L798" s="336"/>
      <c r="M798" s="301"/>
      <c r="N798" s="336"/>
      <c r="O798" s="301"/>
      <c r="P798" s="336"/>
      <c r="Q798" s="301"/>
      <c r="R798" s="336"/>
      <c r="S798" s="301"/>
      <c r="T798" s="336"/>
    </row>
    <row r="799" spans="1:20" ht="12" customHeight="1" x14ac:dyDescent="0.3">
      <c r="A799" s="329" t="s">
        <v>286</v>
      </c>
      <c r="B799" s="330">
        <v>35</v>
      </c>
      <c r="C799" s="298">
        <v>46081</v>
      </c>
      <c r="D799" s="298" t="s">
        <v>214</v>
      </c>
      <c r="E799" s="331">
        <v>45</v>
      </c>
      <c r="F799" s="331"/>
      <c r="G799" s="333">
        <f t="shared" si="14"/>
        <v>8661.7299999999886</v>
      </c>
      <c r="H799" s="334"/>
      <c r="I799" s="335"/>
      <c r="J799" s="336"/>
      <c r="K799" s="301"/>
      <c r="L799" s="336"/>
      <c r="M799" s="301"/>
      <c r="N799" s="336"/>
      <c r="O799" s="301"/>
      <c r="P799" s="336"/>
      <c r="Q799" s="301"/>
      <c r="R799" s="336"/>
      <c r="S799" s="301"/>
      <c r="T799" s="336"/>
    </row>
    <row r="800" spans="1:20" ht="12" customHeight="1" x14ac:dyDescent="0.3">
      <c r="A800" s="329" t="s">
        <v>294</v>
      </c>
      <c r="B800" s="330">
        <v>42</v>
      </c>
      <c r="C800" s="298">
        <v>46081</v>
      </c>
      <c r="D800" s="298" t="s">
        <v>200</v>
      </c>
      <c r="E800" s="331">
        <v>51.19</v>
      </c>
      <c r="F800" s="331"/>
      <c r="G800" s="333">
        <f t="shared" si="14"/>
        <v>8706.7299999999886</v>
      </c>
      <c r="H800" s="334"/>
      <c r="I800" s="335"/>
      <c r="J800" s="336"/>
      <c r="K800" s="301"/>
      <c r="L800" s="336"/>
      <c r="M800" s="301"/>
      <c r="N800" s="336"/>
      <c r="O800" s="301"/>
      <c r="P800" s="336"/>
      <c r="Q800" s="301"/>
      <c r="R800" s="336"/>
      <c r="S800" s="301"/>
      <c r="T800" s="336"/>
    </row>
    <row r="801" spans="1:20" ht="12" customHeight="1" x14ac:dyDescent="0.3">
      <c r="A801" s="329" t="s">
        <v>294</v>
      </c>
      <c r="B801" s="330">
        <v>43</v>
      </c>
      <c r="C801" s="298">
        <v>46081</v>
      </c>
      <c r="D801" s="298" t="s">
        <v>201</v>
      </c>
      <c r="E801" s="331">
        <v>37.17</v>
      </c>
      <c r="F801" s="331"/>
      <c r="G801" s="333">
        <f t="shared" si="14"/>
        <v>8757.9199999999892</v>
      </c>
      <c r="H801" s="334"/>
      <c r="I801" s="335"/>
      <c r="J801" s="336"/>
      <c r="K801" s="301"/>
      <c r="L801" s="336"/>
      <c r="M801" s="301"/>
      <c r="N801" s="336"/>
      <c r="O801" s="301"/>
      <c r="P801" s="336"/>
      <c r="Q801" s="301"/>
      <c r="R801" s="336"/>
      <c r="S801" s="301"/>
      <c r="T801" s="336"/>
    </row>
    <row r="802" spans="1:20" ht="12" customHeight="1" x14ac:dyDescent="0.3">
      <c r="A802" s="329" t="s">
        <v>294</v>
      </c>
      <c r="B802" s="330">
        <v>10</v>
      </c>
      <c r="C802" s="298">
        <v>46081</v>
      </c>
      <c r="D802" s="298" t="s">
        <v>176</v>
      </c>
      <c r="E802" s="331">
        <v>17.899999999999999</v>
      </c>
      <c r="F802" s="331"/>
      <c r="G802" s="333">
        <f t="shared" si="14"/>
        <v>8795.0899999999892</v>
      </c>
      <c r="H802" s="334"/>
      <c r="I802" s="335"/>
      <c r="J802" s="336"/>
      <c r="K802" s="301"/>
      <c r="L802" s="336"/>
      <c r="M802" s="301"/>
      <c r="N802" s="336"/>
      <c r="O802" s="301"/>
      <c r="P802" s="336"/>
      <c r="Q802" s="301"/>
      <c r="R802" s="336"/>
      <c r="S802" s="301"/>
      <c r="T802" s="336"/>
    </row>
    <row r="803" spans="1:20" ht="12" customHeight="1" x14ac:dyDescent="0.3">
      <c r="A803" s="329" t="s">
        <v>289</v>
      </c>
      <c r="B803" s="330">
        <v>2</v>
      </c>
      <c r="C803" s="298">
        <v>46080</v>
      </c>
      <c r="D803" s="298" t="s">
        <v>358</v>
      </c>
      <c r="E803" s="331">
        <v>11.17</v>
      </c>
      <c r="F803" s="331"/>
      <c r="G803" s="333">
        <f t="shared" si="14"/>
        <v>8812.9899999999889</v>
      </c>
      <c r="H803" s="334"/>
      <c r="I803" s="335"/>
      <c r="J803" s="336"/>
      <c r="K803" s="301"/>
      <c r="L803" s="336"/>
      <c r="M803" s="301"/>
      <c r="N803" s="336"/>
      <c r="O803" s="301"/>
      <c r="P803" s="336"/>
      <c r="Q803" s="301"/>
      <c r="R803" s="336"/>
      <c r="S803" s="301"/>
      <c r="T803" s="336"/>
    </row>
    <row r="804" spans="1:20" ht="12" customHeight="1" x14ac:dyDescent="0.3">
      <c r="A804" s="329" t="s">
        <v>289</v>
      </c>
      <c r="B804" s="330">
        <v>2</v>
      </c>
      <c r="C804" s="298">
        <v>46080</v>
      </c>
      <c r="D804" s="299" t="s">
        <v>426</v>
      </c>
      <c r="E804" s="331">
        <v>25</v>
      </c>
      <c r="F804" s="331"/>
      <c r="G804" s="333">
        <f t="shared" si="14"/>
        <v>8824.1599999999889</v>
      </c>
      <c r="H804" s="334"/>
      <c r="I804" s="335"/>
      <c r="J804" s="336"/>
      <c r="K804" s="301"/>
      <c r="L804" s="336"/>
      <c r="M804" s="301"/>
      <c r="N804" s="336"/>
      <c r="O804" s="301"/>
      <c r="P804" s="336"/>
      <c r="Q804" s="301"/>
      <c r="R804" s="336"/>
      <c r="S804" s="301"/>
      <c r="T804" s="336"/>
    </row>
    <row r="805" spans="1:20" ht="12" customHeight="1" x14ac:dyDescent="0.3">
      <c r="A805" s="329" t="s">
        <v>289</v>
      </c>
      <c r="B805" s="330">
        <v>2</v>
      </c>
      <c r="C805" s="298">
        <v>46080</v>
      </c>
      <c r="D805" s="299" t="s">
        <v>358</v>
      </c>
      <c r="E805" s="331">
        <v>22.84</v>
      </c>
      <c r="F805" s="331"/>
      <c r="G805" s="333">
        <f t="shared" si="14"/>
        <v>8849.1599999999889</v>
      </c>
      <c r="H805" s="334"/>
      <c r="I805" s="335"/>
      <c r="J805" s="336"/>
      <c r="K805" s="301"/>
      <c r="L805" s="336"/>
      <c r="M805" s="301"/>
      <c r="N805" s="336"/>
      <c r="O805" s="301"/>
      <c r="P805" s="336"/>
      <c r="Q805" s="301"/>
      <c r="R805" s="336"/>
      <c r="S805" s="301"/>
      <c r="T805" s="336"/>
    </row>
    <row r="806" spans="1:20" ht="12" customHeight="1" x14ac:dyDescent="0.3">
      <c r="A806" s="329" t="s">
        <v>289</v>
      </c>
      <c r="B806" s="330">
        <v>6</v>
      </c>
      <c r="C806" s="298">
        <v>46080</v>
      </c>
      <c r="D806" s="299" t="s">
        <v>427</v>
      </c>
      <c r="E806" s="331">
        <v>-88</v>
      </c>
      <c r="F806" s="331"/>
      <c r="G806" s="333">
        <f t="shared" si="14"/>
        <v>8871.9999999999891</v>
      </c>
      <c r="H806" s="334"/>
      <c r="I806" s="335"/>
      <c r="J806" s="336"/>
      <c r="K806" s="301"/>
      <c r="L806" s="336"/>
      <c r="M806" s="301"/>
      <c r="N806" s="336"/>
      <c r="O806" s="301"/>
      <c r="P806" s="336"/>
      <c r="Q806" s="301"/>
      <c r="R806" s="336"/>
      <c r="S806" s="301"/>
      <c r="T806" s="336"/>
    </row>
    <row r="807" spans="1:20" ht="12" customHeight="1" x14ac:dyDescent="0.3">
      <c r="A807" s="329" t="s">
        <v>291</v>
      </c>
      <c r="B807" s="330">
        <v>38</v>
      </c>
      <c r="C807" s="298">
        <v>46080</v>
      </c>
      <c r="D807" s="299" t="s">
        <v>293</v>
      </c>
      <c r="E807" s="331"/>
      <c r="F807" s="331">
        <v>4278.1499999999996</v>
      </c>
      <c r="G807" s="333">
        <f t="shared" si="14"/>
        <v>8783.9999999999891</v>
      </c>
      <c r="H807" s="334"/>
      <c r="I807" s="335"/>
      <c r="J807" s="336"/>
      <c r="K807" s="301"/>
      <c r="L807" s="336"/>
      <c r="M807" s="301"/>
      <c r="N807" s="336"/>
      <c r="O807" s="301"/>
      <c r="P807" s="336"/>
      <c r="Q807" s="301"/>
      <c r="R807" s="336"/>
      <c r="S807" s="301"/>
      <c r="T807" s="336"/>
    </row>
    <row r="808" spans="1:20" ht="12" customHeight="1" x14ac:dyDescent="0.3">
      <c r="A808" s="329" t="s">
        <v>289</v>
      </c>
      <c r="B808" s="330">
        <v>6</v>
      </c>
      <c r="C808" s="298">
        <v>46080</v>
      </c>
      <c r="D808" s="299" t="s">
        <v>428</v>
      </c>
      <c r="E808" s="331">
        <v>25.93</v>
      </c>
      <c r="F808" s="331"/>
      <c r="G808" s="333">
        <f t="shared" si="14"/>
        <v>4505.8499999999904</v>
      </c>
      <c r="H808" s="334"/>
      <c r="I808" s="335"/>
      <c r="J808" s="336"/>
      <c r="K808" s="301"/>
      <c r="L808" s="336"/>
      <c r="M808" s="301"/>
      <c r="N808" s="336"/>
      <c r="O808" s="301"/>
      <c r="P808" s="336"/>
      <c r="Q808" s="301"/>
      <c r="R808" s="336"/>
      <c r="S808" s="301"/>
      <c r="T808" s="336"/>
    </row>
    <row r="809" spans="1:20" ht="12" customHeight="1" x14ac:dyDescent="0.3">
      <c r="A809" s="329" t="s">
        <v>289</v>
      </c>
      <c r="B809" s="330">
        <v>4</v>
      </c>
      <c r="C809" s="298">
        <v>46079</v>
      </c>
      <c r="D809" s="299" t="s">
        <v>310</v>
      </c>
      <c r="E809" s="331">
        <v>29.84</v>
      </c>
      <c r="F809" s="331"/>
      <c r="G809" s="333">
        <f t="shared" si="14"/>
        <v>4531.7799999999907</v>
      </c>
      <c r="H809" s="334"/>
      <c r="I809" s="335"/>
      <c r="J809" s="336"/>
      <c r="K809" s="301"/>
      <c r="L809" s="336"/>
      <c r="M809" s="301"/>
      <c r="N809" s="336"/>
      <c r="O809" s="301"/>
      <c r="P809" s="336"/>
      <c r="Q809" s="301"/>
      <c r="R809" s="336"/>
      <c r="S809" s="301"/>
      <c r="T809" s="336"/>
    </row>
    <row r="810" spans="1:20" ht="12" customHeight="1" x14ac:dyDescent="0.3">
      <c r="A810" s="329" t="s">
        <v>289</v>
      </c>
      <c r="B810" s="330">
        <v>5</v>
      </c>
      <c r="C810" s="298">
        <v>46079</v>
      </c>
      <c r="D810" s="299" t="s">
        <v>429</v>
      </c>
      <c r="E810" s="331">
        <v>103.25</v>
      </c>
      <c r="F810" s="331"/>
      <c r="G810" s="333">
        <f t="shared" si="14"/>
        <v>4561.6199999999908</v>
      </c>
      <c r="H810" s="334"/>
      <c r="I810" s="335"/>
      <c r="J810" s="336"/>
      <c r="K810" s="301"/>
      <c r="L810" s="336"/>
      <c r="M810" s="301"/>
      <c r="N810" s="336"/>
      <c r="O810" s="301"/>
      <c r="P810" s="336"/>
      <c r="Q810" s="301"/>
      <c r="R810" s="336"/>
      <c r="S810" s="301"/>
      <c r="T810" s="336"/>
    </row>
    <row r="811" spans="1:20" ht="12" customHeight="1" x14ac:dyDescent="0.3">
      <c r="A811" s="329" t="s">
        <v>289</v>
      </c>
      <c r="B811" s="330">
        <v>8</v>
      </c>
      <c r="C811" s="298">
        <v>46079</v>
      </c>
      <c r="D811" s="299" t="s">
        <v>357</v>
      </c>
      <c r="E811" s="331">
        <v>26.02</v>
      </c>
      <c r="F811" s="331"/>
      <c r="G811" s="333">
        <f t="shared" si="14"/>
        <v>4664.8699999999908</v>
      </c>
      <c r="H811" s="334"/>
      <c r="I811" s="335"/>
      <c r="J811" s="336"/>
      <c r="K811" s="301"/>
      <c r="L811" s="336"/>
      <c r="M811" s="301"/>
      <c r="N811" s="336"/>
      <c r="O811" s="301"/>
      <c r="P811" s="336"/>
      <c r="Q811" s="301"/>
      <c r="R811" s="336"/>
      <c r="S811" s="301"/>
      <c r="T811" s="336"/>
    </row>
    <row r="812" spans="1:20" ht="12" customHeight="1" x14ac:dyDescent="0.3">
      <c r="A812" s="329" t="s">
        <v>294</v>
      </c>
      <c r="B812" s="330">
        <v>24</v>
      </c>
      <c r="C812" s="298">
        <v>46079</v>
      </c>
      <c r="D812" s="299" t="s">
        <v>860</v>
      </c>
      <c r="E812" s="331">
        <v>84.83</v>
      </c>
      <c r="F812" s="331"/>
      <c r="G812" s="333">
        <f t="shared" si="14"/>
        <v>4690.8899999999912</v>
      </c>
      <c r="H812" s="334"/>
      <c r="I812" s="335"/>
      <c r="J812" s="336"/>
      <c r="K812" s="301"/>
      <c r="L812" s="336"/>
      <c r="M812" s="301"/>
      <c r="N812" s="336"/>
      <c r="O812" s="301"/>
      <c r="P812" s="336"/>
      <c r="Q812" s="301"/>
      <c r="R812" s="336"/>
      <c r="S812" s="301"/>
      <c r="T812" s="336"/>
    </row>
    <row r="813" spans="1:20" ht="12" customHeight="1" x14ac:dyDescent="0.3">
      <c r="A813" s="329" t="s">
        <v>289</v>
      </c>
      <c r="B813" s="330">
        <v>2</v>
      </c>
      <c r="C813" s="298">
        <v>46079</v>
      </c>
      <c r="D813" s="299" t="s">
        <v>296</v>
      </c>
      <c r="E813" s="331">
        <v>17.87</v>
      </c>
      <c r="F813" s="331"/>
      <c r="G813" s="333">
        <f t="shared" si="14"/>
        <v>4775.7199999999912</v>
      </c>
      <c r="H813" s="334"/>
      <c r="I813" s="335"/>
      <c r="J813" s="336"/>
      <c r="K813" s="301"/>
      <c r="L813" s="336"/>
      <c r="M813" s="301"/>
      <c r="N813" s="336"/>
      <c r="O813" s="301"/>
      <c r="P813" s="336"/>
      <c r="Q813" s="301"/>
      <c r="R813" s="336"/>
      <c r="S813" s="301"/>
      <c r="T813" s="336"/>
    </row>
    <row r="814" spans="1:20" ht="12" customHeight="1" x14ac:dyDescent="0.3">
      <c r="A814" s="329" t="s">
        <v>289</v>
      </c>
      <c r="B814" s="330">
        <v>5</v>
      </c>
      <c r="C814" s="298">
        <v>46079</v>
      </c>
      <c r="D814" s="299" t="s">
        <v>430</v>
      </c>
      <c r="E814" s="331">
        <v>123.64</v>
      </c>
      <c r="F814" s="331"/>
      <c r="G814" s="333">
        <f t="shared" si="14"/>
        <v>4793.5899999999911</v>
      </c>
      <c r="H814" s="334"/>
      <c r="I814" s="335"/>
      <c r="J814" s="336"/>
      <c r="K814" s="301"/>
      <c r="L814" s="336"/>
      <c r="M814" s="301"/>
      <c r="N814" s="336"/>
      <c r="O814" s="301"/>
      <c r="P814" s="336"/>
      <c r="Q814" s="301"/>
      <c r="R814" s="336"/>
      <c r="S814" s="301"/>
      <c r="T814" s="336"/>
    </row>
    <row r="815" spans="1:20" ht="12" customHeight="1" x14ac:dyDescent="0.3">
      <c r="A815" s="329" t="s">
        <v>289</v>
      </c>
      <c r="B815" s="330">
        <v>8</v>
      </c>
      <c r="C815" s="298">
        <v>46078</v>
      </c>
      <c r="D815" s="299" t="s">
        <v>319</v>
      </c>
      <c r="E815" s="331">
        <v>18.5</v>
      </c>
      <c r="F815" s="331"/>
      <c r="G815" s="333">
        <f t="shared" si="14"/>
        <v>4917.2299999999914</v>
      </c>
      <c r="H815" s="334"/>
      <c r="I815" s="335"/>
      <c r="J815" s="336"/>
      <c r="K815" s="301"/>
      <c r="L815" s="336"/>
      <c r="M815" s="301"/>
      <c r="N815" s="336"/>
      <c r="O815" s="301"/>
      <c r="P815" s="336"/>
      <c r="Q815" s="301"/>
      <c r="R815" s="336"/>
      <c r="S815" s="301"/>
      <c r="T815" s="336"/>
    </row>
    <row r="816" spans="1:20" ht="12" customHeight="1" x14ac:dyDescent="0.3">
      <c r="A816" s="329" t="s">
        <v>289</v>
      </c>
      <c r="B816" s="330">
        <v>4</v>
      </c>
      <c r="C816" s="298">
        <v>46078</v>
      </c>
      <c r="D816" s="299" t="s">
        <v>296</v>
      </c>
      <c r="E816" s="331">
        <v>50.96</v>
      </c>
      <c r="F816" s="331"/>
      <c r="G816" s="333">
        <f t="shared" si="14"/>
        <v>4935.7299999999914</v>
      </c>
      <c r="H816" s="334"/>
      <c r="I816" s="335"/>
      <c r="J816" s="336"/>
      <c r="K816" s="301"/>
      <c r="L816" s="336"/>
      <c r="M816" s="301"/>
      <c r="N816" s="336"/>
      <c r="O816" s="301"/>
      <c r="P816" s="336"/>
      <c r="Q816" s="301"/>
      <c r="R816" s="336"/>
      <c r="S816" s="301"/>
      <c r="T816" s="336"/>
    </row>
    <row r="817" spans="1:20" ht="12" customHeight="1" x14ac:dyDescent="0.3">
      <c r="A817" s="329" t="s">
        <v>289</v>
      </c>
      <c r="B817" s="330">
        <v>8</v>
      </c>
      <c r="C817" s="298">
        <v>46078</v>
      </c>
      <c r="D817" s="299" t="s">
        <v>296</v>
      </c>
      <c r="E817" s="331">
        <v>11.28</v>
      </c>
      <c r="F817" s="331"/>
      <c r="G817" s="333">
        <f t="shared" si="14"/>
        <v>4986.6899999999914</v>
      </c>
      <c r="H817" s="334"/>
      <c r="I817" s="335"/>
      <c r="J817" s="336"/>
      <c r="K817" s="301"/>
      <c r="L817" s="336"/>
      <c r="M817" s="301"/>
      <c r="N817" s="336"/>
      <c r="O817" s="301"/>
      <c r="P817" s="336"/>
      <c r="Q817" s="301"/>
      <c r="R817" s="336"/>
      <c r="S817" s="301"/>
      <c r="T817" s="336"/>
    </row>
    <row r="818" spans="1:20" ht="12" customHeight="1" x14ac:dyDescent="0.3">
      <c r="A818" s="329" t="s">
        <v>294</v>
      </c>
      <c r="B818" s="330">
        <v>12</v>
      </c>
      <c r="C818" s="298">
        <v>46078</v>
      </c>
      <c r="D818" s="299" t="s">
        <v>314</v>
      </c>
      <c r="E818" s="331">
        <v>204.47</v>
      </c>
      <c r="F818" s="331"/>
      <c r="G818" s="333">
        <f t="shared" si="14"/>
        <v>4997.9699999999912</v>
      </c>
      <c r="H818" s="334"/>
      <c r="I818" s="335"/>
      <c r="J818" s="336"/>
      <c r="K818" s="301"/>
      <c r="L818" s="336"/>
      <c r="M818" s="301"/>
      <c r="N818" s="336"/>
      <c r="O818" s="301"/>
      <c r="P818" s="336"/>
      <c r="Q818" s="301"/>
      <c r="R818" s="336"/>
      <c r="S818" s="301"/>
      <c r="T818" s="336"/>
    </row>
    <row r="819" spans="1:20" ht="12" customHeight="1" x14ac:dyDescent="0.3">
      <c r="A819" s="329" t="s">
        <v>289</v>
      </c>
      <c r="B819" s="330">
        <v>8</v>
      </c>
      <c r="C819" s="298">
        <v>46078</v>
      </c>
      <c r="D819" s="299" t="s">
        <v>308</v>
      </c>
      <c r="E819" s="331">
        <v>47.99</v>
      </c>
      <c r="F819" s="331"/>
      <c r="G819" s="333">
        <f t="shared" si="14"/>
        <v>5202.4399999999914</v>
      </c>
      <c r="H819" s="334"/>
      <c r="I819" s="335"/>
      <c r="J819" s="336"/>
      <c r="K819" s="301"/>
      <c r="L819" s="336"/>
      <c r="M819" s="301"/>
      <c r="N819" s="336"/>
      <c r="O819" s="301"/>
      <c r="P819" s="336"/>
      <c r="Q819" s="301"/>
      <c r="R819" s="336"/>
      <c r="S819" s="301"/>
      <c r="T819" s="336"/>
    </row>
    <row r="820" spans="1:20" ht="12" customHeight="1" x14ac:dyDescent="0.3">
      <c r="A820" s="329" t="s">
        <v>289</v>
      </c>
      <c r="B820" s="330">
        <v>1</v>
      </c>
      <c r="C820" s="298">
        <v>46078</v>
      </c>
      <c r="D820" s="299" t="s">
        <v>304</v>
      </c>
      <c r="E820" s="331">
        <v>19.09</v>
      </c>
      <c r="F820" s="331"/>
      <c r="G820" s="333">
        <f t="shared" si="14"/>
        <v>5250.4299999999912</v>
      </c>
      <c r="H820" s="334"/>
      <c r="I820" s="335"/>
      <c r="J820" s="336"/>
      <c r="K820" s="301"/>
      <c r="L820" s="336"/>
      <c r="M820" s="301"/>
      <c r="N820" s="336"/>
      <c r="O820" s="301"/>
      <c r="P820" s="336"/>
      <c r="Q820" s="301"/>
      <c r="R820" s="336"/>
      <c r="S820" s="301"/>
      <c r="T820" s="336"/>
    </row>
    <row r="821" spans="1:20" ht="12" customHeight="1" x14ac:dyDescent="0.3">
      <c r="A821" s="329" t="s">
        <v>294</v>
      </c>
      <c r="B821" s="330">
        <v>23</v>
      </c>
      <c r="C821" s="298">
        <v>46076</v>
      </c>
      <c r="D821" s="299" t="s">
        <v>67</v>
      </c>
      <c r="E821" s="331">
        <v>650.88</v>
      </c>
      <c r="F821" s="331"/>
      <c r="G821" s="333">
        <f t="shared" si="14"/>
        <v>5269.5199999999913</v>
      </c>
      <c r="H821" s="334"/>
      <c r="I821" s="335"/>
      <c r="J821" s="336"/>
      <c r="K821" s="301"/>
      <c r="L821" s="336"/>
      <c r="M821" s="301"/>
      <c r="N821" s="336"/>
      <c r="O821" s="301"/>
      <c r="P821" s="336"/>
      <c r="Q821" s="301"/>
      <c r="R821" s="336"/>
      <c r="S821" s="301"/>
      <c r="T821" s="336"/>
    </row>
    <row r="822" spans="1:20" ht="12" customHeight="1" x14ac:dyDescent="0.3">
      <c r="A822" s="329" t="s">
        <v>289</v>
      </c>
      <c r="B822" s="330">
        <v>6</v>
      </c>
      <c r="C822" s="298">
        <v>46076</v>
      </c>
      <c r="D822" s="299" t="s">
        <v>351</v>
      </c>
      <c r="E822" s="331">
        <v>35</v>
      </c>
      <c r="F822" s="331"/>
      <c r="G822" s="333">
        <f t="shared" si="14"/>
        <v>5920.3999999999915</v>
      </c>
      <c r="H822" s="334"/>
      <c r="I822" s="335"/>
      <c r="J822" s="336"/>
      <c r="K822" s="301"/>
      <c r="L822" s="336"/>
      <c r="M822" s="301"/>
      <c r="N822" s="336"/>
      <c r="O822" s="301"/>
      <c r="P822" s="336"/>
      <c r="Q822" s="301"/>
      <c r="R822" s="336"/>
      <c r="S822" s="301"/>
      <c r="T822" s="336"/>
    </row>
    <row r="823" spans="1:20" ht="12" customHeight="1" x14ac:dyDescent="0.3">
      <c r="A823" s="329" t="s">
        <v>289</v>
      </c>
      <c r="B823" s="330">
        <v>1</v>
      </c>
      <c r="C823" s="298">
        <v>46076</v>
      </c>
      <c r="D823" s="299" t="s">
        <v>306</v>
      </c>
      <c r="E823" s="331">
        <v>128.97999999999999</v>
      </c>
      <c r="F823" s="331"/>
      <c r="G823" s="333">
        <f t="shared" si="14"/>
        <v>5955.3999999999915</v>
      </c>
      <c r="H823" s="334"/>
      <c r="I823" s="335"/>
      <c r="J823" s="336"/>
      <c r="K823" s="301"/>
      <c r="L823" s="336"/>
      <c r="M823" s="301"/>
      <c r="N823" s="336"/>
      <c r="O823" s="301"/>
      <c r="P823" s="336"/>
      <c r="Q823" s="301"/>
      <c r="R823" s="336"/>
      <c r="S823" s="301"/>
      <c r="T823" s="336"/>
    </row>
    <row r="824" spans="1:20" ht="12" customHeight="1" x14ac:dyDescent="0.3">
      <c r="A824" s="329" t="s">
        <v>289</v>
      </c>
      <c r="B824" s="330">
        <v>1</v>
      </c>
      <c r="C824" s="298">
        <v>46076</v>
      </c>
      <c r="D824" s="299" t="s">
        <v>320</v>
      </c>
      <c r="E824" s="331">
        <v>52.55</v>
      </c>
      <c r="F824" s="331"/>
      <c r="G824" s="333">
        <f t="shared" si="14"/>
        <v>6084.379999999991</v>
      </c>
      <c r="H824" s="334"/>
      <c r="I824" s="335"/>
      <c r="J824" s="336"/>
      <c r="K824" s="301"/>
      <c r="L824" s="336"/>
      <c r="M824" s="301"/>
      <c r="N824" s="336"/>
      <c r="O824" s="301"/>
      <c r="P824" s="336"/>
      <c r="Q824" s="301"/>
      <c r="R824" s="336"/>
      <c r="S824" s="301"/>
      <c r="T824" s="336"/>
    </row>
    <row r="825" spans="1:20" ht="12" customHeight="1" x14ac:dyDescent="0.3">
      <c r="A825" s="329" t="s">
        <v>289</v>
      </c>
      <c r="B825" s="330">
        <v>3</v>
      </c>
      <c r="C825" s="298">
        <v>46075</v>
      </c>
      <c r="D825" s="299" t="s">
        <v>348</v>
      </c>
      <c r="E825" s="331">
        <v>13.76</v>
      </c>
      <c r="F825" s="331"/>
      <c r="G825" s="333">
        <f t="shared" si="14"/>
        <v>6136.9299999999912</v>
      </c>
      <c r="H825" s="334"/>
      <c r="I825" s="335"/>
      <c r="J825" s="336"/>
      <c r="K825" s="301"/>
      <c r="L825" s="336"/>
      <c r="M825" s="301"/>
      <c r="N825" s="336"/>
      <c r="O825" s="301"/>
      <c r="P825" s="336"/>
      <c r="Q825" s="301"/>
      <c r="R825" s="336"/>
      <c r="S825" s="301"/>
      <c r="T825" s="336"/>
    </row>
    <row r="826" spans="1:20" ht="12" customHeight="1" x14ac:dyDescent="0.3">
      <c r="A826" s="329" t="s">
        <v>289</v>
      </c>
      <c r="B826" s="330">
        <v>1</v>
      </c>
      <c r="C826" s="298">
        <v>46075</v>
      </c>
      <c r="D826" s="299" t="s">
        <v>311</v>
      </c>
      <c r="E826" s="331">
        <v>187.64</v>
      </c>
      <c r="F826" s="331"/>
      <c r="G826" s="333">
        <f t="shared" si="14"/>
        <v>6150.6899999999914</v>
      </c>
      <c r="H826" s="334"/>
      <c r="I826" s="335"/>
      <c r="J826" s="336"/>
      <c r="K826" s="301"/>
      <c r="L826" s="336"/>
      <c r="M826" s="301"/>
      <c r="N826" s="336"/>
      <c r="O826" s="301"/>
      <c r="P826" s="336"/>
      <c r="Q826" s="301"/>
      <c r="R826" s="336"/>
      <c r="S826" s="301"/>
      <c r="T826" s="336"/>
    </row>
    <row r="827" spans="1:20" ht="12" customHeight="1" x14ac:dyDescent="0.3">
      <c r="A827" s="329" t="s">
        <v>289</v>
      </c>
      <c r="B827" s="330">
        <v>1</v>
      </c>
      <c r="C827" s="298">
        <v>46074</v>
      </c>
      <c r="D827" s="299" t="s">
        <v>393</v>
      </c>
      <c r="E827" s="331">
        <v>75.78</v>
      </c>
      <c r="F827" s="331"/>
      <c r="G827" s="333">
        <f t="shared" si="14"/>
        <v>6338.3299999999917</v>
      </c>
      <c r="H827" s="334"/>
      <c r="I827" s="335"/>
      <c r="J827" s="336"/>
      <c r="K827" s="301"/>
      <c r="L827" s="336"/>
      <c r="M827" s="301"/>
      <c r="N827" s="336"/>
      <c r="O827" s="301"/>
      <c r="P827" s="336"/>
      <c r="Q827" s="301"/>
      <c r="R827" s="336"/>
      <c r="S827" s="301"/>
      <c r="T827" s="336"/>
    </row>
    <row r="828" spans="1:20" ht="12" customHeight="1" x14ac:dyDescent="0.3">
      <c r="A828" s="329" t="s">
        <v>289</v>
      </c>
      <c r="B828" s="330">
        <v>2</v>
      </c>
      <c r="C828" s="298">
        <v>46074</v>
      </c>
      <c r="D828" s="299" t="s">
        <v>392</v>
      </c>
      <c r="E828" s="331">
        <v>27.41</v>
      </c>
      <c r="F828" s="331"/>
      <c r="G828" s="333">
        <f t="shared" si="14"/>
        <v>6414.1099999999915</v>
      </c>
      <c r="H828" s="334"/>
      <c r="I828" s="335"/>
      <c r="J828" s="336"/>
      <c r="K828" s="301"/>
      <c r="L828" s="336"/>
      <c r="M828" s="301"/>
      <c r="N828" s="336"/>
      <c r="O828" s="301"/>
      <c r="P828" s="336"/>
      <c r="Q828" s="301"/>
      <c r="R828" s="336"/>
      <c r="S828" s="301"/>
      <c r="T828" s="336"/>
    </row>
    <row r="829" spans="1:20" ht="12" customHeight="1" x14ac:dyDescent="0.3">
      <c r="A829" s="329" t="s">
        <v>289</v>
      </c>
      <c r="B829" s="330">
        <v>4</v>
      </c>
      <c r="C829" s="298">
        <v>46074</v>
      </c>
      <c r="D829" s="299" t="s">
        <v>431</v>
      </c>
      <c r="E829" s="331">
        <v>32.049999999999997</v>
      </c>
      <c r="F829" s="331"/>
      <c r="G829" s="333">
        <f t="shared" si="14"/>
        <v>6441.5199999999913</v>
      </c>
      <c r="H829" s="334"/>
      <c r="I829" s="335"/>
      <c r="J829" s="336"/>
      <c r="K829" s="301"/>
      <c r="L829" s="336"/>
      <c r="M829" s="301"/>
      <c r="N829" s="336"/>
      <c r="O829" s="301"/>
      <c r="P829" s="336"/>
      <c r="Q829" s="301"/>
      <c r="R829" s="336"/>
      <c r="S829" s="301"/>
      <c r="T829" s="336"/>
    </row>
    <row r="830" spans="1:20" ht="12" customHeight="1" x14ac:dyDescent="0.3">
      <c r="A830" s="329" t="s">
        <v>289</v>
      </c>
      <c r="B830" s="330">
        <v>2</v>
      </c>
      <c r="C830" s="298">
        <v>46074</v>
      </c>
      <c r="D830" s="299" t="s">
        <v>358</v>
      </c>
      <c r="E830" s="331">
        <v>9.4700000000000006</v>
      </c>
      <c r="F830" s="331"/>
      <c r="G830" s="333">
        <f t="shared" si="14"/>
        <v>6473.5699999999915</v>
      </c>
      <c r="H830" s="334"/>
      <c r="I830" s="335"/>
      <c r="J830" s="336"/>
      <c r="K830" s="301"/>
      <c r="L830" s="336"/>
      <c r="M830" s="301"/>
      <c r="N830" s="336"/>
      <c r="O830" s="301"/>
      <c r="P830" s="336"/>
      <c r="Q830" s="301"/>
      <c r="R830" s="336"/>
      <c r="S830" s="301"/>
      <c r="T830" s="336"/>
    </row>
    <row r="831" spans="1:20" ht="12" customHeight="1" x14ac:dyDescent="0.3">
      <c r="A831" s="329" t="s">
        <v>289</v>
      </c>
      <c r="B831" s="330">
        <v>2</v>
      </c>
      <c r="C831" s="298">
        <v>46073</v>
      </c>
      <c r="D831" s="299" t="s">
        <v>296</v>
      </c>
      <c r="E831" s="331">
        <v>14.47</v>
      </c>
      <c r="F831" s="331"/>
      <c r="G831" s="333">
        <f t="shared" si="14"/>
        <v>6483.0399999999918</v>
      </c>
      <c r="H831" s="334"/>
      <c r="I831" s="335"/>
      <c r="J831" s="336"/>
      <c r="K831" s="301"/>
      <c r="L831" s="336"/>
      <c r="M831" s="301"/>
      <c r="N831" s="336"/>
      <c r="O831" s="301"/>
      <c r="P831" s="336"/>
      <c r="Q831" s="301"/>
      <c r="R831" s="336"/>
      <c r="S831" s="301"/>
      <c r="T831" s="336"/>
    </row>
    <row r="832" spans="1:20" ht="12" customHeight="1" x14ac:dyDescent="0.3">
      <c r="A832" s="329" t="s">
        <v>289</v>
      </c>
      <c r="B832" s="330">
        <v>3</v>
      </c>
      <c r="C832" s="298">
        <v>46073</v>
      </c>
      <c r="D832" s="299" t="s">
        <v>355</v>
      </c>
      <c r="E832" s="331">
        <v>11.97</v>
      </c>
      <c r="F832" s="331"/>
      <c r="G832" s="333">
        <f t="shared" si="14"/>
        <v>6497.509999999992</v>
      </c>
      <c r="H832" s="334"/>
      <c r="I832" s="335"/>
      <c r="J832" s="336"/>
      <c r="K832" s="301"/>
      <c r="L832" s="336"/>
      <c r="M832" s="301"/>
      <c r="N832" s="336"/>
      <c r="O832" s="301"/>
      <c r="P832" s="336"/>
      <c r="Q832" s="301"/>
      <c r="R832" s="336"/>
      <c r="S832" s="301"/>
      <c r="T832" s="336"/>
    </row>
    <row r="833" spans="1:20" ht="12" customHeight="1" x14ac:dyDescent="0.3">
      <c r="A833" s="329" t="s">
        <v>289</v>
      </c>
      <c r="B833" s="330">
        <v>4</v>
      </c>
      <c r="C833" s="298">
        <v>46073</v>
      </c>
      <c r="D833" s="299" t="s">
        <v>355</v>
      </c>
      <c r="E833" s="331">
        <v>59.88</v>
      </c>
      <c r="F833" s="331"/>
      <c r="G833" s="333">
        <f t="shared" si="14"/>
        <v>6509.4799999999923</v>
      </c>
      <c r="H833" s="334"/>
      <c r="I833" s="335"/>
      <c r="J833" s="336"/>
      <c r="K833" s="301"/>
      <c r="L833" s="336"/>
      <c r="M833" s="301"/>
      <c r="N833" s="336"/>
      <c r="O833" s="301"/>
      <c r="P833" s="336"/>
      <c r="Q833" s="301"/>
      <c r="R833" s="336"/>
      <c r="S833" s="301"/>
      <c r="T833" s="336"/>
    </row>
    <row r="834" spans="1:20" ht="12" customHeight="1" x14ac:dyDescent="0.3">
      <c r="A834" s="329" t="s">
        <v>289</v>
      </c>
      <c r="B834" s="330">
        <v>2</v>
      </c>
      <c r="C834" s="298">
        <v>46073</v>
      </c>
      <c r="D834" s="299" t="s">
        <v>418</v>
      </c>
      <c r="E834" s="331">
        <v>19.57</v>
      </c>
      <c r="F834" s="331"/>
      <c r="G834" s="333">
        <f t="shared" si="14"/>
        <v>6569.3599999999924</v>
      </c>
      <c r="H834" s="334"/>
      <c r="I834" s="335"/>
      <c r="J834" s="336"/>
      <c r="K834" s="301"/>
      <c r="L834" s="336"/>
      <c r="M834" s="301"/>
      <c r="N834" s="336"/>
      <c r="O834" s="301"/>
      <c r="P834" s="336"/>
      <c r="Q834" s="301"/>
      <c r="R834" s="336"/>
      <c r="S834" s="301"/>
      <c r="T834" s="336"/>
    </row>
    <row r="835" spans="1:20" ht="12" customHeight="1" x14ac:dyDescent="0.3">
      <c r="A835" s="329" t="s">
        <v>294</v>
      </c>
      <c r="B835" s="330">
        <v>22</v>
      </c>
      <c r="C835" s="298">
        <v>46073</v>
      </c>
      <c r="D835" s="299" t="s">
        <v>323</v>
      </c>
      <c r="E835" s="331">
        <v>20.22</v>
      </c>
      <c r="F835" s="331"/>
      <c r="G835" s="333">
        <f t="shared" si="14"/>
        <v>6588.9299999999921</v>
      </c>
      <c r="H835" s="334"/>
      <c r="I835" s="335"/>
      <c r="J835" s="336"/>
      <c r="K835" s="301"/>
      <c r="L835" s="336"/>
      <c r="M835" s="301"/>
      <c r="N835" s="336"/>
      <c r="O835" s="301"/>
      <c r="P835" s="336"/>
      <c r="Q835" s="301"/>
      <c r="R835" s="336"/>
      <c r="S835" s="301"/>
      <c r="T835" s="336"/>
    </row>
    <row r="836" spans="1:20" ht="12" customHeight="1" x14ac:dyDescent="0.3">
      <c r="A836" s="329" t="s">
        <v>289</v>
      </c>
      <c r="B836" s="330">
        <v>2</v>
      </c>
      <c r="C836" s="298">
        <v>46073</v>
      </c>
      <c r="D836" s="299" t="s">
        <v>358</v>
      </c>
      <c r="E836" s="331">
        <v>5.3</v>
      </c>
      <c r="F836" s="331"/>
      <c r="G836" s="333">
        <f t="shared" si="14"/>
        <v>6609.1499999999924</v>
      </c>
      <c r="H836" s="334"/>
      <c r="I836" s="335"/>
      <c r="J836" s="336"/>
      <c r="K836" s="301"/>
      <c r="L836" s="336"/>
      <c r="M836" s="301"/>
      <c r="N836" s="336"/>
      <c r="O836" s="301"/>
      <c r="P836" s="336"/>
      <c r="Q836" s="301"/>
      <c r="R836" s="336"/>
      <c r="S836" s="301"/>
      <c r="T836" s="336"/>
    </row>
    <row r="837" spans="1:20" ht="12" customHeight="1" x14ac:dyDescent="0.3">
      <c r="A837" s="329" t="s">
        <v>289</v>
      </c>
      <c r="B837" s="330">
        <v>3</v>
      </c>
      <c r="C837" s="298">
        <v>46073</v>
      </c>
      <c r="D837" s="299" t="s">
        <v>324</v>
      </c>
      <c r="E837" s="331">
        <v>8.1300000000000008</v>
      </c>
      <c r="F837" s="331"/>
      <c r="G837" s="333">
        <f t="shared" si="14"/>
        <v>6614.4499999999925</v>
      </c>
      <c r="H837" s="334"/>
      <c r="I837" s="335"/>
      <c r="J837" s="336"/>
      <c r="K837" s="301"/>
      <c r="L837" s="336"/>
      <c r="M837" s="301"/>
      <c r="N837" s="336"/>
      <c r="O837" s="301"/>
      <c r="P837" s="336"/>
      <c r="Q837" s="301"/>
      <c r="R837" s="336"/>
      <c r="S837" s="301"/>
      <c r="T837" s="336"/>
    </row>
    <row r="838" spans="1:20" ht="12" customHeight="1" x14ac:dyDescent="0.3">
      <c r="A838" s="329" t="s">
        <v>289</v>
      </c>
      <c r="B838" s="330">
        <v>4</v>
      </c>
      <c r="C838" s="298">
        <v>46073</v>
      </c>
      <c r="D838" s="299" t="s">
        <v>310</v>
      </c>
      <c r="E838" s="331">
        <v>32.43</v>
      </c>
      <c r="F838" s="331"/>
      <c r="G838" s="333">
        <f t="shared" si="14"/>
        <v>6622.5799999999927</v>
      </c>
      <c r="H838" s="334"/>
      <c r="I838" s="335"/>
      <c r="J838" s="336"/>
      <c r="K838" s="301"/>
      <c r="L838" s="336"/>
      <c r="M838" s="301"/>
      <c r="N838" s="336"/>
      <c r="O838" s="301"/>
      <c r="P838" s="336"/>
      <c r="Q838" s="301"/>
      <c r="R838" s="336"/>
      <c r="S838" s="301"/>
      <c r="T838" s="336"/>
    </row>
    <row r="839" spans="1:20" ht="12" customHeight="1" x14ac:dyDescent="0.3">
      <c r="A839" s="329" t="s">
        <v>289</v>
      </c>
      <c r="B839" s="330">
        <v>8</v>
      </c>
      <c r="C839" s="298">
        <v>46073</v>
      </c>
      <c r="D839" s="299" t="s">
        <v>432</v>
      </c>
      <c r="E839" s="331">
        <v>98.65</v>
      </c>
      <c r="F839" s="331"/>
      <c r="G839" s="333">
        <f t="shared" si="14"/>
        <v>6655.0099999999929</v>
      </c>
      <c r="H839" s="334"/>
      <c r="I839" s="335"/>
      <c r="J839" s="336"/>
      <c r="K839" s="301"/>
      <c r="L839" s="336"/>
      <c r="M839" s="301"/>
      <c r="N839" s="336"/>
      <c r="O839" s="301"/>
      <c r="P839" s="336"/>
      <c r="Q839" s="301"/>
      <c r="R839" s="336"/>
      <c r="S839" s="301"/>
      <c r="T839" s="336"/>
    </row>
    <row r="840" spans="1:20" ht="12" customHeight="1" x14ac:dyDescent="0.3">
      <c r="A840" s="329" t="s">
        <v>289</v>
      </c>
      <c r="B840" s="330">
        <v>6</v>
      </c>
      <c r="C840" s="298">
        <v>46072</v>
      </c>
      <c r="D840" s="299" t="s">
        <v>300</v>
      </c>
      <c r="E840" s="331">
        <v>30.87</v>
      </c>
      <c r="F840" s="331"/>
      <c r="G840" s="333">
        <f t="shared" si="14"/>
        <v>6753.6599999999926</v>
      </c>
      <c r="H840" s="334"/>
      <c r="I840" s="335"/>
      <c r="J840" s="336"/>
      <c r="K840" s="301"/>
      <c r="L840" s="336"/>
      <c r="M840" s="301"/>
      <c r="N840" s="336"/>
      <c r="O840" s="301"/>
      <c r="P840" s="336"/>
      <c r="Q840" s="301"/>
      <c r="R840" s="336"/>
      <c r="S840" s="301"/>
      <c r="T840" s="336"/>
    </row>
    <row r="841" spans="1:20" ht="12" customHeight="1" x14ac:dyDescent="0.3">
      <c r="A841" s="329" t="s">
        <v>289</v>
      </c>
      <c r="B841" s="330">
        <v>6</v>
      </c>
      <c r="C841" s="298">
        <v>46072</v>
      </c>
      <c r="D841" s="299" t="s">
        <v>300</v>
      </c>
      <c r="E841" s="331">
        <v>15.96</v>
      </c>
      <c r="F841" s="331"/>
      <c r="G841" s="333">
        <f t="shared" si="14"/>
        <v>6784.5299999999925</v>
      </c>
      <c r="H841" s="334"/>
      <c r="I841" s="335"/>
      <c r="J841" s="336"/>
      <c r="K841" s="301"/>
      <c r="L841" s="336"/>
      <c r="M841" s="301"/>
      <c r="N841" s="336"/>
      <c r="O841" s="301"/>
      <c r="P841" s="336"/>
      <c r="Q841" s="301"/>
      <c r="R841" s="336"/>
      <c r="S841" s="301"/>
      <c r="T841" s="336"/>
    </row>
    <row r="842" spans="1:20" ht="12" customHeight="1" x14ac:dyDescent="0.3">
      <c r="A842" s="329" t="s">
        <v>289</v>
      </c>
      <c r="B842" s="330">
        <v>2</v>
      </c>
      <c r="C842" s="298">
        <v>46072</v>
      </c>
      <c r="D842" s="299" t="s">
        <v>296</v>
      </c>
      <c r="E842" s="331">
        <v>17.36</v>
      </c>
      <c r="F842" s="331"/>
      <c r="G842" s="333">
        <f t="shared" si="14"/>
        <v>6800.4899999999925</v>
      </c>
      <c r="H842" s="334"/>
      <c r="I842" s="335"/>
      <c r="J842" s="336"/>
      <c r="K842" s="301"/>
      <c r="L842" s="336"/>
      <c r="M842" s="301"/>
      <c r="N842" s="336"/>
      <c r="O842" s="301"/>
      <c r="P842" s="336"/>
      <c r="Q842" s="301"/>
      <c r="R842" s="336"/>
      <c r="S842" s="301"/>
      <c r="T842" s="336"/>
    </row>
    <row r="843" spans="1:20" ht="12" customHeight="1" x14ac:dyDescent="0.3">
      <c r="A843" s="329" t="s">
        <v>294</v>
      </c>
      <c r="B843" s="330">
        <v>22</v>
      </c>
      <c r="C843" s="298">
        <v>46072</v>
      </c>
      <c r="D843" s="299" t="s">
        <v>328</v>
      </c>
      <c r="E843" s="331">
        <v>7.46</v>
      </c>
      <c r="F843" s="331"/>
      <c r="G843" s="333">
        <f t="shared" si="14"/>
        <v>6817.8499999999922</v>
      </c>
      <c r="H843" s="334"/>
      <c r="I843" s="335"/>
      <c r="J843" s="336"/>
      <c r="K843" s="301"/>
      <c r="L843" s="336"/>
      <c r="M843" s="301"/>
      <c r="N843" s="336"/>
      <c r="O843" s="301"/>
      <c r="P843" s="336"/>
      <c r="Q843" s="301"/>
      <c r="R843" s="336"/>
      <c r="S843" s="301"/>
      <c r="T843" s="336"/>
    </row>
    <row r="844" spans="1:20" ht="12" customHeight="1" x14ac:dyDescent="0.3">
      <c r="A844" s="329" t="s">
        <v>291</v>
      </c>
      <c r="B844" s="330">
        <v>39</v>
      </c>
      <c r="C844" s="298">
        <v>46072</v>
      </c>
      <c r="D844" s="299" t="s">
        <v>292</v>
      </c>
      <c r="E844" s="331"/>
      <c r="F844" s="331">
        <v>2763.77</v>
      </c>
      <c r="G844" s="333">
        <f t="shared" si="14"/>
        <v>6825.3099999999922</v>
      </c>
      <c r="H844" s="334"/>
      <c r="I844" s="335"/>
      <c r="J844" s="336"/>
      <c r="K844" s="301"/>
      <c r="L844" s="336"/>
      <c r="M844" s="301"/>
      <c r="N844" s="336"/>
      <c r="O844" s="301"/>
      <c r="P844" s="336"/>
      <c r="Q844" s="301"/>
      <c r="R844" s="336"/>
      <c r="S844" s="301"/>
      <c r="T844" s="336"/>
    </row>
    <row r="845" spans="1:20" ht="12" customHeight="1" x14ac:dyDescent="0.3">
      <c r="A845" s="329" t="s">
        <v>335</v>
      </c>
      <c r="B845" s="330" t="s">
        <v>335</v>
      </c>
      <c r="C845" s="298">
        <v>46071</v>
      </c>
      <c r="D845" s="299" t="s">
        <v>336</v>
      </c>
      <c r="E845" s="331">
        <v>182.55</v>
      </c>
      <c r="F845" s="331"/>
      <c r="G845" s="333">
        <f t="shared" si="14"/>
        <v>4061.5399999999927</v>
      </c>
      <c r="H845" s="334"/>
      <c r="I845" s="335"/>
      <c r="J845" s="336"/>
      <c r="K845" s="301"/>
      <c r="L845" s="336"/>
      <c r="M845" s="301"/>
      <c r="N845" s="336"/>
      <c r="O845" s="301"/>
      <c r="P845" s="336"/>
      <c r="Q845" s="301"/>
      <c r="R845" s="336"/>
      <c r="S845" s="301"/>
      <c r="T845" s="336"/>
    </row>
    <row r="846" spans="1:20" ht="12" customHeight="1" x14ac:dyDescent="0.3">
      <c r="A846" s="329" t="s">
        <v>294</v>
      </c>
      <c r="B846" s="330">
        <v>15</v>
      </c>
      <c r="C846" s="298">
        <v>46071</v>
      </c>
      <c r="D846" s="299" t="s">
        <v>185</v>
      </c>
      <c r="E846" s="331">
        <v>188.16</v>
      </c>
      <c r="F846" s="331"/>
      <c r="G846" s="333">
        <f t="shared" si="14"/>
        <v>4244.0899999999929</v>
      </c>
      <c r="H846" s="334"/>
      <c r="I846" s="335"/>
      <c r="J846" s="336"/>
      <c r="K846" s="301"/>
      <c r="L846" s="336"/>
      <c r="M846" s="301"/>
      <c r="N846" s="336"/>
      <c r="O846" s="301"/>
      <c r="P846" s="336"/>
      <c r="Q846" s="301"/>
      <c r="R846" s="336"/>
      <c r="S846" s="301"/>
      <c r="T846" s="336"/>
    </row>
    <row r="847" spans="1:20" ht="12" customHeight="1" x14ac:dyDescent="0.3">
      <c r="A847" s="329" t="s">
        <v>291</v>
      </c>
      <c r="B847" s="330">
        <v>40</v>
      </c>
      <c r="C847" s="298">
        <v>46071</v>
      </c>
      <c r="D847" s="299" t="s">
        <v>316</v>
      </c>
      <c r="E847" s="331"/>
      <c r="F847" s="331">
        <v>1281.58</v>
      </c>
      <c r="G847" s="333">
        <f t="shared" si="14"/>
        <v>4432.2499999999927</v>
      </c>
      <c r="H847" s="334"/>
      <c r="I847" s="335"/>
      <c r="J847" s="336"/>
      <c r="K847" s="301"/>
      <c r="L847" s="336"/>
      <c r="M847" s="301"/>
      <c r="N847" s="336"/>
      <c r="O847" s="301"/>
      <c r="P847" s="336"/>
      <c r="Q847" s="301"/>
      <c r="R847" s="336"/>
      <c r="S847" s="301"/>
      <c r="T847" s="336"/>
    </row>
    <row r="848" spans="1:20" ht="12" customHeight="1" x14ac:dyDescent="0.3">
      <c r="A848" s="329" t="s">
        <v>289</v>
      </c>
      <c r="B848" s="330">
        <v>6</v>
      </c>
      <c r="C848" s="298">
        <v>46071</v>
      </c>
      <c r="D848" s="299" t="s">
        <v>433</v>
      </c>
      <c r="E848" s="331">
        <v>-146</v>
      </c>
      <c r="F848" s="331"/>
      <c r="G848" s="333">
        <f t="shared" si="14"/>
        <v>3150.6699999999933</v>
      </c>
      <c r="H848" s="334"/>
      <c r="I848" s="335"/>
      <c r="J848" s="336"/>
      <c r="K848" s="301"/>
      <c r="L848" s="336"/>
      <c r="M848" s="301"/>
      <c r="N848" s="336"/>
      <c r="O848" s="301"/>
      <c r="P848" s="336"/>
      <c r="Q848" s="301"/>
      <c r="R848" s="336"/>
      <c r="S848" s="301"/>
      <c r="T848" s="336"/>
    </row>
    <row r="849" spans="1:20" ht="12" customHeight="1" x14ac:dyDescent="0.3">
      <c r="A849" s="329" t="s">
        <v>289</v>
      </c>
      <c r="B849" s="330">
        <v>2</v>
      </c>
      <c r="C849" s="298">
        <v>46071</v>
      </c>
      <c r="D849" s="299" t="s">
        <v>434</v>
      </c>
      <c r="E849" s="331">
        <v>-13</v>
      </c>
      <c r="F849" s="331"/>
      <c r="G849" s="333">
        <f t="shared" si="14"/>
        <v>3004.6699999999933</v>
      </c>
      <c r="H849" s="334"/>
      <c r="I849" s="335"/>
      <c r="J849" s="336"/>
      <c r="K849" s="301"/>
      <c r="L849" s="336"/>
      <c r="M849" s="301"/>
      <c r="N849" s="336"/>
      <c r="O849" s="301"/>
      <c r="P849" s="336"/>
      <c r="Q849" s="301"/>
      <c r="R849" s="336"/>
      <c r="S849" s="301"/>
      <c r="T849" s="336"/>
    </row>
    <row r="850" spans="1:20" ht="12" customHeight="1" x14ac:dyDescent="0.3">
      <c r="A850" s="329" t="s">
        <v>335</v>
      </c>
      <c r="B850" s="330" t="s">
        <v>335</v>
      </c>
      <c r="C850" s="298">
        <v>46071</v>
      </c>
      <c r="D850" s="299" t="s">
        <v>460</v>
      </c>
      <c r="E850" s="331"/>
      <c r="F850" s="331">
        <v>191</v>
      </c>
      <c r="G850" s="333">
        <f t="shared" si="14"/>
        <v>2991.6699999999933</v>
      </c>
      <c r="H850" s="334"/>
      <c r="I850" s="335"/>
      <c r="J850" s="336"/>
      <c r="K850" s="301"/>
      <c r="L850" s="336"/>
      <c r="M850" s="301"/>
      <c r="N850" s="336"/>
      <c r="O850" s="301"/>
      <c r="P850" s="336"/>
      <c r="Q850" s="301"/>
      <c r="R850" s="336"/>
      <c r="S850" s="301"/>
      <c r="T850" s="336"/>
    </row>
    <row r="851" spans="1:20" ht="12" customHeight="1" x14ac:dyDescent="0.3">
      <c r="A851" s="329" t="s">
        <v>289</v>
      </c>
      <c r="B851" s="330">
        <v>6</v>
      </c>
      <c r="C851" s="298">
        <v>46071</v>
      </c>
      <c r="D851" s="299" t="s">
        <v>300</v>
      </c>
      <c r="E851" s="331">
        <v>43.63</v>
      </c>
      <c r="F851" s="331"/>
      <c r="G851" s="333">
        <f t="shared" si="14"/>
        <v>2800.6699999999933</v>
      </c>
      <c r="H851" s="334"/>
      <c r="I851" s="335"/>
      <c r="J851" s="336"/>
      <c r="K851" s="301"/>
      <c r="L851" s="336"/>
      <c r="M851" s="301"/>
      <c r="N851" s="336"/>
      <c r="O851" s="301"/>
      <c r="P851" s="336"/>
      <c r="Q851" s="301"/>
      <c r="R851" s="336"/>
      <c r="S851" s="301"/>
      <c r="T851" s="336"/>
    </row>
    <row r="852" spans="1:20" ht="12" customHeight="1" x14ac:dyDescent="0.3">
      <c r="A852" s="329" t="s">
        <v>289</v>
      </c>
      <c r="B852" s="330">
        <v>6</v>
      </c>
      <c r="C852" s="298">
        <v>46071</v>
      </c>
      <c r="D852" s="299" t="s">
        <v>300</v>
      </c>
      <c r="E852" s="331">
        <v>10.64</v>
      </c>
      <c r="F852" s="331"/>
      <c r="G852" s="333">
        <f t="shared" si="14"/>
        <v>2844.2999999999934</v>
      </c>
      <c r="H852" s="334"/>
      <c r="I852" s="335"/>
      <c r="J852" s="336"/>
      <c r="K852" s="301"/>
      <c r="L852" s="336"/>
      <c r="M852" s="301"/>
      <c r="N852" s="336"/>
      <c r="O852" s="301"/>
      <c r="P852" s="336"/>
      <c r="Q852" s="301"/>
      <c r="R852" s="336"/>
      <c r="S852" s="301"/>
      <c r="T852" s="336"/>
    </row>
    <row r="853" spans="1:20" ht="12" customHeight="1" x14ac:dyDescent="0.3">
      <c r="A853" s="329" t="s">
        <v>289</v>
      </c>
      <c r="B853" s="330">
        <v>8</v>
      </c>
      <c r="C853" s="298">
        <v>46071</v>
      </c>
      <c r="D853" s="299" t="s">
        <v>296</v>
      </c>
      <c r="E853" s="331">
        <v>14.87</v>
      </c>
      <c r="F853" s="331"/>
      <c r="G853" s="333">
        <f t="shared" si="14"/>
        <v>2854.9399999999932</v>
      </c>
      <c r="H853" s="334"/>
      <c r="I853" s="335"/>
      <c r="J853" s="336"/>
      <c r="K853" s="301"/>
      <c r="L853" s="336"/>
      <c r="M853" s="301"/>
      <c r="N853" s="336"/>
      <c r="O853" s="301"/>
      <c r="P853" s="336"/>
      <c r="Q853" s="301"/>
      <c r="R853" s="336"/>
      <c r="S853" s="301"/>
      <c r="T853" s="336"/>
    </row>
    <row r="854" spans="1:20" ht="12" customHeight="1" x14ac:dyDescent="0.3">
      <c r="A854" s="329" t="s">
        <v>289</v>
      </c>
      <c r="B854" s="330">
        <v>2</v>
      </c>
      <c r="C854" s="298">
        <v>46071</v>
      </c>
      <c r="D854" s="299" t="s">
        <v>295</v>
      </c>
      <c r="E854" s="331">
        <v>12.99</v>
      </c>
      <c r="F854" s="331"/>
      <c r="G854" s="333">
        <f t="shared" si="14"/>
        <v>2869.8099999999931</v>
      </c>
      <c r="H854" s="334"/>
      <c r="I854" s="335"/>
      <c r="J854" s="336"/>
      <c r="K854" s="301"/>
      <c r="L854" s="336"/>
      <c r="M854" s="301"/>
      <c r="N854" s="336"/>
      <c r="O854" s="301"/>
      <c r="P854" s="336"/>
      <c r="Q854" s="301"/>
      <c r="R854" s="336"/>
      <c r="S854" s="301"/>
      <c r="T854" s="336"/>
    </row>
    <row r="855" spans="1:20" ht="12" customHeight="1" x14ac:dyDescent="0.3">
      <c r="A855" s="329" t="s">
        <v>289</v>
      </c>
      <c r="B855" s="330">
        <v>4</v>
      </c>
      <c r="C855" s="298">
        <v>46071</v>
      </c>
      <c r="D855" s="299" t="s">
        <v>295</v>
      </c>
      <c r="E855" s="331">
        <v>29.47</v>
      </c>
      <c r="F855" s="331"/>
      <c r="G855" s="333">
        <f t="shared" si="14"/>
        <v>2882.7999999999929</v>
      </c>
      <c r="H855" s="334"/>
      <c r="I855" s="335"/>
      <c r="J855" s="336"/>
      <c r="K855" s="301"/>
      <c r="L855" s="336"/>
      <c r="M855" s="301"/>
      <c r="N855" s="336"/>
      <c r="O855" s="301"/>
      <c r="P855" s="336"/>
      <c r="Q855" s="301"/>
      <c r="R855" s="336"/>
      <c r="S855" s="301"/>
      <c r="T855" s="336"/>
    </row>
    <row r="856" spans="1:20" ht="12" customHeight="1" x14ac:dyDescent="0.3">
      <c r="A856" s="329" t="s">
        <v>294</v>
      </c>
      <c r="B856" s="330">
        <v>22</v>
      </c>
      <c r="C856" s="298">
        <v>46071</v>
      </c>
      <c r="D856" s="299" t="s">
        <v>401</v>
      </c>
      <c r="E856" s="331">
        <v>13.84</v>
      </c>
      <c r="F856" s="331"/>
      <c r="G856" s="333">
        <f t="shared" si="14"/>
        <v>2912.2699999999927</v>
      </c>
      <c r="H856" s="334"/>
      <c r="I856" s="335"/>
      <c r="J856" s="336"/>
      <c r="K856" s="301"/>
      <c r="L856" s="336"/>
      <c r="M856" s="301"/>
      <c r="N856" s="336"/>
      <c r="O856" s="301"/>
      <c r="P856" s="336"/>
      <c r="Q856" s="301"/>
      <c r="R856" s="336"/>
      <c r="S856" s="301"/>
      <c r="T856" s="336"/>
    </row>
    <row r="857" spans="1:20" ht="12" customHeight="1" x14ac:dyDescent="0.3">
      <c r="A857" s="329" t="s">
        <v>289</v>
      </c>
      <c r="B857" s="330">
        <v>2</v>
      </c>
      <c r="C857" s="298">
        <v>46071</v>
      </c>
      <c r="D857" s="299" t="s">
        <v>435</v>
      </c>
      <c r="E857" s="331">
        <v>64.569999999999993</v>
      </c>
      <c r="F857" s="331"/>
      <c r="G857" s="333">
        <f t="shared" si="14"/>
        <v>2926.1099999999929</v>
      </c>
      <c r="H857" s="334"/>
      <c r="I857" s="335"/>
      <c r="J857" s="336"/>
      <c r="K857" s="301"/>
      <c r="L857" s="336"/>
      <c r="M857" s="301"/>
      <c r="N857" s="336"/>
      <c r="O857" s="301"/>
      <c r="P857" s="336"/>
      <c r="Q857" s="301"/>
      <c r="R857" s="336"/>
      <c r="S857" s="301"/>
      <c r="T857" s="336"/>
    </row>
    <row r="858" spans="1:20" ht="12" customHeight="1" x14ac:dyDescent="0.3">
      <c r="A858" s="329" t="s">
        <v>294</v>
      </c>
      <c r="B858" s="330">
        <v>21</v>
      </c>
      <c r="C858" s="298">
        <v>46070</v>
      </c>
      <c r="D858" s="299" t="s">
        <v>194</v>
      </c>
      <c r="E858" s="331">
        <v>81</v>
      </c>
      <c r="F858" s="331"/>
      <c r="G858" s="333">
        <f t="shared" si="14"/>
        <v>2990.679999999993</v>
      </c>
      <c r="H858" s="334"/>
      <c r="I858" s="335"/>
      <c r="J858" s="336"/>
      <c r="K858" s="301"/>
      <c r="L858" s="336"/>
      <c r="M858" s="301"/>
      <c r="N858" s="336"/>
      <c r="O858" s="301"/>
      <c r="P858" s="336"/>
      <c r="Q858" s="301"/>
      <c r="R858" s="336"/>
      <c r="S858" s="301"/>
      <c r="T858" s="336"/>
    </row>
    <row r="859" spans="1:20" ht="12" customHeight="1" x14ac:dyDescent="0.3">
      <c r="A859" s="329" t="s">
        <v>289</v>
      </c>
      <c r="B859" s="330">
        <v>2</v>
      </c>
      <c r="C859" s="298">
        <v>46070</v>
      </c>
      <c r="D859" s="299" t="s">
        <v>384</v>
      </c>
      <c r="E859" s="331">
        <v>81.41</v>
      </c>
      <c r="F859" s="331"/>
      <c r="G859" s="333">
        <f t="shared" si="14"/>
        <v>3071.679999999993</v>
      </c>
      <c r="H859" s="334"/>
      <c r="I859" s="335"/>
      <c r="J859" s="336"/>
      <c r="K859" s="301"/>
      <c r="L859" s="336"/>
      <c r="M859" s="301"/>
      <c r="N859" s="336"/>
      <c r="O859" s="301"/>
      <c r="P859" s="336"/>
      <c r="Q859" s="301"/>
      <c r="R859" s="336"/>
      <c r="S859" s="301"/>
      <c r="T859" s="336"/>
    </row>
    <row r="860" spans="1:20" ht="12" customHeight="1" x14ac:dyDescent="0.3">
      <c r="A860" s="329" t="s">
        <v>289</v>
      </c>
      <c r="B860" s="330">
        <v>6</v>
      </c>
      <c r="C860" s="298">
        <v>46070</v>
      </c>
      <c r="D860" s="299" t="s">
        <v>300</v>
      </c>
      <c r="E860" s="331">
        <v>113.74</v>
      </c>
      <c r="F860" s="331"/>
      <c r="G860" s="333">
        <f t="shared" si="14"/>
        <v>3153.0899999999929</v>
      </c>
      <c r="H860" s="334"/>
      <c r="I860" s="335"/>
      <c r="J860" s="336"/>
      <c r="K860" s="301"/>
      <c r="L860" s="336"/>
      <c r="M860" s="301"/>
      <c r="N860" s="336"/>
      <c r="O860" s="301"/>
      <c r="P860" s="336"/>
      <c r="Q860" s="301"/>
      <c r="R860" s="336"/>
      <c r="S860" s="301"/>
      <c r="T860" s="336"/>
    </row>
    <row r="861" spans="1:20" ht="12" customHeight="1" x14ac:dyDescent="0.3">
      <c r="A861" s="329" t="s">
        <v>294</v>
      </c>
      <c r="B861" s="330">
        <v>43</v>
      </c>
      <c r="C861" s="298">
        <v>46070</v>
      </c>
      <c r="D861" s="299" t="s">
        <v>333</v>
      </c>
      <c r="E861" s="331">
        <v>29.8</v>
      </c>
      <c r="F861" s="331"/>
      <c r="G861" s="333">
        <f t="shared" si="14"/>
        <v>3266.8299999999927</v>
      </c>
      <c r="H861" s="334"/>
      <c r="I861" s="335"/>
      <c r="J861" s="336"/>
      <c r="K861" s="301"/>
      <c r="L861" s="336"/>
      <c r="M861" s="301"/>
      <c r="N861" s="336"/>
      <c r="O861" s="301"/>
      <c r="P861" s="336"/>
      <c r="Q861" s="301"/>
      <c r="R861" s="336"/>
      <c r="S861" s="301"/>
      <c r="T861" s="336"/>
    </row>
    <row r="862" spans="1:20" ht="12" customHeight="1" x14ac:dyDescent="0.3">
      <c r="A862" s="329" t="s">
        <v>294</v>
      </c>
      <c r="B862" s="330">
        <v>42</v>
      </c>
      <c r="C862" s="298">
        <v>46070</v>
      </c>
      <c r="D862" s="299" t="s">
        <v>333</v>
      </c>
      <c r="E862" s="331">
        <v>37.25</v>
      </c>
      <c r="F862" s="331"/>
      <c r="G862" s="333">
        <f t="shared" si="14"/>
        <v>3296.6299999999928</v>
      </c>
      <c r="H862" s="334"/>
      <c r="I862" s="335"/>
      <c r="J862" s="336"/>
      <c r="K862" s="301"/>
      <c r="L862" s="336"/>
      <c r="M862" s="301"/>
      <c r="N862" s="336"/>
      <c r="O862" s="301"/>
      <c r="P862" s="336"/>
      <c r="Q862" s="301"/>
      <c r="R862" s="336"/>
      <c r="S862" s="301"/>
      <c r="T862" s="336"/>
    </row>
    <row r="863" spans="1:20" ht="12" customHeight="1" x14ac:dyDescent="0.3">
      <c r="A863" s="329" t="s">
        <v>289</v>
      </c>
      <c r="B863" s="330">
        <v>2</v>
      </c>
      <c r="C863" s="298">
        <v>46070</v>
      </c>
      <c r="D863" s="299" t="s">
        <v>424</v>
      </c>
      <c r="E863" s="331">
        <v>7.97</v>
      </c>
      <c r="F863" s="331"/>
      <c r="G863" s="333">
        <f t="shared" si="14"/>
        <v>3333.8799999999928</v>
      </c>
      <c r="H863" s="334"/>
      <c r="I863" s="335"/>
      <c r="J863" s="336"/>
      <c r="K863" s="301"/>
      <c r="L863" s="336"/>
      <c r="M863" s="301"/>
      <c r="N863" s="336"/>
      <c r="O863" s="301"/>
      <c r="P863" s="336"/>
      <c r="Q863" s="301"/>
      <c r="R863" s="336"/>
      <c r="S863" s="301"/>
      <c r="T863" s="336"/>
    </row>
    <row r="864" spans="1:20" ht="12" customHeight="1" x14ac:dyDescent="0.3">
      <c r="A864" s="329" t="s">
        <v>294</v>
      </c>
      <c r="B864" s="330">
        <v>17</v>
      </c>
      <c r="C864" s="298">
        <v>46070</v>
      </c>
      <c r="D864" s="299" t="s">
        <v>188</v>
      </c>
      <c r="E864" s="331">
        <v>42.65</v>
      </c>
      <c r="F864" s="331"/>
      <c r="G864" s="333">
        <f t="shared" si="14"/>
        <v>3341.8499999999926</v>
      </c>
      <c r="H864" s="334"/>
      <c r="I864" s="335"/>
      <c r="J864" s="336"/>
      <c r="K864" s="301"/>
      <c r="L864" s="336"/>
      <c r="M864" s="301"/>
      <c r="N864" s="336"/>
      <c r="O864" s="301"/>
      <c r="P864" s="336"/>
      <c r="Q864" s="301"/>
      <c r="R864" s="336"/>
      <c r="S864" s="301"/>
      <c r="T864" s="336"/>
    </row>
    <row r="865" spans="1:20" ht="12" customHeight="1" x14ac:dyDescent="0.3">
      <c r="A865" s="329" t="s">
        <v>289</v>
      </c>
      <c r="B865" s="330">
        <v>6</v>
      </c>
      <c r="C865" s="298">
        <v>46070</v>
      </c>
      <c r="D865" s="299" t="s">
        <v>436</v>
      </c>
      <c r="E865" s="331">
        <v>40</v>
      </c>
      <c r="F865" s="331"/>
      <c r="G865" s="333">
        <f t="shared" si="14"/>
        <v>3384.4999999999927</v>
      </c>
      <c r="H865" s="334"/>
      <c r="I865" s="335"/>
      <c r="J865" s="336"/>
      <c r="K865" s="301"/>
      <c r="L865" s="336"/>
      <c r="M865" s="301"/>
      <c r="N865" s="336"/>
      <c r="O865" s="301"/>
      <c r="P865" s="336"/>
      <c r="Q865" s="301"/>
      <c r="R865" s="336"/>
      <c r="S865" s="301"/>
      <c r="T865" s="336"/>
    </row>
    <row r="866" spans="1:20" ht="12" customHeight="1" x14ac:dyDescent="0.3">
      <c r="A866" s="329" t="s">
        <v>294</v>
      </c>
      <c r="B866" s="330">
        <v>11</v>
      </c>
      <c r="C866" s="298">
        <v>46070</v>
      </c>
      <c r="D866" s="299" t="s">
        <v>178</v>
      </c>
      <c r="E866" s="331">
        <v>480.91</v>
      </c>
      <c r="F866" s="331"/>
      <c r="G866" s="333">
        <f t="shared" si="14"/>
        <v>3424.4999999999927</v>
      </c>
      <c r="H866" s="334"/>
      <c r="I866" s="335"/>
      <c r="J866" s="336"/>
      <c r="K866" s="301"/>
      <c r="L866" s="336"/>
      <c r="M866" s="301"/>
      <c r="N866" s="336"/>
      <c r="O866" s="301"/>
      <c r="P866" s="336"/>
      <c r="Q866" s="301"/>
      <c r="R866" s="336"/>
      <c r="S866" s="301"/>
      <c r="T866" s="336"/>
    </row>
    <row r="867" spans="1:20" ht="12" customHeight="1" x14ac:dyDescent="0.3">
      <c r="A867" s="329" t="s">
        <v>294</v>
      </c>
      <c r="B867" s="330">
        <v>23</v>
      </c>
      <c r="C867" s="298">
        <v>46070</v>
      </c>
      <c r="D867" s="299" t="s">
        <v>63</v>
      </c>
      <c r="E867" s="331">
        <v>529.46</v>
      </c>
      <c r="F867" s="331"/>
      <c r="G867" s="333">
        <f t="shared" si="14"/>
        <v>3905.4099999999926</v>
      </c>
      <c r="H867" s="334"/>
      <c r="I867" s="335"/>
      <c r="J867" s="336"/>
      <c r="K867" s="301"/>
      <c r="L867" s="336"/>
      <c r="M867" s="301"/>
      <c r="N867" s="336"/>
      <c r="O867" s="301"/>
      <c r="P867" s="336"/>
      <c r="Q867" s="301"/>
      <c r="R867" s="336"/>
      <c r="S867" s="301"/>
      <c r="T867" s="336"/>
    </row>
    <row r="868" spans="1:20" ht="12" customHeight="1" x14ac:dyDescent="0.3">
      <c r="A868" s="329" t="s">
        <v>289</v>
      </c>
      <c r="B868" s="330">
        <v>2</v>
      </c>
      <c r="C868" s="298">
        <v>46069</v>
      </c>
      <c r="D868" s="299" t="s">
        <v>324</v>
      </c>
      <c r="E868" s="331">
        <v>16.079999999999998</v>
      </c>
      <c r="F868" s="331"/>
      <c r="G868" s="333">
        <f t="shared" si="14"/>
        <v>4434.8699999999926</v>
      </c>
      <c r="H868" s="334"/>
      <c r="I868" s="335"/>
      <c r="J868" s="336"/>
      <c r="K868" s="301"/>
      <c r="L868" s="336"/>
      <c r="M868" s="301"/>
      <c r="N868" s="336"/>
      <c r="O868" s="301"/>
      <c r="P868" s="336"/>
      <c r="Q868" s="301"/>
      <c r="R868" s="336"/>
      <c r="S868" s="301"/>
      <c r="T868" s="336"/>
    </row>
    <row r="869" spans="1:20" ht="12" customHeight="1" x14ac:dyDescent="0.3">
      <c r="A869" s="329" t="s">
        <v>289</v>
      </c>
      <c r="B869" s="330">
        <v>6</v>
      </c>
      <c r="C869" s="298">
        <v>46069</v>
      </c>
      <c r="D869" s="299" t="s">
        <v>300</v>
      </c>
      <c r="E869" s="331">
        <v>21.17</v>
      </c>
      <c r="F869" s="331"/>
      <c r="G869" s="333">
        <f t="shared" si="14"/>
        <v>4450.9499999999925</v>
      </c>
      <c r="H869" s="334"/>
      <c r="I869" s="335"/>
      <c r="J869" s="336"/>
      <c r="K869" s="301"/>
      <c r="L869" s="336"/>
      <c r="M869" s="301"/>
      <c r="N869" s="336"/>
      <c r="O869" s="301"/>
      <c r="P869" s="336"/>
      <c r="Q869" s="301"/>
      <c r="R869" s="336"/>
      <c r="S869" s="301"/>
      <c r="T869" s="336"/>
    </row>
    <row r="870" spans="1:20" ht="12" customHeight="1" x14ac:dyDescent="0.3">
      <c r="A870" s="329" t="s">
        <v>289</v>
      </c>
      <c r="B870" s="330">
        <v>6</v>
      </c>
      <c r="C870" s="298">
        <v>46069</v>
      </c>
      <c r="D870" s="299" t="s">
        <v>300</v>
      </c>
      <c r="E870" s="331">
        <v>17.03</v>
      </c>
      <c r="F870" s="331"/>
      <c r="G870" s="333">
        <f t="shared" si="14"/>
        <v>4472.1199999999926</v>
      </c>
      <c r="H870" s="334"/>
      <c r="I870" s="335"/>
      <c r="J870" s="336"/>
      <c r="K870" s="301"/>
      <c r="L870" s="336"/>
      <c r="M870" s="301"/>
      <c r="N870" s="336"/>
      <c r="O870" s="301"/>
      <c r="P870" s="336"/>
      <c r="Q870" s="301"/>
      <c r="R870" s="336"/>
      <c r="S870" s="301"/>
      <c r="T870" s="336"/>
    </row>
    <row r="871" spans="1:20" ht="12" customHeight="1" x14ac:dyDescent="0.3">
      <c r="A871" s="329" t="s">
        <v>289</v>
      </c>
      <c r="B871" s="330">
        <v>2</v>
      </c>
      <c r="C871" s="298">
        <v>46069</v>
      </c>
      <c r="D871" s="299" t="s">
        <v>296</v>
      </c>
      <c r="E871" s="331">
        <v>18.309999999999999</v>
      </c>
      <c r="F871" s="331"/>
      <c r="G871" s="333">
        <f t="shared" si="14"/>
        <v>4489.1499999999924</v>
      </c>
      <c r="H871" s="334"/>
      <c r="I871" s="335"/>
      <c r="J871" s="336"/>
      <c r="K871" s="301"/>
      <c r="L871" s="336"/>
      <c r="M871" s="301"/>
      <c r="N871" s="336"/>
      <c r="O871" s="301"/>
      <c r="P871" s="336"/>
      <c r="Q871" s="301"/>
      <c r="R871" s="336"/>
      <c r="S871" s="301"/>
      <c r="T871" s="336"/>
    </row>
    <row r="872" spans="1:20" ht="12" customHeight="1" x14ac:dyDescent="0.3">
      <c r="A872" s="329" t="s">
        <v>289</v>
      </c>
      <c r="B872" s="330">
        <v>2</v>
      </c>
      <c r="C872" s="298">
        <v>46069</v>
      </c>
      <c r="D872" s="299" t="s">
        <v>301</v>
      </c>
      <c r="E872" s="331">
        <v>19.3</v>
      </c>
      <c r="F872" s="331"/>
      <c r="G872" s="333">
        <f t="shared" si="14"/>
        <v>4507.4599999999928</v>
      </c>
      <c r="H872" s="334"/>
      <c r="I872" s="335"/>
      <c r="J872" s="336"/>
      <c r="K872" s="301"/>
      <c r="L872" s="336"/>
      <c r="M872" s="301"/>
      <c r="N872" s="336"/>
      <c r="O872" s="301"/>
      <c r="P872" s="336"/>
      <c r="Q872" s="301"/>
      <c r="R872" s="336"/>
      <c r="S872" s="301"/>
      <c r="T872" s="336"/>
    </row>
    <row r="873" spans="1:20" ht="12" customHeight="1" x14ac:dyDescent="0.3">
      <c r="A873" s="329" t="s">
        <v>289</v>
      </c>
      <c r="B873" s="330">
        <v>6</v>
      </c>
      <c r="C873" s="298">
        <v>46069</v>
      </c>
      <c r="D873" s="299" t="s">
        <v>397</v>
      </c>
      <c r="E873" s="331">
        <v>24.67</v>
      </c>
      <c r="F873" s="331"/>
      <c r="G873" s="333">
        <f t="shared" si="14"/>
        <v>4526.7599999999929</v>
      </c>
      <c r="H873" s="334"/>
      <c r="I873" s="335"/>
      <c r="J873" s="336"/>
      <c r="K873" s="301"/>
      <c r="L873" s="336"/>
      <c r="M873" s="301"/>
      <c r="N873" s="336"/>
      <c r="O873" s="301"/>
      <c r="P873" s="336"/>
      <c r="Q873" s="301"/>
      <c r="R873" s="336"/>
      <c r="S873" s="301"/>
      <c r="T873" s="336"/>
    </row>
    <row r="874" spans="1:20" ht="12" customHeight="1" x14ac:dyDescent="0.3">
      <c r="A874" s="329" t="s">
        <v>287</v>
      </c>
      <c r="B874" s="330" t="s">
        <v>287</v>
      </c>
      <c r="C874" s="298">
        <v>46069</v>
      </c>
      <c r="D874" s="299" t="s">
        <v>397</v>
      </c>
      <c r="E874" s="331">
        <v>152.41999999999999</v>
      </c>
      <c r="F874" s="331">
        <v>152.41999999999999</v>
      </c>
      <c r="G874" s="333">
        <f t="shared" si="14"/>
        <v>4551.429999999993</v>
      </c>
      <c r="H874" s="334"/>
      <c r="I874" s="335"/>
      <c r="J874" s="336"/>
      <c r="K874" s="301"/>
      <c r="L874" s="336"/>
      <c r="M874" s="301"/>
      <c r="N874" s="336"/>
      <c r="O874" s="301"/>
      <c r="P874" s="336"/>
      <c r="Q874" s="301"/>
      <c r="R874" s="336"/>
      <c r="S874" s="301"/>
      <c r="T874" s="336"/>
    </row>
    <row r="875" spans="1:20" ht="12" customHeight="1" x14ac:dyDescent="0.3">
      <c r="A875" s="329" t="s">
        <v>289</v>
      </c>
      <c r="B875" s="330">
        <v>6</v>
      </c>
      <c r="C875" s="298">
        <v>46068</v>
      </c>
      <c r="D875" s="299" t="s">
        <v>437</v>
      </c>
      <c r="E875" s="331">
        <v>233.83</v>
      </c>
      <c r="F875" s="331"/>
      <c r="G875" s="333">
        <f t="shared" si="14"/>
        <v>4551.429999999993</v>
      </c>
      <c r="H875" s="334"/>
      <c r="I875" s="335"/>
      <c r="J875" s="336"/>
      <c r="K875" s="301"/>
      <c r="L875" s="336"/>
      <c r="M875" s="301"/>
      <c r="N875" s="336"/>
      <c r="O875" s="301"/>
      <c r="P875" s="336"/>
      <c r="Q875" s="301"/>
      <c r="R875" s="336"/>
      <c r="S875" s="301"/>
      <c r="T875" s="336"/>
    </row>
    <row r="876" spans="1:20" ht="12" customHeight="1" x14ac:dyDescent="0.3">
      <c r="A876" s="329" t="s">
        <v>289</v>
      </c>
      <c r="B876" s="330">
        <v>2</v>
      </c>
      <c r="C876" s="298">
        <v>46068</v>
      </c>
      <c r="D876" s="299" t="s">
        <v>326</v>
      </c>
      <c r="E876" s="331">
        <v>50.87</v>
      </c>
      <c r="F876" s="331"/>
      <c r="G876" s="333">
        <f t="shared" si="14"/>
        <v>4785.2599999999929</v>
      </c>
      <c r="H876" s="334"/>
      <c r="I876" s="335"/>
      <c r="J876" s="336"/>
      <c r="K876" s="301"/>
      <c r="L876" s="336"/>
      <c r="M876" s="301"/>
      <c r="N876" s="336"/>
      <c r="O876" s="301"/>
      <c r="P876" s="336"/>
      <c r="Q876" s="301"/>
      <c r="R876" s="336"/>
      <c r="S876" s="301"/>
      <c r="T876" s="336"/>
    </row>
    <row r="877" spans="1:20" ht="12" customHeight="1" x14ac:dyDescent="0.3">
      <c r="A877" s="329" t="s">
        <v>289</v>
      </c>
      <c r="B877" s="330">
        <v>2</v>
      </c>
      <c r="C877" s="298">
        <v>46068</v>
      </c>
      <c r="D877" s="299" t="s">
        <v>438</v>
      </c>
      <c r="E877" s="331">
        <v>16</v>
      </c>
      <c r="F877" s="331"/>
      <c r="G877" s="333">
        <f t="shared" si="14"/>
        <v>4836.1299999999928</v>
      </c>
      <c r="H877" s="334"/>
      <c r="I877" s="335"/>
      <c r="J877" s="336"/>
      <c r="K877" s="301"/>
      <c r="L877" s="336"/>
      <c r="M877" s="301"/>
      <c r="N877" s="336"/>
      <c r="O877" s="301"/>
      <c r="P877" s="336"/>
      <c r="Q877" s="301"/>
      <c r="R877" s="336"/>
      <c r="S877" s="301"/>
      <c r="T877" s="336"/>
    </row>
    <row r="878" spans="1:20" ht="12" customHeight="1" x14ac:dyDescent="0.3">
      <c r="A878" s="329" t="s">
        <v>289</v>
      </c>
      <c r="B878" s="330">
        <v>2</v>
      </c>
      <c r="C878" s="298">
        <v>46068</v>
      </c>
      <c r="D878" s="299" t="s">
        <v>353</v>
      </c>
      <c r="E878" s="331">
        <v>30</v>
      </c>
      <c r="F878" s="331"/>
      <c r="G878" s="333">
        <f t="shared" si="14"/>
        <v>4852.1299999999928</v>
      </c>
      <c r="H878" s="334"/>
      <c r="I878" s="335"/>
      <c r="J878" s="336"/>
      <c r="K878" s="301"/>
      <c r="L878" s="336"/>
      <c r="M878" s="301"/>
      <c r="N878" s="336"/>
      <c r="O878" s="301"/>
      <c r="P878" s="336"/>
      <c r="Q878" s="301"/>
      <c r="R878" s="336"/>
      <c r="S878" s="301"/>
      <c r="T878" s="336"/>
    </row>
    <row r="879" spans="1:20" ht="12" customHeight="1" x14ac:dyDescent="0.3">
      <c r="A879" s="329" t="s">
        <v>289</v>
      </c>
      <c r="B879" s="330">
        <v>6</v>
      </c>
      <c r="C879" s="298">
        <v>46068</v>
      </c>
      <c r="D879" s="299" t="s">
        <v>306</v>
      </c>
      <c r="E879" s="331">
        <v>76</v>
      </c>
      <c r="F879" s="331"/>
      <c r="G879" s="333">
        <f t="shared" si="14"/>
        <v>4882.1299999999928</v>
      </c>
      <c r="H879" s="334"/>
      <c r="I879" s="335"/>
      <c r="J879" s="336"/>
      <c r="K879" s="301"/>
      <c r="L879" s="336"/>
      <c r="M879" s="301"/>
      <c r="N879" s="336"/>
      <c r="O879" s="301"/>
      <c r="P879" s="336"/>
      <c r="Q879" s="301"/>
      <c r="R879" s="336"/>
      <c r="S879" s="301"/>
      <c r="T879" s="336"/>
    </row>
    <row r="880" spans="1:20" ht="12" customHeight="1" x14ac:dyDescent="0.3">
      <c r="A880" s="329" t="s">
        <v>289</v>
      </c>
      <c r="B880" s="330">
        <v>3</v>
      </c>
      <c r="C880" s="298">
        <v>46068</v>
      </c>
      <c r="D880" s="299" t="s">
        <v>348</v>
      </c>
      <c r="E880" s="331">
        <v>3.59</v>
      </c>
      <c r="F880" s="331"/>
      <c r="G880" s="333">
        <f t="shared" si="14"/>
        <v>4958.1299999999928</v>
      </c>
      <c r="H880" s="334"/>
      <c r="I880" s="335"/>
      <c r="J880" s="336"/>
      <c r="K880" s="301"/>
      <c r="L880" s="336"/>
      <c r="M880" s="301"/>
      <c r="N880" s="336"/>
      <c r="O880" s="301"/>
      <c r="P880" s="336"/>
      <c r="Q880" s="301"/>
      <c r="R880" s="336"/>
      <c r="S880" s="301"/>
      <c r="T880" s="336"/>
    </row>
    <row r="881" spans="1:20" ht="12" customHeight="1" x14ac:dyDescent="0.3">
      <c r="A881" s="329" t="s">
        <v>289</v>
      </c>
      <c r="B881" s="330">
        <v>6</v>
      </c>
      <c r="C881" s="298">
        <v>46068</v>
      </c>
      <c r="D881" s="299" t="s">
        <v>439</v>
      </c>
      <c r="E881" s="331">
        <v>70</v>
      </c>
      <c r="F881" s="331"/>
      <c r="G881" s="333">
        <f t="shared" si="14"/>
        <v>4961.719999999993</v>
      </c>
      <c r="H881" s="334"/>
      <c r="I881" s="335"/>
      <c r="J881" s="336"/>
      <c r="K881" s="301"/>
      <c r="L881" s="336"/>
      <c r="M881" s="301"/>
      <c r="N881" s="336"/>
      <c r="O881" s="301"/>
      <c r="P881" s="336"/>
      <c r="Q881" s="301"/>
      <c r="R881" s="336"/>
      <c r="S881" s="301"/>
      <c r="T881" s="336"/>
    </row>
    <row r="882" spans="1:20" ht="12" customHeight="1" x14ac:dyDescent="0.3">
      <c r="A882" s="329" t="s">
        <v>289</v>
      </c>
      <c r="B882" s="330">
        <v>8</v>
      </c>
      <c r="C882" s="298">
        <v>46068</v>
      </c>
      <c r="D882" s="299" t="s">
        <v>440</v>
      </c>
      <c r="E882" s="331">
        <v>175</v>
      </c>
      <c r="F882" s="331"/>
      <c r="G882" s="333">
        <f t="shared" si="14"/>
        <v>5031.719999999993</v>
      </c>
      <c r="H882" s="334" t="s">
        <v>298</v>
      </c>
      <c r="I882" s="335"/>
      <c r="J882" s="336"/>
      <c r="K882" s="301"/>
      <c r="L882" s="336"/>
      <c r="M882" s="301"/>
      <c r="N882" s="336"/>
      <c r="O882" s="301"/>
      <c r="P882" s="336"/>
      <c r="Q882" s="301"/>
      <c r="R882" s="336"/>
      <c r="S882" s="301"/>
      <c r="T882" s="336"/>
    </row>
    <row r="883" spans="1:20" ht="12" customHeight="1" x14ac:dyDescent="0.3">
      <c r="A883" s="329" t="s">
        <v>289</v>
      </c>
      <c r="B883" s="330">
        <v>8</v>
      </c>
      <c r="C883" s="298">
        <v>46067</v>
      </c>
      <c r="D883" s="299" t="s">
        <v>319</v>
      </c>
      <c r="E883" s="331">
        <v>13.09</v>
      </c>
      <c r="F883" s="331"/>
      <c r="G883" s="333">
        <f t="shared" si="14"/>
        <v>5206.719999999993</v>
      </c>
      <c r="H883" s="334"/>
      <c r="I883" s="335"/>
      <c r="J883" s="336"/>
      <c r="K883" s="301"/>
      <c r="L883" s="336"/>
      <c r="M883" s="301"/>
      <c r="N883" s="336"/>
      <c r="O883" s="301"/>
      <c r="P883" s="336"/>
      <c r="Q883" s="301"/>
      <c r="R883" s="336"/>
      <c r="S883" s="301"/>
      <c r="T883" s="336"/>
    </row>
    <row r="884" spans="1:20" ht="12" customHeight="1" x14ac:dyDescent="0.3">
      <c r="A884" s="329" t="s">
        <v>289</v>
      </c>
      <c r="B884" s="330">
        <v>3</v>
      </c>
      <c r="C884" s="298">
        <v>46067</v>
      </c>
      <c r="D884" s="299" t="s">
        <v>296</v>
      </c>
      <c r="E884" s="331">
        <v>7.56</v>
      </c>
      <c r="F884" s="331"/>
      <c r="G884" s="333">
        <f t="shared" si="14"/>
        <v>5219.8099999999931</v>
      </c>
      <c r="H884" s="334"/>
      <c r="I884" s="335"/>
      <c r="J884" s="336"/>
      <c r="K884" s="301"/>
      <c r="L884" s="336"/>
      <c r="M884" s="301"/>
      <c r="N884" s="336"/>
      <c r="O884" s="301"/>
      <c r="P884" s="336"/>
      <c r="Q884" s="301"/>
      <c r="R884" s="336"/>
      <c r="S884" s="301"/>
      <c r="T884" s="336"/>
    </row>
    <row r="885" spans="1:20" ht="12" customHeight="1" x14ac:dyDescent="0.3">
      <c r="A885" s="329" t="s">
        <v>289</v>
      </c>
      <c r="B885" s="330">
        <v>4</v>
      </c>
      <c r="C885" s="298">
        <v>46067</v>
      </c>
      <c r="D885" s="299" t="s">
        <v>296</v>
      </c>
      <c r="E885" s="331">
        <v>32.409999999999997</v>
      </c>
      <c r="F885" s="331"/>
      <c r="G885" s="333">
        <f t="shared" si="14"/>
        <v>5227.3699999999935</v>
      </c>
      <c r="H885" s="334"/>
      <c r="I885" s="335"/>
      <c r="J885" s="336"/>
      <c r="K885" s="301"/>
      <c r="L885" s="336"/>
      <c r="M885" s="301"/>
      <c r="N885" s="336"/>
      <c r="O885" s="301"/>
      <c r="P885" s="336"/>
      <c r="Q885" s="301"/>
      <c r="R885" s="336"/>
      <c r="S885" s="301"/>
      <c r="T885" s="336"/>
    </row>
    <row r="886" spans="1:20" ht="12" customHeight="1" x14ac:dyDescent="0.3">
      <c r="A886" s="329" t="s">
        <v>289</v>
      </c>
      <c r="B886" s="330">
        <v>5</v>
      </c>
      <c r="C886" s="298">
        <v>46067</v>
      </c>
      <c r="D886" s="299" t="s">
        <v>441</v>
      </c>
      <c r="E886" s="331">
        <v>400</v>
      </c>
      <c r="F886" s="331"/>
      <c r="G886" s="333">
        <f t="shared" si="14"/>
        <v>5259.7799999999934</v>
      </c>
      <c r="H886" s="334"/>
      <c r="I886" s="335"/>
      <c r="J886" s="336"/>
      <c r="K886" s="301"/>
      <c r="L886" s="336"/>
      <c r="M886" s="301"/>
      <c r="N886" s="336"/>
      <c r="O886" s="301"/>
      <c r="P886" s="336"/>
      <c r="Q886" s="301"/>
      <c r="R886" s="336"/>
      <c r="S886" s="301"/>
      <c r="T886" s="336"/>
    </row>
    <row r="887" spans="1:20" ht="12" customHeight="1" x14ac:dyDescent="0.3">
      <c r="A887" s="329" t="s">
        <v>289</v>
      </c>
      <c r="B887" s="330">
        <v>8</v>
      </c>
      <c r="C887" s="298">
        <v>46066</v>
      </c>
      <c r="D887" s="299" t="s">
        <v>319</v>
      </c>
      <c r="E887" s="331">
        <v>41.51</v>
      </c>
      <c r="F887" s="331"/>
      <c r="G887" s="333">
        <f t="shared" si="14"/>
        <v>5659.7799999999934</v>
      </c>
      <c r="H887" s="334"/>
      <c r="I887" s="335"/>
      <c r="J887" s="336"/>
      <c r="K887" s="301"/>
      <c r="L887" s="336"/>
      <c r="M887" s="301"/>
      <c r="N887" s="336"/>
      <c r="O887" s="301"/>
      <c r="P887" s="336"/>
      <c r="Q887" s="301"/>
      <c r="R887" s="336"/>
      <c r="S887" s="301"/>
      <c r="T887" s="336"/>
    </row>
    <row r="888" spans="1:20" ht="12" customHeight="1" x14ac:dyDescent="0.3">
      <c r="A888" s="329" t="s">
        <v>289</v>
      </c>
      <c r="B888" s="330">
        <v>4</v>
      </c>
      <c r="C888" s="298">
        <v>46066</v>
      </c>
      <c r="D888" s="299" t="s">
        <v>296</v>
      </c>
      <c r="E888" s="331">
        <v>21.55</v>
      </c>
      <c r="F888" s="331"/>
      <c r="G888" s="333">
        <f t="shared" si="14"/>
        <v>5701.2899999999936</v>
      </c>
      <c r="H888" s="334"/>
      <c r="I888" s="335"/>
      <c r="J888" s="336"/>
      <c r="K888" s="301"/>
      <c r="L888" s="336"/>
      <c r="M888" s="301"/>
      <c r="N888" s="336"/>
      <c r="O888" s="301"/>
      <c r="P888" s="336"/>
      <c r="Q888" s="301"/>
      <c r="R888" s="336"/>
      <c r="S888" s="301"/>
      <c r="T888" s="336"/>
    </row>
    <row r="889" spans="1:20" ht="12" customHeight="1" x14ac:dyDescent="0.3">
      <c r="A889" s="329" t="s">
        <v>289</v>
      </c>
      <c r="B889" s="330">
        <v>2</v>
      </c>
      <c r="C889" s="298">
        <v>46066</v>
      </c>
      <c r="D889" s="299" t="s">
        <v>358</v>
      </c>
      <c r="E889" s="331">
        <v>12.45</v>
      </c>
      <c r="F889" s="331"/>
      <c r="G889" s="333">
        <f t="shared" si="14"/>
        <v>5722.8399999999938</v>
      </c>
      <c r="H889" s="334"/>
      <c r="I889" s="335"/>
      <c r="J889" s="336"/>
      <c r="K889" s="301"/>
      <c r="L889" s="336"/>
      <c r="M889" s="301"/>
      <c r="N889" s="336"/>
      <c r="O889" s="301"/>
      <c r="P889" s="336"/>
      <c r="Q889" s="301"/>
      <c r="R889" s="336"/>
      <c r="S889" s="301"/>
      <c r="T889" s="336"/>
    </row>
    <row r="890" spans="1:20" ht="12" customHeight="1" x14ac:dyDescent="0.3">
      <c r="A890" s="329" t="s">
        <v>287</v>
      </c>
      <c r="B890" s="330" t="s">
        <v>287</v>
      </c>
      <c r="C890" s="298">
        <v>46066</v>
      </c>
      <c r="D890" s="299" t="s">
        <v>397</v>
      </c>
      <c r="E890" s="331">
        <v>91.38</v>
      </c>
      <c r="F890" s="331">
        <v>91.38</v>
      </c>
      <c r="G890" s="333">
        <f t="shared" si="14"/>
        <v>5735.2899999999936</v>
      </c>
      <c r="H890" s="334"/>
      <c r="I890" s="335"/>
      <c r="J890" s="336"/>
      <c r="K890" s="301"/>
      <c r="L890" s="336"/>
      <c r="M890" s="301"/>
      <c r="N890" s="336"/>
      <c r="O890" s="301"/>
      <c r="P890" s="336"/>
      <c r="Q890" s="301"/>
      <c r="R890" s="336"/>
      <c r="S890" s="301"/>
      <c r="T890" s="336"/>
    </row>
    <row r="891" spans="1:20" ht="12" customHeight="1" x14ac:dyDescent="0.3">
      <c r="A891" s="329" t="s">
        <v>289</v>
      </c>
      <c r="B891" s="330">
        <v>1</v>
      </c>
      <c r="C891" s="298">
        <v>46066</v>
      </c>
      <c r="D891" s="299" t="s">
        <v>311</v>
      </c>
      <c r="E891" s="331">
        <v>16.48</v>
      </c>
      <c r="F891" s="331"/>
      <c r="G891" s="333">
        <f t="shared" si="14"/>
        <v>5735.2899999999936</v>
      </c>
      <c r="H891" s="334"/>
      <c r="I891" s="335"/>
      <c r="J891" s="336"/>
      <c r="K891" s="301"/>
      <c r="L891" s="336"/>
      <c r="M891" s="301"/>
      <c r="N891" s="336"/>
      <c r="O891" s="301"/>
      <c r="P891" s="336"/>
      <c r="Q891" s="301"/>
      <c r="R891" s="336"/>
      <c r="S891" s="301"/>
      <c r="T891" s="336"/>
    </row>
    <row r="892" spans="1:20" ht="12" customHeight="1" x14ac:dyDescent="0.3">
      <c r="A892" s="329" t="s">
        <v>289</v>
      </c>
      <c r="B892" s="330">
        <v>1</v>
      </c>
      <c r="C892" s="298">
        <v>46066</v>
      </c>
      <c r="D892" s="299" t="s">
        <v>428</v>
      </c>
      <c r="E892" s="331">
        <v>12.76</v>
      </c>
      <c r="F892" s="331"/>
      <c r="G892" s="333">
        <f t="shared" si="14"/>
        <v>5751.7699999999932</v>
      </c>
      <c r="H892" s="334"/>
      <c r="I892" s="335"/>
      <c r="J892" s="336"/>
      <c r="K892" s="301"/>
      <c r="L892" s="336"/>
      <c r="M892" s="301"/>
      <c r="N892" s="336"/>
      <c r="O892" s="301"/>
      <c r="P892" s="336"/>
      <c r="Q892" s="301"/>
      <c r="R892" s="336"/>
      <c r="S892" s="301"/>
      <c r="T892" s="336"/>
    </row>
    <row r="893" spans="1:20" ht="12" customHeight="1" x14ac:dyDescent="0.3">
      <c r="A893" s="329" t="s">
        <v>289</v>
      </c>
      <c r="B893" s="330">
        <v>4</v>
      </c>
      <c r="C893" s="298">
        <v>46066</v>
      </c>
      <c r="D893" s="299" t="s">
        <v>329</v>
      </c>
      <c r="E893" s="331">
        <v>37.9</v>
      </c>
      <c r="F893" s="331"/>
      <c r="G893" s="333">
        <f t="shared" si="14"/>
        <v>5764.5299999999934</v>
      </c>
      <c r="H893" s="334"/>
      <c r="I893" s="335"/>
      <c r="J893" s="336"/>
      <c r="K893" s="301"/>
      <c r="L893" s="336"/>
      <c r="M893" s="301"/>
      <c r="N893" s="336"/>
      <c r="O893" s="301"/>
      <c r="P893" s="336"/>
      <c r="Q893" s="301"/>
      <c r="R893" s="336"/>
      <c r="S893" s="301"/>
      <c r="T893" s="336"/>
    </row>
    <row r="894" spans="1:20" ht="12" customHeight="1" x14ac:dyDescent="0.3">
      <c r="A894" s="329" t="s">
        <v>291</v>
      </c>
      <c r="B894" s="330">
        <v>40</v>
      </c>
      <c r="C894" s="298">
        <v>46066</v>
      </c>
      <c r="D894" s="299" t="s">
        <v>316</v>
      </c>
      <c r="E894" s="331"/>
      <c r="F894" s="331">
        <v>427.18</v>
      </c>
      <c r="G894" s="333">
        <f t="shared" si="14"/>
        <v>5802.429999999993</v>
      </c>
      <c r="H894" s="334"/>
      <c r="I894" s="335"/>
      <c r="J894" s="336"/>
      <c r="K894" s="301"/>
      <c r="L894" s="336"/>
      <c r="M894" s="301"/>
      <c r="N894" s="336"/>
      <c r="O894" s="301"/>
      <c r="P894" s="336"/>
      <c r="Q894" s="301"/>
      <c r="R894" s="336"/>
      <c r="S894" s="301"/>
      <c r="T894" s="336"/>
    </row>
    <row r="895" spans="1:20" ht="12" customHeight="1" x14ac:dyDescent="0.3">
      <c r="A895" s="329" t="s">
        <v>291</v>
      </c>
      <c r="B895" s="330">
        <v>38</v>
      </c>
      <c r="C895" s="298">
        <v>46066</v>
      </c>
      <c r="D895" s="299" t="s">
        <v>293</v>
      </c>
      <c r="E895" s="331"/>
      <c r="F895" s="331">
        <v>4278.16</v>
      </c>
      <c r="G895" s="333">
        <f t="shared" si="14"/>
        <v>5375.2499999999927</v>
      </c>
      <c r="H895" s="334"/>
      <c r="I895" s="335"/>
      <c r="J895" s="336"/>
      <c r="K895" s="301"/>
      <c r="L895" s="336"/>
      <c r="M895" s="301"/>
      <c r="N895" s="336"/>
      <c r="O895" s="301"/>
      <c r="P895" s="336"/>
      <c r="Q895" s="301"/>
      <c r="R895" s="336"/>
      <c r="S895" s="301"/>
      <c r="T895" s="336"/>
    </row>
    <row r="896" spans="1:20" ht="12" customHeight="1" x14ac:dyDescent="0.3">
      <c r="A896" s="329" t="s">
        <v>289</v>
      </c>
      <c r="B896" s="330">
        <v>8</v>
      </c>
      <c r="C896" s="298">
        <v>46065</v>
      </c>
      <c r="D896" s="299" t="s">
        <v>357</v>
      </c>
      <c r="E896" s="331">
        <v>111.36</v>
      </c>
      <c r="F896" s="331"/>
      <c r="G896" s="333">
        <f t="shared" si="14"/>
        <v>1097.0899999999931</v>
      </c>
      <c r="H896" s="334"/>
      <c r="I896" s="335"/>
      <c r="J896" s="336"/>
      <c r="K896" s="301"/>
      <c r="L896" s="336"/>
      <c r="M896" s="301"/>
      <c r="N896" s="336"/>
      <c r="O896" s="301"/>
      <c r="P896" s="336"/>
      <c r="Q896" s="301"/>
      <c r="R896" s="336"/>
      <c r="S896" s="301"/>
      <c r="T896" s="336"/>
    </row>
    <row r="897" spans="1:20" ht="12" customHeight="1" x14ac:dyDescent="0.3">
      <c r="A897" s="329" t="s">
        <v>289</v>
      </c>
      <c r="B897" s="330">
        <v>6</v>
      </c>
      <c r="C897" s="298">
        <v>46065</v>
      </c>
      <c r="D897" s="299" t="s">
        <v>442</v>
      </c>
      <c r="E897" s="331">
        <v>16</v>
      </c>
      <c r="F897" s="331"/>
      <c r="G897" s="333">
        <f t="shared" si="14"/>
        <v>1208.449999999993</v>
      </c>
      <c r="H897" s="334"/>
      <c r="I897" s="335"/>
      <c r="J897" s="336"/>
      <c r="K897" s="301"/>
      <c r="L897" s="336"/>
      <c r="M897" s="301"/>
      <c r="N897" s="336"/>
      <c r="O897" s="301"/>
      <c r="P897" s="336"/>
      <c r="Q897" s="301"/>
      <c r="R897" s="336"/>
      <c r="S897" s="301"/>
      <c r="T897" s="336"/>
    </row>
    <row r="898" spans="1:20" ht="12" customHeight="1" x14ac:dyDescent="0.3">
      <c r="A898" s="329" t="s">
        <v>289</v>
      </c>
      <c r="B898" s="330">
        <v>6</v>
      </c>
      <c r="C898" s="298">
        <v>46065</v>
      </c>
      <c r="D898" s="299" t="s">
        <v>300</v>
      </c>
      <c r="E898" s="331">
        <v>29.81</v>
      </c>
      <c r="F898" s="331"/>
      <c r="G898" s="333">
        <f t="shared" si="14"/>
        <v>1224.449999999993</v>
      </c>
      <c r="H898" s="334"/>
      <c r="I898" s="335"/>
      <c r="J898" s="336"/>
      <c r="K898" s="301"/>
      <c r="L898" s="336"/>
      <c r="M898" s="301"/>
      <c r="N898" s="336"/>
      <c r="O898" s="301"/>
      <c r="P898" s="336"/>
      <c r="Q898" s="301"/>
      <c r="R898" s="336"/>
      <c r="S898" s="301"/>
      <c r="T898" s="336"/>
    </row>
    <row r="899" spans="1:20" ht="12" customHeight="1" x14ac:dyDescent="0.3">
      <c r="A899" s="329" t="s">
        <v>294</v>
      </c>
      <c r="B899" s="330">
        <v>19</v>
      </c>
      <c r="C899" s="298">
        <v>46065</v>
      </c>
      <c r="D899" s="299" t="s">
        <v>191</v>
      </c>
      <c r="E899" s="331">
        <v>200</v>
      </c>
      <c r="F899" s="331"/>
      <c r="G899" s="333">
        <f t="shared" si="14"/>
        <v>1254.2599999999929</v>
      </c>
      <c r="H899" s="334"/>
      <c r="I899" s="335"/>
      <c r="J899" s="336"/>
      <c r="K899" s="301"/>
      <c r="L899" s="336"/>
      <c r="M899" s="301"/>
      <c r="N899" s="336"/>
      <c r="O899" s="301"/>
      <c r="P899" s="336"/>
      <c r="Q899" s="301"/>
      <c r="R899" s="336"/>
      <c r="S899" s="301"/>
      <c r="T899" s="336"/>
    </row>
    <row r="900" spans="1:20" ht="12" customHeight="1" x14ac:dyDescent="0.3">
      <c r="A900" s="329" t="s">
        <v>289</v>
      </c>
      <c r="B900" s="330">
        <v>2</v>
      </c>
      <c r="C900" s="298">
        <v>46065</v>
      </c>
      <c r="D900" s="299" t="s">
        <v>296</v>
      </c>
      <c r="E900" s="331">
        <v>7.56</v>
      </c>
      <c r="F900" s="331"/>
      <c r="G900" s="333">
        <f t="shared" si="14"/>
        <v>1454.2599999999929</v>
      </c>
      <c r="H900" s="334"/>
      <c r="I900" s="335"/>
      <c r="J900" s="336"/>
      <c r="K900" s="301"/>
      <c r="L900" s="336"/>
      <c r="M900" s="301"/>
      <c r="N900" s="336"/>
      <c r="O900" s="301"/>
      <c r="P900" s="336"/>
      <c r="Q900" s="301"/>
      <c r="R900" s="336"/>
      <c r="S900" s="301"/>
      <c r="T900" s="336"/>
    </row>
    <row r="901" spans="1:20" ht="12" customHeight="1" x14ac:dyDescent="0.3">
      <c r="A901" s="329" t="s">
        <v>289</v>
      </c>
      <c r="B901" s="330">
        <v>4</v>
      </c>
      <c r="C901" s="298">
        <v>46065</v>
      </c>
      <c r="D901" s="299" t="s">
        <v>296</v>
      </c>
      <c r="E901" s="331">
        <v>65.78</v>
      </c>
      <c r="F901" s="331"/>
      <c r="G901" s="333">
        <f t="shared" si="14"/>
        <v>1461.8199999999929</v>
      </c>
      <c r="H901" s="334"/>
      <c r="I901" s="335"/>
      <c r="J901" s="336"/>
      <c r="K901" s="301"/>
      <c r="L901" s="336"/>
      <c r="M901" s="301"/>
      <c r="N901" s="336"/>
      <c r="O901" s="301"/>
      <c r="P901" s="336"/>
      <c r="Q901" s="301"/>
      <c r="R901" s="336"/>
      <c r="S901" s="301"/>
      <c r="T901" s="336"/>
    </row>
    <row r="902" spans="1:20" ht="12" customHeight="1" x14ac:dyDescent="0.3">
      <c r="A902" s="329" t="s">
        <v>289</v>
      </c>
      <c r="B902" s="330">
        <v>3</v>
      </c>
      <c r="C902" s="298">
        <v>46065</v>
      </c>
      <c r="D902" s="299" t="s">
        <v>296</v>
      </c>
      <c r="E902" s="331">
        <v>3.93</v>
      </c>
      <c r="F902" s="331"/>
      <c r="G902" s="333">
        <f t="shared" si="14"/>
        <v>1527.5999999999929</v>
      </c>
      <c r="H902" s="334"/>
      <c r="I902" s="335"/>
      <c r="J902" s="336"/>
      <c r="K902" s="301"/>
      <c r="L902" s="336"/>
      <c r="M902" s="301"/>
      <c r="N902" s="336"/>
      <c r="O902" s="301"/>
      <c r="P902" s="336"/>
      <c r="Q902" s="301"/>
      <c r="R902" s="336"/>
      <c r="S902" s="301"/>
      <c r="T902" s="336"/>
    </row>
    <row r="903" spans="1:20" ht="12" customHeight="1" x14ac:dyDescent="0.3">
      <c r="A903" s="329" t="s">
        <v>289</v>
      </c>
      <c r="B903" s="330">
        <v>7</v>
      </c>
      <c r="C903" s="298">
        <v>46065</v>
      </c>
      <c r="D903" s="299" t="s">
        <v>443</v>
      </c>
      <c r="E903" s="331">
        <v>564.83000000000004</v>
      </c>
      <c r="F903" s="331"/>
      <c r="G903" s="333">
        <f t="shared" si="14"/>
        <v>1531.5299999999929</v>
      </c>
      <c r="H903" s="334"/>
      <c r="I903" s="335"/>
      <c r="J903" s="336"/>
      <c r="K903" s="301"/>
      <c r="L903" s="336"/>
      <c r="M903" s="301"/>
      <c r="N903" s="336"/>
      <c r="O903" s="301"/>
      <c r="P903" s="336"/>
      <c r="Q903" s="301"/>
      <c r="R903" s="336"/>
      <c r="S903" s="301"/>
      <c r="T903" s="336"/>
    </row>
    <row r="904" spans="1:20" ht="12" customHeight="1" x14ac:dyDescent="0.3">
      <c r="A904" s="329" t="s">
        <v>289</v>
      </c>
      <c r="B904" s="330">
        <v>7</v>
      </c>
      <c r="C904" s="298">
        <v>46065</v>
      </c>
      <c r="D904" s="299" t="s">
        <v>444</v>
      </c>
      <c r="E904" s="331">
        <v>70.180000000000007</v>
      </c>
      <c r="F904" s="331"/>
      <c r="G904" s="333">
        <f t="shared" si="14"/>
        <v>2096.3599999999929</v>
      </c>
      <c r="H904" s="334"/>
      <c r="I904" s="335"/>
      <c r="J904" s="336"/>
      <c r="K904" s="301"/>
      <c r="L904" s="336"/>
      <c r="M904" s="301"/>
      <c r="N904" s="336"/>
      <c r="O904" s="301"/>
      <c r="P904" s="336"/>
      <c r="Q904" s="301"/>
      <c r="R904" s="336"/>
      <c r="S904" s="301"/>
      <c r="T904" s="336"/>
    </row>
    <row r="905" spans="1:20" ht="12" customHeight="1" x14ac:dyDescent="0.3">
      <c r="A905" s="329" t="s">
        <v>289</v>
      </c>
      <c r="B905" s="330">
        <v>6</v>
      </c>
      <c r="C905" s="298">
        <v>46065</v>
      </c>
      <c r="D905" s="299" t="s">
        <v>445</v>
      </c>
      <c r="E905" s="331">
        <v>2.66</v>
      </c>
      <c r="F905" s="331"/>
      <c r="G905" s="333">
        <f t="shared" si="14"/>
        <v>2166.5399999999927</v>
      </c>
      <c r="H905" s="334"/>
      <c r="I905" s="335"/>
      <c r="J905" s="336"/>
      <c r="K905" s="301"/>
      <c r="L905" s="336"/>
      <c r="M905" s="301"/>
      <c r="N905" s="336"/>
      <c r="O905" s="301"/>
      <c r="P905" s="336"/>
      <c r="Q905" s="301"/>
      <c r="R905" s="336"/>
      <c r="S905" s="301"/>
      <c r="T905" s="336"/>
    </row>
    <row r="906" spans="1:20" ht="12" customHeight="1" x14ac:dyDescent="0.3">
      <c r="A906" s="329" t="s">
        <v>289</v>
      </c>
      <c r="B906" s="330">
        <v>5</v>
      </c>
      <c r="C906" s="298">
        <v>46064</v>
      </c>
      <c r="D906" s="299" t="s">
        <v>429</v>
      </c>
      <c r="E906" s="331">
        <v>103.25</v>
      </c>
      <c r="F906" s="331"/>
      <c r="G906" s="333">
        <f t="shared" si="14"/>
        <v>2169.1999999999925</v>
      </c>
      <c r="H906" s="334"/>
      <c r="I906" s="335"/>
      <c r="J906" s="336"/>
      <c r="K906" s="301"/>
      <c r="L906" s="336"/>
      <c r="M906" s="301"/>
      <c r="N906" s="336"/>
      <c r="O906" s="301"/>
      <c r="P906" s="336"/>
      <c r="Q906" s="301"/>
      <c r="R906" s="336"/>
      <c r="S906" s="301"/>
      <c r="T906" s="336"/>
    </row>
    <row r="907" spans="1:20" ht="12" customHeight="1" x14ac:dyDescent="0.3">
      <c r="A907" s="329" t="s">
        <v>289</v>
      </c>
      <c r="B907" s="330">
        <v>4</v>
      </c>
      <c r="C907" s="298">
        <v>46064</v>
      </c>
      <c r="D907" s="299" t="s">
        <v>363</v>
      </c>
      <c r="E907" s="331">
        <v>30.39</v>
      </c>
      <c r="F907" s="331"/>
      <c r="G907" s="333">
        <f t="shared" si="14"/>
        <v>2272.4499999999925</v>
      </c>
      <c r="H907" s="334"/>
      <c r="I907" s="335"/>
      <c r="J907" s="336"/>
      <c r="K907" s="301"/>
      <c r="L907" s="336"/>
      <c r="M907" s="301"/>
      <c r="N907" s="336"/>
      <c r="O907" s="301"/>
      <c r="P907" s="336"/>
      <c r="Q907" s="301"/>
      <c r="R907" s="336"/>
      <c r="S907" s="301"/>
      <c r="T907" s="336"/>
    </row>
    <row r="908" spans="1:20" ht="12" customHeight="1" x14ac:dyDescent="0.3">
      <c r="A908" s="329" t="s">
        <v>289</v>
      </c>
      <c r="B908" s="330">
        <v>2</v>
      </c>
      <c r="C908" s="298">
        <v>46064</v>
      </c>
      <c r="D908" s="299" t="s">
        <v>296</v>
      </c>
      <c r="E908" s="331">
        <v>9.92</v>
      </c>
      <c r="F908" s="331"/>
      <c r="G908" s="333">
        <f t="shared" si="14"/>
        <v>2302.8399999999924</v>
      </c>
      <c r="H908" s="334"/>
      <c r="I908" s="335"/>
      <c r="J908" s="336"/>
      <c r="K908" s="301"/>
      <c r="L908" s="336"/>
      <c r="M908" s="301"/>
      <c r="N908" s="336"/>
      <c r="O908" s="301"/>
      <c r="P908" s="336"/>
      <c r="Q908" s="301"/>
      <c r="R908" s="336"/>
      <c r="S908" s="301"/>
      <c r="T908" s="336"/>
    </row>
    <row r="909" spans="1:20" ht="12" customHeight="1" x14ac:dyDescent="0.3">
      <c r="A909" s="329" t="s">
        <v>289</v>
      </c>
      <c r="B909" s="330">
        <v>3</v>
      </c>
      <c r="C909" s="298">
        <v>46064</v>
      </c>
      <c r="D909" s="299" t="s">
        <v>295</v>
      </c>
      <c r="E909" s="331">
        <v>3.49</v>
      </c>
      <c r="F909" s="331"/>
      <c r="G909" s="333">
        <f t="shared" si="14"/>
        <v>2312.7599999999925</v>
      </c>
      <c r="H909" s="334"/>
      <c r="I909" s="335"/>
      <c r="J909" s="336"/>
      <c r="K909" s="301"/>
      <c r="L909" s="336"/>
      <c r="M909" s="301"/>
      <c r="N909" s="336"/>
      <c r="O909" s="301"/>
      <c r="P909" s="336"/>
      <c r="Q909" s="301"/>
      <c r="R909" s="336"/>
      <c r="S909" s="301"/>
      <c r="T909" s="336"/>
    </row>
    <row r="910" spans="1:20" ht="12" customHeight="1" x14ac:dyDescent="0.3">
      <c r="A910" s="329" t="s">
        <v>294</v>
      </c>
      <c r="B910" s="330">
        <v>22</v>
      </c>
      <c r="C910" s="298">
        <v>46064</v>
      </c>
      <c r="D910" s="299" t="s">
        <v>352</v>
      </c>
      <c r="E910" s="331">
        <v>19.16</v>
      </c>
      <c r="F910" s="331"/>
      <c r="G910" s="333">
        <f t="shared" si="14"/>
        <v>2316.2499999999923</v>
      </c>
      <c r="H910" s="334"/>
      <c r="I910" s="335"/>
      <c r="J910" s="336"/>
      <c r="K910" s="301"/>
      <c r="L910" s="336"/>
      <c r="M910" s="301"/>
      <c r="N910" s="336"/>
      <c r="O910" s="301"/>
      <c r="P910" s="336"/>
      <c r="Q910" s="301"/>
      <c r="R910" s="336"/>
      <c r="S910" s="301"/>
      <c r="T910" s="336"/>
    </row>
    <row r="911" spans="1:20" ht="12" customHeight="1" x14ac:dyDescent="0.3">
      <c r="A911" s="329" t="s">
        <v>289</v>
      </c>
      <c r="B911" s="330">
        <v>6</v>
      </c>
      <c r="C911" s="298">
        <v>46063</v>
      </c>
      <c r="D911" s="299" t="s">
        <v>412</v>
      </c>
      <c r="E911" s="331">
        <v>-8</v>
      </c>
      <c r="F911" s="331"/>
      <c r="G911" s="333">
        <f t="shared" si="14"/>
        <v>2335.4099999999921</v>
      </c>
      <c r="H911" s="334"/>
      <c r="I911" s="335"/>
      <c r="J911" s="336"/>
      <c r="K911" s="301"/>
      <c r="L911" s="336"/>
      <c r="M911" s="301"/>
      <c r="N911" s="336"/>
      <c r="O911" s="301"/>
      <c r="P911" s="336"/>
      <c r="Q911" s="301"/>
      <c r="R911" s="336"/>
      <c r="S911" s="301"/>
      <c r="T911" s="336"/>
    </row>
    <row r="912" spans="1:20" ht="12" customHeight="1" x14ac:dyDescent="0.3">
      <c r="A912" s="329" t="s">
        <v>289</v>
      </c>
      <c r="B912" s="330">
        <v>6</v>
      </c>
      <c r="C912" s="298">
        <v>46063</v>
      </c>
      <c r="D912" s="299" t="s">
        <v>446</v>
      </c>
      <c r="E912" s="331">
        <v>-0.04</v>
      </c>
      <c r="F912" s="331"/>
      <c r="G912" s="333">
        <f t="shared" si="14"/>
        <v>2327.4099999999921</v>
      </c>
      <c r="H912" s="334"/>
      <c r="I912" s="335"/>
      <c r="J912" s="336"/>
      <c r="K912" s="301"/>
      <c r="L912" s="336"/>
      <c r="M912" s="301"/>
      <c r="N912" s="336"/>
      <c r="O912" s="301"/>
      <c r="P912" s="336"/>
      <c r="Q912" s="301"/>
      <c r="R912" s="336"/>
      <c r="S912" s="301"/>
      <c r="T912" s="336"/>
    </row>
    <row r="913" spans="1:20" ht="12" customHeight="1" x14ac:dyDescent="0.3">
      <c r="A913" s="329" t="s">
        <v>335</v>
      </c>
      <c r="B913" s="330" t="s">
        <v>335</v>
      </c>
      <c r="C913" s="298">
        <v>46063</v>
      </c>
      <c r="D913" s="299" t="s">
        <v>447</v>
      </c>
      <c r="E913" s="331">
        <v>65.78</v>
      </c>
      <c r="F913" s="331"/>
      <c r="G913" s="333">
        <f t="shared" si="14"/>
        <v>2327.3699999999922</v>
      </c>
      <c r="H913" s="334"/>
      <c r="I913" s="335"/>
      <c r="J913" s="336"/>
      <c r="K913" s="301"/>
      <c r="L913" s="336"/>
      <c r="M913" s="301"/>
      <c r="N913" s="336"/>
      <c r="O913" s="301"/>
      <c r="P913" s="336"/>
      <c r="Q913" s="301"/>
      <c r="R913" s="336"/>
      <c r="S913" s="301"/>
      <c r="T913" s="336"/>
    </row>
    <row r="914" spans="1:20" ht="12" customHeight="1" x14ac:dyDescent="0.3">
      <c r="A914" s="329" t="s">
        <v>294</v>
      </c>
      <c r="B914" s="330">
        <v>13</v>
      </c>
      <c r="C914" s="298">
        <v>46063</v>
      </c>
      <c r="D914" s="299" t="s">
        <v>182</v>
      </c>
      <c r="E914" s="331">
        <v>159.35</v>
      </c>
      <c r="F914" s="331"/>
      <c r="G914" s="333">
        <f t="shared" si="14"/>
        <v>2393.1499999999924</v>
      </c>
      <c r="H914" s="334"/>
      <c r="I914" s="335"/>
      <c r="J914" s="336"/>
      <c r="K914" s="301"/>
      <c r="L914" s="336"/>
      <c r="M914" s="301"/>
      <c r="N914" s="336"/>
      <c r="O914" s="301"/>
      <c r="P914" s="336"/>
      <c r="Q914" s="301"/>
      <c r="R914" s="336"/>
      <c r="S914" s="301"/>
      <c r="T914" s="336"/>
    </row>
    <row r="915" spans="1:20" ht="12" customHeight="1" x14ac:dyDescent="0.3">
      <c r="A915" s="329" t="s">
        <v>289</v>
      </c>
      <c r="B915" s="330">
        <v>2</v>
      </c>
      <c r="C915" s="298">
        <v>46063</v>
      </c>
      <c r="D915" s="299" t="s">
        <v>296</v>
      </c>
      <c r="E915" s="331">
        <v>16.29</v>
      </c>
      <c r="F915" s="331"/>
      <c r="G915" s="333">
        <f t="shared" si="14"/>
        <v>2552.4999999999923</v>
      </c>
      <c r="H915" s="334"/>
      <c r="I915" s="335"/>
      <c r="J915" s="336"/>
      <c r="K915" s="301"/>
      <c r="L915" s="336"/>
      <c r="M915" s="301"/>
      <c r="N915" s="336"/>
      <c r="O915" s="301"/>
      <c r="P915" s="336"/>
      <c r="Q915" s="301"/>
      <c r="R915" s="336"/>
      <c r="S915" s="301"/>
      <c r="T915" s="336"/>
    </row>
    <row r="916" spans="1:20" ht="12" customHeight="1" x14ac:dyDescent="0.3">
      <c r="A916" s="329" t="s">
        <v>289</v>
      </c>
      <c r="B916" s="330">
        <v>1</v>
      </c>
      <c r="C916" s="298">
        <v>46063</v>
      </c>
      <c r="D916" s="299" t="s">
        <v>311</v>
      </c>
      <c r="E916" s="331">
        <v>19.329999999999998</v>
      </c>
      <c r="F916" s="331"/>
      <c r="G916" s="333">
        <f t="shared" si="14"/>
        <v>2568.7899999999922</v>
      </c>
      <c r="H916" s="334"/>
      <c r="I916" s="335"/>
      <c r="J916" s="336"/>
      <c r="K916" s="301"/>
      <c r="L916" s="336"/>
      <c r="M916" s="301"/>
      <c r="N916" s="336"/>
      <c r="O916" s="301"/>
      <c r="P916" s="336"/>
      <c r="Q916" s="301"/>
      <c r="R916" s="336"/>
      <c r="S916" s="301"/>
      <c r="T916" s="336"/>
    </row>
    <row r="917" spans="1:20" ht="12" customHeight="1" x14ac:dyDescent="0.3">
      <c r="A917" s="329" t="s">
        <v>289</v>
      </c>
      <c r="B917" s="330">
        <v>3</v>
      </c>
      <c r="C917" s="298">
        <v>46062</v>
      </c>
      <c r="D917" s="299" t="s">
        <v>448</v>
      </c>
      <c r="E917" s="331">
        <v>8.61</v>
      </c>
      <c r="F917" s="331"/>
      <c r="G917" s="333">
        <f t="shared" ref="G917:G1162" si="15">G918-E917+F917</f>
        <v>2588.1199999999922</v>
      </c>
      <c r="H917" s="334"/>
      <c r="I917" s="335"/>
      <c r="J917" s="336"/>
      <c r="K917" s="301"/>
      <c r="L917" s="336"/>
      <c r="M917" s="301"/>
      <c r="N917" s="336"/>
      <c r="O917" s="301"/>
      <c r="P917" s="336"/>
      <c r="Q917" s="301"/>
      <c r="R917" s="336"/>
      <c r="S917" s="301"/>
      <c r="T917" s="336"/>
    </row>
    <row r="918" spans="1:20" ht="12" customHeight="1" x14ac:dyDescent="0.3">
      <c r="A918" s="329" t="s">
        <v>289</v>
      </c>
      <c r="B918" s="330">
        <v>2</v>
      </c>
      <c r="C918" s="298">
        <v>46062</v>
      </c>
      <c r="D918" s="299" t="s">
        <v>296</v>
      </c>
      <c r="E918" s="331">
        <v>13.41</v>
      </c>
      <c r="F918" s="331"/>
      <c r="G918" s="333">
        <f t="shared" si="15"/>
        <v>2596.7299999999923</v>
      </c>
      <c r="H918" s="334"/>
      <c r="I918" s="335"/>
      <c r="J918" s="336"/>
      <c r="K918" s="301"/>
      <c r="L918" s="336"/>
      <c r="M918" s="301"/>
      <c r="N918" s="336"/>
      <c r="O918" s="301"/>
      <c r="P918" s="336"/>
      <c r="Q918" s="301"/>
      <c r="R918" s="336"/>
      <c r="S918" s="301"/>
      <c r="T918" s="336"/>
    </row>
    <row r="919" spans="1:20" ht="12" customHeight="1" x14ac:dyDescent="0.3">
      <c r="A919" s="329" t="s">
        <v>294</v>
      </c>
      <c r="B919" s="330">
        <v>18</v>
      </c>
      <c r="C919" s="298">
        <v>46062</v>
      </c>
      <c r="D919" s="299" t="s">
        <v>361</v>
      </c>
      <c r="E919" s="331">
        <v>400</v>
      </c>
      <c r="F919" s="331"/>
      <c r="G919" s="333">
        <f t="shared" si="15"/>
        <v>2610.1399999999921</v>
      </c>
      <c r="H919" s="334"/>
      <c r="I919" s="335"/>
      <c r="J919" s="336"/>
      <c r="K919" s="301"/>
      <c r="L919" s="336"/>
      <c r="M919" s="301"/>
      <c r="N919" s="336"/>
      <c r="O919" s="301"/>
      <c r="P919" s="336"/>
      <c r="Q919" s="301"/>
      <c r="R919" s="336"/>
      <c r="S919" s="301"/>
      <c r="T919" s="336"/>
    </row>
    <row r="920" spans="1:20" ht="12" customHeight="1" x14ac:dyDescent="0.3">
      <c r="A920" s="329" t="s">
        <v>294</v>
      </c>
      <c r="B920" s="330">
        <v>9</v>
      </c>
      <c r="C920" s="298">
        <v>46062</v>
      </c>
      <c r="D920" s="299" t="s">
        <v>58</v>
      </c>
      <c r="E920" s="331">
        <v>1281.53</v>
      </c>
      <c r="F920" s="331"/>
      <c r="G920" s="333">
        <f t="shared" si="15"/>
        <v>3010.1399999999921</v>
      </c>
      <c r="H920" s="334"/>
      <c r="I920" s="335"/>
      <c r="J920" s="336"/>
      <c r="K920" s="301"/>
      <c r="L920" s="336"/>
      <c r="M920" s="301"/>
      <c r="N920" s="336"/>
      <c r="O920" s="301"/>
      <c r="P920" s="336"/>
      <c r="Q920" s="301"/>
      <c r="R920" s="336"/>
      <c r="S920" s="301"/>
      <c r="T920" s="336"/>
    </row>
    <row r="921" spans="1:20" ht="12" customHeight="1" x14ac:dyDescent="0.3">
      <c r="A921" s="329" t="s">
        <v>289</v>
      </c>
      <c r="B921" s="330">
        <v>5</v>
      </c>
      <c r="C921" s="298">
        <v>46062</v>
      </c>
      <c r="D921" s="299" t="s">
        <v>449</v>
      </c>
      <c r="E921" s="331">
        <v>50</v>
      </c>
      <c r="F921" s="331"/>
      <c r="G921" s="333">
        <f t="shared" si="15"/>
        <v>4291.6699999999919</v>
      </c>
      <c r="H921" s="334"/>
      <c r="I921" s="335"/>
      <c r="J921" s="336"/>
      <c r="K921" s="301"/>
      <c r="L921" s="336"/>
      <c r="M921" s="301"/>
      <c r="N921" s="336"/>
      <c r="O921" s="301"/>
      <c r="P921" s="336"/>
      <c r="Q921" s="301"/>
      <c r="R921" s="336"/>
      <c r="S921" s="301"/>
      <c r="T921" s="336"/>
    </row>
    <row r="922" spans="1:20" ht="12" customHeight="1" x14ac:dyDescent="0.3">
      <c r="A922" s="329" t="s">
        <v>289</v>
      </c>
      <c r="B922" s="330">
        <v>2</v>
      </c>
      <c r="C922" s="298">
        <v>46062</v>
      </c>
      <c r="D922" s="299" t="s">
        <v>450</v>
      </c>
      <c r="E922" s="331">
        <v>12.1</v>
      </c>
      <c r="F922" s="331"/>
      <c r="G922" s="333">
        <f t="shared" si="15"/>
        <v>4341.6699999999919</v>
      </c>
      <c r="H922" s="334"/>
      <c r="I922" s="335"/>
      <c r="J922" s="336"/>
      <c r="K922" s="301"/>
      <c r="L922" s="336"/>
      <c r="M922" s="301"/>
      <c r="N922" s="336"/>
      <c r="O922" s="301"/>
      <c r="P922" s="336"/>
      <c r="Q922" s="301"/>
      <c r="R922" s="336"/>
      <c r="S922" s="301"/>
      <c r="T922" s="336"/>
    </row>
    <row r="923" spans="1:20" ht="12" customHeight="1" x14ac:dyDescent="0.3">
      <c r="A923" s="329" t="s">
        <v>289</v>
      </c>
      <c r="B923" s="330">
        <v>1</v>
      </c>
      <c r="C923" s="298">
        <v>46061</v>
      </c>
      <c r="D923" s="299" t="s">
        <v>306</v>
      </c>
      <c r="E923" s="331">
        <v>72.099999999999994</v>
      </c>
      <c r="F923" s="331"/>
      <c r="G923" s="333">
        <f t="shared" si="15"/>
        <v>4353.7699999999923</v>
      </c>
      <c r="H923" s="334"/>
      <c r="I923" s="335"/>
      <c r="J923" s="336"/>
      <c r="K923" s="301"/>
      <c r="L923" s="336"/>
      <c r="M923" s="301"/>
      <c r="N923" s="336"/>
      <c r="O923" s="301"/>
      <c r="P923" s="336"/>
      <c r="Q923" s="301"/>
      <c r="R923" s="336"/>
      <c r="S923" s="301"/>
      <c r="T923" s="336"/>
    </row>
    <row r="924" spans="1:20" ht="12" customHeight="1" x14ac:dyDescent="0.3">
      <c r="A924" s="329" t="s">
        <v>289</v>
      </c>
      <c r="B924" s="330">
        <v>8</v>
      </c>
      <c r="C924" s="298">
        <v>46061</v>
      </c>
      <c r="D924" s="299" t="s">
        <v>319</v>
      </c>
      <c r="E924" s="331">
        <v>30.25</v>
      </c>
      <c r="F924" s="331"/>
      <c r="G924" s="333">
        <f t="shared" si="15"/>
        <v>4425.8699999999926</v>
      </c>
      <c r="H924" s="334"/>
      <c r="I924" s="335"/>
      <c r="J924" s="336"/>
      <c r="K924" s="301"/>
      <c r="L924" s="336"/>
      <c r="M924" s="301"/>
      <c r="N924" s="336"/>
      <c r="O924" s="301"/>
      <c r="P924" s="336"/>
      <c r="Q924" s="301"/>
      <c r="R924" s="336"/>
      <c r="S924" s="301"/>
      <c r="T924" s="336"/>
    </row>
    <row r="925" spans="1:20" ht="12" customHeight="1" x14ac:dyDescent="0.3">
      <c r="A925" s="329" t="s">
        <v>289</v>
      </c>
      <c r="B925" s="330">
        <v>3</v>
      </c>
      <c r="C925" s="298">
        <v>46061</v>
      </c>
      <c r="D925" s="299" t="s">
        <v>296</v>
      </c>
      <c r="E925" s="331">
        <v>3.72</v>
      </c>
      <c r="F925" s="331"/>
      <c r="G925" s="333">
        <f t="shared" si="15"/>
        <v>4456.1199999999926</v>
      </c>
      <c r="H925" s="334"/>
      <c r="I925" s="335"/>
      <c r="J925" s="336"/>
      <c r="K925" s="301"/>
      <c r="L925" s="336"/>
      <c r="M925" s="301"/>
      <c r="N925" s="336"/>
      <c r="O925" s="301"/>
      <c r="P925" s="336"/>
      <c r="Q925" s="301"/>
      <c r="R925" s="336"/>
      <c r="S925" s="301"/>
      <c r="T925" s="336"/>
    </row>
    <row r="926" spans="1:20" ht="12" customHeight="1" x14ac:dyDescent="0.3">
      <c r="A926" s="329" t="s">
        <v>289</v>
      </c>
      <c r="B926" s="330">
        <v>4</v>
      </c>
      <c r="C926" s="298">
        <v>46061</v>
      </c>
      <c r="D926" s="299" t="s">
        <v>296</v>
      </c>
      <c r="E926" s="331">
        <v>41.6</v>
      </c>
      <c r="F926" s="331"/>
      <c r="G926" s="333">
        <f t="shared" si="15"/>
        <v>4459.8399999999929</v>
      </c>
      <c r="H926" s="334"/>
      <c r="I926" s="335"/>
      <c r="J926" s="336"/>
      <c r="K926" s="301"/>
      <c r="L926" s="336"/>
      <c r="M926" s="301"/>
      <c r="N926" s="336"/>
      <c r="O926" s="301"/>
      <c r="P926" s="336"/>
      <c r="Q926" s="301"/>
      <c r="R926" s="336"/>
      <c r="S926" s="301"/>
      <c r="T926" s="336"/>
    </row>
    <row r="927" spans="1:20" ht="12" customHeight="1" x14ac:dyDescent="0.3">
      <c r="A927" s="329" t="s">
        <v>289</v>
      </c>
      <c r="B927" s="330">
        <v>3</v>
      </c>
      <c r="C927" s="298">
        <v>46061</v>
      </c>
      <c r="D927" s="299" t="s">
        <v>451</v>
      </c>
      <c r="E927" s="331">
        <v>1</v>
      </c>
      <c r="F927" s="331"/>
      <c r="G927" s="333">
        <f t="shared" si="15"/>
        <v>4501.4399999999932</v>
      </c>
      <c r="H927" s="334"/>
      <c r="I927" s="335"/>
      <c r="J927" s="336"/>
      <c r="K927" s="301"/>
      <c r="L927" s="336"/>
      <c r="M927" s="301"/>
      <c r="N927" s="336"/>
      <c r="O927" s="301"/>
      <c r="P927" s="336"/>
      <c r="Q927" s="301"/>
      <c r="R927" s="336"/>
      <c r="S927" s="301"/>
      <c r="T927" s="336"/>
    </row>
    <row r="928" spans="1:20" ht="12" customHeight="1" x14ac:dyDescent="0.3">
      <c r="A928" s="329" t="s">
        <v>289</v>
      </c>
      <c r="B928" s="330">
        <v>2</v>
      </c>
      <c r="C928" s="298">
        <v>46061</v>
      </c>
      <c r="D928" s="299" t="s">
        <v>358</v>
      </c>
      <c r="E928" s="331">
        <v>10.17</v>
      </c>
      <c r="F928" s="331"/>
      <c r="G928" s="333">
        <f t="shared" si="15"/>
        <v>4502.4399999999932</v>
      </c>
      <c r="H928" s="334"/>
      <c r="I928" s="335"/>
      <c r="J928" s="336"/>
      <c r="K928" s="301"/>
      <c r="L928" s="336"/>
      <c r="M928" s="301"/>
      <c r="N928" s="336"/>
      <c r="O928" s="301"/>
      <c r="P928" s="336"/>
      <c r="Q928" s="301"/>
      <c r="R928" s="336"/>
      <c r="S928" s="301"/>
      <c r="T928" s="336"/>
    </row>
    <row r="929" spans="1:20" ht="12" customHeight="1" x14ac:dyDescent="0.3">
      <c r="A929" s="329" t="s">
        <v>287</v>
      </c>
      <c r="B929" s="330" t="s">
        <v>287</v>
      </c>
      <c r="C929" s="298">
        <v>46060</v>
      </c>
      <c r="D929" s="299" t="s">
        <v>452</v>
      </c>
      <c r="E929" s="331">
        <v>367.77</v>
      </c>
      <c r="F929" s="331">
        <v>367.77</v>
      </c>
      <c r="G929" s="333">
        <f t="shared" si="15"/>
        <v>4512.6099999999933</v>
      </c>
      <c r="H929" s="334"/>
      <c r="I929" s="335"/>
      <c r="J929" s="336"/>
      <c r="K929" s="301"/>
      <c r="L929" s="336"/>
      <c r="M929" s="301"/>
      <c r="N929" s="336"/>
      <c r="O929" s="301"/>
      <c r="P929" s="336"/>
      <c r="Q929" s="301"/>
      <c r="R929" s="336"/>
      <c r="S929" s="301"/>
      <c r="T929" s="336"/>
    </row>
    <row r="930" spans="1:20" ht="12" customHeight="1" x14ac:dyDescent="0.3">
      <c r="A930" s="329" t="s">
        <v>289</v>
      </c>
      <c r="B930" s="330">
        <v>4</v>
      </c>
      <c r="C930" s="298">
        <v>46060</v>
      </c>
      <c r="D930" s="299" t="s">
        <v>310</v>
      </c>
      <c r="E930" s="331">
        <v>32.36</v>
      </c>
      <c r="F930" s="331"/>
      <c r="G930" s="333">
        <f t="shared" si="15"/>
        <v>4512.6099999999933</v>
      </c>
      <c r="H930" s="334"/>
      <c r="I930" s="335"/>
      <c r="J930" s="336"/>
      <c r="K930" s="301"/>
      <c r="L930" s="336"/>
      <c r="M930" s="301"/>
      <c r="N930" s="336"/>
      <c r="O930" s="301"/>
      <c r="P930" s="336"/>
      <c r="Q930" s="301"/>
      <c r="R930" s="336"/>
      <c r="S930" s="301"/>
      <c r="T930" s="336"/>
    </row>
    <row r="931" spans="1:20" ht="12" customHeight="1" x14ac:dyDescent="0.3">
      <c r="A931" s="329" t="s">
        <v>289</v>
      </c>
      <c r="B931" s="330">
        <v>6</v>
      </c>
      <c r="C931" s="298">
        <v>46060</v>
      </c>
      <c r="D931" s="299" t="s">
        <v>453</v>
      </c>
      <c r="E931" s="331">
        <v>41.39</v>
      </c>
      <c r="F931" s="331"/>
      <c r="G931" s="333">
        <f t="shared" si="15"/>
        <v>4544.969999999993</v>
      </c>
      <c r="H931" s="334"/>
      <c r="I931" s="335"/>
      <c r="J931" s="336"/>
      <c r="K931" s="301"/>
      <c r="L931" s="336"/>
      <c r="M931" s="301"/>
      <c r="N931" s="336"/>
      <c r="O931" s="301"/>
      <c r="P931" s="336"/>
      <c r="Q931" s="301"/>
      <c r="R931" s="336"/>
      <c r="S931" s="301"/>
      <c r="T931" s="336"/>
    </row>
    <row r="932" spans="1:20" ht="12" customHeight="1" x14ac:dyDescent="0.3">
      <c r="A932" s="329" t="s">
        <v>289</v>
      </c>
      <c r="B932" s="330">
        <v>1</v>
      </c>
      <c r="C932" s="298">
        <v>46060</v>
      </c>
      <c r="D932" s="299" t="s">
        <v>445</v>
      </c>
      <c r="E932" s="331">
        <v>35.770000000000003</v>
      </c>
      <c r="F932" s="331"/>
      <c r="G932" s="333">
        <f t="shared" si="15"/>
        <v>4586.3599999999933</v>
      </c>
      <c r="H932" s="334"/>
      <c r="I932" s="335"/>
      <c r="J932" s="336"/>
      <c r="K932" s="301"/>
      <c r="L932" s="336"/>
      <c r="M932" s="301"/>
      <c r="N932" s="336"/>
      <c r="O932" s="301"/>
      <c r="P932" s="336"/>
      <c r="Q932" s="301"/>
      <c r="R932" s="336"/>
      <c r="S932" s="301"/>
      <c r="T932" s="336"/>
    </row>
    <row r="933" spans="1:20" ht="12" customHeight="1" x14ac:dyDescent="0.3">
      <c r="A933" s="329" t="s">
        <v>289</v>
      </c>
      <c r="B933" s="330">
        <v>3</v>
      </c>
      <c r="C933" s="298">
        <v>46060</v>
      </c>
      <c r="D933" s="299" t="s">
        <v>348</v>
      </c>
      <c r="E933" s="331">
        <v>25</v>
      </c>
      <c r="F933" s="331"/>
      <c r="G933" s="333">
        <f t="shared" si="15"/>
        <v>4622.1299999999937</v>
      </c>
      <c r="H933" s="334"/>
      <c r="I933" s="335"/>
      <c r="J933" s="336"/>
      <c r="K933" s="301"/>
      <c r="L933" s="336"/>
      <c r="M933" s="301"/>
      <c r="N933" s="336"/>
      <c r="O933" s="301"/>
      <c r="P933" s="336"/>
      <c r="Q933" s="301"/>
      <c r="R933" s="336"/>
      <c r="S933" s="301"/>
      <c r="T933" s="336"/>
    </row>
    <row r="934" spans="1:20" ht="12" customHeight="1" x14ac:dyDescent="0.3">
      <c r="A934" s="329" t="s">
        <v>289</v>
      </c>
      <c r="B934" s="330">
        <v>8</v>
      </c>
      <c r="C934" s="298">
        <v>46060</v>
      </c>
      <c r="D934" s="299" t="s">
        <v>296</v>
      </c>
      <c r="E934" s="331">
        <v>6.69</v>
      </c>
      <c r="F934" s="331"/>
      <c r="G934" s="333">
        <f t="shared" si="15"/>
        <v>4647.1299999999937</v>
      </c>
      <c r="H934" s="334"/>
      <c r="I934" s="335"/>
      <c r="J934" s="336"/>
      <c r="K934" s="301"/>
      <c r="L934" s="336"/>
      <c r="M934" s="301"/>
      <c r="N934" s="336"/>
      <c r="O934" s="301"/>
      <c r="P934" s="336"/>
      <c r="Q934" s="301"/>
      <c r="R934" s="336"/>
      <c r="S934" s="301"/>
      <c r="T934" s="336"/>
    </row>
    <row r="935" spans="1:20" ht="12" customHeight="1" x14ac:dyDescent="0.3">
      <c r="A935" s="329" t="s">
        <v>289</v>
      </c>
      <c r="B935" s="330">
        <v>4</v>
      </c>
      <c r="C935" s="298">
        <v>46060</v>
      </c>
      <c r="D935" s="299" t="s">
        <v>296</v>
      </c>
      <c r="E935" s="331">
        <v>47.85</v>
      </c>
      <c r="F935" s="331"/>
      <c r="G935" s="333">
        <f t="shared" si="15"/>
        <v>4653.8199999999933</v>
      </c>
      <c r="H935" s="334"/>
      <c r="I935" s="335"/>
      <c r="J935" s="336"/>
      <c r="K935" s="301"/>
      <c r="L935" s="336"/>
      <c r="M935" s="301"/>
      <c r="N935" s="336"/>
      <c r="O935" s="301"/>
      <c r="P935" s="336"/>
      <c r="Q935" s="301"/>
      <c r="R935" s="336"/>
      <c r="S935" s="301"/>
      <c r="T935" s="336"/>
    </row>
    <row r="936" spans="1:20" ht="12" customHeight="1" x14ac:dyDescent="0.3">
      <c r="A936" s="329" t="s">
        <v>289</v>
      </c>
      <c r="B936" s="330">
        <v>2</v>
      </c>
      <c r="C936" s="298">
        <v>46059</v>
      </c>
      <c r="D936" s="299" t="s">
        <v>301</v>
      </c>
      <c r="E936" s="331">
        <v>20</v>
      </c>
      <c r="F936" s="331"/>
      <c r="G936" s="333">
        <f t="shared" si="15"/>
        <v>4701.6699999999937</v>
      </c>
      <c r="H936" s="334"/>
      <c r="I936" s="335"/>
      <c r="J936" s="336"/>
      <c r="K936" s="301"/>
      <c r="L936" s="336"/>
      <c r="M936" s="301"/>
      <c r="N936" s="336"/>
      <c r="O936" s="301"/>
      <c r="P936" s="336"/>
      <c r="Q936" s="301"/>
      <c r="R936" s="336"/>
      <c r="S936" s="301"/>
      <c r="T936" s="336"/>
    </row>
    <row r="937" spans="1:20" ht="12" customHeight="1" x14ac:dyDescent="0.3">
      <c r="A937" s="329" t="s">
        <v>291</v>
      </c>
      <c r="B937" s="330">
        <v>40</v>
      </c>
      <c r="C937" s="298">
        <v>46059</v>
      </c>
      <c r="D937" s="299" t="s">
        <v>316</v>
      </c>
      <c r="E937" s="331"/>
      <c r="F937" s="331">
        <v>822.99</v>
      </c>
      <c r="G937" s="333">
        <f t="shared" si="15"/>
        <v>4721.6699999999937</v>
      </c>
      <c r="H937" s="334"/>
      <c r="I937" s="335"/>
      <c r="J937" s="336"/>
      <c r="K937" s="301"/>
      <c r="L937" s="336"/>
      <c r="M937" s="301"/>
      <c r="N937" s="336"/>
      <c r="O937" s="301"/>
      <c r="P937" s="336"/>
      <c r="Q937" s="301"/>
      <c r="R937" s="336"/>
      <c r="S937" s="301"/>
      <c r="T937" s="336"/>
    </row>
    <row r="938" spans="1:20" ht="12" customHeight="1" x14ac:dyDescent="0.3">
      <c r="A938" s="329" t="s">
        <v>294</v>
      </c>
      <c r="B938" s="330">
        <v>14</v>
      </c>
      <c r="C938" s="298">
        <v>46059</v>
      </c>
      <c r="D938" s="299" t="s">
        <v>366</v>
      </c>
      <c r="E938" s="331">
        <v>66.67</v>
      </c>
      <c r="F938" s="331"/>
      <c r="G938" s="333">
        <f t="shared" si="15"/>
        <v>3898.6799999999935</v>
      </c>
      <c r="H938" s="334"/>
      <c r="I938" s="335"/>
      <c r="J938" s="336"/>
      <c r="K938" s="301"/>
      <c r="L938" s="336"/>
      <c r="M938" s="301"/>
      <c r="N938" s="336"/>
      <c r="O938" s="301"/>
      <c r="P938" s="336"/>
      <c r="Q938" s="301"/>
      <c r="R938" s="336"/>
      <c r="S938" s="301"/>
      <c r="T938" s="336"/>
    </row>
    <row r="939" spans="1:20" ht="12" customHeight="1" x14ac:dyDescent="0.3">
      <c r="A939" s="329" t="s">
        <v>289</v>
      </c>
      <c r="B939" s="330">
        <v>2</v>
      </c>
      <c r="C939" s="298">
        <v>46059</v>
      </c>
      <c r="D939" s="299" t="s">
        <v>296</v>
      </c>
      <c r="E939" s="331">
        <v>9.35</v>
      </c>
      <c r="F939" s="331"/>
      <c r="G939" s="333">
        <f t="shared" si="15"/>
        <v>3965.3499999999935</v>
      </c>
      <c r="H939" s="334"/>
      <c r="I939" s="335"/>
      <c r="J939" s="336"/>
      <c r="K939" s="301"/>
      <c r="L939" s="336"/>
      <c r="M939" s="301"/>
      <c r="N939" s="336"/>
      <c r="O939" s="301"/>
      <c r="P939" s="336"/>
      <c r="Q939" s="301"/>
      <c r="R939" s="336"/>
      <c r="S939" s="301"/>
      <c r="T939" s="336"/>
    </row>
    <row r="940" spans="1:20" ht="12" customHeight="1" x14ac:dyDescent="0.3">
      <c r="A940" s="329" t="s">
        <v>289</v>
      </c>
      <c r="B940" s="330">
        <v>4</v>
      </c>
      <c r="C940" s="298">
        <v>46059</v>
      </c>
      <c r="D940" s="299" t="s">
        <v>296</v>
      </c>
      <c r="E940" s="331">
        <v>45.81</v>
      </c>
      <c r="F940" s="331"/>
      <c r="G940" s="333">
        <f t="shared" si="15"/>
        <v>3974.6999999999935</v>
      </c>
      <c r="H940" s="334"/>
      <c r="I940" s="335"/>
      <c r="J940" s="336"/>
      <c r="K940" s="301"/>
      <c r="L940" s="336"/>
      <c r="M940" s="301"/>
      <c r="N940" s="336"/>
      <c r="O940" s="301"/>
      <c r="P940" s="336"/>
      <c r="Q940" s="301"/>
      <c r="R940" s="336"/>
      <c r="S940" s="301"/>
      <c r="T940" s="336"/>
    </row>
    <row r="941" spans="1:20" ht="12" customHeight="1" x14ac:dyDescent="0.3">
      <c r="A941" s="329" t="s">
        <v>289</v>
      </c>
      <c r="B941" s="330">
        <v>2</v>
      </c>
      <c r="C941" s="298">
        <v>46059</v>
      </c>
      <c r="D941" s="299" t="s">
        <v>353</v>
      </c>
      <c r="E941" s="331">
        <v>22.98</v>
      </c>
      <c r="F941" s="331"/>
      <c r="G941" s="333">
        <f t="shared" si="15"/>
        <v>4020.5099999999934</v>
      </c>
      <c r="H941" s="334"/>
      <c r="I941" s="335"/>
      <c r="J941" s="336"/>
      <c r="K941" s="301"/>
      <c r="L941" s="336"/>
      <c r="M941" s="301"/>
      <c r="N941" s="336"/>
      <c r="O941" s="301"/>
      <c r="P941" s="336"/>
      <c r="Q941" s="301"/>
      <c r="R941" s="336"/>
      <c r="S941" s="301"/>
      <c r="T941" s="336"/>
    </row>
    <row r="942" spans="1:20" ht="12" customHeight="1" x14ac:dyDescent="0.3">
      <c r="A942" s="329" t="s">
        <v>289</v>
      </c>
      <c r="B942" s="330">
        <v>2</v>
      </c>
      <c r="C942" s="298">
        <v>46059</v>
      </c>
      <c r="D942" s="299" t="s">
        <v>301</v>
      </c>
      <c r="E942" s="331">
        <v>46.5</v>
      </c>
      <c r="F942" s="331"/>
      <c r="G942" s="333">
        <f t="shared" si="15"/>
        <v>4043.4899999999934</v>
      </c>
      <c r="H942" s="334"/>
      <c r="I942" s="335"/>
      <c r="J942" s="336"/>
      <c r="K942" s="301"/>
      <c r="L942" s="336"/>
      <c r="M942" s="301"/>
      <c r="N942" s="336"/>
      <c r="O942" s="301"/>
      <c r="P942" s="336"/>
      <c r="Q942" s="301"/>
      <c r="R942" s="336"/>
      <c r="S942" s="301"/>
      <c r="T942" s="336"/>
    </row>
    <row r="943" spans="1:20" ht="12" customHeight="1" x14ac:dyDescent="0.3">
      <c r="A943" s="329" t="s">
        <v>289</v>
      </c>
      <c r="B943" s="330">
        <v>2</v>
      </c>
      <c r="C943" s="298">
        <v>46059</v>
      </c>
      <c r="D943" s="299" t="s">
        <v>358</v>
      </c>
      <c r="E943" s="331">
        <v>10.17</v>
      </c>
      <c r="F943" s="331"/>
      <c r="G943" s="333">
        <f t="shared" si="15"/>
        <v>4089.9899999999934</v>
      </c>
      <c r="H943" s="334"/>
      <c r="I943" s="335"/>
      <c r="J943" s="336"/>
      <c r="K943" s="301"/>
      <c r="L943" s="336"/>
      <c r="M943" s="301"/>
      <c r="N943" s="336"/>
      <c r="O943" s="301"/>
      <c r="P943" s="336"/>
      <c r="Q943" s="301"/>
      <c r="R943" s="336"/>
      <c r="S943" s="301"/>
      <c r="T943" s="336"/>
    </row>
    <row r="944" spans="1:20" ht="12" customHeight="1" x14ac:dyDescent="0.3">
      <c r="A944" s="329" t="s">
        <v>289</v>
      </c>
      <c r="B944" s="330">
        <v>8</v>
      </c>
      <c r="C944" s="298">
        <v>46059</v>
      </c>
      <c r="D944" s="299" t="s">
        <v>435</v>
      </c>
      <c r="E944" s="331">
        <v>81.2</v>
      </c>
      <c r="F944" s="331"/>
      <c r="G944" s="333">
        <f t="shared" si="15"/>
        <v>4100.1599999999935</v>
      </c>
      <c r="H944" s="334"/>
      <c r="I944" s="335"/>
      <c r="J944" s="336"/>
      <c r="K944" s="301"/>
      <c r="L944" s="336"/>
      <c r="M944" s="301"/>
      <c r="N944" s="336"/>
      <c r="O944" s="301"/>
      <c r="P944" s="336"/>
      <c r="Q944" s="301"/>
      <c r="R944" s="336"/>
      <c r="S944" s="301"/>
      <c r="T944" s="336"/>
    </row>
    <row r="945" spans="1:20" ht="12" customHeight="1" x14ac:dyDescent="0.3">
      <c r="A945" s="329" t="s">
        <v>289</v>
      </c>
      <c r="B945" s="330">
        <v>2</v>
      </c>
      <c r="C945" s="298">
        <v>46058</v>
      </c>
      <c r="D945" s="299" t="s">
        <v>301</v>
      </c>
      <c r="E945" s="331">
        <v>21</v>
      </c>
      <c r="F945" s="331"/>
      <c r="G945" s="333">
        <f t="shared" si="15"/>
        <v>4181.3599999999933</v>
      </c>
      <c r="H945" s="334"/>
      <c r="I945" s="335"/>
      <c r="J945" s="336"/>
      <c r="K945" s="301"/>
      <c r="L945" s="336"/>
      <c r="M945" s="301"/>
      <c r="N945" s="336"/>
      <c r="O945" s="301"/>
      <c r="P945" s="336"/>
      <c r="Q945" s="301"/>
      <c r="R945" s="336"/>
      <c r="S945" s="301"/>
      <c r="T945" s="336"/>
    </row>
    <row r="946" spans="1:20" ht="12" customHeight="1" x14ac:dyDescent="0.3">
      <c r="A946" s="329" t="s">
        <v>291</v>
      </c>
      <c r="B946" s="330">
        <v>39</v>
      </c>
      <c r="C946" s="298">
        <v>46058</v>
      </c>
      <c r="D946" s="299" t="s">
        <v>292</v>
      </c>
      <c r="E946" s="331"/>
      <c r="F946" s="331">
        <v>2763.79</v>
      </c>
      <c r="G946" s="333">
        <f t="shared" si="15"/>
        <v>4202.3599999999933</v>
      </c>
      <c r="H946" s="334"/>
      <c r="I946" s="335"/>
      <c r="J946" s="336"/>
      <c r="K946" s="301"/>
      <c r="L946" s="336"/>
      <c r="M946" s="301"/>
      <c r="N946" s="336"/>
      <c r="O946" s="301"/>
      <c r="P946" s="336"/>
      <c r="Q946" s="301"/>
      <c r="R946" s="336"/>
      <c r="S946" s="301"/>
      <c r="T946" s="336"/>
    </row>
    <row r="947" spans="1:20" ht="12" customHeight="1" x14ac:dyDescent="0.3">
      <c r="A947" s="329" t="s">
        <v>289</v>
      </c>
      <c r="B947" s="330">
        <v>8</v>
      </c>
      <c r="C947" s="298">
        <v>46058</v>
      </c>
      <c r="D947" s="299" t="s">
        <v>357</v>
      </c>
      <c r="E947" s="331">
        <v>95.35</v>
      </c>
      <c r="F947" s="331"/>
      <c r="G947" s="333">
        <f t="shared" si="15"/>
        <v>1438.5699999999933</v>
      </c>
      <c r="H947" s="334"/>
      <c r="I947" s="335"/>
      <c r="J947" s="336"/>
      <c r="K947" s="301"/>
      <c r="L947" s="336"/>
      <c r="M947" s="301"/>
      <c r="N947" s="336"/>
      <c r="O947" s="301"/>
      <c r="P947" s="336"/>
      <c r="Q947" s="301"/>
      <c r="R947" s="336"/>
      <c r="S947" s="301"/>
      <c r="T947" s="336"/>
    </row>
    <row r="948" spans="1:20" ht="12" customHeight="1" x14ac:dyDescent="0.3">
      <c r="A948" s="329" t="s">
        <v>289</v>
      </c>
      <c r="B948" s="330">
        <v>2</v>
      </c>
      <c r="C948" s="298">
        <v>46058</v>
      </c>
      <c r="D948" s="299" t="s">
        <v>353</v>
      </c>
      <c r="E948" s="331">
        <v>14.99</v>
      </c>
      <c r="F948" s="331"/>
      <c r="G948" s="333">
        <f t="shared" si="15"/>
        <v>1533.9199999999933</v>
      </c>
      <c r="H948" s="334"/>
      <c r="I948" s="335"/>
      <c r="J948" s="336"/>
      <c r="K948" s="301"/>
      <c r="L948" s="336"/>
      <c r="M948" s="301"/>
      <c r="N948" s="336"/>
      <c r="O948" s="301"/>
      <c r="P948" s="336"/>
      <c r="Q948" s="301"/>
      <c r="R948" s="336"/>
      <c r="S948" s="301"/>
      <c r="T948" s="336"/>
    </row>
    <row r="949" spans="1:20" ht="12" customHeight="1" x14ac:dyDescent="0.3">
      <c r="A949" s="329" t="s">
        <v>287</v>
      </c>
      <c r="B949" s="330" t="s">
        <v>287</v>
      </c>
      <c r="C949" s="298">
        <v>46058</v>
      </c>
      <c r="D949" s="299" t="s">
        <v>452</v>
      </c>
      <c r="E949" s="331">
        <v>77.569999999999993</v>
      </c>
      <c r="F949" s="331">
        <v>77.569999999999993</v>
      </c>
      <c r="G949" s="333">
        <f t="shared" si="15"/>
        <v>1548.9099999999933</v>
      </c>
      <c r="H949" s="334"/>
      <c r="I949" s="335"/>
      <c r="J949" s="336"/>
      <c r="K949" s="301"/>
      <c r="L949" s="336"/>
      <c r="M949" s="301"/>
      <c r="N949" s="336"/>
      <c r="O949" s="301"/>
      <c r="P949" s="336"/>
      <c r="Q949" s="301"/>
      <c r="R949" s="336"/>
      <c r="S949" s="301"/>
      <c r="T949" s="336"/>
    </row>
    <row r="950" spans="1:20" ht="12" customHeight="1" x14ac:dyDescent="0.3">
      <c r="A950" s="329" t="s">
        <v>289</v>
      </c>
      <c r="B950" s="330">
        <v>6</v>
      </c>
      <c r="C950" s="298">
        <v>46057</v>
      </c>
      <c r="D950" s="299" t="s">
        <v>344</v>
      </c>
      <c r="E950" s="331">
        <v>50</v>
      </c>
      <c r="F950" s="331"/>
      <c r="G950" s="333">
        <f t="shared" si="15"/>
        <v>1548.9099999999933</v>
      </c>
      <c r="H950" s="334"/>
      <c r="I950" s="335"/>
      <c r="J950" s="336"/>
      <c r="K950" s="301"/>
      <c r="L950" s="336"/>
      <c r="M950" s="301"/>
      <c r="N950" s="336"/>
      <c r="O950" s="301"/>
      <c r="P950" s="336"/>
      <c r="Q950" s="301"/>
      <c r="R950" s="336"/>
      <c r="S950" s="301"/>
      <c r="T950" s="336"/>
    </row>
    <row r="951" spans="1:20" ht="12" customHeight="1" x14ac:dyDescent="0.3">
      <c r="A951" s="329" t="s">
        <v>289</v>
      </c>
      <c r="B951" s="330">
        <v>1</v>
      </c>
      <c r="C951" s="298">
        <v>46057</v>
      </c>
      <c r="D951" s="299" t="s">
        <v>306</v>
      </c>
      <c r="E951" s="331">
        <v>62.03</v>
      </c>
      <c r="F951" s="331"/>
      <c r="G951" s="333">
        <f t="shared" si="15"/>
        <v>1598.9099999999933</v>
      </c>
      <c r="H951" s="334"/>
      <c r="I951" s="335"/>
      <c r="J951" s="336"/>
      <c r="K951" s="301"/>
      <c r="L951" s="336"/>
      <c r="M951" s="301"/>
      <c r="N951" s="336"/>
      <c r="O951" s="301"/>
      <c r="P951" s="336"/>
      <c r="Q951" s="301"/>
      <c r="R951" s="336"/>
      <c r="S951" s="301"/>
      <c r="T951" s="336"/>
    </row>
    <row r="952" spans="1:20" ht="12" customHeight="1" x14ac:dyDescent="0.3">
      <c r="A952" s="329" t="s">
        <v>289</v>
      </c>
      <c r="B952" s="330">
        <v>2</v>
      </c>
      <c r="C952" s="298">
        <v>46057</v>
      </c>
      <c r="D952" s="299" t="s">
        <v>296</v>
      </c>
      <c r="E952" s="331">
        <v>14.91</v>
      </c>
      <c r="F952" s="331"/>
      <c r="G952" s="333">
        <f t="shared" si="15"/>
        <v>1660.9399999999932</v>
      </c>
      <c r="H952" s="334"/>
      <c r="I952" s="335"/>
      <c r="J952" s="336"/>
      <c r="K952" s="301"/>
      <c r="L952" s="336"/>
      <c r="M952" s="301"/>
      <c r="N952" s="336"/>
      <c r="O952" s="301"/>
      <c r="P952" s="336"/>
      <c r="Q952" s="301"/>
      <c r="R952" s="336"/>
      <c r="S952" s="301"/>
      <c r="T952" s="336"/>
    </row>
    <row r="953" spans="1:20" ht="12" customHeight="1" x14ac:dyDescent="0.3">
      <c r="A953" s="329" t="s">
        <v>289</v>
      </c>
      <c r="B953" s="330">
        <v>4</v>
      </c>
      <c r="C953" s="298">
        <v>46057</v>
      </c>
      <c r="D953" s="299" t="s">
        <v>310</v>
      </c>
      <c r="E953" s="331">
        <v>63.38</v>
      </c>
      <c r="F953" s="331"/>
      <c r="G953" s="333">
        <f t="shared" si="15"/>
        <v>1675.8499999999933</v>
      </c>
      <c r="H953" s="334"/>
      <c r="I953" s="335"/>
      <c r="J953" s="336"/>
      <c r="K953" s="301"/>
      <c r="L953" s="336"/>
      <c r="M953" s="301"/>
      <c r="N953" s="336"/>
      <c r="O953" s="301"/>
      <c r="P953" s="336"/>
      <c r="Q953" s="301"/>
      <c r="R953" s="336"/>
      <c r="S953" s="301"/>
      <c r="T953" s="336"/>
    </row>
    <row r="954" spans="1:20" ht="12" customHeight="1" x14ac:dyDescent="0.3">
      <c r="A954" s="329" t="s">
        <v>287</v>
      </c>
      <c r="B954" s="330" t="s">
        <v>287</v>
      </c>
      <c r="C954" s="298">
        <v>46057</v>
      </c>
      <c r="D954" s="299" t="s">
        <v>454</v>
      </c>
      <c r="E954" s="331">
        <v>192.78</v>
      </c>
      <c r="F954" s="331">
        <v>192.78</v>
      </c>
      <c r="G954" s="333">
        <f t="shared" si="15"/>
        <v>1739.2299999999934</v>
      </c>
      <c r="H954" s="334"/>
      <c r="I954" s="335"/>
      <c r="J954" s="336"/>
      <c r="K954" s="301"/>
      <c r="L954" s="336"/>
      <c r="M954" s="301"/>
      <c r="N954" s="336"/>
      <c r="O954" s="301"/>
      <c r="P954" s="336"/>
      <c r="Q954" s="301"/>
      <c r="R954" s="336"/>
      <c r="S954" s="301"/>
      <c r="T954" s="336"/>
    </row>
    <row r="955" spans="1:20" ht="12" customHeight="1" x14ac:dyDescent="0.3">
      <c r="A955" s="329" t="s">
        <v>294</v>
      </c>
      <c r="B955" s="330">
        <v>14</v>
      </c>
      <c r="C955" s="298">
        <v>46057</v>
      </c>
      <c r="D955" s="299" t="s">
        <v>367</v>
      </c>
      <c r="E955" s="331">
        <v>68.739999999999995</v>
      </c>
      <c r="F955" s="331"/>
      <c r="G955" s="333">
        <f t="shared" si="15"/>
        <v>1739.2299999999934</v>
      </c>
      <c r="H955" s="334"/>
      <c r="I955" s="335"/>
      <c r="J955" s="336"/>
      <c r="K955" s="301"/>
      <c r="L955" s="336"/>
      <c r="M955" s="301"/>
      <c r="N955" s="336"/>
      <c r="O955" s="301"/>
      <c r="P955" s="336"/>
      <c r="Q955" s="301"/>
      <c r="R955" s="336"/>
      <c r="S955" s="301"/>
      <c r="T955" s="336"/>
    </row>
    <row r="956" spans="1:20" ht="12" customHeight="1" x14ac:dyDescent="0.3">
      <c r="A956" s="329" t="s">
        <v>289</v>
      </c>
      <c r="B956" s="330">
        <v>6</v>
      </c>
      <c r="C956" s="298">
        <v>46057</v>
      </c>
      <c r="D956" s="299" t="s">
        <v>300</v>
      </c>
      <c r="E956" s="331">
        <v>-42.58</v>
      </c>
      <c r="F956" s="331"/>
      <c r="G956" s="333">
        <f t="shared" si="15"/>
        <v>1807.9699999999934</v>
      </c>
      <c r="H956" s="334"/>
      <c r="I956" s="335"/>
      <c r="J956" s="336"/>
      <c r="K956" s="301"/>
      <c r="L956" s="336"/>
      <c r="M956" s="301"/>
      <c r="N956" s="336"/>
      <c r="O956" s="301"/>
      <c r="P956" s="336"/>
      <c r="Q956" s="301"/>
      <c r="R956" s="336"/>
      <c r="S956" s="301"/>
      <c r="T956" s="336"/>
    </row>
    <row r="957" spans="1:20" ht="12" customHeight="1" x14ac:dyDescent="0.3">
      <c r="A957" s="329" t="s">
        <v>289</v>
      </c>
      <c r="B957" s="330">
        <v>1</v>
      </c>
      <c r="C957" s="298">
        <v>46057</v>
      </c>
      <c r="D957" s="299" t="s">
        <v>371</v>
      </c>
      <c r="E957" s="331">
        <v>31.36</v>
      </c>
      <c r="F957" s="331"/>
      <c r="G957" s="333">
        <f t="shared" si="15"/>
        <v>1765.3899999999935</v>
      </c>
      <c r="H957" s="334"/>
      <c r="I957" s="335"/>
      <c r="J957" s="336"/>
      <c r="K957" s="301"/>
      <c r="L957" s="336"/>
      <c r="M957" s="301"/>
      <c r="N957" s="336"/>
      <c r="O957" s="301"/>
      <c r="P957" s="336"/>
      <c r="Q957" s="301"/>
      <c r="R957" s="336"/>
      <c r="S957" s="301"/>
      <c r="T957" s="336"/>
    </row>
    <row r="958" spans="1:20" ht="12" customHeight="1" x14ac:dyDescent="0.3">
      <c r="A958" s="329" t="s">
        <v>294</v>
      </c>
      <c r="B958" s="330">
        <v>17</v>
      </c>
      <c r="C958" s="298">
        <v>46057</v>
      </c>
      <c r="D958" s="299" t="s">
        <v>370</v>
      </c>
      <c r="E958" s="331">
        <v>99</v>
      </c>
      <c r="F958" s="331"/>
      <c r="G958" s="333">
        <f t="shared" si="15"/>
        <v>1796.7499999999934</v>
      </c>
      <c r="H958" s="334"/>
      <c r="I958" s="335"/>
      <c r="J958" s="336"/>
      <c r="K958" s="301"/>
      <c r="L958" s="336"/>
      <c r="M958" s="301"/>
      <c r="N958" s="336"/>
      <c r="O958" s="301"/>
      <c r="P958" s="336"/>
      <c r="Q958" s="301"/>
      <c r="R958" s="336"/>
      <c r="S958" s="301"/>
      <c r="T958" s="336"/>
    </row>
    <row r="959" spans="1:20" ht="12" customHeight="1" x14ac:dyDescent="0.3">
      <c r="A959" s="329" t="s">
        <v>284</v>
      </c>
      <c r="B959" s="330">
        <v>36</v>
      </c>
      <c r="C959" s="298">
        <v>46056</v>
      </c>
      <c r="D959" s="299" t="s">
        <v>374</v>
      </c>
      <c r="E959" s="331">
        <v>50</v>
      </c>
      <c r="F959" s="331"/>
      <c r="G959" s="333">
        <f t="shared" si="15"/>
        <v>1895.7499999999934</v>
      </c>
      <c r="H959" s="334"/>
      <c r="I959" s="335"/>
      <c r="J959" s="336"/>
      <c r="K959" s="301"/>
      <c r="L959" s="336"/>
      <c r="M959" s="301"/>
      <c r="N959" s="336"/>
      <c r="O959" s="301"/>
      <c r="P959" s="336"/>
      <c r="Q959" s="301"/>
      <c r="R959" s="336"/>
      <c r="S959" s="301"/>
      <c r="T959" s="336"/>
    </row>
    <row r="960" spans="1:20" ht="12" customHeight="1" x14ac:dyDescent="0.3">
      <c r="A960" s="329" t="s">
        <v>289</v>
      </c>
      <c r="B960" s="330">
        <v>8</v>
      </c>
      <c r="C960" s="298">
        <v>46056</v>
      </c>
      <c r="D960" s="299" t="s">
        <v>319</v>
      </c>
      <c r="E960" s="331">
        <v>7.92</v>
      </c>
      <c r="F960" s="331"/>
      <c r="G960" s="333">
        <f t="shared" si="15"/>
        <v>1945.7499999999934</v>
      </c>
      <c r="H960" s="334"/>
      <c r="I960" s="335"/>
      <c r="J960" s="336"/>
      <c r="K960" s="301"/>
      <c r="L960" s="336"/>
      <c r="M960" s="301"/>
      <c r="N960" s="336"/>
      <c r="O960" s="301"/>
      <c r="P960" s="336"/>
      <c r="Q960" s="301"/>
      <c r="R960" s="336"/>
      <c r="S960" s="301"/>
      <c r="T960" s="336"/>
    </row>
    <row r="961" spans="1:20" ht="12" customHeight="1" x14ac:dyDescent="0.3">
      <c r="A961" s="329" t="s">
        <v>294</v>
      </c>
      <c r="B961" s="330">
        <v>24</v>
      </c>
      <c r="C961" s="298">
        <v>46056</v>
      </c>
      <c r="D961" s="299" t="s">
        <v>860</v>
      </c>
      <c r="E961" s="331">
        <v>83.58</v>
      </c>
      <c r="F961" s="331"/>
      <c r="G961" s="333">
        <f t="shared" si="15"/>
        <v>1953.6699999999935</v>
      </c>
      <c r="H961" s="334"/>
      <c r="I961" s="335"/>
      <c r="J961" s="336"/>
      <c r="K961" s="301"/>
      <c r="L961" s="336"/>
      <c r="M961" s="301"/>
      <c r="N961" s="336"/>
      <c r="O961" s="301"/>
      <c r="P961" s="336"/>
      <c r="Q961" s="301"/>
      <c r="R961" s="336"/>
      <c r="S961" s="301"/>
      <c r="T961" s="336"/>
    </row>
    <row r="962" spans="1:20" ht="12" customHeight="1" x14ac:dyDescent="0.3">
      <c r="A962" s="329" t="s">
        <v>289</v>
      </c>
      <c r="B962" s="330">
        <v>4</v>
      </c>
      <c r="C962" s="298">
        <v>46056</v>
      </c>
      <c r="D962" s="299" t="s">
        <v>455</v>
      </c>
      <c r="E962" s="331">
        <v>28.64</v>
      </c>
      <c r="F962" s="331"/>
      <c r="G962" s="333">
        <f t="shared" si="15"/>
        <v>2037.2499999999934</v>
      </c>
      <c r="H962" s="334"/>
      <c r="I962" s="335"/>
      <c r="J962" s="336"/>
      <c r="K962" s="301"/>
      <c r="L962" s="336"/>
      <c r="M962" s="301"/>
      <c r="N962" s="336"/>
      <c r="O962" s="301"/>
      <c r="P962" s="336"/>
      <c r="Q962" s="301"/>
      <c r="R962" s="336"/>
      <c r="S962" s="301"/>
      <c r="T962" s="336"/>
    </row>
    <row r="963" spans="1:20" ht="12" customHeight="1" x14ac:dyDescent="0.3">
      <c r="A963" s="329" t="s">
        <v>289</v>
      </c>
      <c r="B963" s="330">
        <v>2</v>
      </c>
      <c r="C963" s="298">
        <v>46056</v>
      </c>
      <c r="D963" s="299" t="s">
        <v>358</v>
      </c>
      <c r="E963" s="331">
        <v>9.4700000000000006</v>
      </c>
      <c r="F963" s="331"/>
      <c r="G963" s="333">
        <f t="shared" si="15"/>
        <v>2065.8899999999935</v>
      </c>
      <c r="H963" s="334"/>
      <c r="I963" s="335"/>
      <c r="J963" s="336"/>
      <c r="K963" s="301"/>
      <c r="L963" s="336"/>
      <c r="M963" s="301"/>
      <c r="N963" s="336"/>
      <c r="O963" s="301"/>
      <c r="P963" s="336"/>
      <c r="Q963" s="301"/>
      <c r="R963" s="336"/>
      <c r="S963" s="301"/>
      <c r="T963" s="336"/>
    </row>
    <row r="964" spans="1:20" ht="12" customHeight="1" x14ac:dyDescent="0.3">
      <c r="A964" s="329" t="s">
        <v>289</v>
      </c>
      <c r="B964" s="330">
        <v>6</v>
      </c>
      <c r="C964" s="298">
        <v>46055</v>
      </c>
      <c r="D964" s="299" t="s">
        <v>456</v>
      </c>
      <c r="E964" s="331">
        <v>20</v>
      </c>
      <c r="F964" s="331"/>
      <c r="G964" s="333">
        <f t="shared" si="15"/>
        <v>2075.3599999999933</v>
      </c>
      <c r="H964" s="334"/>
      <c r="I964" s="335"/>
      <c r="J964" s="336"/>
      <c r="K964" s="301"/>
      <c r="L964" s="336"/>
      <c r="M964" s="301"/>
      <c r="N964" s="336"/>
      <c r="O964" s="301"/>
      <c r="P964" s="336"/>
      <c r="Q964" s="301"/>
      <c r="R964" s="336"/>
      <c r="S964" s="301"/>
      <c r="T964" s="336"/>
    </row>
    <row r="965" spans="1:20" ht="12" customHeight="1" x14ac:dyDescent="0.3">
      <c r="A965" s="329" t="s">
        <v>294</v>
      </c>
      <c r="B965" s="330">
        <v>17</v>
      </c>
      <c r="C965" s="298">
        <v>46055</v>
      </c>
      <c r="D965" s="299" t="s">
        <v>188</v>
      </c>
      <c r="E965" s="331">
        <v>41.54</v>
      </c>
      <c r="F965" s="331"/>
      <c r="G965" s="333">
        <f t="shared" si="15"/>
        <v>2095.3599999999933</v>
      </c>
      <c r="H965" s="334"/>
      <c r="I965" s="335"/>
      <c r="J965" s="336"/>
      <c r="K965" s="301"/>
      <c r="L965" s="336"/>
      <c r="M965" s="301"/>
      <c r="N965" s="336"/>
      <c r="O965" s="301"/>
      <c r="P965" s="336"/>
      <c r="Q965" s="301"/>
      <c r="R965" s="336"/>
      <c r="S965" s="301"/>
      <c r="T965" s="336"/>
    </row>
    <row r="966" spans="1:20" ht="12" customHeight="1" x14ac:dyDescent="0.3">
      <c r="A966" s="329" t="s">
        <v>289</v>
      </c>
      <c r="B966" s="330">
        <v>2</v>
      </c>
      <c r="C966" s="298">
        <v>46055</v>
      </c>
      <c r="D966" s="299" t="s">
        <v>296</v>
      </c>
      <c r="E966" s="331">
        <v>9.92</v>
      </c>
      <c r="F966" s="331"/>
      <c r="G966" s="333">
        <f t="shared" si="15"/>
        <v>2136.8999999999933</v>
      </c>
      <c r="H966" s="334"/>
      <c r="I966" s="335"/>
      <c r="J966" s="336"/>
      <c r="K966" s="301"/>
      <c r="L966" s="336"/>
      <c r="M966" s="301"/>
      <c r="N966" s="336"/>
      <c r="O966" s="301"/>
      <c r="P966" s="336"/>
      <c r="Q966" s="301"/>
      <c r="R966" s="336"/>
      <c r="S966" s="301"/>
      <c r="T966" s="336"/>
    </row>
    <row r="967" spans="1:20" ht="12" customHeight="1" x14ac:dyDescent="0.3">
      <c r="A967" s="329" t="s">
        <v>289</v>
      </c>
      <c r="B967" s="330">
        <v>8</v>
      </c>
      <c r="C967" s="298">
        <v>46055</v>
      </c>
      <c r="D967" s="299" t="s">
        <v>457</v>
      </c>
      <c r="E967" s="331">
        <v>155.38</v>
      </c>
      <c r="F967" s="331"/>
      <c r="G967" s="333">
        <f t="shared" si="15"/>
        <v>2146.8199999999933</v>
      </c>
      <c r="H967" s="334"/>
      <c r="I967" s="335"/>
      <c r="J967" s="336"/>
      <c r="K967" s="301"/>
      <c r="L967" s="336"/>
      <c r="M967" s="301"/>
      <c r="N967" s="336"/>
      <c r="O967" s="301"/>
      <c r="P967" s="336"/>
      <c r="Q967" s="301"/>
      <c r="R967" s="336"/>
      <c r="S967" s="301"/>
      <c r="T967" s="336"/>
    </row>
    <row r="968" spans="1:20" ht="12" customHeight="1" x14ac:dyDescent="0.3">
      <c r="A968" s="329" t="s">
        <v>294</v>
      </c>
      <c r="B968" s="330">
        <v>21</v>
      </c>
      <c r="C968" s="298">
        <v>46055</v>
      </c>
      <c r="D968" s="299" t="s">
        <v>194</v>
      </c>
      <c r="E968" s="331">
        <v>27.35</v>
      </c>
      <c r="F968" s="331"/>
      <c r="G968" s="333">
        <f t="shared" si="15"/>
        <v>2302.1999999999935</v>
      </c>
      <c r="H968" s="334"/>
      <c r="I968" s="335"/>
      <c r="J968" s="336"/>
      <c r="K968" s="301"/>
      <c r="L968" s="336"/>
      <c r="M968" s="301"/>
      <c r="N968" s="336"/>
      <c r="O968" s="301"/>
      <c r="P968" s="336"/>
      <c r="Q968" s="301"/>
      <c r="R968" s="336"/>
      <c r="S968" s="301"/>
      <c r="T968" s="336"/>
    </row>
    <row r="969" spans="1:20" ht="12" customHeight="1" x14ac:dyDescent="0.3">
      <c r="A969" s="329" t="s">
        <v>289</v>
      </c>
      <c r="B969" s="330">
        <v>6</v>
      </c>
      <c r="C969" s="298">
        <v>46054</v>
      </c>
      <c r="D969" s="299" t="s">
        <v>300</v>
      </c>
      <c r="E969" s="331">
        <v>59.37</v>
      </c>
      <c r="F969" s="331"/>
      <c r="G969" s="333">
        <f t="shared" si="15"/>
        <v>2329.5499999999934</v>
      </c>
      <c r="H969" s="334"/>
      <c r="I969" s="335"/>
      <c r="J969" s="336"/>
      <c r="K969" s="301"/>
      <c r="L969" s="336"/>
      <c r="M969" s="301"/>
      <c r="N969" s="336"/>
      <c r="O969" s="301"/>
      <c r="P969" s="336"/>
      <c r="Q969" s="301"/>
      <c r="R969" s="336"/>
      <c r="S969" s="301"/>
      <c r="T969" s="336"/>
    </row>
    <row r="970" spans="1:20" ht="12" customHeight="1" x14ac:dyDescent="0.3">
      <c r="A970" s="329" t="s">
        <v>294</v>
      </c>
      <c r="B970" s="330">
        <v>22</v>
      </c>
      <c r="C970" s="298">
        <v>46054</v>
      </c>
      <c r="D970" s="299" t="s">
        <v>375</v>
      </c>
      <c r="E970" s="331">
        <v>6.37</v>
      </c>
      <c r="F970" s="331"/>
      <c r="G970" s="333">
        <f t="shared" si="15"/>
        <v>2388.9199999999933</v>
      </c>
      <c r="H970" s="334"/>
      <c r="I970" s="335"/>
      <c r="J970" s="336"/>
      <c r="K970" s="301"/>
      <c r="L970" s="336"/>
      <c r="M970" s="301"/>
      <c r="N970" s="336"/>
      <c r="O970" s="301"/>
      <c r="P970" s="336"/>
      <c r="Q970" s="301"/>
      <c r="R970" s="336"/>
      <c r="S970" s="301"/>
      <c r="T970" s="336"/>
    </row>
    <row r="971" spans="1:20" ht="12" customHeight="1" x14ac:dyDescent="0.3">
      <c r="A971" s="329" t="s">
        <v>289</v>
      </c>
      <c r="B971" s="330">
        <v>8</v>
      </c>
      <c r="C971" s="298">
        <v>46054</v>
      </c>
      <c r="D971" s="299" t="s">
        <v>458</v>
      </c>
      <c r="E971" s="331">
        <v>44.65</v>
      </c>
      <c r="F971" s="331"/>
      <c r="G971" s="333">
        <f t="shared" si="15"/>
        <v>2395.2899999999931</v>
      </c>
      <c r="H971" s="334"/>
      <c r="I971" s="335"/>
      <c r="J971" s="336"/>
      <c r="K971" s="301"/>
      <c r="L971" s="336"/>
      <c r="M971" s="301"/>
      <c r="N971" s="336"/>
      <c r="O971" s="301"/>
      <c r="P971" s="336"/>
      <c r="Q971" s="301"/>
      <c r="R971" s="336"/>
      <c r="S971" s="301"/>
      <c r="T971" s="336"/>
    </row>
    <row r="972" spans="1:20" ht="12" customHeight="1" x14ac:dyDescent="0.3">
      <c r="A972" s="329" t="s">
        <v>289</v>
      </c>
      <c r="B972" s="330">
        <v>7</v>
      </c>
      <c r="C972" s="298">
        <v>46054</v>
      </c>
      <c r="D972" s="299" t="s">
        <v>338</v>
      </c>
      <c r="E972" s="331">
        <v>35.17</v>
      </c>
      <c r="F972" s="331"/>
      <c r="G972" s="333">
        <f t="shared" si="15"/>
        <v>2439.9399999999932</v>
      </c>
      <c r="H972" s="334"/>
      <c r="I972" s="335"/>
      <c r="J972" s="336"/>
      <c r="K972" s="301"/>
      <c r="L972" s="336"/>
      <c r="M972" s="301"/>
      <c r="N972" s="336"/>
      <c r="O972" s="301"/>
      <c r="P972" s="336"/>
      <c r="Q972" s="301"/>
      <c r="R972" s="336"/>
      <c r="S972" s="301"/>
      <c r="T972" s="336"/>
    </row>
    <row r="973" spans="1:20" ht="12" customHeight="1" x14ac:dyDescent="0.3">
      <c r="A973" s="329" t="s">
        <v>289</v>
      </c>
      <c r="B973" s="330">
        <v>4</v>
      </c>
      <c r="C973" s="298">
        <v>46054</v>
      </c>
      <c r="D973" s="299" t="s">
        <v>310</v>
      </c>
      <c r="E973" s="331">
        <v>28.48</v>
      </c>
      <c r="F973" s="331"/>
      <c r="G973" s="333">
        <f t="shared" si="15"/>
        <v>2475.1099999999933</v>
      </c>
      <c r="H973" s="334"/>
      <c r="I973" s="335"/>
      <c r="J973" s="336"/>
      <c r="K973" s="301"/>
      <c r="L973" s="336"/>
      <c r="M973" s="301"/>
      <c r="N973" s="336"/>
      <c r="O973" s="301"/>
      <c r="P973" s="336"/>
      <c r="Q973" s="301"/>
      <c r="R973" s="336"/>
      <c r="S973" s="301"/>
      <c r="T973" s="336"/>
    </row>
    <row r="974" spans="1:20" ht="12" customHeight="1" x14ac:dyDescent="0.3">
      <c r="A974" s="329" t="s">
        <v>289</v>
      </c>
      <c r="B974" s="330">
        <v>1</v>
      </c>
      <c r="C974" s="298">
        <v>46054</v>
      </c>
      <c r="D974" s="299" t="s">
        <v>311</v>
      </c>
      <c r="E974" s="331">
        <v>125.07</v>
      </c>
      <c r="F974" s="331"/>
      <c r="G974" s="333">
        <f t="shared" si="15"/>
        <v>2503.5899999999933</v>
      </c>
      <c r="H974" s="334"/>
      <c r="I974" s="335"/>
      <c r="J974" s="336"/>
      <c r="K974" s="301"/>
      <c r="L974" s="336"/>
      <c r="M974" s="301"/>
      <c r="N974" s="336"/>
      <c r="O974" s="301"/>
      <c r="P974" s="336"/>
      <c r="Q974" s="301"/>
      <c r="R974" s="336"/>
      <c r="S974" s="301"/>
      <c r="T974" s="336"/>
    </row>
    <row r="975" spans="1:20" ht="12" customHeight="1" x14ac:dyDescent="0.3">
      <c r="A975" s="329" t="s">
        <v>289</v>
      </c>
      <c r="B975" s="330">
        <v>2</v>
      </c>
      <c r="C975" s="298">
        <v>46054</v>
      </c>
      <c r="D975" s="299" t="s">
        <v>458</v>
      </c>
      <c r="E975" s="331">
        <v>100</v>
      </c>
      <c r="F975" s="331"/>
      <c r="G975" s="333">
        <f t="shared" si="15"/>
        <v>2628.6599999999935</v>
      </c>
      <c r="H975" s="334"/>
      <c r="I975" s="335"/>
      <c r="J975" s="336"/>
      <c r="K975" s="301"/>
      <c r="L975" s="336"/>
      <c r="M975" s="301"/>
      <c r="N975" s="336"/>
      <c r="O975" s="301"/>
      <c r="P975" s="336"/>
      <c r="Q975" s="301"/>
      <c r="R975" s="336"/>
      <c r="S975" s="301"/>
      <c r="T975" s="336"/>
    </row>
    <row r="976" spans="1:20" ht="12" customHeight="1" x14ac:dyDescent="0.3">
      <c r="A976" s="329" t="s">
        <v>289</v>
      </c>
      <c r="B976" s="330">
        <v>1</v>
      </c>
      <c r="C976" s="298">
        <v>46054</v>
      </c>
      <c r="D976" s="299" t="s">
        <v>329</v>
      </c>
      <c r="E976" s="331">
        <v>194.96</v>
      </c>
      <c r="F976" s="331"/>
      <c r="G976" s="333">
        <f t="shared" si="15"/>
        <v>2728.6599999999935</v>
      </c>
      <c r="H976" s="334"/>
      <c r="I976" s="335"/>
      <c r="J976" s="336"/>
      <c r="K976" s="301"/>
      <c r="L976" s="336"/>
      <c r="M976" s="301"/>
      <c r="N976" s="336"/>
      <c r="O976" s="301"/>
      <c r="P976" s="336"/>
      <c r="Q976" s="301"/>
      <c r="R976" s="336"/>
      <c r="S976" s="301"/>
      <c r="T976" s="336"/>
    </row>
    <row r="977" spans="1:20" ht="12" customHeight="1" x14ac:dyDescent="0.3">
      <c r="A977" s="329" t="s">
        <v>289</v>
      </c>
      <c r="B977" s="330">
        <v>2</v>
      </c>
      <c r="C977" s="298">
        <v>46054</v>
      </c>
      <c r="D977" s="299" t="s">
        <v>410</v>
      </c>
      <c r="E977" s="331">
        <v>75.53</v>
      </c>
      <c r="F977" s="331"/>
      <c r="G977" s="333">
        <f t="shared" si="15"/>
        <v>2923.6199999999935</v>
      </c>
      <c r="H977" s="334"/>
      <c r="I977" s="335"/>
      <c r="J977" s="336"/>
      <c r="K977" s="301"/>
      <c r="L977" s="336"/>
      <c r="M977" s="301"/>
      <c r="N977" s="336"/>
      <c r="O977" s="301"/>
      <c r="P977" s="336"/>
      <c r="Q977" s="301"/>
      <c r="R977" s="336"/>
      <c r="S977" s="301"/>
      <c r="T977" s="336"/>
    </row>
    <row r="978" spans="1:20" ht="12" customHeight="1" x14ac:dyDescent="0.3">
      <c r="A978" s="329" t="s">
        <v>284</v>
      </c>
      <c r="B978" s="330">
        <v>37</v>
      </c>
      <c r="C978" s="298">
        <v>46053</v>
      </c>
      <c r="D978" s="299" t="s">
        <v>459</v>
      </c>
      <c r="E978" s="331">
        <v>3194.64</v>
      </c>
      <c r="F978" s="331"/>
      <c r="G978" s="333">
        <f t="shared" si="15"/>
        <v>2999.1499999999937</v>
      </c>
      <c r="H978" s="334"/>
      <c r="I978" s="335"/>
      <c r="J978" s="336"/>
      <c r="K978" s="301"/>
      <c r="L978" s="336"/>
      <c r="M978" s="301"/>
      <c r="N978" s="336"/>
      <c r="O978" s="301"/>
      <c r="P978" s="336"/>
      <c r="Q978" s="301"/>
      <c r="R978" s="336"/>
      <c r="S978" s="301"/>
      <c r="T978" s="336"/>
    </row>
    <row r="979" spans="1:20" ht="12" customHeight="1" x14ac:dyDescent="0.3">
      <c r="A979" s="329" t="s">
        <v>286</v>
      </c>
      <c r="B979" s="330">
        <v>25</v>
      </c>
      <c r="C979" s="298">
        <v>46053</v>
      </c>
      <c r="D979" s="298" t="s">
        <v>204</v>
      </c>
      <c r="E979" s="331">
        <v>350</v>
      </c>
      <c r="F979" s="331"/>
      <c r="G979" s="333">
        <f t="shared" si="15"/>
        <v>6193.7899999999936</v>
      </c>
      <c r="H979" s="334"/>
      <c r="I979" s="335"/>
      <c r="J979" s="336"/>
      <c r="K979" s="301"/>
      <c r="L979" s="336"/>
      <c r="M979" s="301"/>
      <c r="N979" s="336"/>
      <c r="O979" s="301"/>
      <c r="P979" s="336"/>
      <c r="Q979" s="301"/>
      <c r="R979" s="336"/>
      <c r="S979" s="301"/>
      <c r="T979" s="336"/>
    </row>
    <row r="980" spans="1:20" ht="12" customHeight="1" x14ac:dyDescent="0.3">
      <c r="A980" s="329" t="s">
        <v>286</v>
      </c>
      <c r="B980" s="330">
        <v>26</v>
      </c>
      <c r="C980" s="298">
        <v>46053</v>
      </c>
      <c r="D980" s="298" t="s">
        <v>205</v>
      </c>
      <c r="E980" s="331">
        <v>320</v>
      </c>
      <c r="F980" s="331"/>
      <c r="G980" s="333">
        <f t="shared" si="15"/>
        <v>6543.7899999999936</v>
      </c>
      <c r="H980" s="334"/>
      <c r="I980" s="335"/>
      <c r="J980" s="336"/>
      <c r="K980" s="301"/>
      <c r="L980" s="336"/>
      <c r="M980" s="301"/>
      <c r="N980" s="336"/>
      <c r="O980" s="301"/>
      <c r="P980" s="336"/>
      <c r="Q980" s="301"/>
      <c r="R980" s="336"/>
      <c r="S980" s="301"/>
      <c r="T980" s="336"/>
    </row>
    <row r="981" spans="1:20" ht="12" customHeight="1" x14ac:dyDescent="0.3">
      <c r="A981" s="329" t="s">
        <v>286</v>
      </c>
      <c r="B981" s="330">
        <v>27</v>
      </c>
      <c r="C981" s="298">
        <v>46053</v>
      </c>
      <c r="D981" s="298" t="s">
        <v>206</v>
      </c>
      <c r="E981" s="331">
        <v>25</v>
      </c>
      <c r="F981" s="331"/>
      <c r="G981" s="333">
        <f t="shared" si="15"/>
        <v>6863.7899999999936</v>
      </c>
      <c r="H981" s="334"/>
      <c r="I981" s="335"/>
      <c r="J981" s="336"/>
      <c r="K981" s="301"/>
      <c r="L981" s="336"/>
      <c r="M981" s="301"/>
      <c r="N981" s="336"/>
      <c r="O981" s="301"/>
      <c r="P981" s="336"/>
      <c r="Q981" s="301"/>
      <c r="R981" s="336"/>
      <c r="S981" s="301"/>
      <c r="T981" s="336"/>
    </row>
    <row r="982" spans="1:20" ht="12" customHeight="1" x14ac:dyDescent="0.3">
      <c r="A982" s="329" t="s">
        <v>286</v>
      </c>
      <c r="B982" s="330">
        <v>28</v>
      </c>
      <c r="C982" s="298">
        <v>46053</v>
      </c>
      <c r="D982" s="298" t="s">
        <v>207</v>
      </c>
      <c r="E982" s="331">
        <v>25</v>
      </c>
      <c r="F982" s="331"/>
      <c r="G982" s="333">
        <f t="shared" si="15"/>
        <v>6888.7899999999936</v>
      </c>
      <c r="H982" s="334"/>
      <c r="I982" s="335"/>
      <c r="J982" s="336"/>
      <c r="K982" s="301"/>
      <c r="L982" s="336"/>
      <c r="M982" s="301"/>
      <c r="N982" s="336"/>
      <c r="O982" s="301"/>
      <c r="P982" s="336"/>
      <c r="Q982" s="301"/>
      <c r="R982" s="336"/>
      <c r="S982" s="301"/>
      <c r="T982" s="336"/>
    </row>
    <row r="983" spans="1:20" ht="12" customHeight="1" x14ac:dyDescent="0.3">
      <c r="A983" s="329" t="s">
        <v>286</v>
      </c>
      <c r="B983" s="330">
        <v>29</v>
      </c>
      <c r="C983" s="298">
        <v>46053</v>
      </c>
      <c r="D983" s="298" t="s">
        <v>208</v>
      </c>
      <c r="E983" s="331">
        <v>45</v>
      </c>
      <c r="F983" s="331"/>
      <c r="G983" s="333">
        <f t="shared" si="15"/>
        <v>6913.7899999999936</v>
      </c>
      <c r="H983" s="334"/>
      <c r="I983" s="335"/>
      <c r="J983" s="336"/>
      <c r="K983" s="301"/>
      <c r="L983" s="336"/>
      <c r="M983" s="301"/>
      <c r="N983" s="336"/>
      <c r="O983" s="301"/>
      <c r="P983" s="336"/>
      <c r="Q983" s="301"/>
      <c r="R983" s="336"/>
      <c r="S983" s="301"/>
      <c r="T983" s="336"/>
    </row>
    <row r="984" spans="1:20" ht="12" customHeight="1" x14ac:dyDescent="0.3">
      <c r="A984" s="329" t="s">
        <v>286</v>
      </c>
      <c r="B984" s="330">
        <v>30</v>
      </c>
      <c r="C984" s="298">
        <v>46053</v>
      </c>
      <c r="D984" s="298" t="s">
        <v>209</v>
      </c>
      <c r="E984" s="331">
        <v>400</v>
      </c>
      <c r="F984" s="331"/>
      <c r="G984" s="333">
        <f t="shared" si="15"/>
        <v>6958.7899999999936</v>
      </c>
      <c r="H984" s="334"/>
      <c r="I984" s="335"/>
      <c r="J984" s="336"/>
      <c r="K984" s="301"/>
      <c r="L984" s="336"/>
      <c r="M984" s="301"/>
      <c r="N984" s="336"/>
      <c r="O984" s="301"/>
      <c r="P984" s="336"/>
      <c r="Q984" s="301"/>
      <c r="R984" s="336"/>
      <c r="S984" s="301"/>
      <c r="T984" s="336"/>
    </row>
    <row r="985" spans="1:20" ht="12" customHeight="1" x14ac:dyDescent="0.3">
      <c r="A985" s="329" t="s">
        <v>286</v>
      </c>
      <c r="B985" s="330">
        <v>31</v>
      </c>
      <c r="C985" s="298">
        <v>46053</v>
      </c>
      <c r="D985" s="298" t="s">
        <v>210</v>
      </c>
      <c r="E985" s="331">
        <v>375</v>
      </c>
      <c r="F985" s="331"/>
      <c r="G985" s="333">
        <f t="shared" si="15"/>
        <v>7358.7899999999936</v>
      </c>
      <c r="H985" s="334"/>
      <c r="I985" s="335"/>
      <c r="J985" s="336"/>
      <c r="K985" s="301"/>
      <c r="L985" s="336"/>
      <c r="M985" s="301"/>
      <c r="N985" s="336"/>
      <c r="O985" s="301"/>
      <c r="P985" s="336"/>
      <c r="Q985" s="301"/>
      <c r="R985" s="336"/>
      <c r="S985" s="301"/>
      <c r="T985" s="336"/>
    </row>
    <row r="986" spans="1:20" ht="12" customHeight="1" x14ac:dyDescent="0.3">
      <c r="A986" s="329" t="s">
        <v>286</v>
      </c>
      <c r="B986" s="330">
        <v>32</v>
      </c>
      <c r="C986" s="298">
        <v>46053</v>
      </c>
      <c r="D986" s="298" t="s">
        <v>211</v>
      </c>
      <c r="E986" s="331">
        <v>100</v>
      </c>
      <c r="F986" s="331"/>
      <c r="G986" s="333">
        <f t="shared" si="15"/>
        <v>7733.7899999999936</v>
      </c>
      <c r="H986" s="334"/>
      <c r="I986" s="335"/>
      <c r="J986" s="336"/>
      <c r="K986" s="301"/>
      <c r="L986" s="336"/>
      <c r="M986" s="301"/>
      <c r="N986" s="336"/>
      <c r="O986" s="301"/>
      <c r="P986" s="336"/>
      <c r="Q986" s="301"/>
      <c r="R986" s="336"/>
      <c r="S986" s="301"/>
      <c r="T986" s="336"/>
    </row>
    <row r="987" spans="1:20" ht="12" customHeight="1" x14ac:dyDescent="0.3">
      <c r="A987" s="329" t="s">
        <v>286</v>
      </c>
      <c r="B987" s="330">
        <v>33</v>
      </c>
      <c r="C987" s="298">
        <v>46053</v>
      </c>
      <c r="D987" s="298" t="s">
        <v>212</v>
      </c>
      <c r="E987" s="331">
        <v>85</v>
      </c>
      <c r="F987" s="331"/>
      <c r="G987" s="333">
        <f t="shared" si="15"/>
        <v>7833.7899999999936</v>
      </c>
      <c r="H987" s="334"/>
      <c r="I987" s="335"/>
      <c r="J987" s="336"/>
      <c r="K987" s="301"/>
      <c r="L987" s="336"/>
      <c r="M987" s="301"/>
      <c r="N987" s="336"/>
      <c r="O987" s="301"/>
      <c r="P987" s="336"/>
      <c r="Q987" s="301"/>
      <c r="R987" s="336"/>
      <c r="S987" s="301"/>
      <c r="T987" s="336"/>
    </row>
    <row r="988" spans="1:20" ht="12" customHeight="1" x14ac:dyDescent="0.3">
      <c r="A988" s="329" t="s">
        <v>286</v>
      </c>
      <c r="B988" s="330">
        <v>34</v>
      </c>
      <c r="C988" s="298">
        <v>46053</v>
      </c>
      <c r="D988" s="298" t="s">
        <v>213</v>
      </c>
      <c r="E988" s="331">
        <v>230</v>
      </c>
      <c r="F988" s="331"/>
      <c r="G988" s="333">
        <f t="shared" si="15"/>
        <v>7918.7899999999936</v>
      </c>
      <c r="H988" s="334"/>
      <c r="I988" s="335"/>
      <c r="J988" s="336"/>
      <c r="K988" s="301"/>
      <c r="L988" s="336"/>
      <c r="M988" s="301"/>
      <c r="N988" s="336"/>
      <c r="O988" s="301"/>
      <c r="P988" s="336"/>
      <c r="Q988" s="301"/>
      <c r="R988" s="336"/>
      <c r="S988" s="301"/>
      <c r="T988" s="336"/>
    </row>
    <row r="989" spans="1:20" ht="12" customHeight="1" x14ac:dyDescent="0.3">
      <c r="A989" s="329" t="s">
        <v>286</v>
      </c>
      <c r="B989" s="330">
        <v>35</v>
      </c>
      <c r="C989" s="298">
        <v>46053</v>
      </c>
      <c r="D989" s="298" t="s">
        <v>214</v>
      </c>
      <c r="E989" s="331">
        <v>45</v>
      </c>
      <c r="F989" s="331"/>
      <c r="G989" s="333">
        <f t="shared" si="15"/>
        <v>8148.7899999999936</v>
      </c>
      <c r="H989" s="334"/>
      <c r="I989" s="335"/>
      <c r="J989" s="336"/>
      <c r="K989" s="301"/>
      <c r="L989" s="336"/>
      <c r="M989" s="301"/>
      <c r="N989" s="336"/>
      <c r="O989" s="301"/>
      <c r="P989" s="336"/>
      <c r="Q989" s="301"/>
      <c r="R989" s="336"/>
      <c r="S989" s="301"/>
      <c r="T989" s="336"/>
    </row>
    <row r="990" spans="1:20" ht="12" customHeight="1" x14ac:dyDescent="0.3">
      <c r="A990" s="329" t="s">
        <v>289</v>
      </c>
      <c r="B990" s="330">
        <v>8</v>
      </c>
      <c r="C990" s="298">
        <v>46053</v>
      </c>
      <c r="D990" s="298" t="s">
        <v>319</v>
      </c>
      <c r="E990" s="331">
        <v>31.03</v>
      </c>
      <c r="F990" s="331"/>
      <c r="G990" s="333">
        <f t="shared" si="15"/>
        <v>8193.7899999999936</v>
      </c>
      <c r="H990" s="334"/>
      <c r="I990" s="335"/>
      <c r="J990" s="336"/>
      <c r="K990" s="301"/>
      <c r="L990" s="336"/>
      <c r="M990" s="301"/>
      <c r="N990" s="336"/>
      <c r="O990" s="301"/>
      <c r="P990" s="336"/>
      <c r="Q990" s="301"/>
      <c r="R990" s="336"/>
      <c r="S990" s="301"/>
      <c r="T990" s="336"/>
    </row>
    <row r="991" spans="1:20" ht="12" customHeight="1" x14ac:dyDescent="0.3">
      <c r="A991" s="329" t="s">
        <v>294</v>
      </c>
      <c r="B991" s="330">
        <v>10</v>
      </c>
      <c r="C991" s="298">
        <v>46053</v>
      </c>
      <c r="D991" s="298" t="s">
        <v>176</v>
      </c>
      <c r="E991" s="331">
        <v>17.899999999999999</v>
      </c>
      <c r="F991" s="331"/>
      <c r="G991" s="333">
        <f t="shared" si="15"/>
        <v>8224.8199999999943</v>
      </c>
      <c r="H991" s="334"/>
      <c r="I991" s="335"/>
      <c r="J991" s="336"/>
      <c r="K991" s="301"/>
      <c r="L991" s="336"/>
      <c r="M991" s="301"/>
      <c r="N991" s="336"/>
      <c r="O991" s="301"/>
      <c r="P991" s="336"/>
      <c r="Q991" s="301"/>
      <c r="R991" s="336"/>
      <c r="S991" s="301"/>
      <c r="T991" s="336"/>
    </row>
    <row r="992" spans="1:20" ht="12" customHeight="1" x14ac:dyDescent="0.3">
      <c r="A992" s="329" t="s">
        <v>289</v>
      </c>
      <c r="B992" s="330">
        <v>3</v>
      </c>
      <c r="C992" s="298">
        <v>46053</v>
      </c>
      <c r="D992" s="298" t="s">
        <v>348</v>
      </c>
      <c r="E992" s="331">
        <v>18.84</v>
      </c>
      <c r="F992" s="331"/>
      <c r="G992" s="333">
        <f t="shared" si="15"/>
        <v>8242.7199999999939</v>
      </c>
      <c r="H992" s="334"/>
      <c r="I992" s="335"/>
      <c r="J992" s="336"/>
      <c r="K992" s="301"/>
      <c r="L992" s="336"/>
      <c r="M992" s="301"/>
      <c r="N992" s="336"/>
      <c r="O992" s="301"/>
      <c r="P992" s="336"/>
      <c r="Q992" s="301"/>
      <c r="R992" s="336"/>
      <c r="S992" s="301"/>
      <c r="T992" s="336"/>
    </row>
    <row r="993" spans="1:20" ht="12" customHeight="1" x14ac:dyDescent="0.3">
      <c r="A993" s="329" t="s">
        <v>289</v>
      </c>
      <c r="B993" s="330">
        <v>8</v>
      </c>
      <c r="C993" s="298">
        <v>46053</v>
      </c>
      <c r="D993" s="298" t="s">
        <v>319</v>
      </c>
      <c r="E993" s="331">
        <v>25.54</v>
      </c>
      <c r="F993" s="331"/>
      <c r="G993" s="333">
        <f t="shared" si="15"/>
        <v>8261.559999999994</v>
      </c>
      <c r="H993" s="334"/>
      <c r="I993" s="335"/>
      <c r="J993" s="336"/>
      <c r="K993" s="301"/>
      <c r="L993" s="336"/>
      <c r="M993" s="301"/>
      <c r="N993" s="336"/>
      <c r="O993" s="301"/>
      <c r="P993" s="336"/>
      <c r="Q993" s="301"/>
      <c r="R993" s="336"/>
      <c r="S993" s="301"/>
      <c r="T993" s="336"/>
    </row>
    <row r="994" spans="1:20" ht="12" customHeight="1" x14ac:dyDescent="0.3">
      <c r="A994" s="329" t="s">
        <v>289</v>
      </c>
      <c r="B994" s="330">
        <v>8</v>
      </c>
      <c r="C994" s="298">
        <v>46053</v>
      </c>
      <c r="D994" s="298" t="s">
        <v>308</v>
      </c>
      <c r="E994" s="331">
        <v>52.59</v>
      </c>
      <c r="F994" s="331"/>
      <c r="G994" s="333">
        <f t="shared" si="15"/>
        <v>8287.0999999999949</v>
      </c>
      <c r="H994" s="334"/>
      <c r="I994" s="335"/>
      <c r="J994" s="336"/>
      <c r="K994" s="301"/>
      <c r="L994" s="336"/>
      <c r="M994" s="301"/>
      <c r="N994" s="336"/>
      <c r="O994" s="301"/>
      <c r="P994" s="336"/>
      <c r="Q994" s="301"/>
      <c r="R994" s="336"/>
      <c r="S994" s="301"/>
      <c r="T994" s="336"/>
    </row>
    <row r="995" spans="1:20" ht="12" customHeight="1" x14ac:dyDescent="0.3">
      <c r="A995" s="329" t="s">
        <v>335</v>
      </c>
      <c r="B995" s="330" t="s">
        <v>335</v>
      </c>
      <c r="C995" s="298">
        <v>46052</v>
      </c>
      <c r="D995" s="299" t="s">
        <v>460</v>
      </c>
      <c r="E995" s="331"/>
      <c r="F995" s="331">
        <v>422</v>
      </c>
      <c r="G995" s="333">
        <f t="shared" si="15"/>
        <v>8339.6899999999951</v>
      </c>
      <c r="H995" s="334"/>
      <c r="I995" s="335"/>
      <c r="J995" s="336"/>
      <c r="K995" s="301"/>
      <c r="L995" s="336"/>
      <c r="M995" s="301"/>
      <c r="N995" s="336"/>
      <c r="O995" s="301"/>
      <c r="P995" s="336"/>
      <c r="Q995" s="301"/>
      <c r="R995" s="336"/>
      <c r="S995" s="301"/>
      <c r="T995" s="336"/>
    </row>
    <row r="996" spans="1:20" ht="12" customHeight="1" x14ac:dyDescent="0.3">
      <c r="A996" s="329" t="s">
        <v>289</v>
      </c>
      <c r="B996" s="330">
        <v>5</v>
      </c>
      <c r="C996" s="298">
        <v>46052</v>
      </c>
      <c r="D996" s="299" t="s">
        <v>864</v>
      </c>
      <c r="E996" s="331">
        <v>200</v>
      </c>
      <c r="F996" s="331"/>
      <c r="G996" s="333">
        <f t="shared" si="15"/>
        <v>7917.6899999999951</v>
      </c>
      <c r="H996" s="334"/>
      <c r="I996" s="335"/>
      <c r="J996" s="336"/>
      <c r="K996" s="301"/>
      <c r="L996" s="336"/>
      <c r="M996" s="301"/>
      <c r="N996" s="336"/>
      <c r="O996" s="301"/>
      <c r="P996" s="336"/>
      <c r="Q996" s="301"/>
      <c r="R996" s="336"/>
      <c r="S996" s="301"/>
      <c r="T996" s="336"/>
    </row>
    <row r="997" spans="1:20" ht="12" customHeight="1" x14ac:dyDescent="0.3">
      <c r="A997" s="329" t="s">
        <v>289</v>
      </c>
      <c r="B997" s="330">
        <v>2</v>
      </c>
      <c r="C997" s="298">
        <v>46052</v>
      </c>
      <c r="D997" s="299" t="s">
        <v>296</v>
      </c>
      <c r="E997" s="331">
        <v>8.52</v>
      </c>
      <c r="F997" s="331"/>
      <c r="G997" s="333">
        <f t="shared" si="15"/>
        <v>8117.6899999999951</v>
      </c>
      <c r="H997" s="334"/>
      <c r="I997" s="335"/>
      <c r="J997" s="336"/>
      <c r="K997" s="301"/>
      <c r="L997" s="336"/>
      <c r="M997" s="301"/>
      <c r="N997" s="336"/>
      <c r="O997" s="301"/>
      <c r="P997" s="336"/>
      <c r="Q997" s="301"/>
      <c r="R997" s="336"/>
      <c r="S997" s="301"/>
      <c r="T997" s="336"/>
    </row>
    <row r="998" spans="1:20" ht="12" customHeight="1" x14ac:dyDescent="0.3">
      <c r="A998" s="329" t="s">
        <v>287</v>
      </c>
      <c r="B998" s="330" t="s">
        <v>287</v>
      </c>
      <c r="C998" s="298">
        <v>46052</v>
      </c>
      <c r="D998" s="299" t="s">
        <v>461</v>
      </c>
      <c r="E998" s="331">
        <v>831.92</v>
      </c>
      <c r="F998" s="331">
        <v>831.92</v>
      </c>
      <c r="G998" s="333">
        <f t="shared" si="15"/>
        <v>8126.2099999999955</v>
      </c>
      <c r="H998" s="334"/>
      <c r="I998" s="335"/>
      <c r="J998" s="336"/>
      <c r="K998" s="301"/>
      <c r="L998" s="336"/>
      <c r="M998" s="301"/>
      <c r="N998" s="336"/>
      <c r="O998" s="301"/>
      <c r="P998" s="336"/>
      <c r="Q998" s="301"/>
      <c r="R998" s="336"/>
      <c r="S998" s="301"/>
      <c r="T998" s="336"/>
    </row>
    <row r="999" spans="1:20" ht="12" customHeight="1" x14ac:dyDescent="0.3">
      <c r="A999" s="329" t="s">
        <v>289</v>
      </c>
      <c r="B999" s="330">
        <v>5</v>
      </c>
      <c r="C999" s="298">
        <v>46052</v>
      </c>
      <c r="D999" s="299" t="s">
        <v>441</v>
      </c>
      <c r="E999" s="331">
        <v>200</v>
      </c>
      <c r="F999" s="331"/>
      <c r="G999" s="333">
        <f t="shared" si="15"/>
        <v>8126.2099999999955</v>
      </c>
      <c r="H999" s="334"/>
      <c r="I999" s="335"/>
      <c r="J999" s="336"/>
      <c r="K999" s="301"/>
      <c r="L999" s="336"/>
      <c r="M999" s="301"/>
      <c r="N999" s="336"/>
      <c r="O999" s="301"/>
      <c r="P999" s="336"/>
      <c r="Q999" s="301"/>
      <c r="R999" s="336"/>
      <c r="S999" s="301"/>
      <c r="T999" s="336"/>
    </row>
    <row r="1000" spans="1:20" ht="12" customHeight="1" x14ac:dyDescent="0.3">
      <c r="A1000" s="329" t="s">
        <v>289</v>
      </c>
      <c r="B1000" s="330">
        <v>2</v>
      </c>
      <c r="C1000" s="298">
        <v>46052</v>
      </c>
      <c r="D1000" s="299" t="s">
        <v>324</v>
      </c>
      <c r="E1000" s="331">
        <v>11.04</v>
      </c>
      <c r="F1000" s="331"/>
      <c r="G1000" s="333">
        <f t="shared" si="15"/>
        <v>8326.2099999999955</v>
      </c>
      <c r="H1000" s="334"/>
      <c r="I1000" s="335"/>
      <c r="J1000" s="336"/>
      <c r="K1000" s="301"/>
      <c r="L1000" s="336"/>
      <c r="M1000" s="301"/>
      <c r="N1000" s="336"/>
      <c r="O1000" s="301"/>
      <c r="P1000" s="336"/>
      <c r="Q1000" s="301"/>
      <c r="R1000" s="336"/>
      <c r="S1000" s="301"/>
      <c r="T1000" s="336"/>
    </row>
    <row r="1001" spans="1:20" ht="12" customHeight="1" x14ac:dyDescent="0.3">
      <c r="A1001" s="329" t="s">
        <v>291</v>
      </c>
      <c r="B1001" s="330">
        <v>38</v>
      </c>
      <c r="C1001" s="298">
        <v>46051</v>
      </c>
      <c r="D1001" s="299" t="s">
        <v>293</v>
      </c>
      <c r="E1001" s="331"/>
      <c r="F1001" s="331">
        <v>4365.6499999999996</v>
      </c>
      <c r="G1001" s="333">
        <f t="shared" si="15"/>
        <v>8337.2499999999964</v>
      </c>
      <c r="H1001" s="334"/>
      <c r="I1001" s="335"/>
      <c r="J1001" s="336"/>
      <c r="K1001" s="301"/>
      <c r="L1001" s="336"/>
      <c r="M1001" s="301"/>
      <c r="N1001" s="336"/>
      <c r="O1001" s="301"/>
      <c r="P1001" s="336"/>
      <c r="Q1001" s="301"/>
      <c r="R1001" s="336"/>
      <c r="S1001" s="301"/>
      <c r="T1001" s="336"/>
    </row>
    <row r="1002" spans="1:20" ht="12" customHeight="1" x14ac:dyDescent="0.3">
      <c r="A1002" s="329" t="s">
        <v>289</v>
      </c>
      <c r="B1002" s="330">
        <v>2</v>
      </c>
      <c r="C1002" s="298">
        <v>46051</v>
      </c>
      <c r="D1002" s="299" t="s">
        <v>296</v>
      </c>
      <c r="E1002" s="331">
        <v>18.28</v>
      </c>
      <c r="F1002" s="331"/>
      <c r="G1002" s="333">
        <f t="shared" si="15"/>
        <v>3971.5999999999976</v>
      </c>
      <c r="H1002" s="334"/>
      <c r="I1002" s="335"/>
      <c r="J1002" s="336"/>
      <c r="K1002" s="301"/>
      <c r="L1002" s="336"/>
      <c r="M1002" s="301"/>
      <c r="N1002" s="336"/>
      <c r="O1002" s="301"/>
      <c r="P1002" s="336"/>
      <c r="Q1002" s="301"/>
      <c r="R1002" s="336"/>
      <c r="S1002" s="301"/>
      <c r="T1002" s="336"/>
    </row>
    <row r="1003" spans="1:20" ht="12" customHeight="1" x14ac:dyDescent="0.3">
      <c r="A1003" s="329" t="s">
        <v>289</v>
      </c>
      <c r="B1003" s="330">
        <v>4</v>
      </c>
      <c r="C1003" s="298">
        <v>46051</v>
      </c>
      <c r="D1003" s="299" t="s">
        <v>295</v>
      </c>
      <c r="E1003" s="331">
        <v>57.06</v>
      </c>
      <c r="F1003" s="331"/>
      <c r="G1003" s="333">
        <f t="shared" si="15"/>
        <v>3989.8799999999978</v>
      </c>
      <c r="H1003" s="334"/>
      <c r="I1003" s="335"/>
      <c r="J1003" s="336"/>
      <c r="K1003" s="301"/>
      <c r="L1003" s="336"/>
      <c r="M1003" s="301"/>
      <c r="N1003" s="336"/>
      <c r="O1003" s="301"/>
      <c r="P1003" s="336"/>
      <c r="Q1003" s="301"/>
      <c r="R1003" s="336"/>
      <c r="S1003" s="301"/>
      <c r="T1003" s="336"/>
    </row>
    <row r="1004" spans="1:20" ht="12" customHeight="1" x14ac:dyDescent="0.3">
      <c r="A1004" s="329" t="s">
        <v>287</v>
      </c>
      <c r="B1004" s="330" t="s">
        <v>287</v>
      </c>
      <c r="C1004" s="298">
        <v>46051</v>
      </c>
      <c r="D1004" s="299" t="s">
        <v>462</v>
      </c>
      <c r="E1004" s="331">
        <v>89.42</v>
      </c>
      <c r="F1004" s="331">
        <v>89.42</v>
      </c>
      <c r="G1004" s="333">
        <f t="shared" si="15"/>
        <v>4046.9399999999978</v>
      </c>
      <c r="H1004" s="334"/>
      <c r="I1004" s="335"/>
      <c r="J1004" s="336"/>
      <c r="K1004" s="301"/>
      <c r="L1004" s="336"/>
      <c r="M1004" s="301"/>
      <c r="N1004" s="336"/>
      <c r="O1004" s="301"/>
      <c r="P1004" s="336"/>
      <c r="Q1004" s="301"/>
      <c r="R1004" s="336"/>
      <c r="S1004" s="301"/>
      <c r="T1004" s="336"/>
    </row>
    <row r="1005" spans="1:20" ht="12" customHeight="1" x14ac:dyDescent="0.3">
      <c r="A1005" s="329" t="s">
        <v>289</v>
      </c>
      <c r="B1005" s="330">
        <v>8</v>
      </c>
      <c r="C1005" s="298">
        <v>46051</v>
      </c>
      <c r="D1005" s="299" t="s">
        <v>463</v>
      </c>
      <c r="E1005" s="331">
        <v>59</v>
      </c>
      <c r="F1005" s="331"/>
      <c r="G1005" s="333">
        <f t="shared" si="15"/>
        <v>4046.9399999999978</v>
      </c>
      <c r="H1005" s="334"/>
      <c r="I1005" s="335"/>
      <c r="J1005" s="336"/>
      <c r="K1005" s="301"/>
      <c r="L1005" s="336"/>
      <c r="M1005" s="301"/>
      <c r="N1005" s="336"/>
      <c r="O1005" s="301"/>
      <c r="P1005" s="336"/>
      <c r="Q1005" s="301"/>
      <c r="R1005" s="336"/>
      <c r="S1005" s="301"/>
      <c r="T1005" s="336"/>
    </row>
    <row r="1006" spans="1:20" ht="12" customHeight="1" x14ac:dyDescent="0.3">
      <c r="A1006" s="329" t="s">
        <v>289</v>
      </c>
      <c r="B1006" s="330">
        <v>2</v>
      </c>
      <c r="C1006" s="298">
        <v>46051</v>
      </c>
      <c r="D1006" s="299" t="s">
        <v>371</v>
      </c>
      <c r="E1006" s="331">
        <v>19.899999999999999</v>
      </c>
      <c r="F1006" s="331"/>
      <c r="G1006" s="333">
        <f t="shared" si="15"/>
        <v>4105.9399999999978</v>
      </c>
      <c r="H1006" s="334"/>
      <c r="I1006" s="335"/>
      <c r="J1006" s="336"/>
      <c r="K1006" s="301"/>
      <c r="L1006" s="336"/>
      <c r="M1006" s="301"/>
      <c r="N1006" s="336"/>
      <c r="O1006" s="301"/>
      <c r="P1006" s="336"/>
      <c r="Q1006" s="301"/>
      <c r="R1006" s="336"/>
      <c r="S1006" s="301"/>
      <c r="T1006" s="336"/>
    </row>
    <row r="1007" spans="1:20" ht="12" customHeight="1" x14ac:dyDescent="0.3">
      <c r="A1007" s="329" t="s">
        <v>289</v>
      </c>
      <c r="B1007" s="330">
        <v>2</v>
      </c>
      <c r="C1007" s="298">
        <v>46050</v>
      </c>
      <c r="D1007" s="299" t="s">
        <v>353</v>
      </c>
      <c r="E1007" s="331">
        <v>14.99</v>
      </c>
      <c r="F1007" s="331"/>
      <c r="G1007" s="333">
        <f t="shared" si="15"/>
        <v>4125.8399999999974</v>
      </c>
      <c r="H1007" s="334"/>
      <c r="I1007" s="335"/>
      <c r="J1007" s="336"/>
      <c r="K1007" s="301"/>
      <c r="L1007" s="336"/>
      <c r="M1007" s="301"/>
      <c r="N1007" s="336"/>
      <c r="O1007" s="301"/>
      <c r="P1007" s="336"/>
      <c r="Q1007" s="301"/>
      <c r="R1007" s="336"/>
      <c r="S1007" s="301"/>
      <c r="T1007" s="336"/>
    </row>
    <row r="1008" spans="1:20" ht="12" customHeight="1" x14ac:dyDescent="0.3">
      <c r="A1008" s="329" t="s">
        <v>289</v>
      </c>
      <c r="B1008" s="330">
        <v>6</v>
      </c>
      <c r="C1008" s="298">
        <v>46050</v>
      </c>
      <c r="D1008" s="299" t="s">
        <v>464</v>
      </c>
      <c r="E1008" s="331">
        <v>25</v>
      </c>
      <c r="F1008" s="331"/>
      <c r="G1008" s="333">
        <f t="shared" si="15"/>
        <v>4140.8299999999972</v>
      </c>
      <c r="H1008" s="334"/>
      <c r="I1008" s="335"/>
      <c r="J1008" s="336"/>
      <c r="K1008" s="301"/>
      <c r="L1008" s="336"/>
      <c r="M1008" s="301"/>
      <c r="N1008" s="336"/>
      <c r="O1008" s="301"/>
      <c r="P1008" s="336"/>
      <c r="Q1008" s="301"/>
      <c r="R1008" s="336"/>
      <c r="S1008" s="301"/>
      <c r="T1008" s="336"/>
    </row>
    <row r="1009" spans="1:20" ht="12" customHeight="1" x14ac:dyDescent="0.3">
      <c r="A1009" s="329" t="s">
        <v>289</v>
      </c>
      <c r="B1009" s="330">
        <v>3</v>
      </c>
      <c r="C1009" s="298">
        <v>46050</v>
      </c>
      <c r="D1009" s="299" t="s">
        <v>865</v>
      </c>
      <c r="E1009" s="331">
        <v>6</v>
      </c>
      <c r="F1009" s="331"/>
      <c r="G1009" s="333">
        <f t="shared" si="15"/>
        <v>4165.8299999999972</v>
      </c>
      <c r="H1009" s="334"/>
      <c r="I1009" s="335"/>
      <c r="J1009" s="336"/>
      <c r="K1009" s="301"/>
      <c r="L1009" s="336"/>
      <c r="M1009" s="301"/>
      <c r="N1009" s="336"/>
      <c r="O1009" s="301"/>
      <c r="P1009" s="336"/>
      <c r="Q1009" s="301"/>
      <c r="R1009" s="336"/>
      <c r="S1009" s="301"/>
      <c r="T1009" s="336"/>
    </row>
    <row r="1010" spans="1:20" ht="12" customHeight="1" x14ac:dyDescent="0.3">
      <c r="A1010" s="329" t="s">
        <v>289</v>
      </c>
      <c r="B1010" s="330">
        <v>2</v>
      </c>
      <c r="C1010" s="298">
        <v>46050</v>
      </c>
      <c r="D1010" s="299" t="s">
        <v>866</v>
      </c>
      <c r="E1010" s="331">
        <v>15</v>
      </c>
      <c r="F1010" s="331"/>
      <c r="G1010" s="333">
        <f t="shared" si="15"/>
        <v>4171.8299999999972</v>
      </c>
      <c r="H1010" s="334"/>
      <c r="I1010" s="335"/>
      <c r="J1010" s="336"/>
      <c r="K1010" s="301"/>
      <c r="L1010" s="336"/>
      <c r="M1010" s="301"/>
      <c r="N1010" s="336"/>
      <c r="O1010" s="301"/>
      <c r="P1010" s="336"/>
      <c r="Q1010" s="301"/>
      <c r="R1010" s="336"/>
      <c r="S1010" s="301"/>
      <c r="T1010" s="336"/>
    </row>
    <row r="1011" spans="1:20" ht="12" customHeight="1" x14ac:dyDescent="0.3">
      <c r="A1011" s="329" t="s">
        <v>289</v>
      </c>
      <c r="B1011" s="330">
        <v>2</v>
      </c>
      <c r="C1011" s="298">
        <v>46050</v>
      </c>
      <c r="D1011" s="299" t="s">
        <v>296</v>
      </c>
      <c r="E1011" s="331">
        <v>12.71</v>
      </c>
      <c r="F1011" s="331"/>
      <c r="G1011" s="333">
        <f t="shared" si="15"/>
        <v>4186.8299999999972</v>
      </c>
      <c r="H1011" s="334"/>
      <c r="I1011" s="335"/>
      <c r="J1011" s="336"/>
      <c r="K1011" s="301"/>
      <c r="L1011" s="336"/>
      <c r="M1011" s="301"/>
      <c r="N1011" s="336"/>
      <c r="O1011" s="301"/>
      <c r="P1011" s="336"/>
      <c r="Q1011" s="301"/>
      <c r="R1011" s="336"/>
      <c r="S1011" s="301"/>
      <c r="T1011" s="336"/>
    </row>
    <row r="1012" spans="1:20" ht="12" customHeight="1" x14ac:dyDescent="0.3">
      <c r="A1012" s="329" t="s">
        <v>287</v>
      </c>
      <c r="B1012" s="330" t="s">
        <v>287</v>
      </c>
      <c r="C1012" s="298">
        <v>46050</v>
      </c>
      <c r="D1012" s="299" t="s">
        <v>452</v>
      </c>
      <c r="E1012" s="331">
        <v>1475.9</v>
      </c>
      <c r="F1012" s="331">
        <v>1475.9</v>
      </c>
      <c r="G1012" s="333">
        <f t="shared" si="15"/>
        <v>4199.5399999999972</v>
      </c>
      <c r="H1012" s="334"/>
      <c r="I1012" s="335"/>
      <c r="J1012" s="336"/>
      <c r="K1012" s="301"/>
      <c r="L1012" s="336"/>
      <c r="M1012" s="301"/>
      <c r="N1012" s="336"/>
      <c r="O1012" s="301"/>
      <c r="P1012" s="336"/>
      <c r="Q1012" s="301"/>
      <c r="R1012" s="336"/>
      <c r="S1012" s="301"/>
      <c r="T1012" s="336"/>
    </row>
    <row r="1013" spans="1:20" ht="12" customHeight="1" x14ac:dyDescent="0.3">
      <c r="A1013" s="329" t="s">
        <v>289</v>
      </c>
      <c r="B1013" s="330">
        <v>8</v>
      </c>
      <c r="C1013" s="298">
        <v>46050</v>
      </c>
      <c r="D1013" s="299" t="s">
        <v>319</v>
      </c>
      <c r="E1013" s="331">
        <v>28.52</v>
      </c>
      <c r="F1013" s="331"/>
      <c r="G1013" s="333">
        <f t="shared" si="15"/>
        <v>4199.5399999999972</v>
      </c>
      <c r="H1013" s="334"/>
      <c r="I1013" s="335"/>
      <c r="J1013" s="336"/>
      <c r="K1013" s="301"/>
      <c r="L1013" s="336"/>
      <c r="M1013" s="301"/>
      <c r="N1013" s="336"/>
      <c r="O1013" s="301"/>
      <c r="P1013" s="336"/>
      <c r="Q1013" s="301"/>
      <c r="R1013" s="336"/>
      <c r="S1013" s="301"/>
      <c r="T1013" s="336"/>
    </row>
    <row r="1014" spans="1:20" ht="12" customHeight="1" x14ac:dyDescent="0.3">
      <c r="A1014" s="329" t="s">
        <v>289</v>
      </c>
      <c r="B1014" s="330">
        <v>2</v>
      </c>
      <c r="C1014" s="298">
        <v>46050</v>
      </c>
      <c r="D1014" s="299" t="s">
        <v>465</v>
      </c>
      <c r="E1014" s="331">
        <v>66.94</v>
      </c>
      <c r="F1014" s="331"/>
      <c r="G1014" s="333">
        <f t="shared" si="15"/>
        <v>4228.0599999999977</v>
      </c>
      <c r="H1014" s="334"/>
      <c r="I1014" s="335"/>
      <c r="J1014" s="336"/>
      <c r="K1014" s="301"/>
      <c r="L1014" s="336"/>
      <c r="M1014" s="301"/>
      <c r="N1014" s="336"/>
      <c r="O1014" s="301"/>
      <c r="P1014" s="336"/>
      <c r="Q1014" s="301"/>
      <c r="R1014" s="336"/>
      <c r="S1014" s="301"/>
      <c r="T1014" s="336"/>
    </row>
    <row r="1015" spans="1:20" ht="12" customHeight="1" x14ac:dyDescent="0.3">
      <c r="A1015" s="329" t="s">
        <v>289</v>
      </c>
      <c r="B1015" s="330">
        <v>8</v>
      </c>
      <c r="C1015" s="298">
        <v>46049</v>
      </c>
      <c r="D1015" s="299" t="s">
        <v>308</v>
      </c>
      <c r="E1015" s="331">
        <v>47.99</v>
      </c>
      <c r="F1015" s="331"/>
      <c r="G1015" s="333">
        <f t="shared" si="15"/>
        <v>4294.9999999999973</v>
      </c>
      <c r="H1015" s="334"/>
      <c r="I1015" s="335"/>
      <c r="J1015" s="336"/>
      <c r="K1015" s="301"/>
      <c r="L1015" s="336"/>
      <c r="M1015" s="301"/>
      <c r="N1015" s="336"/>
      <c r="O1015" s="301"/>
      <c r="P1015" s="336"/>
      <c r="Q1015" s="301"/>
      <c r="R1015" s="336"/>
      <c r="S1015" s="301"/>
      <c r="T1015" s="336"/>
    </row>
    <row r="1016" spans="1:20" ht="12" customHeight="1" x14ac:dyDescent="0.3">
      <c r="A1016" s="329" t="s">
        <v>287</v>
      </c>
      <c r="B1016" s="330" t="s">
        <v>287</v>
      </c>
      <c r="C1016" s="298">
        <v>46048</v>
      </c>
      <c r="D1016" s="299" t="s">
        <v>466</v>
      </c>
      <c r="E1016" s="331"/>
      <c r="F1016" s="331">
        <v>425</v>
      </c>
      <c r="G1016" s="333">
        <f t="shared" si="15"/>
        <v>4342.9899999999971</v>
      </c>
      <c r="H1016" s="334" t="s">
        <v>298</v>
      </c>
      <c r="I1016" s="335"/>
      <c r="J1016" s="336"/>
      <c r="K1016" s="301"/>
      <c r="L1016" s="336"/>
      <c r="M1016" s="301"/>
      <c r="N1016" s="336"/>
      <c r="O1016" s="301"/>
      <c r="P1016" s="336"/>
      <c r="Q1016" s="301"/>
      <c r="R1016" s="336"/>
      <c r="S1016" s="301"/>
      <c r="T1016" s="336"/>
    </row>
    <row r="1017" spans="1:20" ht="12" customHeight="1" x14ac:dyDescent="0.3">
      <c r="A1017" s="329" t="s">
        <v>287</v>
      </c>
      <c r="B1017" s="330" t="s">
        <v>287</v>
      </c>
      <c r="C1017" s="298">
        <v>46048</v>
      </c>
      <c r="D1017" s="299" t="s">
        <v>466</v>
      </c>
      <c r="E1017" s="331">
        <v>425</v>
      </c>
      <c r="F1017" s="331"/>
      <c r="G1017" s="333">
        <f t="shared" si="15"/>
        <v>3917.9899999999971</v>
      </c>
      <c r="H1017" s="334"/>
      <c r="I1017" s="335"/>
      <c r="J1017" s="336"/>
      <c r="K1017" s="301"/>
      <c r="L1017" s="336"/>
      <c r="M1017" s="301"/>
      <c r="N1017" s="336"/>
      <c r="O1017" s="301"/>
      <c r="P1017" s="336"/>
      <c r="Q1017" s="301"/>
      <c r="R1017" s="336"/>
      <c r="S1017" s="301"/>
      <c r="T1017" s="336"/>
    </row>
    <row r="1018" spans="1:20" ht="12" customHeight="1" x14ac:dyDescent="0.3">
      <c r="A1018" s="329" t="s">
        <v>289</v>
      </c>
      <c r="B1018" s="330">
        <v>2</v>
      </c>
      <c r="C1018" s="298">
        <v>46048</v>
      </c>
      <c r="D1018" s="299" t="s">
        <v>467</v>
      </c>
      <c r="E1018" s="331">
        <v>20.12</v>
      </c>
      <c r="F1018" s="331"/>
      <c r="G1018" s="333">
        <f t="shared" si="15"/>
        <v>4342.9899999999971</v>
      </c>
      <c r="H1018" s="334"/>
      <c r="I1018" s="335"/>
      <c r="J1018" s="336"/>
      <c r="K1018" s="301"/>
      <c r="L1018" s="336"/>
      <c r="M1018" s="301"/>
      <c r="N1018" s="336"/>
      <c r="O1018" s="301"/>
      <c r="P1018" s="336"/>
      <c r="Q1018" s="301"/>
      <c r="R1018" s="336"/>
      <c r="S1018" s="301"/>
      <c r="T1018" s="336"/>
    </row>
    <row r="1019" spans="1:20" ht="12" customHeight="1" x14ac:dyDescent="0.3">
      <c r="A1019" s="329" t="s">
        <v>294</v>
      </c>
      <c r="B1019" s="330">
        <v>17</v>
      </c>
      <c r="C1019" s="298">
        <v>46048</v>
      </c>
      <c r="D1019" s="299" t="s">
        <v>468</v>
      </c>
      <c r="E1019" s="331">
        <v>42.68</v>
      </c>
      <c r="F1019" s="331"/>
      <c r="G1019" s="333">
        <f t="shared" si="15"/>
        <v>4363.1099999999969</v>
      </c>
      <c r="H1019" s="334"/>
      <c r="I1019" s="335"/>
      <c r="J1019" s="336"/>
      <c r="K1019" s="301"/>
      <c r="L1019" s="336"/>
      <c r="M1019" s="301"/>
      <c r="N1019" s="336"/>
      <c r="O1019" s="301"/>
      <c r="P1019" s="336"/>
      <c r="Q1019" s="301"/>
      <c r="R1019" s="336"/>
      <c r="S1019" s="301"/>
      <c r="T1019" s="336"/>
    </row>
    <row r="1020" spans="1:20" ht="12" customHeight="1" x14ac:dyDescent="0.3">
      <c r="A1020" s="329" t="s">
        <v>289</v>
      </c>
      <c r="B1020" s="330">
        <v>6</v>
      </c>
      <c r="C1020" s="298">
        <v>46048</v>
      </c>
      <c r="D1020" s="299" t="s">
        <v>397</v>
      </c>
      <c r="E1020" s="331">
        <v>47.9</v>
      </c>
      <c r="F1020" s="331"/>
      <c r="G1020" s="333">
        <f t="shared" si="15"/>
        <v>4405.7899999999972</v>
      </c>
      <c r="H1020" s="334"/>
      <c r="I1020" s="335"/>
      <c r="J1020" s="336"/>
      <c r="K1020" s="301"/>
      <c r="L1020" s="336"/>
      <c r="M1020" s="301"/>
      <c r="N1020" s="336"/>
      <c r="O1020" s="301"/>
      <c r="P1020" s="336"/>
      <c r="Q1020" s="301"/>
      <c r="R1020" s="336"/>
      <c r="S1020" s="301"/>
      <c r="T1020" s="336"/>
    </row>
    <row r="1021" spans="1:20" ht="12" customHeight="1" x14ac:dyDescent="0.3">
      <c r="A1021" s="329" t="s">
        <v>289</v>
      </c>
      <c r="B1021" s="330">
        <v>1</v>
      </c>
      <c r="C1021" s="298">
        <v>46047</v>
      </c>
      <c r="D1021" s="299" t="s">
        <v>457</v>
      </c>
      <c r="E1021" s="331">
        <v>105.79</v>
      </c>
      <c r="F1021" s="331"/>
      <c r="G1021" s="333">
        <f t="shared" si="15"/>
        <v>4453.6899999999969</v>
      </c>
      <c r="H1021" s="334"/>
      <c r="I1021" s="335"/>
      <c r="J1021" s="336"/>
      <c r="K1021" s="301"/>
      <c r="L1021" s="336"/>
      <c r="M1021" s="301"/>
      <c r="N1021" s="336"/>
      <c r="O1021" s="301"/>
      <c r="P1021" s="336"/>
      <c r="Q1021" s="301"/>
      <c r="R1021" s="336"/>
      <c r="S1021" s="301"/>
      <c r="T1021" s="336"/>
    </row>
    <row r="1022" spans="1:20" ht="12" customHeight="1" x14ac:dyDescent="0.3">
      <c r="A1022" s="329" t="s">
        <v>294</v>
      </c>
      <c r="B1022" s="330">
        <v>12</v>
      </c>
      <c r="C1022" s="298">
        <v>46047</v>
      </c>
      <c r="D1022" s="299" t="s">
        <v>314</v>
      </c>
      <c r="E1022" s="331">
        <v>204.83</v>
      </c>
      <c r="F1022" s="331"/>
      <c r="G1022" s="333">
        <f t="shared" si="15"/>
        <v>4559.4799999999968</v>
      </c>
      <c r="H1022" s="334"/>
      <c r="I1022" s="335"/>
      <c r="J1022" s="336"/>
      <c r="K1022" s="301"/>
      <c r="L1022" s="336"/>
      <c r="M1022" s="301"/>
      <c r="N1022" s="336"/>
      <c r="O1022" s="301"/>
      <c r="P1022" s="336"/>
      <c r="Q1022" s="301"/>
      <c r="R1022" s="336"/>
      <c r="S1022" s="301"/>
      <c r="T1022" s="336"/>
    </row>
    <row r="1023" spans="1:20" ht="12" customHeight="1" x14ac:dyDescent="0.3">
      <c r="A1023" s="329" t="s">
        <v>289</v>
      </c>
      <c r="B1023" s="330">
        <v>3</v>
      </c>
      <c r="C1023" s="298">
        <v>46047</v>
      </c>
      <c r="D1023" s="299" t="s">
        <v>348</v>
      </c>
      <c r="E1023" s="331">
        <v>8.51</v>
      </c>
      <c r="F1023" s="331"/>
      <c r="G1023" s="333">
        <f t="shared" si="15"/>
        <v>4764.3099999999968</v>
      </c>
      <c r="H1023" s="334"/>
      <c r="I1023" s="335"/>
      <c r="J1023" s="336"/>
      <c r="K1023" s="301"/>
      <c r="L1023" s="336"/>
      <c r="M1023" s="301"/>
      <c r="N1023" s="336"/>
      <c r="O1023" s="301"/>
      <c r="P1023" s="336"/>
      <c r="Q1023" s="301"/>
      <c r="R1023" s="336"/>
      <c r="S1023" s="301"/>
      <c r="T1023" s="336"/>
    </row>
    <row r="1024" spans="1:20" ht="12" customHeight="1" x14ac:dyDescent="0.3">
      <c r="A1024" s="329" t="s">
        <v>289</v>
      </c>
      <c r="B1024" s="330">
        <v>4</v>
      </c>
      <c r="C1024" s="298">
        <v>46046</v>
      </c>
      <c r="D1024" s="299" t="s">
        <v>296</v>
      </c>
      <c r="E1024" s="331">
        <v>92.96</v>
      </c>
      <c r="F1024" s="331"/>
      <c r="G1024" s="333">
        <f t="shared" si="15"/>
        <v>4772.819999999997</v>
      </c>
      <c r="H1024" s="334"/>
      <c r="I1024" s="335"/>
      <c r="J1024" s="336"/>
      <c r="K1024" s="301"/>
      <c r="L1024" s="336"/>
      <c r="M1024" s="301"/>
      <c r="N1024" s="336"/>
      <c r="O1024" s="301"/>
      <c r="P1024" s="336"/>
      <c r="Q1024" s="301"/>
      <c r="R1024" s="336"/>
      <c r="S1024" s="301"/>
      <c r="T1024" s="336"/>
    </row>
    <row r="1025" spans="1:20" ht="12" customHeight="1" x14ac:dyDescent="0.3">
      <c r="A1025" s="329" t="s">
        <v>289</v>
      </c>
      <c r="B1025" s="330">
        <v>4</v>
      </c>
      <c r="C1025" s="298">
        <v>46046</v>
      </c>
      <c r="D1025" s="299" t="s">
        <v>334</v>
      </c>
      <c r="E1025" s="331">
        <v>30.77</v>
      </c>
      <c r="F1025" s="331"/>
      <c r="G1025" s="333">
        <f t="shared" si="15"/>
        <v>4865.779999999997</v>
      </c>
      <c r="H1025" s="334"/>
      <c r="I1025" s="335"/>
      <c r="J1025" s="336"/>
      <c r="K1025" s="301"/>
      <c r="L1025" s="336"/>
      <c r="M1025" s="301"/>
      <c r="N1025" s="336"/>
      <c r="O1025" s="301"/>
      <c r="P1025" s="336"/>
      <c r="Q1025" s="301"/>
      <c r="R1025" s="336"/>
      <c r="S1025" s="301"/>
      <c r="T1025" s="336"/>
    </row>
    <row r="1026" spans="1:20" ht="12" customHeight="1" x14ac:dyDescent="0.3">
      <c r="A1026" s="329" t="s">
        <v>289</v>
      </c>
      <c r="B1026" s="330">
        <v>2</v>
      </c>
      <c r="C1026" s="298">
        <v>46046</v>
      </c>
      <c r="D1026" s="299" t="s">
        <v>358</v>
      </c>
      <c r="E1026" s="331">
        <v>9.4700000000000006</v>
      </c>
      <c r="F1026" s="331"/>
      <c r="G1026" s="333">
        <f t="shared" si="15"/>
        <v>4896.5499999999975</v>
      </c>
      <c r="H1026" s="334"/>
      <c r="I1026" s="335"/>
      <c r="J1026" s="336"/>
      <c r="K1026" s="301"/>
      <c r="L1026" s="336"/>
      <c r="M1026" s="301"/>
      <c r="N1026" s="336"/>
      <c r="O1026" s="301"/>
      <c r="P1026" s="336"/>
      <c r="Q1026" s="301"/>
      <c r="R1026" s="336"/>
      <c r="S1026" s="301"/>
      <c r="T1026" s="336"/>
    </row>
    <row r="1027" spans="1:20" ht="12" customHeight="1" x14ac:dyDescent="0.3">
      <c r="A1027" s="329" t="s">
        <v>289</v>
      </c>
      <c r="B1027" s="330">
        <v>6</v>
      </c>
      <c r="C1027" s="298">
        <v>46046</v>
      </c>
      <c r="D1027" s="299" t="s">
        <v>397</v>
      </c>
      <c r="E1027" s="331">
        <v>53.59</v>
      </c>
      <c r="F1027" s="331"/>
      <c r="G1027" s="333">
        <f t="shared" si="15"/>
        <v>4906.0199999999977</v>
      </c>
      <c r="H1027" s="334"/>
      <c r="I1027" s="335"/>
      <c r="J1027" s="336"/>
      <c r="K1027" s="301"/>
      <c r="L1027" s="336"/>
      <c r="M1027" s="301"/>
      <c r="N1027" s="336"/>
      <c r="O1027" s="301"/>
      <c r="P1027" s="336"/>
      <c r="Q1027" s="301"/>
      <c r="R1027" s="336"/>
      <c r="S1027" s="301"/>
      <c r="T1027" s="336"/>
    </row>
    <row r="1028" spans="1:20" ht="12" customHeight="1" x14ac:dyDescent="0.3">
      <c r="A1028" s="329" t="s">
        <v>289</v>
      </c>
      <c r="B1028" s="330">
        <v>1</v>
      </c>
      <c r="C1028" s="298">
        <v>46046</v>
      </c>
      <c r="D1028" s="299" t="s">
        <v>311</v>
      </c>
      <c r="E1028" s="331">
        <v>61.64</v>
      </c>
      <c r="F1028" s="331"/>
      <c r="G1028" s="333">
        <f t="shared" si="15"/>
        <v>4959.6099999999979</v>
      </c>
      <c r="H1028" s="334"/>
      <c r="I1028" s="335"/>
      <c r="J1028" s="336"/>
      <c r="K1028" s="301"/>
      <c r="L1028" s="336"/>
      <c r="M1028" s="301"/>
      <c r="N1028" s="336"/>
      <c r="O1028" s="301"/>
      <c r="P1028" s="336"/>
      <c r="Q1028" s="301"/>
      <c r="R1028" s="336"/>
      <c r="S1028" s="301"/>
      <c r="T1028" s="336"/>
    </row>
    <row r="1029" spans="1:20" ht="12" customHeight="1" x14ac:dyDescent="0.3">
      <c r="A1029" s="329" t="s">
        <v>289</v>
      </c>
      <c r="B1029" s="330">
        <v>1</v>
      </c>
      <c r="C1029" s="298">
        <v>46045</v>
      </c>
      <c r="D1029" s="299" t="s">
        <v>304</v>
      </c>
      <c r="E1029" s="331">
        <v>23.17</v>
      </c>
      <c r="F1029" s="331"/>
      <c r="G1029" s="333">
        <f t="shared" si="15"/>
        <v>5021.2499999999982</v>
      </c>
      <c r="H1029" s="334"/>
      <c r="I1029" s="335"/>
      <c r="J1029" s="336"/>
      <c r="K1029" s="301"/>
      <c r="L1029" s="336"/>
      <c r="M1029" s="301"/>
      <c r="N1029" s="336"/>
      <c r="O1029" s="301"/>
      <c r="P1029" s="336"/>
      <c r="Q1029" s="301"/>
      <c r="R1029" s="336"/>
      <c r="S1029" s="301"/>
      <c r="T1029" s="336"/>
    </row>
    <row r="1030" spans="1:20" ht="12" customHeight="1" x14ac:dyDescent="0.3">
      <c r="A1030" s="329" t="s">
        <v>289</v>
      </c>
      <c r="B1030" s="330">
        <v>4</v>
      </c>
      <c r="C1030" s="298">
        <v>46045</v>
      </c>
      <c r="D1030" s="299" t="s">
        <v>296</v>
      </c>
      <c r="E1030" s="331">
        <v>62.77</v>
      </c>
      <c r="F1030" s="331"/>
      <c r="G1030" s="333">
        <f t="shared" si="15"/>
        <v>5044.4199999999983</v>
      </c>
      <c r="H1030" s="334"/>
      <c r="I1030" s="335"/>
      <c r="J1030" s="336"/>
      <c r="K1030" s="301"/>
      <c r="L1030" s="336"/>
      <c r="M1030" s="301"/>
      <c r="N1030" s="336"/>
      <c r="O1030" s="301"/>
      <c r="P1030" s="336"/>
      <c r="Q1030" s="301"/>
      <c r="R1030" s="336"/>
      <c r="S1030" s="301"/>
      <c r="T1030" s="336"/>
    </row>
    <row r="1031" spans="1:20" ht="12" customHeight="1" x14ac:dyDescent="0.3">
      <c r="A1031" s="329" t="s">
        <v>289</v>
      </c>
      <c r="B1031" s="330">
        <v>6</v>
      </c>
      <c r="C1031" s="298">
        <v>46045</v>
      </c>
      <c r="D1031" s="299" t="s">
        <v>469</v>
      </c>
      <c r="E1031" s="331">
        <v>105.51</v>
      </c>
      <c r="F1031" s="331"/>
      <c r="G1031" s="333">
        <f t="shared" si="15"/>
        <v>5107.1899999999987</v>
      </c>
      <c r="H1031" s="334"/>
      <c r="I1031" s="335"/>
      <c r="J1031" s="336"/>
      <c r="K1031" s="301"/>
      <c r="L1031" s="336"/>
      <c r="M1031" s="301"/>
      <c r="N1031" s="336"/>
      <c r="O1031" s="301"/>
      <c r="P1031" s="336"/>
      <c r="Q1031" s="301"/>
      <c r="R1031" s="336"/>
      <c r="S1031" s="301"/>
      <c r="T1031" s="336"/>
    </row>
    <row r="1032" spans="1:20" ht="12" customHeight="1" x14ac:dyDescent="0.3">
      <c r="A1032" s="329" t="s">
        <v>289</v>
      </c>
      <c r="B1032" s="330">
        <v>3</v>
      </c>
      <c r="C1032" s="298">
        <v>46045</v>
      </c>
      <c r="D1032" s="299" t="s">
        <v>334</v>
      </c>
      <c r="E1032" s="331">
        <v>9.9499999999999993</v>
      </c>
      <c r="F1032" s="331"/>
      <c r="G1032" s="333">
        <f t="shared" si="15"/>
        <v>5212.6999999999989</v>
      </c>
      <c r="H1032" s="334"/>
      <c r="I1032" s="335"/>
      <c r="J1032" s="336"/>
      <c r="K1032" s="301"/>
      <c r="L1032" s="336"/>
      <c r="M1032" s="301"/>
      <c r="N1032" s="336"/>
      <c r="O1032" s="301"/>
      <c r="P1032" s="336"/>
      <c r="Q1032" s="301"/>
      <c r="R1032" s="336"/>
      <c r="S1032" s="301"/>
      <c r="T1032" s="336"/>
    </row>
    <row r="1033" spans="1:20" ht="12" customHeight="1" x14ac:dyDescent="0.3">
      <c r="A1033" s="329" t="s">
        <v>289</v>
      </c>
      <c r="B1033" s="330">
        <v>2</v>
      </c>
      <c r="C1033" s="298">
        <v>46045</v>
      </c>
      <c r="D1033" s="299" t="s">
        <v>358</v>
      </c>
      <c r="E1033" s="331">
        <v>10.17</v>
      </c>
      <c r="F1033" s="331"/>
      <c r="G1033" s="333">
        <f t="shared" si="15"/>
        <v>5222.6499999999987</v>
      </c>
      <c r="H1033" s="334"/>
      <c r="I1033" s="335"/>
      <c r="J1033" s="336"/>
      <c r="K1033" s="301"/>
      <c r="L1033" s="336"/>
      <c r="M1033" s="301"/>
      <c r="N1033" s="336"/>
      <c r="O1033" s="301"/>
      <c r="P1033" s="336"/>
      <c r="Q1033" s="301"/>
      <c r="R1033" s="336"/>
      <c r="S1033" s="301"/>
      <c r="T1033" s="336"/>
    </row>
    <row r="1034" spans="1:20" ht="12" customHeight="1" x14ac:dyDescent="0.3">
      <c r="A1034" s="329" t="s">
        <v>289</v>
      </c>
      <c r="B1034" s="330">
        <v>2</v>
      </c>
      <c r="C1034" s="298">
        <v>46045</v>
      </c>
      <c r="D1034" s="299" t="s">
        <v>301</v>
      </c>
      <c r="E1034" s="331">
        <v>32.200000000000003</v>
      </c>
      <c r="F1034" s="331"/>
      <c r="G1034" s="333">
        <f t="shared" si="15"/>
        <v>5232.8199999999988</v>
      </c>
      <c r="H1034" s="334"/>
      <c r="I1034" s="335"/>
      <c r="J1034" s="336"/>
      <c r="K1034" s="301"/>
      <c r="L1034" s="336"/>
      <c r="M1034" s="301"/>
      <c r="N1034" s="336"/>
      <c r="O1034" s="301"/>
      <c r="P1034" s="336"/>
      <c r="Q1034" s="301"/>
      <c r="R1034" s="336"/>
      <c r="S1034" s="301"/>
      <c r="T1034" s="336"/>
    </row>
    <row r="1035" spans="1:20" ht="12" customHeight="1" x14ac:dyDescent="0.3">
      <c r="A1035" s="329" t="s">
        <v>294</v>
      </c>
      <c r="B1035" s="330">
        <v>22</v>
      </c>
      <c r="C1035" s="298">
        <v>46045</v>
      </c>
      <c r="D1035" s="299" t="s">
        <v>862</v>
      </c>
      <c r="E1035" s="331">
        <v>5.31</v>
      </c>
      <c r="F1035" s="331"/>
      <c r="G1035" s="333">
        <f t="shared" si="15"/>
        <v>5265.0199999999986</v>
      </c>
      <c r="H1035" s="334"/>
      <c r="I1035" s="335"/>
      <c r="J1035" s="336"/>
      <c r="K1035" s="301"/>
      <c r="L1035" s="336"/>
      <c r="M1035" s="301"/>
      <c r="N1035" s="336"/>
      <c r="O1035" s="301"/>
      <c r="P1035" s="336"/>
      <c r="Q1035" s="301"/>
      <c r="R1035" s="336"/>
      <c r="S1035" s="301"/>
      <c r="T1035" s="336"/>
    </row>
    <row r="1036" spans="1:20" ht="12" customHeight="1" x14ac:dyDescent="0.3">
      <c r="A1036" s="329" t="s">
        <v>289</v>
      </c>
      <c r="B1036" s="330">
        <v>8</v>
      </c>
      <c r="C1036" s="298">
        <v>46044</v>
      </c>
      <c r="D1036" s="299" t="s">
        <v>435</v>
      </c>
      <c r="E1036" s="331">
        <v>73.95</v>
      </c>
      <c r="F1036" s="331"/>
      <c r="G1036" s="333">
        <f t="shared" si="15"/>
        <v>5270.329999999999</v>
      </c>
      <c r="H1036" s="334"/>
      <c r="I1036" s="335"/>
      <c r="J1036" s="336"/>
      <c r="K1036" s="301"/>
      <c r="L1036" s="336"/>
      <c r="M1036" s="301"/>
      <c r="N1036" s="336"/>
      <c r="O1036" s="301"/>
      <c r="P1036" s="336"/>
      <c r="Q1036" s="301"/>
      <c r="R1036" s="336"/>
      <c r="S1036" s="301"/>
      <c r="T1036" s="336"/>
    </row>
    <row r="1037" spans="1:20" ht="12" customHeight="1" x14ac:dyDescent="0.3">
      <c r="A1037" s="329" t="s">
        <v>289</v>
      </c>
      <c r="B1037" s="330">
        <v>2</v>
      </c>
      <c r="C1037" s="298">
        <v>46044</v>
      </c>
      <c r="D1037" s="299" t="s">
        <v>470</v>
      </c>
      <c r="E1037" s="331">
        <v>28.68</v>
      </c>
      <c r="F1037" s="331"/>
      <c r="G1037" s="333">
        <f t="shared" si="15"/>
        <v>5344.2799999999988</v>
      </c>
      <c r="H1037" s="334"/>
      <c r="I1037" s="335"/>
      <c r="J1037" s="336"/>
      <c r="K1037" s="301"/>
      <c r="L1037" s="336"/>
      <c r="M1037" s="301"/>
      <c r="N1037" s="336"/>
      <c r="O1037" s="301"/>
      <c r="P1037" s="336"/>
      <c r="Q1037" s="301"/>
      <c r="R1037" s="336"/>
      <c r="S1037" s="301"/>
      <c r="T1037" s="336"/>
    </row>
    <row r="1038" spans="1:20" ht="12" customHeight="1" x14ac:dyDescent="0.3">
      <c r="A1038" s="329" t="s">
        <v>289</v>
      </c>
      <c r="B1038" s="330">
        <v>8</v>
      </c>
      <c r="C1038" s="298">
        <v>46044</v>
      </c>
      <c r="D1038" s="299" t="s">
        <v>357</v>
      </c>
      <c r="E1038" s="331">
        <v>57.38</v>
      </c>
      <c r="F1038" s="331"/>
      <c r="G1038" s="333">
        <f t="shared" si="15"/>
        <v>5372.9599999999991</v>
      </c>
      <c r="H1038" s="334"/>
      <c r="I1038" s="335"/>
      <c r="J1038" s="336"/>
      <c r="K1038" s="301"/>
      <c r="L1038" s="336"/>
      <c r="M1038" s="301"/>
      <c r="N1038" s="336"/>
      <c r="O1038" s="301"/>
      <c r="P1038" s="336"/>
      <c r="Q1038" s="301"/>
      <c r="R1038" s="336"/>
      <c r="S1038" s="301"/>
      <c r="T1038" s="336"/>
    </row>
    <row r="1039" spans="1:20" ht="12" customHeight="1" x14ac:dyDescent="0.3">
      <c r="A1039" s="329" t="s">
        <v>289</v>
      </c>
      <c r="B1039" s="330">
        <v>2</v>
      </c>
      <c r="C1039" s="298">
        <v>46044</v>
      </c>
      <c r="D1039" s="299" t="s">
        <v>358</v>
      </c>
      <c r="E1039" s="331">
        <v>9.4700000000000006</v>
      </c>
      <c r="F1039" s="331"/>
      <c r="G1039" s="333">
        <f t="shared" si="15"/>
        <v>5430.3399999999992</v>
      </c>
      <c r="H1039" s="334"/>
      <c r="I1039" s="335"/>
      <c r="J1039" s="336"/>
      <c r="K1039" s="301"/>
      <c r="L1039" s="336"/>
      <c r="M1039" s="301"/>
      <c r="N1039" s="336"/>
      <c r="O1039" s="301"/>
      <c r="P1039" s="336"/>
      <c r="Q1039" s="301"/>
      <c r="R1039" s="336"/>
      <c r="S1039" s="301"/>
      <c r="T1039" s="336"/>
    </row>
    <row r="1040" spans="1:20" ht="12" customHeight="1" x14ac:dyDescent="0.3">
      <c r="A1040" s="329" t="s">
        <v>289</v>
      </c>
      <c r="B1040" s="330">
        <v>2</v>
      </c>
      <c r="C1040" s="298">
        <v>46044</v>
      </c>
      <c r="D1040" s="299" t="s">
        <v>358</v>
      </c>
      <c r="E1040" s="331">
        <v>7.18</v>
      </c>
      <c r="F1040" s="331"/>
      <c r="G1040" s="333">
        <f t="shared" si="15"/>
        <v>5439.8099999999995</v>
      </c>
      <c r="H1040" s="334"/>
      <c r="I1040" s="335"/>
      <c r="J1040" s="336"/>
      <c r="K1040" s="301"/>
      <c r="L1040" s="336"/>
      <c r="M1040" s="301"/>
      <c r="N1040" s="336"/>
      <c r="O1040" s="301"/>
      <c r="P1040" s="336"/>
      <c r="Q1040" s="301"/>
      <c r="R1040" s="336"/>
      <c r="S1040" s="301"/>
      <c r="T1040" s="336"/>
    </row>
    <row r="1041" spans="1:20" ht="12" customHeight="1" x14ac:dyDescent="0.3">
      <c r="A1041" s="329" t="s">
        <v>287</v>
      </c>
      <c r="B1041" s="330" t="s">
        <v>287</v>
      </c>
      <c r="C1041" s="298">
        <v>46044</v>
      </c>
      <c r="D1041" s="299" t="s">
        <v>315</v>
      </c>
      <c r="E1041" s="331">
        <v>126.24</v>
      </c>
      <c r="F1041" s="331">
        <v>126.24</v>
      </c>
      <c r="G1041" s="333">
        <f t="shared" si="15"/>
        <v>5446.99</v>
      </c>
      <c r="H1041" s="334"/>
      <c r="I1041" s="335"/>
      <c r="J1041" s="336"/>
      <c r="K1041" s="301"/>
      <c r="L1041" s="336"/>
      <c r="M1041" s="301"/>
      <c r="N1041" s="336"/>
      <c r="O1041" s="301"/>
      <c r="P1041" s="336"/>
      <c r="Q1041" s="301"/>
      <c r="R1041" s="336"/>
      <c r="S1041" s="301"/>
      <c r="T1041" s="336"/>
    </row>
    <row r="1042" spans="1:20" ht="12" customHeight="1" x14ac:dyDescent="0.3">
      <c r="A1042" s="329" t="s">
        <v>289</v>
      </c>
      <c r="B1042" s="330">
        <v>8</v>
      </c>
      <c r="C1042" s="298">
        <v>46043</v>
      </c>
      <c r="D1042" s="299" t="s">
        <v>471</v>
      </c>
      <c r="E1042" s="331">
        <v>17</v>
      </c>
      <c r="F1042" s="331"/>
      <c r="G1042" s="333">
        <f t="shared" si="15"/>
        <v>5446.99</v>
      </c>
      <c r="H1042" s="334"/>
      <c r="I1042" s="335"/>
      <c r="J1042" s="336"/>
      <c r="K1042" s="301"/>
      <c r="L1042" s="336"/>
      <c r="M1042" s="301"/>
      <c r="N1042" s="336"/>
      <c r="O1042" s="301"/>
      <c r="P1042" s="336"/>
      <c r="Q1042" s="301"/>
      <c r="R1042" s="336"/>
      <c r="S1042" s="301"/>
      <c r="T1042" s="336"/>
    </row>
    <row r="1043" spans="1:20" ht="12" customHeight="1" x14ac:dyDescent="0.3">
      <c r="A1043" s="329" t="s">
        <v>289</v>
      </c>
      <c r="B1043" s="330">
        <v>1</v>
      </c>
      <c r="C1043" s="298">
        <v>46043</v>
      </c>
      <c r="D1043" s="299" t="s">
        <v>329</v>
      </c>
      <c r="E1043" s="331">
        <v>24.75</v>
      </c>
      <c r="F1043" s="331"/>
      <c r="G1043" s="333">
        <f t="shared" si="15"/>
        <v>5463.99</v>
      </c>
      <c r="H1043" s="334"/>
      <c r="I1043" s="335"/>
      <c r="J1043" s="336"/>
      <c r="K1043" s="301"/>
      <c r="L1043" s="336"/>
      <c r="M1043" s="301"/>
      <c r="N1043" s="336"/>
      <c r="O1043" s="301"/>
      <c r="P1043" s="336"/>
      <c r="Q1043" s="301"/>
      <c r="R1043" s="336"/>
      <c r="S1043" s="301"/>
      <c r="T1043" s="336"/>
    </row>
    <row r="1044" spans="1:20" ht="12" customHeight="1" x14ac:dyDescent="0.3">
      <c r="A1044" s="329" t="s">
        <v>291</v>
      </c>
      <c r="B1044" s="330">
        <v>39</v>
      </c>
      <c r="C1044" s="298">
        <v>46043</v>
      </c>
      <c r="D1044" s="299" t="s">
        <v>292</v>
      </c>
      <c r="E1044" s="331"/>
      <c r="F1044" s="331">
        <v>3378.82</v>
      </c>
      <c r="G1044" s="333">
        <f t="shared" si="15"/>
        <v>5488.74</v>
      </c>
      <c r="H1044" s="334"/>
      <c r="I1044" s="335"/>
      <c r="J1044" s="336"/>
      <c r="K1044" s="301"/>
      <c r="L1044" s="336"/>
      <c r="M1044" s="301"/>
      <c r="N1044" s="336"/>
      <c r="O1044" s="301"/>
      <c r="P1044" s="336"/>
      <c r="Q1044" s="301"/>
      <c r="R1044" s="336"/>
      <c r="S1044" s="301"/>
      <c r="T1044" s="336"/>
    </row>
    <row r="1045" spans="1:20" ht="12" customHeight="1" x14ac:dyDescent="0.3">
      <c r="A1045" s="329" t="s">
        <v>294</v>
      </c>
      <c r="B1045" s="330">
        <v>23</v>
      </c>
      <c r="C1045" s="298">
        <v>46043</v>
      </c>
      <c r="D1045" s="299" t="s">
        <v>67</v>
      </c>
      <c r="E1045" s="331">
        <v>650.88</v>
      </c>
      <c r="F1045" s="331"/>
      <c r="G1045" s="333">
        <f t="shared" si="15"/>
        <v>2109.9199999999992</v>
      </c>
      <c r="H1045" s="334"/>
      <c r="I1045" s="335"/>
      <c r="J1045" s="336"/>
      <c r="K1045" s="301"/>
      <c r="L1045" s="336"/>
      <c r="M1045" s="301"/>
      <c r="N1045" s="336"/>
      <c r="O1045" s="301"/>
      <c r="P1045" s="336"/>
      <c r="Q1045" s="301"/>
      <c r="R1045" s="336"/>
      <c r="S1045" s="301"/>
      <c r="T1045" s="336"/>
    </row>
    <row r="1046" spans="1:20" ht="12" customHeight="1" x14ac:dyDescent="0.3">
      <c r="A1046" s="329" t="s">
        <v>287</v>
      </c>
      <c r="B1046" s="330" t="s">
        <v>287</v>
      </c>
      <c r="C1046" s="298">
        <v>46043</v>
      </c>
      <c r="D1046" s="299" t="s">
        <v>472</v>
      </c>
      <c r="E1046" s="331">
        <v>100</v>
      </c>
      <c r="F1046" s="331">
        <v>100</v>
      </c>
      <c r="G1046" s="333">
        <f t="shared" si="15"/>
        <v>2760.7999999999993</v>
      </c>
      <c r="H1046" s="334"/>
      <c r="I1046" s="335"/>
      <c r="J1046" s="336"/>
      <c r="K1046" s="301"/>
      <c r="L1046" s="336"/>
      <c r="M1046" s="301"/>
      <c r="N1046" s="336"/>
      <c r="O1046" s="301"/>
      <c r="P1046" s="336"/>
      <c r="Q1046" s="301"/>
      <c r="R1046" s="336"/>
      <c r="S1046" s="301"/>
      <c r="T1046" s="336"/>
    </row>
    <row r="1047" spans="1:20" ht="12" customHeight="1" x14ac:dyDescent="0.3">
      <c r="A1047" s="329" t="s">
        <v>289</v>
      </c>
      <c r="B1047" s="330">
        <v>2</v>
      </c>
      <c r="C1047" s="298">
        <v>46043</v>
      </c>
      <c r="D1047" s="299" t="s">
        <v>301</v>
      </c>
      <c r="E1047" s="331">
        <v>20</v>
      </c>
      <c r="F1047" s="331"/>
      <c r="G1047" s="333">
        <f t="shared" si="15"/>
        <v>2760.7999999999993</v>
      </c>
      <c r="H1047" s="334"/>
      <c r="I1047" s="335"/>
      <c r="J1047" s="336"/>
      <c r="K1047" s="301"/>
      <c r="L1047" s="336"/>
      <c r="M1047" s="301"/>
      <c r="N1047" s="336"/>
      <c r="O1047" s="301"/>
      <c r="P1047" s="336"/>
      <c r="Q1047" s="301"/>
      <c r="R1047" s="336"/>
      <c r="S1047" s="301"/>
      <c r="T1047" s="336"/>
    </row>
    <row r="1048" spans="1:20" ht="12" customHeight="1" x14ac:dyDescent="0.3">
      <c r="A1048" s="329" t="s">
        <v>289</v>
      </c>
      <c r="B1048" s="330">
        <v>8</v>
      </c>
      <c r="C1048" s="298">
        <v>46043</v>
      </c>
      <c r="D1048" s="299" t="s">
        <v>295</v>
      </c>
      <c r="E1048" s="331">
        <v>6.38</v>
      </c>
      <c r="F1048" s="331"/>
      <c r="G1048" s="333">
        <f t="shared" si="15"/>
        <v>2780.7999999999993</v>
      </c>
      <c r="H1048" s="334"/>
      <c r="I1048" s="335"/>
      <c r="J1048" s="336"/>
      <c r="K1048" s="301"/>
      <c r="L1048" s="336"/>
      <c r="M1048" s="301"/>
      <c r="N1048" s="336"/>
      <c r="O1048" s="301"/>
      <c r="P1048" s="336"/>
      <c r="Q1048" s="301"/>
      <c r="R1048" s="336"/>
      <c r="S1048" s="301"/>
      <c r="T1048" s="336"/>
    </row>
    <row r="1049" spans="1:20" ht="12" customHeight="1" x14ac:dyDescent="0.3">
      <c r="A1049" s="329" t="s">
        <v>289</v>
      </c>
      <c r="B1049" s="330">
        <v>2</v>
      </c>
      <c r="C1049" s="298">
        <v>46043</v>
      </c>
      <c r="D1049" s="299" t="s">
        <v>295</v>
      </c>
      <c r="E1049" s="331">
        <v>17.29</v>
      </c>
      <c r="F1049" s="331"/>
      <c r="G1049" s="333">
        <f t="shared" si="15"/>
        <v>2787.1799999999994</v>
      </c>
      <c r="H1049" s="334"/>
      <c r="I1049" s="335"/>
      <c r="J1049" s="336"/>
      <c r="K1049" s="301"/>
      <c r="L1049" s="336"/>
      <c r="M1049" s="301"/>
      <c r="N1049" s="336"/>
      <c r="O1049" s="301"/>
      <c r="P1049" s="336"/>
      <c r="Q1049" s="301"/>
      <c r="R1049" s="336"/>
      <c r="S1049" s="301"/>
      <c r="T1049" s="336"/>
    </row>
    <row r="1050" spans="1:20" ht="12" customHeight="1" x14ac:dyDescent="0.3">
      <c r="A1050" s="329" t="s">
        <v>289</v>
      </c>
      <c r="B1050" s="330">
        <v>2</v>
      </c>
      <c r="C1050" s="298">
        <v>46043</v>
      </c>
      <c r="D1050" s="299" t="s">
        <v>358</v>
      </c>
      <c r="E1050" s="331">
        <v>14.86</v>
      </c>
      <c r="F1050" s="331"/>
      <c r="G1050" s="333">
        <f t="shared" si="15"/>
        <v>2804.4699999999993</v>
      </c>
      <c r="H1050" s="334"/>
      <c r="I1050" s="335"/>
      <c r="J1050" s="336"/>
      <c r="K1050" s="301"/>
      <c r="L1050" s="336"/>
      <c r="M1050" s="301"/>
      <c r="N1050" s="336"/>
      <c r="O1050" s="301"/>
      <c r="P1050" s="336"/>
      <c r="Q1050" s="301"/>
      <c r="R1050" s="336"/>
      <c r="S1050" s="301"/>
      <c r="T1050" s="336"/>
    </row>
    <row r="1051" spans="1:20" ht="12" customHeight="1" x14ac:dyDescent="0.3">
      <c r="A1051" s="329" t="s">
        <v>289</v>
      </c>
      <c r="B1051" s="330">
        <v>2</v>
      </c>
      <c r="C1051" s="298">
        <v>46042</v>
      </c>
      <c r="D1051" s="299" t="s">
        <v>371</v>
      </c>
      <c r="E1051" s="331">
        <v>13.4</v>
      </c>
      <c r="F1051" s="331"/>
      <c r="G1051" s="333">
        <f t="shared" si="15"/>
        <v>2819.3299999999995</v>
      </c>
      <c r="H1051" s="334"/>
      <c r="I1051" s="335"/>
      <c r="J1051" s="336"/>
      <c r="K1051" s="301"/>
      <c r="L1051" s="336"/>
      <c r="M1051" s="301"/>
      <c r="N1051" s="336"/>
      <c r="O1051" s="301"/>
      <c r="P1051" s="336"/>
      <c r="Q1051" s="301"/>
      <c r="R1051" s="336"/>
      <c r="S1051" s="301"/>
      <c r="T1051" s="336"/>
    </row>
    <row r="1052" spans="1:20" ht="12" customHeight="1" x14ac:dyDescent="0.3">
      <c r="A1052" s="329" t="s">
        <v>289</v>
      </c>
      <c r="B1052" s="330">
        <v>2</v>
      </c>
      <c r="C1052" s="298">
        <v>46042</v>
      </c>
      <c r="D1052" s="299" t="s">
        <v>371</v>
      </c>
      <c r="E1052" s="331">
        <v>5.97</v>
      </c>
      <c r="F1052" s="331"/>
      <c r="G1052" s="333">
        <f t="shared" si="15"/>
        <v>2832.7299999999996</v>
      </c>
      <c r="H1052" s="334"/>
      <c r="I1052" s="335"/>
      <c r="J1052" s="336"/>
      <c r="K1052" s="301"/>
      <c r="L1052" s="336"/>
      <c r="M1052" s="301"/>
      <c r="N1052" s="336"/>
      <c r="O1052" s="301"/>
      <c r="P1052" s="336"/>
      <c r="Q1052" s="301"/>
      <c r="R1052" s="336"/>
      <c r="S1052" s="301"/>
      <c r="T1052" s="336"/>
    </row>
    <row r="1053" spans="1:20" ht="12" customHeight="1" x14ac:dyDescent="0.3">
      <c r="A1053" s="329" t="s">
        <v>294</v>
      </c>
      <c r="B1053" s="330">
        <v>22</v>
      </c>
      <c r="C1053" s="298">
        <v>46042</v>
      </c>
      <c r="D1053" s="299" t="s">
        <v>323</v>
      </c>
      <c r="E1053" s="331">
        <v>18.09</v>
      </c>
      <c r="F1053" s="331"/>
      <c r="G1053" s="333">
        <f t="shared" si="15"/>
        <v>2838.6999999999994</v>
      </c>
      <c r="H1053" s="334"/>
      <c r="I1053" s="335"/>
      <c r="J1053" s="336"/>
      <c r="K1053" s="301"/>
      <c r="L1053" s="336"/>
      <c r="M1053" s="301"/>
      <c r="N1053" s="336"/>
      <c r="O1053" s="301"/>
      <c r="P1053" s="336"/>
      <c r="Q1053" s="301"/>
      <c r="R1053" s="336"/>
      <c r="S1053" s="301"/>
      <c r="T1053" s="336"/>
    </row>
    <row r="1054" spans="1:20" ht="12" customHeight="1" x14ac:dyDescent="0.3">
      <c r="A1054" s="329" t="s">
        <v>294</v>
      </c>
      <c r="B1054" s="330">
        <v>17</v>
      </c>
      <c r="C1054" s="298">
        <v>46042</v>
      </c>
      <c r="D1054" s="299" t="s">
        <v>188</v>
      </c>
      <c r="E1054" s="331">
        <v>42.65</v>
      </c>
      <c r="F1054" s="331"/>
      <c r="G1054" s="333">
        <f t="shared" si="15"/>
        <v>2856.7899999999995</v>
      </c>
      <c r="H1054" s="334"/>
      <c r="I1054" s="335"/>
      <c r="J1054" s="336"/>
      <c r="K1054" s="301"/>
      <c r="L1054" s="336"/>
      <c r="M1054" s="301"/>
      <c r="N1054" s="336"/>
      <c r="O1054" s="301"/>
      <c r="P1054" s="336"/>
      <c r="Q1054" s="301"/>
      <c r="R1054" s="336"/>
      <c r="S1054" s="301"/>
      <c r="T1054" s="336"/>
    </row>
    <row r="1055" spans="1:20" ht="12" customHeight="1" x14ac:dyDescent="0.3">
      <c r="A1055" s="329" t="s">
        <v>335</v>
      </c>
      <c r="B1055" s="330" t="s">
        <v>335</v>
      </c>
      <c r="C1055" s="298">
        <v>46042</v>
      </c>
      <c r="D1055" s="299" t="s">
        <v>336</v>
      </c>
      <c r="E1055" s="331">
        <v>130.51</v>
      </c>
      <c r="F1055" s="331"/>
      <c r="G1055" s="333">
        <f t="shared" si="15"/>
        <v>2899.4399999999996</v>
      </c>
      <c r="H1055" s="334"/>
      <c r="I1055" s="335"/>
      <c r="J1055" s="336"/>
      <c r="K1055" s="301"/>
      <c r="L1055" s="336"/>
      <c r="M1055" s="301"/>
      <c r="N1055" s="336"/>
      <c r="O1055" s="301"/>
      <c r="P1055" s="336"/>
      <c r="Q1055" s="301"/>
      <c r="R1055" s="336"/>
      <c r="S1055" s="301"/>
      <c r="T1055" s="336"/>
    </row>
    <row r="1056" spans="1:20" ht="12" customHeight="1" x14ac:dyDescent="0.3">
      <c r="A1056" s="329" t="s">
        <v>294</v>
      </c>
      <c r="B1056" s="330">
        <v>15</v>
      </c>
      <c r="C1056" s="298">
        <v>46042</v>
      </c>
      <c r="D1056" s="299" t="s">
        <v>185</v>
      </c>
      <c r="E1056" s="331">
        <v>132.4</v>
      </c>
      <c r="F1056" s="331"/>
      <c r="G1056" s="333">
        <f t="shared" si="15"/>
        <v>3029.9499999999994</v>
      </c>
      <c r="H1056" s="334"/>
      <c r="I1056" s="335"/>
      <c r="J1056" s="336"/>
      <c r="K1056" s="301"/>
      <c r="L1056" s="336"/>
      <c r="M1056" s="301"/>
      <c r="N1056" s="336"/>
      <c r="O1056" s="301"/>
      <c r="P1056" s="336"/>
      <c r="Q1056" s="301"/>
      <c r="R1056" s="336"/>
      <c r="S1056" s="301"/>
      <c r="T1056" s="336"/>
    </row>
    <row r="1057" spans="1:20" ht="12" customHeight="1" x14ac:dyDescent="0.3">
      <c r="A1057" s="329" t="s">
        <v>294</v>
      </c>
      <c r="B1057" s="330">
        <v>23</v>
      </c>
      <c r="C1057" s="298">
        <v>46042</v>
      </c>
      <c r="D1057" s="299" t="s">
        <v>63</v>
      </c>
      <c r="E1057" s="331">
        <v>529.46</v>
      </c>
      <c r="F1057" s="331"/>
      <c r="G1057" s="333">
        <f t="shared" si="15"/>
        <v>3162.3499999999995</v>
      </c>
      <c r="H1057" s="334"/>
      <c r="I1057" s="335"/>
      <c r="J1057" s="336"/>
      <c r="K1057" s="301"/>
      <c r="L1057" s="336"/>
      <c r="M1057" s="301"/>
      <c r="N1057" s="336"/>
      <c r="O1057" s="301"/>
      <c r="P1057" s="336"/>
      <c r="Q1057" s="301"/>
      <c r="R1057" s="336"/>
      <c r="S1057" s="301"/>
      <c r="T1057" s="336"/>
    </row>
    <row r="1058" spans="1:20" ht="12" customHeight="1" x14ac:dyDescent="0.3">
      <c r="A1058" s="329" t="s">
        <v>289</v>
      </c>
      <c r="B1058" s="330">
        <v>6</v>
      </c>
      <c r="C1058" s="298">
        <v>46042</v>
      </c>
      <c r="D1058" s="299" t="s">
        <v>300</v>
      </c>
      <c r="E1058" s="331">
        <v>51.63</v>
      </c>
      <c r="F1058" s="331"/>
      <c r="G1058" s="333">
        <f t="shared" si="15"/>
        <v>3691.8099999999995</v>
      </c>
      <c r="H1058" s="334"/>
      <c r="I1058" s="335"/>
      <c r="J1058" s="336"/>
      <c r="K1058" s="301"/>
      <c r="L1058" s="336"/>
      <c r="M1058" s="301"/>
      <c r="N1058" s="336"/>
      <c r="O1058" s="301"/>
      <c r="P1058" s="336"/>
      <c r="Q1058" s="301"/>
      <c r="R1058" s="336"/>
      <c r="S1058" s="301"/>
      <c r="T1058" s="336"/>
    </row>
    <row r="1059" spans="1:20" ht="12" customHeight="1" x14ac:dyDescent="0.3">
      <c r="A1059" s="329" t="s">
        <v>289</v>
      </c>
      <c r="B1059" s="330">
        <v>2</v>
      </c>
      <c r="C1059" s="298">
        <v>46042</v>
      </c>
      <c r="D1059" s="299" t="s">
        <v>296</v>
      </c>
      <c r="E1059" s="331">
        <v>11.17</v>
      </c>
      <c r="F1059" s="331"/>
      <c r="G1059" s="333">
        <f t="shared" si="15"/>
        <v>3743.4399999999996</v>
      </c>
      <c r="H1059" s="334"/>
      <c r="I1059" s="335"/>
      <c r="J1059" s="336"/>
      <c r="K1059" s="301"/>
      <c r="L1059" s="336"/>
      <c r="M1059" s="301"/>
      <c r="N1059" s="336"/>
      <c r="O1059" s="301"/>
      <c r="P1059" s="336"/>
      <c r="Q1059" s="301"/>
      <c r="R1059" s="336"/>
      <c r="S1059" s="301"/>
      <c r="T1059" s="336"/>
    </row>
    <row r="1060" spans="1:20" ht="12" customHeight="1" x14ac:dyDescent="0.3">
      <c r="A1060" s="329" t="s">
        <v>289</v>
      </c>
      <c r="B1060" s="330">
        <v>4</v>
      </c>
      <c r="C1060" s="298">
        <v>46042</v>
      </c>
      <c r="D1060" s="299" t="s">
        <v>296</v>
      </c>
      <c r="E1060" s="331">
        <v>57.37</v>
      </c>
      <c r="F1060" s="331"/>
      <c r="G1060" s="333">
        <f t="shared" si="15"/>
        <v>3754.6099999999997</v>
      </c>
      <c r="H1060" s="334"/>
      <c r="I1060" s="335"/>
      <c r="J1060" s="336"/>
      <c r="K1060" s="301"/>
      <c r="L1060" s="336"/>
      <c r="M1060" s="301"/>
      <c r="N1060" s="336"/>
      <c r="O1060" s="301"/>
      <c r="P1060" s="336"/>
      <c r="Q1060" s="301"/>
      <c r="R1060" s="336"/>
      <c r="S1060" s="301"/>
      <c r="T1060" s="336"/>
    </row>
    <row r="1061" spans="1:20" ht="12" customHeight="1" x14ac:dyDescent="0.3">
      <c r="A1061" s="329" t="s">
        <v>294</v>
      </c>
      <c r="B1061" s="330">
        <v>22</v>
      </c>
      <c r="C1061" s="298">
        <v>46042</v>
      </c>
      <c r="D1061" s="299" t="s">
        <v>328</v>
      </c>
      <c r="E1061" s="331">
        <v>7.46</v>
      </c>
      <c r="F1061" s="331"/>
      <c r="G1061" s="333">
        <f t="shared" si="15"/>
        <v>3811.9799999999996</v>
      </c>
      <c r="H1061" s="334"/>
      <c r="I1061" s="335"/>
      <c r="J1061" s="336"/>
      <c r="K1061" s="301"/>
      <c r="L1061" s="336"/>
      <c r="M1061" s="301"/>
      <c r="N1061" s="336"/>
      <c r="O1061" s="301"/>
      <c r="P1061" s="336"/>
      <c r="Q1061" s="301"/>
      <c r="R1061" s="336"/>
      <c r="S1061" s="301"/>
      <c r="T1061" s="336"/>
    </row>
    <row r="1062" spans="1:20" ht="12" customHeight="1" x14ac:dyDescent="0.3">
      <c r="A1062" s="329" t="s">
        <v>289</v>
      </c>
      <c r="B1062" s="330">
        <v>4</v>
      </c>
      <c r="C1062" s="298">
        <v>46042</v>
      </c>
      <c r="D1062" s="299" t="s">
        <v>310</v>
      </c>
      <c r="E1062" s="331">
        <v>28.91</v>
      </c>
      <c r="F1062" s="331"/>
      <c r="G1062" s="333">
        <f t="shared" si="15"/>
        <v>3819.4399999999996</v>
      </c>
      <c r="H1062" s="334"/>
      <c r="I1062" s="335"/>
      <c r="J1062" s="336"/>
      <c r="K1062" s="301"/>
      <c r="L1062" s="336"/>
      <c r="M1062" s="301"/>
      <c r="N1062" s="336"/>
      <c r="O1062" s="301"/>
      <c r="P1062" s="336"/>
      <c r="Q1062" s="301"/>
      <c r="R1062" s="336"/>
      <c r="S1062" s="301"/>
      <c r="T1062" s="336"/>
    </row>
    <row r="1063" spans="1:20" ht="12" customHeight="1" x14ac:dyDescent="0.3">
      <c r="A1063" s="329" t="s">
        <v>289</v>
      </c>
      <c r="B1063" s="330">
        <v>6</v>
      </c>
      <c r="C1063" s="298">
        <v>46040</v>
      </c>
      <c r="D1063" s="299" t="s">
        <v>300</v>
      </c>
      <c r="E1063" s="331">
        <v>31.35</v>
      </c>
      <c r="F1063" s="331"/>
      <c r="G1063" s="333">
        <f t="shared" si="15"/>
        <v>3848.3499999999995</v>
      </c>
      <c r="H1063" s="334"/>
      <c r="I1063" s="335"/>
      <c r="J1063" s="336"/>
      <c r="K1063" s="301"/>
      <c r="L1063" s="336"/>
      <c r="M1063" s="301"/>
      <c r="N1063" s="336"/>
      <c r="O1063" s="301"/>
      <c r="P1063" s="336"/>
      <c r="Q1063" s="301"/>
      <c r="R1063" s="336"/>
      <c r="S1063" s="301"/>
      <c r="T1063" s="336"/>
    </row>
    <row r="1064" spans="1:20" ht="12" customHeight="1" x14ac:dyDescent="0.3">
      <c r="A1064" s="329" t="s">
        <v>289</v>
      </c>
      <c r="B1064" s="330">
        <v>8</v>
      </c>
      <c r="C1064" s="298">
        <v>46040</v>
      </c>
      <c r="D1064" s="299" t="s">
        <v>473</v>
      </c>
      <c r="E1064" s="331">
        <v>124.75</v>
      </c>
      <c r="F1064" s="331"/>
      <c r="G1064" s="333">
        <f t="shared" si="15"/>
        <v>3879.6999999999994</v>
      </c>
      <c r="H1064" s="334"/>
      <c r="I1064" s="335"/>
      <c r="J1064" s="336"/>
      <c r="K1064" s="301"/>
      <c r="L1064" s="336"/>
      <c r="M1064" s="301"/>
      <c r="N1064" s="336"/>
      <c r="O1064" s="301"/>
      <c r="P1064" s="336"/>
      <c r="Q1064" s="301"/>
      <c r="R1064" s="336"/>
      <c r="S1064" s="301"/>
      <c r="T1064" s="336"/>
    </row>
    <row r="1065" spans="1:20" ht="12" customHeight="1" x14ac:dyDescent="0.3">
      <c r="A1065" s="329" t="s">
        <v>289</v>
      </c>
      <c r="B1065" s="330">
        <v>3</v>
      </c>
      <c r="C1065" s="298">
        <v>46040</v>
      </c>
      <c r="D1065" s="299" t="s">
        <v>320</v>
      </c>
      <c r="E1065" s="331">
        <v>11.3</v>
      </c>
      <c r="F1065" s="331"/>
      <c r="G1065" s="333">
        <f t="shared" si="15"/>
        <v>4004.4499999999994</v>
      </c>
      <c r="H1065" s="334"/>
      <c r="I1065" s="335"/>
      <c r="J1065" s="336"/>
      <c r="K1065" s="301"/>
      <c r="L1065" s="336"/>
      <c r="M1065" s="301"/>
      <c r="N1065" s="336"/>
      <c r="O1065" s="301"/>
      <c r="P1065" s="336"/>
      <c r="Q1065" s="301"/>
      <c r="R1065" s="336"/>
      <c r="S1065" s="301"/>
      <c r="T1065" s="336"/>
    </row>
    <row r="1066" spans="1:20" ht="12" customHeight="1" x14ac:dyDescent="0.3">
      <c r="A1066" s="329" t="s">
        <v>294</v>
      </c>
      <c r="B1066" s="330">
        <v>22</v>
      </c>
      <c r="C1066" s="298">
        <v>46040</v>
      </c>
      <c r="D1066" s="299" t="s">
        <v>401</v>
      </c>
      <c r="E1066" s="331">
        <v>13.84</v>
      </c>
      <c r="F1066" s="331"/>
      <c r="G1066" s="333">
        <f t="shared" si="15"/>
        <v>4015.7499999999995</v>
      </c>
      <c r="H1066" s="334"/>
      <c r="I1066" s="335"/>
      <c r="J1066" s="336"/>
      <c r="K1066" s="301"/>
      <c r="L1066" s="336"/>
      <c r="M1066" s="301"/>
      <c r="N1066" s="336"/>
      <c r="O1066" s="301"/>
      <c r="P1066" s="336"/>
      <c r="Q1066" s="301"/>
      <c r="R1066" s="336"/>
      <c r="S1066" s="301"/>
      <c r="T1066" s="336"/>
    </row>
    <row r="1067" spans="1:20" ht="12" customHeight="1" x14ac:dyDescent="0.3">
      <c r="A1067" s="329" t="s">
        <v>289</v>
      </c>
      <c r="B1067" s="330">
        <v>1</v>
      </c>
      <c r="C1067" s="298">
        <v>46040</v>
      </c>
      <c r="D1067" s="299" t="s">
        <v>306</v>
      </c>
      <c r="E1067" s="331">
        <v>92.06</v>
      </c>
      <c r="F1067" s="331"/>
      <c r="G1067" s="333">
        <f t="shared" si="15"/>
        <v>4029.5899999999997</v>
      </c>
      <c r="H1067" s="334"/>
      <c r="I1067" s="335"/>
      <c r="J1067" s="336"/>
      <c r="K1067" s="301"/>
      <c r="L1067" s="336"/>
      <c r="M1067" s="301"/>
      <c r="N1067" s="336"/>
      <c r="O1067" s="301"/>
      <c r="P1067" s="336"/>
      <c r="Q1067" s="301"/>
      <c r="R1067" s="336"/>
      <c r="S1067" s="301"/>
      <c r="T1067" s="336"/>
    </row>
    <row r="1068" spans="1:20" ht="12" customHeight="1" x14ac:dyDescent="0.3">
      <c r="A1068" s="329" t="s">
        <v>289</v>
      </c>
      <c r="B1068" s="330">
        <v>7</v>
      </c>
      <c r="C1068" s="298">
        <v>46040</v>
      </c>
      <c r="D1068" s="299" t="s">
        <v>338</v>
      </c>
      <c r="E1068" s="331">
        <v>78.47</v>
      </c>
      <c r="F1068" s="331"/>
      <c r="G1068" s="333">
        <f t="shared" si="15"/>
        <v>4121.6499999999996</v>
      </c>
      <c r="H1068" s="334"/>
      <c r="I1068" s="335"/>
      <c r="J1068" s="336"/>
      <c r="K1068" s="301"/>
      <c r="L1068" s="336"/>
      <c r="M1068" s="301"/>
      <c r="N1068" s="336"/>
      <c r="O1068" s="301"/>
      <c r="P1068" s="336"/>
      <c r="Q1068" s="301"/>
      <c r="R1068" s="336"/>
      <c r="S1068" s="301"/>
      <c r="T1068" s="336"/>
    </row>
    <row r="1069" spans="1:20" ht="12" customHeight="1" x14ac:dyDescent="0.3">
      <c r="A1069" s="329" t="s">
        <v>289</v>
      </c>
      <c r="B1069" s="330">
        <v>1</v>
      </c>
      <c r="C1069" s="298">
        <v>46040</v>
      </c>
      <c r="D1069" s="299" t="s">
        <v>393</v>
      </c>
      <c r="E1069" s="331">
        <v>28.22</v>
      </c>
      <c r="F1069" s="331"/>
      <c r="G1069" s="333">
        <f t="shared" si="15"/>
        <v>4200.12</v>
      </c>
      <c r="H1069" s="334"/>
      <c r="I1069" s="335"/>
      <c r="J1069" s="336"/>
      <c r="K1069" s="301"/>
      <c r="L1069" s="336"/>
      <c r="M1069" s="301"/>
      <c r="N1069" s="336"/>
      <c r="O1069" s="301"/>
      <c r="P1069" s="336"/>
      <c r="Q1069" s="301"/>
      <c r="R1069" s="336"/>
      <c r="S1069" s="301"/>
      <c r="T1069" s="336"/>
    </row>
    <row r="1070" spans="1:20" ht="12" customHeight="1" x14ac:dyDescent="0.3">
      <c r="A1070" s="329" t="s">
        <v>289</v>
      </c>
      <c r="B1070" s="330">
        <v>2</v>
      </c>
      <c r="C1070" s="298">
        <v>46040</v>
      </c>
      <c r="D1070" s="299" t="s">
        <v>392</v>
      </c>
      <c r="E1070" s="331">
        <v>32.729999999999997</v>
      </c>
      <c r="F1070" s="331"/>
      <c r="G1070" s="333">
        <f t="shared" si="15"/>
        <v>4228.34</v>
      </c>
      <c r="H1070" s="334"/>
      <c r="I1070" s="335"/>
      <c r="J1070" s="336"/>
      <c r="K1070" s="301"/>
      <c r="L1070" s="336"/>
      <c r="M1070" s="301"/>
      <c r="N1070" s="336"/>
      <c r="O1070" s="301"/>
      <c r="P1070" s="336"/>
      <c r="Q1070" s="301"/>
      <c r="R1070" s="336"/>
      <c r="S1070" s="301"/>
      <c r="T1070" s="336"/>
    </row>
    <row r="1071" spans="1:20" ht="12" customHeight="1" x14ac:dyDescent="0.3">
      <c r="A1071" s="329" t="s">
        <v>294</v>
      </c>
      <c r="B1071" s="330">
        <v>42</v>
      </c>
      <c r="C1071" s="298">
        <v>46039</v>
      </c>
      <c r="D1071" s="299" t="s">
        <v>333</v>
      </c>
      <c r="E1071" s="331">
        <v>29.8</v>
      </c>
      <c r="F1071" s="331"/>
      <c r="G1071" s="333">
        <f t="shared" si="15"/>
        <v>4261.07</v>
      </c>
      <c r="H1071" s="334"/>
      <c r="I1071" s="335"/>
      <c r="J1071" s="336"/>
      <c r="K1071" s="301"/>
      <c r="L1071" s="336"/>
      <c r="M1071" s="301"/>
      <c r="N1071" s="336"/>
      <c r="O1071" s="301"/>
      <c r="P1071" s="336"/>
      <c r="Q1071" s="301"/>
      <c r="R1071" s="336"/>
      <c r="S1071" s="301"/>
      <c r="T1071" s="336"/>
    </row>
    <row r="1072" spans="1:20" ht="12" customHeight="1" x14ac:dyDescent="0.3">
      <c r="A1072" s="329" t="s">
        <v>294</v>
      </c>
      <c r="B1072" s="330">
        <v>43</v>
      </c>
      <c r="C1072" s="298">
        <v>46039</v>
      </c>
      <c r="D1072" s="299" t="s">
        <v>333</v>
      </c>
      <c r="E1072" s="331">
        <v>22.35</v>
      </c>
      <c r="F1072" s="331"/>
      <c r="G1072" s="333">
        <f t="shared" si="15"/>
        <v>4290.87</v>
      </c>
      <c r="H1072" s="334"/>
      <c r="I1072" s="335"/>
      <c r="J1072" s="336"/>
      <c r="K1072" s="301"/>
      <c r="L1072" s="336"/>
      <c r="M1072" s="301"/>
      <c r="N1072" s="336"/>
      <c r="O1072" s="301"/>
      <c r="P1072" s="336"/>
      <c r="Q1072" s="301"/>
      <c r="R1072" s="336"/>
      <c r="S1072" s="301"/>
      <c r="T1072" s="336"/>
    </row>
    <row r="1073" spans="1:20" ht="12" customHeight="1" x14ac:dyDescent="0.3">
      <c r="A1073" s="329" t="s">
        <v>289</v>
      </c>
      <c r="B1073" s="330">
        <v>8</v>
      </c>
      <c r="C1073" s="298">
        <v>46039</v>
      </c>
      <c r="D1073" s="299" t="s">
        <v>319</v>
      </c>
      <c r="E1073" s="331">
        <v>36.92</v>
      </c>
      <c r="F1073" s="331"/>
      <c r="G1073" s="333">
        <f t="shared" si="15"/>
        <v>4313.22</v>
      </c>
      <c r="H1073" s="334"/>
      <c r="I1073" s="335"/>
      <c r="J1073" s="336"/>
      <c r="K1073" s="301"/>
      <c r="L1073" s="336"/>
      <c r="M1073" s="301"/>
      <c r="N1073" s="336"/>
      <c r="O1073" s="301"/>
      <c r="P1073" s="336"/>
      <c r="Q1073" s="301"/>
      <c r="R1073" s="336"/>
      <c r="S1073" s="301"/>
      <c r="T1073" s="336"/>
    </row>
    <row r="1074" spans="1:20" ht="12" customHeight="1" x14ac:dyDescent="0.3">
      <c r="A1074" s="329" t="s">
        <v>289</v>
      </c>
      <c r="B1074" s="330">
        <v>1</v>
      </c>
      <c r="C1074" s="298">
        <v>46039</v>
      </c>
      <c r="D1074" s="299" t="s">
        <v>311</v>
      </c>
      <c r="E1074" s="331">
        <v>117.89</v>
      </c>
      <c r="F1074" s="331"/>
      <c r="G1074" s="333">
        <f t="shared" si="15"/>
        <v>4350.1400000000003</v>
      </c>
      <c r="H1074" s="334"/>
      <c r="I1074" s="335"/>
      <c r="J1074" s="336"/>
      <c r="K1074" s="301"/>
      <c r="L1074" s="336"/>
      <c r="M1074" s="301"/>
      <c r="N1074" s="336"/>
      <c r="O1074" s="301"/>
      <c r="P1074" s="336"/>
      <c r="Q1074" s="301"/>
      <c r="R1074" s="336"/>
      <c r="S1074" s="301"/>
      <c r="T1074" s="336"/>
    </row>
    <row r="1075" spans="1:20" ht="12" customHeight="1" x14ac:dyDescent="0.3">
      <c r="A1075" s="329" t="s">
        <v>289</v>
      </c>
      <c r="B1075" s="330">
        <v>1</v>
      </c>
      <c r="C1075" s="298">
        <v>46039</v>
      </c>
      <c r="D1075" s="299" t="s">
        <v>329</v>
      </c>
      <c r="E1075" s="331">
        <v>196.36</v>
      </c>
      <c r="F1075" s="331"/>
      <c r="G1075" s="333">
        <f t="shared" si="15"/>
        <v>4468.0300000000007</v>
      </c>
      <c r="H1075" s="334"/>
      <c r="I1075" s="335"/>
      <c r="J1075" s="336"/>
      <c r="K1075" s="301"/>
      <c r="L1075" s="336"/>
      <c r="M1075" s="301"/>
      <c r="N1075" s="336"/>
      <c r="O1075" s="301"/>
      <c r="P1075" s="336"/>
      <c r="Q1075" s="301"/>
      <c r="R1075" s="336"/>
      <c r="S1075" s="301"/>
      <c r="T1075" s="336"/>
    </row>
    <row r="1076" spans="1:20" ht="12" customHeight="1" x14ac:dyDescent="0.3">
      <c r="A1076" s="329" t="s">
        <v>294</v>
      </c>
      <c r="B1076" s="330">
        <v>21</v>
      </c>
      <c r="C1076" s="298">
        <v>46039</v>
      </c>
      <c r="D1076" s="299" t="s">
        <v>194</v>
      </c>
      <c r="E1076" s="331">
        <v>70.2</v>
      </c>
      <c r="F1076" s="331"/>
      <c r="G1076" s="333">
        <f t="shared" si="15"/>
        <v>4664.3900000000003</v>
      </c>
      <c r="H1076" s="334"/>
      <c r="I1076" s="335"/>
      <c r="J1076" s="336"/>
      <c r="K1076" s="301"/>
      <c r="L1076" s="336"/>
      <c r="M1076" s="301"/>
      <c r="N1076" s="336"/>
      <c r="O1076" s="301"/>
      <c r="P1076" s="336"/>
      <c r="Q1076" s="301"/>
      <c r="R1076" s="336"/>
      <c r="S1076" s="301"/>
      <c r="T1076" s="336"/>
    </row>
    <row r="1077" spans="1:20" ht="12" customHeight="1" x14ac:dyDescent="0.3">
      <c r="A1077" s="329" t="s">
        <v>289</v>
      </c>
      <c r="B1077" s="330">
        <v>2</v>
      </c>
      <c r="C1077" s="298">
        <v>46038</v>
      </c>
      <c r="D1077" s="299" t="s">
        <v>324</v>
      </c>
      <c r="E1077" s="331">
        <v>13.14</v>
      </c>
      <c r="F1077" s="331"/>
      <c r="G1077" s="333">
        <f t="shared" si="15"/>
        <v>4734.59</v>
      </c>
      <c r="H1077" s="334"/>
      <c r="I1077" s="335"/>
      <c r="J1077" s="336"/>
      <c r="K1077" s="301"/>
      <c r="L1077" s="336"/>
      <c r="M1077" s="301"/>
      <c r="N1077" s="336"/>
      <c r="O1077" s="301"/>
      <c r="P1077" s="336"/>
      <c r="Q1077" s="301"/>
      <c r="R1077" s="336"/>
      <c r="S1077" s="301"/>
      <c r="T1077" s="336"/>
    </row>
    <row r="1078" spans="1:20" ht="12" customHeight="1" x14ac:dyDescent="0.3">
      <c r="A1078" s="329" t="s">
        <v>289</v>
      </c>
      <c r="B1078" s="330">
        <v>2</v>
      </c>
      <c r="C1078" s="298">
        <v>46038</v>
      </c>
      <c r="D1078" s="299" t="s">
        <v>296</v>
      </c>
      <c r="E1078" s="331">
        <v>18.489999999999998</v>
      </c>
      <c r="F1078" s="331"/>
      <c r="G1078" s="333">
        <f t="shared" si="15"/>
        <v>4747.7300000000005</v>
      </c>
      <c r="H1078" s="334"/>
      <c r="I1078" s="335"/>
      <c r="J1078" s="336"/>
      <c r="K1078" s="301"/>
      <c r="L1078" s="336"/>
      <c r="M1078" s="301"/>
      <c r="N1078" s="336"/>
      <c r="O1078" s="301"/>
      <c r="P1078" s="336"/>
      <c r="Q1078" s="301"/>
      <c r="R1078" s="336"/>
      <c r="S1078" s="301"/>
      <c r="T1078" s="336"/>
    </row>
    <row r="1079" spans="1:20" ht="12" customHeight="1" x14ac:dyDescent="0.3">
      <c r="A1079" s="329" t="s">
        <v>291</v>
      </c>
      <c r="B1079" s="330">
        <v>41</v>
      </c>
      <c r="C1079" s="298">
        <v>46038</v>
      </c>
      <c r="D1079" s="299" t="s">
        <v>474</v>
      </c>
      <c r="E1079" s="331"/>
      <c r="F1079" s="331">
        <v>800</v>
      </c>
      <c r="G1079" s="333">
        <f t="shared" si="15"/>
        <v>4766.22</v>
      </c>
      <c r="H1079" s="334" t="s">
        <v>298</v>
      </c>
      <c r="I1079" s="335"/>
      <c r="J1079" s="336"/>
      <c r="K1079" s="301"/>
      <c r="L1079" s="336"/>
      <c r="M1079" s="301"/>
      <c r="N1079" s="336"/>
      <c r="O1079" s="301"/>
      <c r="P1079" s="336"/>
      <c r="Q1079" s="301"/>
      <c r="R1079" s="336"/>
      <c r="S1079" s="301"/>
      <c r="T1079" s="336"/>
    </row>
    <row r="1080" spans="1:20" ht="12" customHeight="1" x14ac:dyDescent="0.3">
      <c r="A1080" s="329" t="s">
        <v>294</v>
      </c>
      <c r="B1080" s="330">
        <v>18</v>
      </c>
      <c r="C1080" s="298">
        <v>46038</v>
      </c>
      <c r="D1080" s="299" t="s">
        <v>361</v>
      </c>
      <c r="E1080" s="331">
        <v>400</v>
      </c>
      <c r="F1080" s="331"/>
      <c r="G1080" s="333">
        <f t="shared" si="15"/>
        <v>3966.2200000000003</v>
      </c>
      <c r="H1080" s="334"/>
      <c r="I1080" s="335"/>
      <c r="J1080" s="336"/>
      <c r="K1080" s="301"/>
      <c r="L1080" s="336"/>
      <c r="M1080" s="301"/>
      <c r="N1080" s="336"/>
      <c r="O1080" s="301"/>
      <c r="P1080" s="336"/>
      <c r="Q1080" s="301"/>
      <c r="R1080" s="336"/>
      <c r="S1080" s="301"/>
      <c r="T1080" s="336"/>
    </row>
    <row r="1081" spans="1:20" ht="12" customHeight="1" x14ac:dyDescent="0.3">
      <c r="A1081" s="329" t="s">
        <v>294</v>
      </c>
      <c r="B1081" s="330">
        <v>19</v>
      </c>
      <c r="C1081" s="298">
        <v>46038</v>
      </c>
      <c r="D1081" s="299" t="s">
        <v>191</v>
      </c>
      <c r="E1081" s="331">
        <v>200</v>
      </c>
      <c r="F1081" s="331"/>
      <c r="G1081" s="333">
        <f t="shared" si="15"/>
        <v>4366.22</v>
      </c>
      <c r="H1081" s="334"/>
      <c r="I1081" s="335"/>
      <c r="J1081" s="336"/>
      <c r="K1081" s="301"/>
      <c r="L1081" s="336"/>
      <c r="M1081" s="301"/>
      <c r="N1081" s="336"/>
      <c r="O1081" s="301"/>
      <c r="P1081" s="336"/>
      <c r="Q1081" s="301"/>
      <c r="R1081" s="336"/>
      <c r="S1081" s="301"/>
      <c r="T1081" s="336"/>
    </row>
    <row r="1082" spans="1:20" ht="12" customHeight="1" x14ac:dyDescent="0.3">
      <c r="A1082" s="329" t="s">
        <v>294</v>
      </c>
      <c r="B1082" s="330">
        <v>11</v>
      </c>
      <c r="C1082" s="298">
        <v>46038</v>
      </c>
      <c r="D1082" s="299" t="s">
        <v>178</v>
      </c>
      <c r="E1082" s="331">
        <v>267.95999999999998</v>
      </c>
      <c r="F1082" s="331"/>
      <c r="G1082" s="333">
        <f t="shared" si="15"/>
        <v>4566.22</v>
      </c>
      <c r="H1082" s="334"/>
      <c r="I1082" s="335"/>
      <c r="J1082" s="336"/>
      <c r="K1082" s="301"/>
      <c r="L1082" s="336"/>
      <c r="M1082" s="301"/>
      <c r="N1082" s="336"/>
      <c r="O1082" s="301"/>
      <c r="P1082" s="336"/>
      <c r="Q1082" s="301"/>
      <c r="R1082" s="336"/>
      <c r="S1082" s="301"/>
      <c r="T1082" s="336"/>
    </row>
    <row r="1083" spans="1:20" ht="12" customHeight="1" x14ac:dyDescent="0.3">
      <c r="A1083" s="329" t="s">
        <v>289</v>
      </c>
      <c r="B1083" s="330">
        <v>8</v>
      </c>
      <c r="C1083" s="298">
        <v>46037</v>
      </c>
      <c r="D1083" s="299" t="s">
        <v>357</v>
      </c>
      <c r="E1083" s="331">
        <v>59.95</v>
      </c>
      <c r="F1083" s="331"/>
      <c r="G1083" s="333">
        <f t="shared" si="15"/>
        <v>4834.18</v>
      </c>
      <c r="H1083" s="334"/>
      <c r="I1083" s="335"/>
      <c r="J1083" s="336"/>
      <c r="K1083" s="301"/>
      <c r="L1083" s="336"/>
      <c r="M1083" s="301"/>
      <c r="N1083" s="336"/>
      <c r="O1083" s="301"/>
      <c r="P1083" s="336"/>
      <c r="Q1083" s="301"/>
      <c r="R1083" s="336"/>
      <c r="S1083" s="301"/>
      <c r="T1083" s="336"/>
    </row>
    <row r="1084" spans="1:20" ht="12" customHeight="1" x14ac:dyDescent="0.3">
      <c r="A1084" s="329" t="s">
        <v>289</v>
      </c>
      <c r="B1084" s="330">
        <v>2</v>
      </c>
      <c r="C1084" s="298">
        <v>46037</v>
      </c>
      <c r="D1084" s="299" t="s">
        <v>357</v>
      </c>
      <c r="E1084" s="331">
        <v>59.96</v>
      </c>
      <c r="F1084" s="331"/>
      <c r="G1084" s="333">
        <f t="shared" si="15"/>
        <v>4894.13</v>
      </c>
      <c r="H1084" s="334"/>
      <c r="I1084" s="335"/>
      <c r="J1084" s="336"/>
      <c r="K1084" s="301"/>
      <c r="L1084" s="336"/>
      <c r="M1084" s="301"/>
      <c r="N1084" s="336"/>
      <c r="O1084" s="301"/>
      <c r="P1084" s="336"/>
      <c r="Q1084" s="301"/>
      <c r="R1084" s="336"/>
      <c r="S1084" s="301"/>
      <c r="T1084" s="336"/>
    </row>
    <row r="1085" spans="1:20" ht="12" customHeight="1" x14ac:dyDescent="0.3">
      <c r="A1085" s="329" t="s">
        <v>289</v>
      </c>
      <c r="B1085" s="330">
        <v>8</v>
      </c>
      <c r="C1085" s="298">
        <v>46037</v>
      </c>
      <c r="D1085" s="299" t="s">
        <v>319</v>
      </c>
      <c r="E1085" s="331">
        <v>12.43</v>
      </c>
      <c r="F1085" s="331"/>
      <c r="G1085" s="333">
        <f t="shared" si="15"/>
        <v>4954.09</v>
      </c>
      <c r="H1085" s="334"/>
      <c r="I1085" s="335"/>
      <c r="J1085" s="336"/>
      <c r="K1085" s="301"/>
      <c r="L1085" s="336"/>
      <c r="M1085" s="301"/>
      <c r="N1085" s="336"/>
      <c r="O1085" s="301"/>
      <c r="P1085" s="336"/>
      <c r="Q1085" s="301"/>
      <c r="R1085" s="336"/>
      <c r="S1085" s="301"/>
      <c r="T1085" s="336"/>
    </row>
    <row r="1086" spans="1:20" ht="12" customHeight="1" x14ac:dyDescent="0.3">
      <c r="A1086" s="329" t="s">
        <v>289</v>
      </c>
      <c r="B1086" s="330">
        <v>2</v>
      </c>
      <c r="C1086" s="298">
        <v>46037</v>
      </c>
      <c r="D1086" s="299" t="s">
        <v>296</v>
      </c>
      <c r="E1086" s="331">
        <v>11.07</v>
      </c>
      <c r="F1086" s="331"/>
      <c r="G1086" s="333">
        <f t="shared" si="15"/>
        <v>4966.5200000000004</v>
      </c>
      <c r="H1086" s="334"/>
      <c r="I1086" s="335"/>
      <c r="J1086" s="336"/>
      <c r="K1086" s="301"/>
      <c r="L1086" s="336"/>
      <c r="M1086" s="301"/>
      <c r="N1086" s="336"/>
      <c r="O1086" s="301"/>
      <c r="P1086" s="336"/>
      <c r="Q1086" s="301"/>
      <c r="R1086" s="336"/>
      <c r="S1086" s="301"/>
      <c r="T1086" s="336"/>
    </row>
    <row r="1087" spans="1:20" ht="12" customHeight="1" x14ac:dyDescent="0.3">
      <c r="A1087" s="329" t="s">
        <v>289</v>
      </c>
      <c r="B1087" s="330">
        <v>4</v>
      </c>
      <c r="C1087" s="298">
        <v>46037</v>
      </c>
      <c r="D1087" s="299" t="s">
        <v>296</v>
      </c>
      <c r="E1087" s="331">
        <v>52.3</v>
      </c>
      <c r="F1087" s="331"/>
      <c r="G1087" s="333">
        <f t="shared" si="15"/>
        <v>4977.59</v>
      </c>
      <c r="H1087" s="334"/>
      <c r="I1087" s="335"/>
      <c r="J1087" s="336"/>
      <c r="K1087" s="301"/>
      <c r="L1087" s="336"/>
      <c r="M1087" s="301"/>
      <c r="N1087" s="336"/>
      <c r="O1087" s="301"/>
      <c r="P1087" s="336"/>
      <c r="Q1087" s="301"/>
      <c r="R1087" s="336"/>
      <c r="S1087" s="301"/>
      <c r="T1087" s="336"/>
    </row>
    <row r="1088" spans="1:20" ht="12" customHeight="1" x14ac:dyDescent="0.3">
      <c r="A1088" s="329" t="s">
        <v>289</v>
      </c>
      <c r="B1088" s="330">
        <v>6</v>
      </c>
      <c r="C1088" s="298">
        <v>46037</v>
      </c>
      <c r="D1088" s="299" t="s">
        <v>436</v>
      </c>
      <c r="E1088" s="331">
        <v>50</v>
      </c>
      <c r="F1088" s="331"/>
      <c r="G1088" s="333">
        <f t="shared" si="15"/>
        <v>5029.8900000000003</v>
      </c>
      <c r="H1088" s="334"/>
      <c r="I1088" s="335"/>
      <c r="J1088" s="336"/>
      <c r="K1088" s="301"/>
      <c r="L1088" s="336"/>
      <c r="M1088" s="301"/>
      <c r="N1088" s="336"/>
      <c r="O1088" s="301"/>
      <c r="P1088" s="336"/>
      <c r="Q1088" s="301"/>
      <c r="R1088" s="336"/>
      <c r="S1088" s="301"/>
      <c r="T1088" s="336"/>
    </row>
    <row r="1089" spans="1:20" ht="12" customHeight="1" x14ac:dyDescent="0.3">
      <c r="A1089" s="329" t="s">
        <v>291</v>
      </c>
      <c r="B1089" s="330">
        <v>38</v>
      </c>
      <c r="C1089" s="298">
        <v>46037</v>
      </c>
      <c r="D1089" s="299" t="s">
        <v>293</v>
      </c>
      <c r="E1089" s="331"/>
      <c r="F1089" s="331">
        <v>4365.67</v>
      </c>
      <c r="G1089" s="333">
        <f t="shared" si="15"/>
        <v>5079.8900000000003</v>
      </c>
      <c r="H1089" s="334"/>
      <c r="I1089" s="335"/>
      <c r="J1089" s="336"/>
      <c r="K1089" s="301"/>
      <c r="L1089" s="336"/>
      <c r="M1089" s="301"/>
      <c r="N1089" s="336"/>
      <c r="O1089" s="301"/>
      <c r="P1089" s="336"/>
      <c r="Q1089" s="301"/>
      <c r="R1089" s="336"/>
      <c r="S1089" s="301"/>
      <c r="T1089" s="336"/>
    </row>
    <row r="1090" spans="1:20" ht="12" customHeight="1" x14ac:dyDescent="0.3">
      <c r="A1090" s="329" t="s">
        <v>289</v>
      </c>
      <c r="B1090" s="330">
        <v>4</v>
      </c>
      <c r="C1090" s="298">
        <v>46036</v>
      </c>
      <c r="D1090" s="299" t="s">
        <v>295</v>
      </c>
      <c r="E1090" s="331">
        <v>30.91</v>
      </c>
      <c r="F1090" s="331"/>
      <c r="G1090" s="333">
        <f t="shared" si="15"/>
        <v>714.22</v>
      </c>
      <c r="H1090" s="334"/>
      <c r="I1090" s="335"/>
      <c r="J1090" s="336"/>
      <c r="K1090" s="301"/>
      <c r="L1090" s="336"/>
      <c r="M1090" s="301"/>
      <c r="N1090" s="336"/>
      <c r="O1090" s="301"/>
      <c r="P1090" s="336"/>
      <c r="Q1090" s="301"/>
      <c r="R1090" s="336"/>
      <c r="S1090" s="301"/>
      <c r="T1090" s="336"/>
    </row>
    <row r="1091" spans="1:20" ht="12" customHeight="1" x14ac:dyDescent="0.3">
      <c r="A1091" s="329" t="s">
        <v>289</v>
      </c>
      <c r="B1091" s="330">
        <v>3</v>
      </c>
      <c r="C1091" s="298">
        <v>46036</v>
      </c>
      <c r="D1091" s="299" t="s">
        <v>348</v>
      </c>
      <c r="E1091" s="331">
        <v>8.67</v>
      </c>
      <c r="F1091" s="331"/>
      <c r="G1091" s="333">
        <f t="shared" si="15"/>
        <v>745.13</v>
      </c>
      <c r="H1091" s="334"/>
      <c r="I1091" s="335"/>
      <c r="J1091" s="336"/>
      <c r="K1091" s="301"/>
      <c r="L1091" s="336"/>
      <c r="M1091" s="301"/>
      <c r="N1091" s="336"/>
      <c r="O1091" s="301"/>
      <c r="P1091" s="336"/>
      <c r="Q1091" s="301"/>
      <c r="R1091" s="336"/>
      <c r="S1091" s="301"/>
      <c r="T1091" s="336"/>
    </row>
    <row r="1092" spans="1:20" ht="12" customHeight="1" x14ac:dyDescent="0.3">
      <c r="A1092" s="329" t="s">
        <v>289</v>
      </c>
      <c r="B1092" s="330">
        <v>3</v>
      </c>
      <c r="C1092" s="298">
        <v>46035</v>
      </c>
      <c r="D1092" s="299" t="s">
        <v>351</v>
      </c>
      <c r="E1092" s="331">
        <v>25.01</v>
      </c>
      <c r="F1092" s="331"/>
      <c r="G1092" s="333">
        <f t="shared" si="15"/>
        <v>753.8</v>
      </c>
      <c r="H1092" s="334"/>
      <c r="I1092" s="335"/>
      <c r="J1092" s="336"/>
      <c r="K1092" s="301"/>
      <c r="L1092" s="336"/>
      <c r="M1092" s="301"/>
      <c r="N1092" s="336"/>
      <c r="O1092" s="301"/>
      <c r="P1092" s="336"/>
      <c r="Q1092" s="301"/>
      <c r="R1092" s="336"/>
      <c r="S1092" s="301"/>
      <c r="T1092" s="336"/>
    </row>
    <row r="1093" spans="1:20" ht="12" customHeight="1" x14ac:dyDescent="0.3">
      <c r="A1093" s="329" t="s">
        <v>289</v>
      </c>
      <c r="B1093" s="330">
        <v>6</v>
      </c>
      <c r="C1093" s="298">
        <v>46035</v>
      </c>
      <c r="D1093" s="299" t="s">
        <v>412</v>
      </c>
      <c r="E1093" s="331">
        <v>-5.9</v>
      </c>
      <c r="F1093" s="331"/>
      <c r="G1093" s="333">
        <f t="shared" si="15"/>
        <v>778.81</v>
      </c>
      <c r="H1093" s="334"/>
      <c r="I1093" s="335"/>
      <c r="J1093" s="336"/>
      <c r="K1093" s="301"/>
      <c r="L1093" s="336"/>
      <c r="M1093" s="301"/>
      <c r="N1093" s="336"/>
      <c r="O1093" s="301"/>
      <c r="P1093" s="336"/>
      <c r="Q1093" s="301"/>
      <c r="R1093" s="336"/>
      <c r="S1093" s="301"/>
      <c r="T1093" s="336"/>
    </row>
    <row r="1094" spans="1:20" ht="12" customHeight="1" x14ac:dyDescent="0.3">
      <c r="A1094" s="329" t="s">
        <v>289</v>
      </c>
      <c r="B1094" s="330">
        <v>6</v>
      </c>
      <c r="C1094" s="298">
        <v>46035</v>
      </c>
      <c r="D1094" s="299" t="s">
        <v>446</v>
      </c>
      <c r="E1094" s="331">
        <v>-0.03</v>
      </c>
      <c r="F1094" s="331"/>
      <c r="G1094" s="333">
        <f t="shared" si="15"/>
        <v>772.91</v>
      </c>
      <c r="H1094" s="334"/>
      <c r="I1094" s="335"/>
      <c r="J1094" s="336"/>
      <c r="K1094" s="301"/>
      <c r="L1094" s="336"/>
      <c r="M1094" s="301"/>
      <c r="N1094" s="336"/>
      <c r="O1094" s="301"/>
      <c r="P1094" s="336"/>
      <c r="Q1094" s="301"/>
      <c r="R1094" s="336"/>
      <c r="S1094" s="301"/>
      <c r="T1094" s="336"/>
    </row>
    <row r="1095" spans="1:20" ht="12" customHeight="1" x14ac:dyDescent="0.3">
      <c r="A1095" s="329" t="s">
        <v>294</v>
      </c>
      <c r="B1095" s="330">
        <v>43</v>
      </c>
      <c r="C1095" s="298">
        <v>46035</v>
      </c>
      <c r="D1095" s="299" t="s">
        <v>201</v>
      </c>
      <c r="E1095" s="331">
        <v>44.18</v>
      </c>
      <c r="F1095" s="331"/>
      <c r="G1095" s="333">
        <f t="shared" si="15"/>
        <v>772.88</v>
      </c>
      <c r="H1095" s="334"/>
      <c r="I1095" s="335"/>
      <c r="J1095" s="336"/>
      <c r="K1095" s="301"/>
      <c r="L1095" s="336"/>
      <c r="M1095" s="301"/>
      <c r="N1095" s="336"/>
      <c r="O1095" s="301"/>
      <c r="P1095" s="336"/>
      <c r="Q1095" s="301"/>
      <c r="R1095" s="336"/>
      <c r="S1095" s="301"/>
      <c r="T1095" s="336"/>
    </row>
    <row r="1096" spans="1:20" ht="12" customHeight="1" x14ac:dyDescent="0.3">
      <c r="A1096" s="329" t="s">
        <v>294</v>
      </c>
      <c r="B1096" s="330">
        <v>42</v>
      </c>
      <c r="C1096" s="298">
        <v>46035</v>
      </c>
      <c r="D1096" s="299" t="s">
        <v>200</v>
      </c>
      <c r="E1096" s="331">
        <v>51.19</v>
      </c>
      <c r="F1096" s="331"/>
      <c r="G1096" s="333">
        <f t="shared" si="15"/>
        <v>817.06</v>
      </c>
      <c r="H1096" s="334"/>
      <c r="I1096" s="335"/>
      <c r="J1096" s="336"/>
      <c r="K1096" s="301"/>
      <c r="L1096" s="336"/>
      <c r="M1096" s="301"/>
      <c r="N1096" s="336"/>
      <c r="O1096" s="301"/>
      <c r="P1096" s="336"/>
      <c r="Q1096" s="301"/>
      <c r="R1096" s="336"/>
      <c r="S1096" s="301"/>
      <c r="T1096" s="336"/>
    </row>
    <row r="1097" spans="1:20" ht="12" customHeight="1" x14ac:dyDescent="0.3">
      <c r="A1097" s="329" t="s">
        <v>289</v>
      </c>
      <c r="B1097" s="330">
        <v>4</v>
      </c>
      <c r="C1097" s="298">
        <v>46035</v>
      </c>
      <c r="D1097" s="299" t="s">
        <v>295</v>
      </c>
      <c r="E1097" s="331">
        <v>28.15</v>
      </c>
      <c r="F1097" s="331"/>
      <c r="G1097" s="333">
        <f t="shared" si="15"/>
        <v>868.25</v>
      </c>
      <c r="H1097" s="334"/>
      <c r="I1097" s="335"/>
      <c r="J1097" s="336"/>
      <c r="K1097" s="301"/>
      <c r="L1097" s="336"/>
      <c r="M1097" s="301"/>
      <c r="N1097" s="336"/>
      <c r="O1097" s="301"/>
      <c r="P1097" s="336"/>
      <c r="Q1097" s="301"/>
      <c r="R1097" s="336"/>
      <c r="S1097" s="301"/>
      <c r="T1097" s="336"/>
    </row>
    <row r="1098" spans="1:20" ht="12" customHeight="1" x14ac:dyDescent="0.3">
      <c r="A1098" s="329" t="s">
        <v>289</v>
      </c>
      <c r="B1098" s="330">
        <v>3</v>
      </c>
      <c r="C1098" s="298">
        <v>46035</v>
      </c>
      <c r="D1098" s="299" t="s">
        <v>296</v>
      </c>
      <c r="E1098" s="331">
        <v>20.85</v>
      </c>
      <c r="F1098" s="331"/>
      <c r="G1098" s="333">
        <f t="shared" si="15"/>
        <v>896.4</v>
      </c>
      <c r="H1098" s="334"/>
      <c r="I1098" s="335"/>
      <c r="J1098" s="336"/>
      <c r="K1098" s="301"/>
      <c r="L1098" s="336"/>
      <c r="M1098" s="301"/>
      <c r="N1098" s="336"/>
      <c r="O1098" s="301"/>
      <c r="P1098" s="336"/>
      <c r="Q1098" s="301"/>
      <c r="R1098" s="336"/>
      <c r="S1098" s="301"/>
      <c r="T1098" s="336"/>
    </row>
    <row r="1099" spans="1:20" ht="12" customHeight="1" x14ac:dyDescent="0.3">
      <c r="A1099" s="329" t="s">
        <v>289</v>
      </c>
      <c r="B1099" s="330">
        <v>1</v>
      </c>
      <c r="C1099" s="298">
        <v>46034</v>
      </c>
      <c r="D1099" s="299" t="s">
        <v>306</v>
      </c>
      <c r="E1099" s="331">
        <v>145.81</v>
      </c>
      <c r="F1099" s="331"/>
      <c r="G1099" s="333">
        <f t="shared" si="15"/>
        <v>917.25</v>
      </c>
      <c r="H1099" s="334"/>
      <c r="I1099" s="335"/>
      <c r="J1099" s="336"/>
      <c r="K1099" s="301"/>
      <c r="L1099" s="336"/>
      <c r="M1099" s="301"/>
      <c r="N1099" s="336"/>
      <c r="O1099" s="301"/>
      <c r="P1099" s="336"/>
      <c r="Q1099" s="301"/>
      <c r="R1099" s="336"/>
      <c r="S1099" s="301"/>
      <c r="T1099" s="336"/>
    </row>
    <row r="1100" spans="1:20" ht="12" customHeight="1" x14ac:dyDescent="0.3">
      <c r="A1100" s="329" t="s">
        <v>289</v>
      </c>
      <c r="B1100" s="330">
        <v>2</v>
      </c>
      <c r="C1100" s="298">
        <v>46034</v>
      </c>
      <c r="D1100" s="299" t="s">
        <v>424</v>
      </c>
      <c r="E1100" s="331">
        <v>25.22</v>
      </c>
      <c r="F1100" s="331"/>
      <c r="G1100" s="333">
        <f t="shared" si="15"/>
        <v>1063.06</v>
      </c>
      <c r="H1100" s="334"/>
      <c r="I1100" s="335"/>
      <c r="J1100" s="336"/>
      <c r="K1100" s="301"/>
      <c r="L1100" s="336"/>
      <c r="M1100" s="301"/>
      <c r="N1100" s="336"/>
      <c r="O1100" s="301"/>
      <c r="P1100" s="336"/>
      <c r="Q1100" s="301"/>
      <c r="R1100" s="336"/>
      <c r="S1100" s="301"/>
      <c r="T1100" s="336"/>
    </row>
    <row r="1101" spans="1:20" ht="12" customHeight="1" x14ac:dyDescent="0.3">
      <c r="A1101" s="329" t="s">
        <v>289</v>
      </c>
      <c r="B1101" s="330">
        <v>2</v>
      </c>
      <c r="C1101" s="298">
        <v>46033</v>
      </c>
      <c r="D1101" s="299" t="s">
        <v>326</v>
      </c>
      <c r="E1101" s="331">
        <v>49.38</v>
      </c>
      <c r="F1101" s="331"/>
      <c r="G1101" s="333">
        <f t="shared" si="15"/>
        <v>1088.28</v>
      </c>
      <c r="H1101" s="334"/>
      <c r="I1101" s="335"/>
      <c r="J1101" s="336"/>
      <c r="K1101" s="301"/>
      <c r="L1101" s="336"/>
      <c r="M1101" s="301"/>
      <c r="N1101" s="336"/>
      <c r="O1101" s="301"/>
      <c r="P1101" s="336"/>
      <c r="Q1101" s="301"/>
      <c r="R1101" s="336"/>
      <c r="S1101" s="301"/>
      <c r="T1101" s="336"/>
    </row>
    <row r="1102" spans="1:20" ht="12" customHeight="1" x14ac:dyDescent="0.3">
      <c r="A1102" s="329" t="s">
        <v>294</v>
      </c>
      <c r="B1102" s="330">
        <v>22</v>
      </c>
      <c r="C1102" s="298">
        <v>46033</v>
      </c>
      <c r="D1102" s="299" t="s">
        <v>352</v>
      </c>
      <c r="E1102" s="331">
        <v>19.16</v>
      </c>
      <c r="F1102" s="331"/>
      <c r="G1102" s="333">
        <f t="shared" si="15"/>
        <v>1137.6600000000001</v>
      </c>
      <c r="H1102" s="334"/>
      <c r="I1102" s="335"/>
      <c r="J1102" s="336"/>
      <c r="K1102" s="301"/>
      <c r="L1102" s="336"/>
      <c r="M1102" s="301"/>
      <c r="N1102" s="336"/>
      <c r="O1102" s="301"/>
      <c r="P1102" s="336"/>
      <c r="Q1102" s="301"/>
      <c r="R1102" s="336"/>
      <c r="S1102" s="301"/>
      <c r="T1102" s="336"/>
    </row>
    <row r="1103" spans="1:20" ht="12" customHeight="1" x14ac:dyDescent="0.3">
      <c r="A1103" s="329" t="s">
        <v>289</v>
      </c>
      <c r="B1103" s="330">
        <v>6</v>
      </c>
      <c r="C1103" s="298">
        <v>46033</v>
      </c>
      <c r="D1103" s="299" t="s">
        <v>312</v>
      </c>
      <c r="E1103" s="331">
        <v>39.86</v>
      </c>
      <c r="F1103" s="331"/>
      <c r="G1103" s="333">
        <f t="shared" si="15"/>
        <v>1156.8200000000002</v>
      </c>
      <c r="H1103" s="334"/>
      <c r="I1103" s="335"/>
      <c r="J1103" s="336"/>
      <c r="K1103" s="301"/>
      <c r="L1103" s="336"/>
      <c r="M1103" s="301"/>
      <c r="N1103" s="336"/>
      <c r="O1103" s="301"/>
      <c r="P1103" s="336"/>
      <c r="Q1103" s="301"/>
      <c r="R1103" s="336"/>
      <c r="S1103" s="301"/>
      <c r="T1103" s="336"/>
    </row>
    <row r="1104" spans="1:20" ht="12" customHeight="1" x14ac:dyDescent="0.3">
      <c r="A1104" s="329" t="s">
        <v>289</v>
      </c>
      <c r="B1104" s="330">
        <v>7</v>
      </c>
      <c r="C1104" s="298">
        <v>46033</v>
      </c>
      <c r="D1104" s="299" t="s">
        <v>444</v>
      </c>
      <c r="E1104" s="331">
        <v>165.05</v>
      </c>
      <c r="F1104" s="331"/>
      <c r="G1104" s="333">
        <f t="shared" si="15"/>
        <v>1196.68</v>
      </c>
      <c r="H1104" s="334"/>
      <c r="I1104" s="335"/>
      <c r="J1104" s="336"/>
      <c r="K1104" s="301"/>
      <c r="L1104" s="336"/>
      <c r="M1104" s="301"/>
      <c r="N1104" s="336"/>
      <c r="O1104" s="301"/>
      <c r="P1104" s="336"/>
      <c r="Q1104" s="301"/>
      <c r="R1104" s="336"/>
      <c r="S1104" s="301"/>
      <c r="T1104" s="336"/>
    </row>
    <row r="1105" spans="1:20" ht="12" customHeight="1" x14ac:dyDescent="0.3">
      <c r="A1105" s="329" t="s">
        <v>294</v>
      </c>
      <c r="B1105" s="330">
        <v>24</v>
      </c>
      <c r="C1105" s="298">
        <v>46032</v>
      </c>
      <c r="D1105" s="299" t="s">
        <v>860</v>
      </c>
      <c r="E1105" s="331">
        <v>83.42</v>
      </c>
      <c r="F1105" s="331"/>
      <c r="G1105" s="333">
        <f t="shared" si="15"/>
        <v>1361.73</v>
      </c>
      <c r="H1105" s="334"/>
      <c r="I1105" s="335"/>
      <c r="J1105" s="336"/>
      <c r="K1105" s="301"/>
      <c r="L1105" s="336"/>
      <c r="M1105" s="301"/>
      <c r="N1105" s="336"/>
      <c r="O1105" s="301"/>
      <c r="P1105" s="336"/>
      <c r="Q1105" s="301"/>
      <c r="R1105" s="336"/>
      <c r="S1105" s="301"/>
      <c r="T1105" s="336"/>
    </row>
    <row r="1106" spans="1:20" ht="12" customHeight="1" x14ac:dyDescent="0.3">
      <c r="A1106" s="329" t="s">
        <v>289</v>
      </c>
      <c r="B1106" s="330">
        <v>4</v>
      </c>
      <c r="C1106" s="298">
        <v>46032</v>
      </c>
      <c r="D1106" s="299" t="s">
        <v>296</v>
      </c>
      <c r="E1106" s="331">
        <v>30.4</v>
      </c>
      <c r="F1106" s="331"/>
      <c r="G1106" s="333">
        <f t="shared" si="15"/>
        <v>1445.15</v>
      </c>
      <c r="H1106" s="334"/>
      <c r="I1106" s="335"/>
      <c r="J1106" s="336"/>
      <c r="K1106" s="301"/>
      <c r="L1106" s="336"/>
      <c r="M1106" s="301"/>
      <c r="N1106" s="336"/>
      <c r="O1106" s="301"/>
      <c r="P1106" s="336"/>
      <c r="Q1106" s="301"/>
      <c r="R1106" s="336"/>
      <c r="S1106" s="301"/>
      <c r="T1106" s="336"/>
    </row>
    <row r="1107" spans="1:20" ht="12" customHeight="1" x14ac:dyDescent="0.3">
      <c r="A1107" s="329" t="s">
        <v>289</v>
      </c>
      <c r="B1107" s="330">
        <v>2</v>
      </c>
      <c r="C1107" s="298">
        <v>46032</v>
      </c>
      <c r="D1107" s="299" t="s">
        <v>296</v>
      </c>
      <c r="E1107" s="331">
        <v>13.83</v>
      </c>
      <c r="F1107" s="331"/>
      <c r="G1107" s="333">
        <f t="shared" si="15"/>
        <v>1475.5500000000002</v>
      </c>
      <c r="H1107" s="334"/>
      <c r="I1107" s="335"/>
      <c r="J1107" s="336"/>
      <c r="K1107" s="301"/>
      <c r="L1107" s="336"/>
      <c r="M1107" s="301"/>
      <c r="N1107" s="336"/>
      <c r="O1107" s="301"/>
      <c r="P1107" s="336"/>
      <c r="Q1107" s="301"/>
      <c r="R1107" s="336"/>
      <c r="S1107" s="301"/>
      <c r="T1107" s="336"/>
    </row>
    <row r="1108" spans="1:20" ht="12" customHeight="1" x14ac:dyDescent="0.3">
      <c r="A1108" s="329" t="s">
        <v>289</v>
      </c>
      <c r="B1108" s="330">
        <v>2</v>
      </c>
      <c r="C1108" s="298">
        <v>46032</v>
      </c>
      <c r="D1108" s="299" t="s">
        <v>473</v>
      </c>
      <c r="E1108" s="331">
        <v>100</v>
      </c>
      <c r="F1108" s="331"/>
      <c r="G1108" s="333">
        <f t="shared" si="15"/>
        <v>1489.38</v>
      </c>
      <c r="H1108" s="334"/>
      <c r="I1108" s="335"/>
      <c r="J1108" s="336"/>
      <c r="K1108" s="301"/>
      <c r="L1108" s="336"/>
      <c r="M1108" s="301"/>
      <c r="N1108" s="336"/>
      <c r="O1108" s="301"/>
      <c r="P1108" s="336"/>
      <c r="Q1108" s="301"/>
      <c r="R1108" s="336"/>
      <c r="S1108" s="301"/>
      <c r="T1108" s="336"/>
    </row>
    <row r="1109" spans="1:20" ht="12" customHeight="1" x14ac:dyDescent="0.3">
      <c r="A1109" s="329" t="s">
        <v>289</v>
      </c>
      <c r="B1109" s="330">
        <v>1</v>
      </c>
      <c r="C1109" s="298">
        <v>46032</v>
      </c>
      <c r="D1109" s="299" t="s">
        <v>304</v>
      </c>
      <c r="E1109" s="331">
        <v>55.68</v>
      </c>
      <c r="F1109" s="331"/>
      <c r="G1109" s="333">
        <f t="shared" si="15"/>
        <v>1589.38</v>
      </c>
      <c r="H1109" s="334"/>
      <c r="I1109" s="335"/>
      <c r="J1109" s="336"/>
      <c r="K1109" s="301"/>
      <c r="L1109" s="336"/>
      <c r="M1109" s="301"/>
      <c r="N1109" s="336"/>
      <c r="O1109" s="301"/>
      <c r="P1109" s="336"/>
      <c r="Q1109" s="301"/>
      <c r="R1109" s="336"/>
      <c r="S1109" s="301"/>
      <c r="T1109" s="336"/>
    </row>
    <row r="1110" spans="1:20" ht="12" customHeight="1" x14ac:dyDescent="0.3">
      <c r="A1110" s="329" t="s">
        <v>289</v>
      </c>
      <c r="B1110" s="330">
        <v>2</v>
      </c>
      <c r="C1110" s="298">
        <v>46031</v>
      </c>
      <c r="D1110" s="299" t="s">
        <v>358</v>
      </c>
      <c r="E1110" s="331">
        <v>9.4700000000000006</v>
      </c>
      <c r="F1110" s="331"/>
      <c r="G1110" s="333">
        <f t="shared" si="15"/>
        <v>1645.0600000000002</v>
      </c>
      <c r="H1110" s="334"/>
      <c r="I1110" s="335"/>
      <c r="J1110" s="336"/>
      <c r="K1110" s="301"/>
      <c r="L1110" s="336"/>
      <c r="M1110" s="301"/>
      <c r="N1110" s="336"/>
      <c r="O1110" s="301"/>
      <c r="P1110" s="336"/>
      <c r="Q1110" s="301"/>
      <c r="R1110" s="336"/>
      <c r="S1110" s="301"/>
      <c r="T1110" s="336"/>
    </row>
    <row r="1111" spans="1:20" ht="12" customHeight="1" x14ac:dyDescent="0.3">
      <c r="A1111" s="329" t="s">
        <v>289</v>
      </c>
      <c r="B1111" s="330">
        <v>5</v>
      </c>
      <c r="C1111" s="298">
        <v>46031</v>
      </c>
      <c r="D1111" s="299" t="s">
        <v>475</v>
      </c>
      <c r="E1111" s="331">
        <v>50</v>
      </c>
      <c r="F1111" s="331"/>
      <c r="G1111" s="333">
        <f t="shared" si="15"/>
        <v>1654.5300000000002</v>
      </c>
      <c r="H1111" s="334"/>
      <c r="I1111" s="335"/>
      <c r="J1111" s="336"/>
      <c r="K1111" s="301"/>
      <c r="L1111" s="336"/>
      <c r="M1111" s="301"/>
      <c r="N1111" s="336"/>
      <c r="O1111" s="301"/>
      <c r="P1111" s="336"/>
      <c r="Q1111" s="301"/>
      <c r="R1111" s="336"/>
      <c r="S1111" s="301"/>
      <c r="T1111" s="336"/>
    </row>
    <row r="1112" spans="1:20" ht="12" customHeight="1" x14ac:dyDescent="0.3">
      <c r="A1112" s="329" t="s">
        <v>289</v>
      </c>
      <c r="B1112" s="330">
        <v>8</v>
      </c>
      <c r="C1112" s="298">
        <v>46030</v>
      </c>
      <c r="D1112" s="299" t="s">
        <v>476</v>
      </c>
      <c r="E1112" s="331">
        <v>32.619999999999997</v>
      </c>
      <c r="F1112" s="331"/>
      <c r="G1112" s="333">
        <f t="shared" si="15"/>
        <v>1704.5300000000002</v>
      </c>
      <c r="H1112" s="334"/>
      <c r="I1112" s="335"/>
      <c r="J1112" s="336"/>
      <c r="K1112" s="301"/>
      <c r="L1112" s="336"/>
      <c r="M1112" s="301"/>
      <c r="N1112" s="336"/>
      <c r="O1112" s="301"/>
      <c r="P1112" s="336"/>
      <c r="Q1112" s="301"/>
      <c r="R1112" s="336"/>
      <c r="S1112" s="301"/>
      <c r="T1112" s="336"/>
    </row>
    <row r="1113" spans="1:20" ht="12" customHeight="1" x14ac:dyDescent="0.3">
      <c r="A1113" s="329" t="s">
        <v>291</v>
      </c>
      <c r="B1113" s="330">
        <v>39</v>
      </c>
      <c r="C1113" s="298">
        <v>46030</v>
      </c>
      <c r="D1113" s="299" t="s">
        <v>292</v>
      </c>
      <c r="E1113" s="331"/>
      <c r="F1113" s="331">
        <v>2729.22</v>
      </c>
      <c r="G1113" s="333">
        <f t="shared" si="15"/>
        <v>1737.15</v>
      </c>
      <c r="H1113" s="334"/>
      <c r="I1113" s="335"/>
      <c r="J1113" s="336"/>
      <c r="K1113" s="301"/>
      <c r="L1113" s="336"/>
      <c r="M1113" s="301"/>
      <c r="N1113" s="336"/>
      <c r="O1113" s="301"/>
      <c r="P1113" s="336"/>
      <c r="Q1113" s="301"/>
      <c r="R1113" s="336"/>
      <c r="S1113" s="301"/>
      <c r="T1113" s="336"/>
    </row>
    <row r="1114" spans="1:20" ht="12" customHeight="1" x14ac:dyDescent="0.3">
      <c r="A1114" s="329" t="s">
        <v>289</v>
      </c>
      <c r="B1114" s="330">
        <v>2</v>
      </c>
      <c r="C1114" s="298">
        <v>46030</v>
      </c>
      <c r="D1114" s="299" t="s">
        <v>296</v>
      </c>
      <c r="E1114" s="331">
        <v>6.37</v>
      </c>
      <c r="F1114" s="331"/>
      <c r="G1114" s="333">
        <f t="shared" si="15"/>
        <v>-992.06999999999971</v>
      </c>
      <c r="H1114" s="334"/>
      <c r="I1114" s="335"/>
      <c r="J1114" s="336"/>
      <c r="K1114" s="301"/>
      <c r="L1114" s="336"/>
      <c r="M1114" s="301"/>
      <c r="N1114" s="336"/>
      <c r="O1114" s="301"/>
      <c r="P1114" s="336"/>
      <c r="Q1114" s="301"/>
      <c r="R1114" s="336"/>
      <c r="S1114" s="301"/>
      <c r="T1114" s="336"/>
    </row>
    <row r="1115" spans="1:20" ht="12" customHeight="1" x14ac:dyDescent="0.3">
      <c r="A1115" s="329" t="s">
        <v>289</v>
      </c>
      <c r="B1115" s="330">
        <v>4</v>
      </c>
      <c r="C1115" s="298">
        <v>46030</v>
      </c>
      <c r="D1115" s="299" t="s">
        <v>296</v>
      </c>
      <c r="E1115" s="331">
        <v>32.119999999999997</v>
      </c>
      <c r="F1115" s="331"/>
      <c r="G1115" s="333">
        <f t="shared" si="15"/>
        <v>-985.6999999999997</v>
      </c>
      <c r="H1115" s="334"/>
      <c r="I1115" s="335"/>
      <c r="J1115" s="336"/>
      <c r="K1115" s="301"/>
      <c r="L1115" s="336"/>
      <c r="M1115" s="301"/>
      <c r="N1115" s="336"/>
      <c r="O1115" s="301"/>
      <c r="P1115" s="336"/>
      <c r="Q1115" s="301"/>
      <c r="R1115" s="336"/>
      <c r="S1115" s="301"/>
      <c r="T1115" s="336"/>
    </row>
    <row r="1116" spans="1:20" ht="12" customHeight="1" x14ac:dyDescent="0.3">
      <c r="A1116" s="329" t="s">
        <v>289</v>
      </c>
      <c r="B1116" s="330">
        <v>2</v>
      </c>
      <c r="C1116" s="298">
        <v>46030</v>
      </c>
      <c r="D1116" s="299" t="s">
        <v>358</v>
      </c>
      <c r="E1116" s="331">
        <v>9.4700000000000006</v>
      </c>
      <c r="F1116" s="331"/>
      <c r="G1116" s="333">
        <f t="shared" si="15"/>
        <v>-953.5799999999997</v>
      </c>
      <c r="H1116" s="334"/>
      <c r="I1116" s="335"/>
      <c r="J1116" s="336"/>
      <c r="K1116" s="301"/>
      <c r="L1116" s="336"/>
      <c r="M1116" s="301"/>
      <c r="N1116" s="336"/>
      <c r="O1116" s="301"/>
      <c r="P1116" s="336"/>
      <c r="Q1116" s="301"/>
      <c r="R1116" s="336"/>
      <c r="S1116" s="301"/>
      <c r="T1116" s="336"/>
    </row>
    <row r="1117" spans="1:20" ht="12" customHeight="1" x14ac:dyDescent="0.3">
      <c r="A1117" s="329" t="s">
        <v>289</v>
      </c>
      <c r="B1117" s="330">
        <v>2</v>
      </c>
      <c r="C1117" s="298">
        <v>46030</v>
      </c>
      <c r="D1117" s="299" t="s">
        <v>386</v>
      </c>
      <c r="E1117" s="331">
        <v>21.18</v>
      </c>
      <c r="F1117" s="331"/>
      <c r="G1117" s="333">
        <f t="shared" si="15"/>
        <v>-944.10999999999967</v>
      </c>
      <c r="H1117" s="334"/>
      <c r="I1117" s="335"/>
      <c r="J1117" s="336"/>
      <c r="K1117" s="301"/>
      <c r="L1117" s="336"/>
      <c r="M1117" s="301"/>
      <c r="N1117" s="336"/>
      <c r="O1117" s="301"/>
      <c r="P1117" s="336"/>
      <c r="Q1117" s="301"/>
      <c r="R1117" s="336"/>
      <c r="S1117" s="301"/>
      <c r="T1117" s="336"/>
    </row>
    <row r="1118" spans="1:20" ht="12" customHeight="1" x14ac:dyDescent="0.3">
      <c r="A1118" s="329" t="s">
        <v>335</v>
      </c>
      <c r="B1118" s="330" t="s">
        <v>335</v>
      </c>
      <c r="C1118" s="298">
        <v>46029</v>
      </c>
      <c r="D1118" s="299" t="s">
        <v>447</v>
      </c>
      <c r="E1118" s="331">
        <v>52.66</v>
      </c>
      <c r="F1118" s="331"/>
      <c r="G1118" s="333">
        <f t="shared" si="15"/>
        <v>-922.92999999999972</v>
      </c>
      <c r="H1118" s="334"/>
      <c r="I1118" s="335"/>
      <c r="J1118" s="336"/>
      <c r="K1118" s="301"/>
      <c r="L1118" s="336"/>
      <c r="M1118" s="301"/>
      <c r="N1118" s="336"/>
      <c r="O1118" s="301"/>
      <c r="P1118" s="336"/>
      <c r="Q1118" s="301"/>
      <c r="R1118" s="336"/>
      <c r="S1118" s="301"/>
      <c r="T1118" s="336"/>
    </row>
    <row r="1119" spans="1:20" ht="12" customHeight="1" x14ac:dyDescent="0.3">
      <c r="A1119" s="329" t="s">
        <v>294</v>
      </c>
      <c r="B1119" s="330">
        <v>13</v>
      </c>
      <c r="C1119" s="298">
        <v>46029</v>
      </c>
      <c r="D1119" s="299" t="s">
        <v>182</v>
      </c>
      <c r="E1119" s="331">
        <v>167.42</v>
      </c>
      <c r="F1119" s="331"/>
      <c r="G1119" s="333">
        <f t="shared" si="15"/>
        <v>-870.26999999999975</v>
      </c>
      <c r="H1119" s="334"/>
      <c r="I1119" s="335"/>
      <c r="J1119" s="336"/>
      <c r="K1119" s="301"/>
      <c r="L1119" s="336"/>
      <c r="M1119" s="301"/>
      <c r="N1119" s="336"/>
      <c r="O1119" s="301"/>
      <c r="P1119" s="336"/>
      <c r="Q1119" s="301"/>
      <c r="R1119" s="336"/>
      <c r="S1119" s="301"/>
      <c r="T1119" s="336"/>
    </row>
    <row r="1120" spans="1:20" ht="12" customHeight="1" x14ac:dyDescent="0.3">
      <c r="A1120" s="329" t="s">
        <v>289</v>
      </c>
      <c r="B1120" s="330">
        <v>4</v>
      </c>
      <c r="C1120" s="298">
        <v>46029</v>
      </c>
      <c r="D1120" s="299" t="s">
        <v>296</v>
      </c>
      <c r="E1120" s="331">
        <v>30.81</v>
      </c>
      <c r="F1120" s="331"/>
      <c r="G1120" s="333">
        <f t="shared" si="15"/>
        <v>-702.8499999999998</v>
      </c>
      <c r="H1120" s="334"/>
      <c r="I1120" s="335"/>
      <c r="J1120" s="336"/>
      <c r="K1120" s="301"/>
      <c r="L1120" s="336"/>
      <c r="M1120" s="301"/>
      <c r="N1120" s="336"/>
      <c r="O1120" s="301"/>
      <c r="P1120" s="336"/>
      <c r="Q1120" s="301"/>
      <c r="R1120" s="336"/>
      <c r="S1120" s="301"/>
      <c r="T1120" s="336"/>
    </row>
    <row r="1121" spans="1:20" ht="12" customHeight="1" x14ac:dyDescent="0.3">
      <c r="A1121" s="329" t="s">
        <v>289</v>
      </c>
      <c r="B1121" s="330">
        <v>2</v>
      </c>
      <c r="C1121" s="298">
        <v>46029</v>
      </c>
      <c r="D1121" s="299" t="s">
        <v>358</v>
      </c>
      <c r="E1121" s="331">
        <v>9.4700000000000006</v>
      </c>
      <c r="F1121" s="331"/>
      <c r="G1121" s="333">
        <f t="shared" si="15"/>
        <v>-672.03999999999985</v>
      </c>
      <c r="H1121" s="334"/>
      <c r="I1121" s="335"/>
      <c r="J1121" s="336"/>
      <c r="K1121" s="301"/>
      <c r="L1121" s="336"/>
      <c r="M1121" s="301"/>
      <c r="N1121" s="336"/>
      <c r="O1121" s="301"/>
      <c r="P1121" s="336"/>
      <c r="Q1121" s="301"/>
      <c r="R1121" s="336"/>
      <c r="S1121" s="301"/>
      <c r="T1121" s="336"/>
    </row>
    <row r="1122" spans="1:20" ht="12" customHeight="1" x14ac:dyDescent="0.3">
      <c r="A1122" s="329" t="s">
        <v>294</v>
      </c>
      <c r="B1122" s="330">
        <v>22</v>
      </c>
      <c r="C1122" s="298">
        <v>46029</v>
      </c>
      <c r="D1122" s="299" t="s">
        <v>477</v>
      </c>
      <c r="E1122" s="331">
        <v>148.04</v>
      </c>
      <c r="F1122" s="331"/>
      <c r="G1122" s="333">
        <f t="shared" si="15"/>
        <v>-662.56999999999982</v>
      </c>
      <c r="H1122" s="334"/>
      <c r="I1122" s="335"/>
      <c r="J1122" s="336"/>
      <c r="K1122" s="301"/>
      <c r="L1122" s="336"/>
      <c r="M1122" s="301"/>
      <c r="N1122" s="336"/>
      <c r="O1122" s="301"/>
      <c r="P1122" s="336"/>
      <c r="Q1122" s="301"/>
      <c r="R1122" s="336"/>
      <c r="S1122" s="301"/>
      <c r="T1122" s="336"/>
    </row>
    <row r="1123" spans="1:20" ht="12" customHeight="1" x14ac:dyDescent="0.3">
      <c r="A1123" s="329" t="s">
        <v>294</v>
      </c>
      <c r="B1123" s="330">
        <v>14</v>
      </c>
      <c r="C1123" s="298">
        <v>46028</v>
      </c>
      <c r="D1123" s="299" t="s">
        <v>366</v>
      </c>
      <c r="E1123" s="331">
        <v>66.67</v>
      </c>
      <c r="F1123" s="331"/>
      <c r="G1123" s="333">
        <f t="shared" si="15"/>
        <v>-514.52999999999986</v>
      </c>
      <c r="H1123" s="334"/>
      <c r="I1123" s="335"/>
      <c r="J1123" s="336"/>
      <c r="K1123" s="301"/>
      <c r="L1123" s="336"/>
      <c r="M1123" s="301"/>
      <c r="N1123" s="336"/>
      <c r="O1123" s="301"/>
      <c r="P1123" s="336"/>
      <c r="Q1123" s="301"/>
      <c r="R1123" s="336"/>
      <c r="S1123" s="301"/>
      <c r="T1123" s="336"/>
    </row>
    <row r="1124" spans="1:20" ht="12" customHeight="1" x14ac:dyDescent="0.3">
      <c r="A1124" s="329" t="s">
        <v>289</v>
      </c>
      <c r="B1124" s="330">
        <v>3</v>
      </c>
      <c r="C1124" s="298">
        <v>46028</v>
      </c>
      <c r="D1124" s="299" t="s">
        <v>296</v>
      </c>
      <c r="E1124" s="331">
        <v>5.7</v>
      </c>
      <c r="F1124" s="331"/>
      <c r="G1124" s="333">
        <f t="shared" si="15"/>
        <v>-447.8599999999999</v>
      </c>
      <c r="H1124" s="334"/>
      <c r="I1124" s="335"/>
      <c r="J1124" s="336"/>
      <c r="K1124" s="301"/>
      <c r="L1124" s="336"/>
      <c r="M1124" s="301"/>
      <c r="N1124" s="336"/>
      <c r="O1124" s="301"/>
      <c r="P1124" s="336"/>
      <c r="Q1124" s="301"/>
      <c r="R1124" s="336"/>
      <c r="S1124" s="301"/>
      <c r="T1124" s="336"/>
    </row>
    <row r="1125" spans="1:20" ht="12" customHeight="1" x14ac:dyDescent="0.3">
      <c r="A1125" s="329" t="s">
        <v>294</v>
      </c>
      <c r="B1125" s="330">
        <v>21</v>
      </c>
      <c r="C1125" s="298">
        <v>46028</v>
      </c>
      <c r="D1125" s="299" t="s">
        <v>194</v>
      </c>
      <c r="E1125" s="331">
        <v>30.59</v>
      </c>
      <c r="F1125" s="331"/>
      <c r="G1125" s="333">
        <f t="shared" si="15"/>
        <v>-442.15999999999991</v>
      </c>
      <c r="H1125" s="334"/>
      <c r="I1125" s="335"/>
      <c r="J1125" s="336"/>
      <c r="K1125" s="301"/>
      <c r="L1125" s="336"/>
      <c r="M1125" s="301"/>
      <c r="N1125" s="336"/>
      <c r="O1125" s="301"/>
      <c r="P1125" s="336"/>
      <c r="Q1125" s="301"/>
      <c r="R1125" s="336"/>
      <c r="S1125" s="301"/>
      <c r="T1125" s="336"/>
    </row>
    <row r="1126" spans="1:20" ht="12" customHeight="1" x14ac:dyDescent="0.3">
      <c r="A1126" s="329" t="s">
        <v>294</v>
      </c>
      <c r="B1126" s="330">
        <v>17</v>
      </c>
      <c r="C1126" s="298">
        <v>46027</v>
      </c>
      <c r="D1126" s="299" t="s">
        <v>370</v>
      </c>
      <c r="E1126" s="331">
        <v>133.91999999999999</v>
      </c>
      <c r="F1126" s="331"/>
      <c r="G1126" s="333">
        <f t="shared" si="15"/>
        <v>-411.56999999999994</v>
      </c>
      <c r="H1126" s="334"/>
      <c r="I1126" s="335"/>
      <c r="J1126" s="336"/>
      <c r="K1126" s="301"/>
      <c r="L1126" s="336"/>
      <c r="M1126" s="301"/>
      <c r="N1126" s="336"/>
      <c r="O1126" s="301"/>
      <c r="P1126" s="336"/>
      <c r="Q1126" s="301"/>
      <c r="R1126" s="336"/>
      <c r="S1126" s="301"/>
      <c r="T1126" s="336"/>
    </row>
    <row r="1127" spans="1:20" ht="12" customHeight="1" x14ac:dyDescent="0.3">
      <c r="A1127" s="329" t="s">
        <v>294</v>
      </c>
      <c r="B1127" s="330">
        <v>17</v>
      </c>
      <c r="C1127" s="298">
        <v>46027</v>
      </c>
      <c r="D1127" s="299" t="s">
        <v>370</v>
      </c>
      <c r="E1127" s="331">
        <v>62</v>
      </c>
      <c r="F1127" s="331"/>
      <c r="G1127" s="333">
        <f t="shared" si="15"/>
        <v>-277.64999999999992</v>
      </c>
      <c r="H1127" s="334"/>
      <c r="I1127" s="335"/>
      <c r="J1127" s="336"/>
      <c r="K1127" s="301"/>
      <c r="L1127" s="336"/>
      <c r="M1127" s="301"/>
      <c r="N1127" s="336"/>
      <c r="O1127" s="301"/>
      <c r="P1127" s="336"/>
      <c r="Q1127" s="301"/>
      <c r="R1127" s="336"/>
      <c r="S1127" s="301"/>
      <c r="T1127" s="336"/>
    </row>
    <row r="1128" spans="1:20" ht="12" customHeight="1" x14ac:dyDescent="0.3">
      <c r="A1128" s="329" t="s">
        <v>289</v>
      </c>
      <c r="B1128" s="330">
        <v>6</v>
      </c>
      <c r="C1128" s="298">
        <v>46027</v>
      </c>
      <c r="D1128" s="299" t="s">
        <v>300</v>
      </c>
      <c r="E1128" s="331">
        <v>10.64</v>
      </c>
      <c r="F1128" s="331"/>
      <c r="G1128" s="333">
        <f t="shared" si="15"/>
        <v>-215.64999999999992</v>
      </c>
      <c r="H1128" s="334"/>
      <c r="I1128" s="335"/>
      <c r="J1128" s="336"/>
      <c r="K1128" s="301"/>
      <c r="L1128" s="336"/>
      <c r="M1128" s="301"/>
      <c r="N1128" s="336"/>
      <c r="O1128" s="301"/>
      <c r="P1128" s="336"/>
      <c r="Q1128" s="301"/>
      <c r="R1128" s="336"/>
      <c r="S1128" s="301"/>
      <c r="T1128" s="336"/>
    </row>
    <row r="1129" spans="1:20" ht="12" customHeight="1" x14ac:dyDescent="0.3">
      <c r="A1129" s="329" t="s">
        <v>289</v>
      </c>
      <c r="B1129" s="330">
        <v>8</v>
      </c>
      <c r="C1129" s="298">
        <v>46027</v>
      </c>
      <c r="D1129" s="299" t="s">
        <v>319</v>
      </c>
      <c r="E1129" s="331">
        <v>17.440000000000001</v>
      </c>
      <c r="F1129" s="331"/>
      <c r="G1129" s="333">
        <f t="shared" si="15"/>
        <v>-205.00999999999991</v>
      </c>
      <c r="H1129" s="334"/>
      <c r="I1129" s="335"/>
      <c r="J1129" s="336"/>
      <c r="K1129" s="301"/>
      <c r="L1129" s="336"/>
      <c r="M1129" s="301"/>
      <c r="N1129" s="336"/>
      <c r="O1129" s="301"/>
      <c r="P1129" s="336"/>
      <c r="Q1129" s="301"/>
      <c r="R1129" s="336"/>
      <c r="S1129" s="301"/>
      <c r="T1129" s="336"/>
    </row>
    <row r="1130" spans="1:20" ht="12" customHeight="1" x14ac:dyDescent="0.3">
      <c r="A1130" s="329" t="s">
        <v>289</v>
      </c>
      <c r="B1130" s="330">
        <v>1</v>
      </c>
      <c r="C1130" s="298">
        <v>46027</v>
      </c>
      <c r="D1130" s="299" t="s">
        <v>306</v>
      </c>
      <c r="E1130" s="331">
        <v>216.19</v>
      </c>
      <c r="F1130" s="331"/>
      <c r="G1130" s="333">
        <f t="shared" si="15"/>
        <v>-187.56999999999991</v>
      </c>
      <c r="H1130" s="334"/>
      <c r="I1130" s="335"/>
      <c r="J1130" s="336"/>
      <c r="K1130" s="301"/>
      <c r="L1130" s="336"/>
      <c r="M1130" s="301"/>
      <c r="N1130" s="336"/>
      <c r="O1130" s="301"/>
      <c r="P1130" s="336"/>
      <c r="Q1130" s="301"/>
      <c r="R1130" s="336"/>
      <c r="S1130" s="301"/>
      <c r="T1130" s="336"/>
    </row>
    <row r="1131" spans="1:20" ht="12" customHeight="1" x14ac:dyDescent="0.3">
      <c r="A1131" s="329" t="s">
        <v>289</v>
      </c>
      <c r="B1131" s="330">
        <v>2</v>
      </c>
      <c r="C1131" s="298">
        <v>46027</v>
      </c>
      <c r="D1131" s="299" t="s">
        <v>478</v>
      </c>
      <c r="E1131" s="331">
        <v>70</v>
      </c>
      <c r="F1131" s="331"/>
      <c r="G1131" s="333">
        <f t="shared" si="15"/>
        <v>28.62000000000009</v>
      </c>
      <c r="H1131" s="334"/>
      <c r="I1131" s="335"/>
      <c r="J1131" s="336"/>
      <c r="K1131" s="301"/>
      <c r="L1131" s="336"/>
      <c r="M1131" s="301"/>
      <c r="N1131" s="336"/>
      <c r="O1131" s="301"/>
      <c r="P1131" s="336"/>
      <c r="Q1131" s="301"/>
      <c r="R1131" s="336"/>
      <c r="S1131" s="301"/>
      <c r="T1131" s="336"/>
    </row>
    <row r="1132" spans="1:20" ht="12" customHeight="1" x14ac:dyDescent="0.3">
      <c r="A1132" s="329" t="s">
        <v>289</v>
      </c>
      <c r="B1132" s="330">
        <v>2</v>
      </c>
      <c r="C1132" s="298">
        <v>46027</v>
      </c>
      <c r="D1132" s="299" t="s">
        <v>358</v>
      </c>
      <c r="E1132" s="331">
        <v>14.05</v>
      </c>
      <c r="F1132" s="331"/>
      <c r="G1132" s="333">
        <f t="shared" si="15"/>
        <v>98.62000000000009</v>
      </c>
      <c r="H1132" s="334"/>
      <c r="I1132" s="335"/>
      <c r="J1132" s="336"/>
      <c r="K1132" s="301"/>
      <c r="L1132" s="336"/>
      <c r="M1132" s="301"/>
      <c r="N1132" s="336"/>
      <c r="O1132" s="301"/>
      <c r="P1132" s="336"/>
      <c r="Q1132" s="301"/>
      <c r="R1132" s="336"/>
      <c r="S1132" s="301"/>
      <c r="T1132" s="336"/>
    </row>
    <row r="1133" spans="1:20" ht="12" customHeight="1" x14ac:dyDescent="0.3">
      <c r="A1133" s="329" t="s">
        <v>294</v>
      </c>
      <c r="B1133" s="330">
        <v>14</v>
      </c>
      <c r="C1133" s="298">
        <v>46027</v>
      </c>
      <c r="D1133" s="299" t="s">
        <v>367</v>
      </c>
      <c r="E1133" s="331">
        <v>68.739999999999995</v>
      </c>
      <c r="F1133" s="331"/>
      <c r="G1133" s="333">
        <f t="shared" si="15"/>
        <v>112.67000000000009</v>
      </c>
      <c r="H1133" s="334"/>
      <c r="I1133" s="335"/>
      <c r="J1133" s="336"/>
      <c r="K1133" s="301"/>
      <c r="L1133" s="336"/>
      <c r="M1133" s="301"/>
      <c r="N1133" s="336"/>
      <c r="O1133" s="301"/>
      <c r="P1133" s="336"/>
      <c r="Q1133" s="301"/>
      <c r="R1133" s="336"/>
      <c r="S1133" s="301"/>
      <c r="T1133" s="336"/>
    </row>
    <row r="1134" spans="1:20" ht="12" customHeight="1" x14ac:dyDescent="0.3">
      <c r="A1134" s="329" t="s">
        <v>289</v>
      </c>
      <c r="B1134" s="330">
        <v>6</v>
      </c>
      <c r="C1134" s="298">
        <v>46027</v>
      </c>
      <c r="D1134" s="299" t="s">
        <v>479</v>
      </c>
      <c r="E1134" s="331">
        <v>120</v>
      </c>
      <c r="F1134" s="331"/>
      <c r="G1134" s="333">
        <f t="shared" si="15"/>
        <v>181.41000000000008</v>
      </c>
      <c r="H1134" s="334"/>
      <c r="I1134" s="335"/>
      <c r="J1134" s="336"/>
      <c r="K1134" s="301"/>
      <c r="L1134" s="336"/>
      <c r="M1134" s="301"/>
      <c r="N1134" s="336"/>
      <c r="O1134" s="301"/>
      <c r="P1134" s="336"/>
      <c r="Q1134" s="301"/>
      <c r="R1134" s="336"/>
      <c r="S1134" s="301"/>
      <c r="T1134" s="336"/>
    </row>
    <row r="1135" spans="1:20" ht="12" customHeight="1" x14ac:dyDescent="0.3">
      <c r="A1135" s="329" t="s">
        <v>294</v>
      </c>
      <c r="B1135" s="330">
        <v>9</v>
      </c>
      <c r="C1135" s="298">
        <v>46027</v>
      </c>
      <c r="D1135" s="299" t="s">
        <v>58</v>
      </c>
      <c r="E1135" s="331">
        <v>1281.53</v>
      </c>
      <c r="F1135" s="331"/>
      <c r="G1135" s="333">
        <f t="shared" si="15"/>
        <v>301.41000000000008</v>
      </c>
      <c r="H1135" s="334"/>
      <c r="I1135" s="335"/>
      <c r="J1135" s="336"/>
      <c r="K1135" s="301"/>
      <c r="L1135" s="336"/>
      <c r="M1135" s="301"/>
      <c r="N1135" s="336"/>
      <c r="O1135" s="301"/>
      <c r="P1135" s="336"/>
      <c r="Q1135" s="301"/>
      <c r="R1135" s="336"/>
      <c r="S1135" s="301"/>
      <c r="T1135" s="336"/>
    </row>
    <row r="1136" spans="1:20" ht="12" customHeight="1" x14ac:dyDescent="0.3">
      <c r="A1136" s="329" t="s">
        <v>289</v>
      </c>
      <c r="B1136" s="330">
        <v>7</v>
      </c>
      <c r="C1136" s="298">
        <v>46026</v>
      </c>
      <c r="D1136" s="299" t="s">
        <v>338</v>
      </c>
      <c r="E1136" s="331">
        <v>18.260000000000002</v>
      </c>
      <c r="F1136" s="331"/>
      <c r="G1136" s="333">
        <f t="shared" si="15"/>
        <v>1582.94</v>
      </c>
      <c r="H1136" s="334"/>
      <c r="I1136" s="335"/>
      <c r="J1136" s="336"/>
      <c r="K1136" s="301"/>
      <c r="L1136" s="336"/>
      <c r="M1136" s="301"/>
      <c r="N1136" s="336"/>
      <c r="O1136" s="301"/>
      <c r="P1136" s="336"/>
      <c r="Q1136" s="301"/>
      <c r="R1136" s="336"/>
      <c r="S1136" s="301"/>
      <c r="T1136" s="336"/>
    </row>
    <row r="1137" spans="1:20" ht="12" customHeight="1" x14ac:dyDescent="0.3">
      <c r="A1137" s="329" t="s">
        <v>287</v>
      </c>
      <c r="B1137" s="330" t="s">
        <v>287</v>
      </c>
      <c r="C1137" s="298">
        <v>46026</v>
      </c>
      <c r="D1137" s="299" t="s">
        <v>300</v>
      </c>
      <c r="E1137" s="331">
        <v>114.91</v>
      </c>
      <c r="F1137" s="331">
        <v>114.91</v>
      </c>
      <c r="G1137" s="333">
        <f t="shared" si="15"/>
        <v>1601.2</v>
      </c>
      <c r="H1137" s="334"/>
      <c r="I1137" s="335"/>
      <c r="J1137" s="336"/>
      <c r="K1137" s="301"/>
      <c r="L1137" s="336"/>
      <c r="M1137" s="301"/>
      <c r="N1137" s="336"/>
      <c r="O1137" s="301"/>
      <c r="P1137" s="336"/>
      <c r="Q1137" s="301"/>
      <c r="R1137" s="336"/>
      <c r="S1137" s="301"/>
      <c r="T1137" s="336"/>
    </row>
    <row r="1138" spans="1:20" ht="12" customHeight="1" x14ac:dyDescent="0.3">
      <c r="A1138" s="329" t="s">
        <v>289</v>
      </c>
      <c r="B1138" s="330">
        <v>5</v>
      </c>
      <c r="C1138" s="298">
        <v>46026</v>
      </c>
      <c r="D1138" s="299" t="s">
        <v>480</v>
      </c>
      <c r="E1138" s="331">
        <v>42.43</v>
      </c>
      <c r="F1138" s="331"/>
      <c r="G1138" s="333">
        <f t="shared" si="15"/>
        <v>1601.2</v>
      </c>
      <c r="H1138" s="334"/>
      <c r="I1138" s="335"/>
      <c r="J1138" s="336"/>
      <c r="K1138" s="301"/>
      <c r="L1138" s="336"/>
      <c r="M1138" s="301"/>
      <c r="N1138" s="336"/>
      <c r="O1138" s="301"/>
      <c r="P1138" s="336"/>
      <c r="Q1138" s="301"/>
      <c r="R1138" s="336"/>
      <c r="S1138" s="301"/>
      <c r="T1138" s="336"/>
    </row>
    <row r="1139" spans="1:20" ht="12" customHeight="1" x14ac:dyDescent="0.3">
      <c r="A1139" s="329" t="s">
        <v>289</v>
      </c>
      <c r="B1139" s="330">
        <v>7</v>
      </c>
      <c r="C1139" s="298">
        <v>46026</v>
      </c>
      <c r="D1139" s="299" t="s">
        <v>300</v>
      </c>
      <c r="E1139" s="331">
        <v>42.59</v>
      </c>
      <c r="F1139" s="331"/>
      <c r="G1139" s="333">
        <f t="shared" si="15"/>
        <v>1643.63</v>
      </c>
      <c r="H1139" s="334"/>
      <c r="I1139" s="335"/>
      <c r="J1139" s="336"/>
      <c r="K1139" s="301"/>
      <c r="L1139" s="336"/>
      <c r="M1139" s="301"/>
      <c r="N1139" s="336"/>
      <c r="O1139" s="301"/>
      <c r="P1139" s="336"/>
      <c r="Q1139" s="301"/>
      <c r="R1139" s="336"/>
      <c r="S1139" s="301"/>
      <c r="T1139" s="336"/>
    </row>
    <row r="1140" spans="1:20" ht="12" customHeight="1" x14ac:dyDescent="0.3">
      <c r="A1140" s="329" t="s">
        <v>289</v>
      </c>
      <c r="B1140" s="330">
        <v>3</v>
      </c>
      <c r="C1140" s="298">
        <v>46025</v>
      </c>
      <c r="D1140" s="299" t="s">
        <v>348</v>
      </c>
      <c r="E1140" s="331">
        <v>14.57</v>
      </c>
      <c r="F1140" s="331"/>
      <c r="G1140" s="333">
        <f t="shared" si="15"/>
        <v>1686.22</v>
      </c>
      <c r="H1140" s="334"/>
      <c r="I1140" s="335"/>
      <c r="J1140" s="336"/>
      <c r="K1140" s="301"/>
      <c r="L1140" s="336"/>
      <c r="M1140" s="301"/>
      <c r="N1140" s="336"/>
      <c r="O1140" s="301"/>
      <c r="P1140" s="336"/>
      <c r="Q1140" s="301"/>
      <c r="R1140" s="336"/>
      <c r="S1140" s="301"/>
      <c r="T1140" s="336"/>
    </row>
    <row r="1141" spans="1:20" ht="12" customHeight="1" x14ac:dyDescent="0.3">
      <c r="A1141" s="329" t="s">
        <v>289</v>
      </c>
      <c r="B1141" s="330">
        <v>2</v>
      </c>
      <c r="C1141" s="298">
        <v>46025</v>
      </c>
      <c r="D1141" s="299" t="s">
        <v>481</v>
      </c>
      <c r="E1141" s="331">
        <v>41.05</v>
      </c>
      <c r="F1141" s="331"/>
      <c r="G1141" s="333">
        <f t="shared" si="15"/>
        <v>1700.79</v>
      </c>
      <c r="H1141" s="334"/>
      <c r="I1141" s="335"/>
      <c r="J1141" s="336"/>
      <c r="K1141" s="301"/>
      <c r="L1141" s="336"/>
      <c r="M1141" s="301"/>
      <c r="N1141" s="336"/>
      <c r="O1141" s="301"/>
      <c r="P1141" s="336"/>
      <c r="Q1141" s="301"/>
      <c r="R1141" s="336"/>
      <c r="S1141" s="301"/>
      <c r="T1141" s="336"/>
    </row>
    <row r="1142" spans="1:20" ht="12" customHeight="1" x14ac:dyDescent="0.3">
      <c r="A1142" s="329" t="s">
        <v>289</v>
      </c>
      <c r="B1142" s="330">
        <v>4</v>
      </c>
      <c r="C1142" s="298">
        <v>46025</v>
      </c>
      <c r="D1142" s="299" t="s">
        <v>310</v>
      </c>
      <c r="E1142" s="331">
        <v>26.88</v>
      </c>
      <c r="F1142" s="331"/>
      <c r="G1142" s="333">
        <f t="shared" si="15"/>
        <v>1741.84</v>
      </c>
      <c r="H1142" s="334"/>
      <c r="I1142" s="335"/>
      <c r="J1142" s="336"/>
      <c r="K1142" s="301"/>
      <c r="L1142" s="336"/>
      <c r="M1142" s="301"/>
      <c r="N1142" s="336"/>
      <c r="O1142" s="301"/>
      <c r="P1142" s="336"/>
      <c r="Q1142" s="301"/>
      <c r="R1142" s="336"/>
      <c r="S1142" s="301"/>
      <c r="T1142" s="336"/>
    </row>
    <row r="1143" spans="1:20" ht="12" customHeight="1" x14ac:dyDescent="0.3">
      <c r="A1143" s="329" t="s">
        <v>289</v>
      </c>
      <c r="B1143" s="330">
        <v>2</v>
      </c>
      <c r="C1143" s="298">
        <v>46025</v>
      </c>
      <c r="D1143" s="299" t="s">
        <v>308</v>
      </c>
      <c r="E1143" s="331">
        <v>130.08000000000001</v>
      </c>
      <c r="F1143" s="331"/>
      <c r="G1143" s="333">
        <f t="shared" si="15"/>
        <v>1768.72</v>
      </c>
      <c r="H1143" s="334"/>
      <c r="I1143" s="335"/>
      <c r="J1143" s="336"/>
      <c r="K1143" s="301"/>
      <c r="L1143" s="336"/>
      <c r="M1143" s="301"/>
      <c r="N1143" s="336"/>
      <c r="O1143" s="301"/>
      <c r="P1143" s="336"/>
      <c r="Q1143" s="301"/>
      <c r="R1143" s="336"/>
      <c r="S1143" s="301"/>
      <c r="T1143" s="336"/>
    </row>
    <row r="1144" spans="1:20" ht="12" customHeight="1" x14ac:dyDescent="0.3">
      <c r="A1144" s="329" t="s">
        <v>289</v>
      </c>
      <c r="B1144" s="330">
        <v>7</v>
      </c>
      <c r="C1144" s="298">
        <v>46025</v>
      </c>
      <c r="D1144" s="299" t="s">
        <v>482</v>
      </c>
      <c r="E1144" s="331">
        <v>222.49</v>
      </c>
      <c r="F1144" s="331"/>
      <c r="G1144" s="333">
        <f t="shared" si="15"/>
        <v>1898.8</v>
      </c>
      <c r="H1144" s="334"/>
      <c r="I1144" s="335"/>
      <c r="J1144" s="336"/>
      <c r="K1144" s="301"/>
      <c r="L1144" s="336"/>
      <c r="M1144" s="301"/>
      <c r="N1144" s="336"/>
      <c r="O1144" s="301"/>
      <c r="P1144" s="336"/>
      <c r="Q1144" s="301"/>
      <c r="R1144" s="336"/>
      <c r="S1144" s="301"/>
      <c r="T1144" s="336"/>
    </row>
    <row r="1145" spans="1:20" ht="12" customHeight="1" x14ac:dyDescent="0.3">
      <c r="A1145" s="329" t="s">
        <v>289</v>
      </c>
      <c r="B1145" s="330">
        <v>7</v>
      </c>
      <c r="C1145" s="298">
        <v>46025</v>
      </c>
      <c r="D1145" s="299" t="s">
        <v>482</v>
      </c>
      <c r="E1145" s="331">
        <v>99.18</v>
      </c>
      <c r="F1145" s="331"/>
      <c r="G1145" s="333">
        <f t="shared" si="15"/>
        <v>2121.29</v>
      </c>
      <c r="H1145" s="334"/>
      <c r="I1145" s="335"/>
      <c r="J1145" s="336"/>
      <c r="K1145" s="301"/>
      <c r="L1145" s="336"/>
      <c r="M1145" s="301"/>
      <c r="N1145" s="336"/>
      <c r="O1145" s="301"/>
      <c r="P1145" s="336"/>
      <c r="Q1145" s="301"/>
      <c r="R1145" s="336"/>
      <c r="S1145" s="301"/>
      <c r="T1145" s="336"/>
    </row>
    <row r="1146" spans="1:20" ht="12" customHeight="1" x14ac:dyDescent="0.3">
      <c r="A1146" s="329" t="s">
        <v>289</v>
      </c>
      <c r="B1146" s="330">
        <v>5</v>
      </c>
      <c r="C1146" s="298">
        <v>46024</v>
      </c>
      <c r="D1146" s="299" t="s">
        <v>483</v>
      </c>
      <c r="E1146" s="331">
        <v>35</v>
      </c>
      <c r="F1146" s="331"/>
      <c r="G1146" s="333">
        <f t="shared" si="15"/>
        <v>2220.4699999999998</v>
      </c>
      <c r="H1146" s="334"/>
      <c r="I1146" s="335"/>
      <c r="J1146" s="336"/>
      <c r="K1146" s="301"/>
      <c r="L1146" s="336"/>
      <c r="M1146" s="301"/>
      <c r="N1146" s="336"/>
      <c r="O1146" s="301"/>
      <c r="P1146" s="336"/>
      <c r="Q1146" s="301"/>
      <c r="R1146" s="336"/>
      <c r="S1146" s="301"/>
      <c r="T1146" s="336"/>
    </row>
    <row r="1147" spans="1:20" ht="12" customHeight="1" x14ac:dyDescent="0.3">
      <c r="A1147" s="329" t="s">
        <v>289</v>
      </c>
      <c r="B1147" s="330">
        <v>3</v>
      </c>
      <c r="C1147" s="298">
        <v>46024</v>
      </c>
      <c r="D1147" s="299" t="s">
        <v>296</v>
      </c>
      <c r="E1147" s="331">
        <v>15.11</v>
      </c>
      <c r="F1147" s="331"/>
      <c r="G1147" s="333">
        <f t="shared" si="15"/>
        <v>2255.4699999999998</v>
      </c>
      <c r="H1147" s="334"/>
      <c r="I1147" s="335"/>
      <c r="J1147" s="336"/>
      <c r="K1147" s="301"/>
      <c r="L1147" s="336"/>
      <c r="M1147" s="301"/>
      <c r="N1147" s="336"/>
      <c r="O1147" s="301"/>
      <c r="P1147" s="336"/>
      <c r="Q1147" s="301"/>
      <c r="R1147" s="336"/>
      <c r="S1147" s="301"/>
      <c r="T1147" s="336"/>
    </row>
    <row r="1148" spans="1:20" ht="12" customHeight="1" x14ac:dyDescent="0.3">
      <c r="A1148" s="329" t="s">
        <v>289</v>
      </c>
      <c r="B1148" s="330">
        <v>5</v>
      </c>
      <c r="C1148" s="298">
        <v>46024</v>
      </c>
      <c r="D1148" s="299" t="s">
        <v>484</v>
      </c>
      <c r="E1148" s="331">
        <v>29.67</v>
      </c>
      <c r="F1148" s="331"/>
      <c r="G1148" s="333">
        <f t="shared" si="15"/>
        <v>2270.58</v>
      </c>
      <c r="H1148" s="334"/>
      <c r="I1148" s="335"/>
      <c r="J1148" s="336"/>
      <c r="K1148" s="301"/>
      <c r="L1148" s="336"/>
      <c r="M1148" s="301"/>
      <c r="N1148" s="336"/>
      <c r="O1148" s="301"/>
      <c r="P1148" s="336"/>
      <c r="Q1148" s="301"/>
      <c r="R1148" s="336"/>
      <c r="S1148" s="301"/>
      <c r="T1148" s="336"/>
    </row>
    <row r="1149" spans="1:20" ht="12" customHeight="1" x14ac:dyDescent="0.3">
      <c r="A1149" s="329" t="s">
        <v>287</v>
      </c>
      <c r="B1149" s="330" t="s">
        <v>287</v>
      </c>
      <c r="C1149" s="298">
        <v>46024</v>
      </c>
      <c r="D1149" s="299" t="s">
        <v>397</v>
      </c>
      <c r="E1149" s="331">
        <v>70.56</v>
      </c>
      <c r="F1149" s="331">
        <v>70.56</v>
      </c>
      <c r="G1149" s="333">
        <f t="shared" si="15"/>
        <v>2300.25</v>
      </c>
      <c r="H1149" s="334"/>
      <c r="I1149" s="335"/>
      <c r="J1149" s="336"/>
      <c r="K1149" s="301"/>
      <c r="L1149" s="336"/>
      <c r="M1149" s="301"/>
      <c r="N1149" s="336"/>
      <c r="O1149" s="301"/>
      <c r="P1149" s="336"/>
      <c r="Q1149" s="301"/>
      <c r="R1149" s="336"/>
      <c r="S1149" s="301"/>
      <c r="T1149" s="336"/>
    </row>
    <row r="1150" spans="1:20" ht="12" customHeight="1" x14ac:dyDescent="0.3">
      <c r="A1150" s="329" t="s">
        <v>287</v>
      </c>
      <c r="B1150" s="330" t="s">
        <v>287</v>
      </c>
      <c r="C1150" s="298">
        <v>46024</v>
      </c>
      <c r="D1150" s="299" t="s">
        <v>485</v>
      </c>
      <c r="E1150" s="331">
        <v>113.94</v>
      </c>
      <c r="F1150" s="331">
        <v>113.94</v>
      </c>
      <c r="G1150" s="333">
        <f t="shared" si="15"/>
        <v>2300.25</v>
      </c>
      <c r="H1150" s="334"/>
      <c r="I1150" s="335"/>
      <c r="J1150" s="336"/>
      <c r="K1150" s="301"/>
      <c r="L1150" s="336"/>
      <c r="M1150" s="301"/>
      <c r="N1150" s="336"/>
      <c r="O1150" s="301"/>
      <c r="P1150" s="336"/>
      <c r="Q1150" s="301"/>
      <c r="R1150" s="336"/>
      <c r="S1150" s="301"/>
      <c r="T1150" s="336"/>
    </row>
    <row r="1151" spans="1:20" ht="12" customHeight="1" x14ac:dyDescent="0.3">
      <c r="A1151" s="329" t="s">
        <v>289</v>
      </c>
      <c r="B1151" s="330">
        <v>2</v>
      </c>
      <c r="C1151" s="298">
        <v>46024</v>
      </c>
      <c r="D1151" s="299" t="s">
        <v>371</v>
      </c>
      <c r="E1151" s="331">
        <v>11.9</v>
      </c>
      <c r="F1151" s="331"/>
      <c r="G1151" s="333">
        <f t="shared" si="15"/>
        <v>2300.25</v>
      </c>
      <c r="H1151" s="334"/>
      <c r="I1151" s="335"/>
      <c r="J1151" s="336"/>
      <c r="K1151" s="301"/>
      <c r="L1151" s="336"/>
      <c r="M1151" s="301"/>
      <c r="N1151" s="336"/>
      <c r="O1151" s="301"/>
      <c r="P1151" s="336"/>
      <c r="Q1151" s="301"/>
      <c r="R1151" s="336"/>
      <c r="S1151" s="301"/>
      <c r="T1151" s="336"/>
    </row>
    <row r="1152" spans="1:20" ht="12" customHeight="1" x14ac:dyDescent="0.3">
      <c r="A1152" s="329" t="s">
        <v>289</v>
      </c>
      <c r="B1152" s="330">
        <v>2</v>
      </c>
      <c r="C1152" s="298">
        <v>46024</v>
      </c>
      <c r="D1152" s="299" t="s">
        <v>408</v>
      </c>
      <c r="E1152" s="331">
        <v>23.9</v>
      </c>
      <c r="F1152" s="331"/>
      <c r="G1152" s="333">
        <f t="shared" si="15"/>
        <v>2312.15</v>
      </c>
      <c r="H1152" s="334"/>
      <c r="I1152" s="335"/>
      <c r="J1152" s="336"/>
      <c r="K1152" s="301"/>
      <c r="L1152" s="336"/>
      <c r="M1152" s="301"/>
      <c r="N1152" s="336"/>
      <c r="O1152" s="301"/>
      <c r="P1152" s="336"/>
      <c r="Q1152" s="301"/>
      <c r="R1152" s="336"/>
      <c r="S1152" s="301"/>
      <c r="T1152" s="336"/>
    </row>
    <row r="1153" spans="1:20" ht="12" customHeight="1" x14ac:dyDescent="0.3">
      <c r="A1153" s="329" t="s">
        <v>289</v>
      </c>
      <c r="B1153" s="330">
        <v>5</v>
      </c>
      <c r="C1153" s="298">
        <v>46024</v>
      </c>
      <c r="D1153" s="299" t="s">
        <v>486</v>
      </c>
      <c r="E1153" s="331">
        <v>160</v>
      </c>
      <c r="F1153" s="331"/>
      <c r="G1153" s="333">
        <f t="shared" si="15"/>
        <v>2336.0500000000002</v>
      </c>
      <c r="H1153" s="334"/>
      <c r="I1153" s="335"/>
      <c r="J1153" s="336"/>
      <c r="K1153" s="301"/>
      <c r="L1153" s="336"/>
      <c r="M1153" s="301"/>
      <c r="N1153" s="336"/>
      <c r="O1153" s="301"/>
      <c r="P1153" s="336"/>
      <c r="Q1153" s="301"/>
      <c r="R1153" s="336"/>
      <c r="S1153" s="301"/>
      <c r="T1153" s="336"/>
    </row>
    <row r="1154" spans="1:20" ht="12" customHeight="1" x14ac:dyDescent="0.3">
      <c r="A1154" s="329" t="s">
        <v>284</v>
      </c>
      <c r="B1154" s="330">
        <v>36</v>
      </c>
      <c r="C1154" s="298">
        <v>46024</v>
      </c>
      <c r="D1154" s="299" t="s">
        <v>374</v>
      </c>
      <c r="E1154" s="331">
        <v>50</v>
      </c>
      <c r="F1154" s="331"/>
      <c r="G1154" s="333">
        <f t="shared" si="15"/>
        <v>2496.0500000000002</v>
      </c>
      <c r="H1154" s="334"/>
      <c r="I1154" s="335"/>
      <c r="J1154" s="336"/>
      <c r="K1154" s="301"/>
      <c r="L1154" s="336"/>
      <c r="M1154" s="301"/>
      <c r="N1154" s="336"/>
      <c r="O1154" s="301"/>
      <c r="P1154" s="336"/>
      <c r="Q1154" s="301"/>
      <c r="R1154" s="336"/>
      <c r="S1154" s="301"/>
      <c r="T1154" s="336"/>
    </row>
    <row r="1155" spans="1:20" ht="12" customHeight="1" x14ac:dyDescent="0.3">
      <c r="A1155" s="329" t="s">
        <v>289</v>
      </c>
      <c r="B1155" s="330">
        <v>6</v>
      </c>
      <c r="C1155" s="298">
        <v>46023</v>
      </c>
      <c r="D1155" s="299" t="s">
        <v>312</v>
      </c>
      <c r="E1155" s="331">
        <v>8</v>
      </c>
      <c r="F1155" s="331"/>
      <c r="G1155" s="333">
        <f t="shared" si="15"/>
        <v>2546.0500000000002</v>
      </c>
      <c r="H1155" s="334"/>
      <c r="I1155" s="335"/>
      <c r="J1155" s="336"/>
      <c r="K1155" s="301"/>
      <c r="L1155" s="336"/>
      <c r="M1155" s="301"/>
      <c r="N1155" s="336"/>
      <c r="O1155" s="301"/>
      <c r="P1155" s="336"/>
      <c r="Q1155" s="301"/>
      <c r="R1155" s="336"/>
      <c r="S1155" s="301"/>
      <c r="T1155" s="336"/>
    </row>
    <row r="1156" spans="1:20" ht="12" customHeight="1" x14ac:dyDescent="0.3">
      <c r="A1156" s="329" t="s">
        <v>289</v>
      </c>
      <c r="B1156" s="330">
        <v>2</v>
      </c>
      <c r="C1156" s="298">
        <v>46023</v>
      </c>
      <c r="D1156" s="299" t="s">
        <v>371</v>
      </c>
      <c r="E1156" s="331">
        <v>13.06</v>
      </c>
      <c r="F1156" s="331"/>
      <c r="G1156" s="333">
        <f t="shared" si="15"/>
        <v>2554.0500000000002</v>
      </c>
      <c r="H1156" s="334"/>
      <c r="I1156" s="335"/>
      <c r="J1156" s="336"/>
      <c r="K1156" s="301"/>
      <c r="L1156" s="336"/>
      <c r="M1156" s="301"/>
      <c r="N1156" s="336"/>
      <c r="O1156" s="301"/>
      <c r="P1156" s="336"/>
      <c r="Q1156" s="301"/>
      <c r="R1156" s="336"/>
      <c r="S1156" s="301"/>
      <c r="T1156" s="336"/>
    </row>
    <row r="1157" spans="1:20" ht="12" customHeight="1" x14ac:dyDescent="0.3">
      <c r="A1157" s="329" t="s">
        <v>294</v>
      </c>
      <c r="B1157" s="330">
        <v>22</v>
      </c>
      <c r="C1157" s="298">
        <v>46023</v>
      </c>
      <c r="D1157" s="299" t="s">
        <v>375</v>
      </c>
      <c r="E1157" s="331">
        <v>6.37</v>
      </c>
      <c r="F1157" s="331"/>
      <c r="G1157" s="333">
        <f t="shared" si="15"/>
        <v>2567.11</v>
      </c>
      <c r="H1157" s="334"/>
      <c r="I1157" s="335"/>
      <c r="J1157" s="336"/>
      <c r="K1157" s="301"/>
      <c r="L1157" s="336"/>
      <c r="M1157" s="301"/>
      <c r="N1157" s="336"/>
      <c r="O1157" s="301"/>
      <c r="P1157" s="336"/>
      <c r="Q1157" s="301"/>
      <c r="R1157" s="336"/>
      <c r="S1157" s="301"/>
      <c r="T1157" s="336"/>
    </row>
    <row r="1158" spans="1:20" ht="12" customHeight="1" x14ac:dyDescent="0.3">
      <c r="A1158" s="329" t="s">
        <v>289</v>
      </c>
      <c r="B1158" s="330">
        <v>2</v>
      </c>
      <c r="C1158" s="298">
        <v>46023</v>
      </c>
      <c r="D1158" s="299" t="s">
        <v>358</v>
      </c>
      <c r="E1158" s="331">
        <v>10.27</v>
      </c>
      <c r="F1158" s="331"/>
      <c r="G1158" s="333">
        <f t="shared" si="15"/>
        <v>2573.48</v>
      </c>
      <c r="H1158" s="334"/>
      <c r="I1158" s="335"/>
      <c r="J1158" s="336"/>
      <c r="K1158" s="301"/>
      <c r="L1158" s="336"/>
      <c r="M1158" s="301"/>
      <c r="N1158" s="336"/>
      <c r="O1158" s="301"/>
      <c r="P1158" s="336"/>
      <c r="Q1158" s="301"/>
      <c r="R1158" s="336"/>
      <c r="S1158" s="301"/>
      <c r="T1158" s="336"/>
    </row>
    <row r="1159" spans="1:20" ht="12" customHeight="1" x14ac:dyDescent="0.3">
      <c r="A1159" s="329" t="s">
        <v>289</v>
      </c>
      <c r="B1159" s="330">
        <v>6</v>
      </c>
      <c r="C1159" s="298">
        <v>46023</v>
      </c>
      <c r="D1159" s="299" t="s">
        <v>487</v>
      </c>
      <c r="E1159" s="331">
        <v>176.57</v>
      </c>
      <c r="F1159" s="331"/>
      <c r="G1159" s="333">
        <f t="shared" si="15"/>
        <v>2583.75</v>
      </c>
      <c r="H1159" s="334"/>
      <c r="I1159" s="335"/>
      <c r="J1159" s="336"/>
      <c r="K1159" s="301"/>
      <c r="L1159" s="336"/>
      <c r="M1159" s="301"/>
      <c r="N1159" s="336"/>
      <c r="O1159" s="301"/>
      <c r="P1159" s="336"/>
      <c r="Q1159" s="301"/>
      <c r="R1159" s="336"/>
      <c r="S1159" s="301"/>
      <c r="T1159" s="336"/>
    </row>
    <row r="1160" spans="1:20" ht="12" customHeight="1" x14ac:dyDescent="0.3">
      <c r="A1160" s="329" t="s">
        <v>287</v>
      </c>
      <c r="B1160" s="330" t="s">
        <v>287</v>
      </c>
      <c r="C1160" s="298">
        <v>46023</v>
      </c>
      <c r="D1160" s="299" t="s">
        <v>300</v>
      </c>
      <c r="E1160" s="331">
        <v>383.39</v>
      </c>
      <c r="F1160" s="331">
        <v>383.39</v>
      </c>
      <c r="G1160" s="333">
        <f t="shared" si="15"/>
        <v>2760.32</v>
      </c>
      <c r="H1160" s="334"/>
      <c r="I1160" s="335"/>
      <c r="J1160" s="336"/>
      <c r="K1160" s="301"/>
      <c r="L1160" s="336"/>
      <c r="M1160" s="301"/>
      <c r="N1160" s="336"/>
      <c r="O1160" s="301"/>
      <c r="P1160" s="336"/>
      <c r="Q1160" s="301"/>
      <c r="R1160" s="336"/>
      <c r="S1160" s="301"/>
      <c r="T1160" s="336"/>
    </row>
    <row r="1161" spans="1:20" ht="12" customHeight="1" x14ac:dyDescent="0.3">
      <c r="A1161" s="329" t="s">
        <v>287</v>
      </c>
      <c r="B1161" s="330" t="s">
        <v>287</v>
      </c>
      <c r="C1161" s="298">
        <v>46023</v>
      </c>
      <c r="D1161" s="299" t="s">
        <v>300</v>
      </c>
      <c r="E1161" s="331">
        <v>53.24</v>
      </c>
      <c r="F1161" s="331">
        <v>53.24</v>
      </c>
      <c r="G1161" s="333">
        <f t="shared" si="15"/>
        <v>2760.32</v>
      </c>
      <c r="H1161" s="334"/>
      <c r="I1161" s="335"/>
      <c r="J1161" s="336"/>
      <c r="K1161" s="301"/>
      <c r="L1161" s="336"/>
      <c r="M1161" s="301"/>
      <c r="N1161" s="336"/>
      <c r="O1161" s="301"/>
      <c r="P1161" s="336"/>
      <c r="Q1161" s="301"/>
      <c r="R1161" s="336"/>
      <c r="S1161" s="301"/>
      <c r="T1161" s="336"/>
    </row>
    <row r="1162" spans="1:20" ht="12" customHeight="1" x14ac:dyDescent="0.3">
      <c r="A1162" s="329" t="s">
        <v>335</v>
      </c>
      <c r="B1162" s="330" t="s">
        <v>335</v>
      </c>
      <c r="C1162" s="298">
        <v>46023</v>
      </c>
      <c r="D1162" s="337" t="s">
        <v>460</v>
      </c>
      <c r="E1162" s="331">
        <v>239.68</v>
      </c>
      <c r="F1162" s="331"/>
      <c r="G1162" s="333">
        <f t="shared" si="15"/>
        <v>2760.32</v>
      </c>
      <c r="H1162" s="334"/>
      <c r="I1162" s="335"/>
      <c r="J1162" s="336"/>
      <c r="K1162" s="301"/>
      <c r="L1162" s="336"/>
      <c r="M1162" s="301"/>
      <c r="N1162" s="336"/>
      <c r="O1162" s="301"/>
      <c r="P1162" s="336"/>
      <c r="Q1162" s="301"/>
      <c r="R1162" s="336"/>
      <c r="S1162" s="301"/>
      <c r="T1162" s="336"/>
    </row>
    <row r="1163" spans="1:20" ht="12" customHeight="1" x14ac:dyDescent="0.3">
      <c r="A1163" s="329" t="s">
        <v>488</v>
      </c>
      <c r="B1163" s="330" t="s">
        <v>488</v>
      </c>
      <c r="C1163" s="298">
        <v>45658</v>
      </c>
      <c r="D1163" s="298" t="s">
        <v>489</v>
      </c>
      <c r="E1163" s="332"/>
      <c r="F1163" s="332"/>
      <c r="G1163" s="333">
        <v>3000</v>
      </c>
      <c r="H1163" s="334"/>
      <c r="I1163" s="335"/>
      <c r="J1163" s="336"/>
      <c r="K1163" s="301"/>
      <c r="L1163" s="336"/>
      <c r="M1163" s="301"/>
      <c r="N1163" s="336"/>
      <c r="O1163" s="301"/>
      <c r="P1163" s="336"/>
      <c r="Q1163" s="301"/>
      <c r="R1163" s="336"/>
      <c r="S1163" s="301"/>
      <c r="T1163" s="336"/>
    </row>
    <row r="1164" spans="1:20" ht="15.75" customHeight="1" x14ac:dyDescent="0.3"/>
    <row r="1165" spans="1:20" ht="15.75" customHeight="1" x14ac:dyDescent="0.3"/>
    <row r="1166" spans="1:20" ht="15.75" customHeight="1" x14ac:dyDescent="0.3"/>
    <row r="1167" spans="1:20" ht="15.75" customHeight="1" x14ac:dyDescent="0.3"/>
    <row r="1168" spans="1:20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ht="15.75" customHeight="1" x14ac:dyDescent="0.3"/>
    <row r="2562" ht="15.75" customHeight="1" x14ac:dyDescent="0.3"/>
    <row r="2563" ht="15.75" customHeight="1" x14ac:dyDescent="0.3"/>
    <row r="2564" ht="15.75" customHeight="1" x14ac:dyDescent="0.3"/>
    <row r="2565" ht="15.75" customHeight="1" x14ac:dyDescent="0.3"/>
    <row r="2566" ht="15.75" customHeight="1" x14ac:dyDescent="0.3"/>
    <row r="2567" ht="15.75" customHeight="1" x14ac:dyDescent="0.3"/>
    <row r="2568" ht="15.75" customHeight="1" x14ac:dyDescent="0.3"/>
    <row r="2569" ht="15.75" customHeight="1" x14ac:dyDescent="0.3"/>
    <row r="2570" ht="15.75" customHeight="1" x14ac:dyDescent="0.3"/>
    <row r="2571" ht="15.75" customHeight="1" x14ac:dyDescent="0.3"/>
    <row r="2572" ht="15.75" customHeight="1" x14ac:dyDescent="0.3"/>
    <row r="2573" ht="15.75" customHeight="1" x14ac:dyDescent="0.3"/>
    <row r="2574" ht="15.75" customHeight="1" x14ac:dyDescent="0.3"/>
    <row r="2575" ht="15.75" customHeight="1" x14ac:dyDescent="0.3"/>
    <row r="2576" ht="15.75" customHeight="1" x14ac:dyDescent="0.3"/>
    <row r="2577" ht="15.75" customHeight="1" x14ac:dyDescent="0.3"/>
    <row r="2578" ht="15.75" customHeight="1" x14ac:dyDescent="0.3"/>
    <row r="2579" ht="15.75" customHeight="1" x14ac:dyDescent="0.3"/>
    <row r="2580" ht="15.75" customHeight="1" x14ac:dyDescent="0.3"/>
    <row r="2581" ht="15.75" customHeight="1" x14ac:dyDescent="0.3"/>
    <row r="2582" ht="15.75" customHeight="1" x14ac:dyDescent="0.3"/>
    <row r="2583" ht="15.75" customHeight="1" x14ac:dyDescent="0.3"/>
    <row r="2584" ht="15.75" customHeight="1" x14ac:dyDescent="0.3"/>
    <row r="2585" ht="15.75" customHeight="1" x14ac:dyDescent="0.3"/>
    <row r="2586" ht="15.75" customHeight="1" x14ac:dyDescent="0.3"/>
    <row r="2587" ht="15.75" customHeight="1" x14ac:dyDescent="0.3"/>
    <row r="2588" ht="15.75" customHeight="1" x14ac:dyDescent="0.3"/>
    <row r="2589" ht="15.75" customHeight="1" x14ac:dyDescent="0.3"/>
    <row r="2590" ht="15.75" customHeight="1" x14ac:dyDescent="0.3"/>
    <row r="2591" ht="15.75" customHeight="1" x14ac:dyDescent="0.3"/>
    <row r="2592" ht="15.75" customHeight="1" x14ac:dyDescent="0.3"/>
    <row r="2593" ht="15.75" customHeight="1" x14ac:dyDescent="0.3"/>
    <row r="2594" ht="15.75" customHeight="1" x14ac:dyDescent="0.3"/>
    <row r="2595" ht="15.75" customHeight="1" x14ac:dyDescent="0.3"/>
    <row r="2596" ht="15.75" customHeight="1" x14ac:dyDescent="0.3"/>
    <row r="2597" ht="15.75" customHeight="1" x14ac:dyDescent="0.3"/>
    <row r="2598" ht="15.75" customHeight="1" x14ac:dyDescent="0.3"/>
    <row r="2599" ht="15.75" customHeight="1" x14ac:dyDescent="0.3"/>
    <row r="2600" ht="15.75" customHeight="1" x14ac:dyDescent="0.3"/>
    <row r="2601" ht="15.75" customHeight="1" x14ac:dyDescent="0.3"/>
    <row r="2602" ht="15.75" customHeight="1" x14ac:dyDescent="0.3"/>
    <row r="2603" ht="15.75" customHeight="1" x14ac:dyDescent="0.3"/>
    <row r="2604" ht="15.75" customHeight="1" x14ac:dyDescent="0.3"/>
    <row r="2605" ht="15.75" customHeight="1" x14ac:dyDescent="0.3"/>
    <row r="2606" ht="15.75" customHeight="1" x14ac:dyDescent="0.3"/>
    <row r="2607" ht="15.75" customHeight="1" x14ac:dyDescent="0.3"/>
    <row r="2608" ht="15.75" customHeight="1" x14ac:dyDescent="0.3"/>
    <row r="2609" ht="15.75" customHeight="1" x14ac:dyDescent="0.3"/>
    <row r="2610" ht="15.75" customHeight="1" x14ac:dyDescent="0.3"/>
    <row r="2611" ht="15.75" customHeight="1" x14ac:dyDescent="0.3"/>
    <row r="2612" ht="15.75" customHeight="1" x14ac:dyDescent="0.3"/>
    <row r="2613" ht="15.75" customHeight="1" x14ac:dyDescent="0.3"/>
    <row r="2614" ht="15.75" customHeight="1" x14ac:dyDescent="0.3"/>
    <row r="2615" ht="15.75" customHeight="1" x14ac:dyDescent="0.3"/>
    <row r="2616" ht="15.75" customHeight="1" x14ac:dyDescent="0.3"/>
    <row r="2617" ht="15.75" customHeight="1" x14ac:dyDescent="0.3"/>
    <row r="2618" ht="15.75" customHeight="1" x14ac:dyDescent="0.3"/>
    <row r="2619" ht="15.75" customHeight="1" x14ac:dyDescent="0.3"/>
    <row r="2620" ht="15.75" customHeight="1" x14ac:dyDescent="0.3"/>
    <row r="2621" ht="15.75" customHeight="1" x14ac:dyDescent="0.3"/>
    <row r="2622" ht="15.75" customHeight="1" x14ac:dyDescent="0.3"/>
    <row r="2623" ht="15.75" customHeight="1" x14ac:dyDescent="0.3"/>
    <row r="2624" ht="15.75" customHeight="1" x14ac:dyDescent="0.3"/>
    <row r="2625" ht="15.75" customHeight="1" x14ac:dyDescent="0.3"/>
    <row r="2626" ht="15.75" customHeight="1" x14ac:dyDescent="0.3"/>
    <row r="2627" ht="15.75" customHeight="1" x14ac:dyDescent="0.3"/>
    <row r="2628" ht="15.75" customHeight="1" x14ac:dyDescent="0.3"/>
    <row r="2629" ht="15.75" customHeight="1" x14ac:dyDescent="0.3"/>
    <row r="2630" ht="15.75" customHeight="1" x14ac:dyDescent="0.3"/>
    <row r="2631" ht="15.75" customHeight="1" x14ac:dyDescent="0.3"/>
    <row r="2632" ht="15.75" customHeight="1" x14ac:dyDescent="0.3"/>
    <row r="2633" ht="15.75" customHeight="1" x14ac:dyDescent="0.3"/>
    <row r="2634" ht="15.75" customHeight="1" x14ac:dyDescent="0.3"/>
    <row r="2635" ht="15.75" customHeight="1" x14ac:dyDescent="0.3"/>
    <row r="2636" ht="15.75" customHeight="1" x14ac:dyDescent="0.3"/>
    <row r="2637" ht="15.75" customHeight="1" x14ac:dyDescent="0.3"/>
    <row r="2638" ht="15.75" customHeight="1" x14ac:dyDescent="0.3"/>
    <row r="2639" ht="15.75" customHeight="1" x14ac:dyDescent="0.3"/>
    <row r="2640" ht="15.75" customHeight="1" x14ac:dyDescent="0.3"/>
    <row r="2641" ht="15.75" customHeight="1" x14ac:dyDescent="0.3"/>
    <row r="2642" ht="15.75" customHeight="1" x14ac:dyDescent="0.3"/>
    <row r="2643" ht="15.75" customHeight="1" x14ac:dyDescent="0.3"/>
    <row r="2644" ht="15.75" customHeight="1" x14ac:dyDescent="0.3"/>
    <row r="2645" ht="15.75" customHeight="1" x14ac:dyDescent="0.3"/>
    <row r="2646" ht="15.75" customHeight="1" x14ac:dyDescent="0.3"/>
    <row r="2647" ht="15.75" customHeight="1" x14ac:dyDescent="0.3"/>
    <row r="2648" ht="15.75" customHeight="1" x14ac:dyDescent="0.3"/>
    <row r="2649" ht="15.75" customHeight="1" x14ac:dyDescent="0.3"/>
    <row r="2650" ht="15.75" customHeight="1" x14ac:dyDescent="0.3"/>
    <row r="2651" ht="15.75" customHeight="1" x14ac:dyDescent="0.3"/>
    <row r="2652" ht="15.75" customHeight="1" x14ac:dyDescent="0.3"/>
    <row r="2653" ht="15.75" customHeight="1" x14ac:dyDescent="0.3"/>
    <row r="2654" ht="15.75" customHeight="1" x14ac:dyDescent="0.3"/>
    <row r="2655" ht="15.75" customHeight="1" x14ac:dyDescent="0.3"/>
    <row r="2656" ht="15.75" customHeight="1" x14ac:dyDescent="0.3"/>
    <row r="2657" ht="15.75" customHeight="1" x14ac:dyDescent="0.3"/>
    <row r="2658" ht="15.75" customHeight="1" x14ac:dyDescent="0.3"/>
    <row r="2659" ht="15.75" customHeight="1" x14ac:dyDescent="0.3"/>
    <row r="2660" ht="15.75" customHeight="1" x14ac:dyDescent="0.3"/>
    <row r="2661" ht="15.75" customHeight="1" x14ac:dyDescent="0.3"/>
    <row r="2662" ht="15.75" customHeight="1" x14ac:dyDescent="0.3"/>
    <row r="2663" ht="15.75" customHeight="1" x14ac:dyDescent="0.3"/>
    <row r="2664" ht="15.75" customHeight="1" x14ac:dyDescent="0.3"/>
    <row r="2665" ht="15.75" customHeight="1" x14ac:dyDescent="0.3"/>
    <row r="2666" ht="15.75" customHeight="1" x14ac:dyDescent="0.3"/>
    <row r="2667" ht="15.75" customHeight="1" x14ac:dyDescent="0.3"/>
    <row r="2668" ht="15.75" customHeight="1" x14ac:dyDescent="0.3"/>
    <row r="2669" ht="15.75" customHeight="1" x14ac:dyDescent="0.3"/>
    <row r="2670" ht="15.75" customHeight="1" x14ac:dyDescent="0.3"/>
    <row r="2671" ht="15.75" customHeight="1" x14ac:dyDescent="0.3"/>
    <row r="2672" ht="15.75" customHeight="1" x14ac:dyDescent="0.3"/>
    <row r="2673" ht="15.75" customHeight="1" x14ac:dyDescent="0.3"/>
    <row r="2674" ht="15.75" customHeight="1" x14ac:dyDescent="0.3"/>
    <row r="2675" ht="15.75" customHeight="1" x14ac:dyDescent="0.3"/>
    <row r="2676" ht="15.75" customHeight="1" x14ac:dyDescent="0.3"/>
    <row r="2677" ht="15.75" customHeight="1" x14ac:dyDescent="0.3"/>
    <row r="2678" ht="15.75" customHeight="1" x14ac:dyDescent="0.3"/>
    <row r="2679" ht="15.75" customHeight="1" x14ac:dyDescent="0.3"/>
    <row r="2680" ht="15.75" customHeight="1" x14ac:dyDescent="0.3"/>
    <row r="2681" ht="15.75" customHeight="1" x14ac:dyDescent="0.3"/>
    <row r="2682" ht="15.75" customHeight="1" x14ac:dyDescent="0.3"/>
    <row r="2683" ht="15.75" customHeight="1" x14ac:dyDescent="0.3"/>
    <row r="2684" ht="15.75" customHeight="1" x14ac:dyDescent="0.3"/>
    <row r="2685" ht="15.75" customHeight="1" x14ac:dyDescent="0.3"/>
    <row r="2686" ht="15.75" customHeight="1" x14ac:dyDescent="0.3"/>
    <row r="2687" ht="15.75" customHeight="1" x14ac:dyDescent="0.3"/>
    <row r="2688" ht="15.75" customHeight="1" x14ac:dyDescent="0.3"/>
    <row r="2689" ht="15.75" customHeight="1" x14ac:dyDescent="0.3"/>
    <row r="2690" ht="15.75" customHeight="1" x14ac:dyDescent="0.3"/>
    <row r="2691" ht="15.75" customHeight="1" x14ac:dyDescent="0.3"/>
    <row r="2692" ht="15.75" customHeight="1" x14ac:dyDescent="0.3"/>
    <row r="2693" ht="15.75" customHeight="1" x14ac:dyDescent="0.3"/>
    <row r="2694" ht="15.75" customHeight="1" x14ac:dyDescent="0.3"/>
    <row r="2695" ht="15.75" customHeight="1" x14ac:dyDescent="0.3"/>
    <row r="2696" ht="15.75" customHeight="1" x14ac:dyDescent="0.3"/>
    <row r="2697" ht="15.75" customHeight="1" x14ac:dyDescent="0.3"/>
    <row r="2698" ht="15.75" customHeight="1" x14ac:dyDescent="0.3"/>
    <row r="2699" ht="15.75" customHeight="1" x14ac:dyDescent="0.3"/>
    <row r="2700" ht="15.75" customHeight="1" x14ac:dyDescent="0.3"/>
    <row r="2701" ht="15.75" customHeight="1" x14ac:dyDescent="0.3"/>
    <row r="2702" ht="15.75" customHeight="1" x14ac:dyDescent="0.3"/>
    <row r="2703" ht="15.75" customHeight="1" x14ac:dyDescent="0.3"/>
    <row r="2704" ht="15.75" customHeight="1" x14ac:dyDescent="0.3"/>
    <row r="2705" ht="15.75" customHeight="1" x14ac:dyDescent="0.3"/>
    <row r="2706" ht="15.75" customHeight="1" x14ac:dyDescent="0.3"/>
    <row r="2707" ht="15.75" customHeight="1" x14ac:dyDescent="0.3"/>
    <row r="2708" ht="15.75" customHeight="1" x14ac:dyDescent="0.3"/>
    <row r="2709" ht="15.75" customHeight="1" x14ac:dyDescent="0.3"/>
    <row r="2710" ht="15.75" customHeight="1" x14ac:dyDescent="0.3"/>
    <row r="2711" ht="15.75" customHeight="1" x14ac:dyDescent="0.3"/>
    <row r="2712" ht="15.75" customHeight="1" x14ac:dyDescent="0.3"/>
    <row r="2713" ht="15.75" customHeight="1" x14ac:dyDescent="0.3"/>
    <row r="2714" ht="15.75" customHeight="1" x14ac:dyDescent="0.3"/>
    <row r="2715" ht="15.75" customHeight="1" x14ac:dyDescent="0.3"/>
    <row r="2716" ht="15.75" customHeight="1" x14ac:dyDescent="0.3"/>
    <row r="2717" ht="15.75" customHeight="1" x14ac:dyDescent="0.3"/>
    <row r="2718" ht="15.75" customHeight="1" x14ac:dyDescent="0.3"/>
    <row r="2719" ht="15.75" customHeight="1" x14ac:dyDescent="0.3"/>
    <row r="2720" ht="15.75" customHeight="1" x14ac:dyDescent="0.3"/>
    <row r="2721" ht="15.75" customHeight="1" x14ac:dyDescent="0.3"/>
    <row r="2722" ht="15.75" customHeight="1" x14ac:dyDescent="0.3"/>
    <row r="2723" ht="15.75" customHeight="1" x14ac:dyDescent="0.3"/>
    <row r="2724" ht="15.75" customHeight="1" x14ac:dyDescent="0.3"/>
    <row r="2725" ht="15.75" customHeight="1" x14ac:dyDescent="0.3"/>
    <row r="2726" ht="15.75" customHeight="1" x14ac:dyDescent="0.3"/>
    <row r="2727" ht="15.75" customHeight="1" x14ac:dyDescent="0.3"/>
    <row r="2728" ht="15.75" customHeight="1" x14ac:dyDescent="0.3"/>
    <row r="2729" ht="15.75" customHeight="1" x14ac:dyDescent="0.3"/>
    <row r="2730" ht="15.75" customHeight="1" x14ac:dyDescent="0.3"/>
    <row r="2731" ht="15.75" customHeight="1" x14ac:dyDescent="0.3"/>
    <row r="2732" ht="15.75" customHeight="1" x14ac:dyDescent="0.3"/>
    <row r="2733" ht="15.75" customHeight="1" x14ac:dyDescent="0.3"/>
    <row r="2734" ht="15.75" customHeight="1" x14ac:dyDescent="0.3"/>
    <row r="2735" ht="15.75" customHeight="1" x14ac:dyDescent="0.3"/>
    <row r="2736" ht="15.75" customHeight="1" x14ac:dyDescent="0.3"/>
    <row r="2737" ht="15.75" customHeight="1" x14ac:dyDescent="0.3"/>
    <row r="2738" ht="15.75" customHeight="1" x14ac:dyDescent="0.3"/>
    <row r="2739" ht="15.75" customHeight="1" x14ac:dyDescent="0.3"/>
    <row r="2740" ht="15.75" customHeight="1" x14ac:dyDescent="0.3"/>
    <row r="2741" ht="15.75" customHeight="1" x14ac:dyDescent="0.3"/>
    <row r="2742" ht="15.75" customHeight="1" x14ac:dyDescent="0.3"/>
    <row r="2743" ht="15.75" customHeight="1" x14ac:dyDescent="0.3"/>
    <row r="2744" ht="15.75" customHeight="1" x14ac:dyDescent="0.3"/>
    <row r="2745" ht="15.75" customHeight="1" x14ac:dyDescent="0.3"/>
    <row r="2746" ht="15.75" customHeight="1" x14ac:dyDescent="0.3"/>
    <row r="2747" ht="15.75" customHeight="1" x14ac:dyDescent="0.3"/>
    <row r="2748" ht="15.75" customHeight="1" x14ac:dyDescent="0.3"/>
    <row r="2749" ht="15.75" customHeight="1" x14ac:dyDescent="0.3"/>
    <row r="2750" ht="15.75" customHeight="1" x14ac:dyDescent="0.3"/>
    <row r="2751" ht="15.75" customHeight="1" x14ac:dyDescent="0.3"/>
    <row r="2752" ht="15.75" customHeight="1" x14ac:dyDescent="0.3"/>
    <row r="2753" ht="15.75" customHeight="1" x14ac:dyDescent="0.3"/>
    <row r="2754" ht="15.75" customHeight="1" x14ac:dyDescent="0.3"/>
    <row r="2755" ht="15.75" customHeight="1" x14ac:dyDescent="0.3"/>
    <row r="2756" ht="15.75" customHeight="1" x14ac:dyDescent="0.3"/>
    <row r="2757" ht="15.75" customHeight="1" x14ac:dyDescent="0.3"/>
    <row r="2758" ht="15.75" customHeight="1" x14ac:dyDescent="0.3"/>
    <row r="2759" ht="15.75" customHeight="1" x14ac:dyDescent="0.3"/>
    <row r="2760" ht="15.75" customHeight="1" x14ac:dyDescent="0.3"/>
    <row r="2761" ht="15.75" customHeight="1" x14ac:dyDescent="0.3"/>
    <row r="2762" ht="15.75" customHeight="1" x14ac:dyDescent="0.3"/>
    <row r="2763" ht="15.75" customHeight="1" x14ac:dyDescent="0.3"/>
    <row r="2764" ht="15.75" customHeight="1" x14ac:dyDescent="0.3"/>
    <row r="2765" ht="15.75" customHeight="1" x14ac:dyDescent="0.3"/>
    <row r="2766" ht="15.75" customHeight="1" x14ac:dyDescent="0.3"/>
    <row r="2767" ht="15.75" customHeight="1" x14ac:dyDescent="0.3"/>
    <row r="2768" ht="15.75" customHeight="1" x14ac:dyDescent="0.3"/>
    <row r="2769" ht="15.75" customHeight="1" x14ac:dyDescent="0.3"/>
    <row r="2770" ht="15.75" customHeight="1" x14ac:dyDescent="0.3"/>
    <row r="2771" ht="15.75" customHeight="1" x14ac:dyDescent="0.3"/>
    <row r="2772" ht="15.75" customHeight="1" x14ac:dyDescent="0.3"/>
    <row r="2773" ht="15.75" customHeight="1" x14ac:dyDescent="0.3"/>
    <row r="2774" ht="15.75" customHeight="1" x14ac:dyDescent="0.3"/>
    <row r="2775" ht="15.75" customHeight="1" x14ac:dyDescent="0.3"/>
    <row r="2776" ht="15.75" customHeight="1" x14ac:dyDescent="0.3"/>
    <row r="2777" ht="15.75" customHeight="1" x14ac:dyDescent="0.3"/>
    <row r="2778" ht="15.75" customHeight="1" x14ac:dyDescent="0.3"/>
    <row r="2779" ht="15.75" customHeight="1" x14ac:dyDescent="0.3"/>
    <row r="2780" ht="15.75" customHeight="1" x14ac:dyDescent="0.3"/>
    <row r="2781" ht="15.75" customHeight="1" x14ac:dyDescent="0.3"/>
    <row r="2782" ht="15.75" customHeight="1" x14ac:dyDescent="0.3"/>
    <row r="2783" ht="15.75" customHeight="1" x14ac:dyDescent="0.3"/>
    <row r="2784" ht="15.75" customHeight="1" x14ac:dyDescent="0.3"/>
    <row r="2785" ht="15.75" customHeight="1" x14ac:dyDescent="0.3"/>
    <row r="2786" ht="15.75" customHeight="1" x14ac:dyDescent="0.3"/>
    <row r="2787" ht="15.75" customHeight="1" x14ac:dyDescent="0.3"/>
    <row r="2788" ht="15.75" customHeight="1" x14ac:dyDescent="0.3"/>
    <row r="2789" ht="15.75" customHeight="1" x14ac:dyDescent="0.3"/>
    <row r="2790" ht="15.75" customHeight="1" x14ac:dyDescent="0.3"/>
    <row r="2791" ht="15.75" customHeight="1" x14ac:dyDescent="0.3"/>
    <row r="2792" ht="15.75" customHeight="1" x14ac:dyDescent="0.3"/>
    <row r="2793" ht="15.75" customHeight="1" x14ac:dyDescent="0.3"/>
    <row r="2794" ht="15.75" customHeight="1" x14ac:dyDescent="0.3"/>
    <row r="2795" ht="15.75" customHeight="1" x14ac:dyDescent="0.3"/>
    <row r="2796" ht="15.75" customHeight="1" x14ac:dyDescent="0.3"/>
    <row r="2797" ht="15.75" customHeight="1" x14ac:dyDescent="0.3"/>
    <row r="2798" ht="15.75" customHeight="1" x14ac:dyDescent="0.3"/>
    <row r="2799" ht="15.75" customHeight="1" x14ac:dyDescent="0.3"/>
    <row r="2800" ht="15.75" customHeight="1" x14ac:dyDescent="0.3"/>
    <row r="2801" ht="15.75" customHeight="1" x14ac:dyDescent="0.3"/>
    <row r="2802" ht="15.75" customHeight="1" x14ac:dyDescent="0.3"/>
    <row r="2803" ht="15.75" customHeight="1" x14ac:dyDescent="0.3"/>
    <row r="2804" ht="15.75" customHeight="1" x14ac:dyDescent="0.3"/>
    <row r="2805" ht="15.75" customHeight="1" x14ac:dyDescent="0.3"/>
    <row r="2806" ht="15.75" customHeight="1" x14ac:dyDescent="0.3"/>
    <row r="2807" ht="15.75" customHeight="1" x14ac:dyDescent="0.3"/>
    <row r="2808" ht="15.75" customHeight="1" x14ac:dyDescent="0.3"/>
    <row r="2809" ht="15.75" customHeight="1" x14ac:dyDescent="0.3"/>
    <row r="2810" ht="15.75" customHeight="1" x14ac:dyDescent="0.3"/>
    <row r="2811" ht="15.75" customHeight="1" x14ac:dyDescent="0.3"/>
    <row r="2812" ht="15.75" customHeight="1" x14ac:dyDescent="0.3"/>
    <row r="2813" ht="15.75" customHeight="1" x14ac:dyDescent="0.3"/>
    <row r="2814" ht="15.75" customHeight="1" x14ac:dyDescent="0.3"/>
    <row r="2815" ht="15.75" customHeight="1" x14ac:dyDescent="0.3"/>
    <row r="2816" ht="15.75" customHeight="1" x14ac:dyDescent="0.3"/>
    <row r="2817" ht="15.75" customHeight="1" x14ac:dyDescent="0.3"/>
    <row r="2818" ht="15.75" customHeight="1" x14ac:dyDescent="0.3"/>
    <row r="2819" ht="15.75" customHeight="1" x14ac:dyDescent="0.3"/>
    <row r="2820" ht="15.75" customHeight="1" x14ac:dyDescent="0.3"/>
    <row r="2821" ht="15.75" customHeight="1" x14ac:dyDescent="0.3"/>
    <row r="2822" ht="15.75" customHeight="1" x14ac:dyDescent="0.3"/>
    <row r="2823" ht="15.75" customHeight="1" x14ac:dyDescent="0.3"/>
    <row r="2824" ht="15.75" customHeight="1" x14ac:dyDescent="0.3"/>
    <row r="2825" ht="15.75" customHeight="1" x14ac:dyDescent="0.3"/>
    <row r="2826" ht="15.75" customHeight="1" x14ac:dyDescent="0.3"/>
    <row r="2827" ht="15.75" customHeight="1" x14ac:dyDescent="0.3"/>
    <row r="2828" ht="15.75" customHeight="1" x14ac:dyDescent="0.3"/>
    <row r="2829" ht="15.75" customHeight="1" x14ac:dyDescent="0.3"/>
    <row r="2830" ht="15.75" customHeight="1" x14ac:dyDescent="0.3"/>
    <row r="2831" ht="15.75" customHeight="1" x14ac:dyDescent="0.3"/>
    <row r="2832" ht="15.75" customHeight="1" x14ac:dyDescent="0.3"/>
    <row r="2833" ht="15.75" customHeight="1" x14ac:dyDescent="0.3"/>
    <row r="2834" ht="15.75" customHeight="1" x14ac:dyDescent="0.3"/>
    <row r="2835" ht="15.75" customHeight="1" x14ac:dyDescent="0.3"/>
    <row r="2836" ht="15.75" customHeight="1" x14ac:dyDescent="0.3"/>
    <row r="2837" ht="15.75" customHeight="1" x14ac:dyDescent="0.3"/>
    <row r="2838" ht="15.75" customHeight="1" x14ac:dyDescent="0.3"/>
    <row r="2839" ht="15.75" customHeight="1" x14ac:dyDescent="0.3"/>
    <row r="2840" ht="15.75" customHeight="1" x14ac:dyDescent="0.3"/>
    <row r="2841" ht="15.75" customHeight="1" x14ac:dyDescent="0.3"/>
    <row r="2842" ht="15.75" customHeight="1" x14ac:dyDescent="0.3"/>
    <row r="2843" ht="15.75" customHeight="1" x14ac:dyDescent="0.3"/>
    <row r="2844" ht="15.75" customHeight="1" x14ac:dyDescent="0.3"/>
    <row r="2845" ht="15.75" customHeight="1" x14ac:dyDescent="0.3"/>
    <row r="2846" ht="15.75" customHeight="1" x14ac:dyDescent="0.3"/>
    <row r="2847" ht="15.75" customHeight="1" x14ac:dyDescent="0.3"/>
    <row r="2848" ht="15.75" customHeight="1" x14ac:dyDescent="0.3"/>
    <row r="2849" ht="15.75" customHeight="1" x14ac:dyDescent="0.3"/>
    <row r="2850" ht="15.75" customHeight="1" x14ac:dyDescent="0.3"/>
    <row r="2851" ht="15.75" customHeight="1" x14ac:dyDescent="0.3"/>
    <row r="2852" ht="15.75" customHeight="1" x14ac:dyDescent="0.3"/>
    <row r="2853" ht="15.75" customHeight="1" x14ac:dyDescent="0.3"/>
    <row r="2854" ht="15.75" customHeight="1" x14ac:dyDescent="0.3"/>
    <row r="2855" ht="15.75" customHeight="1" x14ac:dyDescent="0.3"/>
    <row r="2856" ht="15.75" customHeight="1" x14ac:dyDescent="0.3"/>
    <row r="2857" ht="15.75" customHeight="1" x14ac:dyDescent="0.3"/>
    <row r="2858" ht="15.75" customHeight="1" x14ac:dyDescent="0.3"/>
    <row r="2859" ht="15.75" customHeight="1" x14ac:dyDescent="0.3"/>
    <row r="2860" ht="15.75" customHeight="1" x14ac:dyDescent="0.3"/>
    <row r="2861" ht="15.75" customHeight="1" x14ac:dyDescent="0.3"/>
    <row r="2862" ht="15.75" customHeight="1" x14ac:dyDescent="0.3"/>
    <row r="2863" ht="15.75" customHeight="1" x14ac:dyDescent="0.3"/>
    <row r="2864" ht="15.75" customHeight="1" x14ac:dyDescent="0.3"/>
    <row r="2865" ht="15.75" customHeight="1" x14ac:dyDescent="0.3"/>
    <row r="2866" ht="15.75" customHeight="1" x14ac:dyDescent="0.3"/>
    <row r="2867" ht="15.75" customHeight="1" x14ac:dyDescent="0.3"/>
    <row r="2868" ht="15.75" customHeight="1" x14ac:dyDescent="0.3"/>
    <row r="2869" ht="15.75" customHeight="1" x14ac:dyDescent="0.3"/>
    <row r="2870" ht="15.75" customHeight="1" x14ac:dyDescent="0.3"/>
    <row r="2871" ht="15.75" customHeight="1" x14ac:dyDescent="0.3"/>
    <row r="2872" ht="15.75" customHeight="1" x14ac:dyDescent="0.3"/>
    <row r="2873" ht="15.75" customHeight="1" x14ac:dyDescent="0.3"/>
    <row r="2874" ht="15.75" customHeight="1" x14ac:dyDescent="0.3"/>
    <row r="2875" ht="15.75" customHeight="1" x14ac:dyDescent="0.3"/>
    <row r="2876" ht="15.75" customHeight="1" x14ac:dyDescent="0.3"/>
    <row r="2877" ht="15.75" customHeight="1" x14ac:dyDescent="0.3"/>
    <row r="2878" ht="15.75" customHeight="1" x14ac:dyDescent="0.3"/>
    <row r="2879" ht="15.75" customHeight="1" x14ac:dyDescent="0.3"/>
    <row r="2880" ht="15.75" customHeight="1" x14ac:dyDescent="0.3"/>
    <row r="2881" spans="9:9" ht="15.75" customHeight="1" x14ac:dyDescent="0.3"/>
    <row r="2882" spans="9:9" ht="15.75" customHeight="1" x14ac:dyDescent="0.3"/>
    <row r="2883" spans="9:9" ht="15.75" customHeight="1" x14ac:dyDescent="0.3"/>
    <row r="2884" spans="9:9" ht="15.75" customHeight="1" x14ac:dyDescent="0.3"/>
    <row r="2885" spans="9:9" ht="15.75" customHeight="1" x14ac:dyDescent="0.3"/>
    <row r="2886" spans="9:9" ht="15.75" customHeight="1" x14ac:dyDescent="0.3"/>
    <row r="2887" spans="9:9" ht="15.75" customHeight="1" x14ac:dyDescent="0.3"/>
    <row r="2888" spans="9:9" ht="15.75" customHeight="1" x14ac:dyDescent="0.3"/>
    <row r="2889" spans="9:9" ht="15.75" customHeight="1" x14ac:dyDescent="0.3"/>
    <row r="2890" spans="9:9" ht="15.75" customHeight="1" x14ac:dyDescent="0.3"/>
    <row r="2891" spans="9:9" ht="15.75" customHeight="1" x14ac:dyDescent="0.3"/>
    <row r="2892" spans="9:9" ht="15.75" customHeight="1" x14ac:dyDescent="0.3"/>
    <row r="2893" spans="9:9" ht="12" customHeight="1" x14ac:dyDescent="0.3">
      <c r="I2893" s="335" t="s">
        <v>225</v>
      </c>
    </row>
    <row r="2894" spans="9:9" ht="12" customHeight="1" x14ac:dyDescent="0.3">
      <c r="I2894" s="335"/>
    </row>
    <row r="2895" spans="9:9" ht="12" customHeight="1" x14ac:dyDescent="0.3">
      <c r="I2895" s="335"/>
    </row>
    <row r="2896" spans="9:9" ht="12" customHeight="1" x14ac:dyDescent="0.3">
      <c r="I2896" s="335"/>
    </row>
    <row r="2897" spans="9:9" ht="12" customHeight="1" x14ac:dyDescent="0.3">
      <c r="I2897" s="335"/>
    </row>
    <row r="2898" spans="9:9" ht="12" customHeight="1" x14ac:dyDescent="0.3">
      <c r="I2898" s="335"/>
    </row>
    <row r="2899" spans="9:9" ht="12" customHeight="1" x14ac:dyDescent="0.3">
      <c r="I2899" s="335"/>
    </row>
    <row r="2900" spans="9:9" ht="12" customHeight="1" x14ac:dyDescent="0.3">
      <c r="I2900" s="335"/>
    </row>
    <row r="2901" spans="9:9" ht="12" customHeight="1" x14ac:dyDescent="0.3">
      <c r="I2901" s="335"/>
    </row>
    <row r="2902" spans="9:9" ht="12" customHeight="1" x14ac:dyDescent="0.3">
      <c r="I2902" s="335" t="s">
        <v>226</v>
      </c>
    </row>
    <row r="2903" spans="9:9" ht="15.75" customHeight="1" x14ac:dyDescent="0.3"/>
    <row r="2904" spans="9:9" ht="15.75" customHeight="1" x14ac:dyDescent="0.3"/>
    <row r="2905" spans="9:9" ht="12" customHeight="1" x14ac:dyDescent="0.3">
      <c r="I2905" s="335" t="s">
        <v>226</v>
      </c>
    </row>
    <row r="2906" spans="9:9" ht="12" customHeight="1" x14ac:dyDescent="0.3">
      <c r="I2906" s="335"/>
    </row>
    <row r="2907" spans="9:9" ht="12" customHeight="1" x14ac:dyDescent="0.3">
      <c r="I2907" s="335"/>
    </row>
    <row r="2908" spans="9:9" ht="12" customHeight="1" x14ac:dyDescent="0.3">
      <c r="I2908" s="335"/>
    </row>
    <row r="2909" spans="9:9" ht="12" customHeight="1" x14ac:dyDescent="0.3">
      <c r="I2909" s="335"/>
    </row>
    <row r="2910" spans="9:9" ht="12" customHeight="1" x14ac:dyDescent="0.3">
      <c r="I2910" s="335"/>
    </row>
    <row r="2911" spans="9:9" ht="12" customHeight="1" x14ac:dyDescent="0.3">
      <c r="I2911" s="335" t="s">
        <v>226</v>
      </c>
    </row>
    <row r="2912" spans="9:9" ht="12" customHeight="1" x14ac:dyDescent="0.3">
      <c r="I2912" s="335" t="s">
        <v>226</v>
      </c>
    </row>
    <row r="2913" spans="9:9" ht="12" customHeight="1" x14ac:dyDescent="0.3">
      <c r="I2913" s="335"/>
    </row>
    <row r="2914" spans="9:9" ht="12" customHeight="1" x14ac:dyDescent="0.3">
      <c r="I2914" s="335"/>
    </row>
    <row r="2915" spans="9:9" ht="12" customHeight="1" x14ac:dyDescent="0.3">
      <c r="I2915" s="335"/>
    </row>
    <row r="2916" spans="9:9" ht="12" customHeight="1" x14ac:dyDescent="0.3">
      <c r="I2916" s="335" t="s">
        <v>226</v>
      </c>
    </row>
    <row r="2917" spans="9:9" ht="12" customHeight="1" x14ac:dyDescent="0.3">
      <c r="I2917" s="335" t="s">
        <v>225</v>
      </c>
    </row>
    <row r="2918" spans="9:9" ht="12" customHeight="1" x14ac:dyDescent="0.3">
      <c r="I2918" s="335" t="s">
        <v>225</v>
      </c>
    </row>
    <row r="2919" spans="9:9" ht="15.75" customHeight="1" x14ac:dyDescent="0.3"/>
    <row r="2920" spans="9:9" ht="15.75" customHeight="1" x14ac:dyDescent="0.3"/>
    <row r="2921" spans="9:9" ht="12" customHeight="1" x14ac:dyDescent="0.3">
      <c r="I2921" s="335" t="s">
        <v>225</v>
      </c>
    </row>
    <row r="2922" spans="9:9" ht="12" customHeight="1" x14ac:dyDescent="0.3">
      <c r="I2922" s="335"/>
    </row>
    <row r="2923" spans="9:9" ht="12" customHeight="1" x14ac:dyDescent="0.3">
      <c r="I2923" s="335" t="s">
        <v>226</v>
      </c>
    </row>
    <row r="2924" spans="9:9" ht="12" customHeight="1" x14ac:dyDescent="0.3">
      <c r="I2924" s="335"/>
    </row>
    <row r="2925" spans="9:9" ht="12" customHeight="1" x14ac:dyDescent="0.3">
      <c r="I2925" s="335"/>
    </row>
    <row r="2926" spans="9:9" ht="12" customHeight="1" x14ac:dyDescent="0.3">
      <c r="I2926" s="335" t="s">
        <v>226</v>
      </c>
    </row>
    <row r="2927" spans="9:9" ht="12" customHeight="1" x14ac:dyDescent="0.3">
      <c r="I2927" s="335"/>
    </row>
    <row r="2928" spans="9:9" ht="12" customHeight="1" x14ac:dyDescent="0.3">
      <c r="I2928" s="335" t="s">
        <v>226</v>
      </c>
    </row>
    <row r="2929" spans="9:9" ht="15.75" customHeight="1" x14ac:dyDescent="0.3"/>
    <row r="2930" spans="9:9" ht="15.75" customHeight="1" x14ac:dyDescent="0.3"/>
    <row r="2931" spans="9:9" ht="15.75" customHeight="1" x14ac:dyDescent="0.3"/>
    <row r="2932" spans="9:9" ht="15.75" customHeight="1" x14ac:dyDescent="0.3"/>
    <row r="2933" spans="9:9" ht="15.75" customHeight="1" x14ac:dyDescent="0.3"/>
    <row r="2934" spans="9:9" ht="15.75" customHeight="1" x14ac:dyDescent="0.3"/>
    <row r="2935" spans="9:9" ht="15.75" customHeight="1" x14ac:dyDescent="0.3"/>
    <row r="2936" spans="9:9" ht="15.75" customHeight="1" x14ac:dyDescent="0.3"/>
    <row r="2937" spans="9:9" ht="12" customHeight="1" x14ac:dyDescent="0.3">
      <c r="I2937" s="335" t="s">
        <v>226</v>
      </c>
    </row>
    <row r="2938" spans="9:9" ht="12" customHeight="1" x14ac:dyDescent="0.3">
      <c r="I2938" s="335"/>
    </row>
    <row r="2939" spans="9:9" ht="12" customHeight="1" x14ac:dyDescent="0.3">
      <c r="I2939" s="335" t="s">
        <v>225</v>
      </c>
    </row>
    <row r="2940" spans="9:9" ht="12" customHeight="1" x14ac:dyDescent="0.3">
      <c r="I2940" s="335"/>
    </row>
    <row r="2941" spans="9:9" ht="12" customHeight="1" x14ac:dyDescent="0.3">
      <c r="I2941" s="335" t="s">
        <v>226</v>
      </c>
    </row>
    <row r="2942" spans="9:9" ht="12" customHeight="1" x14ac:dyDescent="0.3">
      <c r="I2942" s="335" t="s">
        <v>225</v>
      </c>
    </row>
    <row r="2943" spans="9:9" ht="15.75" customHeight="1" x14ac:dyDescent="0.3"/>
    <row r="2944" spans="9:9" ht="15.75" customHeight="1" x14ac:dyDescent="0.3"/>
    <row r="2945" ht="15.75" customHeight="1" x14ac:dyDescent="0.3"/>
    <row r="2946" ht="15.75" customHeight="1" x14ac:dyDescent="0.3"/>
    <row r="2947" ht="15.75" customHeight="1" x14ac:dyDescent="0.3"/>
    <row r="2948" ht="15.75" customHeight="1" x14ac:dyDescent="0.3"/>
    <row r="2949" ht="15.75" customHeight="1" x14ac:dyDescent="0.3"/>
    <row r="2950" ht="15.75" customHeight="1" x14ac:dyDescent="0.3"/>
    <row r="2951" ht="15.75" customHeight="1" x14ac:dyDescent="0.3"/>
    <row r="2952" ht="15.75" customHeight="1" x14ac:dyDescent="0.3"/>
    <row r="2953" ht="15.75" customHeight="1" x14ac:dyDescent="0.3"/>
    <row r="2954" ht="15.75" customHeight="1" x14ac:dyDescent="0.3"/>
    <row r="2955" ht="15.75" customHeight="1" x14ac:dyDescent="0.3"/>
    <row r="2956" ht="15.75" customHeight="1" x14ac:dyDescent="0.3"/>
    <row r="2957" ht="15.75" customHeight="1" x14ac:dyDescent="0.3"/>
    <row r="2958" ht="15.75" customHeight="1" x14ac:dyDescent="0.3"/>
    <row r="2959" ht="15.75" customHeight="1" x14ac:dyDescent="0.3"/>
    <row r="2960" ht="15.75" customHeight="1" x14ac:dyDescent="0.3"/>
    <row r="2961" spans="9:9" ht="12" customHeight="1" x14ac:dyDescent="0.3">
      <c r="I2961" s="335" t="s">
        <v>226</v>
      </c>
    </row>
  </sheetData>
  <autoFilter ref="A1:G1163" xr:uid="{00000000-0009-0000-0000-000006000000}"/>
  <mergeCells count="5">
    <mergeCell ref="A1:B1"/>
    <mergeCell ref="E1:F1"/>
    <mergeCell ref="Q1:R1"/>
    <mergeCell ref="E2:F2"/>
    <mergeCell ref="E3:F3"/>
  </mergeCells>
  <conditionalFormatting sqref="I1 I4:I2961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35"/>
  <sheetViews>
    <sheetView workbookViewId="0">
      <pane ySplit="1" topLeftCell="A2" activePane="bottomLeft" state="frozen"/>
      <selection pane="bottomLeft" activeCell="C20" sqref="C20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38" t="s">
        <v>490</v>
      </c>
      <c r="B1" s="339"/>
      <c r="C1" s="340"/>
      <c r="D1" s="563" t="s">
        <v>491</v>
      </c>
      <c r="E1" s="547"/>
      <c r="F1" s="564" t="s">
        <v>492</v>
      </c>
      <c r="G1" s="547"/>
      <c r="H1" s="563" t="str">
        <f>'Proposed Budget'!C33</f>
        <v>Vehicle Maintenance</v>
      </c>
      <c r="I1" s="547"/>
      <c r="J1" s="564" t="str">
        <f>'Proposed Budget'!C34</f>
        <v>Car Insurance</v>
      </c>
      <c r="K1" s="547"/>
      <c r="L1" s="563" t="str">
        <f>'Proposed Budget'!C35</f>
        <v>Rental Garbage</v>
      </c>
      <c r="M1" s="547"/>
      <c r="N1" s="564" t="str">
        <f>'Proposed Budget'!C36</f>
        <v>Garbage</v>
      </c>
      <c r="O1" s="547"/>
      <c r="P1" s="563" t="str">
        <f>'Monthly Breakdown'!C37</f>
        <v>Sanitation - Main</v>
      </c>
      <c r="Q1" s="547"/>
      <c r="R1" s="564" t="str">
        <f>'Proposed Budget'!C38</f>
        <v>Camping/Vacation</v>
      </c>
      <c r="S1" s="547"/>
      <c r="T1" s="563" t="str">
        <f>'Proposed Budget'!C39</f>
        <v>Home Maintenance</v>
      </c>
      <c r="U1" s="547"/>
      <c r="V1" s="564" t="str">
        <f>'Proposed Budget'!C40</f>
        <v>Rental Repairs</v>
      </c>
      <c r="W1" s="547"/>
      <c r="X1" s="563" t="str">
        <f>'Proposed Budget'!C41</f>
        <v>Rental Insurance</v>
      </c>
      <c r="Y1" s="547"/>
      <c r="Z1" s="564" t="str">
        <f>'Proposed Budget'!C42</f>
        <v>Rental Property Taxes</v>
      </c>
      <c r="AA1" s="547"/>
      <c r="AB1" s="563" t="str">
        <f>'Proposed Budget'!C43</f>
        <v>Rental Sanitation</v>
      </c>
      <c r="AC1" s="547"/>
    </row>
    <row r="2" spans="1:29" ht="14.25" customHeight="1" x14ac:dyDescent="0.3">
      <c r="A2" s="341">
        <f t="shared" ref="A2:A3" si="0">SUM(G2,E2,U2,I2,S2,O2,K2,M2,Q2,W2,Y2,AA2,AC2)</f>
        <v>-3110.4999999999991</v>
      </c>
      <c r="B2" s="339"/>
      <c r="C2" s="340"/>
      <c r="D2" s="342" t="s">
        <v>493</v>
      </c>
      <c r="E2" s="343">
        <f>E3-E93</f>
        <v>12159.24</v>
      </c>
      <c r="F2" s="344" t="s">
        <v>493</v>
      </c>
      <c r="G2" s="345">
        <f>G3-G93</f>
        <v>859.01</v>
      </c>
      <c r="H2" s="343" t="s">
        <v>493</v>
      </c>
      <c r="I2" s="343">
        <f>I3-I93</f>
        <v>754.75999999999976</v>
      </c>
      <c r="J2" s="344" t="s">
        <v>493</v>
      </c>
      <c r="K2" s="345">
        <f>K3-K93</f>
        <v>-239</v>
      </c>
      <c r="L2" s="343" t="s">
        <v>493</v>
      </c>
      <c r="M2" s="343">
        <f>M3-M93</f>
        <v>23.039999999999992</v>
      </c>
      <c r="N2" s="345" t="s">
        <v>493</v>
      </c>
      <c r="O2" s="345">
        <f>O3-O93</f>
        <v>23.039999999999992</v>
      </c>
      <c r="P2" s="343" t="s">
        <v>493</v>
      </c>
      <c r="Q2" s="343">
        <f>Q3-Q93</f>
        <v>-8.4599999999999795</v>
      </c>
      <c r="R2" s="345" t="s">
        <v>493</v>
      </c>
      <c r="S2" s="345">
        <f>S3-S93</f>
        <v>-3345.84</v>
      </c>
      <c r="T2" s="346" t="s">
        <v>493</v>
      </c>
      <c r="U2" s="343">
        <f>U3-U93</f>
        <v>-14040.929999999998</v>
      </c>
      <c r="V2" s="345" t="s">
        <v>493</v>
      </c>
      <c r="W2" s="345">
        <f>W3-W93</f>
        <v>600</v>
      </c>
      <c r="X2" s="343" t="s">
        <v>493</v>
      </c>
      <c r="Y2" s="343">
        <f>Y3-Y93</f>
        <v>9.5</v>
      </c>
      <c r="Z2" s="345" t="s">
        <v>493</v>
      </c>
      <c r="AA2" s="345">
        <f>AA3-AA93</f>
        <v>103.59999999999991</v>
      </c>
      <c r="AB2" s="343" t="s">
        <v>493</v>
      </c>
      <c r="AC2" s="343">
        <f>AC3-AC93</f>
        <v>-8.4599999999999795</v>
      </c>
    </row>
    <row r="3" spans="1:29" ht="14.25" customHeight="1" x14ac:dyDescent="0.3">
      <c r="A3" s="341">
        <f t="shared" si="0"/>
        <v>9129.9900000000016</v>
      </c>
      <c r="B3" s="347"/>
      <c r="C3" s="340"/>
      <c r="D3" s="342" t="s">
        <v>494</v>
      </c>
      <c r="E3" s="343">
        <f>SUM(E6:E93)-SUM(D6:D93)</f>
        <v>13869.73</v>
      </c>
      <c r="F3" s="345" t="s">
        <v>494</v>
      </c>
      <c r="G3" s="345">
        <f>SUM(G6:G93)-SUM(F6:F93)</f>
        <v>1359.01</v>
      </c>
      <c r="H3" s="343" t="s">
        <v>494</v>
      </c>
      <c r="I3" s="343">
        <f>SUM(I6:I93)-SUM(H6:H93)</f>
        <v>2754.7599999999998</v>
      </c>
      <c r="J3" s="345" t="s">
        <v>494</v>
      </c>
      <c r="K3" s="345">
        <f>SUM(K6:K93)-SUM(J6:J93)</f>
        <v>761</v>
      </c>
      <c r="L3" s="343" t="s">
        <v>494</v>
      </c>
      <c r="M3" s="343">
        <f>SUM(M6:M93)-SUM(L6:L93)</f>
        <v>88.039999999999992</v>
      </c>
      <c r="N3" s="345" t="s">
        <v>494</v>
      </c>
      <c r="O3" s="345">
        <f>SUM(O6:O93)-SUM(N6:N93)</f>
        <v>88.039999999999992</v>
      </c>
      <c r="P3" s="343" t="s">
        <v>494</v>
      </c>
      <c r="Q3" s="343">
        <f>SUM(Q6:Q93)-SUM(P6:P93)</f>
        <v>91.54000000000002</v>
      </c>
      <c r="R3" s="345" t="s">
        <v>494</v>
      </c>
      <c r="S3" s="345">
        <f>SUM(S6:S93)-SUM(R6:R93)</f>
        <v>-1345.8400000000001</v>
      </c>
      <c r="T3" s="343" t="s">
        <v>494</v>
      </c>
      <c r="U3" s="343">
        <f>SUM(U6:U93)-SUM(T6:T93)</f>
        <v>-11540.929999999998</v>
      </c>
      <c r="V3" s="345" t="s">
        <v>494</v>
      </c>
      <c r="W3" s="345">
        <f>SUM(W6:W93)-SUM(V6:V93)</f>
        <v>1100</v>
      </c>
      <c r="X3" s="343" t="s">
        <v>494</v>
      </c>
      <c r="Y3" s="343">
        <f>SUM(Y6:Y93)-SUM(X6:X93)</f>
        <v>209.5</v>
      </c>
      <c r="Z3" s="345" t="s">
        <v>494</v>
      </c>
      <c r="AA3" s="345">
        <f>SUM(AA6:AA93)-SUM(Z6:Z93)</f>
        <v>1603.6</v>
      </c>
      <c r="AB3" s="343" t="s">
        <v>494</v>
      </c>
      <c r="AC3" s="343">
        <f>SUM(AC6:AC93)-SUM(AB6:AB93)</f>
        <v>91.54000000000002</v>
      </c>
    </row>
    <row r="4" spans="1:29" ht="14.25" customHeight="1" x14ac:dyDescent="0.3">
      <c r="A4" s="338" t="s">
        <v>495</v>
      </c>
      <c r="B4" s="347"/>
      <c r="C4" s="340"/>
      <c r="D4" s="563" t="s">
        <v>496</v>
      </c>
      <c r="E4" s="547"/>
      <c r="F4" s="564" t="s">
        <v>496</v>
      </c>
      <c r="G4" s="547"/>
      <c r="H4" s="563" t="s">
        <v>496</v>
      </c>
      <c r="I4" s="547"/>
      <c r="J4" s="564" t="s">
        <v>496</v>
      </c>
      <c r="K4" s="547"/>
      <c r="L4" s="563" t="s">
        <v>496</v>
      </c>
      <c r="M4" s="547"/>
      <c r="N4" s="564" t="s">
        <v>496</v>
      </c>
      <c r="O4" s="547"/>
      <c r="P4" s="563" t="s">
        <v>496</v>
      </c>
      <c r="Q4" s="547"/>
      <c r="R4" s="564" t="s">
        <v>497</v>
      </c>
      <c r="S4" s="547"/>
      <c r="T4" s="563" t="s">
        <v>498</v>
      </c>
      <c r="U4" s="547"/>
      <c r="V4" s="564" t="s">
        <v>496</v>
      </c>
      <c r="W4" s="547"/>
      <c r="X4" s="563" t="s">
        <v>496</v>
      </c>
      <c r="Y4" s="547"/>
      <c r="Z4" s="564" t="s">
        <v>496</v>
      </c>
      <c r="AA4" s="547"/>
      <c r="AB4" s="563" t="s">
        <v>496</v>
      </c>
      <c r="AC4" s="547"/>
    </row>
    <row r="5" spans="1:29" ht="14.25" customHeight="1" x14ac:dyDescent="0.3">
      <c r="A5" s="338" t="s">
        <v>499</v>
      </c>
      <c r="B5" s="347"/>
      <c r="C5" s="340"/>
      <c r="D5" s="342">
        <f t="shared" ref="D5:AC5" si="1">SUM(D6:D92)</f>
        <v>7732.5699999999988</v>
      </c>
      <c r="E5" s="343">
        <f t="shared" si="1"/>
        <v>19891.809999999998</v>
      </c>
      <c r="F5" s="345">
        <f t="shared" si="1"/>
        <v>0</v>
      </c>
      <c r="G5" s="345">
        <f t="shared" si="1"/>
        <v>859.01</v>
      </c>
      <c r="H5" s="343">
        <f t="shared" si="1"/>
        <v>1345.2400000000002</v>
      </c>
      <c r="I5" s="343">
        <f t="shared" si="1"/>
        <v>2100</v>
      </c>
      <c r="J5" s="345">
        <f t="shared" si="1"/>
        <v>2159</v>
      </c>
      <c r="K5" s="345">
        <f t="shared" si="1"/>
        <v>1920</v>
      </c>
      <c r="L5" s="343">
        <f t="shared" si="1"/>
        <v>126.96000000000001</v>
      </c>
      <c r="M5" s="343">
        <f t="shared" si="1"/>
        <v>150</v>
      </c>
      <c r="N5" s="345">
        <f t="shared" si="1"/>
        <v>126.96000000000001</v>
      </c>
      <c r="O5" s="345">
        <f t="shared" si="1"/>
        <v>150</v>
      </c>
      <c r="P5" s="343">
        <f t="shared" si="1"/>
        <v>278.45999999999998</v>
      </c>
      <c r="Q5" s="343">
        <f t="shared" si="1"/>
        <v>270</v>
      </c>
      <c r="R5" s="345">
        <f t="shared" si="1"/>
        <v>5745.84</v>
      </c>
      <c r="S5" s="345">
        <f t="shared" si="1"/>
        <v>2400</v>
      </c>
      <c r="T5" s="343">
        <f t="shared" si="1"/>
        <v>16290.929999999998</v>
      </c>
      <c r="U5" s="343">
        <f t="shared" si="1"/>
        <v>2250</v>
      </c>
      <c r="V5" s="345">
        <f t="shared" si="1"/>
        <v>0</v>
      </c>
      <c r="W5" s="345">
        <f t="shared" si="1"/>
        <v>600</v>
      </c>
      <c r="X5" s="343">
        <f t="shared" si="1"/>
        <v>500.5</v>
      </c>
      <c r="Y5" s="343">
        <f t="shared" si="1"/>
        <v>510</v>
      </c>
      <c r="Z5" s="345">
        <f t="shared" si="1"/>
        <v>1276.4000000000001</v>
      </c>
      <c r="AA5" s="345">
        <f t="shared" si="1"/>
        <v>1380</v>
      </c>
      <c r="AB5" s="343">
        <f t="shared" si="1"/>
        <v>278.45999999999998</v>
      </c>
      <c r="AC5" s="343">
        <f t="shared" si="1"/>
        <v>270</v>
      </c>
    </row>
    <row r="6" spans="1:29" ht="14.25" customHeight="1" x14ac:dyDescent="0.3">
      <c r="A6" s="338" t="s">
        <v>500</v>
      </c>
      <c r="B6" s="347" t="s">
        <v>501</v>
      </c>
      <c r="C6" s="284" t="s">
        <v>502</v>
      </c>
      <c r="D6" s="342" t="s">
        <v>281</v>
      </c>
      <c r="E6" s="343" t="s">
        <v>282</v>
      </c>
      <c r="F6" s="345" t="s">
        <v>281</v>
      </c>
      <c r="G6" s="345" t="s">
        <v>282</v>
      </c>
      <c r="H6" s="343" t="s">
        <v>281</v>
      </c>
      <c r="I6" s="343" t="s">
        <v>282</v>
      </c>
      <c r="J6" s="345" t="s">
        <v>281</v>
      </c>
      <c r="K6" s="345" t="s">
        <v>282</v>
      </c>
      <c r="L6" s="343" t="s">
        <v>281</v>
      </c>
      <c r="M6" s="343" t="s">
        <v>282</v>
      </c>
      <c r="N6" s="345" t="s">
        <v>281</v>
      </c>
      <c r="O6" s="345" t="s">
        <v>282</v>
      </c>
      <c r="P6" s="343" t="s">
        <v>281</v>
      </c>
      <c r="Q6" s="343" t="s">
        <v>282</v>
      </c>
      <c r="R6" s="345" t="s">
        <v>281</v>
      </c>
      <c r="S6" s="345" t="s">
        <v>282</v>
      </c>
      <c r="T6" s="343" t="s">
        <v>281</v>
      </c>
      <c r="U6" s="343" t="s">
        <v>282</v>
      </c>
      <c r="V6" s="345" t="s">
        <v>281</v>
      </c>
      <c r="W6" s="345" t="s">
        <v>282</v>
      </c>
      <c r="X6" s="343" t="s">
        <v>281</v>
      </c>
      <c r="Y6" s="343" t="s">
        <v>282</v>
      </c>
      <c r="Z6" s="345" t="s">
        <v>281</v>
      </c>
      <c r="AA6" s="345" t="s">
        <v>282</v>
      </c>
      <c r="AB6" s="343" t="s">
        <v>281</v>
      </c>
      <c r="AC6" s="343" t="s">
        <v>282</v>
      </c>
    </row>
    <row r="7" spans="1:29" ht="14.25" customHeight="1" x14ac:dyDescent="0.3">
      <c r="A7" s="338">
        <v>46203</v>
      </c>
      <c r="B7" s="347">
        <f t="shared" ref="B7:B21" si="2">SUM(E7,U7,K7,G7,I7,S7,O7,M7,Q7,W7,Y7,AA7,AC7)-SUM(D7,F7,T7,H7,R7,N7,J7,L7,P7,V7,X7,Z7,AB7)</f>
        <v>2000</v>
      </c>
      <c r="C7" s="348" t="s">
        <v>944</v>
      </c>
      <c r="D7" s="342"/>
      <c r="E7" s="343"/>
      <c r="F7" s="345"/>
      <c r="G7" s="345"/>
      <c r="H7" s="343"/>
      <c r="I7" s="343">
        <v>350</v>
      </c>
      <c r="J7" s="345"/>
      <c r="K7" s="345">
        <v>320</v>
      </c>
      <c r="L7" s="343"/>
      <c r="M7" s="343">
        <v>25</v>
      </c>
      <c r="N7" s="345"/>
      <c r="O7" s="345">
        <v>25</v>
      </c>
      <c r="P7" s="343"/>
      <c r="Q7" s="343">
        <v>45</v>
      </c>
      <c r="R7" s="345"/>
      <c r="S7" s="345">
        <v>400</v>
      </c>
      <c r="T7" s="343"/>
      <c r="U7" s="343">
        <v>375</v>
      </c>
      <c r="V7" s="345"/>
      <c r="W7" s="345">
        <v>100</v>
      </c>
      <c r="X7" s="343"/>
      <c r="Y7" s="343">
        <v>85</v>
      </c>
      <c r="Z7" s="345"/>
      <c r="AA7" s="345">
        <v>230</v>
      </c>
      <c r="AB7" s="343"/>
      <c r="AC7" s="343">
        <v>45</v>
      </c>
    </row>
    <row r="8" spans="1:29" ht="14.25" customHeight="1" x14ac:dyDescent="0.3">
      <c r="A8" s="338">
        <v>46203</v>
      </c>
      <c r="B8" s="347">
        <f t="shared" si="2"/>
        <v>-185.64</v>
      </c>
      <c r="C8" s="348" t="s">
        <v>423</v>
      </c>
      <c r="D8" s="342"/>
      <c r="E8" s="343"/>
      <c r="F8" s="345"/>
      <c r="G8" s="345"/>
      <c r="H8" s="343"/>
      <c r="I8" s="343"/>
      <c r="J8" s="345"/>
      <c r="K8" s="345"/>
      <c r="L8" s="343"/>
      <c r="M8" s="343"/>
      <c r="N8" s="345"/>
      <c r="O8" s="345"/>
      <c r="P8" s="343">
        <v>92.82</v>
      </c>
      <c r="Q8" s="343"/>
      <c r="R8" s="345"/>
      <c r="S8" s="345"/>
      <c r="T8" s="343"/>
      <c r="U8" s="343"/>
      <c r="V8" s="345"/>
      <c r="W8" s="345"/>
      <c r="X8" s="343"/>
      <c r="Y8" s="343"/>
      <c r="Z8" s="345"/>
      <c r="AA8" s="345"/>
      <c r="AB8" s="343">
        <v>92.82</v>
      </c>
      <c r="AC8" s="343"/>
    </row>
    <row r="9" spans="1:29" ht="14.25" customHeight="1" x14ac:dyDescent="0.3">
      <c r="A9" s="338">
        <v>46203</v>
      </c>
      <c r="B9" s="347">
        <f t="shared" si="2"/>
        <v>51.56</v>
      </c>
      <c r="C9" s="348" t="s">
        <v>509</v>
      </c>
      <c r="D9" s="342"/>
      <c r="E9" s="343"/>
      <c r="F9" s="345"/>
      <c r="G9" s="345">
        <v>51.56</v>
      </c>
      <c r="H9" s="343"/>
      <c r="I9" s="343"/>
      <c r="J9" s="345"/>
      <c r="K9" s="345"/>
      <c r="L9" s="343"/>
      <c r="M9" s="343"/>
      <c r="N9" s="345"/>
      <c r="O9" s="345"/>
      <c r="P9" s="343"/>
      <c r="Q9" s="343"/>
      <c r="R9" s="345"/>
      <c r="S9" s="345"/>
      <c r="T9" s="343"/>
      <c r="U9" s="343"/>
      <c r="V9" s="345"/>
      <c r="W9" s="345"/>
      <c r="X9" s="343"/>
      <c r="Y9" s="343"/>
      <c r="Z9" s="345"/>
      <c r="AA9" s="345"/>
      <c r="AB9" s="343"/>
      <c r="AC9" s="343"/>
    </row>
    <row r="10" spans="1:29" ht="14.25" customHeight="1" x14ac:dyDescent="0.3">
      <c r="A10" s="338">
        <v>46203</v>
      </c>
      <c r="B10" s="347">
        <f t="shared" si="2"/>
        <v>-207.96</v>
      </c>
      <c r="C10" s="348" t="s">
        <v>946</v>
      </c>
      <c r="D10" s="342"/>
      <c r="E10" s="343"/>
      <c r="F10" s="345"/>
      <c r="G10" s="345"/>
      <c r="H10" s="343"/>
      <c r="I10" s="343"/>
      <c r="J10" s="345"/>
      <c r="K10" s="345"/>
      <c r="L10" s="343"/>
      <c r="M10" s="343"/>
      <c r="N10" s="345"/>
      <c r="O10" s="345"/>
      <c r="P10" s="343"/>
      <c r="Q10" s="343"/>
      <c r="R10" s="345">
        <v>207.96</v>
      </c>
      <c r="S10" s="345"/>
      <c r="T10" s="343"/>
      <c r="U10" s="343"/>
      <c r="V10" s="345"/>
      <c r="W10" s="345"/>
      <c r="X10" s="343"/>
      <c r="Y10" s="343"/>
      <c r="Z10" s="345"/>
      <c r="AA10" s="345"/>
      <c r="AB10" s="343"/>
      <c r="AC10" s="343"/>
    </row>
    <row r="11" spans="1:29" ht="14.25" customHeight="1" x14ac:dyDescent="0.3">
      <c r="A11" s="338">
        <v>46203</v>
      </c>
      <c r="B11" s="347">
        <f t="shared" si="2"/>
        <v>-1713.1</v>
      </c>
      <c r="C11" s="348" t="s">
        <v>531</v>
      </c>
      <c r="D11" s="342"/>
      <c r="E11" s="343"/>
      <c r="F11" s="345"/>
      <c r="G11" s="345"/>
      <c r="H11" s="343"/>
      <c r="I11" s="343"/>
      <c r="J11" s="345"/>
      <c r="K11" s="345"/>
      <c r="L11" s="343"/>
      <c r="M11" s="343"/>
      <c r="N11" s="345"/>
      <c r="O11" s="345"/>
      <c r="P11" s="343"/>
      <c r="Q11" s="343"/>
      <c r="R11" s="345">
        <v>1713.1</v>
      </c>
      <c r="S11" s="345"/>
      <c r="T11" s="343"/>
      <c r="U11" s="343"/>
      <c r="V11" s="345"/>
      <c r="W11" s="345"/>
      <c r="X11" s="343"/>
      <c r="Y11" s="343"/>
      <c r="Z11" s="345"/>
      <c r="AA11" s="345"/>
      <c r="AB11" s="343"/>
      <c r="AC11" s="343"/>
    </row>
    <row r="12" spans="1:29" ht="14.25" customHeight="1" x14ac:dyDescent="0.3">
      <c r="A12" s="338">
        <v>46189</v>
      </c>
      <c r="B12" s="347">
        <f t="shared" si="2"/>
        <v>53.17</v>
      </c>
      <c r="C12" s="348" t="s">
        <v>509</v>
      </c>
      <c r="D12" s="342"/>
      <c r="E12" s="343"/>
      <c r="F12" s="345"/>
      <c r="G12" s="345">
        <v>53.17</v>
      </c>
      <c r="H12" s="343"/>
      <c r="I12" s="343"/>
      <c r="J12" s="345"/>
      <c r="K12" s="345"/>
      <c r="L12" s="343"/>
      <c r="M12" s="343"/>
      <c r="N12" s="345"/>
      <c r="O12" s="345"/>
      <c r="P12" s="343"/>
      <c r="Q12" s="343"/>
      <c r="R12" s="345"/>
      <c r="S12" s="345"/>
      <c r="T12" s="343"/>
      <c r="U12" s="343"/>
      <c r="V12" s="345"/>
      <c r="W12" s="345"/>
      <c r="X12" s="343"/>
      <c r="Y12" s="343"/>
      <c r="Z12" s="345"/>
      <c r="AA12" s="345"/>
      <c r="AB12" s="343"/>
      <c r="AC12" s="343"/>
    </row>
    <row r="13" spans="1:29" ht="14.25" customHeight="1" x14ac:dyDescent="0.3">
      <c r="A13" s="338">
        <v>46186</v>
      </c>
      <c r="B13" s="347">
        <f t="shared" si="2"/>
        <v>57.38</v>
      </c>
      <c r="C13" s="348" t="s">
        <v>509</v>
      </c>
      <c r="D13" s="342"/>
      <c r="E13" s="343"/>
      <c r="F13" s="345"/>
      <c r="G13" s="345">
        <v>57.38</v>
      </c>
      <c r="H13" s="343"/>
      <c r="I13" s="343"/>
      <c r="J13" s="345"/>
      <c r="K13" s="345"/>
      <c r="L13" s="343"/>
      <c r="M13" s="343"/>
      <c r="N13" s="345"/>
      <c r="O13" s="345"/>
      <c r="P13" s="343"/>
      <c r="Q13" s="343"/>
      <c r="R13" s="345"/>
      <c r="S13" s="345"/>
      <c r="T13" s="343"/>
      <c r="U13" s="343"/>
      <c r="V13" s="345"/>
      <c r="W13" s="345"/>
      <c r="X13" s="343"/>
      <c r="Y13" s="343"/>
      <c r="Z13" s="345"/>
      <c r="AA13" s="345"/>
      <c r="AB13" s="343"/>
      <c r="AC13" s="343"/>
    </row>
    <row r="14" spans="1:29" ht="14.25" customHeight="1" x14ac:dyDescent="0.3">
      <c r="A14" s="338">
        <v>46184</v>
      </c>
      <c r="B14" s="347">
        <f t="shared" si="2"/>
        <v>-2159</v>
      </c>
      <c r="C14" s="348" t="s">
        <v>911</v>
      </c>
      <c r="D14" s="342"/>
      <c r="E14" s="343"/>
      <c r="F14" s="345"/>
      <c r="G14" s="345"/>
      <c r="H14" s="343"/>
      <c r="I14" s="343"/>
      <c r="J14" s="345">
        <v>2159</v>
      </c>
      <c r="K14" s="345"/>
      <c r="L14" s="343"/>
      <c r="M14" s="343"/>
      <c r="N14" s="345"/>
      <c r="O14" s="345"/>
      <c r="P14" s="343"/>
      <c r="Q14" s="343"/>
      <c r="R14" s="345"/>
      <c r="S14" s="345"/>
      <c r="T14" s="343"/>
      <c r="U14" s="343"/>
      <c r="V14" s="345"/>
      <c r="W14" s="345"/>
      <c r="X14" s="343"/>
      <c r="Y14" s="343"/>
      <c r="Z14" s="345"/>
      <c r="AA14" s="345"/>
      <c r="AB14" s="343"/>
      <c r="AC14" s="343"/>
    </row>
    <row r="15" spans="1:29" ht="14.25" customHeight="1" x14ac:dyDescent="0.3">
      <c r="A15" s="338">
        <v>46183</v>
      </c>
      <c r="B15" s="347">
        <f t="shared" si="2"/>
        <v>-816.19</v>
      </c>
      <c r="C15" s="348" t="s">
        <v>912</v>
      </c>
      <c r="D15" s="342"/>
      <c r="E15" s="343"/>
      <c r="F15" s="345"/>
      <c r="G15" s="345"/>
      <c r="H15" s="343">
        <v>816.19</v>
      </c>
      <c r="I15" s="343"/>
      <c r="J15" s="345"/>
      <c r="K15" s="345"/>
      <c r="L15" s="343"/>
      <c r="M15" s="343"/>
      <c r="N15" s="345"/>
      <c r="O15" s="345"/>
      <c r="P15" s="343"/>
      <c r="Q15" s="343"/>
      <c r="R15" s="345"/>
      <c r="S15" s="345"/>
      <c r="T15" s="343"/>
      <c r="U15" s="343"/>
      <c r="V15" s="345"/>
      <c r="W15" s="345"/>
      <c r="X15" s="343"/>
      <c r="Y15" s="343"/>
      <c r="Z15" s="345"/>
      <c r="AA15" s="345"/>
      <c r="AB15" s="343"/>
      <c r="AC15" s="343"/>
    </row>
    <row r="16" spans="1:29" ht="14.25" customHeight="1" x14ac:dyDescent="0.3">
      <c r="A16" s="338">
        <v>46180</v>
      </c>
      <c r="B16" s="347">
        <f t="shared" si="2"/>
        <v>-313.77999999999997</v>
      </c>
      <c r="C16" s="348" t="s">
        <v>890</v>
      </c>
      <c r="D16" s="342"/>
      <c r="E16" s="343"/>
      <c r="F16" s="345"/>
      <c r="G16" s="345"/>
      <c r="H16" s="343"/>
      <c r="I16" s="343"/>
      <c r="J16" s="345"/>
      <c r="K16" s="345"/>
      <c r="L16" s="343"/>
      <c r="M16" s="343"/>
      <c r="N16" s="345"/>
      <c r="O16" s="345"/>
      <c r="P16" s="343"/>
      <c r="Q16" s="343"/>
      <c r="R16" s="345"/>
      <c r="S16" s="345"/>
      <c r="T16" s="343">
        <v>313.77999999999997</v>
      </c>
      <c r="U16" s="343"/>
      <c r="V16" s="345"/>
      <c r="W16" s="345"/>
      <c r="X16" s="343"/>
      <c r="Y16" s="343"/>
      <c r="Z16" s="345"/>
      <c r="AA16" s="345"/>
      <c r="AB16" s="343"/>
      <c r="AC16" s="343"/>
    </row>
    <row r="17" spans="1:29" ht="14.25" customHeight="1" x14ac:dyDescent="0.3">
      <c r="A17" s="338">
        <v>46176</v>
      </c>
      <c r="B17" s="347">
        <f t="shared" si="2"/>
        <v>-1000</v>
      </c>
      <c r="C17" s="348" t="s">
        <v>901</v>
      </c>
      <c r="D17" s="342"/>
      <c r="E17" s="343"/>
      <c r="F17" s="345"/>
      <c r="G17" s="345"/>
      <c r="H17" s="343"/>
      <c r="I17" s="343"/>
      <c r="J17" s="345"/>
      <c r="K17" s="345"/>
      <c r="L17" s="343"/>
      <c r="M17" s="343"/>
      <c r="N17" s="345"/>
      <c r="O17" s="345"/>
      <c r="P17" s="343"/>
      <c r="Q17" s="343"/>
      <c r="R17" s="345"/>
      <c r="S17" s="345"/>
      <c r="T17" s="343">
        <v>1000</v>
      </c>
      <c r="U17" s="343"/>
      <c r="V17" s="345"/>
      <c r="W17" s="345"/>
      <c r="X17" s="343"/>
      <c r="Y17" s="343"/>
      <c r="Z17" s="345"/>
      <c r="AA17" s="345"/>
      <c r="AB17" s="343"/>
      <c r="AC17" s="343"/>
    </row>
    <row r="18" spans="1:29" ht="14.25" customHeight="1" x14ac:dyDescent="0.3">
      <c r="A18" s="338">
        <v>46174</v>
      </c>
      <c r="B18" s="347">
        <f t="shared" si="2"/>
        <v>-320</v>
      </c>
      <c r="C18" s="348" t="s">
        <v>913</v>
      </c>
      <c r="D18" s="342">
        <v>320</v>
      </c>
      <c r="E18" s="343"/>
      <c r="F18" s="345"/>
      <c r="G18" s="345"/>
      <c r="H18" s="343"/>
      <c r="I18" s="343"/>
      <c r="J18" s="345"/>
      <c r="K18" s="345"/>
      <c r="L18" s="343"/>
      <c r="M18" s="343"/>
      <c r="N18" s="345"/>
      <c r="O18" s="345"/>
      <c r="P18" s="343"/>
      <c r="Q18" s="343"/>
      <c r="R18" s="345"/>
      <c r="S18" s="345"/>
      <c r="T18" s="343"/>
      <c r="U18" s="343"/>
      <c r="V18" s="345"/>
      <c r="W18" s="345"/>
      <c r="X18" s="343"/>
      <c r="Y18" s="343"/>
      <c r="Z18" s="345"/>
      <c r="AA18" s="345"/>
      <c r="AB18" s="343"/>
      <c r="AC18" s="343"/>
    </row>
    <row r="19" spans="1:29" ht="14.25" customHeight="1" x14ac:dyDescent="0.3">
      <c r="A19" s="338">
        <v>46173</v>
      </c>
      <c r="B19" s="347">
        <f t="shared" si="2"/>
        <v>-3000</v>
      </c>
      <c r="C19" s="348" t="s">
        <v>897</v>
      </c>
      <c r="D19" s="342">
        <v>3000</v>
      </c>
      <c r="E19" s="343"/>
      <c r="F19" s="345"/>
      <c r="G19" s="345"/>
      <c r="H19" s="343"/>
      <c r="I19" s="343"/>
      <c r="J19" s="345"/>
      <c r="K19" s="345"/>
      <c r="L19" s="343"/>
      <c r="M19" s="343"/>
      <c r="N19" s="345"/>
      <c r="O19" s="345"/>
      <c r="P19" s="343"/>
      <c r="Q19" s="343"/>
      <c r="R19" s="345"/>
      <c r="S19" s="345"/>
      <c r="T19" s="343"/>
      <c r="U19" s="343"/>
      <c r="V19" s="345"/>
      <c r="W19" s="345"/>
      <c r="X19" s="343"/>
      <c r="Y19" s="343"/>
      <c r="Z19" s="345"/>
      <c r="AA19" s="345"/>
      <c r="AB19" s="343"/>
      <c r="AC19" s="343"/>
    </row>
    <row r="20" spans="1:29" ht="14.25" customHeight="1" x14ac:dyDescent="0.3">
      <c r="A20" s="338">
        <v>46173</v>
      </c>
      <c r="B20" s="347">
        <f t="shared" si="2"/>
        <v>-1000</v>
      </c>
      <c r="C20" s="348" t="s">
        <v>896</v>
      </c>
      <c r="D20" s="342">
        <v>1000</v>
      </c>
      <c r="E20" s="343"/>
      <c r="F20" s="345"/>
      <c r="G20" s="345"/>
      <c r="H20" s="343"/>
      <c r="I20" s="343"/>
      <c r="J20" s="345"/>
      <c r="K20" s="345"/>
      <c r="L20" s="343"/>
      <c r="M20" s="343"/>
      <c r="N20" s="345"/>
      <c r="O20" s="345"/>
      <c r="P20" s="343"/>
      <c r="Q20" s="343"/>
      <c r="R20" s="345"/>
      <c r="S20" s="345"/>
      <c r="T20" s="343"/>
      <c r="U20" s="343"/>
      <c r="V20" s="345"/>
      <c r="W20" s="345"/>
      <c r="X20" s="343"/>
      <c r="Y20" s="343"/>
      <c r="Z20" s="345"/>
      <c r="AA20" s="345"/>
      <c r="AB20" s="343"/>
      <c r="AC20" s="343"/>
    </row>
    <row r="21" spans="1:29" ht="14.25" customHeight="1" x14ac:dyDescent="0.3">
      <c r="A21" s="338">
        <v>46173</v>
      </c>
      <c r="B21" s="347">
        <f t="shared" si="2"/>
        <v>1160.3599999999999</v>
      </c>
      <c r="C21" s="348" t="s">
        <v>895</v>
      </c>
      <c r="D21" s="342"/>
      <c r="E21" s="343">
        <v>1160.3599999999999</v>
      </c>
      <c r="F21" s="345"/>
      <c r="G21" s="345"/>
      <c r="H21" s="343"/>
      <c r="I21" s="343"/>
      <c r="J21" s="345"/>
      <c r="K21" s="345"/>
      <c r="L21" s="343"/>
      <c r="M21" s="343"/>
      <c r="N21" s="345"/>
      <c r="O21" s="345"/>
      <c r="P21" s="343"/>
      <c r="Q21" s="343"/>
      <c r="R21" s="345"/>
      <c r="S21" s="345"/>
      <c r="T21" s="343"/>
      <c r="U21" s="343"/>
      <c r="V21" s="345"/>
      <c r="W21" s="345"/>
      <c r="X21" s="343"/>
      <c r="Y21" s="343"/>
      <c r="Z21" s="345"/>
      <c r="AA21" s="345"/>
      <c r="AB21" s="343"/>
      <c r="AC21" s="343"/>
    </row>
    <row r="22" spans="1:29" ht="14.25" customHeight="1" x14ac:dyDescent="0.3">
      <c r="A22" s="338">
        <v>46173</v>
      </c>
      <c r="B22" s="347">
        <f t="shared" ref="B22:B93" si="3">SUM(E22,U22,K22,G22,I22,S22,O22,M22,Q22,W22,Y22,AA22,AC22)-SUM(D22,F22,T22,H22,R22,N22,J22,L22,P22,V22,X22,Z22,AB22)</f>
        <v>2000</v>
      </c>
      <c r="C22" s="348" t="s">
        <v>886</v>
      </c>
      <c r="D22" s="342"/>
      <c r="E22" s="343"/>
      <c r="F22" s="345"/>
      <c r="G22" s="345"/>
      <c r="H22" s="343"/>
      <c r="I22" s="343">
        <v>350</v>
      </c>
      <c r="J22" s="345"/>
      <c r="K22" s="345">
        <v>320</v>
      </c>
      <c r="L22" s="343"/>
      <c r="M22" s="343">
        <v>25</v>
      </c>
      <c r="N22" s="345"/>
      <c r="O22" s="345">
        <v>25</v>
      </c>
      <c r="P22" s="343"/>
      <c r="Q22" s="343">
        <v>45</v>
      </c>
      <c r="R22" s="345"/>
      <c r="S22" s="345">
        <v>400</v>
      </c>
      <c r="T22" s="343"/>
      <c r="U22" s="343">
        <v>375</v>
      </c>
      <c r="V22" s="345"/>
      <c r="W22" s="345">
        <v>100</v>
      </c>
      <c r="X22" s="343"/>
      <c r="Y22" s="343">
        <v>85</v>
      </c>
      <c r="Z22" s="345"/>
      <c r="AA22" s="345">
        <v>230</v>
      </c>
      <c r="AB22" s="343"/>
      <c r="AC22" s="343">
        <v>45</v>
      </c>
    </row>
    <row r="23" spans="1:29" ht="14.25" customHeight="1" x14ac:dyDescent="0.3">
      <c r="A23" s="338">
        <v>46173</v>
      </c>
      <c r="B23" s="347">
        <f t="shared" si="3"/>
        <v>0.63</v>
      </c>
      <c r="C23" s="348" t="s">
        <v>505</v>
      </c>
      <c r="D23" s="342"/>
      <c r="E23" s="343"/>
      <c r="F23" s="345"/>
      <c r="G23" s="345">
        <v>0.63</v>
      </c>
      <c r="H23" s="343"/>
      <c r="I23" s="343"/>
      <c r="J23" s="345"/>
      <c r="K23" s="345"/>
      <c r="L23" s="343"/>
      <c r="M23" s="343"/>
      <c r="N23" s="345"/>
      <c r="O23" s="345"/>
      <c r="P23" s="343"/>
      <c r="Q23" s="343"/>
      <c r="R23" s="345"/>
      <c r="S23" s="345"/>
      <c r="T23" s="343"/>
      <c r="U23" s="343"/>
      <c r="V23" s="345"/>
      <c r="W23" s="345"/>
      <c r="X23" s="343"/>
      <c r="Y23" s="343"/>
      <c r="Z23" s="345"/>
      <c r="AA23" s="345"/>
      <c r="AB23" s="343"/>
      <c r="AC23" s="343"/>
    </row>
    <row r="24" spans="1:29" ht="14.25" customHeight="1" x14ac:dyDescent="0.3">
      <c r="A24" s="338">
        <v>46172</v>
      </c>
      <c r="B24" s="347">
        <f t="shared" si="3"/>
        <v>-530.36</v>
      </c>
      <c r="C24" s="348" t="s">
        <v>890</v>
      </c>
      <c r="D24" s="342"/>
      <c r="E24" s="343"/>
      <c r="F24" s="345"/>
      <c r="G24" s="345"/>
      <c r="H24" s="343"/>
      <c r="I24" s="343"/>
      <c r="J24" s="345"/>
      <c r="K24" s="345"/>
      <c r="L24" s="343"/>
      <c r="M24" s="343"/>
      <c r="N24" s="345"/>
      <c r="O24" s="345"/>
      <c r="P24" s="343"/>
      <c r="Q24" s="343"/>
      <c r="R24" s="345"/>
      <c r="S24" s="345"/>
      <c r="T24" s="343">
        <v>530.36</v>
      </c>
      <c r="U24" s="343"/>
      <c r="V24" s="345"/>
      <c r="W24" s="345"/>
      <c r="X24" s="343"/>
      <c r="Y24" s="343"/>
      <c r="Z24" s="345"/>
      <c r="AA24" s="345"/>
      <c r="AB24" s="343"/>
      <c r="AC24" s="343"/>
    </row>
    <row r="25" spans="1:29" ht="14.25" customHeight="1" x14ac:dyDescent="0.3">
      <c r="A25" s="338">
        <v>46168</v>
      </c>
      <c r="B25" s="347">
        <f t="shared" si="3"/>
        <v>-400</v>
      </c>
      <c r="C25" s="348" t="s">
        <v>887</v>
      </c>
      <c r="D25" s="342">
        <v>400</v>
      </c>
      <c r="E25" s="343"/>
      <c r="F25" s="345"/>
      <c r="G25" s="345"/>
      <c r="H25" s="343"/>
      <c r="I25" s="343"/>
      <c r="J25" s="345"/>
      <c r="K25" s="345"/>
      <c r="L25" s="343"/>
      <c r="M25" s="343"/>
      <c r="N25" s="345"/>
      <c r="O25" s="345"/>
      <c r="P25" s="343"/>
      <c r="Q25" s="343"/>
      <c r="R25" s="345"/>
      <c r="S25" s="345"/>
      <c r="T25" s="343"/>
      <c r="U25" s="343"/>
      <c r="V25" s="345"/>
      <c r="W25" s="345"/>
      <c r="X25" s="343"/>
      <c r="Y25" s="343"/>
      <c r="Z25" s="345"/>
      <c r="AA25" s="345"/>
      <c r="AB25" s="343"/>
      <c r="AC25" s="343"/>
    </row>
    <row r="26" spans="1:29" ht="14.25" customHeight="1" x14ac:dyDescent="0.3">
      <c r="A26" s="338">
        <v>46170</v>
      </c>
      <c r="B26" s="347">
        <f t="shared" si="3"/>
        <v>87.5</v>
      </c>
      <c r="C26" s="348" t="s">
        <v>509</v>
      </c>
      <c r="D26" s="342"/>
      <c r="E26" s="343"/>
      <c r="F26" s="345"/>
      <c r="G26" s="345">
        <v>87.5</v>
      </c>
      <c r="H26" s="343"/>
      <c r="I26" s="343"/>
      <c r="J26" s="345"/>
      <c r="K26" s="345"/>
      <c r="L26" s="343"/>
      <c r="M26" s="343"/>
      <c r="N26" s="345"/>
      <c r="O26" s="345"/>
      <c r="P26" s="343"/>
      <c r="Q26" s="343"/>
      <c r="R26" s="345"/>
      <c r="S26" s="345"/>
      <c r="T26" s="343"/>
      <c r="U26" s="343"/>
      <c r="V26" s="345"/>
      <c r="W26" s="345"/>
      <c r="X26" s="343"/>
      <c r="Y26" s="343"/>
      <c r="Z26" s="345"/>
      <c r="AA26" s="345"/>
      <c r="AB26" s="343"/>
      <c r="AC26" s="343"/>
    </row>
    <row r="27" spans="1:29" ht="14.25" customHeight="1" x14ac:dyDescent="0.3">
      <c r="A27" s="338">
        <v>46170</v>
      </c>
      <c r="B27" s="347">
        <f t="shared" si="3"/>
        <v>56.18</v>
      </c>
      <c r="C27" s="348" t="s">
        <v>504</v>
      </c>
      <c r="D27" s="342"/>
      <c r="E27" s="343"/>
      <c r="F27" s="345"/>
      <c r="G27" s="345">
        <v>56.18</v>
      </c>
      <c r="H27" s="343"/>
      <c r="I27" s="343"/>
      <c r="J27" s="345"/>
      <c r="K27" s="345"/>
      <c r="L27" s="343"/>
      <c r="M27" s="343"/>
      <c r="N27" s="345"/>
      <c r="O27" s="345"/>
      <c r="P27" s="343"/>
      <c r="Q27" s="343"/>
      <c r="R27" s="345"/>
      <c r="S27" s="345"/>
      <c r="T27" s="343"/>
      <c r="U27" s="343"/>
      <c r="V27" s="345"/>
      <c r="W27" s="345"/>
      <c r="X27" s="343"/>
      <c r="Y27" s="343"/>
      <c r="Z27" s="345"/>
      <c r="AA27" s="345"/>
      <c r="AB27" s="343"/>
      <c r="AC27" s="343"/>
    </row>
    <row r="28" spans="1:29" ht="14.25" customHeight="1" x14ac:dyDescent="0.3">
      <c r="A28" s="338">
        <v>46170</v>
      </c>
      <c r="B28" s="347">
        <f t="shared" si="3"/>
        <v>-4500</v>
      </c>
      <c r="C28" s="348" t="s">
        <v>512</v>
      </c>
      <c r="D28" s="342"/>
      <c r="E28" s="343"/>
      <c r="F28" s="345"/>
      <c r="G28" s="345"/>
      <c r="H28" s="343"/>
      <c r="I28" s="343"/>
      <c r="J28" s="345"/>
      <c r="K28" s="345"/>
      <c r="L28" s="343"/>
      <c r="M28" s="343"/>
      <c r="N28" s="345"/>
      <c r="O28" s="345"/>
      <c r="P28" s="343"/>
      <c r="Q28" s="343"/>
      <c r="R28" s="345"/>
      <c r="S28" s="345"/>
      <c r="T28" s="343">
        <v>4500</v>
      </c>
      <c r="U28" s="343"/>
      <c r="V28" s="345"/>
      <c r="W28" s="345"/>
      <c r="X28" s="343"/>
      <c r="Y28" s="343"/>
      <c r="Z28" s="345"/>
      <c r="AA28" s="345"/>
      <c r="AB28" s="343"/>
      <c r="AC28" s="343"/>
    </row>
    <row r="29" spans="1:29" ht="14.25" customHeight="1" x14ac:dyDescent="0.3">
      <c r="A29" s="338">
        <v>46166</v>
      </c>
      <c r="B29" s="347">
        <f t="shared" si="3"/>
        <v>-69.2</v>
      </c>
      <c r="C29" s="348" t="s">
        <v>858</v>
      </c>
      <c r="D29" s="342">
        <v>69.2</v>
      </c>
      <c r="E29" s="343"/>
      <c r="F29" s="345"/>
      <c r="G29" s="345"/>
      <c r="H29" s="343"/>
      <c r="I29" s="343"/>
      <c r="J29" s="345"/>
      <c r="K29" s="345"/>
      <c r="L29" s="343"/>
      <c r="M29" s="343"/>
      <c r="N29" s="345"/>
      <c r="O29" s="345"/>
      <c r="P29" s="343"/>
      <c r="Q29" s="343"/>
      <c r="R29" s="345"/>
      <c r="S29" s="345"/>
      <c r="T29" s="343"/>
      <c r="U29" s="343"/>
      <c r="V29" s="345"/>
      <c r="W29" s="345"/>
      <c r="X29" s="343"/>
      <c r="Y29" s="343"/>
      <c r="Z29" s="345"/>
      <c r="AA29" s="345"/>
      <c r="AB29" s="343"/>
      <c r="AC29" s="343"/>
    </row>
    <row r="30" spans="1:29" ht="14.25" customHeight="1" x14ac:dyDescent="0.3">
      <c r="A30" s="338">
        <v>46165</v>
      </c>
      <c r="B30" s="347">
        <f t="shared" si="3"/>
        <v>-138.44</v>
      </c>
      <c r="C30" s="348" t="s">
        <v>876</v>
      </c>
      <c r="D30" s="342">
        <v>138.44</v>
      </c>
      <c r="E30" s="343"/>
      <c r="F30" s="345"/>
      <c r="G30" s="345"/>
      <c r="H30" s="343"/>
      <c r="I30" s="343"/>
      <c r="J30" s="345"/>
      <c r="K30" s="345"/>
      <c r="L30" s="343"/>
      <c r="M30" s="343"/>
      <c r="N30" s="345"/>
      <c r="O30" s="345"/>
      <c r="P30" s="343"/>
      <c r="Q30" s="343"/>
      <c r="R30" s="345"/>
      <c r="S30" s="345"/>
      <c r="T30" s="343"/>
      <c r="U30" s="343"/>
      <c r="V30" s="345"/>
      <c r="W30" s="345"/>
      <c r="X30" s="343"/>
      <c r="Y30" s="343"/>
      <c r="Z30" s="345"/>
      <c r="AA30" s="345"/>
      <c r="AB30" s="343"/>
      <c r="AC30" s="343"/>
    </row>
    <row r="31" spans="1:29" ht="14.25" customHeight="1" x14ac:dyDescent="0.3">
      <c r="A31" s="338">
        <v>46158</v>
      </c>
      <c r="B31" s="347">
        <f t="shared" si="3"/>
        <v>-87.13</v>
      </c>
      <c r="C31" s="348" t="s">
        <v>847</v>
      </c>
      <c r="D31" s="342"/>
      <c r="E31" s="343"/>
      <c r="F31" s="345"/>
      <c r="G31" s="345"/>
      <c r="H31" s="343"/>
      <c r="I31" s="343"/>
      <c r="J31" s="345"/>
      <c r="K31" s="345"/>
      <c r="L31" s="343"/>
      <c r="M31" s="343"/>
      <c r="N31" s="345"/>
      <c r="O31" s="345"/>
      <c r="P31" s="343"/>
      <c r="Q31" s="343"/>
      <c r="R31" s="345"/>
      <c r="S31" s="345"/>
      <c r="T31" s="343">
        <v>87.13</v>
      </c>
      <c r="U31" s="343"/>
      <c r="V31" s="345"/>
      <c r="W31" s="345"/>
      <c r="X31" s="343"/>
      <c r="Y31" s="343"/>
      <c r="Z31" s="345"/>
      <c r="AA31" s="345"/>
      <c r="AB31" s="343"/>
      <c r="AC31" s="343"/>
    </row>
    <row r="32" spans="1:29" ht="14.25" customHeight="1" x14ac:dyDescent="0.3">
      <c r="A32" s="338">
        <v>46158</v>
      </c>
      <c r="B32" s="347">
        <f t="shared" si="3"/>
        <v>-95.85</v>
      </c>
      <c r="C32" s="348" t="s">
        <v>849</v>
      </c>
      <c r="D32" s="342"/>
      <c r="E32" s="343"/>
      <c r="F32" s="345"/>
      <c r="G32" s="345"/>
      <c r="H32" s="343"/>
      <c r="I32" s="343"/>
      <c r="J32" s="345"/>
      <c r="K32" s="345"/>
      <c r="L32" s="343"/>
      <c r="M32" s="343"/>
      <c r="N32" s="345"/>
      <c r="O32" s="345"/>
      <c r="P32" s="343"/>
      <c r="Q32" s="343"/>
      <c r="R32" s="345"/>
      <c r="S32" s="345"/>
      <c r="T32" s="343">
        <v>95.85</v>
      </c>
      <c r="U32" s="343"/>
      <c r="V32" s="345"/>
      <c r="W32" s="345"/>
      <c r="X32" s="343"/>
      <c r="Y32" s="343"/>
      <c r="Z32" s="345"/>
      <c r="AA32" s="345"/>
      <c r="AB32" s="343"/>
      <c r="AC32" s="343"/>
    </row>
    <row r="33" spans="1:29" ht="14.25" customHeight="1" x14ac:dyDescent="0.3">
      <c r="A33" s="338">
        <v>46157</v>
      </c>
      <c r="B33" s="347">
        <f t="shared" si="3"/>
        <v>-146.15</v>
      </c>
      <c r="C33" s="348" t="s">
        <v>506</v>
      </c>
      <c r="D33" s="342"/>
      <c r="E33" s="343"/>
      <c r="F33" s="345"/>
      <c r="G33" s="345"/>
      <c r="H33" s="343"/>
      <c r="I33" s="343"/>
      <c r="J33" s="345"/>
      <c r="K33" s="345"/>
      <c r="L33" s="343"/>
      <c r="M33" s="343"/>
      <c r="N33" s="345"/>
      <c r="O33" s="345"/>
      <c r="P33" s="343"/>
      <c r="Q33" s="343"/>
      <c r="R33" s="345"/>
      <c r="S33" s="345"/>
      <c r="T33" s="343">
        <v>146.15</v>
      </c>
      <c r="U33" s="343"/>
      <c r="V33" s="345"/>
      <c r="W33" s="345"/>
      <c r="X33" s="343"/>
      <c r="Y33" s="343"/>
      <c r="Z33" s="345"/>
      <c r="AA33" s="345"/>
      <c r="AB33" s="343"/>
      <c r="AC33" s="343"/>
    </row>
    <row r="34" spans="1:29" ht="14.25" customHeight="1" x14ac:dyDescent="0.3">
      <c r="A34" s="338">
        <v>46155</v>
      </c>
      <c r="B34" s="347">
        <f t="shared" si="3"/>
        <v>-221.4</v>
      </c>
      <c r="C34" s="348" t="s">
        <v>856</v>
      </c>
      <c r="D34" s="342"/>
      <c r="E34" s="343"/>
      <c r="F34" s="345"/>
      <c r="G34" s="345"/>
      <c r="H34" s="343">
        <v>221.4</v>
      </c>
      <c r="I34" s="343"/>
      <c r="J34" s="345"/>
      <c r="K34" s="345"/>
      <c r="L34" s="343"/>
      <c r="M34" s="343"/>
      <c r="N34" s="345"/>
      <c r="O34" s="345"/>
      <c r="P34" s="343"/>
      <c r="Q34" s="343"/>
      <c r="R34" s="345"/>
      <c r="S34" s="345"/>
      <c r="T34" s="343"/>
      <c r="U34" s="343"/>
      <c r="V34" s="345"/>
      <c r="W34" s="345"/>
      <c r="X34" s="343"/>
      <c r="Y34" s="343"/>
      <c r="Z34" s="345"/>
      <c r="AA34" s="345"/>
      <c r="AB34" s="343"/>
      <c r="AC34" s="343"/>
    </row>
    <row r="35" spans="1:29" ht="14.25" customHeight="1" x14ac:dyDescent="0.3">
      <c r="A35" s="338">
        <v>46155</v>
      </c>
      <c r="B35" s="347">
        <f t="shared" si="3"/>
        <v>444.44</v>
      </c>
      <c r="C35" s="348" t="s">
        <v>519</v>
      </c>
      <c r="D35" s="342"/>
      <c r="E35" s="343">
        <v>444.44</v>
      </c>
      <c r="F35" s="345"/>
      <c r="G35" s="345"/>
      <c r="H35" s="343"/>
      <c r="I35" s="343"/>
      <c r="J35" s="345"/>
      <c r="K35" s="345"/>
      <c r="L35" s="343"/>
      <c r="M35" s="343"/>
      <c r="N35" s="345"/>
      <c r="O35" s="345"/>
      <c r="P35" s="343"/>
      <c r="Q35" s="343"/>
      <c r="R35" s="345"/>
      <c r="S35" s="345"/>
      <c r="T35" s="343"/>
      <c r="U35" s="343"/>
      <c r="V35" s="345"/>
      <c r="W35" s="345"/>
      <c r="X35" s="343"/>
      <c r="Y35" s="343"/>
      <c r="Z35" s="345"/>
      <c r="AA35" s="345"/>
      <c r="AB35" s="343"/>
      <c r="AC35" s="343"/>
    </row>
    <row r="36" spans="1:29" ht="14.25" customHeight="1" x14ac:dyDescent="0.3">
      <c r="A36" s="338">
        <v>46155</v>
      </c>
      <c r="B36" s="347">
        <f t="shared" si="3"/>
        <v>351.69</v>
      </c>
      <c r="C36" s="348" t="s">
        <v>859</v>
      </c>
      <c r="D36" s="342"/>
      <c r="E36" s="343">
        <v>351.69</v>
      </c>
      <c r="F36" s="345"/>
      <c r="G36" s="345"/>
      <c r="H36" s="343"/>
      <c r="I36" s="343"/>
      <c r="J36" s="345"/>
      <c r="K36" s="345"/>
      <c r="L36" s="343"/>
      <c r="M36" s="343"/>
      <c r="N36" s="345"/>
      <c r="O36" s="345"/>
      <c r="P36" s="343"/>
      <c r="Q36" s="343"/>
      <c r="R36" s="345"/>
      <c r="S36" s="345"/>
      <c r="T36" s="343"/>
      <c r="U36" s="343"/>
      <c r="V36" s="345"/>
      <c r="W36" s="345"/>
      <c r="X36" s="343"/>
      <c r="Y36" s="343"/>
      <c r="Z36" s="345"/>
      <c r="AA36" s="345"/>
      <c r="AB36" s="343"/>
      <c r="AC36" s="343"/>
    </row>
    <row r="37" spans="1:29" ht="14.25" customHeight="1" x14ac:dyDescent="0.3">
      <c r="A37" s="338">
        <v>46153</v>
      </c>
      <c r="B37" s="347">
        <f t="shared" si="3"/>
        <v>-1045.8699999999999</v>
      </c>
      <c r="C37" s="348" t="s">
        <v>843</v>
      </c>
      <c r="D37" s="342"/>
      <c r="E37" s="343"/>
      <c r="F37" s="345"/>
      <c r="G37" s="345"/>
      <c r="H37" s="343"/>
      <c r="I37" s="343"/>
      <c r="J37" s="345"/>
      <c r="K37" s="345"/>
      <c r="L37" s="343"/>
      <c r="M37" s="343"/>
      <c r="N37" s="345"/>
      <c r="O37" s="345"/>
      <c r="P37" s="343"/>
      <c r="Q37" s="343"/>
      <c r="R37" s="345"/>
      <c r="S37" s="345"/>
      <c r="T37" s="343">
        <v>1045.8699999999999</v>
      </c>
      <c r="U37" s="343"/>
      <c r="V37" s="345"/>
      <c r="W37" s="345"/>
      <c r="X37" s="343"/>
      <c r="Y37" s="343"/>
      <c r="Z37" s="345"/>
      <c r="AA37" s="345"/>
      <c r="AB37" s="343"/>
      <c r="AC37" s="343"/>
    </row>
    <row r="38" spans="1:29" ht="14.25" customHeight="1" x14ac:dyDescent="0.3">
      <c r="A38" s="338">
        <v>46151</v>
      </c>
      <c r="B38" s="347">
        <f t="shared" si="3"/>
        <v>-903.88</v>
      </c>
      <c r="C38" s="348" t="s">
        <v>857</v>
      </c>
      <c r="D38" s="342"/>
      <c r="E38" s="343"/>
      <c r="F38" s="345"/>
      <c r="G38" s="345"/>
      <c r="H38" s="343"/>
      <c r="I38" s="343"/>
      <c r="J38" s="345"/>
      <c r="K38" s="345"/>
      <c r="L38" s="343"/>
      <c r="M38" s="343"/>
      <c r="N38" s="345"/>
      <c r="O38" s="345"/>
      <c r="P38" s="343"/>
      <c r="Q38" s="343"/>
      <c r="R38" s="345"/>
      <c r="S38" s="345"/>
      <c r="T38" s="343">
        <v>903.88</v>
      </c>
      <c r="U38" s="343"/>
      <c r="V38" s="345"/>
      <c r="W38" s="345"/>
      <c r="X38" s="343"/>
      <c r="Y38" s="343"/>
      <c r="Z38" s="345"/>
      <c r="AA38" s="345"/>
      <c r="AB38" s="343"/>
      <c r="AC38" s="343"/>
    </row>
    <row r="39" spans="1:29" ht="14.25" customHeight="1" x14ac:dyDescent="0.3">
      <c r="A39" s="338">
        <v>46149</v>
      </c>
      <c r="B39" s="347">
        <f t="shared" si="3"/>
        <v>69.400000000000006</v>
      </c>
      <c r="C39" s="348" t="s">
        <v>509</v>
      </c>
      <c r="D39" s="342"/>
      <c r="E39" s="343"/>
      <c r="F39" s="345"/>
      <c r="G39" s="345">
        <v>69.400000000000006</v>
      </c>
      <c r="H39" s="343"/>
      <c r="I39" s="343"/>
      <c r="J39" s="345"/>
      <c r="K39" s="345"/>
      <c r="L39" s="343"/>
      <c r="M39" s="343"/>
      <c r="N39" s="345"/>
      <c r="O39" s="345"/>
      <c r="P39" s="343"/>
      <c r="Q39" s="343"/>
      <c r="R39" s="345"/>
      <c r="S39" s="345"/>
      <c r="T39" s="343"/>
      <c r="U39" s="343"/>
      <c r="V39" s="345"/>
      <c r="W39" s="345"/>
      <c r="X39" s="343"/>
      <c r="Y39" s="343"/>
      <c r="Z39" s="345"/>
      <c r="AA39" s="345"/>
      <c r="AB39" s="343"/>
      <c r="AC39" s="343"/>
    </row>
    <row r="40" spans="1:29" ht="14.25" customHeight="1" x14ac:dyDescent="0.3">
      <c r="A40" s="338">
        <v>46148</v>
      </c>
      <c r="B40" s="347">
        <f t="shared" si="3"/>
        <v>-500.5</v>
      </c>
      <c r="C40" s="348" t="s">
        <v>212</v>
      </c>
      <c r="D40" s="342"/>
      <c r="E40" s="343"/>
      <c r="F40" s="345"/>
      <c r="G40" s="345"/>
      <c r="H40" s="343"/>
      <c r="I40" s="343"/>
      <c r="J40" s="345"/>
      <c r="K40" s="345"/>
      <c r="L40" s="343"/>
      <c r="M40" s="343"/>
      <c r="N40" s="345"/>
      <c r="O40" s="345"/>
      <c r="P40" s="343"/>
      <c r="Q40" s="343"/>
      <c r="R40" s="345"/>
      <c r="S40" s="345"/>
      <c r="T40" s="343"/>
      <c r="U40" s="343"/>
      <c r="V40" s="345"/>
      <c r="W40" s="345"/>
      <c r="X40" s="343">
        <v>500.5</v>
      </c>
      <c r="Y40" s="343"/>
      <c r="Z40" s="345"/>
      <c r="AA40" s="345"/>
      <c r="AB40" s="343"/>
      <c r="AC40" s="343"/>
    </row>
    <row r="41" spans="1:29" ht="14.25" customHeight="1" x14ac:dyDescent="0.3">
      <c r="A41" s="338">
        <v>46148</v>
      </c>
      <c r="B41" s="347">
        <f t="shared" si="3"/>
        <v>-457.94</v>
      </c>
      <c r="C41" s="348" t="s">
        <v>858</v>
      </c>
      <c r="D41" s="342">
        <v>457.94</v>
      </c>
      <c r="E41" s="343"/>
      <c r="F41" s="345"/>
      <c r="G41" s="345"/>
      <c r="H41" s="343"/>
      <c r="I41" s="343"/>
      <c r="J41" s="345"/>
      <c r="K41" s="345"/>
      <c r="L41" s="343"/>
      <c r="M41" s="343"/>
      <c r="N41" s="345"/>
      <c r="O41" s="345"/>
      <c r="P41" s="343"/>
      <c r="Q41" s="343"/>
      <c r="R41" s="345"/>
      <c r="S41" s="345"/>
      <c r="T41" s="343"/>
      <c r="U41" s="343"/>
      <c r="V41" s="345"/>
      <c r="W41" s="345"/>
      <c r="X41" s="343"/>
      <c r="Y41" s="343"/>
      <c r="Z41" s="345"/>
      <c r="AA41" s="345"/>
      <c r="AB41" s="343"/>
      <c r="AC41" s="343"/>
    </row>
    <row r="42" spans="1:29" ht="14.25" customHeight="1" x14ac:dyDescent="0.3">
      <c r="A42" s="338">
        <v>46142</v>
      </c>
      <c r="B42" s="347">
        <f t="shared" si="3"/>
        <v>5616.82</v>
      </c>
      <c r="C42" s="348" t="s">
        <v>285</v>
      </c>
      <c r="D42" s="342"/>
      <c r="E42" s="343">
        <v>5616.82</v>
      </c>
      <c r="F42" s="345"/>
      <c r="G42" s="345"/>
      <c r="H42" s="343"/>
      <c r="I42" s="343"/>
      <c r="J42" s="345"/>
      <c r="K42" s="345"/>
      <c r="L42" s="343"/>
      <c r="M42" s="343"/>
      <c r="N42" s="345"/>
      <c r="O42" s="345"/>
      <c r="P42" s="343"/>
      <c r="Q42" s="343"/>
      <c r="R42" s="345"/>
      <c r="S42" s="345"/>
      <c r="T42" s="343"/>
      <c r="U42" s="343"/>
      <c r="V42" s="345"/>
      <c r="W42" s="345"/>
      <c r="X42" s="343"/>
      <c r="Y42" s="343"/>
      <c r="Z42" s="345"/>
      <c r="AA42" s="345"/>
      <c r="AB42" s="343"/>
      <c r="AC42" s="343"/>
    </row>
    <row r="43" spans="1:29" ht="14.25" customHeight="1" x14ac:dyDescent="0.3">
      <c r="A43" s="338">
        <v>46142</v>
      </c>
      <c r="B43" s="347">
        <f t="shared" si="3"/>
        <v>2000</v>
      </c>
      <c r="C43" s="348" t="s">
        <v>503</v>
      </c>
      <c r="D43" s="342"/>
      <c r="E43" s="343"/>
      <c r="F43" s="345"/>
      <c r="G43" s="345"/>
      <c r="H43" s="343"/>
      <c r="I43" s="343">
        <v>350</v>
      </c>
      <c r="J43" s="345"/>
      <c r="K43" s="345">
        <v>320</v>
      </c>
      <c r="L43" s="343"/>
      <c r="M43" s="343">
        <v>25</v>
      </c>
      <c r="N43" s="345"/>
      <c r="O43" s="345">
        <v>25</v>
      </c>
      <c r="P43" s="343"/>
      <c r="Q43" s="343">
        <v>45</v>
      </c>
      <c r="R43" s="345"/>
      <c r="S43" s="345">
        <v>400</v>
      </c>
      <c r="T43" s="343"/>
      <c r="U43" s="343">
        <v>375</v>
      </c>
      <c r="V43" s="345"/>
      <c r="W43" s="345">
        <v>100</v>
      </c>
      <c r="X43" s="343"/>
      <c r="Y43" s="343">
        <v>85</v>
      </c>
      <c r="Z43" s="345"/>
      <c r="AA43" s="345">
        <v>230</v>
      </c>
      <c r="AB43" s="343"/>
      <c r="AC43" s="343">
        <v>45</v>
      </c>
    </row>
    <row r="44" spans="1:29" ht="14.25" customHeight="1" x14ac:dyDescent="0.3">
      <c r="A44" s="338">
        <v>46142</v>
      </c>
      <c r="B44" s="347">
        <f t="shared" si="3"/>
        <v>62.26</v>
      </c>
      <c r="C44" s="348" t="s">
        <v>504</v>
      </c>
      <c r="D44" s="342"/>
      <c r="E44" s="343"/>
      <c r="F44" s="345"/>
      <c r="G44" s="345">
        <v>62.26</v>
      </c>
      <c r="H44" s="343"/>
      <c r="I44" s="343"/>
      <c r="J44" s="345"/>
      <c r="K44" s="345"/>
      <c r="L44" s="343"/>
      <c r="M44" s="343"/>
      <c r="N44" s="345"/>
      <c r="O44" s="345"/>
      <c r="P44" s="343"/>
      <c r="Q44" s="343"/>
      <c r="R44" s="345"/>
      <c r="S44" s="345"/>
      <c r="T44" s="343"/>
      <c r="U44" s="343"/>
      <c r="V44" s="345"/>
      <c r="W44" s="345"/>
      <c r="X44" s="343"/>
      <c r="Y44" s="343"/>
      <c r="Z44" s="345"/>
      <c r="AA44" s="345"/>
      <c r="AB44" s="343"/>
      <c r="AC44" s="343"/>
    </row>
    <row r="45" spans="1:29" ht="14.25" customHeight="1" x14ac:dyDescent="0.3">
      <c r="A45" s="338">
        <v>46142</v>
      </c>
      <c r="B45" s="347">
        <f t="shared" si="3"/>
        <v>-185.64</v>
      </c>
      <c r="C45" s="348" t="s">
        <v>423</v>
      </c>
      <c r="D45" s="342"/>
      <c r="E45" s="343"/>
      <c r="F45" s="345"/>
      <c r="G45" s="345"/>
      <c r="H45" s="343"/>
      <c r="I45" s="343"/>
      <c r="J45" s="345"/>
      <c r="K45" s="345"/>
      <c r="L45" s="343"/>
      <c r="M45" s="343"/>
      <c r="N45" s="345"/>
      <c r="O45" s="345"/>
      <c r="P45" s="343">
        <v>92.82</v>
      </c>
      <c r="Q45" s="343"/>
      <c r="R45" s="345"/>
      <c r="S45" s="345"/>
      <c r="T45" s="343"/>
      <c r="U45" s="343"/>
      <c r="V45" s="345"/>
      <c r="W45" s="345"/>
      <c r="X45" s="343"/>
      <c r="Y45" s="343"/>
      <c r="Z45" s="345"/>
      <c r="AA45" s="345"/>
      <c r="AB45" s="343">
        <v>92.82</v>
      </c>
      <c r="AC45" s="343"/>
    </row>
    <row r="46" spans="1:29" ht="14.25" customHeight="1" x14ac:dyDescent="0.3">
      <c r="A46" s="338">
        <v>46142</v>
      </c>
      <c r="B46" s="347">
        <f t="shared" si="3"/>
        <v>-127.68</v>
      </c>
      <c r="C46" s="348" t="s">
        <v>315</v>
      </c>
      <c r="D46" s="342"/>
      <c r="E46" s="343"/>
      <c r="F46" s="345"/>
      <c r="G46" s="345"/>
      <c r="H46" s="343"/>
      <c r="I46" s="343"/>
      <c r="J46" s="345"/>
      <c r="K46" s="345"/>
      <c r="L46" s="343">
        <v>63.84</v>
      </c>
      <c r="M46" s="343"/>
      <c r="N46" s="345">
        <v>63.84</v>
      </c>
      <c r="O46" s="345"/>
      <c r="P46" s="343"/>
      <c r="Q46" s="343"/>
      <c r="R46" s="345"/>
      <c r="S46" s="345"/>
      <c r="T46" s="343"/>
      <c r="U46" s="343"/>
      <c r="V46" s="345"/>
      <c r="W46" s="345"/>
      <c r="X46" s="343"/>
      <c r="Y46" s="343"/>
      <c r="Z46" s="345"/>
      <c r="AA46" s="345"/>
      <c r="AB46" s="343"/>
      <c r="AC46" s="343"/>
    </row>
    <row r="47" spans="1:29" ht="14.25" customHeight="1" x14ac:dyDescent="0.3">
      <c r="A47" s="338">
        <v>46142</v>
      </c>
      <c r="B47" s="347">
        <f t="shared" si="3"/>
        <v>0.52</v>
      </c>
      <c r="C47" s="348" t="s">
        <v>505</v>
      </c>
      <c r="D47" s="342"/>
      <c r="E47" s="343"/>
      <c r="F47" s="345"/>
      <c r="G47" s="345">
        <v>0.52</v>
      </c>
      <c r="H47" s="343"/>
      <c r="I47" s="343"/>
      <c r="J47" s="345"/>
      <c r="K47" s="345"/>
      <c r="L47" s="343"/>
      <c r="M47" s="343"/>
      <c r="N47" s="345"/>
      <c r="O47" s="345"/>
      <c r="P47" s="343"/>
      <c r="Q47" s="343"/>
      <c r="R47" s="345"/>
      <c r="S47" s="345"/>
      <c r="T47" s="343"/>
      <c r="U47" s="343"/>
      <c r="V47" s="345"/>
      <c r="W47" s="345"/>
      <c r="X47" s="343"/>
      <c r="Y47" s="343"/>
      <c r="Z47" s="345"/>
      <c r="AA47" s="345"/>
      <c r="AB47" s="343"/>
      <c r="AC47" s="343"/>
    </row>
    <row r="48" spans="1:29" ht="14.25" customHeight="1" x14ac:dyDescent="0.3">
      <c r="A48" s="338">
        <v>46130</v>
      </c>
      <c r="B48" s="347">
        <f t="shared" si="3"/>
        <v>-578.57000000000005</v>
      </c>
      <c r="C48" s="348" t="s">
        <v>506</v>
      </c>
      <c r="D48" s="342"/>
      <c r="E48" s="343"/>
      <c r="F48" s="345"/>
      <c r="G48" s="345"/>
      <c r="H48" s="343"/>
      <c r="I48" s="343"/>
      <c r="J48" s="345"/>
      <c r="K48" s="345"/>
      <c r="L48" s="343"/>
      <c r="M48" s="343"/>
      <c r="N48" s="345"/>
      <c r="O48" s="345"/>
      <c r="P48" s="343"/>
      <c r="Q48" s="343"/>
      <c r="R48" s="345"/>
      <c r="S48" s="345"/>
      <c r="T48" s="343">
        <v>578.57000000000005</v>
      </c>
      <c r="U48" s="343"/>
      <c r="V48" s="345"/>
      <c r="W48" s="345"/>
      <c r="X48" s="343"/>
      <c r="Y48" s="343"/>
      <c r="Z48" s="345"/>
      <c r="AA48" s="345"/>
      <c r="AB48" s="343"/>
      <c r="AC48" s="343"/>
    </row>
    <row r="49" spans="1:29" ht="14.25" customHeight="1" x14ac:dyDescent="0.3">
      <c r="A49" s="338">
        <v>46130</v>
      </c>
      <c r="B49" s="347">
        <f t="shared" si="3"/>
        <v>-93.71</v>
      </c>
      <c r="C49" s="348" t="s">
        <v>507</v>
      </c>
      <c r="D49" s="342"/>
      <c r="E49" s="343"/>
      <c r="F49" s="345"/>
      <c r="G49" s="345"/>
      <c r="H49" s="343">
        <v>93.71</v>
      </c>
      <c r="I49" s="343"/>
      <c r="J49" s="345"/>
      <c r="K49" s="345"/>
      <c r="L49" s="343"/>
      <c r="M49" s="343"/>
      <c r="N49" s="345"/>
      <c r="O49" s="345"/>
      <c r="P49" s="343"/>
      <c r="Q49" s="343"/>
      <c r="R49" s="345"/>
      <c r="S49" s="345"/>
      <c r="T49" s="343"/>
      <c r="U49" s="343"/>
      <c r="V49" s="345"/>
      <c r="W49" s="345"/>
      <c r="X49" s="343"/>
      <c r="Y49" s="343"/>
      <c r="Z49" s="345"/>
      <c r="AA49" s="345"/>
      <c r="AB49" s="343"/>
      <c r="AC49" s="343"/>
    </row>
    <row r="50" spans="1:29" ht="14.25" customHeight="1" x14ac:dyDescent="0.3">
      <c r="A50" s="338">
        <v>46130</v>
      </c>
      <c r="B50" s="347">
        <f t="shared" si="3"/>
        <v>-318.36</v>
      </c>
      <c r="C50" s="348" t="s">
        <v>508</v>
      </c>
      <c r="D50" s="342"/>
      <c r="E50" s="343"/>
      <c r="F50" s="345"/>
      <c r="G50" s="345"/>
      <c r="H50" s="343"/>
      <c r="I50" s="343"/>
      <c r="J50" s="345"/>
      <c r="K50" s="345"/>
      <c r="L50" s="343"/>
      <c r="M50" s="343"/>
      <c r="N50" s="345"/>
      <c r="O50" s="345"/>
      <c r="P50" s="343"/>
      <c r="Q50" s="343"/>
      <c r="R50" s="345">
        <v>318.36</v>
      </c>
      <c r="S50" s="345"/>
      <c r="T50" s="343"/>
      <c r="U50" s="343"/>
      <c r="V50" s="345"/>
      <c r="W50" s="345"/>
      <c r="X50" s="343"/>
      <c r="Y50" s="343"/>
      <c r="Z50" s="345"/>
      <c r="AA50" s="345"/>
      <c r="AB50" s="343"/>
      <c r="AC50" s="343"/>
    </row>
    <row r="51" spans="1:29" ht="14.25" customHeight="1" x14ac:dyDescent="0.3">
      <c r="A51" s="338">
        <v>46129</v>
      </c>
      <c r="B51" s="347">
        <f t="shared" si="3"/>
        <v>62.19</v>
      </c>
      <c r="C51" s="348" t="s">
        <v>509</v>
      </c>
      <c r="D51" s="342"/>
      <c r="E51" s="343"/>
      <c r="F51" s="345"/>
      <c r="G51" s="345">
        <v>62.19</v>
      </c>
      <c r="H51" s="343"/>
      <c r="I51" s="343"/>
      <c r="J51" s="345"/>
      <c r="K51" s="345"/>
      <c r="L51" s="343"/>
      <c r="M51" s="343"/>
      <c r="N51" s="345"/>
      <c r="O51" s="345"/>
      <c r="P51" s="343"/>
      <c r="Q51" s="343"/>
      <c r="R51" s="345"/>
      <c r="S51" s="345"/>
      <c r="T51" s="343"/>
      <c r="U51" s="343"/>
      <c r="V51" s="345"/>
      <c r="W51" s="345"/>
      <c r="X51" s="343"/>
      <c r="Y51" s="343"/>
      <c r="Z51" s="345"/>
      <c r="AA51" s="345"/>
      <c r="AB51" s="343"/>
      <c r="AC51" s="343"/>
    </row>
    <row r="52" spans="1:29" ht="14.25" customHeight="1" x14ac:dyDescent="0.3">
      <c r="A52" s="338">
        <v>46112</v>
      </c>
      <c r="B52" s="347">
        <f t="shared" si="3"/>
        <v>4309.58</v>
      </c>
      <c r="C52" s="348" t="s">
        <v>510</v>
      </c>
      <c r="D52" s="342"/>
      <c r="E52" s="343">
        <v>4309.58</v>
      </c>
      <c r="F52" s="345"/>
      <c r="G52" s="345"/>
      <c r="H52" s="343"/>
      <c r="I52" s="343"/>
      <c r="J52" s="345"/>
      <c r="K52" s="345"/>
      <c r="L52" s="343"/>
      <c r="M52" s="343"/>
      <c r="N52" s="345"/>
      <c r="O52" s="345"/>
      <c r="P52" s="343"/>
      <c r="Q52" s="343"/>
      <c r="R52" s="345"/>
      <c r="S52" s="345"/>
      <c r="T52" s="343"/>
      <c r="U52" s="343"/>
      <c r="V52" s="345"/>
      <c r="W52" s="345"/>
      <c r="X52" s="343"/>
      <c r="Y52" s="343"/>
      <c r="Z52" s="345"/>
      <c r="AA52" s="345"/>
      <c r="AB52" s="343"/>
      <c r="AC52" s="343"/>
    </row>
    <row r="53" spans="1:29" ht="14.25" customHeight="1" x14ac:dyDescent="0.3">
      <c r="A53" s="338">
        <v>46112</v>
      </c>
      <c r="B53" s="347">
        <f t="shared" si="3"/>
        <v>2000</v>
      </c>
      <c r="C53" s="348" t="s">
        <v>511</v>
      </c>
      <c r="D53" s="342"/>
      <c r="E53" s="343"/>
      <c r="F53" s="345"/>
      <c r="G53" s="345"/>
      <c r="H53" s="343"/>
      <c r="I53" s="343">
        <v>350</v>
      </c>
      <c r="J53" s="345"/>
      <c r="K53" s="345">
        <v>320</v>
      </c>
      <c r="L53" s="343"/>
      <c r="M53" s="343">
        <v>25</v>
      </c>
      <c r="N53" s="345"/>
      <c r="O53" s="345">
        <v>25</v>
      </c>
      <c r="P53" s="343"/>
      <c r="Q53" s="343">
        <v>45</v>
      </c>
      <c r="R53" s="345"/>
      <c r="S53" s="345">
        <v>400</v>
      </c>
      <c r="T53" s="343"/>
      <c r="U53" s="343">
        <v>375</v>
      </c>
      <c r="V53" s="345"/>
      <c r="W53" s="345">
        <v>100</v>
      </c>
      <c r="X53" s="343"/>
      <c r="Y53" s="343">
        <v>85</v>
      </c>
      <c r="Z53" s="345"/>
      <c r="AA53" s="345">
        <v>230</v>
      </c>
      <c r="AB53" s="343"/>
      <c r="AC53" s="343">
        <v>45</v>
      </c>
    </row>
    <row r="54" spans="1:29" ht="14.25" customHeight="1" x14ac:dyDescent="0.3">
      <c r="A54" s="338">
        <v>46112</v>
      </c>
      <c r="B54" s="347">
        <f t="shared" si="3"/>
        <v>0.34</v>
      </c>
      <c r="C54" s="348" t="s">
        <v>505</v>
      </c>
      <c r="D54" s="342"/>
      <c r="E54" s="343"/>
      <c r="F54" s="345"/>
      <c r="G54" s="345">
        <v>0.34</v>
      </c>
      <c r="H54" s="343"/>
      <c r="I54" s="343"/>
      <c r="J54" s="345"/>
      <c r="K54" s="345"/>
      <c r="L54" s="343"/>
      <c r="M54" s="343"/>
      <c r="N54" s="345"/>
      <c r="O54" s="345"/>
      <c r="P54" s="343"/>
      <c r="Q54" s="343"/>
      <c r="R54" s="345"/>
      <c r="S54" s="345"/>
      <c r="T54" s="343"/>
      <c r="U54" s="343"/>
      <c r="V54" s="345"/>
      <c r="W54" s="345"/>
      <c r="X54" s="343"/>
      <c r="Y54" s="343"/>
      <c r="Z54" s="345"/>
      <c r="AA54" s="345"/>
      <c r="AB54" s="343"/>
      <c r="AC54" s="343"/>
    </row>
    <row r="55" spans="1:29" ht="14.25" customHeight="1" x14ac:dyDescent="0.3">
      <c r="A55" s="338">
        <v>46112</v>
      </c>
      <c r="B55" s="347">
        <f t="shared" si="3"/>
        <v>-1200</v>
      </c>
      <c r="C55" s="348" t="s">
        <v>512</v>
      </c>
      <c r="D55" s="342"/>
      <c r="E55" s="343"/>
      <c r="F55" s="345"/>
      <c r="G55" s="345"/>
      <c r="H55" s="343"/>
      <c r="I55" s="343"/>
      <c r="J55" s="345"/>
      <c r="K55" s="345"/>
      <c r="L55" s="343"/>
      <c r="M55" s="343"/>
      <c r="N55" s="345"/>
      <c r="O55" s="345"/>
      <c r="P55" s="343"/>
      <c r="Q55" s="343"/>
      <c r="R55" s="345"/>
      <c r="S55" s="345"/>
      <c r="T55" s="343">
        <v>1200</v>
      </c>
      <c r="U55" s="343"/>
      <c r="V55" s="345"/>
      <c r="W55" s="345"/>
      <c r="X55" s="343"/>
      <c r="Y55" s="343"/>
      <c r="Z55" s="345"/>
      <c r="AA55" s="345"/>
      <c r="AB55" s="343"/>
      <c r="AC55" s="343"/>
    </row>
    <row r="56" spans="1:29" ht="14.25" customHeight="1" x14ac:dyDescent="0.3">
      <c r="A56" s="338">
        <v>46108</v>
      </c>
      <c r="B56" s="347">
        <f t="shared" si="3"/>
        <v>68.72</v>
      </c>
      <c r="C56" s="348" t="s">
        <v>504</v>
      </c>
      <c r="D56" s="342"/>
      <c r="E56" s="343"/>
      <c r="F56" s="345"/>
      <c r="G56" s="345">
        <v>68.72</v>
      </c>
      <c r="H56" s="343"/>
      <c r="I56" s="343"/>
      <c r="J56" s="345"/>
      <c r="K56" s="345"/>
      <c r="L56" s="343"/>
      <c r="M56" s="343"/>
      <c r="N56" s="345"/>
      <c r="O56" s="345"/>
      <c r="P56" s="343"/>
      <c r="Q56" s="343"/>
      <c r="R56" s="345"/>
      <c r="S56" s="345"/>
      <c r="T56" s="343"/>
      <c r="U56" s="343"/>
      <c r="V56" s="345"/>
      <c r="W56" s="345"/>
      <c r="X56" s="343"/>
      <c r="Y56" s="343"/>
      <c r="Z56" s="345"/>
      <c r="AA56" s="345"/>
      <c r="AB56" s="343"/>
      <c r="AC56" s="343"/>
    </row>
    <row r="57" spans="1:29" ht="14.25" customHeight="1" x14ac:dyDescent="0.3">
      <c r="A57" s="338">
        <v>46104</v>
      </c>
      <c r="B57" s="347">
        <f t="shared" si="3"/>
        <v>-6</v>
      </c>
      <c r="C57" s="348" t="s">
        <v>513</v>
      </c>
      <c r="D57" s="342">
        <v>6</v>
      </c>
      <c r="E57" s="343"/>
      <c r="F57" s="345"/>
      <c r="G57" s="345"/>
      <c r="H57" s="343"/>
      <c r="I57" s="343"/>
      <c r="J57" s="345"/>
      <c r="K57" s="345"/>
      <c r="L57" s="343"/>
      <c r="M57" s="343"/>
      <c r="N57" s="345"/>
      <c r="O57" s="345"/>
      <c r="P57" s="343"/>
      <c r="Q57" s="343"/>
      <c r="R57" s="345"/>
      <c r="S57" s="345"/>
      <c r="T57" s="343"/>
      <c r="U57" s="343"/>
      <c r="V57" s="345"/>
      <c r="W57" s="345"/>
      <c r="X57" s="343"/>
      <c r="Y57" s="343"/>
      <c r="Z57" s="345"/>
      <c r="AA57" s="345"/>
      <c r="AB57" s="343"/>
      <c r="AC57" s="343"/>
    </row>
    <row r="58" spans="1:29" ht="14.25" customHeight="1" x14ac:dyDescent="0.3">
      <c r="A58" s="338">
        <v>46103</v>
      </c>
      <c r="B58" s="347">
        <f t="shared" si="3"/>
        <v>-100</v>
      </c>
      <c r="C58" s="348" t="s">
        <v>514</v>
      </c>
      <c r="D58" s="342">
        <v>100</v>
      </c>
      <c r="E58" s="343"/>
      <c r="F58" s="345"/>
      <c r="G58" s="345"/>
      <c r="H58" s="343"/>
      <c r="I58" s="343"/>
      <c r="J58" s="345"/>
      <c r="K58" s="345"/>
      <c r="L58" s="343"/>
      <c r="M58" s="343"/>
      <c r="N58" s="345"/>
      <c r="O58" s="345"/>
      <c r="P58" s="343"/>
      <c r="Q58" s="343"/>
      <c r="R58" s="345"/>
      <c r="S58" s="345"/>
      <c r="T58" s="343"/>
      <c r="U58" s="343"/>
      <c r="V58" s="345"/>
      <c r="W58" s="345"/>
      <c r="X58" s="343"/>
      <c r="Y58" s="343"/>
      <c r="Z58" s="345"/>
      <c r="AA58" s="345"/>
      <c r="AB58" s="343"/>
      <c r="AC58" s="343"/>
    </row>
    <row r="59" spans="1:29" ht="14.25" customHeight="1" x14ac:dyDescent="0.3">
      <c r="A59" s="338">
        <v>46103</v>
      </c>
      <c r="B59" s="347">
        <f t="shared" si="3"/>
        <v>-100</v>
      </c>
      <c r="C59" s="348" t="s">
        <v>515</v>
      </c>
      <c r="D59" s="342">
        <v>100</v>
      </c>
      <c r="E59" s="343"/>
      <c r="F59" s="345"/>
      <c r="G59" s="345"/>
      <c r="H59" s="343"/>
      <c r="I59" s="343"/>
      <c r="J59" s="345"/>
      <c r="K59" s="345"/>
      <c r="L59" s="343"/>
      <c r="M59" s="343"/>
      <c r="N59" s="345"/>
      <c r="O59" s="345"/>
      <c r="P59" s="343"/>
      <c r="Q59" s="343"/>
      <c r="R59" s="345"/>
      <c r="S59" s="345"/>
      <c r="T59" s="343"/>
      <c r="U59" s="343"/>
      <c r="V59" s="345"/>
      <c r="W59" s="345"/>
      <c r="X59" s="343"/>
      <c r="Y59" s="343"/>
      <c r="Z59" s="345"/>
      <c r="AA59" s="345"/>
      <c r="AB59" s="343"/>
      <c r="AC59" s="343"/>
    </row>
    <row r="60" spans="1:29" ht="14.25" customHeight="1" x14ac:dyDescent="0.3">
      <c r="A60" s="338">
        <v>46103</v>
      </c>
      <c r="B60" s="347">
        <f t="shared" si="3"/>
        <v>-50</v>
      </c>
      <c r="C60" s="348" t="s">
        <v>516</v>
      </c>
      <c r="D60" s="342">
        <v>50</v>
      </c>
      <c r="E60" s="343"/>
      <c r="F60" s="345"/>
      <c r="G60" s="345"/>
      <c r="H60" s="343"/>
      <c r="I60" s="343"/>
      <c r="J60" s="345"/>
      <c r="K60" s="345"/>
      <c r="L60" s="343"/>
      <c r="M60" s="343"/>
      <c r="N60" s="345"/>
      <c r="O60" s="345"/>
      <c r="P60" s="343"/>
      <c r="Q60" s="343"/>
      <c r="R60" s="345"/>
      <c r="S60" s="345"/>
      <c r="T60" s="343"/>
      <c r="U60" s="343"/>
      <c r="V60" s="345"/>
      <c r="W60" s="345"/>
      <c r="X60" s="343"/>
      <c r="Y60" s="343"/>
      <c r="Z60" s="345"/>
      <c r="AA60" s="345"/>
      <c r="AB60" s="343"/>
      <c r="AC60" s="343"/>
    </row>
    <row r="61" spans="1:29" ht="14.25" customHeight="1" x14ac:dyDescent="0.3">
      <c r="A61" s="338">
        <v>46103</v>
      </c>
      <c r="B61" s="347">
        <f t="shared" si="3"/>
        <v>-100</v>
      </c>
      <c r="C61" s="348" t="s">
        <v>517</v>
      </c>
      <c r="D61" s="342">
        <v>100</v>
      </c>
      <c r="E61" s="343"/>
      <c r="F61" s="345"/>
      <c r="G61" s="345"/>
      <c r="H61" s="343"/>
      <c r="I61" s="343"/>
      <c r="J61" s="345"/>
      <c r="K61" s="345"/>
      <c r="L61" s="343"/>
      <c r="M61" s="343"/>
      <c r="N61" s="345"/>
      <c r="O61" s="345"/>
      <c r="P61" s="343"/>
      <c r="Q61" s="343"/>
      <c r="R61" s="345"/>
      <c r="S61" s="345"/>
      <c r="T61" s="343"/>
      <c r="U61" s="343"/>
      <c r="V61" s="345"/>
      <c r="W61" s="345"/>
      <c r="X61" s="343"/>
      <c r="Y61" s="343"/>
      <c r="Z61" s="345"/>
      <c r="AA61" s="345"/>
      <c r="AB61" s="343"/>
      <c r="AC61" s="343"/>
    </row>
    <row r="62" spans="1:29" ht="14.25" customHeight="1" x14ac:dyDescent="0.3">
      <c r="A62" s="338">
        <v>46103</v>
      </c>
      <c r="B62" s="347">
        <f t="shared" si="3"/>
        <v>-100</v>
      </c>
      <c r="C62" s="348" t="s">
        <v>518</v>
      </c>
      <c r="D62" s="342">
        <v>100</v>
      </c>
      <c r="E62" s="343"/>
      <c r="F62" s="345"/>
      <c r="G62" s="345"/>
      <c r="H62" s="343"/>
      <c r="I62" s="343"/>
      <c r="J62" s="345"/>
      <c r="K62" s="345"/>
      <c r="L62" s="343"/>
      <c r="M62" s="343"/>
      <c r="N62" s="345"/>
      <c r="O62" s="345"/>
      <c r="P62" s="343"/>
      <c r="Q62" s="343"/>
      <c r="R62" s="345"/>
      <c r="S62" s="345"/>
      <c r="T62" s="343"/>
      <c r="U62" s="343"/>
      <c r="V62" s="345"/>
      <c r="W62" s="345"/>
      <c r="X62" s="343"/>
      <c r="Y62" s="343"/>
      <c r="Z62" s="345"/>
      <c r="AA62" s="345"/>
      <c r="AB62" s="343"/>
      <c r="AC62" s="343"/>
    </row>
    <row r="63" spans="1:29" ht="14.25" customHeight="1" x14ac:dyDescent="0.3">
      <c r="A63" s="338">
        <v>46102</v>
      </c>
      <c r="B63" s="347">
        <f t="shared" si="3"/>
        <v>-300</v>
      </c>
      <c r="C63" s="348" t="s">
        <v>519</v>
      </c>
      <c r="D63" s="342">
        <v>300</v>
      </c>
      <c r="E63" s="343"/>
      <c r="F63" s="345"/>
      <c r="G63" s="345"/>
      <c r="H63" s="343"/>
      <c r="I63" s="343"/>
      <c r="J63" s="345"/>
      <c r="K63" s="345"/>
      <c r="L63" s="343"/>
      <c r="M63" s="343"/>
      <c r="N63" s="345"/>
      <c r="O63" s="345"/>
      <c r="P63" s="343"/>
      <c r="Q63" s="343"/>
      <c r="R63" s="345"/>
      <c r="S63" s="345"/>
      <c r="T63" s="343"/>
      <c r="U63" s="343"/>
      <c r="V63" s="345"/>
      <c r="W63" s="345"/>
      <c r="X63" s="343"/>
      <c r="Y63" s="343"/>
      <c r="Z63" s="345"/>
      <c r="AA63" s="345"/>
      <c r="AB63" s="343"/>
      <c r="AC63" s="343"/>
    </row>
    <row r="64" spans="1:29" ht="14.25" customHeight="1" x14ac:dyDescent="0.3">
      <c r="A64" s="338">
        <v>46102</v>
      </c>
      <c r="B64" s="347">
        <f t="shared" si="3"/>
        <v>1384.5</v>
      </c>
      <c r="C64" s="348" t="s">
        <v>520</v>
      </c>
      <c r="D64" s="342"/>
      <c r="E64" s="343"/>
      <c r="F64" s="345"/>
      <c r="G64" s="345"/>
      <c r="H64" s="343"/>
      <c r="I64" s="343"/>
      <c r="J64" s="345"/>
      <c r="K64" s="345"/>
      <c r="L64" s="343"/>
      <c r="M64" s="343"/>
      <c r="N64" s="345"/>
      <c r="O64" s="345"/>
      <c r="P64" s="343"/>
      <c r="Q64" s="343"/>
      <c r="R64" s="345">
        <v>-1384.5</v>
      </c>
      <c r="S64" s="345"/>
      <c r="T64" s="343"/>
      <c r="U64" s="343"/>
      <c r="V64" s="345"/>
      <c r="W64" s="345"/>
      <c r="X64" s="343"/>
      <c r="Y64" s="343"/>
      <c r="Z64" s="345"/>
      <c r="AA64" s="345"/>
      <c r="AB64" s="343"/>
      <c r="AC64" s="343"/>
    </row>
    <row r="65" spans="1:29" ht="14.25" customHeight="1" x14ac:dyDescent="0.3">
      <c r="A65" s="338">
        <v>46094</v>
      </c>
      <c r="B65" s="347">
        <f t="shared" si="3"/>
        <v>55.66</v>
      </c>
      <c r="C65" s="348" t="s">
        <v>509</v>
      </c>
      <c r="D65" s="342"/>
      <c r="E65" s="343"/>
      <c r="F65" s="345"/>
      <c r="G65" s="345">
        <v>55.66</v>
      </c>
      <c r="H65" s="343"/>
      <c r="I65" s="343"/>
      <c r="J65" s="345"/>
      <c r="K65" s="345"/>
      <c r="L65" s="343"/>
      <c r="M65" s="343"/>
      <c r="N65" s="345"/>
      <c r="O65" s="345"/>
      <c r="P65" s="343"/>
      <c r="Q65" s="343"/>
      <c r="R65" s="345"/>
      <c r="S65" s="345"/>
      <c r="T65" s="343"/>
      <c r="U65" s="343"/>
      <c r="V65" s="345"/>
      <c r="W65" s="345"/>
      <c r="X65" s="343"/>
      <c r="Y65" s="343"/>
      <c r="Z65" s="345"/>
      <c r="AA65" s="345"/>
      <c r="AB65" s="343"/>
      <c r="AC65" s="343"/>
    </row>
    <row r="66" spans="1:29" ht="14.25" customHeight="1" x14ac:dyDescent="0.3">
      <c r="A66" s="338">
        <v>46090</v>
      </c>
      <c r="B66" s="347">
        <f t="shared" si="3"/>
        <v>-380</v>
      </c>
      <c r="C66" s="348" t="s">
        <v>521</v>
      </c>
      <c r="D66" s="342"/>
      <c r="E66" s="343"/>
      <c r="F66" s="345"/>
      <c r="G66" s="345"/>
      <c r="H66" s="343"/>
      <c r="I66" s="343"/>
      <c r="J66" s="345"/>
      <c r="K66" s="345"/>
      <c r="L66" s="343"/>
      <c r="M66" s="343"/>
      <c r="N66" s="345"/>
      <c r="O66" s="345"/>
      <c r="P66" s="343"/>
      <c r="Q66" s="343"/>
      <c r="R66" s="345">
        <v>380</v>
      </c>
      <c r="S66" s="345"/>
      <c r="T66" s="343"/>
      <c r="U66" s="343"/>
      <c r="V66" s="345"/>
      <c r="W66" s="345"/>
      <c r="X66" s="343"/>
      <c r="Y66" s="343"/>
      <c r="Z66" s="345"/>
      <c r="AA66" s="345"/>
      <c r="AB66" s="343"/>
      <c r="AC66" s="343"/>
    </row>
    <row r="67" spans="1:29" ht="14.25" customHeight="1" x14ac:dyDescent="0.3">
      <c r="A67" s="338">
        <v>46083</v>
      </c>
      <c r="B67" s="347">
        <f t="shared" si="3"/>
        <v>-185.64</v>
      </c>
      <c r="C67" s="348" t="s">
        <v>423</v>
      </c>
      <c r="D67" s="342"/>
      <c r="E67" s="343"/>
      <c r="F67" s="345"/>
      <c r="G67" s="345"/>
      <c r="H67" s="343"/>
      <c r="I67" s="343"/>
      <c r="J67" s="345"/>
      <c r="K67" s="345"/>
      <c r="L67" s="343"/>
      <c r="M67" s="343"/>
      <c r="N67" s="345"/>
      <c r="O67" s="345"/>
      <c r="P67" s="343">
        <v>92.82</v>
      </c>
      <c r="Q67" s="343"/>
      <c r="R67" s="345"/>
      <c r="S67" s="345"/>
      <c r="T67" s="343"/>
      <c r="U67" s="343"/>
      <c r="V67" s="345"/>
      <c r="W67" s="345"/>
      <c r="X67" s="343"/>
      <c r="Y67" s="343"/>
      <c r="Z67" s="345"/>
      <c r="AA67" s="345"/>
      <c r="AB67" s="343">
        <v>92.82</v>
      </c>
      <c r="AC67" s="343"/>
    </row>
    <row r="68" spans="1:29" ht="14.25" customHeight="1" x14ac:dyDescent="0.3">
      <c r="A68" s="338">
        <v>46081</v>
      </c>
      <c r="B68" s="347">
        <f t="shared" si="3"/>
        <v>3764.91</v>
      </c>
      <c r="C68" s="348" t="s">
        <v>425</v>
      </c>
      <c r="D68" s="342"/>
      <c r="E68" s="343">
        <v>3764.91</v>
      </c>
      <c r="F68" s="345"/>
      <c r="G68" s="345"/>
      <c r="H68" s="343"/>
      <c r="I68" s="343"/>
      <c r="J68" s="345"/>
      <c r="K68" s="345"/>
      <c r="L68" s="343"/>
      <c r="M68" s="343"/>
      <c r="N68" s="345"/>
      <c r="O68" s="345"/>
      <c r="P68" s="343"/>
      <c r="Q68" s="343"/>
      <c r="R68" s="345"/>
      <c r="S68" s="345"/>
      <c r="T68" s="343"/>
      <c r="U68" s="343"/>
      <c r="V68" s="345"/>
      <c r="W68" s="345"/>
      <c r="X68" s="343"/>
      <c r="Y68" s="343"/>
      <c r="Z68" s="345"/>
      <c r="AA68" s="345"/>
      <c r="AB68" s="343"/>
      <c r="AC68" s="343"/>
    </row>
    <row r="69" spans="1:29" ht="14.25" customHeight="1" x14ac:dyDescent="0.3">
      <c r="A69" s="338">
        <v>46081</v>
      </c>
      <c r="B69" s="347">
        <f t="shared" si="3"/>
        <v>2000</v>
      </c>
      <c r="C69" s="348" t="s">
        <v>522</v>
      </c>
      <c r="D69" s="342"/>
      <c r="E69" s="343"/>
      <c r="F69" s="345"/>
      <c r="G69" s="345"/>
      <c r="H69" s="343"/>
      <c r="I69" s="343">
        <v>350</v>
      </c>
      <c r="J69" s="345"/>
      <c r="K69" s="345">
        <v>320</v>
      </c>
      <c r="L69" s="343"/>
      <c r="M69" s="343">
        <v>25</v>
      </c>
      <c r="N69" s="345"/>
      <c r="O69" s="345">
        <v>25</v>
      </c>
      <c r="P69" s="343"/>
      <c r="Q69" s="343">
        <v>45</v>
      </c>
      <c r="R69" s="345"/>
      <c r="S69" s="345">
        <v>400</v>
      </c>
      <c r="T69" s="343"/>
      <c r="U69" s="343">
        <v>375</v>
      </c>
      <c r="V69" s="345"/>
      <c r="W69" s="345">
        <v>100</v>
      </c>
      <c r="X69" s="343"/>
      <c r="Y69" s="343">
        <v>85</v>
      </c>
      <c r="Z69" s="345"/>
      <c r="AA69" s="345">
        <v>230</v>
      </c>
      <c r="AB69" s="343"/>
      <c r="AC69" s="343">
        <v>45</v>
      </c>
    </row>
    <row r="70" spans="1:29" ht="14.25" customHeight="1" x14ac:dyDescent="0.3">
      <c r="A70" s="338">
        <v>46081</v>
      </c>
      <c r="B70" s="347">
        <f t="shared" si="3"/>
        <v>0.23</v>
      </c>
      <c r="C70" s="348" t="s">
        <v>505</v>
      </c>
      <c r="D70" s="342"/>
      <c r="E70" s="343"/>
      <c r="F70" s="345"/>
      <c r="G70" s="345">
        <v>0.23</v>
      </c>
      <c r="H70" s="343"/>
      <c r="I70" s="343"/>
      <c r="J70" s="345"/>
      <c r="K70" s="345"/>
      <c r="L70" s="343"/>
      <c r="M70" s="343"/>
      <c r="N70" s="345"/>
      <c r="O70" s="345"/>
      <c r="P70" s="343"/>
      <c r="Q70" s="343"/>
      <c r="R70" s="345"/>
      <c r="S70" s="345"/>
      <c r="T70" s="343"/>
      <c r="U70" s="343"/>
      <c r="V70" s="345"/>
      <c r="W70" s="345"/>
      <c r="X70" s="343"/>
      <c r="Y70" s="343"/>
      <c r="Z70" s="345"/>
      <c r="AA70" s="345"/>
      <c r="AB70" s="343"/>
      <c r="AC70" s="343"/>
    </row>
    <row r="71" spans="1:29" ht="14.25" customHeight="1" x14ac:dyDescent="0.3">
      <c r="A71" s="338">
        <v>46070</v>
      </c>
      <c r="B71" s="347">
        <f t="shared" si="3"/>
        <v>-1920</v>
      </c>
      <c r="C71" s="348" t="s">
        <v>523</v>
      </c>
      <c r="D71" s="342"/>
      <c r="E71" s="343"/>
      <c r="F71" s="345"/>
      <c r="G71" s="345"/>
      <c r="H71" s="343"/>
      <c r="I71" s="343"/>
      <c r="J71" s="345"/>
      <c r="K71" s="345"/>
      <c r="L71" s="343"/>
      <c r="M71" s="343"/>
      <c r="N71" s="345"/>
      <c r="O71" s="345"/>
      <c r="P71" s="343"/>
      <c r="Q71" s="343"/>
      <c r="R71" s="345"/>
      <c r="S71" s="345"/>
      <c r="T71" s="343">
        <v>1920</v>
      </c>
      <c r="U71" s="343"/>
      <c r="V71" s="345"/>
      <c r="W71" s="345"/>
      <c r="X71" s="343"/>
      <c r="Y71" s="343"/>
      <c r="Z71" s="345"/>
      <c r="AA71" s="345"/>
      <c r="AB71" s="343"/>
      <c r="AC71" s="343"/>
    </row>
    <row r="72" spans="1:29" ht="14.25" customHeight="1" x14ac:dyDescent="0.3">
      <c r="A72" s="338">
        <v>46069</v>
      </c>
      <c r="B72" s="347">
        <f t="shared" si="3"/>
        <v>-243.8</v>
      </c>
      <c r="C72" s="348" t="s">
        <v>523</v>
      </c>
      <c r="D72" s="342"/>
      <c r="E72" s="343"/>
      <c r="F72" s="345"/>
      <c r="G72" s="345"/>
      <c r="H72" s="343"/>
      <c r="I72" s="343"/>
      <c r="J72" s="345"/>
      <c r="K72" s="345"/>
      <c r="L72" s="343"/>
      <c r="M72" s="343"/>
      <c r="N72" s="345"/>
      <c r="O72" s="345"/>
      <c r="P72" s="343"/>
      <c r="Q72" s="343"/>
      <c r="R72" s="345"/>
      <c r="S72" s="345"/>
      <c r="T72" s="343">
        <v>243.8</v>
      </c>
      <c r="U72" s="343"/>
      <c r="V72" s="345"/>
      <c r="W72" s="345"/>
      <c r="X72" s="343"/>
      <c r="Y72" s="343"/>
      <c r="Z72" s="345"/>
      <c r="AA72" s="345"/>
      <c r="AB72" s="343"/>
      <c r="AC72" s="343"/>
    </row>
    <row r="73" spans="1:29" ht="14.25" customHeight="1" x14ac:dyDescent="0.3">
      <c r="A73" s="338">
        <v>46068</v>
      </c>
      <c r="B73" s="347">
        <f t="shared" si="3"/>
        <v>63.46</v>
      </c>
      <c r="C73" s="348" t="s">
        <v>509</v>
      </c>
      <c r="D73" s="342"/>
      <c r="E73" s="343"/>
      <c r="F73" s="345"/>
      <c r="G73" s="345">
        <v>63.46</v>
      </c>
      <c r="H73" s="343"/>
      <c r="I73" s="343"/>
      <c r="J73" s="345"/>
      <c r="K73" s="345"/>
      <c r="L73" s="343"/>
      <c r="M73" s="343"/>
      <c r="N73" s="345"/>
      <c r="O73" s="345"/>
      <c r="P73" s="343"/>
      <c r="Q73" s="343"/>
      <c r="R73" s="345"/>
      <c r="S73" s="345"/>
      <c r="T73" s="343"/>
      <c r="U73" s="343"/>
      <c r="V73" s="345"/>
      <c r="W73" s="345"/>
      <c r="X73" s="343"/>
      <c r="Y73" s="343"/>
      <c r="Z73" s="345"/>
      <c r="AA73" s="345"/>
      <c r="AB73" s="343"/>
      <c r="AC73" s="343"/>
    </row>
    <row r="74" spans="1:29" ht="14.25" customHeight="1" x14ac:dyDescent="0.3">
      <c r="A74" s="338">
        <v>46067</v>
      </c>
      <c r="B74" s="347">
        <f t="shared" si="3"/>
        <v>-1007.99</v>
      </c>
      <c r="C74" s="348" t="s">
        <v>524</v>
      </c>
      <c r="D74" s="342">
        <v>1007.99</v>
      </c>
      <c r="E74" s="343"/>
      <c r="F74" s="345"/>
      <c r="G74" s="345"/>
      <c r="H74" s="343"/>
      <c r="I74" s="343"/>
      <c r="J74" s="345"/>
      <c r="K74" s="345"/>
      <c r="L74" s="343"/>
      <c r="M74" s="343"/>
      <c r="N74" s="345"/>
      <c r="O74" s="345"/>
      <c r="P74" s="343"/>
      <c r="Q74" s="343"/>
      <c r="R74" s="345"/>
      <c r="S74" s="345"/>
      <c r="T74" s="343"/>
      <c r="U74" s="343"/>
      <c r="V74" s="345"/>
      <c r="W74" s="345"/>
      <c r="X74" s="343"/>
      <c r="Y74" s="343"/>
      <c r="Z74" s="345"/>
      <c r="AA74" s="345"/>
      <c r="AB74" s="343"/>
      <c r="AC74" s="343"/>
    </row>
    <row r="75" spans="1:29" ht="14.25" customHeight="1" x14ac:dyDescent="0.3">
      <c r="A75" s="338">
        <v>46063</v>
      </c>
      <c r="B75" s="347">
        <f t="shared" si="3"/>
        <v>-1276.4000000000001</v>
      </c>
      <c r="C75" s="348" t="s">
        <v>525</v>
      </c>
      <c r="D75" s="342"/>
      <c r="E75" s="343"/>
      <c r="F75" s="345"/>
      <c r="G75" s="345"/>
      <c r="H75" s="343"/>
      <c r="I75" s="343"/>
      <c r="J75" s="345"/>
      <c r="K75" s="345"/>
      <c r="L75" s="343"/>
      <c r="M75" s="343"/>
      <c r="N75" s="345"/>
      <c r="O75" s="345"/>
      <c r="P75" s="343"/>
      <c r="Q75" s="343"/>
      <c r="R75" s="345"/>
      <c r="S75" s="345"/>
      <c r="T75" s="343"/>
      <c r="U75" s="343"/>
      <c r="V75" s="345"/>
      <c r="W75" s="345"/>
      <c r="X75" s="343"/>
      <c r="Y75" s="343"/>
      <c r="Z75" s="345">
        <v>1276.4000000000001</v>
      </c>
      <c r="AA75" s="345"/>
      <c r="AB75" s="343"/>
      <c r="AC75" s="343"/>
    </row>
    <row r="76" spans="1:29" ht="14.25" customHeight="1" x14ac:dyDescent="0.3">
      <c r="A76" s="338">
        <v>46063</v>
      </c>
      <c r="B76" s="347">
        <f t="shared" si="3"/>
        <v>-955</v>
      </c>
      <c r="C76" s="348" t="s">
        <v>526</v>
      </c>
      <c r="D76" s="342"/>
      <c r="E76" s="343"/>
      <c r="F76" s="345"/>
      <c r="G76" s="345"/>
      <c r="H76" s="343"/>
      <c r="I76" s="343"/>
      <c r="J76" s="345"/>
      <c r="K76" s="345"/>
      <c r="L76" s="343"/>
      <c r="M76" s="343"/>
      <c r="N76" s="345"/>
      <c r="O76" s="345"/>
      <c r="P76" s="343"/>
      <c r="Q76" s="343"/>
      <c r="R76" s="345">
        <v>955</v>
      </c>
      <c r="S76" s="345"/>
      <c r="T76" s="343"/>
      <c r="U76" s="343"/>
      <c r="V76" s="345"/>
      <c r="W76" s="345"/>
      <c r="X76" s="343"/>
      <c r="Y76" s="343"/>
      <c r="Z76" s="345"/>
      <c r="AA76" s="345"/>
      <c r="AB76" s="343"/>
      <c r="AC76" s="343"/>
    </row>
    <row r="77" spans="1:29" ht="14.25" customHeight="1" x14ac:dyDescent="0.3">
      <c r="A77" s="338">
        <v>46063</v>
      </c>
      <c r="B77" s="347">
        <f t="shared" si="3"/>
        <v>59.19</v>
      </c>
      <c r="C77" s="348" t="s">
        <v>504</v>
      </c>
      <c r="D77" s="342"/>
      <c r="E77" s="343"/>
      <c r="F77" s="345"/>
      <c r="G77" s="345">
        <v>59.19</v>
      </c>
      <c r="H77" s="343"/>
      <c r="I77" s="343"/>
      <c r="J77" s="345"/>
      <c r="K77" s="345"/>
      <c r="L77" s="343"/>
      <c r="M77" s="343"/>
      <c r="N77" s="345"/>
      <c r="O77" s="345"/>
      <c r="P77" s="343"/>
      <c r="Q77" s="343"/>
      <c r="R77" s="345"/>
      <c r="S77" s="345"/>
      <c r="T77" s="343"/>
      <c r="U77" s="343"/>
      <c r="V77" s="345"/>
      <c r="W77" s="345"/>
      <c r="X77" s="343"/>
      <c r="Y77" s="343"/>
      <c r="Z77" s="345"/>
      <c r="AA77" s="345"/>
      <c r="AB77" s="343"/>
      <c r="AC77" s="343"/>
    </row>
    <row r="78" spans="1:29" ht="14.25" customHeight="1" x14ac:dyDescent="0.3">
      <c r="A78" s="338">
        <v>46061</v>
      </c>
      <c r="B78" s="347">
        <f t="shared" si="3"/>
        <v>-2203.44</v>
      </c>
      <c r="C78" s="348" t="s">
        <v>523</v>
      </c>
      <c r="D78" s="342"/>
      <c r="E78" s="343"/>
      <c r="F78" s="345"/>
      <c r="G78" s="345"/>
      <c r="H78" s="343"/>
      <c r="I78" s="343"/>
      <c r="J78" s="345"/>
      <c r="K78" s="345"/>
      <c r="L78" s="343"/>
      <c r="M78" s="343"/>
      <c r="N78" s="345"/>
      <c r="O78" s="345"/>
      <c r="P78" s="343"/>
      <c r="Q78" s="343"/>
      <c r="R78" s="345"/>
      <c r="S78" s="345"/>
      <c r="T78" s="343">
        <v>2203.44</v>
      </c>
      <c r="U78" s="343"/>
      <c r="V78" s="345"/>
      <c r="W78" s="345"/>
      <c r="X78" s="343"/>
      <c r="Y78" s="343"/>
      <c r="Z78" s="345"/>
      <c r="AA78" s="345"/>
      <c r="AB78" s="343"/>
      <c r="AC78" s="343"/>
    </row>
    <row r="79" spans="1:29" ht="14.25" customHeight="1" x14ac:dyDescent="0.3">
      <c r="A79" s="338">
        <v>46061</v>
      </c>
      <c r="B79" s="347">
        <f t="shared" si="3"/>
        <v>-831.92</v>
      </c>
      <c r="C79" s="348" t="s">
        <v>527</v>
      </c>
      <c r="D79" s="342"/>
      <c r="E79" s="343"/>
      <c r="F79" s="345"/>
      <c r="G79" s="345"/>
      <c r="H79" s="343"/>
      <c r="I79" s="343"/>
      <c r="J79" s="345"/>
      <c r="K79" s="345"/>
      <c r="L79" s="343"/>
      <c r="M79" s="343"/>
      <c r="N79" s="345"/>
      <c r="O79" s="345"/>
      <c r="P79" s="343"/>
      <c r="Q79" s="343"/>
      <c r="R79" s="345">
        <v>831.92</v>
      </c>
      <c r="S79" s="345"/>
      <c r="T79" s="343"/>
      <c r="U79" s="343"/>
      <c r="V79" s="345"/>
      <c r="W79" s="345"/>
      <c r="X79" s="343"/>
      <c r="Y79" s="343"/>
      <c r="Z79" s="345"/>
      <c r="AA79" s="345"/>
      <c r="AB79" s="343"/>
      <c r="AC79" s="343"/>
    </row>
    <row r="80" spans="1:29" ht="14.25" customHeight="1" x14ac:dyDescent="0.3">
      <c r="A80" s="338">
        <v>46055</v>
      </c>
      <c r="B80" s="347">
        <f t="shared" si="3"/>
        <v>-900</v>
      </c>
      <c r="C80" s="348" t="s">
        <v>512</v>
      </c>
      <c r="D80" s="342"/>
      <c r="E80" s="343"/>
      <c r="F80" s="345"/>
      <c r="G80" s="345"/>
      <c r="H80" s="343"/>
      <c r="I80" s="343"/>
      <c r="J80" s="345"/>
      <c r="K80" s="345"/>
      <c r="L80" s="343"/>
      <c r="M80" s="343"/>
      <c r="N80" s="345"/>
      <c r="O80" s="345"/>
      <c r="P80" s="343"/>
      <c r="Q80" s="343"/>
      <c r="R80" s="345"/>
      <c r="S80" s="345"/>
      <c r="T80" s="343">
        <v>900</v>
      </c>
      <c r="U80" s="343"/>
      <c r="V80" s="345"/>
      <c r="W80" s="345"/>
      <c r="X80" s="343"/>
      <c r="Y80" s="343"/>
      <c r="Z80" s="345"/>
      <c r="AA80" s="345"/>
      <c r="AB80" s="343"/>
      <c r="AC80" s="343"/>
    </row>
    <row r="81" spans="1:29" ht="14.25" customHeight="1" x14ac:dyDescent="0.3">
      <c r="A81" s="338">
        <v>46053</v>
      </c>
      <c r="B81" s="347">
        <f t="shared" si="3"/>
        <v>3194.64</v>
      </c>
      <c r="C81" s="348" t="s">
        <v>459</v>
      </c>
      <c r="D81" s="342"/>
      <c r="E81" s="343">
        <v>3194.64</v>
      </c>
      <c r="F81" s="345"/>
      <c r="G81" s="345"/>
      <c r="H81" s="343"/>
      <c r="I81" s="343"/>
      <c r="J81" s="345"/>
      <c r="K81" s="345"/>
      <c r="L81" s="343"/>
      <c r="M81" s="343"/>
      <c r="N81" s="345"/>
      <c r="O81" s="345"/>
      <c r="P81" s="343"/>
      <c r="Q81" s="343"/>
      <c r="R81" s="345"/>
      <c r="S81" s="345"/>
      <c r="T81" s="343"/>
      <c r="U81" s="343"/>
      <c r="V81" s="345"/>
      <c r="W81" s="345"/>
      <c r="X81" s="343"/>
      <c r="Y81" s="343"/>
      <c r="Z81" s="345"/>
      <c r="AA81" s="345"/>
      <c r="AB81" s="343"/>
      <c r="AC81" s="343"/>
    </row>
    <row r="82" spans="1:29" ht="14.25" customHeight="1" x14ac:dyDescent="0.3">
      <c r="A82" s="338">
        <v>46053</v>
      </c>
      <c r="B82" s="347">
        <f t="shared" si="3"/>
        <v>2000</v>
      </c>
      <c r="C82" s="348" t="s">
        <v>528</v>
      </c>
      <c r="D82" s="342"/>
      <c r="E82" s="343"/>
      <c r="F82" s="345"/>
      <c r="G82" s="345"/>
      <c r="H82" s="343"/>
      <c r="I82" s="343">
        <v>350</v>
      </c>
      <c r="J82" s="345"/>
      <c r="K82" s="345">
        <v>320</v>
      </c>
      <c r="L82" s="343"/>
      <c r="M82" s="343">
        <v>25</v>
      </c>
      <c r="N82" s="345"/>
      <c r="O82" s="345">
        <v>25</v>
      </c>
      <c r="P82" s="343"/>
      <c r="Q82" s="343">
        <v>45</v>
      </c>
      <c r="R82" s="345"/>
      <c r="S82" s="345">
        <v>400</v>
      </c>
      <c r="T82" s="343"/>
      <c r="U82" s="343">
        <v>375</v>
      </c>
      <c r="V82" s="345"/>
      <c r="W82" s="345">
        <v>100</v>
      </c>
      <c r="X82" s="343"/>
      <c r="Y82" s="343">
        <v>85</v>
      </c>
      <c r="Z82" s="345"/>
      <c r="AA82" s="345">
        <v>230</v>
      </c>
      <c r="AB82" s="343"/>
      <c r="AC82" s="343">
        <v>45</v>
      </c>
    </row>
    <row r="83" spans="1:29" ht="14.25" customHeight="1" x14ac:dyDescent="0.3">
      <c r="A83" s="338">
        <v>46053</v>
      </c>
      <c r="B83" s="347">
        <f t="shared" si="3"/>
        <v>0.38</v>
      </c>
      <c r="C83" s="348" t="s">
        <v>505</v>
      </c>
      <c r="D83" s="342"/>
      <c r="E83" s="343"/>
      <c r="F83" s="345"/>
      <c r="G83" s="345">
        <v>0.38</v>
      </c>
      <c r="H83" s="343"/>
      <c r="I83" s="343"/>
      <c r="J83" s="345"/>
      <c r="K83" s="345"/>
      <c r="L83" s="343"/>
      <c r="M83" s="343"/>
      <c r="N83" s="345"/>
      <c r="O83" s="345"/>
      <c r="P83" s="343"/>
      <c r="Q83" s="343"/>
      <c r="R83" s="345"/>
      <c r="S83" s="345"/>
      <c r="T83" s="343"/>
      <c r="U83" s="343"/>
      <c r="V83" s="345"/>
      <c r="W83" s="345"/>
      <c r="X83" s="343"/>
      <c r="Y83" s="343"/>
      <c r="Z83" s="345"/>
      <c r="AA83" s="345"/>
      <c r="AB83" s="343"/>
      <c r="AC83" s="343"/>
    </row>
    <row r="84" spans="1:29" ht="14.25" customHeight="1" x14ac:dyDescent="0.3">
      <c r="A84" s="338">
        <v>46053</v>
      </c>
      <c r="B84" s="347">
        <f t="shared" si="3"/>
        <v>54.55</v>
      </c>
      <c r="C84" s="348" t="s">
        <v>509</v>
      </c>
      <c r="D84" s="342"/>
      <c r="E84" s="343"/>
      <c r="F84" s="345"/>
      <c r="G84" s="345">
        <v>54.55</v>
      </c>
      <c r="H84" s="343"/>
      <c r="I84" s="343"/>
      <c r="J84" s="345"/>
      <c r="K84" s="345"/>
      <c r="L84" s="343"/>
      <c r="M84" s="343"/>
      <c r="N84" s="345"/>
      <c r="O84" s="345"/>
      <c r="P84" s="343"/>
      <c r="Q84" s="343"/>
      <c r="R84" s="345"/>
      <c r="S84" s="345"/>
      <c r="T84" s="343"/>
      <c r="U84" s="343"/>
      <c r="V84" s="345"/>
      <c r="W84" s="345"/>
      <c r="X84" s="343"/>
      <c r="Y84" s="343"/>
      <c r="Z84" s="345"/>
      <c r="AA84" s="345"/>
      <c r="AB84" s="343"/>
      <c r="AC84" s="343"/>
    </row>
    <row r="85" spans="1:29" ht="14.25" customHeight="1" x14ac:dyDescent="0.3">
      <c r="A85" s="338">
        <v>46048</v>
      </c>
      <c r="B85" s="347">
        <f t="shared" si="3"/>
        <v>-583</v>
      </c>
      <c r="C85" s="348" t="s">
        <v>529</v>
      </c>
      <c r="D85" s="342">
        <v>583</v>
      </c>
      <c r="E85" s="343"/>
      <c r="F85" s="345"/>
      <c r="G85" s="345"/>
      <c r="H85" s="343"/>
      <c r="I85" s="343"/>
      <c r="J85" s="345"/>
      <c r="K85" s="345"/>
      <c r="L85" s="343"/>
      <c r="M85" s="343"/>
      <c r="N85" s="345"/>
      <c r="O85" s="345"/>
      <c r="P85" s="343"/>
      <c r="Q85" s="343"/>
      <c r="R85" s="345"/>
      <c r="S85" s="345"/>
      <c r="T85" s="343"/>
      <c r="U85" s="343"/>
      <c r="V85" s="345"/>
      <c r="W85" s="345"/>
      <c r="X85" s="343"/>
      <c r="Y85" s="343"/>
      <c r="Z85" s="345"/>
      <c r="AA85" s="345"/>
      <c r="AB85" s="343"/>
      <c r="AC85" s="343"/>
    </row>
    <row r="86" spans="1:29" ht="14.25" customHeight="1" x14ac:dyDescent="0.3">
      <c r="A86" s="338">
        <v>46044</v>
      </c>
      <c r="B86" s="347">
        <f t="shared" si="3"/>
        <v>-126.24</v>
      </c>
      <c r="C86" s="348" t="s">
        <v>315</v>
      </c>
      <c r="D86" s="342"/>
      <c r="E86" s="343"/>
      <c r="F86" s="345"/>
      <c r="G86" s="345"/>
      <c r="H86" s="343"/>
      <c r="I86" s="343"/>
      <c r="J86" s="345"/>
      <c r="K86" s="345"/>
      <c r="L86" s="343">
        <v>63.12</v>
      </c>
      <c r="M86" s="343"/>
      <c r="N86" s="345">
        <v>63.12</v>
      </c>
      <c r="O86" s="345"/>
      <c r="P86" s="343"/>
      <c r="Q86" s="343"/>
      <c r="R86" s="345"/>
      <c r="S86" s="345"/>
      <c r="T86" s="343"/>
      <c r="U86" s="343"/>
      <c r="V86" s="345"/>
      <c r="W86" s="345"/>
      <c r="X86" s="343"/>
      <c r="Y86" s="343"/>
      <c r="Z86" s="345"/>
      <c r="AA86" s="345"/>
      <c r="AB86" s="343"/>
      <c r="AC86" s="343"/>
    </row>
    <row r="87" spans="1:29" ht="14.25" customHeight="1" x14ac:dyDescent="0.3">
      <c r="A87" s="338">
        <v>46043</v>
      </c>
      <c r="B87" s="347">
        <f t="shared" si="3"/>
        <v>-100</v>
      </c>
      <c r="C87" s="348" t="s">
        <v>530</v>
      </c>
      <c r="D87" s="342"/>
      <c r="E87" s="343"/>
      <c r="F87" s="345"/>
      <c r="G87" s="345"/>
      <c r="H87" s="343">
        <v>100</v>
      </c>
      <c r="I87" s="343"/>
      <c r="J87" s="345"/>
      <c r="K87" s="345"/>
      <c r="L87" s="343"/>
      <c r="M87" s="343"/>
      <c r="N87" s="345"/>
      <c r="O87" s="345"/>
      <c r="P87" s="343"/>
      <c r="Q87" s="343"/>
      <c r="R87" s="345"/>
      <c r="S87" s="345"/>
      <c r="T87" s="343"/>
      <c r="U87" s="343"/>
      <c r="V87" s="345"/>
      <c r="W87" s="345"/>
      <c r="X87" s="343"/>
      <c r="Y87" s="343"/>
      <c r="Z87" s="345"/>
      <c r="AA87" s="345"/>
      <c r="AB87" s="343"/>
      <c r="AC87" s="343"/>
    </row>
    <row r="88" spans="1:29" ht="14.25" customHeight="1" x14ac:dyDescent="0.3">
      <c r="A88" s="338">
        <v>46043</v>
      </c>
      <c r="B88" s="347">
        <f t="shared" si="3"/>
        <v>-2724</v>
      </c>
      <c r="C88" s="348" t="s">
        <v>531</v>
      </c>
      <c r="D88" s="342"/>
      <c r="E88" s="343"/>
      <c r="F88" s="345"/>
      <c r="G88" s="345"/>
      <c r="H88" s="343"/>
      <c r="I88" s="343"/>
      <c r="J88" s="345"/>
      <c r="K88" s="345"/>
      <c r="L88" s="343"/>
      <c r="M88" s="343"/>
      <c r="N88" s="345"/>
      <c r="O88" s="345"/>
      <c r="P88" s="343"/>
      <c r="Q88" s="343"/>
      <c r="R88" s="345">
        <v>2724</v>
      </c>
      <c r="S88" s="345"/>
      <c r="T88" s="343"/>
      <c r="U88" s="343"/>
      <c r="V88" s="345"/>
      <c r="W88" s="345"/>
      <c r="X88" s="343"/>
      <c r="Y88" s="343"/>
      <c r="Z88" s="345"/>
      <c r="AA88" s="345"/>
      <c r="AB88" s="343"/>
      <c r="AC88" s="343"/>
    </row>
    <row r="89" spans="1:29" ht="14.25" customHeight="1" x14ac:dyDescent="0.3">
      <c r="A89" s="338">
        <v>46038</v>
      </c>
      <c r="B89" s="347">
        <f t="shared" si="3"/>
        <v>55.69</v>
      </c>
      <c r="C89" s="348" t="s">
        <v>509</v>
      </c>
      <c r="D89" s="342"/>
      <c r="E89" s="343"/>
      <c r="F89" s="345"/>
      <c r="G89" s="345">
        <v>55.69</v>
      </c>
      <c r="H89" s="343"/>
      <c r="I89" s="343"/>
      <c r="J89" s="345"/>
      <c r="K89" s="345"/>
      <c r="L89" s="343"/>
      <c r="M89" s="343"/>
      <c r="N89" s="345"/>
      <c r="O89" s="345"/>
      <c r="P89" s="343"/>
      <c r="Q89" s="343"/>
      <c r="R89" s="345"/>
      <c r="S89" s="345"/>
      <c r="T89" s="343"/>
      <c r="U89" s="343"/>
      <c r="V89" s="345"/>
      <c r="W89" s="345"/>
      <c r="X89" s="343"/>
      <c r="Y89" s="343"/>
      <c r="Z89" s="345"/>
      <c r="AA89" s="345"/>
      <c r="AB89" s="343"/>
      <c r="AC89" s="343"/>
    </row>
    <row r="90" spans="1:29" ht="14.25" customHeight="1" x14ac:dyDescent="0.3">
      <c r="A90" s="338">
        <v>46030</v>
      </c>
      <c r="B90" s="347">
        <f t="shared" si="3"/>
        <v>1049.3699999999999</v>
      </c>
      <c r="C90" s="340" t="s">
        <v>532</v>
      </c>
      <c r="D90" s="342"/>
      <c r="E90" s="343">
        <v>1049.3699999999999</v>
      </c>
      <c r="F90" s="345"/>
      <c r="G90" s="345"/>
      <c r="H90" s="343"/>
      <c r="I90" s="343"/>
      <c r="J90" s="345"/>
      <c r="K90" s="345"/>
      <c r="L90" s="343"/>
      <c r="M90" s="343"/>
      <c r="N90" s="345"/>
      <c r="O90" s="345"/>
      <c r="P90" s="343"/>
      <c r="Q90" s="343"/>
      <c r="R90" s="345"/>
      <c r="S90" s="345"/>
      <c r="T90" s="343"/>
      <c r="U90" s="343"/>
      <c r="V90" s="345"/>
      <c r="W90" s="345"/>
      <c r="X90" s="343"/>
      <c r="Y90" s="343"/>
      <c r="Z90" s="345"/>
      <c r="AA90" s="345"/>
      <c r="AB90" s="343"/>
      <c r="AC90" s="343"/>
    </row>
    <row r="91" spans="1:29" ht="14.25" customHeight="1" x14ac:dyDescent="0.3">
      <c r="A91" s="338">
        <v>46027</v>
      </c>
      <c r="B91" s="347">
        <f t="shared" si="3"/>
        <v>-113.94</v>
      </c>
      <c r="C91" s="348" t="s">
        <v>533</v>
      </c>
      <c r="D91" s="342"/>
      <c r="E91" s="343"/>
      <c r="F91" s="345"/>
      <c r="G91" s="345"/>
      <c r="H91" s="343">
        <v>113.94</v>
      </c>
      <c r="I91" s="343"/>
      <c r="J91" s="345"/>
      <c r="K91" s="345"/>
      <c r="L91" s="343"/>
      <c r="M91" s="343"/>
      <c r="N91" s="345"/>
      <c r="O91" s="345"/>
      <c r="P91" s="343"/>
      <c r="Q91" s="343"/>
      <c r="R91" s="345"/>
      <c r="S91" s="345"/>
      <c r="T91" s="343"/>
      <c r="U91" s="343"/>
      <c r="V91" s="345"/>
      <c r="W91" s="345"/>
      <c r="X91" s="343"/>
      <c r="Y91" s="343"/>
      <c r="Z91" s="345"/>
      <c r="AA91" s="345"/>
      <c r="AB91" s="343"/>
      <c r="AC91" s="343"/>
    </row>
    <row r="92" spans="1:29" ht="14.25" customHeight="1" x14ac:dyDescent="0.3">
      <c r="A92" s="338">
        <v>46027</v>
      </c>
      <c r="B92" s="347">
        <f t="shared" si="3"/>
        <v>-622.1</v>
      </c>
      <c r="C92" s="348" t="s">
        <v>523</v>
      </c>
      <c r="D92" s="342"/>
      <c r="E92" s="343"/>
      <c r="F92" s="345"/>
      <c r="G92" s="345"/>
      <c r="H92" s="343"/>
      <c r="I92" s="343"/>
      <c r="J92" s="345"/>
      <c r="K92" s="345"/>
      <c r="L92" s="343"/>
      <c r="M92" s="343"/>
      <c r="N92" s="345"/>
      <c r="O92" s="345"/>
      <c r="P92" s="343"/>
      <c r="Q92" s="343"/>
      <c r="R92" s="345"/>
      <c r="S92" s="345"/>
      <c r="T92" s="343">
        <v>622.1</v>
      </c>
      <c r="U92" s="343"/>
      <c r="V92" s="345"/>
      <c r="W92" s="345"/>
      <c r="X92" s="343"/>
      <c r="Y92" s="343"/>
      <c r="Z92" s="345"/>
      <c r="AA92" s="345"/>
      <c r="AB92" s="343"/>
      <c r="AC92" s="343"/>
    </row>
    <row r="93" spans="1:29" ht="14.25" customHeight="1" x14ac:dyDescent="0.3">
      <c r="A93" s="338">
        <v>44562</v>
      </c>
      <c r="B93" s="347">
        <f t="shared" si="3"/>
        <v>12240.49</v>
      </c>
      <c r="C93" s="348" t="s">
        <v>534</v>
      </c>
      <c r="D93" s="342"/>
      <c r="E93" s="343">
        <v>1710.49</v>
      </c>
      <c r="F93" s="345"/>
      <c r="G93" s="345">
        <v>500</v>
      </c>
      <c r="H93" s="343"/>
      <c r="I93" s="343">
        <v>2000</v>
      </c>
      <c r="J93" s="345"/>
      <c r="K93" s="345">
        <v>1000</v>
      </c>
      <c r="L93" s="343"/>
      <c r="M93" s="343">
        <v>65</v>
      </c>
      <c r="N93" s="345"/>
      <c r="O93" s="345">
        <v>65</v>
      </c>
      <c r="P93" s="343"/>
      <c r="Q93" s="343">
        <v>100</v>
      </c>
      <c r="R93" s="345"/>
      <c r="S93" s="345">
        <v>2000</v>
      </c>
      <c r="T93" s="343"/>
      <c r="U93" s="343">
        <v>2500</v>
      </c>
      <c r="V93" s="345"/>
      <c r="W93" s="345">
        <v>500</v>
      </c>
      <c r="X93" s="343"/>
      <c r="Y93" s="343">
        <v>200</v>
      </c>
      <c r="Z93" s="345"/>
      <c r="AA93" s="345">
        <v>1500</v>
      </c>
      <c r="AB93" s="343"/>
      <c r="AC93" s="343">
        <v>100</v>
      </c>
    </row>
    <row r="94" spans="1:29" ht="14.25" customHeight="1" x14ac:dyDescent="0.3"/>
    <row r="95" spans="1:29" ht="14.25" customHeight="1" x14ac:dyDescent="0.3"/>
    <row r="96" spans="1:29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  <row r="1012" ht="14.25" customHeight="1" x14ac:dyDescent="0.3"/>
    <row r="1013" ht="14.25" customHeight="1" x14ac:dyDescent="0.3"/>
    <row r="1014" ht="14.25" customHeight="1" x14ac:dyDescent="0.3"/>
    <row r="1015" ht="14.25" customHeight="1" x14ac:dyDescent="0.3"/>
    <row r="1016" ht="14.25" customHeight="1" x14ac:dyDescent="0.3"/>
    <row r="1017" ht="14.25" customHeight="1" x14ac:dyDescent="0.3"/>
    <row r="1018" ht="14.25" customHeight="1" x14ac:dyDescent="0.3"/>
    <row r="1019" ht="14.25" customHeight="1" x14ac:dyDescent="0.3"/>
    <row r="1020" ht="14.25" customHeight="1" x14ac:dyDescent="0.3"/>
    <row r="1021" ht="14.25" customHeight="1" x14ac:dyDescent="0.3"/>
    <row r="1022" ht="14.25" customHeight="1" x14ac:dyDescent="0.3"/>
    <row r="1023" ht="14.25" customHeight="1" x14ac:dyDescent="0.3"/>
    <row r="1024" ht="14.25" customHeight="1" x14ac:dyDescent="0.3"/>
    <row r="1025" ht="14.25" customHeight="1" x14ac:dyDescent="0.3"/>
    <row r="1026" ht="14.25" customHeight="1" x14ac:dyDescent="0.3"/>
    <row r="1027" ht="14.25" customHeight="1" x14ac:dyDescent="0.3"/>
    <row r="1028" ht="14.25" customHeight="1" x14ac:dyDescent="0.3"/>
    <row r="1029" ht="14.25" customHeight="1" x14ac:dyDescent="0.3"/>
    <row r="1030" ht="14.25" customHeight="1" x14ac:dyDescent="0.3"/>
    <row r="1031" ht="14.25" customHeight="1" x14ac:dyDescent="0.3"/>
    <row r="1032" ht="14.25" customHeight="1" x14ac:dyDescent="0.3"/>
    <row r="1033" ht="14.25" customHeight="1" x14ac:dyDescent="0.3"/>
    <row r="1034" ht="14.25" customHeight="1" x14ac:dyDescent="0.3"/>
    <row r="1035" ht="14.25" customHeight="1" x14ac:dyDescent="0.3"/>
  </sheetData>
  <mergeCells count="26"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18"/>
      <c r="O1" s="118"/>
      <c r="P1" s="118"/>
      <c r="Q1" s="118"/>
    </row>
    <row r="2" spans="1:17" ht="14.25" customHeight="1" x14ac:dyDescent="0.3">
      <c r="B2" s="23"/>
      <c r="D2" s="25" t="s">
        <v>535</v>
      </c>
      <c r="E2" s="25" t="s">
        <v>536</v>
      </c>
      <c r="M2" s="12"/>
      <c r="N2" s="118"/>
      <c r="O2" s="118"/>
      <c r="P2" s="118"/>
      <c r="Q2" s="118"/>
    </row>
    <row r="3" spans="1:17" ht="14.25" customHeight="1" x14ac:dyDescent="0.3">
      <c r="A3" s="92" t="s">
        <v>525</v>
      </c>
      <c r="B3" s="23">
        <v>2700</v>
      </c>
      <c r="C3" s="92" t="s">
        <v>537</v>
      </c>
      <c r="D3" s="25">
        <f t="shared" ref="D3:D4" si="0">B3/12</f>
        <v>225</v>
      </c>
      <c r="E3" s="25">
        <f t="shared" ref="E3:E7" si="1">D3*12</f>
        <v>2700</v>
      </c>
      <c r="M3" s="12"/>
      <c r="N3" s="118"/>
      <c r="O3" s="118"/>
      <c r="P3" s="118"/>
      <c r="Q3" s="118"/>
    </row>
    <row r="4" spans="1:17" ht="14.25" customHeight="1" x14ac:dyDescent="0.3">
      <c r="A4" s="92" t="s">
        <v>538</v>
      </c>
      <c r="B4" s="23">
        <v>780</v>
      </c>
      <c r="C4" s="92" t="s">
        <v>537</v>
      </c>
      <c r="D4" s="25">
        <f t="shared" si="0"/>
        <v>65</v>
      </c>
      <c r="E4" s="25">
        <f t="shared" si="1"/>
        <v>780</v>
      </c>
      <c r="M4" s="12"/>
      <c r="N4" s="118"/>
      <c r="O4" s="118"/>
      <c r="P4" s="118"/>
      <c r="Q4" s="118"/>
    </row>
    <row r="5" spans="1:17" ht="14.25" customHeight="1" x14ac:dyDescent="0.3">
      <c r="A5" s="92" t="s">
        <v>207</v>
      </c>
      <c r="B5" s="23">
        <v>75</v>
      </c>
      <c r="C5" s="92" t="s">
        <v>539</v>
      </c>
      <c r="D5" s="25">
        <f>B5/3</f>
        <v>25</v>
      </c>
      <c r="E5" s="25">
        <f t="shared" si="1"/>
        <v>300</v>
      </c>
      <c r="M5" s="12"/>
      <c r="N5" s="118"/>
      <c r="O5" s="118"/>
      <c r="P5" s="118"/>
      <c r="Q5" s="118"/>
    </row>
    <row r="6" spans="1:17" ht="14.25" customHeight="1" x14ac:dyDescent="0.3">
      <c r="A6" s="92" t="s">
        <v>423</v>
      </c>
      <c r="B6" s="23">
        <v>90</v>
      </c>
      <c r="C6" s="92" t="s">
        <v>540</v>
      </c>
      <c r="D6" s="25">
        <f>B6/2</f>
        <v>45</v>
      </c>
      <c r="E6" s="25">
        <f t="shared" si="1"/>
        <v>540</v>
      </c>
      <c r="M6" s="12"/>
      <c r="N6" s="118"/>
      <c r="O6" s="118"/>
      <c r="P6" s="118"/>
      <c r="Q6" s="118"/>
    </row>
    <row r="7" spans="1:17" ht="14.25" customHeight="1" x14ac:dyDescent="0.3">
      <c r="A7" s="92" t="s">
        <v>541</v>
      </c>
      <c r="B7" s="23">
        <v>60</v>
      </c>
      <c r="C7" s="92" t="s">
        <v>542</v>
      </c>
      <c r="D7" s="25">
        <f>B7</f>
        <v>60</v>
      </c>
      <c r="E7" s="25">
        <f t="shared" si="1"/>
        <v>720</v>
      </c>
      <c r="M7" s="12"/>
      <c r="N7" s="118"/>
      <c r="O7" s="118"/>
      <c r="P7" s="118"/>
      <c r="Q7" s="118"/>
    </row>
    <row r="8" spans="1:17" ht="14.25" customHeight="1" x14ac:dyDescent="0.3">
      <c r="B8" s="23"/>
      <c r="D8" s="25"/>
      <c r="E8" s="25"/>
      <c r="M8" s="12"/>
      <c r="N8" s="118"/>
      <c r="O8" s="118"/>
      <c r="P8" s="118"/>
      <c r="Q8" s="118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18"/>
      <c r="O9" s="118"/>
      <c r="P9" s="118"/>
      <c r="Q9" s="118"/>
    </row>
    <row r="10" spans="1:17" ht="14.25" customHeight="1" x14ac:dyDescent="0.3">
      <c r="B10" s="23"/>
      <c r="D10" s="25"/>
      <c r="E10" s="25"/>
      <c r="M10" s="12"/>
      <c r="N10" s="118"/>
      <c r="O10" s="118"/>
      <c r="P10" s="118"/>
      <c r="Q10" s="118"/>
    </row>
    <row r="11" spans="1:17" ht="14.25" customHeight="1" x14ac:dyDescent="0.3">
      <c r="A11" s="92" t="s">
        <v>543</v>
      </c>
      <c r="B11" s="23">
        <v>100</v>
      </c>
      <c r="C11" s="92" t="s">
        <v>542</v>
      </c>
      <c r="D11" s="25">
        <f>B11</f>
        <v>100</v>
      </c>
      <c r="E11" s="25">
        <f>D11*12</f>
        <v>1200</v>
      </c>
      <c r="M11" s="12"/>
      <c r="N11" s="118"/>
      <c r="O11" s="118"/>
      <c r="P11" s="118"/>
      <c r="Q11" s="118"/>
    </row>
    <row r="12" spans="1:17" ht="14.25" customHeight="1" x14ac:dyDescent="0.3">
      <c r="B12" s="23"/>
      <c r="D12" s="25"/>
      <c r="E12" s="25"/>
      <c r="M12" s="12"/>
      <c r="N12" s="118"/>
      <c r="O12" s="118"/>
      <c r="P12" s="118"/>
      <c r="Q12" s="118"/>
    </row>
    <row r="13" spans="1:17" ht="14.25" customHeight="1" x14ac:dyDescent="0.3">
      <c r="A13" s="92" t="s">
        <v>544</v>
      </c>
      <c r="B13" s="23"/>
      <c r="D13" s="25">
        <f>SUM(D9+D11)</f>
        <v>520</v>
      </c>
      <c r="E13" s="25">
        <f>D13*12</f>
        <v>6240</v>
      </c>
      <c r="M13" s="12"/>
      <c r="N13" s="118"/>
      <c r="O13" s="118"/>
      <c r="P13" s="118"/>
      <c r="Q13" s="118"/>
    </row>
    <row r="14" spans="1:17" ht="14.25" customHeight="1" x14ac:dyDescent="0.3">
      <c r="B14" s="23"/>
      <c r="D14" s="25"/>
      <c r="E14" s="25"/>
      <c r="M14" s="12"/>
      <c r="N14" s="118"/>
      <c r="O14" s="118"/>
      <c r="P14" s="118"/>
      <c r="Q14" s="118"/>
    </row>
    <row r="15" spans="1:17" ht="14.25" customHeight="1" x14ac:dyDescent="0.3">
      <c r="B15" s="23"/>
      <c r="D15" s="25"/>
      <c r="E15" s="25"/>
      <c r="M15" s="12"/>
      <c r="N15" s="118"/>
      <c r="O15" s="118"/>
      <c r="P15" s="118"/>
      <c r="Q15" s="118"/>
    </row>
    <row r="16" spans="1:17" ht="14.25" customHeight="1" x14ac:dyDescent="0.3">
      <c r="A16" s="92" t="s">
        <v>545</v>
      </c>
      <c r="B16" s="23">
        <v>800</v>
      </c>
      <c r="C16" s="92" t="s">
        <v>542</v>
      </c>
      <c r="D16" s="25">
        <f>B16</f>
        <v>800</v>
      </c>
      <c r="E16" s="25">
        <f>D16*12</f>
        <v>9600</v>
      </c>
      <c r="M16" s="12"/>
      <c r="N16" s="118"/>
      <c r="O16" s="118"/>
      <c r="P16" s="118"/>
      <c r="Q16" s="118"/>
    </row>
    <row r="17" spans="1:17" ht="14.25" customHeight="1" x14ac:dyDescent="0.3">
      <c r="B17" s="23"/>
      <c r="D17" s="25"/>
      <c r="E17" s="25"/>
      <c r="M17" s="12"/>
      <c r="N17" s="118"/>
      <c r="O17" s="118"/>
      <c r="P17" s="118"/>
      <c r="Q17" s="118"/>
    </row>
    <row r="18" spans="1:17" ht="14.25" customHeight="1" x14ac:dyDescent="0.3">
      <c r="A18" s="92" t="s">
        <v>546</v>
      </c>
      <c r="B18" s="23"/>
      <c r="D18" s="25">
        <f>D16-D13</f>
        <v>280</v>
      </c>
      <c r="E18" s="25">
        <f>D18*12</f>
        <v>3360</v>
      </c>
      <c r="M18" s="12"/>
      <c r="N18" s="118"/>
      <c r="O18" s="118"/>
      <c r="P18" s="118"/>
      <c r="Q18" s="118"/>
    </row>
    <row r="19" spans="1:17" ht="14.25" customHeight="1" x14ac:dyDescent="0.3">
      <c r="A19" s="92" t="s">
        <v>547</v>
      </c>
      <c r="B19" s="23"/>
      <c r="D19" s="25"/>
      <c r="E19" s="50">
        <f>(E16-E13)/E13</f>
        <v>0.53846153846153844</v>
      </c>
      <c r="M19" s="12"/>
      <c r="N19" s="118"/>
      <c r="O19" s="118"/>
      <c r="P19" s="118"/>
      <c r="Q19" s="118"/>
    </row>
    <row r="20" spans="1:17" ht="14.25" customHeight="1" x14ac:dyDescent="0.3">
      <c r="B20" s="23"/>
      <c r="D20" s="25"/>
      <c r="E20" s="25"/>
      <c r="M20" s="12"/>
      <c r="N20" s="118"/>
      <c r="O20" s="118"/>
      <c r="P20" s="118"/>
      <c r="Q20" s="118"/>
    </row>
    <row r="21" spans="1:17" ht="14.25" customHeight="1" x14ac:dyDescent="0.3">
      <c r="B21" s="23"/>
      <c r="D21" s="25"/>
      <c r="E21" s="25"/>
      <c r="M21" s="12"/>
      <c r="N21" s="118"/>
      <c r="O21" s="118"/>
      <c r="P21" s="118"/>
      <c r="Q21" s="118"/>
    </row>
    <row r="22" spans="1:17" ht="14.25" customHeight="1" x14ac:dyDescent="0.3">
      <c r="B22" s="23"/>
      <c r="D22" s="25"/>
      <c r="E22" s="25"/>
      <c r="M22" s="12"/>
      <c r="N22" s="118"/>
      <c r="O22" s="118"/>
      <c r="P22" s="118"/>
      <c r="Q22" s="118"/>
    </row>
    <row r="23" spans="1:17" ht="14.25" customHeight="1" x14ac:dyDescent="0.3">
      <c r="B23" s="23"/>
      <c r="D23" s="25"/>
      <c r="E23" s="25"/>
      <c r="M23" s="12"/>
      <c r="N23" s="118"/>
      <c r="O23" s="118"/>
      <c r="P23" s="118"/>
      <c r="Q23" s="118"/>
    </row>
    <row r="24" spans="1:17" ht="14.25" customHeight="1" x14ac:dyDescent="0.3">
      <c r="B24" s="23"/>
      <c r="D24" s="25"/>
      <c r="E24" s="25"/>
      <c r="M24" s="12"/>
      <c r="N24" s="118"/>
      <c r="O24" s="118"/>
      <c r="P24" s="118"/>
      <c r="Q24" s="118"/>
    </row>
    <row r="25" spans="1:17" ht="14.25" customHeight="1" x14ac:dyDescent="0.3">
      <c r="B25" s="23"/>
      <c r="D25" s="25"/>
      <c r="E25" s="25"/>
      <c r="M25" s="12"/>
      <c r="N25" s="118"/>
      <c r="O25" s="118"/>
      <c r="P25" s="118"/>
      <c r="Q25" s="118"/>
    </row>
    <row r="26" spans="1:17" ht="14.25" customHeight="1" x14ac:dyDescent="0.3">
      <c r="B26" s="23"/>
      <c r="D26" s="25"/>
      <c r="E26" s="25"/>
      <c r="M26" s="12"/>
      <c r="N26" s="118"/>
      <c r="O26" s="118"/>
      <c r="P26" s="118"/>
      <c r="Q26" s="118"/>
    </row>
    <row r="27" spans="1:17" ht="14.25" customHeight="1" x14ac:dyDescent="0.3">
      <c r="B27" s="23"/>
      <c r="D27" s="25"/>
      <c r="E27" s="25"/>
      <c r="M27" s="12"/>
      <c r="N27" s="118"/>
      <c r="O27" s="118"/>
      <c r="P27" s="118"/>
      <c r="Q27" s="118"/>
    </row>
    <row r="28" spans="1:17" ht="14.25" customHeight="1" x14ac:dyDescent="0.3">
      <c r="B28" s="23"/>
      <c r="D28" s="25"/>
      <c r="E28" s="25"/>
      <c r="M28" s="12"/>
      <c r="N28" s="118"/>
      <c r="O28" s="118"/>
      <c r="P28" s="118"/>
      <c r="Q28" s="118"/>
    </row>
    <row r="29" spans="1:17" ht="14.25" customHeight="1" x14ac:dyDescent="0.3">
      <c r="B29" s="23"/>
      <c r="D29" s="25"/>
      <c r="E29" s="25"/>
      <c r="M29" s="12"/>
      <c r="N29" s="118"/>
      <c r="O29" s="118"/>
      <c r="P29" s="118"/>
      <c r="Q29" s="118"/>
    </row>
    <row r="30" spans="1:17" ht="14.25" customHeight="1" x14ac:dyDescent="0.3">
      <c r="B30" s="23"/>
      <c r="D30" s="25"/>
      <c r="E30" s="25"/>
      <c r="M30" s="12"/>
      <c r="N30" s="118"/>
      <c r="O30" s="118"/>
      <c r="P30" s="118"/>
      <c r="Q30" s="118"/>
    </row>
    <row r="31" spans="1:17" ht="14.25" customHeight="1" x14ac:dyDescent="0.3">
      <c r="B31" s="23"/>
      <c r="D31" s="25"/>
      <c r="E31" s="25"/>
      <c r="M31" s="12"/>
      <c r="N31" s="118"/>
      <c r="O31" s="118"/>
      <c r="P31" s="118"/>
      <c r="Q31" s="118"/>
    </row>
    <row r="32" spans="1:17" ht="14.25" customHeight="1" x14ac:dyDescent="0.3">
      <c r="B32" s="23"/>
      <c r="D32" s="25"/>
      <c r="E32" s="25"/>
      <c r="M32" s="12"/>
      <c r="N32" s="118"/>
      <c r="O32" s="118"/>
      <c r="P32" s="118"/>
      <c r="Q32" s="118"/>
    </row>
    <row r="33" spans="2:17" ht="14.25" customHeight="1" x14ac:dyDescent="0.3">
      <c r="B33" s="23"/>
      <c r="D33" s="25"/>
      <c r="E33" s="25"/>
      <c r="M33" s="12"/>
      <c r="N33" s="118"/>
      <c r="O33" s="118"/>
      <c r="P33" s="118"/>
      <c r="Q33" s="118"/>
    </row>
    <row r="34" spans="2:17" ht="14.25" customHeight="1" x14ac:dyDescent="0.3">
      <c r="B34" s="23"/>
      <c r="D34" s="25"/>
      <c r="E34" s="25"/>
      <c r="M34" s="12"/>
      <c r="N34" s="118"/>
      <c r="O34" s="118"/>
      <c r="P34" s="118"/>
      <c r="Q34" s="118"/>
    </row>
    <row r="35" spans="2:17" ht="14.25" customHeight="1" x14ac:dyDescent="0.3">
      <c r="B35" s="23"/>
      <c r="D35" s="25"/>
      <c r="E35" s="25"/>
      <c r="M35" s="12"/>
      <c r="N35" s="118"/>
      <c r="O35" s="118"/>
      <c r="P35" s="118"/>
      <c r="Q35" s="118"/>
    </row>
    <row r="36" spans="2:17" ht="14.25" customHeight="1" x14ac:dyDescent="0.3">
      <c r="B36" s="23"/>
      <c r="D36" s="25"/>
      <c r="E36" s="25"/>
      <c r="M36" s="12"/>
      <c r="N36" s="118"/>
      <c r="O36" s="118"/>
      <c r="P36" s="118"/>
      <c r="Q36" s="118"/>
    </row>
    <row r="37" spans="2:17" ht="14.25" customHeight="1" x14ac:dyDescent="0.3">
      <c r="B37" s="23"/>
      <c r="D37" s="25"/>
      <c r="E37" s="25"/>
      <c r="M37" s="12"/>
      <c r="N37" s="118"/>
      <c r="O37" s="118"/>
      <c r="P37" s="118"/>
      <c r="Q37" s="118"/>
    </row>
    <row r="38" spans="2:17" ht="14.25" customHeight="1" x14ac:dyDescent="0.3">
      <c r="B38" s="23"/>
      <c r="D38" s="25"/>
      <c r="E38" s="25"/>
      <c r="M38" s="12"/>
      <c r="N38" s="118"/>
      <c r="O38" s="118"/>
      <c r="P38" s="118"/>
      <c r="Q38" s="118"/>
    </row>
    <row r="39" spans="2:17" ht="14.25" customHeight="1" x14ac:dyDescent="0.3">
      <c r="B39" s="23"/>
      <c r="D39" s="25"/>
      <c r="E39" s="25"/>
      <c r="M39" s="12"/>
      <c r="N39" s="118"/>
      <c r="O39" s="118"/>
      <c r="P39" s="118"/>
      <c r="Q39" s="118"/>
    </row>
    <row r="40" spans="2:17" ht="14.25" customHeight="1" x14ac:dyDescent="0.3">
      <c r="B40" s="23"/>
      <c r="D40" s="25"/>
      <c r="E40" s="25"/>
      <c r="M40" s="12"/>
      <c r="N40" s="118"/>
      <c r="O40" s="118"/>
      <c r="P40" s="118"/>
      <c r="Q40" s="118"/>
    </row>
    <row r="41" spans="2:17" ht="14.25" customHeight="1" x14ac:dyDescent="0.3">
      <c r="B41" s="23"/>
      <c r="D41" s="25"/>
      <c r="E41" s="25"/>
      <c r="M41" s="12"/>
      <c r="N41" s="118"/>
      <c r="O41" s="118"/>
      <c r="P41" s="118"/>
      <c r="Q41" s="118"/>
    </row>
    <row r="42" spans="2:17" ht="14.25" customHeight="1" x14ac:dyDescent="0.3">
      <c r="B42" s="23"/>
      <c r="D42" s="25"/>
      <c r="E42" s="25"/>
      <c r="M42" s="12"/>
      <c r="N42" s="118"/>
      <c r="O42" s="118"/>
      <c r="P42" s="118"/>
      <c r="Q42" s="118"/>
    </row>
    <row r="43" spans="2:17" ht="14.25" customHeight="1" x14ac:dyDescent="0.3">
      <c r="B43" s="23"/>
      <c r="D43" s="25"/>
      <c r="E43" s="25"/>
      <c r="M43" s="12"/>
      <c r="N43" s="118"/>
      <c r="O43" s="118"/>
      <c r="P43" s="118"/>
      <c r="Q43" s="118"/>
    </row>
    <row r="44" spans="2:17" ht="14.25" customHeight="1" x14ac:dyDescent="0.3">
      <c r="B44" s="23"/>
      <c r="D44" s="25"/>
      <c r="E44" s="25"/>
      <c r="M44" s="12"/>
      <c r="N44" s="118"/>
      <c r="O44" s="118"/>
      <c r="P44" s="118"/>
      <c r="Q44" s="118"/>
    </row>
    <row r="45" spans="2:17" ht="14.25" customHeight="1" x14ac:dyDescent="0.3">
      <c r="B45" s="23"/>
      <c r="D45" s="25"/>
      <c r="E45" s="25"/>
      <c r="M45" s="12"/>
      <c r="N45" s="118"/>
      <c r="O45" s="118"/>
      <c r="P45" s="118"/>
      <c r="Q45" s="118"/>
    </row>
    <row r="46" spans="2:17" ht="14.25" customHeight="1" x14ac:dyDescent="0.3">
      <c r="B46" s="23"/>
      <c r="D46" s="25"/>
      <c r="E46" s="25"/>
      <c r="M46" s="12"/>
      <c r="N46" s="118"/>
      <c r="O46" s="118"/>
      <c r="P46" s="118"/>
      <c r="Q46" s="118"/>
    </row>
    <row r="47" spans="2:17" ht="14.25" customHeight="1" x14ac:dyDescent="0.3">
      <c r="B47" s="23"/>
      <c r="D47" s="25"/>
      <c r="E47" s="25"/>
      <c r="M47" s="12"/>
      <c r="N47" s="118"/>
      <c r="O47" s="118"/>
      <c r="P47" s="118"/>
      <c r="Q47" s="118"/>
    </row>
    <row r="48" spans="2:17" ht="14.25" customHeight="1" x14ac:dyDescent="0.3">
      <c r="B48" s="23"/>
      <c r="D48" s="25"/>
      <c r="E48" s="25"/>
      <c r="M48" s="12"/>
      <c r="N48" s="118"/>
      <c r="O48" s="118"/>
      <c r="P48" s="118"/>
      <c r="Q48" s="118"/>
    </row>
    <row r="49" spans="2:17" ht="14.25" customHeight="1" x14ac:dyDescent="0.3">
      <c r="B49" s="23"/>
      <c r="D49" s="25"/>
      <c r="E49" s="25"/>
      <c r="M49" s="12"/>
      <c r="N49" s="118"/>
      <c r="O49" s="118"/>
      <c r="P49" s="118"/>
      <c r="Q49" s="118"/>
    </row>
    <row r="50" spans="2:17" ht="14.25" customHeight="1" x14ac:dyDescent="0.3">
      <c r="B50" s="23"/>
      <c r="D50" s="25"/>
      <c r="E50" s="25"/>
      <c r="M50" s="12"/>
      <c r="N50" s="118"/>
      <c r="O50" s="118"/>
      <c r="P50" s="118"/>
      <c r="Q50" s="118"/>
    </row>
    <row r="51" spans="2:17" ht="14.25" customHeight="1" x14ac:dyDescent="0.3">
      <c r="B51" s="23"/>
      <c r="D51" s="25"/>
      <c r="E51" s="25"/>
      <c r="M51" s="12"/>
      <c r="N51" s="118"/>
      <c r="O51" s="118"/>
      <c r="P51" s="118"/>
      <c r="Q51" s="118"/>
    </row>
    <row r="52" spans="2:17" ht="14.25" customHeight="1" x14ac:dyDescent="0.3">
      <c r="B52" s="23"/>
      <c r="D52" s="25"/>
      <c r="E52" s="25"/>
      <c r="M52" s="12"/>
      <c r="N52" s="118"/>
      <c r="O52" s="118"/>
      <c r="P52" s="118"/>
      <c r="Q52" s="118"/>
    </row>
    <row r="53" spans="2:17" ht="14.25" customHeight="1" x14ac:dyDescent="0.3">
      <c r="B53" s="23"/>
      <c r="D53" s="25"/>
      <c r="E53" s="25"/>
      <c r="M53" s="12"/>
      <c r="N53" s="118"/>
      <c r="O53" s="118"/>
      <c r="P53" s="118"/>
      <c r="Q53" s="118"/>
    </row>
    <row r="54" spans="2:17" ht="14.25" customHeight="1" x14ac:dyDescent="0.3">
      <c r="B54" s="23"/>
      <c r="D54" s="25"/>
      <c r="E54" s="25"/>
      <c r="M54" s="12"/>
      <c r="N54" s="118"/>
      <c r="O54" s="118"/>
      <c r="P54" s="118"/>
      <c r="Q54" s="118"/>
    </row>
    <row r="55" spans="2:17" ht="14.25" customHeight="1" x14ac:dyDescent="0.3">
      <c r="B55" s="23"/>
      <c r="D55" s="25"/>
      <c r="E55" s="25"/>
      <c r="M55" s="12"/>
      <c r="N55" s="118"/>
      <c r="O55" s="118"/>
      <c r="P55" s="118"/>
      <c r="Q55" s="118"/>
    </row>
    <row r="56" spans="2:17" ht="14.25" customHeight="1" x14ac:dyDescent="0.3">
      <c r="B56" s="23"/>
      <c r="D56" s="25"/>
      <c r="E56" s="25"/>
      <c r="M56" s="12"/>
      <c r="N56" s="118"/>
      <c r="O56" s="118"/>
      <c r="P56" s="118"/>
      <c r="Q56" s="118"/>
    </row>
    <row r="57" spans="2:17" ht="14.25" customHeight="1" x14ac:dyDescent="0.3">
      <c r="B57" s="23"/>
      <c r="D57" s="25"/>
      <c r="E57" s="25"/>
      <c r="M57" s="12"/>
      <c r="N57" s="118"/>
      <c r="O57" s="118"/>
      <c r="P57" s="118"/>
      <c r="Q57" s="118"/>
    </row>
    <row r="58" spans="2:17" ht="14.25" customHeight="1" x14ac:dyDescent="0.3">
      <c r="B58" s="23"/>
      <c r="D58" s="25"/>
      <c r="E58" s="25"/>
      <c r="M58" s="12"/>
      <c r="N58" s="118"/>
      <c r="O58" s="118"/>
      <c r="P58" s="118"/>
      <c r="Q58" s="118"/>
    </row>
    <row r="59" spans="2:17" ht="14.25" customHeight="1" x14ac:dyDescent="0.3">
      <c r="B59" s="23"/>
      <c r="D59" s="25"/>
      <c r="E59" s="25"/>
      <c r="M59" s="12"/>
      <c r="N59" s="118"/>
      <c r="O59" s="118"/>
      <c r="P59" s="118"/>
      <c r="Q59" s="118"/>
    </row>
    <row r="60" spans="2:17" ht="14.25" customHeight="1" x14ac:dyDescent="0.3">
      <c r="B60" s="23"/>
      <c r="D60" s="25"/>
      <c r="E60" s="25"/>
      <c r="M60" s="12"/>
      <c r="N60" s="118"/>
      <c r="O60" s="118"/>
      <c r="P60" s="118"/>
      <c r="Q60" s="118"/>
    </row>
    <row r="61" spans="2:17" ht="14.25" customHeight="1" x14ac:dyDescent="0.3">
      <c r="B61" s="23"/>
      <c r="D61" s="25"/>
      <c r="E61" s="25"/>
      <c r="M61" s="12"/>
      <c r="N61" s="118"/>
      <c r="O61" s="118"/>
      <c r="P61" s="118"/>
      <c r="Q61" s="118"/>
    </row>
    <row r="62" spans="2:17" ht="14.25" customHeight="1" x14ac:dyDescent="0.3">
      <c r="B62" s="23"/>
      <c r="D62" s="25"/>
      <c r="E62" s="25"/>
      <c r="M62" s="12"/>
      <c r="N62" s="118"/>
      <c r="O62" s="118"/>
      <c r="P62" s="118"/>
      <c r="Q62" s="118"/>
    </row>
    <row r="63" spans="2:17" ht="14.25" customHeight="1" x14ac:dyDescent="0.3">
      <c r="B63" s="23"/>
      <c r="D63" s="25"/>
      <c r="E63" s="25"/>
      <c r="M63" s="12"/>
      <c r="N63" s="118"/>
      <c r="O63" s="118"/>
      <c r="P63" s="118"/>
      <c r="Q63" s="118"/>
    </row>
    <row r="64" spans="2:17" ht="14.25" customHeight="1" x14ac:dyDescent="0.3">
      <c r="B64" s="23"/>
      <c r="D64" s="25"/>
      <c r="E64" s="25"/>
      <c r="M64" s="12"/>
      <c r="N64" s="118"/>
      <c r="O64" s="118"/>
      <c r="P64" s="118"/>
      <c r="Q64" s="118"/>
    </row>
    <row r="65" spans="2:17" ht="14.25" customHeight="1" x14ac:dyDescent="0.3">
      <c r="B65" s="23"/>
      <c r="D65" s="25"/>
      <c r="E65" s="25"/>
      <c r="M65" s="12"/>
      <c r="N65" s="118"/>
      <c r="O65" s="118"/>
      <c r="P65" s="118"/>
      <c r="Q65" s="118"/>
    </row>
    <row r="66" spans="2:17" ht="14.25" customHeight="1" x14ac:dyDescent="0.3">
      <c r="B66" s="23"/>
      <c r="D66" s="25"/>
      <c r="E66" s="25"/>
      <c r="M66" s="12"/>
      <c r="N66" s="118"/>
      <c r="O66" s="118"/>
      <c r="P66" s="118"/>
      <c r="Q66" s="118"/>
    </row>
    <row r="67" spans="2:17" ht="14.25" customHeight="1" x14ac:dyDescent="0.3">
      <c r="B67" s="23"/>
      <c r="D67" s="25"/>
      <c r="E67" s="25"/>
      <c r="M67" s="12"/>
      <c r="N67" s="118"/>
      <c r="O67" s="118"/>
      <c r="P67" s="118"/>
      <c r="Q67" s="118"/>
    </row>
    <row r="68" spans="2:17" ht="14.25" customHeight="1" x14ac:dyDescent="0.3">
      <c r="B68" s="23"/>
      <c r="D68" s="25"/>
      <c r="E68" s="25"/>
      <c r="M68" s="12"/>
      <c r="N68" s="118"/>
      <c r="O68" s="118"/>
      <c r="P68" s="118"/>
      <c r="Q68" s="118"/>
    </row>
    <row r="69" spans="2:17" ht="14.25" customHeight="1" x14ac:dyDescent="0.3">
      <c r="B69" s="23"/>
      <c r="D69" s="25"/>
      <c r="E69" s="25"/>
      <c r="M69" s="12"/>
      <c r="N69" s="118"/>
      <c r="O69" s="118"/>
      <c r="P69" s="118"/>
      <c r="Q69" s="118"/>
    </row>
    <row r="70" spans="2:17" ht="14.25" customHeight="1" x14ac:dyDescent="0.3">
      <c r="B70" s="23"/>
      <c r="D70" s="25"/>
      <c r="E70" s="25"/>
      <c r="M70" s="12"/>
      <c r="N70" s="118"/>
      <c r="O70" s="118"/>
      <c r="P70" s="118"/>
      <c r="Q70" s="118"/>
    </row>
    <row r="71" spans="2:17" ht="14.25" customHeight="1" x14ac:dyDescent="0.3">
      <c r="B71" s="23"/>
      <c r="D71" s="25"/>
      <c r="E71" s="25"/>
      <c r="M71" s="12"/>
      <c r="N71" s="118"/>
      <c r="O71" s="118"/>
      <c r="P71" s="118"/>
      <c r="Q71" s="118"/>
    </row>
    <row r="72" spans="2:17" ht="14.25" customHeight="1" x14ac:dyDescent="0.3">
      <c r="B72" s="23"/>
      <c r="D72" s="25"/>
      <c r="E72" s="25"/>
      <c r="M72" s="12"/>
      <c r="N72" s="118"/>
      <c r="O72" s="118"/>
      <c r="P72" s="118"/>
      <c r="Q72" s="118"/>
    </row>
    <row r="73" spans="2:17" ht="14.25" customHeight="1" x14ac:dyDescent="0.3">
      <c r="B73" s="23"/>
      <c r="D73" s="25"/>
      <c r="E73" s="25"/>
      <c r="M73" s="12"/>
      <c r="N73" s="118"/>
      <c r="O73" s="118"/>
      <c r="P73" s="118"/>
      <c r="Q73" s="118"/>
    </row>
    <row r="74" spans="2:17" ht="14.25" customHeight="1" x14ac:dyDescent="0.3">
      <c r="B74" s="23"/>
      <c r="D74" s="25"/>
      <c r="E74" s="25"/>
      <c r="M74" s="12"/>
      <c r="N74" s="118"/>
      <c r="O74" s="118"/>
      <c r="P74" s="118"/>
      <c r="Q74" s="118"/>
    </row>
    <row r="75" spans="2:17" ht="14.25" customHeight="1" x14ac:dyDescent="0.3">
      <c r="B75" s="23"/>
      <c r="D75" s="25"/>
      <c r="E75" s="25"/>
      <c r="M75" s="12"/>
      <c r="N75" s="118"/>
      <c r="O75" s="118"/>
      <c r="P75" s="118"/>
      <c r="Q75" s="118"/>
    </row>
    <row r="76" spans="2:17" ht="14.25" customHeight="1" x14ac:dyDescent="0.3">
      <c r="B76" s="23"/>
      <c r="D76" s="25"/>
      <c r="E76" s="25"/>
      <c r="M76" s="12"/>
      <c r="N76" s="118"/>
      <c r="O76" s="118"/>
      <c r="P76" s="118"/>
      <c r="Q76" s="118"/>
    </row>
    <row r="77" spans="2:17" ht="14.25" customHeight="1" x14ac:dyDescent="0.3">
      <c r="B77" s="23"/>
      <c r="D77" s="25"/>
      <c r="E77" s="25"/>
      <c r="M77" s="12"/>
      <c r="N77" s="118"/>
      <c r="O77" s="118"/>
      <c r="P77" s="118"/>
      <c r="Q77" s="118"/>
    </row>
    <row r="78" spans="2:17" ht="14.25" customHeight="1" x14ac:dyDescent="0.3">
      <c r="B78" s="23"/>
      <c r="D78" s="25"/>
      <c r="E78" s="25"/>
      <c r="M78" s="12"/>
      <c r="N78" s="118"/>
      <c r="O78" s="118"/>
      <c r="P78" s="118"/>
      <c r="Q78" s="118"/>
    </row>
    <row r="79" spans="2:17" ht="14.25" customHeight="1" x14ac:dyDescent="0.3">
      <c r="B79" s="23"/>
      <c r="D79" s="25"/>
      <c r="E79" s="25"/>
      <c r="M79" s="12"/>
      <c r="N79" s="118"/>
      <c r="O79" s="118"/>
      <c r="P79" s="118"/>
      <c r="Q79" s="118"/>
    </row>
    <row r="80" spans="2:17" ht="14.25" customHeight="1" x14ac:dyDescent="0.3">
      <c r="B80" s="23"/>
      <c r="D80" s="25"/>
      <c r="E80" s="25"/>
      <c r="M80" s="12"/>
      <c r="N80" s="118"/>
      <c r="O80" s="118"/>
      <c r="P80" s="118"/>
      <c r="Q80" s="118"/>
    </row>
    <row r="81" spans="2:17" ht="14.25" customHeight="1" x14ac:dyDescent="0.3">
      <c r="B81" s="23"/>
      <c r="D81" s="25"/>
      <c r="E81" s="25"/>
      <c r="M81" s="12"/>
      <c r="N81" s="118"/>
      <c r="O81" s="118"/>
      <c r="P81" s="118"/>
      <c r="Q81" s="118"/>
    </row>
    <row r="82" spans="2:17" ht="14.25" customHeight="1" x14ac:dyDescent="0.3">
      <c r="B82" s="23"/>
      <c r="D82" s="25"/>
      <c r="E82" s="25"/>
      <c r="M82" s="12"/>
      <c r="N82" s="118"/>
      <c r="O82" s="118"/>
      <c r="P82" s="118"/>
      <c r="Q82" s="118"/>
    </row>
    <row r="83" spans="2:17" ht="14.25" customHeight="1" x14ac:dyDescent="0.3">
      <c r="B83" s="23"/>
      <c r="D83" s="25"/>
      <c r="E83" s="25"/>
      <c r="M83" s="12"/>
      <c r="N83" s="118"/>
      <c r="O83" s="118"/>
      <c r="P83" s="118"/>
      <c r="Q83" s="118"/>
    </row>
    <row r="84" spans="2:17" ht="14.25" customHeight="1" x14ac:dyDescent="0.3">
      <c r="B84" s="23"/>
      <c r="D84" s="25"/>
      <c r="E84" s="25"/>
      <c r="M84" s="12"/>
      <c r="N84" s="118"/>
      <c r="O84" s="118"/>
      <c r="P84" s="118"/>
      <c r="Q84" s="118"/>
    </row>
    <row r="85" spans="2:17" ht="14.25" customHeight="1" x14ac:dyDescent="0.3">
      <c r="B85" s="23"/>
      <c r="D85" s="25"/>
      <c r="E85" s="25"/>
      <c r="M85" s="12"/>
      <c r="N85" s="118"/>
      <c r="O85" s="118"/>
      <c r="P85" s="118"/>
      <c r="Q85" s="118"/>
    </row>
    <row r="86" spans="2:17" ht="14.25" customHeight="1" x14ac:dyDescent="0.3">
      <c r="B86" s="23"/>
      <c r="D86" s="25"/>
      <c r="E86" s="25"/>
      <c r="M86" s="12"/>
      <c r="N86" s="118"/>
      <c r="O86" s="118"/>
      <c r="P86" s="118"/>
      <c r="Q86" s="118"/>
    </row>
    <row r="87" spans="2:17" ht="14.25" customHeight="1" x14ac:dyDescent="0.3">
      <c r="B87" s="23"/>
      <c r="D87" s="25"/>
      <c r="E87" s="25"/>
      <c r="M87" s="12"/>
      <c r="N87" s="118"/>
      <c r="O87" s="118"/>
      <c r="P87" s="118"/>
      <c r="Q87" s="118"/>
    </row>
    <row r="88" spans="2:17" ht="14.25" customHeight="1" x14ac:dyDescent="0.3">
      <c r="B88" s="23"/>
      <c r="D88" s="25"/>
      <c r="E88" s="25"/>
      <c r="M88" s="12"/>
      <c r="N88" s="118"/>
      <c r="O88" s="118"/>
      <c r="P88" s="118"/>
      <c r="Q88" s="118"/>
    </row>
    <row r="89" spans="2:17" ht="14.25" customHeight="1" x14ac:dyDescent="0.3">
      <c r="B89" s="23"/>
      <c r="D89" s="25"/>
      <c r="E89" s="25"/>
      <c r="M89" s="12"/>
      <c r="N89" s="118"/>
      <c r="O89" s="118"/>
      <c r="P89" s="118"/>
      <c r="Q89" s="118"/>
    </row>
    <row r="90" spans="2:17" ht="14.25" customHeight="1" x14ac:dyDescent="0.3">
      <c r="B90" s="23"/>
      <c r="D90" s="25"/>
      <c r="E90" s="25"/>
      <c r="M90" s="12"/>
      <c r="N90" s="118"/>
      <c r="O90" s="118"/>
      <c r="P90" s="118"/>
      <c r="Q90" s="118"/>
    </row>
    <row r="91" spans="2:17" ht="14.25" customHeight="1" x14ac:dyDescent="0.3">
      <c r="B91" s="23"/>
      <c r="D91" s="25"/>
      <c r="E91" s="25"/>
      <c r="M91" s="12"/>
      <c r="N91" s="118"/>
      <c r="O91" s="118"/>
      <c r="P91" s="118"/>
      <c r="Q91" s="118"/>
    </row>
    <row r="92" spans="2:17" ht="14.25" customHeight="1" x14ac:dyDescent="0.3">
      <c r="B92" s="23"/>
      <c r="D92" s="25"/>
      <c r="E92" s="25"/>
      <c r="M92" s="12"/>
      <c r="N92" s="118"/>
      <c r="O92" s="118"/>
      <c r="P92" s="118"/>
      <c r="Q92" s="118"/>
    </row>
    <row r="93" spans="2:17" ht="14.25" customHeight="1" x14ac:dyDescent="0.3">
      <c r="B93" s="23"/>
      <c r="D93" s="25"/>
      <c r="E93" s="25"/>
      <c r="M93" s="12"/>
      <c r="N93" s="118"/>
      <c r="O93" s="118"/>
      <c r="P93" s="118"/>
      <c r="Q93" s="118"/>
    </row>
    <row r="94" spans="2:17" ht="14.25" customHeight="1" x14ac:dyDescent="0.3">
      <c r="B94" s="23"/>
      <c r="D94" s="25"/>
      <c r="E94" s="25"/>
      <c r="M94" s="12"/>
      <c r="N94" s="118"/>
      <c r="O94" s="118"/>
      <c r="P94" s="118"/>
      <c r="Q94" s="118"/>
    </row>
    <row r="95" spans="2:17" ht="14.25" customHeight="1" x14ac:dyDescent="0.3">
      <c r="B95" s="23"/>
      <c r="D95" s="25"/>
      <c r="E95" s="25"/>
      <c r="M95" s="12"/>
      <c r="N95" s="118"/>
      <c r="O95" s="118"/>
      <c r="P95" s="118"/>
      <c r="Q95" s="118"/>
    </row>
    <row r="96" spans="2:17" ht="14.25" customHeight="1" x14ac:dyDescent="0.3">
      <c r="B96" s="23"/>
      <c r="D96" s="25"/>
      <c r="E96" s="25"/>
      <c r="M96" s="12"/>
      <c r="N96" s="118"/>
      <c r="O96" s="118"/>
      <c r="P96" s="118"/>
      <c r="Q96" s="118"/>
    </row>
    <row r="97" spans="2:17" ht="14.25" customHeight="1" x14ac:dyDescent="0.3">
      <c r="B97" s="23"/>
      <c r="D97" s="25"/>
      <c r="E97" s="25"/>
      <c r="M97" s="12"/>
      <c r="N97" s="118"/>
      <c r="O97" s="118"/>
      <c r="P97" s="118"/>
      <c r="Q97" s="118"/>
    </row>
    <row r="98" spans="2:17" ht="14.25" customHeight="1" x14ac:dyDescent="0.3">
      <c r="B98" s="23"/>
      <c r="D98" s="25"/>
      <c r="E98" s="25"/>
      <c r="M98" s="12"/>
      <c r="N98" s="118"/>
      <c r="O98" s="118"/>
      <c r="P98" s="118"/>
      <c r="Q98" s="118"/>
    </row>
    <row r="99" spans="2:17" ht="14.25" customHeight="1" x14ac:dyDescent="0.3">
      <c r="B99" s="23"/>
      <c r="D99" s="25"/>
      <c r="E99" s="25"/>
      <c r="M99" s="12"/>
      <c r="N99" s="118"/>
      <c r="O99" s="118"/>
      <c r="P99" s="118"/>
      <c r="Q99" s="118"/>
    </row>
    <row r="100" spans="2:17" ht="14.25" customHeight="1" x14ac:dyDescent="0.3">
      <c r="B100" s="23"/>
      <c r="D100" s="25"/>
      <c r="E100" s="25"/>
      <c r="M100" s="12"/>
      <c r="N100" s="118"/>
      <c r="O100" s="118"/>
      <c r="P100" s="118"/>
      <c r="Q100" s="118"/>
    </row>
    <row r="101" spans="2:17" ht="14.25" customHeight="1" x14ac:dyDescent="0.3">
      <c r="B101" s="23"/>
      <c r="D101" s="25"/>
      <c r="E101" s="25"/>
      <c r="M101" s="12"/>
      <c r="N101" s="118"/>
      <c r="O101" s="118"/>
      <c r="P101" s="118"/>
      <c r="Q101" s="118"/>
    </row>
    <row r="102" spans="2:17" ht="14.25" customHeight="1" x14ac:dyDescent="0.3">
      <c r="B102" s="23"/>
      <c r="D102" s="25"/>
      <c r="E102" s="25"/>
      <c r="M102" s="12"/>
      <c r="N102" s="118"/>
      <c r="O102" s="118"/>
      <c r="P102" s="118"/>
      <c r="Q102" s="118"/>
    </row>
    <row r="103" spans="2:17" ht="14.25" customHeight="1" x14ac:dyDescent="0.3">
      <c r="B103" s="23"/>
      <c r="D103" s="25"/>
      <c r="E103" s="25"/>
      <c r="M103" s="12"/>
      <c r="N103" s="118"/>
      <c r="O103" s="118"/>
      <c r="P103" s="118"/>
      <c r="Q103" s="118"/>
    </row>
    <row r="104" spans="2:17" ht="14.25" customHeight="1" x14ac:dyDescent="0.3">
      <c r="B104" s="23"/>
      <c r="D104" s="25"/>
      <c r="E104" s="25"/>
      <c r="M104" s="12"/>
      <c r="N104" s="118"/>
      <c r="O104" s="118"/>
      <c r="P104" s="118"/>
      <c r="Q104" s="118"/>
    </row>
    <row r="105" spans="2:17" ht="14.25" customHeight="1" x14ac:dyDescent="0.3">
      <c r="B105" s="23"/>
      <c r="D105" s="25"/>
      <c r="E105" s="25"/>
      <c r="M105" s="12"/>
      <c r="N105" s="118"/>
      <c r="O105" s="118"/>
      <c r="P105" s="118"/>
      <c r="Q105" s="118"/>
    </row>
    <row r="106" spans="2:17" ht="14.25" customHeight="1" x14ac:dyDescent="0.3">
      <c r="B106" s="23"/>
      <c r="D106" s="25"/>
      <c r="E106" s="25"/>
      <c r="M106" s="12"/>
      <c r="N106" s="118"/>
      <c r="O106" s="118"/>
      <c r="P106" s="118"/>
      <c r="Q106" s="118"/>
    </row>
    <row r="107" spans="2:17" ht="14.25" customHeight="1" x14ac:dyDescent="0.3">
      <c r="B107" s="23"/>
      <c r="D107" s="25"/>
      <c r="E107" s="25"/>
      <c r="M107" s="12"/>
      <c r="N107" s="118"/>
      <c r="O107" s="118"/>
      <c r="P107" s="118"/>
      <c r="Q107" s="118"/>
    </row>
    <row r="108" spans="2:17" ht="14.25" customHeight="1" x14ac:dyDescent="0.3">
      <c r="B108" s="23"/>
      <c r="D108" s="25"/>
      <c r="E108" s="25"/>
      <c r="M108" s="12"/>
      <c r="N108" s="118"/>
      <c r="O108" s="118"/>
      <c r="P108" s="118"/>
      <c r="Q108" s="118"/>
    </row>
    <row r="109" spans="2:17" ht="14.25" customHeight="1" x14ac:dyDescent="0.3">
      <c r="B109" s="23"/>
      <c r="D109" s="25"/>
      <c r="E109" s="25"/>
      <c r="M109" s="12"/>
      <c r="N109" s="118"/>
      <c r="O109" s="118"/>
      <c r="P109" s="118"/>
      <c r="Q109" s="118"/>
    </row>
    <row r="110" spans="2:17" ht="14.25" customHeight="1" x14ac:dyDescent="0.3">
      <c r="B110" s="23"/>
      <c r="D110" s="25"/>
      <c r="E110" s="25"/>
      <c r="M110" s="12"/>
      <c r="N110" s="118"/>
      <c r="O110" s="118"/>
      <c r="P110" s="118"/>
      <c r="Q110" s="118"/>
    </row>
    <row r="111" spans="2:17" ht="14.25" customHeight="1" x14ac:dyDescent="0.3">
      <c r="B111" s="23"/>
      <c r="D111" s="25"/>
      <c r="E111" s="25"/>
      <c r="M111" s="12"/>
      <c r="N111" s="118"/>
      <c r="O111" s="118"/>
      <c r="P111" s="118"/>
      <c r="Q111" s="118"/>
    </row>
    <row r="112" spans="2:17" ht="14.25" customHeight="1" x14ac:dyDescent="0.3">
      <c r="B112" s="23"/>
      <c r="D112" s="25"/>
      <c r="E112" s="25"/>
      <c r="M112" s="12"/>
      <c r="N112" s="118"/>
      <c r="O112" s="118"/>
      <c r="P112" s="118"/>
      <c r="Q112" s="118"/>
    </row>
    <row r="113" spans="2:17" ht="14.25" customHeight="1" x14ac:dyDescent="0.3">
      <c r="B113" s="23"/>
      <c r="D113" s="25"/>
      <c r="E113" s="25"/>
      <c r="M113" s="12"/>
      <c r="N113" s="118"/>
      <c r="O113" s="118"/>
      <c r="P113" s="118"/>
      <c r="Q113" s="118"/>
    </row>
    <row r="114" spans="2:17" ht="14.25" customHeight="1" x14ac:dyDescent="0.3">
      <c r="B114" s="23"/>
      <c r="D114" s="25"/>
      <c r="E114" s="25"/>
      <c r="M114" s="12"/>
      <c r="N114" s="118"/>
      <c r="O114" s="118"/>
      <c r="P114" s="118"/>
      <c r="Q114" s="118"/>
    </row>
    <row r="115" spans="2:17" ht="14.25" customHeight="1" x14ac:dyDescent="0.3">
      <c r="B115" s="23"/>
      <c r="D115" s="25"/>
      <c r="E115" s="25"/>
      <c r="M115" s="12"/>
      <c r="N115" s="118"/>
      <c r="O115" s="118"/>
      <c r="P115" s="118"/>
      <c r="Q115" s="118"/>
    </row>
    <row r="116" spans="2:17" ht="14.25" customHeight="1" x14ac:dyDescent="0.3">
      <c r="B116" s="23"/>
      <c r="D116" s="25"/>
      <c r="E116" s="25"/>
      <c r="M116" s="12"/>
      <c r="N116" s="118"/>
      <c r="O116" s="118"/>
      <c r="P116" s="118"/>
      <c r="Q116" s="118"/>
    </row>
    <row r="117" spans="2:17" ht="14.25" customHeight="1" x14ac:dyDescent="0.3">
      <c r="B117" s="23"/>
      <c r="D117" s="25"/>
      <c r="E117" s="25"/>
      <c r="M117" s="12"/>
      <c r="N117" s="118"/>
      <c r="O117" s="118"/>
      <c r="P117" s="118"/>
      <c r="Q117" s="118"/>
    </row>
    <row r="118" spans="2:17" ht="14.25" customHeight="1" x14ac:dyDescent="0.3">
      <c r="B118" s="23"/>
      <c r="D118" s="25"/>
      <c r="E118" s="25"/>
      <c r="M118" s="12"/>
      <c r="N118" s="118"/>
      <c r="O118" s="118"/>
      <c r="P118" s="118"/>
      <c r="Q118" s="118"/>
    </row>
    <row r="119" spans="2:17" ht="14.25" customHeight="1" x14ac:dyDescent="0.3">
      <c r="B119" s="23"/>
      <c r="D119" s="25"/>
      <c r="E119" s="25"/>
      <c r="M119" s="12"/>
      <c r="N119" s="118"/>
      <c r="O119" s="118"/>
      <c r="P119" s="118"/>
      <c r="Q119" s="118"/>
    </row>
    <row r="120" spans="2:17" ht="14.25" customHeight="1" x14ac:dyDescent="0.3">
      <c r="B120" s="23"/>
      <c r="D120" s="25"/>
      <c r="E120" s="25"/>
      <c r="M120" s="12"/>
      <c r="N120" s="118"/>
      <c r="O120" s="118"/>
      <c r="P120" s="118"/>
      <c r="Q120" s="118"/>
    </row>
    <row r="121" spans="2:17" ht="14.25" customHeight="1" x14ac:dyDescent="0.3">
      <c r="B121" s="23"/>
      <c r="D121" s="25"/>
      <c r="E121" s="25"/>
      <c r="M121" s="12"/>
      <c r="N121" s="118"/>
      <c r="O121" s="118"/>
      <c r="P121" s="118"/>
      <c r="Q121" s="118"/>
    </row>
    <row r="122" spans="2:17" ht="14.25" customHeight="1" x14ac:dyDescent="0.3">
      <c r="B122" s="23"/>
      <c r="D122" s="25"/>
      <c r="E122" s="25"/>
      <c r="M122" s="12"/>
      <c r="N122" s="118"/>
      <c r="O122" s="118"/>
      <c r="P122" s="118"/>
      <c r="Q122" s="118"/>
    </row>
    <row r="123" spans="2:17" ht="14.25" customHeight="1" x14ac:dyDescent="0.3">
      <c r="B123" s="23"/>
      <c r="D123" s="25"/>
      <c r="E123" s="25"/>
      <c r="M123" s="12"/>
      <c r="N123" s="118"/>
      <c r="O123" s="118"/>
      <c r="P123" s="118"/>
      <c r="Q123" s="118"/>
    </row>
    <row r="124" spans="2:17" ht="14.25" customHeight="1" x14ac:dyDescent="0.3">
      <c r="B124" s="23"/>
      <c r="D124" s="25"/>
      <c r="E124" s="25"/>
      <c r="M124" s="12"/>
      <c r="N124" s="118"/>
      <c r="O124" s="118"/>
      <c r="P124" s="118"/>
      <c r="Q124" s="118"/>
    </row>
    <row r="125" spans="2:17" ht="14.25" customHeight="1" x14ac:dyDescent="0.3">
      <c r="B125" s="23"/>
      <c r="D125" s="25"/>
      <c r="E125" s="25"/>
      <c r="M125" s="12"/>
      <c r="N125" s="118"/>
      <c r="O125" s="118"/>
      <c r="P125" s="118"/>
      <c r="Q125" s="118"/>
    </row>
    <row r="126" spans="2:17" ht="14.25" customHeight="1" x14ac:dyDescent="0.3">
      <c r="B126" s="23"/>
      <c r="D126" s="25"/>
      <c r="E126" s="25"/>
      <c r="M126" s="12"/>
      <c r="N126" s="118"/>
      <c r="O126" s="118"/>
      <c r="P126" s="118"/>
      <c r="Q126" s="118"/>
    </row>
    <row r="127" spans="2:17" ht="14.25" customHeight="1" x14ac:dyDescent="0.3">
      <c r="B127" s="23"/>
      <c r="D127" s="25"/>
      <c r="E127" s="25"/>
      <c r="M127" s="12"/>
      <c r="N127" s="118"/>
      <c r="O127" s="118"/>
      <c r="P127" s="118"/>
      <c r="Q127" s="118"/>
    </row>
    <row r="128" spans="2:17" ht="14.25" customHeight="1" x14ac:dyDescent="0.3">
      <c r="B128" s="23"/>
      <c r="D128" s="25"/>
      <c r="E128" s="25"/>
      <c r="M128" s="12"/>
      <c r="N128" s="118"/>
      <c r="O128" s="118"/>
      <c r="P128" s="118"/>
      <c r="Q128" s="118"/>
    </row>
    <row r="129" spans="2:17" ht="14.25" customHeight="1" x14ac:dyDescent="0.3">
      <c r="B129" s="23"/>
      <c r="D129" s="25"/>
      <c r="E129" s="25"/>
      <c r="M129" s="12"/>
      <c r="N129" s="118"/>
      <c r="O129" s="118"/>
      <c r="P129" s="118"/>
      <c r="Q129" s="118"/>
    </row>
    <row r="130" spans="2:17" ht="14.25" customHeight="1" x14ac:dyDescent="0.3">
      <c r="B130" s="23"/>
      <c r="D130" s="25"/>
      <c r="E130" s="25"/>
      <c r="M130" s="12"/>
      <c r="N130" s="118"/>
      <c r="O130" s="118"/>
      <c r="P130" s="118"/>
      <c r="Q130" s="118"/>
    </row>
    <row r="131" spans="2:17" ht="14.25" customHeight="1" x14ac:dyDescent="0.3">
      <c r="B131" s="23"/>
      <c r="D131" s="25"/>
      <c r="E131" s="25"/>
      <c r="M131" s="12"/>
      <c r="N131" s="118"/>
      <c r="O131" s="118"/>
      <c r="P131" s="118"/>
      <c r="Q131" s="118"/>
    </row>
    <row r="132" spans="2:17" ht="14.25" customHeight="1" x14ac:dyDescent="0.3">
      <c r="B132" s="23"/>
      <c r="D132" s="25"/>
      <c r="E132" s="25"/>
      <c r="M132" s="12"/>
      <c r="N132" s="118"/>
      <c r="O132" s="118"/>
      <c r="P132" s="118"/>
      <c r="Q132" s="118"/>
    </row>
    <row r="133" spans="2:17" ht="14.25" customHeight="1" x14ac:dyDescent="0.3">
      <c r="B133" s="23"/>
      <c r="D133" s="25"/>
      <c r="E133" s="25"/>
      <c r="M133" s="12"/>
      <c r="N133" s="118"/>
      <c r="O133" s="118"/>
      <c r="P133" s="118"/>
      <c r="Q133" s="118"/>
    </row>
    <row r="134" spans="2:17" ht="14.25" customHeight="1" x14ac:dyDescent="0.3">
      <c r="B134" s="23"/>
      <c r="D134" s="25"/>
      <c r="E134" s="25"/>
      <c r="M134" s="12"/>
      <c r="N134" s="118"/>
      <c r="O134" s="118"/>
      <c r="P134" s="118"/>
      <c r="Q134" s="118"/>
    </row>
    <row r="135" spans="2:17" ht="14.25" customHeight="1" x14ac:dyDescent="0.3">
      <c r="B135" s="23"/>
      <c r="D135" s="25"/>
      <c r="E135" s="25"/>
      <c r="M135" s="12"/>
      <c r="N135" s="118"/>
      <c r="O135" s="118"/>
      <c r="P135" s="118"/>
      <c r="Q135" s="118"/>
    </row>
    <row r="136" spans="2:17" ht="14.25" customHeight="1" x14ac:dyDescent="0.3">
      <c r="B136" s="23"/>
      <c r="D136" s="25"/>
      <c r="E136" s="25"/>
      <c r="M136" s="12"/>
      <c r="N136" s="118"/>
      <c r="O136" s="118"/>
      <c r="P136" s="118"/>
      <c r="Q136" s="118"/>
    </row>
    <row r="137" spans="2:17" ht="14.25" customHeight="1" x14ac:dyDescent="0.3">
      <c r="B137" s="23"/>
      <c r="D137" s="25"/>
      <c r="E137" s="25"/>
      <c r="M137" s="12"/>
      <c r="N137" s="118"/>
      <c r="O137" s="118"/>
      <c r="P137" s="118"/>
      <c r="Q137" s="118"/>
    </row>
    <row r="138" spans="2:17" ht="14.25" customHeight="1" x14ac:dyDescent="0.3">
      <c r="B138" s="23"/>
      <c r="D138" s="25"/>
      <c r="E138" s="25"/>
      <c r="M138" s="12"/>
      <c r="N138" s="118"/>
      <c r="O138" s="118"/>
      <c r="P138" s="118"/>
      <c r="Q138" s="118"/>
    </row>
    <row r="139" spans="2:17" ht="14.25" customHeight="1" x14ac:dyDescent="0.3">
      <c r="B139" s="23"/>
      <c r="D139" s="25"/>
      <c r="E139" s="25"/>
      <c r="M139" s="12"/>
      <c r="N139" s="118"/>
      <c r="O139" s="118"/>
      <c r="P139" s="118"/>
      <c r="Q139" s="118"/>
    </row>
    <row r="140" spans="2:17" ht="14.25" customHeight="1" x14ac:dyDescent="0.3">
      <c r="B140" s="23"/>
      <c r="D140" s="25"/>
      <c r="E140" s="25"/>
      <c r="M140" s="12"/>
      <c r="N140" s="118"/>
      <c r="O140" s="118"/>
      <c r="P140" s="118"/>
      <c r="Q140" s="118"/>
    </row>
    <row r="141" spans="2:17" ht="14.25" customHeight="1" x14ac:dyDescent="0.3">
      <c r="B141" s="23"/>
      <c r="D141" s="25"/>
      <c r="E141" s="25"/>
      <c r="M141" s="12"/>
      <c r="N141" s="118"/>
      <c r="O141" s="118"/>
      <c r="P141" s="118"/>
      <c r="Q141" s="118"/>
    </row>
    <row r="142" spans="2:17" ht="14.25" customHeight="1" x14ac:dyDescent="0.3">
      <c r="B142" s="23"/>
      <c r="D142" s="25"/>
      <c r="E142" s="25"/>
      <c r="M142" s="12"/>
      <c r="N142" s="118"/>
      <c r="O142" s="118"/>
      <c r="P142" s="118"/>
      <c r="Q142" s="118"/>
    </row>
    <row r="143" spans="2:17" ht="14.25" customHeight="1" x14ac:dyDescent="0.3">
      <c r="B143" s="23"/>
      <c r="D143" s="25"/>
      <c r="E143" s="25"/>
      <c r="M143" s="12"/>
      <c r="N143" s="118"/>
      <c r="O143" s="118"/>
      <c r="P143" s="118"/>
      <c r="Q143" s="118"/>
    </row>
    <row r="144" spans="2:17" ht="14.25" customHeight="1" x14ac:dyDescent="0.3">
      <c r="B144" s="23"/>
      <c r="D144" s="25"/>
      <c r="E144" s="25"/>
      <c r="M144" s="12"/>
      <c r="N144" s="118"/>
      <c r="O144" s="118"/>
      <c r="P144" s="118"/>
      <c r="Q144" s="118"/>
    </row>
    <row r="145" spans="2:17" ht="14.25" customHeight="1" x14ac:dyDescent="0.3">
      <c r="B145" s="23"/>
      <c r="D145" s="25"/>
      <c r="E145" s="25"/>
      <c r="M145" s="12"/>
      <c r="N145" s="118"/>
      <c r="O145" s="118"/>
      <c r="P145" s="118"/>
      <c r="Q145" s="118"/>
    </row>
    <row r="146" spans="2:17" ht="14.25" customHeight="1" x14ac:dyDescent="0.3">
      <c r="B146" s="23"/>
      <c r="D146" s="25"/>
      <c r="E146" s="25"/>
      <c r="M146" s="12"/>
      <c r="N146" s="118"/>
      <c r="O146" s="118"/>
      <c r="P146" s="118"/>
      <c r="Q146" s="118"/>
    </row>
    <row r="147" spans="2:17" ht="14.25" customHeight="1" x14ac:dyDescent="0.3">
      <c r="B147" s="23"/>
      <c r="D147" s="25"/>
      <c r="E147" s="25"/>
      <c r="M147" s="12"/>
      <c r="N147" s="118"/>
      <c r="O147" s="118"/>
      <c r="P147" s="118"/>
      <c r="Q147" s="118"/>
    </row>
    <row r="148" spans="2:17" ht="14.25" customHeight="1" x14ac:dyDescent="0.3">
      <c r="B148" s="23"/>
      <c r="D148" s="25"/>
      <c r="E148" s="25"/>
      <c r="M148" s="12"/>
      <c r="N148" s="118"/>
      <c r="O148" s="118"/>
      <c r="P148" s="118"/>
      <c r="Q148" s="118"/>
    </row>
    <row r="149" spans="2:17" ht="14.25" customHeight="1" x14ac:dyDescent="0.3">
      <c r="B149" s="23"/>
      <c r="D149" s="25"/>
      <c r="E149" s="25"/>
      <c r="M149" s="12"/>
      <c r="N149" s="118"/>
      <c r="O149" s="118"/>
      <c r="P149" s="118"/>
      <c r="Q149" s="118"/>
    </row>
    <row r="150" spans="2:17" ht="14.25" customHeight="1" x14ac:dyDescent="0.3">
      <c r="B150" s="23"/>
      <c r="D150" s="25"/>
      <c r="E150" s="25"/>
      <c r="M150" s="12"/>
      <c r="N150" s="118"/>
      <c r="O150" s="118"/>
      <c r="P150" s="118"/>
      <c r="Q150" s="118"/>
    </row>
    <row r="151" spans="2:17" ht="14.25" customHeight="1" x14ac:dyDescent="0.3">
      <c r="B151" s="23"/>
      <c r="D151" s="25"/>
      <c r="E151" s="25"/>
      <c r="M151" s="12"/>
      <c r="N151" s="118"/>
      <c r="O151" s="118"/>
      <c r="P151" s="118"/>
      <c r="Q151" s="118"/>
    </row>
    <row r="152" spans="2:17" ht="14.25" customHeight="1" x14ac:dyDescent="0.3">
      <c r="B152" s="23"/>
      <c r="D152" s="25"/>
      <c r="E152" s="25"/>
      <c r="M152" s="12"/>
      <c r="N152" s="118"/>
      <c r="O152" s="118"/>
      <c r="P152" s="118"/>
      <c r="Q152" s="118"/>
    </row>
    <row r="153" spans="2:17" ht="14.25" customHeight="1" x14ac:dyDescent="0.3">
      <c r="B153" s="23"/>
      <c r="D153" s="25"/>
      <c r="E153" s="25"/>
      <c r="M153" s="12"/>
      <c r="N153" s="118"/>
      <c r="O153" s="118"/>
      <c r="P153" s="118"/>
      <c r="Q153" s="118"/>
    </row>
    <row r="154" spans="2:17" ht="14.25" customHeight="1" x14ac:dyDescent="0.3">
      <c r="B154" s="23"/>
      <c r="D154" s="25"/>
      <c r="E154" s="25"/>
      <c r="M154" s="12"/>
      <c r="N154" s="118"/>
      <c r="O154" s="118"/>
      <c r="P154" s="118"/>
      <c r="Q154" s="118"/>
    </row>
    <row r="155" spans="2:17" ht="14.25" customHeight="1" x14ac:dyDescent="0.3">
      <c r="B155" s="23"/>
      <c r="D155" s="25"/>
      <c r="E155" s="25"/>
      <c r="M155" s="12"/>
      <c r="N155" s="118"/>
      <c r="O155" s="118"/>
      <c r="P155" s="118"/>
      <c r="Q155" s="118"/>
    </row>
    <row r="156" spans="2:17" ht="14.25" customHeight="1" x14ac:dyDescent="0.3">
      <c r="B156" s="23"/>
      <c r="D156" s="25"/>
      <c r="E156" s="25"/>
      <c r="M156" s="12"/>
      <c r="N156" s="118"/>
      <c r="O156" s="118"/>
      <c r="P156" s="118"/>
      <c r="Q156" s="118"/>
    </row>
    <row r="157" spans="2:17" ht="14.25" customHeight="1" x14ac:dyDescent="0.3">
      <c r="B157" s="23"/>
      <c r="D157" s="25"/>
      <c r="E157" s="25"/>
      <c r="M157" s="12"/>
      <c r="N157" s="118"/>
      <c r="O157" s="118"/>
      <c r="P157" s="118"/>
      <c r="Q157" s="118"/>
    </row>
    <row r="158" spans="2:17" ht="14.25" customHeight="1" x14ac:dyDescent="0.3">
      <c r="B158" s="23"/>
      <c r="D158" s="25"/>
      <c r="E158" s="25"/>
      <c r="M158" s="12"/>
      <c r="N158" s="118"/>
      <c r="O158" s="118"/>
      <c r="P158" s="118"/>
      <c r="Q158" s="118"/>
    </row>
    <row r="159" spans="2:17" ht="14.25" customHeight="1" x14ac:dyDescent="0.3">
      <c r="B159" s="23"/>
      <c r="D159" s="25"/>
      <c r="E159" s="25"/>
      <c r="M159" s="12"/>
      <c r="N159" s="118"/>
      <c r="O159" s="118"/>
      <c r="P159" s="118"/>
      <c r="Q159" s="118"/>
    </row>
    <row r="160" spans="2:17" ht="14.25" customHeight="1" x14ac:dyDescent="0.3">
      <c r="B160" s="23"/>
      <c r="D160" s="25"/>
      <c r="E160" s="25"/>
      <c r="M160" s="12"/>
      <c r="N160" s="118"/>
      <c r="O160" s="118"/>
      <c r="P160" s="118"/>
      <c r="Q160" s="118"/>
    </row>
    <row r="161" spans="2:17" ht="14.25" customHeight="1" x14ac:dyDescent="0.3">
      <c r="B161" s="23"/>
      <c r="D161" s="25"/>
      <c r="E161" s="25"/>
      <c r="M161" s="12"/>
      <c r="N161" s="118"/>
      <c r="O161" s="118"/>
      <c r="P161" s="118"/>
      <c r="Q161" s="118"/>
    </row>
    <row r="162" spans="2:17" ht="14.25" customHeight="1" x14ac:dyDescent="0.3">
      <c r="B162" s="23"/>
      <c r="D162" s="25"/>
      <c r="E162" s="25"/>
      <c r="M162" s="12"/>
      <c r="N162" s="118"/>
      <c r="O162" s="118"/>
      <c r="P162" s="118"/>
      <c r="Q162" s="118"/>
    </row>
    <row r="163" spans="2:17" ht="14.25" customHeight="1" x14ac:dyDescent="0.3">
      <c r="B163" s="23"/>
      <c r="D163" s="25"/>
      <c r="E163" s="25"/>
      <c r="M163" s="12"/>
      <c r="N163" s="118"/>
      <c r="O163" s="118"/>
      <c r="P163" s="118"/>
      <c r="Q163" s="118"/>
    </row>
    <row r="164" spans="2:17" ht="14.25" customHeight="1" x14ac:dyDescent="0.3">
      <c r="B164" s="23"/>
      <c r="D164" s="25"/>
      <c r="E164" s="25"/>
      <c r="M164" s="12"/>
      <c r="N164" s="118"/>
      <c r="O164" s="118"/>
      <c r="P164" s="118"/>
      <c r="Q164" s="118"/>
    </row>
    <row r="165" spans="2:17" ht="14.25" customHeight="1" x14ac:dyDescent="0.3">
      <c r="B165" s="23"/>
      <c r="D165" s="25"/>
      <c r="E165" s="25"/>
      <c r="M165" s="12"/>
      <c r="N165" s="118"/>
      <c r="O165" s="118"/>
      <c r="P165" s="118"/>
      <c r="Q165" s="118"/>
    </row>
    <row r="166" spans="2:17" ht="14.25" customHeight="1" x14ac:dyDescent="0.3">
      <c r="B166" s="23"/>
      <c r="D166" s="25"/>
      <c r="E166" s="25"/>
      <c r="M166" s="12"/>
      <c r="N166" s="118"/>
      <c r="O166" s="118"/>
      <c r="P166" s="118"/>
      <c r="Q166" s="118"/>
    </row>
    <row r="167" spans="2:17" ht="14.25" customHeight="1" x14ac:dyDescent="0.3">
      <c r="B167" s="23"/>
      <c r="D167" s="25"/>
      <c r="E167" s="25"/>
      <c r="M167" s="12"/>
      <c r="N167" s="118"/>
      <c r="O167" s="118"/>
      <c r="P167" s="118"/>
      <c r="Q167" s="118"/>
    </row>
    <row r="168" spans="2:17" ht="14.25" customHeight="1" x14ac:dyDescent="0.3">
      <c r="B168" s="23"/>
      <c r="D168" s="25"/>
      <c r="E168" s="25"/>
      <c r="M168" s="12"/>
      <c r="N168" s="118"/>
      <c r="O168" s="118"/>
      <c r="P168" s="118"/>
      <c r="Q168" s="118"/>
    </row>
    <row r="169" spans="2:17" ht="14.25" customHeight="1" x14ac:dyDescent="0.3">
      <c r="B169" s="23"/>
      <c r="D169" s="25"/>
      <c r="E169" s="25"/>
      <c r="M169" s="12"/>
      <c r="N169" s="118"/>
      <c r="O169" s="118"/>
      <c r="P169" s="118"/>
      <c r="Q169" s="118"/>
    </row>
    <row r="170" spans="2:17" ht="14.25" customHeight="1" x14ac:dyDescent="0.3">
      <c r="B170" s="23"/>
      <c r="D170" s="25"/>
      <c r="E170" s="25"/>
      <c r="M170" s="12"/>
      <c r="N170" s="118"/>
      <c r="O170" s="118"/>
      <c r="P170" s="118"/>
      <c r="Q170" s="118"/>
    </row>
    <row r="171" spans="2:17" ht="14.25" customHeight="1" x14ac:dyDescent="0.3">
      <c r="B171" s="23"/>
      <c r="D171" s="25"/>
      <c r="E171" s="25"/>
      <c r="M171" s="12"/>
      <c r="N171" s="118"/>
      <c r="O171" s="118"/>
      <c r="P171" s="118"/>
      <c r="Q171" s="118"/>
    </row>
    <row r="172" spans="2:17" ht="14.25" customHeight="1" x14ac:dyDescent="0.3">
      <c r="B172" s="23"/>
      <c r="D172" s="25"/>
      <c r="E172" s="25"/>
      <c r="M172" s="12"/>
      <c r="N172" s="118"/>
      <c r="O172" s="118"/>
      <c r="P172" s="118"/>
      <c r="Q172" s="118"/>
    </row>
    <row r="173" spans="2:17" ht="14.25" customHeight="1" x14ac:dyDescent="0.3">
      <c r="B173" s="23"/>
      <c r="D173" s="25"/>
      <c r="E173" s="25"/>
      <c r="M173" s="12"/>
      <c r="N173" s="118"/>
      <c r="O173" s="118"/>
      <c r="P173" s="118"/>
      <c r="Q173" s="118"/>
    </row>
    <row r="174" spans="2:17" ht="14.25" customHeight="1" x14ac:dyDescent="0.3">
      <c r="B174" s="23"/>
      <c r="D174" s="25"/>
      <c r="E174" s="25"/>
      <c r="M174" s="12"/>
      <c r="N174" s="118"/>
      <c r="O174" s="118"/>
      <c r="P174" s="118"/>
      <c r="Q174" s="118"/>
    </row>
    <row r="175" spans="2:17" ht="14.25" customHeight="1" x14ac:dyDescent="0.3">
      <c r="B175" s="23"/>
      <c r="D175" s="25"/>
      <c r="E175" s="25"/>
      <c r="M175" s="12"/>
      <c r="N175" s="118"/>
      <c r="O175" s="118"/>
      <c r="P175" s="118"/>
      <c r="Q175" s="118"/>
    </row>
    <row r="176" spans="2:17" ht="14.25" customHeight="1" x14ac:dyDescent="0.3">
      <c r="B176" s="23"/>
      <c r="D176" s="25"/>
      <c r="E176" s="25"/>
      <c r="M176" s="12"/>
      <c r="N176" s="118"/>
      <c r="O176" s="118"/>
      <c r="P176" s="118"/>
      <c r="Q176" s="118"/>
    </row>
    <row r="177" spans="2:17" ht="14.25" customHeight="1" x14ac:dyDescent="0.3">
      <c r="B177" s="23"/>
      <c r="D177" s="25"/>
      <c r="E177" s="25"/>
      <c r="M177" s="12"/>
      <c r="N177" s="118"/>
      <c r="O177" s="118"/>
      <c r="P177" s="118"/>
      <c r="Q177" s="118"/>
    </row>
    <row r="178" spans="2:17" ht="14.25" customHeight="1" x14ac:dyDescent="0.3">
      <c r="B178" s="23"/>
      <c r="D178" s="25"/>
      <c r="E178" s="25"/>
      <c r="M178" s="12"/>
      <c r="N178" s="118"/>
      <c r="O178" s="118"/>
      <c r="P178" s="118"/>
      <c r="Q178" s="118"/>
    </row>
    <row r="179" spans="2:17" ht="14.25" customHeight="1" x14ac:dyDescent="0.3">
      <c r="B179" s="23"/>
      <c r="D179" s="25"/>
      <c r="E179" s="25"/>
      <c r="M179" s="12"/>
      <c r="N179" s="118"/>
      <c r="O179" s="118"/>
      <c r="P179" s="118"/>
      <c r="Q179" s="118"/>
    </row>
    <row r="180" spans="2:17" ht="14.25" customHeight="1" x14ac:dyDescent="0.3">
      <c r="B180" s="23"/>
      <c r="D180" s="25"/>
      <c r="E180" s="25"/>
      <c r="M180" s="12"/>
      <c r="N180" s="118"/>
      <c r="O180" s="118"/>
      <c r="P180" s="118"/>
      <c r="Q180" s="118"/>
    </row>
    <row r="181" spans="2:17" ht="14.25" customHeight="1" x14ac:dyDescent="0.3">
      <c r="B181" s="23"/>
      <c r="D181" s="25"/>
      <c r="E181" s="25"/>
      <c r="M181" s="12"/>
      <c r="N181" s="118"/>
      <c r="O181" s="118"/>
      <c r="P181" s="118"/>
      <c r="Q181" s="118"/>
    </row>
    <row r="182" spans="2:17" ht="14.25" customHeight="1" x14ac:dyDescent="0.3">
      <c r="B182" s="23"/>
      <c r="D182" s="25"/>
      <c r="E182" s="25"/>
      <c r="M182" s="12"/>
      <c r="N182" s="118"/>
      <c r="O182" s="118"/>
      <c r="P182" s="118"/>
      <c r="Q182" s="118"/>
    </row>
    <row r="183" spans="2:17" ht="14.25" customHeight="1" x14ac:dyDescent="0.3">
      <c r="B183" s="23"/>
      <c r="D183" s="25"/>
      <c r="E183" s="25"/>
      <c r="M183" s="12"/>
      <c r="N183" s="118"/>
      <c r="O183" s="118"/>
      <c r="P183" s="118"/>
      <c r="Q183" s="118"/>
    </row>
    <row r="184" spans="2:17" ht="14.25" customHeight="1" x14ac:dyDescent="0.3">
      <c r="B184" s="23"/>
      <c r="D184" s="25"/>
      <c r="E184" s="25"/>
      <c r="M184" s="12"/>
      <c r="N184" s="118"/>
      <c r="O184" s="118"/>
      <c r="P184" s="118"/>
      <c r="Q184" s="118"/>
    </row>
    <row r="185" spans="2:17" ht="14.25" customHeight="1" x14ac:dyDescent="0.3">
      <c r="B185" s="23"/>
      <c r="D185" s="25"/>
      <c r="E185" s="25"/>
      <c r="M185" s="12"/>
      <c r="N185" s="118"/>
      <c r="O185" s="118"/>
      <c r="P185" s="118"/>
      <c r="Q185" s="118"/>
    </row>
    <row r="186" spans="2:17" ht="14.25" customHeight="1" x14ac:dyDescent="0.3">
      <c r="B186" s="23"/>
      <c r="D186" s="25"/>
      <c r="E186" s="25"/>
      <c r="M186" s="12"/>
      <c r="N186" s="118"/>
      <c r="O186" s="118"/>
      <c r="P186" s="118"/>
      <c r="Q186" s="118"/>
    </row>
    <row r="187" spans="2:17" ht="14.25" customHeight="1" x14ac:dyDescent="0.3">
      <c r="B187" s="23"/>
      <c r="D187" s="25"/>
      <c r="E187" s="25"/>
      <c r="M187" s="12"/>
      <c r="N187" s="118"/>
      <c r="O187" s="118"/>
      <c r="P187" s="118"/>
      <c r="Q187" s="118"/>
    </row>
    <row r="188" spans="2:17" ht="14.25" customHeight="1" x14ac:dyDescent="0.3">
      <c r="B188" s="23"/>
      <c r="D188" s="25"/>
      <c r="E188" s="25"/>
      <c r="M188" s="12"/>
      <c r="N188" s="118"/>
      <c r="O188" s="118"/>
      <c r="P188" s="118"/>
      <c r="Q188" s="118"/>
    </row>
    <row r="189" spans="2:17" ht="14.25" customHeight="1" x14ac:dyDescent="0.3">
      <c r="B189" s="23"/>
      <c r="D189" s="25"/>
      <c r="E189" s="25"/>
      <c r="M189" s="12"/>
      <c r="N189" s="118"/>
      <c r="O189" s="118"/>
      <c r="P189" s="118"/>
      <c r="Q189" s="118"/>
    </row>
    <row r="190" spans="2:17" ht="14.25" customHeight="1" x14ac:dyDescent="0.3">
      <c r="B190" s="23"/>
      <c r="D190" s="25"/>
      <c r="E190" s="25"/>
      <c r="M190" s="12"/>
      <c r="N190" s="118"/>
      <c r="O190" s="118"/>
      <c r="P190" s="118"/>
      <c r="Q190" s="118"/>
    </row>
    <row r="191" spans="2:17" ht="14.25" customHeight="1" x14ac:dyDescent="0.3">
      <c r="B191" s="23"/>
      <c r="D191" s="25"/>
      <c r="E191" s="25"/>
      <c r="M191" s="12"/>
      <c r="N191" s="118"/>
      <c r="O191" s="118"/>
      <c r="P191" s="118"/>
      <c r="Q191" s="118"/>
    </row>
    <row r="192" spans="2:17" ht="14.25" customHeight="1" x14ac:dyDescent="0.3">
      <c r="B192" s="23"/>
      <c r="D192" s="25"/>
      <c r="E192" s="25"/>
      <c r="M192" s="12"/>
      <c r="N192" s="118"/>
      <c r="O192" s="118"/>
      <c r="P192" s="118"/>
      <c r="Q192" s="118"/>
    </row>
    <row r="193" spans="2:17" ht="14.25" customHeight="1" x14ac:dyDescent="0.3">
      <c r="B193" s="23"/>
      <c r="D193" s="25"/>
      <c r="E193" s="25"/>
      <c r="M193" s="12"/>
      <c r="N193" s="118"/>
      <c r="O193" s="118"/>
      <c r="P193" s="118"/>
      <c r="Q193" s="118"/>
    </row>
    <row r="194" spans="2:17" ht="14.25" customHeight="1" x14ac:dyDescent="0.3">
      <c r="B194" s="23"/>
      <c r="D194" s="25"/>
      <c r="E194" s="25"/>
      <c r="M194" s="12"/>
      <c r="N194" s="118"/>
      <c r="O194" s="118"/>
      <c r="P194" s="118"/>
      <c r="Q194" s="118"/>
    </row>
    <row r="195" spans="2:17" ht="14.25" customHeight="1" x14ac:dyDescent="0.3">
      <c r="B195" s="23"/>
      <c r="D195" s="25"/>
      <c r="E195" s="25"/>
      <c r="M195" s="12"/>
      <c r="N195" s="118"/>
      <c r="O195" s="118"/>
      <c r="P195" s="118"/>
      <c r="Q195" s="118"/>
    </row>
    <row r="196" spans="2:17" ht="14.25" customHeight="1" x14ac:dyDescent="0.3">
      <c r="B196" s="23"/>
      <c r="D196" s="25"/>
      <c r="E196" s="25"/>
      <c r="M196" s="12"/>
      <c r="N196" s="118"/>
      <c r="O196" s="118"/>
      <c r="P196" s="118"/>
      <c r="Q196" s="118"/>
    </row>
    <row r="197" spans="2:17" ht="14.25" customHeight="1" x14ac:dyDescent="0.3">
      <c r="B197" s="23"/>
      <c r="D197" s="25"/>
      <c r="E197" s="25"/>
      <c r="M197" s="12"/>
      <c r="N197" s="118"/>
      <c r="O197" s="118"/>
      <c r="P197" s="118"/>
      <c r="Q197" s="118"/>
    </row>
    <row r="198" spans="2:17" ht="14.25" customHeight="1" x14ac:dyDescent="0.3">
      <c r="B198" s="23"/>
      <c r="D198" s="25"/>
      <c r="E198" s="25"/>
      <c r="M198" s="12"/>
      <c r="N198" s="118"/>
      <c r="O198" s="118"/>
      <c r="P198" s="118"/>
      <c r="Q198" s="118"/>
    </row>
    <row r="199" spans="2:17" ht="14.25" customHeight="1" x14ac:dyDescent="0.3">
      <c r="B199" s="23"/>
      <c r="D199" s="25"/>
      <c r="E199" s="25"/>
      <c r="M199" s="12"/>
      <c r="N199" s="118"/>
      <c r="O199" s="118"/>
      <c r="P199" s="118"/>
      <c r="Q199" s="118"/>
    </row>
    <row r="200" spans="2:17" ht="14.25" customHeight="1" x14ac:dyDescent="0.3">
      <c r="B200" s="23"/>
      <c r="D200" s="25"/>
      <c r="E200" s="25"/>
      <c r="M200" s="12"/>
      <c r="N200" s="118"/>
      <c r="O200" s="118"/>
      <c r="P200" s="118"/>
      <c r="Q200" s="118"/>
    </row>
    <row r="201" spans="2:17" ht="14.25" customHeight="1" x14ac:dyDescent="0.3">
      <c r="B201" s="23"/>
      <c r="D201" s="25"/>
      <c r="E201" s="25"/>
      <c r="M201" s="12"/>
      <c r="N201" s="118"/>
      <c r="O201" s="118"/>
      <c r="P201" s="118"/>
      <c r="Q201" s="118"/>
    </row>
    <row r="202" spans="2:17" ht="14.25" customHeight="1" x14ac:dyDescent="0.3">
      <c r="B202" s="23"/>
      <c r="D202" s="25"/>
      <c r="E202" s="25"/>
      <c r="M202" s="12"/>
      <c r="N202" s="118"/>
      <c r="O202" s="118"/>
      <c r="P202" s="118"/>
      <c r="Q202" s="118"/>
    </row>
    <row r="203" spans="2:17" ht="14.25" customHeight="1" x14ac:dyDescent="0.3">
      <c r="B203" s="23"/>
      <c r="D203" s="25"/>
      <c r="E203" s="25"/>
      <c r="M203" s="12"/>
      <c r="N203" s="118"/>
      <c r="O203" s="118"/>
      <c r="P203" s="118"/>
      <c r="Q203" s="118"/>
    </row>
    <row r="204" spans="2:17" ht="14.25" customHeight="1" x14ac:dyDescent="0.3">
      <c r="B204" s="23"/>
      <c r="D204" s="25"/>
      <c r="E204" s="25"/>
      <c r="M204" s="12"/>
      <c r="N204" s="118"/>
      <c r="O204" s="118"/>
      <c r="P204" s="118"/>
      <c r="Q204" s="118"/>
    </row>
    <row r="205" spans="2:17" ht="14.25" customHeight="1" x14ac:dyDescent="0.3">
      <c r="B205" s="23"/>
      <c r="D205" s="25"/>
      <c r="E205" s="25"/>
      <c r="M205" s="12"/>
      <c r="N205" s="118"/>
      <c r="O205" s="118"/>
      <c r="P205" s="118"/>
      <c r="Q205" s="118"/>
    </row>
    <row r="206" spans="2:17" ht="14.25" customHeight="1" x14ac:dyDescent="0.3">
      <c r="B206" s="23"/>
      <c r="D206" s="25"/>
      <c r="E206" s="25"/>
      <c r="M206" s="12"/>
      <c r="N206" s="118"/>
      <c r="O206" s="118"/>
      <c r="P206" s="118"/>
      <c r="Q206" s="118"/>
    </row>
    <row r="207" spans="2:17" ht="14.25" customHeight="1" x14ac:dyDescent="0.3">
      <c r="B207" s="23"/>
      <c r="D207" s="25"/>
      <c r="E207" s="25"/>
      <c r="M207" s="12"/>
      <c r="N207" s="118"/>
      <c r="O207" s="118"/>
      <c r="P207" s="118"/>
      <c r="Q207" s="118"/>
    </row>
    <row r="208" spans="2:17" ht="14.25" customHeight="1" x14ac:dyDescent="0.3">
      <c r="B208" s="23"/>
      <c r="D208" s="25"/>
      <c r="E208" s="25"/>
      <c r="M208" s="12"/>
      <c r="N208" s="118"/>
      <c r="O208" s="118"/>
      <c r="P208" s="118"/>
      <c r="Q208" s="118"/>
    </row>
    <row r="209" spans="2:17" ht="14.25" customHeight="1" x14ac:dyDescent="0.3">
      <c r="B209" s="23"/>
      <c r="D209" s="25"/>
      <c r="E209" s="25"/>
      <c r="M209" s="12"/>
      <c r="N209" s="118"/>
      <c r="O209" s="118"/>
      <c r="P209" s="118"/>
      <c r="Q209" s="118"/>
    </row>
    <row r="210" spans="2:17" ht="14.25" customHeight="1" x14ac:dyDescent="0.3">
      <c r="B210" s="23"/>
      <c r="D210" s="25"/>
      <c r="E210" s="25"/>
      <c r="M210" s="12"/>
      <c r="N210" s="118"/>
      <c r="O210" s="118"/>
      <c r="P210" s="118"/>
      <c r="Q210" s="118"/>
    </row>
    <row r="211" spans="2:17" ht="14.25" customHeight="1" x14ac:dyDescent="0.3">
      <c r="B211" s="23"/>
      <c r="D211" s="25"/>
      <c r="E211" s="25"/>
      <c r="M211" s="12"/>
      <c r="N211" s="118"/>
      <c r="O211" s="118"/>
      <c r="P211" s="118"/>
      <c r="Q211" s="118"/>
    </row>
    <row r="212" spans="2:17" ht="14.25" customHeight="1" x14ac:dyDescent="0.3">
      <c r="B212" s="23"/>
      <c r="D212" s="25"/>
      <c r="E212" s="25"/>
      <c r="M212" s="12"/>
      <c r="N212" s="118"/>
      <c r="O212" s="118"/>
      <c r="P212" s="118"/>
      <c r="Q212" s="118"/>
    </row>
    <row r="213" spans="2:17" ht="14.25" customHeight="1" x14ac:dyDescent="0.3">
      <c r="B213" s="23"/>
      <c r="D213" s="25"/>
      <c r="E213" s="25"/>
      <c r="M213" s="12"/>
      <c r="N213" s="118"/>
      <c r="O213" s="118"/>
      <c r="P213" s="118"/>
      <c r="Q213" s="118"/>
    </row>
    <row r="214" spans="2:17" ht="14.25" customHeight="1" x14ac:dyDescent="0.3">
      <c r="B214" s="23"/>
      <c r="D214" s="25"/>
      <c r="E214" s="25"/>
      <c r="M214" s="12"/>
      <c r="N214" s="118"/>
      <c r="O214" s="118"/>
      <c r="P214" s="118"/>
      <c r="Q214" s="118"/>
    </row>
    <row r="215" spans="2:17" ht="14.25" customHeight="1" x14ac:dyDescent="0.3">
      <c r="B215" s="23"/>
      <c r="D215" s="25"/>
      <c r="E215" s="25"/>
      <c r="M215" s="12"/>
      <c r="N215" s="118"/>
      <c r="O215" s="118"/>
      <c r="P215" s="118"/>
      <c r="Q215" s="118"/>
    </row>
    <row r="216" spans="2:17" ht="14.25" customHeight="1" x14ac:dyDescent="0.3">
      <c r="B216" s="23"/>
      <c r="D216" s="25"/>
      <c r="E216" s="25"/>
      <c r="M216" s="12"/>
      <c r="N216" s="118"/>
      <c r="O216" s="118"/>
      <c r="P216" s="118"/>
      <c r="Q216" s="118"/>
    </row>
    <row r="217" spans="2:17" ht="14.25" customHeight="1" x14ac:dyDescent="0.3">
      <c r="B217" s="23"/>
      <c r="D217" s="25"/>
      <c r="E217" s="25"/>
      <c r="M217" s="12"/>
      <c r="N217" s="118"/>
      <c r="O217" s="118"/>
      <c r="P217" s="118"/>
      <c r="Q217" s="118"/>
    </row>
    <row r="218" spans="2:17" ht="14.25" customHeight="1" x14ac:dyDescent="0.3">
      <c r="B218" s="23"/>
      <c r="D218" s="25"/>
      <c r="E218" s="25"/>
      <c r="M218" s="12"/>
      <c r="N218" s="118"/>
      <c r="O218" s="118"/>
      <c r="P218" s="118"/>
      <c r="Q218" s="118"/>
    </row>
    <row r="219" spans="2:17" ht="14.25" customHeight="1" x14ac:dyDescent="0.3">
      <c r="B219" s="23"/>
      <c r="D219" s="25"/>
      <c r="E219" s="25"/>
      <c r="M219" s="12"/>
      <c r="N219" s="118"/>
      <c r="O219" s="118"/>
      <c r="P219" s="118"/>
      <c r="Q219" s="118"/>
    </row>
    <row r="220" spans="2:17" ht="14.25" customHeight="1" x14ac:dyDescent="0.3">
      <c r="B220" s="23"/>
      <c r="D220" s="25"/>
      <c r="E220" s="25"/>
      <c r="M220" s="12"/>
      <c r="N220" s="118"/>
      <c r="O220" s="118"/>
      <c r="P220" s="118"/>
      <c r="Q220" s="118"/>
    </row>
    <row r="221" spans="2:17" ht="14.25" customHeight="1" x14ac:dyDescent="0.3">
      <c r="B221" s="23"/>
      <c r="D221" s="25"/>
      <c r="E221" s="25"/>
      <c r="M221" s="12"/>
      <c r="N221" s="118"/>
      <c r="O221" s="118"/>
      <c r="P221" s="118"/>
      <c r="Q221" s="118"/>
    </row>
    <row r="222" spans="2:17" ht="14.25" customHeight="1" x14ac:dyDescent="0.3">
      <c r="B222" s="23"/>
      <c r="D222" s="25"/>
      <c r="E222" s="25"/>
      <c r="M222" s="12"/>
      <c r="N222" s="118"/>
      <c r="O222" s="118"/>
      <c r="P222" s="118"/>
      <c r="Q222" s="118"/>
    </row>
    <row r="223" spans="2:17" ht="14.25" customHeight="1" x14ac:dyDescent="0.3">
      <c r="B223" s="23"/>
      <c r="D223" s="25"/>
      <c r="E223" s="25"/>
      <c r="M223" s="12"/>
      <c r="N223" s="118"/>
      <c r="O223" s="118"/>
      <c r="P223" s="118"/>
      <c r="Q223" s="118"/>
    </row>
    <row r="224" spans="2:17" ht="14.25" customHeight="1" x14ac:dyDescent="0.3">
      <c r="B224" s="23"/>
      <c r="D224" s="25"/>
      <c r="E224" s="25"/>
      <c r="M224" s="12"/>
      <c r="N224" s="118"/>
      <c r="O224" s="118"/>
      <c r="P224" s="118"/>
      <c r="Q224" s="118"/>
    </row>
    <row r="225" spans="2:17" ht="14.25" customHeight="1" x14ac:dyDescent="0.3">
      <c r="B225" s="23"/>
      <c r="D225" s="25"/>
      <c r="E225" s="25"/>
      <c r="M225" s="12"/>
      <c r="N225" s="118"/>
      <c r="O225" s="118"/>
      <c r="P225" s="118"/>
      <c r="Q225" s="118"/>
    </row>
    <row r="226" spans="2:17" ht="14.25" customHeight="1" x14ac:dyDescent="0.3">
      <c r="B226" s="23"/>
      <c r="D226" s="25"/>
      <c r="E226" s="25"/>
      <c r="M226" s="12"/>
      <c r="N226" s="118"/>
      <c r="O226" s="118"/>
      <c r="P226" s="118"/>
      <c r="Q226" s="118"/>
    </row>
    <row r="227" spans="2:17" ht="14.25" customHeight="1" x14ac:dyDescent="0.3">
      <c r="B227" s="23"/>
      <c r="D227" s="25"/>
      <c r="E227" s="25"/>
      <c r="M227" s="12"/>
      <c r="N227" s="118"/>
      <c r="O227" s="118"/>
      <c r="P227" s="118"/>
      <c r="Q227" s="118"/>
    </row>
    <row r="228" spans="2:17" ht="14.25" customHeight="1" x14ac:dyDescent="0.3">
      <c r="B228" s="23"/>
      <c r="D228" s="25"/>
      <c r="E228" s="25"/>
      <c r="M228" s="12"/>
      <c r="N228" s="118"/>
      <c r="O228" s="118"/>
      <c r="P228" s="118"/>
      <c r="Q228" s="118"/>
    </row>
    <row r="229" spans="2:17" ht="14.25" customHeight="1" x14ac:dyDescent="0.3">
      <c r="B229" s="23"/>
      <c r="D229" s="25"/>
      <c r="E229" s="25"/>
      <c r="M229" s="12"/>
      <c r="N229" s="118"/>
      <c r="O229" s="118"/>
      <c r="P229" s="118"/>
      <c r="Q229" s="118"/>
    </row>
    <row r="230" spans="2:17" ht="14.25" customHeight="1" x14ac:dyDescent="0.3">
      <c r="B230" s="23"/>
      <c r="D230" s="25"/>
      <c r="E230" s="25"/>
      <c r="M230" s="12"/>
      <c r="N230" s="118"/>
      <c r="O230" s="118"/>
      <c r="P230" s="118"/>
      <c r="Q230" s="118"/>
    </row>
    <row r="231" spans="2:17" ht="14.25" customHeight="1" x14ac:dyDescent="0.3">
      <c r="B231" s="23"/>
      <c r="D231" s="25"/>
      <c r="E231" s="25"/>
      <c r="M231" s="12"/>
      <c r="N231" s="118"/>
      <c r="O231" s="118"/>
      <c r="P231" s="118"/>
      <c r="Q231" s="118"/>
    </row>
    <row r="232" spans="2:17" ht="14.25" customHeight="1" x14ac:dyDescent="0.3">
      <c r="B232" s="23"/>
      <c r="D232" s="25"/>
      <c r="E232" s="25"/>
      <c r="M232" s="12"/>
      <c r="N232" s="118"/>
      <c r="O232" s="118"/>
      <c r="P232" s="118"/>
      <c r="Q232" s="118"/>
    </row>
    <row r="233" spans="2:17" ht="14.25" customHeight="1" x14ac:dyDescent="0.3">
      <c r="B233" s="23"/>
      <c r="D233" s="25"/>
      <c r="E233" s="25"/>
      <c r="M233" s="12"/>
      <c r="N233" s="118"/>
      <c r="O233" s="118"/>
      <c r="P233" s="118"/>
      <c r="Q233" s="118"/>
    </row>
    <row r="234" spans="2:17" ht="14.25" customHeight="1" x14ac:dyDescent="0.3">
      <c r="B234" s="23"/>
      <c r="D234" s="25"/>
      <c r="E234" s="25"/>
      <c r="M234" s="12"/>
      <c r="N234" s="118"/>
      <c r="O234" s="118"/>
      <c r="P234" s="118"/>
      <c r="Q234" s="118"/>
    </row>
    <row r="235" spans="2:17" ht="14.25" customHeight="1" x14ac:dyDescent="0.3">
      <c r="B235" s="23"/>
      <c r="D235" s="25"/>
      <c r="E235" s="25"/>
      <c r="M235" s="12"/>
      <c r="N235" s="118"/>
      <c r="O235" s="118"/>
      <c r="P235" s="118"/>
      <c r="Q235" s="118"/>
    </row>
    <row r="236" spans="2:17" ht="14.25" customHeight="1" x14ac:dyDescent="0.3">
      <c r="B236" s="23"/>
      <c r="D236" s="25"/>
      <c r="E236" s="25"/>
      <c r="M236" s="12"/>
      <c r="N236" s="118"/>
      <c r="O236" s="118"/>
      <c r="P236" s="118"/>
      <c r="Q236" s="118"/>
    </row>
    <row r="237" spans="2:17" ht="14.25" customHeight="1" x14ac:dyDescent="0.3">
      <c r="B237" s="23"/>
      <c r="D237" s="25"/>
      <c r="E237" s="25"/>
      <c r="M237" s="12"/>
      <c r="N237" s="118"/>
      <c r="O237" s="118"/>
      <c r="P237" s="118"/>
      <c r="Q237" s="118"/>
    </row>
    <row r="238" spans="2:17" ht="14.25" customHeight="1" x14ac:dyDescent="0.3">
      <c r="B238" s="23"/>
      <c r="D238" s="25"/>
      <c r="E238" s="25"/>
      <c r="M238" s="12"/>
      <c r="N238" s="118"/>
      <c r="O238" s="118"/>
      <c r="P238" s="118"/>
      <c r="Q238" s="118"/>
    </row>
    <row r="239" spans="2:17" ht="14.25" customHeight="1" x14ac:dyDescent="0.3">
      <c r="B239" s="23"/>
      <c r="D239" s="25"/>
      <c r="E239" s="25"/>
      <c r="M239" s="12"/>
      <c r="N239" s="118"/>
      <c r="O239" s="118"/>
      <c r="P239" s="118"/>
      <c r="Q239" s="118"/>
    </row>
    <row r="240" spans="2:17" ht="14.25" customHeight="1" x14ac:dyDescent="0.3">
      <c r="B240" s="23"/>
      <c r="D240" s="25"/>
      <c r="E240" s="25"/>
      <c r="M240" s="12"/>
      <c r="N240" s="118"/>
      <c r="O240" s="118"/>
      <c r="P240" s="118"/>
      <c r="Q240" s="118"/>
    </row>
    <row r="241" spans="2:17" ht="14.25" customHeight="1" x14ac:dyDescent="0.3">
      <c r="B241" s="23"/>
      <c r="D241" s="25"/>
      <c r="E241" s="25"/>
      <c r="M241" s="12"/>
      <c r="N241" s="118"/>
      <c r="O241" s="118"/>
      <c r="P241" s="118"/>
      <c r="Q241" s="118"/>
    </row>
    <row r="242" spans="2:17" ht="14.25" customHeight="1" x14ac:dyDescent="0.3">
      <c r="B242" s="23"/>
      <c r="D242" s="25"/>
      <c r="E242" s="25"/>
      <c r="M242" s="12"/>
      <c r="N242" s="118"/>
      <c r="O242" s="118"/>
      <c r="P242" s="118"/>
      <c r="Q242" s="118"/>
    </row>
    <row r="243" spans="2:17" ht="14.25" customHeight="1" x14ac:dyDescent="0.3">
      <c r="B243" s="23"/>
      <c r="D243" s="25"/>
      <c r="E243" s="25"/>
      <c r="M243" s="12"/>
      <c r="N243" s="118"/>
      <c r="O243" s="118"/>
      <c r="P243" s="118"/>
      <c r="Q243" s="118"/>
    </row>
    <row r="244" spans="2:17" ht="14.25" customHeight="1" x14ac:dyDescent="0.3">
      <c r="B244" s="23"/>
      <c r="D244" s="25"/>
      <c r="E244" s="25"/>
      <c r="M244" s="12"/>
      <c r="N244" s="118"/>
      <c r="O244" s="118"/>
      <c r="P244" s="118"/>
      <c r="Q244" s="118"/>
    </row>
    <row r="245" spans="2:17" ht="14.25" customHeight="1" x14ac:dyDescent="0.3">
      <c r="B245" s="23"/>
      <c r="D245" s="25"/>
      <c r="E245" s="25"/>
      <c r="M245" s="12"/>
      <c r="N245" s="118"/>
      <c r="O245" s="118"/>
      <c r="P245" s="118"/>
      <c r="Q245" s="118"/>
    </row>
    <row r="246" spans="2:17" ht="14.25" customHeight="1" x14ac:dyDescent="0.3">
      <c r="B246" s="23"/>
      <c r="D246" s="25"/>
      <c r="E246" s="25"/>
      <c r="M246" s="12"/>
      <c r="N246" s="118"/>
      <c r="O246" s="118"/>
      <c r="P246" s="118"/>
      <c r="Q246" s="118"/>
    </row>
    <row r="247" spans="2:17" ht="14.25" customHeight="1" x14ac:dyDescent="0.3">
      <c r="B247" s="23"/>
      <c r="D247" s="25"/>
      <c r="E247" s="25"/>
      <c r="M247" s="12"/>
      <c r="N247" s="118"/>
      <c r="O247" s="118"/>
      <c r="P247" s="118"/>
      <c r="Q247" s="118"/>
    </row>
    <row r="248" spans="2:17" ht="14.25" customHeight="1" x14ac:dyDescent="0.3">
      <c r="B248" s="23"/>
      <c r="D248" s="25"/>
      <c r="E248" s="25"/>
      <c r="M248" s="12"/>
      <c r="N248" s="118"/>
      <c r="O248" s="118"/>
      <c r="P248" s="118"/>
      <c r="Q248" s="118"/>
    </row>
    <row r="249" spans="2:17" ht="14.25" customHeight="1" x14ac:dyDescent="0.3">
      <c r="B249" s="23"/>
      <c r="D249" s="25"/>
      <c r="E249" s="25"/>
      <c r="M249" s="12"/>
      <c r="N249" s="118"/>
      <c r="O249" s="118"/>
      <c r="P249" s="118"/>
      <c r="Q249" s="118"/>
    </row>
    <row r="250" spans="2:17" ht="14.25" customHeight="1" x14ac:dyDescent="0.3">
      <c r="B250" s="23"/>
      <c r="D250" s="25"/>
      <c r="E250" s="25"/>
      <c r="M250" s="12"/>
      <c r="N250" s="118"/>
      <c r="O250" s="118"/>
      <c r="P250" s="118"/>
      <c r="Q250" s="118"/>
    </row>
    <row r="251" spans="2:17" ht="14.25" customHeight="1" x14ac:dyDescent="0.3">
      <c r="B251" s="23"/>
      <c r="D251" s="25"/>
      <c r="E251" s="25"/>
      <c r="M251" s="12"/>
      <c r="N251" s="118"/>
      <c r="O251" s="118"/>
      <c r="P251" s="118"/>
      <c r="Q251" s="118"/>
    </row>
    <row r="252" spans="2:17" ht="14.25" customHeight="1" x14ac:dyDescent="0.3">
      <c r="B252" s="23"/>
      <c r="D252" s="25"/>
      <c r="E252" s="25"/>
      <c r="M252" s="12"/>
      <c r="N252" s="118"/>
      <c r="O252" s="118"/>
      <c r="P252" s="118"/>
      <c r="Q252" s="118"/>
    </row>
    <row r="253" spans="2:17" ht="14.25" customHeight="1" x14ac:dyDescent="0.3">
      <c r="B253" s="23"/>
      <c r="D253" s="25"/>
      <c r="E253" s="25"/>
      <c r="M253" s="12"/>
      <c r="N253" s="118"/>
      <c r="O253" s="118"/>
      <c r="P253" s="118"/>
      <c r="Q253" s="118"/>
    </row>
    <row r="254" spans="2:17" ht="14.25" customHeight="1" x14ac:dyDescent="0.3">
      <c r="B254" s="23"/>
      <c r="D254" s="25"/>
      <c r="E254" s="25"/>
      <c r="M254" s="12"/>
      <c r="N254" s="118"/>
      <c r="O254" s="118"/>
      <c r="P254" s="118"/>
      <c r="Q254" s="118"/>
    </row>
    <row r="255" spans="2:17" ht="14.25" customHeight="1" x14ac:dyDescent="0.3">
      <c r="B255" s="23"/>
      <c r="D255" s="25"/>
      <c r="E255" s="25"/>
      <c r="M255" s="12"/>
      <c r="N255" s="118"/>
      <c r="O255" s="118"/>
      <c r="P255" s="118"/>
      <c r="Q255" s="118"/>
    </row>
    <row r="256" spans="2:17" ht="14.25" customHeight="1" x14ac:dyDescent="0.3">
      <c r="B256" s="23"/>
      <c r="D256" s="25"/>
      <c r="E256" s="25"/>
      <c r="M256" s="12"/>
      <c r="N256" s="118"/>
      <c r="O256" s="118"/>
      <c r="P256" s="118"/>
      <c r="Q256" s="118"/>
    </row>
    <row r="257" spans="2:17" ht="14.25" customHeight="1" x14ac:dyDescent="0.3">
      <c r="B257" s="23"/>
      <c r="D257" s="25"/>
      <c r="E257" s="25"/>
      <c r="M257" s="12"/>
      <c r="N257" s="118"/>
      <c r="O257" s="118"/>
      <c r="P257" s="118"/>
      <c r="Q257" s="118"/>
    </row>
    <row r="258" spans="2:17" ht="14.25" customHeight="1" x14ac:dyDescent="0.3">
      <c r="B258" s="23"/>
      <c r="D258" s="25"/>
      <c r="E258" s="25"/>
      <c r="M258" s="12"/>
      <c r="N258" s="118"/>
      <c r="O258" s="118"/>
      <c r="P258" s="118"/>
      <c r="Q258" s="118"/>
    </row>
    <row r="259" spans="2:17" ht="14.25" customHeight="1" x14ac:dyDescent="0.3">
      <c r="B259" s="23"/>
      <c r="D259" s="25"/>
      <c r="E259" s="25"/>
      <c r="M259" s="12"/>
      <c r="N259" s="118"/>
      <c r="O259" s="118"/>
      <c r="P259" s="118"/>
      <c r="Q259" s="118"/>
    </row>
    <row r="260" spans="2:17" ht="14.25" customHeight="1" x14ac:dyDescent="0.3">
      <c r="B260" s="23"/>
      <c r="D260" s="25"/>
      <c r="E260" s="25"/>
      <c r="M260" s="12"/>
      <c r="N260" s="118"/>
      <c r="O260" s="118"/>
      <c r="P260" s="118"/>
      <c r="Q260" s="118"/>
    </row>
    <row r="261" spans="2:17" ht="14.25" customHeight="1" x14ac:dyDescent="0.3">
      <c r="B261" s="23"/>
      <c r="D261" s="25"/>
      <c r="E261" s="25"/>
      <c r="M261" s="12"/>
      <c r="N261" s="118"/>
      <c r="O261" s="118"/>
      <c r="P261" s="118"/>
      <c r="Q261" s="118"/>
    </row>
    <row r="262" spans="2:17" ht="14.25" customHeight="1" x14ac:dyDescent="0.3">
      <c r="B262" s="23"/>
      <c r="D262" s="25"/>
      <c r="E262" s="25"/>
      <c r="M262" s="12"/>
      <c r="N262" s="118"/>
      <c r="O262" s="118"/>
      <c r="P262" s="118"/>
      <c r="Q262" s="118"/>
    </row>
    <row r="263" spans="2:17" ht="14.25" customHeight="1" x14ac:dyDescent="0.3">
      <c r="B263" s="23"/>
      <c r="D263" s="25"/>
      <c r="E263" s="25"/>
      <c r="M263" s="12"/>
      <c r="N263" s="118"/>
      <c r="O263" s="118"/>
      <c r="P263" s="118"/>
      <c r="Q263" s="118"/>
    </row>
    <row r="264" spans="2:17" ht="14.25" customHeight="1" x14ac:dyDescent="0.3">
      <c r="B264" s="23"/>
      <c r="D264" s="25"/>
      <c r="E264" s="25"/>
      <c r="M264" s="12"/>
      <c r="N264" s="118"/>
      <c r="O264" s="118"/>
      <c r="P264" s="118"/>
      <c r="Q264" s="118"/>
    </row>
    <row r="265" spans="2:17" ht="14.25" customHeight="1" x14ac:dyDescent="0.3">
      <c r="B265" s="23"/>
      <c r="D265" s="25"/>
      <c r="E265" s="25"/>
      <c r="M265" s="12"/>
      <c r="N265" s="118"/>
      <c r="O265" s="118"/>
      <c r="P265" s="118"/>
      <c r="Q265" s="118"/>
    </row>
    <row r="266" spans="2:17" ht="14.25" customHeight="1" x14ac:dyDescent="0.3">
      <c r="B266" s="23"/>
      <c r="D266" s="25"/>
      <c r="E266" s="25"/>
      <c r="M266" s="12"/>
      <c r="N266" s="118"/>
      <c r="O266" s="118"/>
      <c r="P266" s="118"/>
      <c r="Q266" s="118"/>
    </row>
    <row r="267" spans="2:17" ht="14.25" customHeight="1" x14ac:dyDescent="0.3">
      <c r="B267" s="23"/>
      <c r="D267" s="25"/>
      <c r="E267" s="25"/>
      <c r="M267" s="12"/>
      <c r="N267" s="118"/>
      <c r="O267" s="118"/>
      <c r="P267" s="118"/>
      <c r="Q267" s="118"/>
    </row>
    <row r="268" spans="2:17" ht="14.25" customHeight="1" x14ac:dyDescent="0.3">
      <c r="B268" s="23"/>
      <c r="D268" s="25"/>
      <c r="E268" s="25"/>
      <c r="M268" s="12"/>
      <c r="N268" s="118"/>
      <c r="O268" s="118"/>
      <c r="P268" s="118"/>
      <c r="Q268" s="118"/>
    </row>
    <row r="269" spans="2:17" ht="14.25" customHeight="1" x14ac:dyDescent="0.3">
      <c r="B269" s="23"/>
      <c r="D269" s="25"/>
      <c r="E269" s="25"/>
      <c r="M269" s="12"/>
      <c r="N269" s="118"/>
      <c r="O269" s="118"/>
      <c r="P269" s="118"/>
      <c r="Q269" s="118"/>
    </row>
    <row r="270" spans="2:17" ht="14.25" customHeight="1" x14ac:dyDescent="0.3">
      <c r="B270" s="23"/>
      <c r="D270" s="25"/>
      <c r="E270" s="25"/>
      <c r="M270" s="12"/>
      <c r="N270" s="118"/>
      <c r="O270" s="118"/>
      <c r="P270" s="118"/>
      <c r="Q270" s="118"/>
    </row>
    <row r="271" spans="2:17" ht="14.25" customHeight="1" x14ac:dyDescent="0.3">
      <c r="B271" s="23"/>
      <c r="D271" s="25"/>
      <c r="E271" s="25"/>
      <c r="M271" s="12"/>
      <c r="N271" s="118"/>
      <c r="O271" s="118"/>
      <c r="P271" s="118"/>
      <c r="Q271" s="118"/>
    </row>
    <row r="272" spans="2:17" ht="14.25" customHeight="1" x14ac:dyDescent="0.3">
      <c r="B272" s="23"/>
      <c r="D272" s="25"/>
      <c r="E272" s="25"/>
      <c r="M272" s="12"/>
      <c r="N272" s="118"/>
      <c r="O272" s="118"/>
      <c r="P272" s="118"/>
      <c r="Q272" s="118"/>
    </row>
    <row r="273" spans="2:17" ht="14.25" customHeight="1" x14ac:dyDescent="0.3">
      <c r="B273" s="23"/>
      <c r="D273" s="25"/>
      <c r="E273" s="25"/>
      <c r="M273" s="12"/>
      <c r="N273" s="118"/>
      <c r="O273" s="118"/>
      <c r="P273" s="118"/>
      <c r="Q273" s="118"/>
    </row>
    <row r="274" spans="2:17" ht="14.25" customHeight="1" x14ac:dyDescent="0.3">
      <c r="B274" s="23"/>
      <c r="D274" s="25"/>
      <c r="E274" s="25"/>
      <c r="M274" s="12"/>
      <c r="N274" s="118"/>
      <c r="O274" s="118"/>
      <c r="P274" s="118"/>
      <c r="Q274" s="118"/>
    </row>
    <row r="275" spans="2:17" ht="14.25" customHeight="1" x14ac:dyDescent="0.3">
      <c r="B275" s="23"/>
      <c r="D275" s="25"/>
      <c r="E275" s="25"/>
      <c r="M275" s="12"/>
      <c r="N275" s="118"/>
      <c r="O275" s="118"/>
      <c r="P275" s="118"/>
      <c r="Q275" s="118"/>
    </row>
    <row r="276" spans="2:17" ht="14.25" customHeight="1" x14ac:dyDescent="0.3">
      <c r="B276" s="23"/>
      <c r="D276" s="25"/>
      <c r="E276" s="25"/>
      <c r="M276" s="12"/>
      <c r="N276" s="118"/>
      <c r="O276" s="118"/>
      <c r="P276" s="118"/>
      <c r="Q276" s="118"/>
    </row>
    <row r="277" spans="2:17" ht="14.25" customHeight="1" x14ac:dyDescent="0.3">
      <c r="B277" s="23"/>
      <c r="D277" s="25"/>
      <c r="E277" s="25"/>
      <c r="M277" s="12"/>
      <c r="N277" s="118"/>
      <c r="O277" s="118"/>
      <c r="P277" s="118"/>
      <c r="Q277" s="118"/>
    </row>
    <row r="278" spans="2:17" ht="14.25" customHeight="1" x14ac:dyDescent="0.3">
      <c r="B278" s="23"/>
      <c r="D278" s="25"/>
      <c r="E278" s="25"/>
      <c r="M278" s="12"/>
      <c r="N278" s="118"/>
      <c r="O278" s="118"/>
      <c r="P278" s="118"/>
      <c r="Q278" s="118"/>
    </row>
    <row r="279" spans="2:17" ht="14.25" customHeight="1" x14ac:dyDescent="0.3">
      <c r="B279" s="23"/>
      <c r="D279" s="25"/>
      <c r="E279" s="25"/>
      <c r="M279" s="12"/>
      <c r="N279" s="118"/>
      <c r="O279" s="118"/>
      <c r="P279" s="118"/>
      <c r="Q279" s="118"/>
    </row>
    <row r="280" spans="2:17" ht="14.25" customHeight="1" x14ac:dyDescent="0.3">
      <c r="B280" s="23"/>
      <c r="D280" s="25"/>
      <c r="E280" s="25"/>
      <c r="M280" s="12"/>
      <c r="N280" s="118"/>
      <c r="O280" s="118"/>
      <c r="P280" s="118"/>
      <c r="Q280" s="118"/>
    </row>
    <row r="281" spans="2:17" ht="14.25" customHeight="1" x14ac:dyDescent="0.3">
      <c r="B281" s="23"/>
      <c r="D281" s="25"/>
      <c r="E281" s="25"/>
      <c r="M281" s="12"/>
      <c r="N281" s="118"/>
      <c r="O281" s="118"/>
      <c r="P281" s="118"/>
      <c r="Q281" s="118"/>
    </row>
    <row r="282" spans="2:17" ht="14.25" customHeight="1" x14ac:dyDescent="0.3">
      <c r="B282" s="23"/>
      <c r="D282" s="25"/>
      <c r="E282" s="25"/>
      <c r="M282" s="12"/>
      <c r="N282" s="118"/>
      <c r="O282" s="118"/>
      <c r="P282" s="118"/>
      <c r="Q282" s="118"/>
    </row>
    <row r="283" spans="2:17" ht="14.25" customHeight="1" x14ac:dyDescent="0.3">
      <c r="B283" s="23"/>
      <c r="D283" s="25"/>
      <c r="E283" s="25"/>
      <c r="M283" s="12"/>
      <c r="N283" s="118"/>
      <c r="O283" s="118"/>
      <c r="P283" s="118"/>
      <c r="Q283" s="118"/>
    </row>
    <row r="284" spans="2:17" ht="14.25" customHeight="1" x14ac:dyDescent="0.3">
      <c r="B284" s="23"/>
      <c r="D284" s="25"/>
      <c r="E284" s="25"/>
      <c r="M284" s="12"/>
      <c r="N284" s="118"/>
      <c r="O284" s="118"/>
      <c r="P284" s="118"/>
      <c r="Q284" s="118"/>
    </row>
    <row r="285" spans="2:17" ht="14.25" customHeight="1" x14ac:dyDescent="0.3">
      <c r="B285" s="23"/>
      <c r="D285" s="25"/>
      <c r="E285" s="25"/>
      <c r="M285" s="12"/>
      <c r="N285" s="118"/>
      <c r="O285" s="118"/>
      <c r="P285" s="118"/>
      <c r="Q285" s="118"/>
    </row>
    <row r="286" spans="2:17" ht="14.25" customHeight="1" x14ac:dyDescent="0.3">
      <c r="B286" s="23"/>
      <c r="D286" s="25"/>
      <c r="E286" s="25"/>
      <c r="M286" s="12"/>
      <c r="N286" s="118"/>
      <c r="O286" s="118"/>
      <c r="P286" s="118"/>
      <c r="Q286" s="118"/>
    </row>
    <row r="287" spans="2:17" ht="14.25" customHeight="1" x14ac:dyDescent="0.3">
      <c r="B287" s="23"/>
      <c r="D287" s="25"/>
      <c r="E287" s="25"/>
      <c r="M287" s="12"/>
      <c r="N287" s="118"/>
      <c r="O287" s="118"/>
      <c r="P287" s="118"/>
      <c r="Q287" s="118"/>
    </row>
    <row r="288" spans="2:17" ht="14.25" customHeight="1" x14ac:dyDescent="0.3">
      <c r="B288" s="23"/>
      <c r="D288" s="25"/>
      <c r="E288" s="25"/>
      <c r="M288" s="12"/>
      <c r="N288" s="118"/>
      <c r="O288" s="118"/>
      <c r="P288" s="118"/>
      <c r="Q288" s="118"/>
    </row>
    <row r="289" spans="2:17" ht="14.25" customHeight="1" x14ac:dyDescent="0.3">
      <c r="B289" s="23"/>
      <c r="D289" s="25"/>
      <c r="E289" s="25"/>
      <c r="M289" s="12"/>
      <c r="N289" s="118"/>
      <c r="O289" s="118"/>
      <c r="P289" s="118"/>
      <c r="Q289" s="118"/>
    </row>
    <row r="290" spans="2:17" ht="14.25" customHeight="1" x14ac:dyDescent="0.3">
      <c r="B290" s="23"/>
      <c r="D290" s="25"/>
      <c r="E290" s="25"/>
      <c r="M290" s="12"/>
      <c r="N290" s="118"/>
      <c r="O290" s="118"/>
      <c r="P290" s="118"/>
      <c r="Q290" s="118"/>
    </row>
    <row r="291" spans="2:17" ht="14.25" customHeight="1" x14ac:dyDescent="0.3">
      <c r="B291" s="23"/>
      <c r="D291" s="25"/>
      <c r="E291" s="25"/>
      <c r="M291" s="12"/>
      <c r="N291" s="118"/>
      <c r="O291" s="118"/>
      <c r="P291" s="118"/>
      <c r="Q291" s="118"/>
    </row>
    <row r="292" spans="2:17" ht="14.25" customHeight="1" x14ac:dyDescent="0.3">
      <c r="B292" s="23"/>
      <c r="D292" s="25"/>
      <c r="E292" s="25"/>
      <c r="M292" s="12"/>
      <c r="N292" s="118"/>
      <c r="O292" s="118"/>
      <c r="P292" s="118"/>
      <c r="Q292" s="118"/>
    </row>
    <row r="293" spans="2:17" ht="14.25" customHeight="1" x14ac:dyDescent="0.3">
      <c r="B293" s="23"/>
      <c r="D293" s="25"/>
      <c r="E293" s="25"/>
      <c r="M293" s="12"/>
      <c r="N293" s="118"/>
      <c r="O293" s="118"/>
      <c r="P293" s="118"/>
      <c r="Q293" s="118"/>
    </row>
    <row r="294" spans="2:17" ht="14.25" customHeight="1" x14ac:dyDescent="0.3">
      <c r="B294" s="23"/>
      <c r="D294" s="25"/>
      <c r="E294" s="25"/>
      <c r="M294" s="12"/>
      <c r="N294" s="118"/>
      <c r="O294" s="118"/>
      <c r="P294" s="118"/>
      <c r="Q294" s="118"/>
    </row>
    <row r="295" spans="2:17" ht="14.25" customHeight="1" x14ac:dyDescent="0.3">
      <c r="B295" s="23"/>
      <c r="D295" s="25"/>
      <c r="E295" s="25"/>
      <c r="M295" s="12"/>
      <c r="N295" s="118"/>
      <c r="O295" s="118"/>
      <c r="P295" s="118"/>
      <c r="Q295" s="118"/>
    </row>
    <row r="296" spans="2:17" ht="14.25" customHeight="1" x14ac:dyDescent="0.3">
      <c r="B296" s="23"/>
      <c r="D296" s="25"/>
      <c r="E296" s="25"/>
      <c r="M296" s="12"/>
      <c r="N296" s="118"/>
      <c r="O296" s="118"/>
      <c r="P296" s="118"/>
      <c r="Q296" s="118"/>
    </row>
    <row r="297" spans="2:17" ht="14.25" customHeight="1" x14ac:dyDescent="0.3">
      <c r="B297" s="23"/>
      <c r="D297" s="25"/>
      <c r="E297" s="25"/>
      <c r="M297" s="12"/>
      <c r="N297" s="118"/>
      <c r="O297" s="118"/>
      <c r="P297" s="118"/>
      <c r="Q297" s="118"/>
    </row>
    <row r="298" spans="2:17" ht="14.25" customHeight="1" x14ac:dyDescent="0.3">
      <c r="B298" s="23"/>
      <c r="D298" s="25"/>
      <c r="E298" s="25"/>
      <c r="M298" s="12"/>
      <c r="N298" s="118"/>
      <c r="O298" s="118"/>
      <c r="P298" s="118"/>
      <c r="Q298" s="118"/>
    </row>
    <row r="299" spans="2:17" ht="14.25" customHeight="1" x14ac:dyDescent="0.3">
      <c r="B299" s="23"/>
      <c r="D299" s="25"/>
      <c r="E299" s="25"/>
      <c r="M299" s="12"/>
      <c r="N299" s="118"/>
      <c r="O299" s="118"/>
      <c r="P299" s="118"/>
      <c r="Q299" s="118"/>
    </row>
    <row r="300" spans="2:17" ht="14.25" customHeight="1" x14ac:dyDescent="0.3">
      <c r="B300" s="23"/>
      <c r="D300" s="25"/>
      <c r="E300" s="25"/>
      <c r="M300" s="12"/>
      <c r="N300" s="118"/>
      <c r="O300" s="118"/>
      <c r="P300" s="118"/>
      <c r="Q300" s="118"/>
    </row>
    <row r="301" spans="2:17" ht="14.25" customHeight="1" x14ac:dyDescent="0.3">
      <c r="B301" s="23"/>
      <c r="D301" s="25"/>
      <c r="E301" s="25"/>
      <c r="M301" s="12"/>
      <c r="N301" s="118"/>
      <c r="O301" s="118"/>
      <c r="P301" s="118"/>
      <c r="Q301" s="118"/>
    </row>
    <row r="302" spans="2:17" ht="14.25" customHeight="1" x14ac:dyDescent="0.3">
      <c r="B302" s="23"/>
      <c r="D302" s="25"/>
      <c r="E302" s="25"/>
      <c r="M302" s="12"/>
      <c r="N302" s="118"/>
      <c r="O302" s="118"/>
      <c r="P302" s="118"/>
      <c r="Q302" s="118"/>
    </row>
    <row r="303" spans="2:17" ht="14.25" customHeight="1" x14ac:dyDescent="0.3">
      <c r="B303" s="23"/>
      <c r="D303" s="25"/>
      <c r="E303" s="25"/>
      <c r="M303" s="12"/>
      <c r="N303" s="118"/>
      <c r="O303" s="118"/>
      <c r="P303" s="118"/>
      <c r="Q303" s="118"/>
    </row>
    <row r="304" spans="2:17" ht="14.25" customHeight="1" x14ac:dyDescent="0.3">
      <c r="B304" s="23"/>
      <c r="D304" s="25"/>
      <c r="E304" s="25"/>
      <c r="M304" s="12"/>
      <c r="N304" s="118"/>
      <c r="O304" s="118"/>
      <c r="P304" s="118"/>
      <c r="Q304" s="118"/>
    </row>
    <row r="305" spans="2:17" ht="14.25" customHeight="1" x14ac:dyDescent="0.3">
      <c r="B305" s="23"/>
      <c r="D305" s="25"/>
      <c r="E305" s="25"/>
      <c r="M305" s="12"/>
      <c r="N305" s="118"/>
      <c r="O305" s="118"/>
      <c r="P305" s="118"/>
      <c r="Q305" s="118"/>
    </row>
    <row r="306" spans="2:17" ht="14.25" customHeight="1" x14ac:dyDescent="0.3">
      <c r="B306" s="23"/>
      <c r="D306" s="25"/>
      <c r="E306" s="25"/>
      <c r="M306" s="12"/>
      <c r="N306" s="118"/>
      <c r="O306" s="118"/>
      <c r="P306" s="118"/>
      <c r="Q306" s="118"/>
    </row>
    <row r="307" spans="2:17" ht="14.25" customHeight="1" x14ac:dyDescent="0.3">
      <c r="B307" s="23"/>
      <c r="D307" s="25"/>
      <c r="E307" s="25"/>
      <c r="M307" s="12"/>
      <c r="N307" s="118"/>
      <c r="O307" s="118"/>
      <c r="P307" s="118"/>
      <c r="Q307" s="118"/>
    </row>
    <row r="308" spans="2:17" ht="14.25" customHeight="1" x14ac:dyDescent="0.3">
      <c r="B308" s="23"/>
      <c r="D308" s="25"/>
      <c r="E308" s="25"/>
      <c r="M308" s="12"/>
      <c r="N308" s="118"/>
      <c r="O308" s="118"/>
      <c r="P308" s="118"/>
      <c r="Q308" s="118"/>
    </row>
    <row r="309" spans="2:17" ht="14.25" customHeight="1" x14ac:dyDescent="0.3">
      <c r="B309" s="23"/>
      <c r="D309" s="25"/>
      <c r="E309" s="25"/>
      <c r="M309" s="12"/>
      <c r="N309" s="118"/>
      <c r="O309" s="118"/>
      <c r="P309" s="118"/>
      <c r="Q309" s="118"/>
    </row>
    <row r="310" spans="2:17" ht="14.25" customHeight="1" x14ac:dyDescent="0.3">
      <c r="B310" s="23"/>
      <c r="D310" s="25"/>
      <c r="E310" s="25"/>
      <c r="M310" s="12"/>
      <c r="N310" s="118"/>
      <c r="O310" s="118"/>
      <c r="P310" s="118"/>
      <c r="Q310" s="118"/>
    </row>
    <row r="311" spans="2:17" ht="14.25" customHeight="1" x14ac:dyDescent="0.3">
      <c r="B311" s="23"/>
      <c r="D311" s="25"/>
      <c r="E311" s="25"/>
      <c r="M311" s="12"/>
      <c r="N311" s="118"/>
      <c r="O311" s="118"/>
      <c r="P311" s="118"/>
      <c r="Q311" s="118"/>
    </row>
    <row r="312" spans="2:17" ht="14.25" customHeight="1" x14ac:dyDescent="0.3">
      <c r="B312" s="23"/>
      <c r="D312" s="25"/>
      <c r="E312" s="25"/>
      <c r="M312" s="12"/>
      <c r="N312" s="118"/>
      <c r="O312" s="118"/>
      <c r="P312" s="118"/>
      <c r="Q312" s="118"/>
    </row>
    <row r="313" spans="2:17" ht="14.25" customHeight="1" x14ac:dyDescent="0.3">
      <c r="B313" s="23"/>
      <c r="D313" s="25"/>
      <c r="E313" s="25"/>
      <c r="M313" s="12"/>
      <c r="N313" s="118"/>
      <c r="O313" s="118"/>
      <c r="P313" s="118"/>
      <c r="Q313" s="118"/>
    </row>
    <row r="314" spans="2:17" ht="14.25" customHeight="1" x14ac:dyDescent="0.3">
      <c r="B314" s="23"/>
      <c r="D314" s="25"/>
      <c r="E314" s="25"/>
      <c r="M314" s="12"/>
      <c r="N314" s="118"/>
      <c r="O314" s="118"/>
      <c r="P314" s="118"/>
      <c r="Q314" s="118"/>
    </row>
    <row r="315" spans="2:17" ht="14.25" customHeight="1" x14ac:dyDescent="0.3">
      <c r="B315" s="23"/>
      <c r="D315" s="25"/>
      <c r="E315" s="25"/>
      <c r="M315" s="12"/>
      <c r="N315" s="118"/>
      <c r="O315" s="118"/>
      <c r="P315" s="118"/>
      <c r="Q315" s="118"/>
    </row>
    <row r="316" spans="2:17" ht="14.25" customHeight="1" x14ac:dyDescent="0.3">
      <c r="B316" s="23"/>
      <c r="D316" s="25"/>
      <c r="E316" s="25"/>
      <c r="M316" s="12"/>
      <c r="N316" s="118"/>
      <c r="O316" s="118"/>
      <c r="P316" s="118"/>
      <c r="Q316" s="118"/>
    </row>
    <row r="317" spans="2:17" ht="14.25" customHeight="1" x14ac:dyDescent="0.3">
      <c r="B317" s="23"/>
      <c r="D317" s="25"/>
      <c r="E317" s="25"/>
      <c r="M317" s="12"/>
      <c r="N317" s="118"/>
      <c r="O317" s="118"/>
      <c r="P317" s="118"/>
      <c r="Q317" s="118"/>
    </row>
    <row r="318" spans="2:17" ht="14.25" customHeight="1" x14ac:dyDescent="0.3">
      <c r="B318" s="23"/>
      <c r="D318" s="25"/>
      <c r="E318" s="25"/>
      <c r="M318" s="12"/>
      <c r="N318" s="118"/>
      <c r="O318" s="118"/>
      <c r="P318" s="118"/>
      <c r="Q318" s="118"/>
    </row>
    <row r="319" spans="2:17" ht="14.25" customHeight="1" x14ac:dyDescent="0.3">
      <c r="B319" s="23"/>
      <c r="D319" s="25"/>
      <c r="E319" s="25"/>
      <c r="M319" s="12"/>
      <c r="N319" s="118"/>
      <c r="O319" s="118"/>
      <c r="P319" s="118"/>
      <c r="Q319" s="118"/>
    </row>
    <row r="320" spans="2:17" ht="14.25" customHeight="1" x14ac:dyDescent="0.3">
      <c r="B320" s="23"/>
      <c r="D320" s="25"/>
      <c r="E320" s="25"/>
      <c r="M320" s="12"/>
      <c r="N320" s="118"/>
      <c r="O320" s="118"/>
      <c r="P320" s="118"/>
      <c r="Q320" s="118"/>
    </row>
    <row r="321" spans="2:17" ht="14.25" customHeight="1" x14ac:dyDescent="0.3">
      <c r="B321" s="23"/>
      <c r="D321" s="25"/>
      <c r="E321" s="25"/>
      <c r="M321" s="12"/>
      <c r="N321" s="118"/>
      <c r="O321" s="118"/>
      <c r="P321" s="118"/>
      <c r="Q321" s="118"/>
    </row>
    <row r="322" spans="2:17" ht="14.25" customHeight="1" x14ac:dyDescent="0.3">
      <c r="B322" s="23"/>
      <c r="D322" s="25"/>
      <c r="E322" s="25"/>
      <c r="M322" s="12"/>
      <c r="N322" s="118"/>
      <c r="O322" s="118"/>
      <c r="P322" s="118"/>
      <c r="Q322" s="118"/>
    </row>
    <row r="323" spans="2:17" ht="14.25" customHeight="1" x14ac:dyDescent="0.3">
      <c r="B323" s="23"/>
      <c r="D323" s="25"/>
      <c r="E323" s="25"/>
      <c r="M323" s="12"/>
      <c r="N323" s="118"/>
      <c r="O323" s="118"/>
      <c r="P323" s="118"/>
      <c r="Q323" s="118"/>
    </row>
    <row r="324" spans="2:17" ht="14.25" customHeight="1" x14ac:dyDescent="0.3">
      <c r="B324" s="23"/>
      <c r="D324" s="25"/>
      <c r="E324" s="25"/>
      <c r="M324" s="12"/>
      <c r="N324" s="118"/>
      <c r="O324" s="118"/>
      <c r="P324" s="118"/>
      <c r="Q324" s="118"/>
    </row>
    <row r="325" spans="2:17" ht="14.25" customHeight="1" x14ac:dyDescent="0.3">
      <c r="B325" s="23"/>
      <c r="D325" s="25"/>
      <c r="E325" s="25"/>
      <c r="M325" s="12"/>
      <c r="N325" s="118"/>
      <c r="O325" s="118"/>
      <c r="P325" s="118"/>
      <c r="Q325" s="118"/>
    </row>
    <row r="326" spans="2:17" ht="14.25" customHeight="1" x14ac:dyDescent="0.3">
      <c r="B326" s="23"/>
      <c r="D326" s="25"/>
      <c r="E326" s="25"/>
      <c r="M326" s="12"/>
      <c r="N326" s="118"/>
      <c r="O326" s="118"/>
      <c r="P326" s="118"/>
      <c r="Q326" s="118"/>
    </row>
    <row r="327" spans="2:17" ht="14.25" customHeight="1" x14ac:dyDescent="0.3">
      <c r="B327" s="23"/>
      <c r="D327" s="25"/>
      <c r="E327" s="25"/>
      <c r="M327" s="12"/>
      <c r="N327" s="118"/>
      <c r="O327" s="118"/>
      <c r="P327" s="118"/>
      <c r="Q327" s="118"/>
    </row>
    <row r="328" spans="2:17" ht="14.25" customHeight="1" x14ac:dyDescent="0.3">
      <c r="B328" s="23"/>
      <c r="D328" s="25"/>
      <c r="E328" s="25"/>
      <c r="M328" s="12"/>
      <c r="N328" s="118"/>
      <c r="O328" s="118"/>
      <c r="P328" s="118"/>
      <c r="Q328" s="118"/>
    </row>
    <row r="329" spans="2:17" ht="14.25" customHeight="1" x14ac:dyDescent="0.3">
      <c r="B329" s="23"/>
      <c r="D329" s="25"/>
      <c r="E329" s="25"/>
      <c r="M329" s="12"/>
      <c r="N329" s="118"/>
      <c r="O329" s="118"/>
      <c r="P329" s="118"/>
      <c r="Q329" s="118"/>
    </row>
    <row r="330" spans="2:17" ht="14.25" customHeight="1" x14ac:dyDescent="0.3">
      <c r="B330" s="23"/>
      <c r="D330" s="25"/>
      <c r="E330" s="25"/>
      <c r="M330" s="12"/>
      <c r="N330" s="118"/>
      <c r="O330" s="118"/>
      <c r="P330" s="118"/>
      <c r="Q330" s="118"/>
    </row>
    <row r="331" spans="2:17" ht="14.25" customHeight="1" x14ac:dyDescent="0.3">
      <c r="B331" s="23"/>
      <c r="D331" s="25"/>
      <c r="E331" s="25"/>
      <c r="M331" s="12"/>
      <c r="N331" s="118"/>
      <c r="O331" s="118"/>
      <c r="P331" s="118"/>
      <c r="Q331" s="118"/>
    </row>
    <row r="332" spans="2:17" ht="14.25" customHeight="1" x14ac:dyDescent="0.3">
      <c r="B332" s="23"/>
      <c r="D332" s="25"/>
      <c r="E332" s="25"/>
      <c r="M332" s="12"/>
      <c r="N332" s="118"/>
      <c r="O332" s="118"/>
      <c r="P332" s="118"/>
      <c r="Q332" s="118"/>
    </row>
    <row r="333" spans="2:17" ht="14.25" customHeight="1" x14ac:dyDescent="0.3">
      <c r="B333" s="23"/>
      <c r="D333" s="25"/>
      <c r="E333" s="25"/>
      <c r="M333" s="12"/>
      <c r="N333" s="118"/>
      <c r="O333" s="118"/>
      <c r="P333" s="118"/>
      <c r="Q333" s="118"/>
    </row>
    <row r="334" spans="2:17" ht="14.25" customHeight="1" x14ac:dyDescent="0.3">
      <c r="B334" s="23"/>
      <c r="D334" s="25"/>
      <c r="E334" s="25"/>
      <c r="M334" s="12"/>
      <c r="N334" s="118"/>
      <c r="O334" s="118"/>
      <c r="P334" s="118"/>
      <c r="Q334" s="118"/>
    </row>
    <row r="335" spans="2:17" ht="14.25" customHeight="1" x14ac:dyDescent="0.3">
      <c r="B335" s="23"/>
      <c r="D335" s="25"/>
      <c r="E335" s="25"/>
      <c r="M335" s="12"/>
      <c r="N335" s="118"/>
      <c r="O335" s="118"/>
      <c r="P335" s="118"/>
      <c r="Q335" s="118"/>
    </row>
    <row r="336" spans="2:17" ht="14.25" customHeight="1" x14ac:dyDescent="0.3">
      <c r="B336" s="23"/>
      <c r="D336" s="25"/>
      <c r="E336" s="25"/>
      <c r="M336" s="12"/>
      <c r="N336" s="118"/>
      <c r="O336" s="118"/>
      <c r="P336" s="118"/>
      <c r="Q336" s="118"/>
    </row>
    <row r="337" spans="2:17" ht="14.25" customHeight="1" x14ac:dyDescent="0.3">
      <c r="B337" s="23"/>
      <c r="D337" s="25"/>
      <c r="E337" s="25"/>
      <c r="M337" s="12"/>
      <c r="N337" s="118"/>
      <c r="O337" s="118"/>
      <c r="P337" s="118"/>
      <c r="Q337" s="118"/>
    </row>
    <row r="338" spans="2:17" ht="14.25" customHeight="1" x14ac:dyDescent="0.3">
      <c r="B338" s="23"/>
      <c r="D338" s="25"/>
      <c r="E338" s="25"/>
      <c r="M338" s="12"/>
      <c r="N338" s="118"/>
      <c r="O338" s="118"/>
      <c r="P338" s="118"/>
      <c r="Q338" s="118"/>
    </row>
    <row r="339" spans="2:17" ht="14.25" customHeight="1" x14ac:dyDescent="0.3">
      <c r="B339" s="23"/>
      <c r="D339" s="25"/>
      <c r="E339" s="25"/>
      <c r="M339" s="12"/>
      <c r="N339" s="118"/>
      <c r="O339" s="118"/>
      <c r="P339" s="118"/>
      <c r="Q339" s="118"/>
    </row>
    <row r="340" spans="2:17" ht="14.25" customHeight="1" x14ac:dyDescent="0.3">
      <c r="B340" s="23"/>
      <c r="D340" s="25"/>
      <c r="E340" s="25"/>
      <c r="M340" s="12"/>
      <c r="N340" s="118"/>
      <c r="O340" s="118"/>
      <c r="P340" s="118"/>
      <c r="Q340" s="118"/>
    </row>
    <row r="341" spans="2:17" ht="14.25" customHeight="1" x14ac:dyDescent="0.3">
      <c r="B341" s="23"/>
      <c r="D341" s="25"/>
      <c r="E341" s="25"/>
      <c r="M341" s="12"/>
      <c r="N341" s="118"/>
      <c r="O341" s="118"/>
      <c r="P341" s="118"/>
      <c r="Q341" s="118"/>
    </row>
    <row r="342" spans="2:17" ht="14.25" customHeight="1" x14ac:dyDescent="0.3">
      <c r="B342" s="23"/>
      <c r="D342" s="25"/>
      <c r="E342" s="25"/>
      <c r="M342" s="12"/>
      <c r="N342" s="118"/>
      <c r="O342" s="118"/>
      <c r="P342" s="118"/>
      <c r="Q342" s="118"/>
    </row>
    <row r="343" spans="2:17" ht="14.25" customHeight="1" x14ac:dyDescent="0.3">
      <c r="B343" s="23"/>
      <c r="D343" s="25"/>
      <c r="E343" s="25"/>
      <c r="M343" s="12"/>
      <c r="N343" s="118"/>
      <c r="O343" s="118"/>
      <c r="P343" s="118"/>
      <c r="Q343" s="118"/>
    </row>
    <row r="344" spans="2:17" ht="14.25" customHeight="1" x14ac:dyDescent="0.3">
      <c r="B344" s="23"/>
      <c r="D344" s="25"/>
      <c r="E344" s="25"/>
      <c r="M344" s="12"/>
      <c r="N344" s="118"/>
      <c r="O344" s="118"/>
      <c r="P344" s="118"/>
      <c r="Q344" s="118"/>
    </row>
    <row r="345" spans="2:17" ht="14.25" customHeight="1" x14ac:dyDescent="0.3">
      <c r="B345" s="23"/>
      <c r="D345" s="25"/>
      <c r="E345" s="25"/>
      <c r="M345" s="12"/>
      <c r="N345" s="118"/>
      <c r="O345" s="118"/>
      <c r="P345" s="118"/>
      <c r="Q345" s="118"/>
    </row>
    <row r="346" spans="2:17" ht="14.25" customHeight="1" x14ac:dyDescent="0.3">
      <c r="B346" s="23"/>
      <c r="D346" s="25"/>
      <c r="E346" s="25"/>
      <c r="M346" s="12"/>
      <c r="N346" s="118"/>
      <c r="O346" s="118"/>
      <c r="P346" s="118"/>
      <c r="Q346" s="118"/>
    </row>
    <row r="347" spans="2:17" ht="14.25" customHeight="1" x14ac:dyDescent="0.3">
      <c r="B347" s="23"/>
      <c r="D347" s="25"/>
      <c r="E347" s="25"/>
      <c r="M347" s="12"/>
      <c r="N347" s="118"/>
      <c r="O347" s="118"/>
      <c r="P347" s="118"/>
      <c r="Q347" s="118"/>
    </row>
    <row r="348" spans="2:17" ht="14.25" customHeight="1" x14ac:dyDescent="0.3">
      <c r="B348" s="23"/>
      <c r="D348" s="25"/>
      <c r="E348" s="25"/>
      <c r="M348" s="12"/>
      <c r="N348" s="118"/>
      <c r="O348" s="118"/>
      <c r="P348" s="118"/>
      <c r="Q348" s="118"/>
    </row>
    <row r="349" spans="2:17" ht="14.25" customHeight="1" x14ac:dyDescent="0.3">
      <c r="B349" s="23"/>
      <c r="D349" s="25"/>
      <c r="E349" s="25"/>
      <c r="M349" s="12"/>
      <c r="N349" s="118"/>
      <c r="O349" s="118"/>
      <c r="P349" s="118"/>
      <c r="Q349" s="118"/>
    </row>
    <row r="350" spans="2:17" ht="14.25" customHeight="1" x14ac:dyDescent="0.3">
      <c r="B350" s="23"/>
      <c r="D350" s="25"/>
      <c r="E350" s="25"/>
      <c r="M350" s="12"/>
      <c r="N350" s="118"/>
      <c r="O350" s="118"/>
      <c r="P350" s="118"/>
      <c r="Q350" s="118"/>
    </row>
    <row r="351" spans="2:17" ht="14.25" customHeight="1" x14ac:dyDescent="0.3">
      <c r="B351" s="23"/>
      <c r="D351" s="25"/>
      <c r="E351" s="25"/>
      <c r="M351" s="12"/>
      <c r="N351" s="118"/>
      <c r="O351" s="118"/>
      <c r="P351" s="118"/>
      <c r="Q351" s="118"/>
    </row>
    <row r="352" spans="2:17" ht="14.25" customHeight="1" x14ac:dyDescent="0.3">
      <c r="B352" s="23"/>
      <c r="D352" s="25"/>
      <c r="E352" s="25"/>
      <c r="M352" s="12"/>
      <c r="N352" s="118"/>
      <c r="O352" s="118"/>
      <c r="P352" s="118"/>
      <c r="Q352" s="118"/>
    </row>
    <row r="353" spans="2:17" ht="14.25" customHeight="1" x14ac:dyDescent="0.3">
      <c r="B353" s="23"/>
      <c r="D353" s="25"/>
      <c r="E353" s="25"/>
      <c r="M353" s="12"/>
      <c r="N353" s="118"/>
      <c r="O353" s="118"/>
      <c r="P353" s="118"/>
      <c r="Q353" s="118"/>
    </row>
    <row r="354" spans="2:17" ht="14.25" customHeight="1" x14ac:dyDescent="0.3">
      <c r="B354" s="23"/>
      <c r="D354" s="25"/>
      <c r="E354" s="25"/>
      <c r="M354" s="12"/>
      <c r="N354" s="118"/>
      <c r="O354" s="118"/>
      <c r="P354" s="118"/>
      <c r="Q354" s="118"/>
    </row>
    <row r="355" spans="2:17" ht="14.25" customHeight="1" x14ac:dyDescent="0.3">
      <c r="B355" s="23"/>
      <c r="D355" s="25"/>
      <c r="E355" s="25"/>
      <c r="M355" s="12"/>
      <c r="N355" s="118"/>
      <c r="O355" s="118"/>
      <c r="P355" s="118"/>
      <c r="Q355" s="118"/>
    </row>
    <row r="356" spans="2:17" ht="14.25" customHeight="1" x14ac:dyDescent="0.3">
      <c r="B356" s="23"/>
      <c r="D356" s="25"/>
      <c r="E356" s="25"/>
      <c r="M356" s="12"/>
      <c r="N356" s="118"/>
      <c r="O356" s="118"/>
      <c r="P356" s="118"/>
      <c r="Q356" s="118"/>
    </row>
    <row r="357" spans="2:17" ht="14.25" customHeight="1" x14ac:dyDescent="0.3">
      <c r="B357" s="23"/>
      <c r="D357" s="25"/>
      <c r="E357" s="25"/>
      <c r="M357" s="12"/>
      <c r="N357" s="118"/>
      <c r="O357" s="118"/>
      <c r="P357" s="118"/>
      <c r="Q357" s="118"/>
    </row>
    <row r="358" spans="2:17" ht="14.25" customHeight="1" x14ac:dyDescent="0.3">
      <c r="B358" s="23"/>
      <c r="D358" s="25"/>
      <c r="E358" s="25"/>
      <c r="M358" s="12"/>
      <c r="N358" s="118"/>
      <c r="O358" s="118"/>
      <c r="P358" s="118"/>
      <c r="Q358" s="118"/>
    </row>
    <row r="359" spans="2:17" ht="14.25" customHeight="1" x14ac:dyDescent="0.3">
      <c r="B359" s="23"/>
      <c r="D359" s="25"/>
      <c r="E359" s="25"/>
      <c r="M359" s="12"/>
      <c r="N359" s="118"/>
      <c r="O359" s="118"/>
      <c r="P359" s="118"/>
      <c r="Q359" s="118"/>
    </row>
    <row r="360" spans="2:17" ht="14.25" customHeight="1" x14ac:dyDescent="0.3">
      <c r="B360" s="23"/>
      <c r="D360" s="25"/>
      <c r="E360" s="25"/>
      <c r="M360" s="12"/>
      <c r="N360" s="118"/>
      <c r="O360" s="118"/>
      <c r="P360" s="118"/>
      <c r="Q360" s="118"/>
    </row>
    <row r="361" spans="2:17" ht="14.25" customHeight="1" x14ac:dyDescent="0.3">
      <c r="B361" s="23"/>
      <c r="D361" s="25"/>
      <c r="E361" s="25"/>
      <c r="M361" s="12"/>
      <c r="N361" s="118"/>
      <c r="O361" s="118"/>
      <c r="P361" s="118"/>
      <c r="Q361" s="118"/>
    </row>
    <row r="362" spans="2:17" ht="14.25" customHeight="1" x14ac:dyDescent="0.3">
      <c r="B362" s="23"/>
      <c r="D362" s="25"/>
      <c r="E362" s="25"/>
      <c r="M362" s="12"/>
      <c r="N362" s="118"/>
      <c r="O362" s="118"/>
      <c r="P362" s="118"/>
      <c r="Q362" s="118"/>
    </row>
    <row r="363" spans="2:17" ht="14.25" customHeight="1" x14ac:dyDescent="0.3">
      <c r="B363" s="23"/>
      <c r="D363" s="25"/>
      <c r="E363" s="25"/>
      <c r="M363" s="12"/>
      <c r="N363" s="118"/>
      <c r="O363" s="118"/>
      <c r="P363" s="118"/>
      <c r="Q363" s="118"/>
    </row>
    <row r="364" spans="2:17" ht="14.25" customHeight="1" x14ac:dyDescent="0.3">
      <c r="B364" s="23"/>
      <c r="D364" s="25"/>
      <c r="E364" s="25"/>
      <c r="M364" s="12"/>
      <c r="N364" s="118"/>
      <c r="O364" s="118"/>
      <c r="P364" s="118"/>
      <c r="Q364" s="118"/>
    </row>
    <row r="365" spans="2:17" ht="14.25" customHeight="1" x14ac:dyDescent="0.3">
      <c r="B365" s="23"/>
      <c r="D365" s="25"/>
      <c r="E365" s="25"/>
      <c r="M365" s="12"/>
      <c r="N365" s="118"/>
      <c r="O365" s="118"/>
      <c r="P365" s="118"/>
      <c r="Q365" s="118"/>
    </row>
    <row r="366" spans="2:17" ht="14.25" customHeight="1" x14ac:dyDescent="0.3">
      <c r="B366" s="23"/>
      <c r="D366" s="25"/>
      <c r="E366" s="25"/>
      <c r="M366" s="12"/>
      <c r="N366" s="118"/>
      <c r="O366" s="118"/>
      <c r="P366" s="118"/>
      <c r="Q366" s="118"/>
    </row>
    <row r="367" spans="2:17" ht="14.25" customHeight="1" x14ac:dyDescent="0.3">
      <c r="B367" s="23"/>
      <c r="D367" s="25"/>
      <c r="E367" s="25"/>
      <c r="M367" s="12"/>
      <c r="N367" s="118"/>
      <c r="O367" s="118"/>
      <c r="P367" s="118"/>
      <c r="Q367" s="118"/>
    </row>
    <row r="368" spans="2:17" ht="14.25" customHeight="1" x14ac:dyDescent="0.3">
      <c r="B368" s="23"/>
      <c r="D368" s="25"/>
      <c r="E368" s="25"/>
      <c r="M368" s="12"/>
      <c r="N368" s="118"/>
      <c r="O368" s="118"/>
      <c r="P368" s="118"/>
      <c r="Q368" s="118"/>
    </row>
    <row r="369" spans="2:17" ht="14.25" customHeight="1" x14ac:dyDescent="0.3">
      <c r="B369" s="23"/>
      <c r="D369" s="25"/>
      <c r="E369" s="25"/>
      <c r="M369" s="12"/>
      <c r="N369" s="118"/>
      <c r="O369" s="118"/>
      <c r="P369" s="118"/>
      <c r="Q369" s="118"/>
    </row>
    <row r="370" spans="2:17" ht="14.25" customHeight="1" x14ac:dyDescent="0.3">
      <c r="B370" s="23"/>
      <c r="D370" s="25"/>
      <c r="E370" s="25"/>
      <c r="M370" s="12"/>
      <c r="N370" s="118"/>
      <c r="O370" s="118"/>
      <c r="P370" s="118"/>
      <c r="Q370" s="118"/>
    </row>
    <row r="371" spans="2:17" ht="14.25" customHeight="1" x14ac:dyDescent="0.3">
      <c r="B371" s="23"/>
      <c r="D371" s="25"/>
      <c r="E371" s="25"/>
      <c r="M371" s="12"/>
      <c r="N371" s="118"/>
      <c r="O371" s="118"/>
      <c r="P371" s="118"/>
      <c r="Q371" s="118"/>
    </row>
    <row r="372" spans="2:17" ht="14.25" customHeight="1" x14ac:dyDescent="0.3">
      <c r="B372" s="23"/>
      <c r="D372" s="25"/>
      <c r="E372" s="25"/>
      <c r="M372" s="12"/>
      <c r="N372" s="118"/>
      <c r="O372" s="118"/>
      <c r="P372" s="118"/>
      <c r="Q372" s="118"/>
    </row>
    <row r="373" spans="2:17" ht="14.25" customHeight="1" x14ac:dyDescent="0.3">
      <c r="B373" s="23"/>
      <c r="D373" s="25"/>
      <c r="E373" s="25"/>
      <c r="M373" s="12"/>
      <c r="N373" s="118"/>
      <c r="O373" s="118"/>
      <c r="P373" s="118"/>
      <c r="Q373" s="118"/>
    </row>
    <row r="374" spans="2:17" ht="14.25" customHeight="1" x14ac:dyDescent="0.3">
      <c r="B374" s="23"/>
      <c r="D374" s="25"/>
      <c r="E374" s="25"/>
      <c r="M374" s="12"/>
      <c r="N374" s="118"/>
      <c r="O374" s="118"/>
      <c r="P374" s="118"/>
      <c r="Q374" s="118"/>
    </row>
    <row r="375" spans="2:17" ht="14.25" customHeight="1" x14ac:dyDescent="0.3">
      <c r="B375" s="23"/>
      <c r="D375" s="25"/>
      <c r="E375" s="25"/>
      <c r="M375" s="12"/>
      <c r="N375" s="118"/>
      <c r="O375" s="118"/>
      <c r="P375" s="118"/>
      <c r="Q375" s="118"/>
    </row>
    <row r="376" spans="2:17" ht="14.25" customHeight="1" x14ac:dyDescent="0.3">
      <c r="B376" s="23"/>
      <c r="D376" s="25"/>
      <c r="E376" s="25"/>
      <c r="M376" s="12"/>
      <c r="N376" s="118"/>
      <c r="O376" s="118"/>
      <c r="P376" s="118"/>
      <c r="Q376" s="118"/>
    </row>
    <row r="377" spans="2:17" ht="14.25" customHeight="1" x14ac:dyDescent="0.3">
      <c r="B377" s="23"/>
      <c r="D377" s="25"/>
      <c r="E377" s="25"/>
      <c r="M377" s="12"/>
      <c r="N377" s="118"/>
      <c r="O377" s="118"/>
      <c r="P377" s="118"/>
      <c r="Q377" s="118"/>
    </row>
    <row r="378" spans="2:17" ht="14.25" customHeight="1" x14ac:dyDescent="0.3">
      <c r="B378" s="23"/>
      <c r="D378" s="25"/>
      <c r="E378" s="25"/>
      <c r="M378" s="12"/>
      <c r="N378" s="118"/>
      <c r="O378" s="118"/>
      <c r="P378" s="118"/>
      <c r="Q378" s="118"/>
    </row>
    <row r="379" spans="2:17" ht="14.25" customHeight="1" x14ac:dyDescent="0.3">
      <c r="B379" s="23"/>
      <c r="D379" s="25"/>
      <c r="E379" s="25"/>
      <c r="M379" s="12"/>
      <c r="N379" s="118"/>
      <c r="O379" s="118"/>
      <c r="P379" s="118"/>
      <c r="Q379" s="118"/>
    </row>
    <row r="380" spans="2:17" ht="14.25" customHeight="1" x14ac:dyDescent="0.3">
      <c r="B380" s="23"/>
      <c r="D380" s="25"/>
      <c r="E380" s="25"/>
      <c r="M380" s="12"/>
      <c r="N380" s="118"/>
      <c r="O380" s="118"/>
      <c r="P380" s="118"/>
      <c r="Q380" s="118"/>
    </row>
    <row r="381" spans="2:17" ht="14.25" customHeight="1" x14ac:dyDescent="0.3">
      <c r="B381" s="23"/>
      <c r="D381" s="25"/>
      <c r="E381" s="25"/>
      <c r="M381" s="12"/>
      <c r="N381" s="118"/>
      <c r="O381" s="118"/>
      <c r="P381" s="118"/>
      <c r="Q381" s="118"/>
    </row>
    <row r="382" spans="2:17" ht="14.25" customHeight="1" x14ac:dyDescent="0.3">
      <c r="B382" s="23"/>
      <c r="D382" s="25"/>
      <c r="E382" s="25"/>
      <c r="M382" s="12"/>
      <c r="N382" s="118"/>
      <c r="O382" s="118"/>
      <c r="P382" s="118"/>
      <c r="Q382" s="118"/>
    </row>
    <row r="383" spans="2:17" ht="14.25" customHeight="1" x14ac:dyDescent="0.3">
      <c r="B383" s="23"/>
      <c r="D383" s="25"/>
      <c r="E383" s="25"/>
      <c r="M383" s="12"/>
      <c r="N383" s="118"/>
      <c r="O383" s="118"/>
      <c r="P383" s="118"/>
      <c r="Q383" s="118"/>
    </row>
    <row r="384" spans="2:17" ht="14.25" customHeight="1" x14ac:dyDescent="0.3">
      <c r="B384" s="23"/>
      <c r="D384" s="25"/>
      <c r="E384" s="25"/>
      <c r="M384" s="12"/>
      <c r="N384" s="118"/>
      <c r="O384" s="118"/>
      <c r="P384" s="118"/>
      <c r="Q384" s="118"/>
    </row>
    <row r="385" spans="2:17" ht="14.25" customHeight="1" x14ac:dyDescent="0.3">
      <c r="B385" s="23"/>
      <c r="D385" s="25"/>
      <c r="E385" s="25"/>
      <c r="M385" s="12"/>
      <c r="N385" s="118"/>
      <c r="O385" s="118"/>
      <c r="P385" s="118"/>
      <c r="Q385" s="118"/>
    </row>
    <row r="386" spans="2:17" ht="14.25" customHeight="1" x14ac:dyDescent="0.3">
      <c r="B386" s="23"/>
      <c r="D386" s="25"/>
      <c r="E386" s="25"/>
      <c r="M386" s="12"/>
      <c r="N386" s="118"/>
      <c r="O386" s="118"/>
      <c r="P386" s="118"/>
      <c r="Q386" s="118"/>
    </row>
    <row r="387" spans="2:17" ht="14.25" customHeight="1" x14ac:dyDescent="0.3">
      <c r="B387" s="23"/>
      <c r="D387" s="25"/>
      <c r="E387" s="25"/>
      <c r="M387" s="12"/>
      <c r="N387" s="118"/>
      <c r="O387" s="118"/>
      <c r="P387" s="118"/>
      <c r="Q387" s="118"/>
    </row>
    <row r="388" spans="2:17" ht="14.25" customHeight="1" x14ac:dyDescent="0.3">
      <c r="B388" s="23"/>
      <c r="D388" s="25"/>
      <c r="E388" s="25"/>
      <c r="M388" s="12"/>
      <c r="N388" s="118"/>
      <c r="O388" s="118"/>
      <c r="P388" s="118"/>
      <c r="Q388" s="118"/>
    </row>
    <row r="389" spans="2:17" ht="14.25" customHeight="1" x14ac:dyDescent="0.3">
      <c r="B389" s="23"/>
      <c r="D389" s="25"/>
      <c r="E389" s="25"/>
      <c r="M389" s="12"/>
      <c r="N389" s="118"/>
      <c r="O389" s="118"/>
      <c r="P389" s="118"/>
      <c r="Q389" s="118"/>
    </row>
    <row r="390" spans="2:17" ht="14.25" customHeight="1" x14ac:dyDescent="0.3">
      <c r="B390" s="23"/>
      <c r="D390" s="25"/>
      <c r="E390" s="25"/>
      <c r="M390" s="12"/>
      <c r="N390" s="118"/>
      <c r="O390" s="118"/>
      <c r="P390" s="118"/>
      <c r="Q390" s="118"/>
    </row>
    <row r="391" spans="2:17" ht="14.25" customHeight="1" x14ac:dyDescent="0.3">
      <c r="B391" s="23"/>
      <c r="D391" s="25"/>
      <c r="E391" s="25"/>
      <c r="M391" s="12"/>
      <c r="N391" s="118"/>
      <c r="O391" s="118"/>
      <c r="P391" s="118"/>
      <c r="Q391" s="118"/>
    </row>
    <row r="392" spans="2:17" ht="14.25" customHeight="1" x14ac:dyDescent="0.3">
      <c r="B392" s="23"/>
      <c r="D392" s="25"/>
      <c r="E392" s="25"/>
      <c r="M392" s="12"/>
      <c r="N392" s="118"/>
      <c r="O392" s="118"/>
      <c r="P392" s="118"/>
      <c r="Q392" s="118"/>
    </row>
    <row r="393" spans="2:17" ht="14.25" customHeight="1" x14ac:dyDescent="0.3">
      <c r="B393" s="23"/>
      <c r="D393" s="25"/>
      <c r="E393" s="25"/>
      <c r="M393" s="12"/>
      <c r="N393" s="118"/>
      <c r="O393" s="118"/>
      <c r="P393" s="118"/>
      <c r="Q393" s="118"/>
    </row>
    <row r="394" spans="2:17" ht="14.25" customHeight="1" x14ac:dyDescent="0.3">
      <c r="B394" s="23"/>
      <c r="D394" s="25"/>
      <c r="E394" s="25"/>
      <c r="M394" s="12"/>
      <c r="N394" s="118"/>
      <c r="O394" s="118"/>
      <c r="P394" s="118"/>
      <c r="Q394" s="118"/>
    </row>
    <row r="395" spans="2:17" ht="14.25" customHeight="1" x14ac:dyDescent="0.3">
      <c r="B395" s="23"/>
      <c r="D395" s="25"/>
      <c r="E395" s="25"/>
      <c r="M395" s="12"/>
      <c r="N395" s="118"/>
      <c r="O395" s="118"/>
      <c r="P395" s="118"/>
      <c r="Q395" s="118"/>
    </row>
    <row r="396" spans="2:17" ht="14.25" customHeight="1" x14ac:dyDescent="0.3">
      <c r="B396" s="23"/>
      <c r="D396" s="25"/>
      <c r="E396" s="25"/>
      <c r="M396" s="12"/>
      <c r="N396" s="118"/>
      <c r="O396" s="118"/>
      <c r="P396" s="118"/>
      <c r="Q396" s="118"/>
    </row>
    <row r="397" spans="2:17" ht="14.25" customHeight="1" x14ac:dyDescent="0.3">
      <c r="B397" s="23"/>
      <c r="D397" s="25"/>
      <c r="E397" s="25"/>
      <c r="M397" s="12"/>
      <c r="N397" s="118"/>
      <c r="O397" s="118"/>
      <c r="P397" s="118"/>
      <c r="Q397" s="118"/>
    </row>
    <row r="398" spans="2:17" ht="14.25" customHeight="1" x14ac:dyDescent="0.3">
      <c r="B398" s="23"/>
      <c r="D398" s="25"/>
      <c r="E398" s="25"/>
      <c r="M398" s="12"/>
      <c r="N398" s="118"/>
      <c r="O398" s="118"/>
      <c r="P398" s="118"/>
      <c r="Q398" s="118"/>
    </row>
    <row r="399" spans="2:17" ht="14.25" customHeight="1" x14ac:dyDescent="0.3">
      <c r="B399" s="23"/>
      <c r="D399" s="25"/>
      <c r="E399" s="25"/>
      <c r="M399" s="12"/>
      <c r="N399" s="118"/>
      <c r="O399" s="118"/>
      <c r="P399" s="118"/>
      <c r="Q399" s="118"/>
    </row>
    <row r="400" spans="2:17" ht="14.25" customHeight="1" x14ac:dyDescent="0.3">
      <c r="B400" s="23"/>
      <c r="D400" s="25"/>
      <c r="E400" s="25"/>
      <c r="M400" s="12"/>
      <c r="N400" s="118"/>
      <c r="O400" s="118"/>
      <c r="P400" s="118"/>
      <c r="Q400" s="118"/>
    </row>
    <row r="401" spans="2:17" ht="14.25" customHeight="1" x14ac:dyDescent="0.3">
      <c r="B401" s="23"/>
      <c r="D401" s="25"/>
      <c r="E401" s="25"/>
      <c r="M401" s="12"/>
      <c r="N401" s="118"/>
      <c r="O401" s="118"/>
      <c r="P401" s="118"/>
      <c r="Q401" s="118"/>
    </row>
    <row r="402" spans="2:17" ht="14.25" customHeight="1" x14ac:dyDescent="0.3">
      <c r="B402" s="23"/>
      <c r="D402" s="25"/>
      <c r="E402" s="25"/>
      <c r="M402" s="12"/>
      <c r="N402" s="118"/>
      <c r="O402" s="118"/>
      <c r="P402" s="118"/>
      <c r="Q402" s="118"/>
    </row>
    <row r="403" spans="2:17" ht="14.25" customHeight="1" x14ac:dyDescent="0.3">
      <c r="B403" s="23"/>
      <c r="D403" s="25"/>
      <c r="E403" s="25"/>
      <c r="M403" s="12"/>
      <c r="N403" s="118"/>
      <c r="O403" s="118"/>
      <c r="P403" s="118"/>
      <c r="Q403" s="118"/>
    </row>
    <row r="404" spans="2:17" ht="14.25" customHeight="1" x14ac:dyDescent="0.3">
      <c r="B404" s="23"/>
      <c r="D404" s="25"/>
      <c r="E404" s="25"/>
      <c r="M404" s="12"/>
      <c r="N404" s="118"/>
      <c r="O404" s="118"/>
      <c r="P404" s="118"/>
      <c r="Q404" s="118"/>
    </row>
    <row r="405" spans="2:17" ht="14.25" customHeight="1" x14ac:dyDescent="0.3">
      <c r="B405" s="23"/>
      <c r="D405" s="25"/>
      <c r="E405" s="25"/>
      <c r="M405" s="12"/>
      <c r="N405" s="118"/>
      <c r="O405" s="118"/>
      <c r="P405" s="118"/>
      <c r="Q405" s="118"/>
    </row>
    <row r="406" spans="2:17" ht="14.25" customHeight="1" x14ac:dyDescent="0.3">
      <c r="B406" s="23"/>
      <c r="D406" s="25"/>
      <c r="E406" s="25"/>
      <c r="M406" s="12"/>
      <c r="N406" s="118"/>
      <c r="O406" s="118"/>
      <c r="P406" s="118"/>
      <c r="Q406" s="118"/>
    </row>
    <row r="407" spans="2:17" ht="14.25" customHeight="1" x14ac:dyDescent="0.3">
      <c r="B407" s="23"/>
      <c r="D407" s="25"/>
      <c r="E407" s="25"/>
      <c r="M407" s="12"/>
      <c r="N407" s="118"/>
      <c r="O407" s="118"/>
      <c r="P407" s="118"/>
      <c r="Q407" s="118"/>
    </row>
    <row r="408" spans="2:17" ht="14.25" customHeight="1" x14ac:dyDescent="0.3">
      <c r="B408" s="23"/>
      <c r="D408" s="25"/>
      <c r="E408" s="25"/>
      <c r="M408" s="12"/>
      <c r="N408" s="118"/>
      <c r="O408" s="118"/>
      <c r="P408" s="118"/>
      <c r="Q408" s="118"/>
    </row>
    <row r="409" spans="2:17" ht="14.25" customHeight="1" x14ac:dyDescent="0.3">
      <c r="B409" s="23"/>
      <c r="D409" s="25"/>
      <c r="E409" s="25"/>
      <c r="M409" s="12"/>
      <c r="N409" s="118"/>
      <c r="O409" s="118"/>
      <c r="P409" s="118"/>
      <c r="Q409" s="118"/>
    </row>
    <row r="410" spans="2:17" ht="14.25" customHeight="1" x14ac:dyDescent="0.3">
      <c r="B410" s="23"/>
      <c r="D410" s="25"/>
      <c r="E410" s="25"/>
      <c r="M410" s="12"/>
      <c r="N410" s="118"/>
      <c r="O410" s="118"/>
      <c r="P410" s="118"/>
      <c r="Q410" s="118"/>
    </row>
    <row r="411" spans="2:17" ht="14.25" customHeight="1" x14ac:dyDescent="0.3">
      <c r="B411" s="23"/>
      <c r="D411" s="25"/>
      <c r="E411" s="25"/>
      <c r="M411" s="12"/>
      <c r="N411" s="118"/>
      <c r="O411" s="118"/>
      <c r="P411" s="118"/>
      <c r="Q411" s="118"/>
    </row>
    <row r="412" spans="2:17" ht="14.25" customHeight="1" x14ac:dyDescent="0.3">
      <c r="B412" s="23"/>
      <c r="D412" s="25"/>
      <c r="E412" s="25"/>
      <c r="M412" s="12"/>
      <c r="N412" s="118"/>
      <c r="O412" s="118"/>
      <c r="P412" s="118"/>
      <c r="Q412" s="118"/>
    </row>
    <row r="413" spans="2:17" ht="14.25" customHeight="1" x14ac:dyDescent="0.3">
      <c r="B413" s="23"/>
      <c r="D413" s="25"/>
      <c r="E413" s="25"/>
      <c r="M413" s="12"/>
      <c r="N413" s="118"/>
      <c r="O413" s="118"/>
      <c r="P413" s="118"/>
      <c r="Q413" s="118"/>
    </row>
    <row r="414" spans="2:17" ht="14.25" customHeight="1" x14ac:dyDescent="0.3">
      <c r="B414" s="23"/>
      <c r="D414" s="25"/>
      <c r="E414" s="25"/>
      <c r="M414" s="12"/>
      <c r="N414" s="118"/>
      <c r="O414" s="118"/>
      <c r="P414" s="118"/>
      <c r="Q414" s="118"/>
    </row>
    <row r="415" spans="2:17" ht="14.25" customHeight="1" x14ac:dyDescent="0.3">
      <c r="B415" s="23"/>
      <c r="D415" s="25"/>
      <c r="E415" s="25"/>
      <c r="M415" s="12"/>
      <c r="N415" s="118"/>
      <c r="O415" s="118"/>
      <c r="P415" s="118"/>
      <c r="Q415" s="118"/>
    </row>
    <row r="416" spans="2:17" ht="14.25" customHeight="1" x14ac:dyDescent="0.3">
      <c r="B416" s="23"/>
      <c r="D416" s="25"/>
      <c r="E416" s="25"/>
      <c r="M416" s="12"/>
      <c r="N416" s="118"/>
      <c r="O416" s="118"/>
      <c r="P416" s="118"/>
      <c r="Q416" s="118"/>
    </row>
    <row r="417" spans="2:17" ht="14.25" customHeight="1" x14ac:dyDescent="0.3">
      <c r="B417" s="23"/>
      <c r="D417" s="25"/>
      <c r="E417" s="25"/>
      <c r="M417" s="12"/>
      <c r="N417" s="118"/>
      <c r="O417" s="118"/>
      <c r="P417" s="118"/>
      <c r="Q417" s="118"/>
    </row>
    <row r="418" spans="2:17" ht="14.25" customHeight="1" x14ac:dyDescent="0.3">
      <c r="B418" s="23"/>
      <c r="D418" s="25"/>
      <c r="E418" s="25"/>
      <c r="M418" s="12"/>
      <c r="N418" s="118"/>
      <c r="O418" s="118"/>
      <c r="P418" s="118"/>
      <c r="Q418" s="118"/>
    </row>
    <row r="419" spans="2:17" ht="14.25" customHeight="1" x14ac:dyDescent="0.3">
      <c r="B419" s="23"/>
      <c r="D419" s="25"/>
      <c r="E419" s="25"/>
      <c r="M419" s="12"/>
      <c r="N419" s="118"/>
      <c r="O419" s="118"/>
      <c r="P419" s="118"/>
      <c r="Q419" s="118"/>
    </row>
    <row r="420" spans="2:17" ht="14.25" customHeight="1" x14ac:dyDescent="0.3">
      <c r="B420" s="23"/>
      <c r="D420" s="25"/>
      <c r="E420" s="25"/>
      <c r="M420" s="12"/>
      <c r="N420" s="118"/>
      <c r="O420" s="118"/>
      <c r="P420" s="118"/>
      <c r="Q420" s="118"/>
    </row>
    <row r="421" spans="2:17" ht="14.25" customHeight="1" x14ac:dyDescent="0.3">
      <c r="B421" s="23"/>
      <c r="D421" s="25"/>
      <c r="E421" s="25"/>
      <c r="M421" s="12"/>
      <c r="N421" s="118"/>
      <c r="O421" s="118"/>
      <c r="P421" s="118"/>
      <c r="Q421" s="118"/>
    </row>
    <row r="422" spans="2:17" ht="14.25" customHeight="1" x14ac:dyDescent="0.3">
      <c r="B422" s="23"/>
      <c r="D422" s="25"/>
      <c r="E422" s="25"/>
      <c r="M422" s="12"/>
      <c r="N422" s="118"/>
      <c r="O422" s="118"/>
      <c r="P422" s="118"/>
      <c r="Q422" s="118"/>
    </row>
    <row r="423" spans="2:17" ht="14.25" customHeight="1" x14ac:dyDescent="0.3">
      <c r="B423" s="23"/>
      <c r="D423" s="25"/>
      <c r="E423" s="25"/>
      <c r="M423" s="12"/>
      <c r="N423" s="118"/>
      <c r="O423" s="118"/>
      <c r="P423" s="118"/>
      <c r="Q423" s="118"/>
    </row>
    <row r="424" spans="2:17" ht="14.25" customHeight="1" x14ac:dyDescent="0.3">
      <c r="B424" s="23"/>
      <c r="D424" s="25"/>
      <c r="E424" s="25"/>
      <c r="M424" s="12"/>
      <c r="N424" s="118"/>
      <c r="O424" s="118"/>
      <c r="P424" s="118"/>
      <c r="Q424" s="118"/>
    </row>
    <row r="425" spans="2:17" ht="14.25" customHeight="1" x14ac:dyDescent="0.3">
      <c r="B425" s="23"/>
      <c r="D425" s="25"/>
      <c r="E425" s="25"/>
      <c r="M425" s="12"/>
      <c r="N425" s="118"/>
      <c r="O425" s="118"/>
      <c r="P425" s="118"/>
      <c r="Q425" s="118"/>
    </row>
    <row r="426" spans="2:17" ht="14.25" customHeight="1" x14ac:dyDescent="0.3">
      <c r="B426" s="23"/>
      <c r="D426" s="25"/>
      <c r="E426" s="25"/>
      <c r="M426" s="12"/>
      <c r="N426" s="118"/>
      <c r="O426" s="118"/>
      <c r="P426" s="118"/>
      <c r="Q426" s="118"/>
    </row>
    <row r="427" spans="2:17" ht="14.25" customHeight="1" x14ac:dyDescent="0.3">
      <c r="B427" s="23"/>
      <c r="D427" s="25"/>
      <c r="E427" s="25"/>
      <c r="M427" s="12"/>
      <c r="N427" s="118"/>
      <c r="O427" s="118"/>
      <c r="P427" s="118"/>
      <c r="Q427" s="118"/>
    </row>
    <row r="428" spans="2:17" ht="14.25" customHeight="1" x14ac:dyDescent="0.3">
      <c r="B428" s="23"/>
      <c r="D428" s="25"/>
      <c r="E428" s="25"/>
      <c r="M428" s="12"/>
      <c r="N428" s="118"/>
      <c r="O428" s="118"/>
      <c r="P428" s="118"/>
      <c r="Q428" s="118"/>
    </row>
    <row r="429" spans="2:17" ht="14.25" customHeight="1" x14ac:dyDescent="0.3">
      <c r="B429" s="23"/>
      <c r="D429" s="25"/>
      <c r="E429" s="25"/>
      <c r="M429" s="12"/>
      <c r="N429" s="118"/>
      <c r="O429" s="118"/>
      <c r="P429" s="118"/>
      <c r="Q429" s="118"/>
    </row>
    <row r="430" spans="2:17" ht="14.25" customHeight="1" x14ac:dyDescent="0.3">
      <c r="B430" s="23"/>
      <c r="D430" s="25"/>
      <c r="E430" s="25"/>
      <c r="M430" s="12"/>
      <c r="N430" s="118"/>
      <c r="O430" s="118"/>
      <c r="P430" s="118"/>
      <c r="Q430" s="118"/>
    </row>
    <row r="431" spans="2:17" ht="14.25" customHeight="1" x14ac:dyDescent="0.3">
      <c r="B431" s="23"/>
      <c r="D431" s="25"/>
      <c r="E431" s="25"/>
      <c r="M431" s="12"/>
      <c r="N431" s="118"/>
      <c r="O431" s="118"/>
      <c r="P431" s="118"/>
      <c r="Q431" s="118"/>
    </row>
    <row r="432" spans="2:17" ht="14.25" customHeight="1" x14ac:dyDescent="0.3">
      <c r="B432" s="23"/>
      <c r="D432" s="25"/>
      <c r="E432" s="25"/>
      <c r="M432" s="12"/>
      <c r="N432" s="118"/>
      <c r="O432" s="118"/>
      <c r="P432" s="118"/>
      <c r="Q432" s="118"/>
    </row>
    <row r="433" spans="2:17" ht="14.25" customHeight="1" x14ac:dyDescent="0.3">
      <c r="B433" s="23"/>
      <c r="D433" s="25"/>
      <c r="E433" s="25"/>
      <c r="M433" s="12"/>
      <c r="N433" s="118"/>
      <c r="O433" s="118"/>
      <c r="P433" s="118"/>
      <c r="Q433" s="118"/>
    </row>
    <row r="434" spans="2:17" ht="14.25" customHeight="1" x14ac:dyDescent="0.3">
      <c r="B434" s="23"/>
      <c r="D434" s="25"/>
      <c r="E434" s="25"/>
      <c r="M434" s="12"/>
      <c r="N434" s="118"/>
      <c r="O434" s="118"/>
      <c r="P434" s="118"/>
      <c r="Q434" s="118"/>
    </row>
    <row r="435" spans="2:17" ht="14.25" customHeight="1" x14ac:dyDescent="0.3">
      <c r="B435" s="23"/>
      <c r="D435" s="25"/>
      <c r="E435" s="25"/>
      <c r="M435" s="12"/>
      <c r="N435" s="118"/>
      <c r="O435" s="118"/>
      <c r="P435" s="118"/>
      <c r="Q435" s="118"/>
    </row>
    <row r="436" spans="2:17" ht="14.25" customHeight="1" x14ac:dyDescent="0.3">
      <c r="B436" s="23"/>
      <c r="D436" s="25"/>
      <c r="E436" s="25"/>
      <c r="M436" s="12"/>
      <c r="N436" s="118"/>
      <c r="O436" s="118"/>
      <c r="P436" s="118"/>
      <c r="Q436" s="118"/>
    </row>
    <row r="437" spans="2:17" ht="14.25" customHeight="1" x14ac:dyDescent="0.3">
      <c r="B437" s="23"/>
      <c r="D437" s="25"/>
      <c r="E437" s="25"/>
      <c r="M437" s="12"/>
      <c r="N437" s="118"/>
      <c r="O437" s="118"/>
      <c r="P437" s="118"/>
      <c r="Q437" s="118"/>
    </row>
    <row r="438" spans="2:17" ht="14.25" customHeight="1" x14ac:dyDescent="0.3">
      <c r="B438" s="23"/>
      <c r="D438" s="25"/>
      <c r="E438" s="25"/>
      <c r="M438" s="12"/>
      <c r="N438" s="118"/>
      <c r="O438" s="118"/>
      <c r="P438" s="118"/>
      <c r="Q438" s="118"/>
    </row>
    <row r="439" spans="2:17" ht="14.25" customHeight="1" x14ac:dyDescent="0.3">
      <c r="B439" s="23"/>
      <c r="D439" s="25"/>
      <c r="E439" s="25"/>
      <c r="M439" s="12"/>
      <c r="N439" s="118"/>
      <c r="O439" s="118"/>
      <c r="P439" s="118"/>
      <c r="Q439" s="118"/>
    </row>
    <row r="440" spans="2:17" ht="14.25" customHeight="1" x14ac:dyDescent="0.3">
      <c r="B440" s="23"/>
      <c r="D440" s="25"/>
      <c r="E440" s="25"/>
      <c r="M440" s="12"/>
      <c r="N440" s="118"/>
      <c r="O440" s="118"/>
      <c r="P440" s="118"/>
      <c r="Q440" s="118"/>
    </row>
    <row r="441" spans="2:17" ht="14.25" customHeight="1" x14ac:dyDescent="0.3">
      <c r="B441" s="23"/>
      <c r="D441" s="25"/>
      <c r="E441" s="25"/>
      <c r="M441" s="12"/>
      <c r="N441" s="118"/>
      <c r="O441" s="118"/>
      <c r="P441" s="118"/>
      <c r="Q441" s="118"/>
    </row>
    <row r="442" spans="2:17" ht="14.25" customHeight="1" x14ac:dyDescent="0.3">
      <c r="B442" s="23"/>
      <c r="D442" s="25"/>
      <c r="E442" s="25"/>
      <c r="M442" s="12"/>
      <c r="N442" s="118"/>
      <c r="O442" s="118"/>
      <c r="P442" s="118"/>
      <c r="Q442" s="118"/>
    </row>
    <row r="443" spans="2:17" ht="14.25" customHeight="1" x14ac:dyDescent="0.3">
      <c r="B443" s="23"/>
      <c r="D443" s="25"/>
      <c r="E443" s="25"/>
      <c r="M443" s="12"/>
      <c r="N443" s="118"/>
      <c r="O443" s="118"/>
      <c r="P443" s="118"/>
      <c r="Q443" s="118"/>
    </row>
    <row r="444" spans="2:17" ht="14.25" customHeight="1" x14ac:dyDescent="0.3">
      <c r="B444" s="23"/>
      <c r="D444" s="25"/>
      <c r="E444" s="25"/>
      <c r="M444" s="12"/>
      <c r="N444" s="118"/>
      <c r="O444" s="118"/>
      <c r="P444" s="118"/>
      <c r="Q444" s="118"/>
    </row>
    <row r="445" spans="2:17" ht="14.25" customHeight="1" x14ac:dyDescent="0.3">
      <c r="B445" s="23"/>
      <c r="D445" s="25"/>
      <c r="E445" s="25"/>
      <c r="M445" s="12"/>
      <c r="N445" s="118"/>
      <c r="O445" s="118"/>
      <c r="P445" s="118"/>
      <c r="Q445" s="118"/>
    </row>
    <row r="446" spans="2:17" ht="14.25" customHeight="1" x14ac:dyDescent="0.3">
      <c r="B446" s="23"/>
      <c r="D446" s="25"/>
      <c r="E446" s="25"/>
      <c r="M446" s="12"/>
      <c r="N446" s="118"/>
      <c r="O446" s="118"/>
      <c r="P446" s="118"/>
      <c r="Q446" s="118"/>
    </row>
    <row r="447" spans="2:17" ht="14.25" customHeight="1" x14ac:dyDescent="0.3">
      <c r="B447" s="23"/>
      <c r="D447" s="25"/>
      <c r="E447" s="25"/>
      <c r="M447" s="12"/>
      <c r="N447" s="118"/>
      <c r="O447" s="118"/>
      <c r="P447" s="118"/>
      <c r="Q447" s="118"/>
    </row>
    <row r="448" spans="2:17" ht="14.25" customHeight="1" x14ac:dyDescent="0.3">
      <c r="B448" s="23"/>
      <c r="D448" s="25"/>
      <c r="E448" s="25"/>
      <c r="M448" s="12"/>
      <c r="N448" s="118"/>
      <c r="O448" s="118"/>
      <c r="P448" s="118"/>
      <c r="Q448" s="118"/>
    </row>
    <row r="449" spans="2:17" ht="14.25" customHeight="1" x14ac:dyDescent="0.3">
      <c r="B449" s="23"/>
      <c r="D449" s="25"/>
      <c r="E449" s="25"/>
      <c r="M449" s="12"/>
      <c r="N449" s="118"/>
      <c r="O449" s="118"/>
      <c r="P449" s="118"/>
      <c r="Q449" s="118"/>
    </row>
    <row r="450" spans="2:17" ht="14.25" customHeight="1" x14ac:dyDescent="0.3">
      <c r="B450" s="23"/>
      <c r="D450" s="25"/>
      <c r="E450" s="25"/>
      <c r="M450" s="12"/>
      <c r="N450" s="118"/>
      <c r="O450" s="118"/>
      <c r="P450" s="118"/>
      <c r="Q450" s="118"/>
    </row>
    <row r="451" spans="2:17" ht="14.25" customHeight="1" x14ac:dyDescent="0.3">
      <c r="B451" s="23"/>
      <c r="D451" s="25"/>
      <c r="E451" s="25"/>
      <c r="M451" s="12"/>
      <c r="N451" s="118"/>
      <c r="O451" s="118"/>
      <c r="P451" s="118"/>
      <c r="Q451" s="118"/>
    </row>
    <row r="452" spans="2:17" ht="14.25" customHeight="1" x14ac:dyDescent="0.3">
      <c r="B452" s="23"/>
      <c r="D452" s="25"/>
      <c r="E452" s="25"/>
      <c r="M452" s="12"/>
      <c r="N452" s="118"/>
      <c r="O452" s="118"/>
      <c r="P452" s="118"/>
      <c r="Q452" s="118"/>
    </row>
    <row r="453" spans="2:17" ht="14.25" customHeight="1" x14ac:dyDescent="0.3">
      <c r="B453" s="23"/>
      <c r="D453" s="25"/>
      <c r="E453" s="25"/>
      <c r="M453" s="12"/>
      <c r="N453" s="118"/>
      <c r="O453" s="118"/>
      <c r="P453" s="118"/>
      <c r="Q453" s="118"/>
    </row>
    <row r="454" spans="2:17" ht="14.25" customHeight="1" x14ac:dyDescent="0.3">
      <c r="B454" s="23"/>
      <c r="D454" s="25"/>
      <c r="E454" s="25"/>
      <c r="M454" s="12"/>
      <c r="N454" s="118"/>
      <c r="O454" s="118"/>
      <c r="P454" s="118"/>
      <c r="Q454" s="118"/>
    </row>
    <row r="455" spans="2:17" ht="14.25" customHeight="1" x14ac:dyDescent="0.3">
      <c r="B455" s="23"/>
      <c r="D455" s="25"/>
      <c r="E455" s="25"/>
      <c r="M455" s="12"/>
      <c r="N455" s="118"/>
      <c r="O455" s="118"/>
      <c r="P455" s="118"/>
      <c r="Q455" s="118"/>
    </row>
    <row r="456" spans="2:17" ht="14.25" customHeight="1" x14ac:dyDescent="0.3">
      <c r="B456" s="23"/>
      <c r="D456" s="25"/>
      <c r="E456" s="25"/>
      <c r="M456" s="12"/>
      <c r="N456" s="118"/>
      <c r="O456" s="118"/>
      <c r="P456" s="118"/>
      <c r="Q456" s="118"/>
    </row>
    <row r="457" spans="2:17" ht="14.25" customHeight="1" x14ac:dyDescent="0.3">
      <c r="B457" s="23"/>
      <c r="D457" s="25"/>
      <c r="E457" s="25"/>
      <c r="M457" s="12"/>
      <c r="N457" s="118"/>
      <c r="O457" s="118"/>
      <c r="P457" s="118"/>
      <c r="Q457" s="118"/>
    </row>
    <row r="458" spans="2:17" ht="14.25" customHeight="1" x14ac:dyDescent="0.3">
      <c r="B458" s="23"/>
      <c r="D458" s="25"/>
      <c r="E458" s="25"/>
      <c r="M458" s="12"/>
      <c r="N458" s="118"/>
      <c r="O458" s="118"/>
      <c r="P458" s="118"/>
      <c r="Q458" s="118"/>
    </row>
    <row r="459" spans="2:17" ht="14.25" customHeight="1" x14ac:dyDescent="0.3">
      <c r="B459" s="23"/>
      <c r="D459" s="25"/>
      <c r="E459" s="25"/>
      <c r="M459" s="12"/>
      <c r="N459" s="118"/>
      <c r="O459" s="118"/>
      <c r="P459" s="118"/>
      <c r="Q459" s="118"/>
    </row>
    <row r="460" spans="2:17" ht="14.25" customHeight="1" x14ac:dyDescent="0.3">
      <c r="B460" s="23"/>
      <c r="D460" s="25"/>
      <c r="E460" s="25"/>
      <c r="M460" s="12"/>
      <c r="N460" s="118"/>
      <c r="O460" s="118"/>
      <c r="P460" s="118"/>
      <c r="Q460" s="118"/>
    </row>
    <row r="461" spans="2:17" ht="14.25" customHeight="1" x14ac:dyDescent="0.3">
      <c r="B461" s="23"/>
      <c r="D461" s="25"/>
      <c r="E461" s="25"/>
      <c r="M461" s="12"/>
      <c r="N461" s="118"/>
      <c r="O461" s="118"/>
      <c r="P461" s="118"/>
      <c r="Q461" s="118"/>
    </row>
    <row r="462" spans="2:17" ht="14.25" customHeight="1" x14ac:dyDescent="0.3">
      <c r="B462" s="23"/>
      <c r="D462" s="25"/>
      <c r="E462" s="25"/>
      <c r="M462" s="12"/>
      <c r="N462" s="118"/>
      <c r="O462" s="118"/>
      <c r="P462" s="118"/>
      <c r="Q462" s="118"/>
    </row>
    <row r="463" spans="2:17" ht="14.25" customHeight="1" x14ac:dyDescent="0.3">
      <c r="B463" s="23"/>
      <c r="D463" s="25"/>
      <c r="E463" s="25"/>
      <c r="M463" s="12"/>
      <c r="N463" s="118"/>
      <c r="O463" s="118"/>
      <c r="P463" s="118"/>
      <c r="Q463" s="118"/>
    </row>
    <row r="464" spans="2:17" ht="14.25" customHeight="1" x14ac:dyDescent="0.3">
      <c r="B464" s="23"/>
      <c r="D464" s="25"/>
      <c r="E464" s="25"/>
      <c r="M464" s="12"/>
      <c r="N464" s="118"/>
      <c r="O464" s="118"/>
      <c r="P464" s="118"/>
      <c r="Q464" s="118"/>
    </row>
    <row r="465" spans="2:17" ht="14.25" customHeight="1" x14ac:dyDescent="0.3">
      <c r="B465" s="23"/>
      <c r="D465" s="25"/>
      <c r="E465" s="25"/>
      <c r="M465" s="12"/>
      <c r="N465" s="118"/>
      <c r="O465" s="118"/>
      <c r="P465" s="118"/>
      <c r="Q465" s="118"/>
    </row>
    <row r="466" spans="2:17" ht="14.25" customHeight="1" x14ac:dyDescent="0.3">
      <c r="B466" s="23"/>
      <c r="D466" s="25"/>
      <c r="E466" s="25"/>
      <c r="M466" s="12"/>
      <c r="N466" s="118"/>
      <c r="O466" s="118"/>
      <c r="P466" s="118"/>
      <c r="Q466" s="118"/>
    </row>
    <row r="467" spans="2:17" ht="14.25" customHeight="1" x14ac:dyDescent="0.3">
      <c r="B467" s="23"/>
      <c r="D467" s="25"/>
      <c r="E467" s="25"/>
      <c r="M467" s="12"/>
      <c r="N467" s="118"/>
      <c r="O467" s="118"/>
      <c r="P467" s="118"/>
      <c r="Q467" s="118"/>
    </row>
    <row r="468" spans="2:17" ht="14.25" customHeight="1" x14ac:dyDescent="0.3">
      <c r="B468" s="23"/>
      <c r="D468" s="25"/>
      <c r="E468" s="25"/>
      <c r="M468" s="12"/>
      <c r="N468" s="118"/>
      <c r="O468" s="118"/>
      <c r="P468" s="118"/>
      <c r="Q468" s="118"/>
    </row>
    <row r="469" spans="2:17" ht="14.25" customHeight="1" x14ac:dyDescent="0.3">
      <c r="B469" s="23"/>
      <c r="D469" s="25"/>
      <c r="E469" s="25"/>
      <c r="M469" s="12"/>
      <c r="N469" s="118"/>
      <c r="O469" s="118"/>
      <c r="P469" s="118"/>
      <c r="Q469" s="118"/>
    </row>
    <row r="470" spans="2:17" ht="14.25" customHeight="1" x14ac:dyDescent="0.3">
      <c r="B470" s="23"/>
      <c r="D470" s="25"/>
      <c r="E470" s="25"/>
      <c r="M470" s="12"/>
      <c r="N470" s="118"/>
      <c r="O470" s="118"/>
      <c r="P470" s="118"/>
      <c r="Q470" s="118"/>
    </row>
    <row r="471" spans="2:17" ht="14.25" customHeight="1" x14ac:dyDescent="0.3">
      <c r="B471" s="23"/>
      <c r="D471" s="25"/>
      <c r="E471" s="25"/>
      <c r="M471" s="12"/>
      <c r="N471" s="118"/>
      <c r="O471" s="118"/>
      <c r="P471" s="118"/>
      <c r="Q471" s="118"/>
    </row>
    <row r="472" spans="2:17" ht="14.25" customHeight="1" x14ac:dyDescent="0.3">
      <c r="B472" s="23"/>
      <c r="D472" s="25"/>
      <c r="E472" s="25"/>
      <c r="M472" s="12"/>
      <c r="N472" s="118"/>
      <c r="O472" s="118"/>
      <c r="P472" s="118"/>
      <c r="Q472" s="118"/>
    </row>
    <row r="473" spans="2:17" ht="14.25" customHeight="1" x14ac:dyDescent="0.3">
      <c r="B473" s="23"/>
      <c r="D473" s="25"/>
      <c r="E473" s="25"/>
      <c r="M473" s="12"/>
      <c r="N473" s="118"/>
      <c r="O473" s="118"/>
      <c r="P473" s="118"/>
      <c r="Q473" s="118"/>
    </row>
    <row r="474" spans="2:17" ht="14.25" customHeight="1" x14ac:dyDescent="0.3">
      <c r="B474" s="23"/>
      <c r="D474" s="25"/>
      <c r="E474" s="25"/>
      <c r="M474" s="12"/>
      <c r="N474" s="118"/>
      <c r="O474" s="118"/>
      <c r="P474" s="118"/>
      <c r="Q474" s="118"/>
    </row>
    <row r="475" spans="2:17" ht="14.25" customHeight="1" x14ac:dyDescent="0.3">
      <c r="B475" s="23"/>
      <c r="D475" s="25"/>
      <c r="E475" s="25"/>
      <c r="M475" s="12"/>
      <c r="N475" s="118"/>
      <c r="O475" s="118"/>
      <c r="P475" s="118"/>
      <c r="Q475" s="118"/>
    </row>
    <row r="476" spans="2:17" ht="14.25" customHeight="1" x14ac:dyDescent="0.3">
      <c r="B476" s="23"/>
      <c r="D476" s="25"/>
      <c r="E476" s="25"/>
      <c r="M476" s="12"/>
      <c r="N476" s="118"/>
      <c r="O476" s="118"/>
      <c r="P476" s="118"/>
      <c r="Q476" s="118"/>
    </row>
    <row r="477" spans="2:17" ht="14.25" customHeight="1" x14ac:dyDescent="0.3">
      <c r="B477" s="23"/>
      <c r="D477" s="25"/>
      <c r="E477" s="25"/>
      <c r="M477" s="12"/>
      <c r="N477" s="118"/>
      <c r="O477" s="118"/>
      <c r="P477" s="118"/>
      <c r="Q477" s="118"/>
    </row>
    <row r="478" spans="2:17" ht="14.25" customHeight="1" x14ac:dyDescent="0.3">
      <c r="B478" s="23"/>
      <c r="D478" s="25"/>
      <c r="E478" s="25"/>
      <c r="M478" s="12"/>
      <c r="N478" s="118"/>
      <c r="O478" s="118"/>
      <c r="P478" s="118"/>
      <c r="Q478" s="118"/>
    </row>
    <row r="479" spans="2:17" ht="14.25" customHeight="1" x14ac:dyDescent="0.3">
      <c r="B479" s="23"/>
      <c r="D479" s="25"/>
      <c r="E479" s="25"/>
      <c r="M479" s="12"/>
      <c r="N479" s="118"/>
      <c r="O479" s="118"/>
      <c r="P479" s="118"/>
      <c r="Q479" s="118"/>
    </row>
    <row r="480" spans="2:17" ht="14.25" customHeight="1" x14ac:dyDescent="0.3">
      <c r="B480" s="23"/>
      <c r="D480" s="25"/>
      <c r="E480" s="25"/>
      <c r="M480" s="12"/>
      <c r="N480" s="118"/>
      <c r="O480" s="118"/>
      <c r="P480" s="118"/>
      <c r="Q480" s="118"/>
    </row>
    <row r="481" spans="2:17" ht="14.25" customHeight="1" x14ac:dyDescent="0.3">
      <c r="B481" s="23"/>
      <c r="D481" s="25"/>
      <c r="E481" s="25"/>
      <c r="M481" s="12"/>
      <c r="N481" s="118"/>
      <c r="O481" s="118"/>
      <c r="P481" s="118"/>
      <c r="Q481" s="118"/>
    </row>
    <row r="482" spans="2:17" ht="14.25" customHeight="1" x14ac:dyDescent="0.3">
      <c r="B482" s="23"/>
      <c r="D482" s="25"/>
      <c r="E482" s="25"/>
      <c r="M482" s="12"/>
      <c r="N482" s="118"/>
      <c r="O482" s="118"/>
      <c r="P482" s="118"/>
      <c r="Q482" s="118"/>
    </row>
    <row r="483" spans="2:17" ht="14.25" customHeight="1" x14ac:dyDescent="0.3">
      <c r="B483" s="23"/>
      <c r="D483" s="25"/>
      <c r="E483" s="25"/>
      <c r="M483" s="12"/>
      <c r="N483" s="118"/>
      <c r="O483" s="118"/>
      <c r="P483" s="118"/>
      <c r="Q483" s="118"/>
    </row>
    <row r="484" spans="2:17" ht="14.25" customHeight="1" x14ac:dyDescent="0.3">
      <c r="B484" s="23"/>
      <c r="D484" s="25"/>
      <c r="E484" s="25"/>
      <c r="M484" s="12"/>
      <c r="N484" s="118"/>
      <c r="O484" s="118"/>
      <c r="P484" s="118"/>
      <c r="Q484" s="118"/>
    </row>
    <row r="485" spans="2:17" ht="14.25" customHeight="1" x14ac:dyDescent="0.3">
      <c r="B485" s="23"/>
      <c r="D485" s="25"/>
      <c r="E485" s="25"/>
      <c r="M485" s="12"/>
      <c r="N485" s="118"/>
      <c r="O485" s="118"/>
      <c r="P485" s="118"/>
      <c r="Q485" s="118"/>
    </row>
    <row r="486" spans="2:17" ht="14.25" customHeight="1" x14ac:dyDescent="0.3">
      <c r="B486" s="23"/>
      <c r="D486" s="25"/>
      <c r="E486" s="25"/>
      <c r="M486" s="12"/>
      <c r="N486" s="118"/>
      <c r="O486" s="118"/>
      <c r="P486" s="118"/>
      <c r="Q486" s="118"/>
    </row>
    <row r="487" spans="2:17" ht="14.25" customHeight="1" x14ac:dyDescent="0.3">
      <c r="B487" s="23"/>
      <c r="D487" s="25"/>
      <c r="E487" s="25"/>
      <c r="M487" s="12"/>
      <c r="N487" s="118"/>
      <c r="O487" s="118"/>
      <c r="P487" s="118"/>
      <c r="Q487" s="118"/>
    </row>
    <row r="488" spans="2:17" ht="14.25" customHeight="1" x14ac:dyDescent="0.3">
      <c r="B488" s="23"/>
      <c r="D488" s="25"/>
      <c r="E488" s="25"/>
      <c r="M488" s="12"/>
      <c r="N488" s="118"/>
      <c r="O488" s="118"/>
      <c r="P488" s="118"/>
      <c r="Q488" s="118"/>
    </row>
    <row r="489" spans="2:17" ht="14.25" customHeight="1" x14ac:dyDescent="0.3">
      <c r="B489" s="23"/>
      <c r="D489" s="25"/>
      <c r="E489" s="25"/>
      <c r="M489" s="12"/>
      <c r="N489" s="118"/>
      <c r="O489" s="118"/>
      <c r="P489" s="118"/>
      <c r="Q489" s="118"/>
    </row>
    <row r="490" spans="2:17" ht="14.25" customHeight="1" x14ac:dyDescent="0.3">
      <c r="B490" s="23"/>
      <c r="D490" s="25"/>
      <c r="E490" s="25"/>
      <c r="M490" s="12"/>
      <c r="N490" s="118"/>
      <c r="O490" s="118"/>
      <c r="P490" s="118"/>
      <c r="Q490" s="118"/>
    </row>
    <row r="491" spans="2:17" ht="14.25" customHeight="1" x14ac:dyDescent="0.3">
      <c r="B491" s="23"/>
      <c r="D491" s="25"/>
      <c r="E491" s="25"/>
      <c r="M491" s="12"/>
      <c r="N491" s="118"/>
      <c r="O491" s="118"/>
      <c r="P491" s="118"/>
      <c r="Q491" s="118"/>
    </row>
    <row r="492" spans="2:17" ht="14.25" customHeight="1" x14ac:dyDescent="0.3">
      <c r="B492" s="23"/>
      <c r="D492" s="25"/>
      <c r="E492" s="25"/>
      <c r="M492" s="12"/>
      <c r="N492" s="118"/>
      <c r="O492" s="118"/>
      <c r="P492" s="118"/>
      <c r="Q492" s="118"/>
    </row>
    <row r="493" spans="2:17" ht="14.25" customHeight="1" x14ac:dyDescent="0.3">
      <c r="B493" s="23"/>
      <c r="D493" s="25"/>
      <c r="E493" s="25"/>
      <c r="M493" s="12"/>
      <c r="N493" s="118"/>
      <c r="O493" s="118"/>
      <c r="P493" s="118"/>
      <c r="Q493" s="118"/>
    </row>
    <row r="494" spans="2:17" ht="14.25" customHeight="1" x14ac:dyDescent="0.3">
      <c r="B494" s="23"/>
      <c r="D494" s="25"/>
      <c r="E494" s="25"/>
      <c r="M494" s="12"/>
      <c r="N494" s="118"/>
      <c r="O494" s="118"/>
      <c r="P494" s="118"/>
      <c r="Q494" s="118"/>
    </row>
    <row r="495" spans="2:17" ht="14.25" customHeight="1" x14ac:dyDescent="0.3">
      <c r="B495" s="23"/>
      <c r="D495" s="25"/>
      <c r="E495" s="25"/>
      <c r="M495" s="12"/>
      <c r="N495" s="118"/>
      <c r="O495" s="118"/>
      <c r="P495" s="118"/>
      <c r="Q495" s="118"/>
    </row>
    <row r="496" spans="2:17" ht="14.25" customHeight="1" x14ac:dyDescent="0.3">
      <c r="B496" s="23"/>
      <c r="D496" s="25"/>
      <c r="E496" s="25"/>
      <c r="M496" s="12"/>
      <c r="N496" s="118"/>
      <c r="O496" s="118"/>
      <c r="P496" s="118"/>
      <c r="Q496" s="118"/>
    </row>
    <row r="497" spans="2:17" ht="14.25" customHeight="1" x14ac:dyDescent="0.3">
      <c r="B497" s="23"/>
      <c r="D497" s="25"/>
      <c r="E497" s="25"/>
      <c r="M497" s="12"/>
      <c r="N497" s="118"/>
      <c r="O497" s="118"/>
      <c r="P497" s="118"/>
      <c r="Q497" s="118"/>
    </row>
    <row r="498" spans="2:17" ht="14.25" customHeight="1" x14ac:dyDescent="0.3">
      <c r="B498" s="23"/>
      <c r="D498" s="25"/>
      <c r="E498" s="25"/>
      <c r="M498" s="12"/>
      <c r="N498" s="118"/>
      <c r="O498" s="118"/>
      <c r="P498" s="118"/>
      <c r="Q498" s="118"/>
    </row>
    <row r="499" spans="2:17" ht="14.25" customHeight="1" x14ac:dyDescent="0.3">
      <c r="B499" s="23"/>
      <c r="D499" s="25"/>
      <c r="E499" s="25"/>
      <c r="M499" s="12"/>
      <c r="N499" s="118"/>
      <c r="O499" s="118"/>
      <c r="P499" s="118"/>
      <c r="Q499" s="118"/>
    </row>
    <row r="500" spans="2:17" ht="14.25" customHeight="1" x14ac:dyDescent="0.3">
      <c r="B500" s="23"/>
      <c r="D500" s="25"/>
      <c r="E500" s="25"/>
      <c r="M500" s="12"/>
      <c r="N500" s="118"/>
      <c r="O500" s="118"/>
      <c r="P500" s="118"/>
      <c r="Q500" s="118"/>
    </row>
    <row r="501" spans="2:17" ht="14.25" customHeight="1" x14ac:dyDescent="0.3">
      <c r="B501" s="23"/>
      <c r="D501" s="25"/>
      <c r="E501" s="25"/>
      <c r="M501" s="12"/>
      <c r="N501" s="118"/>
      <c r="O501" s="118"/>
      <c r="P501" s="118"/>
      <c r="Q501" s="118"/>
    </row>
    <row r="502" spans="2:17" ht="14.25" customHeight="1" x14ac:dyDescent="0.3">
      <c r="B502" s="23"/>
      <c r="D502" s="25"/>
      <c r="E502" s="25"/>
      <c r="M502" s="12"/>
      <c r="N502" s="118"/>
      <c r="O502" s="118"/>
      <c r="P502" s="118"/>
      <c r="Q502" s="118"/>
    </row>
    <row r="503" spans="2:17" ht="14.25" customHeight="1" x14ac:dyDescent="0.3">
      <c r="B503" s="23"/>
      <c r="D503" s="25"/>
      <c r="E503" s="25"/>
      <c r="M503" s="12"/>
      <c r="N503" s="118"/>
      <c r="O503" s="118"/>
      <c r="P503" s="118"/>
      <c r="Q503" s="118"/>
    </row>
    <row r="504" spans="2:17" ht="14.25" customHeight="1" x14ac:dyDescent="0.3">
      <c r="B504" s="23"/>
      <c r="D504" s="25"/>
      <c r="E504" s="25"/>
      <c r="M504" s="12"/>
      <c r="N504" s="118"/>
      <c r="O504" s="118"/>
      <c r="P504" s="118"/>
      <c r="Q504" s="118"/>
    </row>
    <row r="505" spans="2:17" ht="14.25" customHeight="1" x14ac:dyDescent="0.3">
      <c r="B505" s="23"/>
      <c r="D505" s="25"/>
      <c r="E505" s="25"/>
      <c r="M505" s="12"/>
      <c r="N505" s="118"/>
      <c r="O505" s="118"/>
      <c r="P505" s="118"/>
      <c r="Q505" s="118"/>
    </row>
    <row r="506" spans="2:17" ht="14.25" customHeight="1" x14ac:dyDescent="0.3">
      <c r="B506" s="23"/>
      <c r="D506" s="25"/>
      <c r="E506" s="25"/>
      <c r="M506" s="12"/>
      <c r="N506" s="118"/>
      <c r="O506" s="118"/>
      <c r="P506" s="118"/>
      <c r="Q506" s="118"/>
    </row>
    <row r="507" spans="2:17" ht="14.25" customHeight="1" x14ac:dyDescent="0.3">
      <c r="B507" s="23"/>
      <c r="D507" s="25"/>
      <c r="E507" s="25"/>
      <c r="M507" s="12"/>
      <c r="N507" s="118"/>
      <c r="O507" s="118"/>
      <c r="P507" s="118"/>
      <c r="Q507" s="118"/>
    </row>
    <row r="508" spans="2:17" ht="14.25" customHeight="1" x14ac:dyDescent="0.3">
      <c r="B508" s="23"/>
      <c r="D508" s="25"/>
      <c r="E508" s="25"/>
      <c r="M508" s="12"/>
      <c r="N508" s="118"/>
      <c r="O508" s="118"/>
      <c r="P508" s="118"/>
      <c r="Q508" s="118"/>
    </row>
    <row r="509" spans="2:17" ht="14.25" customHeight="1" x14ac:dyDescent="0.3">
      <c r="B509" s="23"/>
      <c r="D509" s="25"/>
      <c r="E509" s="25"/>
      <c r="M509" s="12"/>
      <c r="N509" s="118"/>
      <c r="O509" s="118"/>
      <c r="P509" s="118"/>
      <c r="Q509" s="118"/>
    </row>
    <row r="510" spans="2:17" ht="14.25" customHeight="1" x14ac:dyDescent="0.3">
      <c r="B510" s="23"/>
      <c r="D510" s="25"/>
      <c r="E510" s="25"/>
      <c r="M510" s="12"/>
      <c r="N510" s="118"/>
      <c r="O510" s="118"/>
      <c r="P510" s="118"/>
      <c r="Q510" s="118"/>
    </row>
    <row r="511" spans="2:17" ht="14.25" customHeight="1" x14ac:dyDescent="0.3">
      <c r="B511" s="23"/>
      <c r="D511" s="25"/>
      <c r="E511" s="25"/>
      <c r="M511" s="12"/>
      <c r="N511" s="118"/>
      <c r="O511" s="118"/>
      <c r="P511" s="118"/>
      <c r="Q511" s="118"/>
    </row>
    <row r="512" spans="2:17" ht="14.25" customHeight="1" x14ac:dyDescent="0.3">
      <c r="B512" s="23"/>
      <c r="D512" s="25"/>
      <c r="E512" s="25"/>
      <c r="M512" s="12"/>
      <c r="N512" s="118"/>
      <c r="O512" s="118"/>
      <c r="P512" s="118"/>
      <c r="Q512" s="118"/>
    </row>
    <row r="513" spans="2:17" ht="14.25" customHeight="1" x14ac:dyDescent="0.3">
      <c r="B513" s="23"/>
      <c r="D513" s="25"/>
      <c r="E513" s="25"/>
      <c r="M513" s="12"/>
      <c r="N513" s="118"/>
      <c r="O513" s="118"/>
      <c r="P513" s="118"/>
      <c r="Q513" s="118"/>
    </row>
    <row r="514" spans="2:17" ht="14.25" customHeight="1" x14ac:dyDescent="0.3">
      <c r="B514" s="23"/>
      <c r="D514" s="25"/>
      <c r="E514" s="25"/>
      <c r="M514" s="12"/>
      <c r="N514" s="118"/>
      <c r="O514" s="118"/>
      <c r="P514" s="118"/>
      <c r="Q514" s="118"/>
    </row>
    <row r="515" spans="2:17" ht="14.25" customHeight="1" x14ac:dyDescent="0.3">
      <c r="B515" s="23"/>
      <c r="D515" s="25"/>
      <c r="E515" s="25"/>
      <c r="M515" s="12"/>
      <c r="N515" s="118"/>
      <c r="O515" s="118"/>
      <c r="P515" s="118"/>
      <c r="Q515" s="118"/>
    </row>
    <row r="516" spans="2:17" ht="14.25" customHeight="1" x14ac:dyDescent="0.3">
      <c r="B516" s="23"/>
      <c r="D516" s="25"/>
      <c r="E516" s="25"/>
      <c r="M516" s="12"/>
      <c r="N516" s="118"/>
      <c r="O516" s="118"/>
      <c r="P516" s="118"/>
      <c r="Q516" s="118"/>
    </row>
    <row r="517" spans="2:17" ht="14.25" customHeight="1" x14ac:dyDescent="0.3">
      <c r="B517" s="23"/>
      <c r="D517" s="25"/>
      <c r="E517" s="25"/>
      <c r="M517" s="12"/>
      <c r="N517" s="118"/>
      <c r="O517" s="118"/>
      <c r="P517" s="118"/>
      <c r="Q517" s="118"/>
    </row>
    <row r="518" spans="2:17" ht="14.25" customHeight="1" x14ac:dyDescent="0.3">
      <c r="B518" s="23"/>
      <c r="D518" s="25"/>
      <c r="E518" s="25"/>
      <c r="M518" s="12"/>
      <c r="N518" s="118"/>
      <c r="O518" s="118"/>
      <c r="P518" s="118"/>
      <c r="Q518" s="118"/>
    </row>
    <row r="519" spans="2:17" ht="14.25" customHeight="1" x14ac:dyDescent="0.3">
      <c r="B519" s="23"/>
      <c r="D519" s="25"/>
      <c r="E519" s="25"/>
      <c r="M519" s="12"/>
      <c r="N519" s="118"/>
      <c r="O519" s="118"/>
      <c r="P519" s="118"/>
      <c r="Q519" s="118"/>
    </row>
    <row r="520" spans="2:17" ht="14.25" customHeight="1" x14ac:dyDescent="0.3">
      <c r="B520" s="23"/>
      <c r="D520" s="25"/>
      <c r="E520" s="25"/>
      <c r="M520" s="12"/>
      <c r="N520" s="118"/>
      <c r="O520" s="118"/>
      <c r="P520" s="118"/>
      <c r="Q520" s="118"/>
    </row>
    <row r="521" spans="2:17" ht="14.25" customHeight="1" x14ac:dyDescent="0.3">
      <c r="B521" s="23"/>
      <c r="D521" s="25"/>
      <c r="E521" s="25"/>
      <c r="M521" s="12"/>
      <c r="N521" s="118"/>
      <c r="O521" s="118"/>
      <c r="P521" s="118"/>
      <c r="Q521" s="118"/>
    </row>
    <row r="522" spans="2:17" ht="14.25" customHeight="1" x14ac:dyDescent="0.3">
      <c r="B522" s="23"/>
      <c r="D522" s="25"/>
      <c r="E522" s="25"/>
      <c r="M522" s="12"/>
      <c r="N522" s="118"/>
      <c r="O522" s="118"/>
      <c r="P522" s="118"/>
      <c r="Q522" s="118"/>
    </row>
    <row r="523" spans="2:17" ht="14.25" customHeight="1" x14ac:dyDescent="0.3">
      <c r="B523" s="23"/>
      <c r="D523" s="25"/>
      <c r="E523" s="25"/>
      <c r="M523" s="12"/>
      <c r="N523" s="118"/>
      <c r="O523" s="118"/>
      <c r="P523" s="118"/>
      <c r="Q523" s="118"/>
    </row>
    <row r="524" spans="2:17" ht="14.25" customHeight="1" x14ac:dyDescent="0.3">
      <c r="B524" s="23"/>
      <c r="D524" s="25"/>
      <c r="E524" s="25"/>
      <c r="M524" s="12"/>
      <c r="N524" s="118"/>
      <c r="O524" s="118"/>
      <c r="P524" s="118"/>
      <c r="Q524" s="118"/>
    </row>
    <row r="525" spans="2:17" ht="14.25" customHeight="1" x14ac:dyDescent="0.3">
      <c r="B525" s="23"/>
      <c r="D525" s="25"/>
      <c r="E525" s="25"/>
      <c r="M525" s="12"/>
      <c r="N525" s="118"/>
      <c r="O525" s="118"/>
      <c r="P525" s="118"/>
      <c r="Q525" s="118"/>
    </row>
    <row r="526" spans="2:17" ht="14.25" customHeight="1" x14ac:dyDescent="0.3">
      <c r="B526" s="23"/>
      <c r="D526" s="25"/>
      <c r="E526" s="25"/>
      <c r="M526" s="12"/>
      <c r="N526" s="118"/>
      <c r="O526" s="118"/>
      <c r="P526" s="118"/>
      <c r="Q526" s="118"/>
    </row>
    <row r="527" spans="2:17" ht="14.25" customHeight="1" x14ac:dyDescent="0.3">
      <c r="B527" s="23"/>
      <c r="D527" s="25"/>
      <c r="E527" s="25"/>
      <c r="M527" s="12"/>
      <c r="N527" s="118"/>
      <c r="O527" s="118"/>
      <c r="P527" s="118"/>
      <c r="Q527" s="118"/>
    </row>
    <row r="528" spans="2:17" ht="14.25" customHeight="1" x14ac:dyDescent="0.3">
      <c r="B528" s="23"/>
      <c r="D528" s="25"/>
      <c r="E528" s="25"/>
      <c r="M528" s="12"/>
      <c r="N528" s="118"/>
      <c r="O528" s="118"/>
      <c r="P528" s="118"/>
      <c r="Q528" s="118"/>
    </row>
    <row r="529" spans="2:17" ht="14.25" customHeight="1" x14ac:dyDescent="0.3">
      <c r="B529" s="23"/>
      <c r="D529" s="25"/>
      <c r="E529" s="25"/>
      <c r="M529" s="12"/>
      <c r="N529" s="118"/>
      <c r="O529" s="118"/>
      <c r="P529" s="118"/>
      <c r="Q529" s="118"/>
    </row>
    <row r="530" spans="2:17" ht="14.25" customHeight="1" x14ac:dyDescent="0.3">
      <c r="B530" s="23"/>
      <c r="D530" s="25"/>
      <c r="E530" s="25"/>
      <c r="M530" s="12"/>
      <c r="N530" s="118"/>
      <c r="O530" s="118"/>
      <c r="P530" s="118"/>
      <c r="Q530" s="118"/>
    </row>
    <row r="531" spans="2:17" ht="14.25" customHeight="1" x14ac:dyDescent="0.3">
      <c r="B531" s="23"/>
      <c r="D531" s="25"/>
      <c r="E531" s="25"/>
      <c r="M531" s="12"/>
      <c r="N531" s="118"/>
      <c r="O531" s="118"/>
      <c r="P531" s="118"/>
      <c r="Q531" s="118"/>
    </row>
    <row r="532" spans="2:17" ht="14.25" customHeight="1" x14ac:dyDescent="0.3">
      <c r="B532" s="23"/>
      <c r="D532" s="25"/>
      <c r="E532" s="25"/>
      <c r="M532" s="12"/>
      <c r="N532" s="118"/>
      <c r="O532" s="118"/>
      <c r="P532" s="118"/>
      <c r="Q532" s="118"/>
    </row>
    <row r="533" spans="2:17" ht="14.25" customHeight="1" x14ac:dyDescent="0.3">
      <c r="B533" s="23"/>
      <c r="D533" s="25"/>
      <c r="E533" s="25"/>
      <c r="M533" s="12"/>
      <c r="N533" s="118"/>
      <c r="O533" s="118"/>
      <c r="P533" s="118"/>
      <c r="Q533" s="118"/>
    </row>
    <row r="534" spans="2:17" ht="14.25" customHeight="1" x14ac:dyDescent="0.3">
      <c r="B534" s="23"/>
      <c r="D534" s="25"/>
      <c r="E534" s="25"/>
      <c r="M534" s="12"/>
      <c r="N534" s="118"/>
      <c r="O534" s="118"/>
      <c r="P534" s="118"/>
      <c r="Q534" s="118"/>
    </row>
    <row r="535" spans="2:17" ht="14.25" customHeight="1" x14ac:dyDescent="0.3">
      <c r="B535" s="23"/>
      <c r="D535" s="25"/>
      <c r="E535" s="25"/>
      <c r="M535" s="12"/>
      <c r="N535" s="118"/>
      <c r="O535" s="118"/>
      <c r="P535" s="118"/>
      <c r="Q535" s="118"/>
    </row>
    <row r="536" spans="2:17" ht="14.25" customHeight="1" x14ac:dyDescent="0.3">
      <c r="B536" s="23"/>
      <c r="D536" s="25"/>
      <c r="E536" s="25"/>
      <c r="M536" s="12"/>
      <c r="N536" s="118"/>
      <c r="O536" s="118"/>
      <c r="P536" s="118"/>
      <c r="Q536" s="118"/>
    </row>
    <row r="537" spans="2:17" ht="14.25" customHeight="1" x14ac:dyDescent="0.3">
      <c r="B537" s="23"/>
      <c r="D537" s="25"/>
      <c r="E537" s="25"/>
      <c r="M537" s="12"/>
      <c r="N537" s="118"/>
      <c r="O537" s="118"/>
      <c r="P537" s="118"/>
      <c r="Q537" s="118"/>
    </row>
    <row r="538" spans="2:17" ht="14.25" customHeight="1" x14ac:dyDescent="0.3">
      <c r="B538" s="23"/>
      <c r="D538" s="25"/>
      <c r="E538" s="25"/>
      <c r="M538" s="12"/>
      <c r="N538" s="118"/>
      <c r="O538" s="118"/>
      <c r="P538" s="118"/>
      <c r="Q538" s="118"/>
    </row>
    <row r="539" spans="2:17" ht="14.25" customHeight="1" x14ac:dyDescent="0.3">
      <c r="B539" s="23"/>
      <c r="D539" s="25"/>
      <c r="E539" s="25"/>
      <c r="M539" s="12"/>
      <c r="N539" s="118"/>
      <c r="O539" s="118"/>
      <c r="P539" s="118"/>
      <c r="Q539" s="118"/>
    </row>
    <row r="540" spans="2:17" ht="14.25" customHeight="1" x14ac:dyDescent="0.3">
      <c r="B540" s="23"/>
      <c r="D540" s="25"/>
      <c r="E540" s="25"/>
      <c r="M540" s="12"/>
      <c r="N540" s="118"/>
      <c r="O540" s="118"/>
      <c r="P540" s="118"/>
      <c r="Q540" s="118"/>
    </row>
    <row r="541" spans="2:17" ht="14.25" customHeight="1" x14ac:dyDescent="0.3">
      <c r="B541" s="23"/>
      <c r="D541" s="25"/>
      <c r="E541" s="25"/>
      <c r="M541" s="12"/>
      <c r="N541" s="118"/>
      <c r="O541" s="118"/>
      <c r="P541" s="118"/>
      <c r="Q541" s="118"/>
    </row>
    <row r="542" spans="2:17" ht="14.25" customHeight="1" x14ac:dyDescent="0.3">
      <c r="B542" s="23"/>
      <c r="D542" s="25"/>
      <c r="E542" s="25"/>
      <c r="M542" s="12"/>
      <c r="N542" s="118"/>
      <c r="O542" s="118"/>
      <c r="P542" s="118"/>
      <c r="Q542" s="118"/>
    </row>
    <row r="543" spans="2:17" ht="14.25" customHeight="1" x14ac:dyDescent="0.3">
      <c r="B543" s="23"/>
      <c r="D543" s="25"/>
      <c r="E543" s="25"/>
      <c r="M543" s="12"/>
      <c r="N543" s="118"/>
      <c r="O543" s="118"/>
      <c r="P543" s="118"/>
      <c r="Q543" s="118"/>
    </row>
    <row r="544" spans="2:17" ht="14.25" customHeight="1" x14ac:dyDescent="0.3">
      <c r="B544" s="23"/>
      <c r="D544" s="25"/>
      <c r="E544" s="25"/>
      <c r="M544" s="12"/>
      <c r="N544" s="118"/>
      <c r="O544" s="118"/>
      <c r="P544" s="118"/>
      <c r="Q544" s="118"/>
    </row>
    <row r="545" spans="2:17" ht="14.25" customHeight="1" x14ac:dyDescent="0.3">
      <c r="B545" s="23"/>
      <c r="D545" s="25"/>
      <c r="E545" s="25"/>
      <c r="M545" s="12"/>
      <c r="N545" s="118"/>
      <c r="O545" s="118"/>
      <c r="P545" s="118"/>
      <c r="Q545" s="118"/>
    </row>
    <row r="546" spans="2:17" ht="14.25" customHeight="1" x14ac:dyDescent="0.3">
      <c r="B546" s="23"/>
      <c r="D546" s="25"/>
      <c r="E546" s="25"/>
      <c r="M546" s="12"/>
      <c r="N546" s="118"/>
      <c r="O546" s="118"/>
      <c r="P546" s="118"/>
      <c r="Q546" s="118"/>
    </row>
    <row r="547" spans="2:17" ht="14.25" customHeight="1" x14ac:dyDescent="0.3">
      <c r="B547" s="23"/>
      <c r="D547" s="25"/>
      <c r="E547" s="25"/>
      <c r="M547" s="12"/>
      <c r="N547" s="118"/>
      <c r="O547" s="118"/>
      <c r="P547" s="118"/>
      <c r="Q547" s="118"/>
    </row>
    <row r="548" spans="2:17" ht="14.25" customHeight="1" x14ac:dyDescent="0.3">
      <c r="B548" s="23"/>
      <c r="D548" s="25"/>
      <c r="E548" s="25"/>
      <c r="M548" s="12"/>
      <c r="N548" s="118"/>
      <c r="O548" s="118"/>
      <c r="P548" s="118"/>
      <c r="Q548" s="118"/>
    </row>
    <row r="549" spans="2:17" ht="14.25" customHeight="1" x14ac:dyDescent="0.3">
      <c r="B549" s="23"/>
      <c r="D549" s="25"/>
      <c r="E549" s="25"/>
      <c r="M549" s="12"/>
      <c r="N549" s="118"/>
      <c r="O549" s="118"/>
      <c r="P549" s="118"/>
      <c r="Q549" s="118"/>
    </row>
    <row r="550" spans="2:17" ht="14.25" customHeight="1" x14ac:dyDescent="0.3">
      <c r="B550" s="23"/>
      <c r="D550" s="25"/>
      <c r="E550" s="25"/>
      <c r="M550" s="12"/>
      <c r="N550" s="118"/>
      <c r="O550" s="118"/>
      <c r="P550" s="118"/>
      <c r="Q550" s="118"/>
    </row>
    <row r="551" spans="2:17" ht="14.25" customHeight="1" x14ac:dyDescent="0.3">
      <c r="B551" s="23"/>
      <c r="D551" s="25"/>
      <c r="E551" s="25"/>
      <c r="M551" s="12"/>
      <c r="N551" s="118"/>
      <c r="O551" s="118"/>
      <c r="P551" s="118"/>
      <c r="Q551" s="118"/>
    </row>
    <row r="552" spans="2:17" ht="14.25" customHeight="1" x14ac:dyDescent="0.3">
      <c r="B552" s="23"/>
      <c r="D552" s="25"/>
      <c r="E552" s="25"/>
      <c r="M552" s="12"/>
      <c r="N552" s="118"/>
      <c r="O552" s="118"/>
      <c r="P552" s="118"/>
      <c r="Q552" s="118"/>
    </row>
    <row r="553" spans="2:17" ht="14.25" customHeight="1" x14ac:dyDescent="0.3">
      <c r="B553" s="23"/>
      <c r="D553" s="25"/>
      <c r="E553" s="25"/>
      <c r="M553" s="12"/>
      <c r="N553" s="118"/>
      <c r="O553" s="118"/>
      <c r="P553" s="118"/>
      <c r="Q553" s="118"/>
    </row>
    <row r="554" spans="2:17" ht="14.25" customHeight="1" x14ac:dyDescent="0.3">
      <c r="B554" s="23"/>
      <c r="D554" s="25"/>
      <c r="E554" s="25"/>
      <c r="M554" s="12"/>
      <c r="N554" s="118"/>
      <c r="O554" s="118"/>
      <c r="P554" s="118"/>
      <c r="Q554" s="118"/>
    </row>
    <row r="555" spans="2:17" ht="14.25" customHeight="1" x14ac:dyDescent="0.3">
      <c r="B555" s="23"/>
      <c r="D555" s="25"/>
      <c r="E555" s="25"/>
      <c r="M555" s="12"/>
      <c r="N555" s="118"/>
      <c r="O555" s="118"/>
      <c r="P555" s="118"/>
      <c r="Q555" s="118"/>
    </row>
    <row r="556" spans="2:17" ht="14.25" customHeight="1" x14ac:dyDescent="0.3">
      <c r="B556" s="23"/>
      <c r="D556" s="25"/>
      <c r="E556" s="25"/>
      <c r="M556" s="12"/>
      <c r="N556" s="118"/>
      <c r="O556" s="118"/>
      <c r="P556" s="118"/>
      <c r="Q556" s="118"/>
    </row>
    <row r="557" spans="2:17" ht="14.25" customHeight="1" x14ac:dyDescent="0.3">
      <c r="B557" s="23"/>
      <c r="D557" s="25"/>
      <c r="E557" s="25"/>
      <c r="M557" s="12"/>
      <c r="N557" s="118"/>
      <c r="O557" s="118"/>
      <c r="P557" s="118"/>
      <c r="Q557" s="118"/>
    </row>
    <row r="558" spans="2:17" ht="14.25" customHeight="1" x14ac:dyDescent="0.3">
      <c r="B558" s="23"/>
      <c r="D558" s="25"/>
      <c r="E558" s="25"/>
      <c r="M558" s="12"/>
      <c r="N558" s="118"/>
      <c r="O558" s="118"/>
      <c r="P558" s="118"/>
      <c r="Q558" s="118"/>
    </row>
    <row r="559" spans="2:17" ht="14.25" customHeight="1" x14ac:dyDescent="0.3">
      <c r="B559" s="23"/>
      <c r="D559" s="25"/>
      <c r="E559" s="25"/>
      <c r="M559" s="12"/>
      <c r="N559" s="118"/>
      <c r="O559" s="118"/>
      <c r="P559" s="118"/>
      <c r="Q559" s="118"/>
    </row>
    <row r="560" spans="2:17" ht="14.25" customHeight="1" x14ac:dyDescent="0.3">
      <c r="B560" s="23"/>
      <c r="D560" s="25"/>
      <c r="E560" s="25"/>
      <c r="M560" s="12"/>
      <c r="N560" s="118"/>
      <c r="O560" s="118"/>
      <c r="P560" s="118"/>
      <c r="Q560" s="118"/>
    </row>
    <row r="561" spans="2:17" ht="14.25" customHeight="1" x14ac:dyDescent="0.3">
      <c r="B561" s="23"/>
      <c r="D561" s="25"/>
      <c r="E561" s="25"/>
      <c r="M561" s="12"/>
      <c r="N561" s="118"/>
      <c r="O561" s="118"/>
      <c r="P561" s="118"/>
      <c r="Q561" s="118"/>
    </row>
    <row r="562" spans="2:17" ht="14.25" customHeight="1" x14ac:dyDescent="0.3">
      <c r="B562" s="23"/>
      <c r="D562" s="25"/>
      <c r="E562" s="25"/>
      <c r="M562" s="12"/>
      <c r="N562" s="118"/>
      <c r="O562" s="118"/>
      <c r="P562" s="118"/>
      <c r="Q562" s="118"/>
    </row>
    <row r="563" spans="2:17" ht="14.25" customHeight="1" x14ac:dyDescent="0.3">
      <c r="B563" s="23"/>
      <c r="D563" s="25"/>
      <c r="E563" s="25"/>
      <c r="M563" s="12"/>
      <c r="N563" s="118"/>
      <c r="O563" s="118"/>
      <c r="P563" s="118"/>
      <c r="Q563" s="118"/>
    </row>
    <row r="564" spans="2:17" ht="14.25" customHeight="1" x14ac:dyDescent="0.3">
      <c r="B564" s="23"/>
      <c r="D564" s="25"/>
      <c r="E564" s="25"/>
      <c r="M564" s="12"/>
      <c r="N564" s="118"/>
      <c r="O564" s="118"/>
      <c r="P564" s="118"/>
      <c r="Q564" s="118"/>
    </row>
    <row r="565" spans="2:17" ht="14.25" customHeight="1" x14ac:dyDescent="0.3">
      <c r="B565" s="23"/>
      <c r="D565" s="25"/>
      <c r="E565" s="25"/>
      <c r="M565" s="12"/>
      <c r="N565" s="118"/>
      <c r="O565" s="118"/>
      <c r="P565" s="118"/>
      <c r="Q565" s="118"/>
    </row>
    <row r="566" spans="2:17" ht="14.25" customHeight="1" x14ac:dyDescent="0.3">
      <c r="B566" s="23"/>
      <c r="D566" s="25"/>
      <c r="E566" s="25"/>
      <c r="M566" s="12"/>
      <c r="N566" s="118"/>
      <c r="O566" s="118"/>
      <c r="P566" s="118"/>
      <c r="Q566" s="118"/>
    </row>
    <row r="567" spans="2:17" ht="14.25" customHeight="1" x14ac:dyDescent="0.3">
      <c r="B567" s="23"/>
      <c r="D567" s="25"/>
      <c r="E567" s="25"/>
      <c r="M567" s="12"/>
      <c r="N567" s="118"/>
      <c r="O567" s="118"/>
      <c r="P567" s="118"/>
      <c r="Q567" s="118"/>
    </row>
    <row r="568" spans="2:17" ht="14.25" customHeight="1" x14ac:dyDescent="0.3">
      <c r="B568" s="23"/>
      <c r="D568" s="25"/>
      <c r="E568" s="25"/>
      <c r="M568" s="12"/>
      <c r="N568" s="118"/>
      <c r="O568" s="118"/>
      <c r="P568" s="118"/>
      <c r="Q568" s="118"/>
    </row>
    <row r="569" spans="2:17" ht="14.25" customHeight="1" x14ac:dyDescent="0.3">
      <c r="B569" s="23"/>
      <c r="D569" s="25"/>
      <c r="E569" s="25"/>
      <c r="M569" s="12"/>
      <c r="N569" s="118"/>
      <c r="O569" s="118"/>
      <c r="P569" s="118"/>
      <c r="Q569" s="118"/>
    </row>
    <row r="570" spans="2:17" ht="14.25" customHeight="1" x14ac:dyDescent="0.3">
      <c r="B570" s="23"/>
      <c r="D570" s="25"/>
      <c r="E570" s="25"/>
      <c r="M570" s="12"/>
      <c r="N570" s="118"/>
      <c r="O570" s="118"/>
      <c r="P570" s="118"/>
      <c r="Q570" s="118"/>
    </row>
    <row r="571" spans="2:17" ht="14.25" customHeight="1" x14ac:dyDescent="0.3">
      <c r="B571" s="23"/>
      <c r="D571" s="25"/>
      <c r="E571" s="25"/>
      <c r="M571" s="12"/>
      <c r="N571" s="118"/>
      <c r="O571" s="118"/>
      <c r="P571" s="118"/>
      <c r="Q571" s="118"/>
    </row>
    <row r="572" spans="2:17" ht="14.25" customHeight="1" x14ac:dyDescent="0.3">
      <c r="B572" s="23"/>
      <c r="D572" s="25"/>
      <c r="E572" s="25"/>
      <c r="M572" s="12"/>
      <c r="N572" s="118"/>
      <c r="O572" s="118"/>
      <c r="P572" s="118"/>
      <c r="Q572" s="118"/>
    </row>
    <row r="573" spans="2:17" ht="14.25" customHeight="1" x14ac:dyDescent="0.3">
      <c r="B573" s="23"/>
      <c r="D573" s="25"/>
      <c r="E573" s="25"/>
      <c r="M573" s="12"/>
      <c r="N573" s="118"/>
      <c r="O573" s="118"/>
      <c r="P573" s="118"/>
      <c r="Q573" s="118"/>
    </row>
    <row r="574" spans="2:17" ht="14.25" customHeight="1" x14ac:dyDescent="0.3">
      <c r="B574" s="23"/>
      <c r="D574" s="25"/>
      <c r="E574" s="25"/>
      <c r="M574" s="12"/>
      <c r="N574" s="118"/>
      <c r="O574" s="118"/>
      <c r="P574" s="118"/>
      <c r="Q574" s="118"/>
    </row>
    <row r="575" spans="2:17" ht="14.25" customHeight="1" x14ac:dyDescent="0.3">
      <c r="B575" s="23"/>
      <c r="D575" s="25"/>
      <c r="E575" s="25"/>
      <c r="M575" s="12"/>
      <c r="N575" s="118"/>
      <c r="O575" s="118"/>
      <c r="P575" s="118"/>
      <c r="Q575" s="118"/>
    </row>
    <row r="576" spans="2:17" ht="14.25" customHeight="1" x14ac:dyDescent="0.3">
      <c r="B576" s="23"/>
      <c r="D576" s="25"/>
      <c r="E576" s="25"/>
      <c r="M576" s="12"/>
      <c r="N576" s="118"/>
      <c r="O576" s="118"/>
      <c r="P576" s="118"/>
      <c r="Q576" s="118"/>
    </row>
    <row r="577" spans="2:17" ht="14.25" customHeight="1" x14ac:dyDescent="0.3">
      <c r="B577" s="23"/>
      <c r="D577" s="25"/>
      <c r="E577" s="25"/>
      <c r="M577" s="12"/>
      <c r="N577" s="118"/>
      <c r="O577" s="118"/>
      <c r="P577" s="118"/>
      <c r="Q577" s="118"/>
    </row>
    <row r="578" spans="2:17" ht="14.25" customHeight="1" x14ac:dyDescent="0.3">
      <c r="B578" s="23"/>
      <c r="D578" s="25"/>
      <c r="E578" s="25"/>
      <c r="M578" s="12"/>
      <c r="N578" s="118"/>
      <c r="O578" s="118"/>
      <c r="P578" s="118"/>
      <c r="Q578" s="118"/>
    </row>
    <row r="579" spans="2:17" ht="14.25" customHeight="1" x14ac:dyDescent="0.3">
      <c r="B579" s="23"/>
      <c r="D579" s="25"/>
      <c r="E579" s="25"/>
      <c r="M579" s="12"/>
      <c r="N579" s="118"/>
      <c r="O579" s="118"/>
      <c r="P579" s="118"/>
      <c r="Q579" s="118"/>
    </row>
    <row r="580" spans="2:17" ht="14.25" customHeight="1" x14ac:dyDescent="0.3">
      <c r="B580" s="23"/>
      <c r="D580" s="25"/>
      <c r="E580" s="25"/>
      <c r="M580" s="12"/>
      <c r="N580" s="118"/>
      <c r="O580" s="118"/>
      <c r="P580" s="118"/>
      <c r="Q580" s="118"/>
    </row>
    <row r="581" spans="2:17" ht="14.25" customHeight="1" x14ac:dyDescent="0.3">
      <c r="B581" s="23"/>
      <c r="D581" s="25"/>
      <c r="E581" s="25"/>
      <c r="M581" s="12"/>
      <c r="N581" s="118"/>
      <c r="O581" s="118"/>
      <c r="P581" s="118"/>
      <c r="Q581" s="118"/>
    </row>
    <row r="582" spans="2:17" ht="14.25" customHeight="1" x14ac:dyDescent="0.3">
      <c r="B582" s="23"/>
      <c r="D582" s="25"/>
      <c r="E582" s="25"/>
      <c r="M582" s="12"/>
      <c r="N582" s="118"/>
      <c r="O582" s="118"/>
      <c r="P582" s="118"/>
      <c r="Q582" s="118"/>
    </row>
    <row r="583" spans="2:17" ht="14.25" customHeight="1" x14ac:dyDescent="0.3">
      <c r="B583" s="23"/>
      <c r="D583" s="25"/>
      <c r="E583" s="25"/>
      <c r="M583" s="12"/>
      <c r="N583" s="118"/>
      <c r="O583" s="118"/>
      <c r="P583" s="118"/>
      <c r="Q583" s="118"/>
    </row>
    <row r="584" spans="2:17" ht="14.25" customHeight="1" x14ac:dyDescent="0.3">
      <c r="B584" s="23"/>
      <c r="D584" s="25"/>
      <c r="E584" s="25"/>
      <c r="M584" s="12"/>
      <c r="N584" s="118"/>
      <c r="O584" s="118"/>
      <c r="P584" s="118"/>
      <c r="Q584" s="118"/>
    </row>
    <row r="585" spans="2:17" ht="14.25" customHeight="1" x14ac:dyDescent="0.3">
      <c r="B585" s="23"/>
      <c r="D585" s="25"/>
      <c r="E585" s="25"/>
      <c r="M585" s="12"/>
      <c r="N585" s="118"/>
      <c r="O585" s="118"/>
      <c r="P585" s="118"/>
      <c r="Q585" s="118"/>
    </row>
    <row r="586" spans="2:17" ht="14.25" customHeight="1" x14ac:dyDescent="0.3">
      <c r="B586" s="23"/>
      <c r="D586" s="25"/>
      <c r="E586" s="25"/>
      <c r="M586" s="12"/>
      <c r="N586" s="118"/>
      <c r="O586" s="118"/>
      <c r="P586" s="118"/>
      <c r="Q586" s="118"/>
    </row>
    <row r="587" spans="2:17" ht="14.25" customHeight="1" x14ac:dyDescent="0.3">
      <c r="B587" s="23"/>
      <c r="D587" s="25"/>
      <c r="E587" s="25"/>
      <c r="M587" s="12"/>
      <c r="N587" s="118"/>
      <c r="O587" s="118"/>
      <c r="P587" s="118"/>
      <c r="Q587" s="118"/>
    </row>
    <row r="588" spans="2:17" ht="14.25" customHeight="1" x14ac:dyDescent="0.3">
      <c r="B588" s="23"/>
      <c r="D588" s="25"/>
      <c r="E588" s="25"/>
      <c r="M588" s="12"/>
      <c r="N588" s="118"/>
      <c r="O588" s="118"/>
      <c r="P588" s="118"/>
      <c r="Q588" s="118"/>
    </row>
    <row r="589" spans="2:17" ht="14.25" customHeight="1" x14ac:dyDescent="0.3">
      <c r="B589" s="23"/>
      <c r="D589" s="25"/>
      <c r="E589" s="25"/>
      <c r="M589" s="12"/>
      <c r="N589" s="118"/>
      <c r="O589" s="118"/>
      <c r="P589" s="118"/>
      <c r="Q589" s="118"/>
    </row>
    <row r="590" spans="2:17" ht="14.25" customHeight="1" x14ac:dyDescent="0.3">
      <c r="B590" s="23"/>
      <c r="D590" s="25"/>
      <c r="E590" s="25"/>
      <c r="M590" s="12"/>
      <c r="N590" s="118"/>
      <c r="O590" s="118"/>
      <c r="P590" s="118"/>
      <c r="Q590" s="118"/>
    </row>
    <row r="591" spans="2:17" ht="14.25" customHeight="1" x14ac:dyDescent="0.3">
      <c r="B591" s="23"/>
      <c r="D591" s="25"/>
      <c r="E591" s="25"/>
      <c r="M591" s="12"/>
      <c r="N591" s="118"/>
      <c r="O591" s="118"/>
      <c r="P591" s="118"/>
      <c r="Q591" s="118"/>
    </row>
    <row r="592" spans="2:17" ht="14.25" customHeight="1" x14ac:dyDescent="0.3">
      <c r="B592" s="23"/>
      <c r="D592" s="25"/>
      <c r="E592" s="25"/>
      <c r="M592" s="12"/>
      <c r="N592" s="118"/>
      <c r="O592" s="118"/>
      <c r="P592" s="118"/>
      <c r="Q592" s="118"/>
    </row>
    <row r="593" spans="2:17" ht="14.25" customHeight="1" x14ac:dyDescent="0.3">
      <c r="B593" s="23"/>
      <c r="D593" s="25"/>
      <c r="E593" s="25"/>
      <c r="M593" s="12"/>
      <c r="N593" s="118"/>
      <c r="O593" s="118"/>
      <c r="P593" s="118"/>
      <c r="Q593" s="118"/>
    </row>
    <row r="594" spans="2:17" ht="14.25" customHeight="1" x14ac:dyDescent="0.3">
      <c r="B594" s="23"/>
      <c r="D594" s="25"/>
      <c r="E594" s="25"/>
      <c r="M594" s="12"/>
      <c r="N594" s="118"/>
      <c r="O594" s="118"/>
      <c r="P594" s="118"/>
      <c r="Q594" s="118"/>
    </row>
    <row r="595" spans="2:17" ht="14.25" customHeight="1" x14ac:dyDescent="0.3">
      <c r="B595" s="23"/>
      <c r="D595" s="25"/>
      <c r="E595" s="25"/>
      <c r="M595" s="12"/>
      <c r="N595" s="118"/>
      <c r="O595" s="118"/>
      <c r="P595" s="118"/>
      <c r="Q595" s="118"/>
    </row>
    <row r="596" spans="2:17" ht="14.25" customHeight="1" x14ac:dyDescent="0.3">
      <c r="B596" s="23"/>
      <c r="D596" s="25"/>
      <c r="E596" s="25"/>
      <c r="M596" s="12"/>
      <c r="N596" s="118"/>
      <c r="O596" s="118"/>
      <c r="P596" s="118"/>
      <c r="Q596" s="118"/>
    </row>
    <row r="597" spans="2:17" ht="14.25" customHeight="1" x14ac:dyDescent="0.3">
      <c r="B597" s="23"/>
      <c r="D597" s="25"/>
      <c r="E597" s="25"/>
      <c r="M597" s="12"/>
      <c r="N597" s="118"/>
      <c r="O597" s="118"/>
      <c r="P597" s="118"/>
      <c r="Q597" s="118"/>
    </row>
    <row r="598" spans="2:17" ht="14.25" customHeight="1" x14ac:dyDescent="0.3">
      <c r="B598" s="23"/>
      <c r="D598" s="25"/>
      <c r="E598" s="25"/>
      <c r="M598" s="12"/>
      <c r="N598" s="118"/>
      <c r="O598" s="118"/>
      <c r="P598" s="118"/>
      <c r="Q598" s="118"/>
    </row>
    <row r="599" spans="2:17" ht="14.25" customHeight="1" x14ac:dyDescent="0.3">
      <c r="B599" s="23"/>
      <c r="D599" s="25"/>
      <c r="E599" s="25"/>
      <c r="M599" s="12"/>
      <c r="N599" s="118"/>
      <c r="O599" s="118"/>
      <c r="P599" s="118"/>
      <c r="Q599" s="118"/>
    </row>
    <row r="600" spans="2:17" ht="14.25" customHeight="1" x14ac:dyDescent="0.3">
      <c r="B600" s="23"/>
      <c r="D600" s="25"/>
      <c r="E600" s="25"/>
      <c r="M600" s="12"/>
      <c r="N600" s="118"/>
      <c r="O600" s="118"/>
      <c r="P600" s="118"/>
      <c r="Q600" s="118"/>
    </row>
    <row r="601" spans="2:17" ht="14.25" customHeight="1" x14ac:dyDescent="0.3">
      <c r="B601" s="23"/>
      <c r="D601" s="25"/>
      <c r="E601" s="25"/>
      <c r="M601" s="12"/>
      <c r="N601" s="118"/>
      <c r="O601" s="118"/>
      <c r="P601" s="118"/>
      <c r="Q601" s="118"/>
    </row>
    <row r="602" spans="2:17" ht="14.25" customHeight="1" x14ac:dyDescent="0.3">
      <c r="B602" s="23"/>
      <c r="D602" s="25"/>
      <c r="E602" s="25"/>
      <c r="M602" s="12"/>
      <c r="N602" s="118"/>
      <c r="O602" s="118"/>
      <c r="P602" s="118"/>
      <c r="Q602" s="118"/>
    </row>
    <row r="603" spans="2:17" ht="14.25" customHeight="1" x14ac:dyDescent="0.3">
      <c r="B603" s="23"/>
      <c r="D603" s="25"/>
      <c r="E603" s="25"/>
      <c r="M603" s="12"/>
      <c r="N603" s="118"/>
      <c r="O603" s="118"/>
      <c r="P603" s="118"/>
      <c r="Q603" s="118"/>
    </row>
    <row r="604" spans="2:17" ht="14.25" customHeight="1" x14ac:dyDescent="0.3">
      <c r="B604" s="23"/>
      <c r="D604" s="25"/>
      <c r="E604" s="25"/>
      <c r="M604" s="12"/>
      <c r="N604" s="118"/>
      <c r="O604" s="118"/>
      <c r="P604" s="118"/>
      <c r="Q604" s="118"/>
    </row>
    <row r="605" spans="2:17" ht="14.25" customHeight="1" x14ac:dyDescent="0.3">
      <c r="B605" s="23"/>
      <c r="D605" s="25"/>
      <c r="E605" s="25"/>
      <c r="M605" s="12"/>
      <c r="N605" s="118"/>
      <c r="O605" s="118"/>
      <c r="P605" s="118"/>
      <c r="Q605" s="118"/>
    </row>
    <row r="606" spans="2:17" ht="14.25" customHeight="1" x14ac:dyDescent="0.3">
      <c r="B606" s="23"/>
      <c r="D606" s="25"/>
      <c r="E606" s="25"/>
      <c r="M606" s="12"/>
      <c r="N606" s="118"/>
      <c r="O606" s="118"/>
      <c r="P606" s="118"/>
      <c r="Q606" s="118"/>
    </row>
    <row r="607" spans="2:17" ht="14.25" customHeight="1" x14ac:dyDescent="0.3">
      <c r="B607" s="23"/>
      <c r="D607" s="25"/>
      <c r="E607" s="25"/>
      <c r="M607" s="12"/>
      <c r="N607" s="118"/>
      <c r="O607" s="118"/>
      <c r="P607" s="118"/>
      <c r="Q607" s="118"/>
    </row>
    <row r="608" spans="2:17" ht="14.25" customHeight="1" x14ac:dyDescent="0.3">
      <c r="B608" s="23"/>
      <c r="D608" s="25"/>
      <c r="E608" s="25"/>
      <c r="M608" s="12"/>
      <c r="N608" s="118"/>
      <c r="O608" s="118"/>
      <c r="P608" s="118"/>
      <c r="Q608" s="118"/>
    </row>
    <row r="609" spans="2:17" ht="14.25" customHeight="1" x14ac:dyDescent="0.3">
      <c r="B609" s="23"/>
      <c r="D609" s="25"/>
      <c r="E609" s="25"/>
      <c r="M609" s="12"/>
      <c r="N609" s="118"/>
      <c r="O609" s="118"/>
      <c r="P609" s="118"/>
      <c r="Q609" s="118"/>
    </row>
    <row r="610" spans="2:17" ht="14.25" customHeight="1" x14ac:dyDescent="0.3">
      <c r="B610" s="23"/>
      <c r="D610" s="25"/>
      <c r="E610" s="25"/>
      <c r="M610" s="12"/>
      <c r="N610" s="118"/>
      <c r="O610" s="118"/>
      <c r="P610" s="118"/>
      <c r="Q610" s="118"/>
    </row>
    <row r="611" spans="2:17" ht="14.25" customHeight="1" x14ac:dyDescent="0.3">
      <c r="B611" s="23"/>
      <c r="D611" s="25"/>
      <c r="E611" s="25"/>
      <c r="M611" s="12"/>
      <c r="N611" s="118"/>
      <c r="O611" s="118"/>
      <c r="P611" s="118"/>
      <c r="Q611" s="118"/>
    </row>
    <row r="612" spans="2:17" ht="14.25" customHeight="1" x14ac:dyDescent="0.3">
      <c r="B612" s="23"/>
      <c r="D612" s="25"/>
      <c r="E612" s="25"/>
      <c r="M612" s="12"/>
      <c r="N612" s="118"/>
      <c r="O612" s="118"/>
      <c r="P612" s="118"/>
      <c r="Q612" s="118"/>
    </row>
    <row r="613" spans="2:17" ht="14.25" customHeight="1" x14ac:dyDescent="0.3">
      <c r="B613" s="23"/>
      <c r="D613" s="25"/>
      <c r="E613" s="25"/>
      <c r="M613" s="12"/>
      <c r="N613" s="118"/>
      <c r="O613" s="118"/>
      <c r="P613" s="118"/>
      <c r="Q613" s="118"/>
    </row>
    <row r="614" spans="2:17" ht="14.25" customHeight="1" x14ac:dyDescent="0.3">
      <c r="B614" s="23"/>
      <c r="D614" s="25"/>
      <c r="E614" s="25"/>
      <c r="M614" s="12"/>
      <c r="N614" s="118"/>
      <c r="O614" s="118"/>
      <c r="P614" s="118"/>
      <c r="Q614" s="118"/>
    </row>
    <row r="615" spans="2:17" ht="14.25" customHeight="1" x14ac:dyDescent="0.3">
      <c r="B615" s="23"/>
      <c r="D615" s="25"/>
      <c r="E615" s="25"/>
      <c r="M615" s="12"/>
      <c r="N615" s="118"/>
      <c r="O615" s="118"/>
      <c r="P615" s="118"/>
      <c r="Q615" s="118"/>
    </row>
    <row r="616" spans="2:17" ht="14.25" customHeight="1" x14ac:dyDescent="0.3">
      <c r="B616" s="23"/>
      <c r="D616" s="25"/>
      <c r="E616" s="25"/>
      <c r="M616" s="12"/>
      <c r="N616" s="118"/>
      <c r="O616" s="118"/>
      <c r="P616" s="118"/>
      <c r="Q616" s="118"/>
    </row>
    <row r="617" spans="2:17" ht="14.25" customHeight="1" x14ac:dyDescent="0.3">
      <c r="B617" s="23"/>
      <c r="D617" s="25"/>
      <c r="E617" s="25"/>
      <c r="M617" s="12"/>
      <c r="N617" s="118"/>
      <c r="O617" s="118"/>
      <c r="P617" s="118"/>
      <c r="Q617" s="118"/>
    </row>
    <row r="618" spans="2:17" ht="14.25" customHeight="1" x14ac:dyDescent="0.3">
      <c r="B618" s="23"/>
      <c r="D618" s="25"/>
      <c r="E618" s="25"/>
      <c r="M618" s="12"/>
      <c r="N618" s="118"/>
      <c r="O618" s="118"/>
      <c r="P618" s="118"/>
      <c r="Q618" s="118"/>
    </row>
    <row r="619" spans="2:17" ht="14.25" customHeight="1" x14ac:dyDescent="0.3">
      <c r="B619" s="23"/>
      <c r="D619" s="25"/>
      <c r="E619" s="25"/>
      <c r="M619" s="12"/>
      <c r="N619" s="118"/>
      <c r="O619" s="118"/>
      <c r="P619" s="118"/>
      <c r="Q619" s="118"/>
    </row>
    <row r="620" spans="2:17" ht="14.25" customHeight="1" x14ac:dyDescent="0.3">
      <c r="B620" s="23"/>
      <c r="D620" s="25"/>
      <c r="E620" s="25"/>
      <c r="M620" s="12"/>
      <c r="N620" s="118"/>
      <c r="O620" s="118"/>
      <c r="P620" s="118"/>
      <c r="Q620" s="118"/>
    </row>
    <row r="621" spans="2:17" ht="14.25" customHeight="1" x14ac:dyDescent="0.3">
      <c r="B621" s="23"/>
      <c r="D621" s="25"/>
      <c r="E621" s="25"/>
      <c r="M621" s="12"/>
      <c r="N621" s="118"/>
      <c r="O621" s="118"/>
      <c r="P621" s="118"/>
      <c r="Q621" s="118"/>
    </row>
    <row r="622" spans="2:17" ht="14.25" customHeight="1" x14ac:dyDescent="0.3">
      <c r="B622" s="23"/>
      <c r="D622" s="25"/>
      <c r="E622" s="25"/>
      <c r="M622" s="12"/>
      <c r="N622" s="118"/>
      <c r="O622" s="118"/>
      <c r="P622" s="118"/>
      <c r="Q622" s="118"/>
    </row>
    <row r="623" spans="2:17" ht="14.25" customHeight="1" x14ac:dyDescent="0.3">
      <c r="B623" s="23"/>
      <c r="D623" s="25"/>
      <c r="E623" s="25"/>
      <c r="M623" s="12"/>
      <c r="N623" s="118"/>
      <c r="O623" s="118"/>
      <c r="P623" s="118"/>
      <c r="Q623" s="118"/>
    </row>
    <row r="624" spans="2:17" ht="14.25" customHeight="1" x14ac:dyDescent="0.3">
      <c r="B624" s="23"/>
      <c r="D624" s="25"/>
      <c r="E624" s="25"/>
      <c r="M624" s="12"/>
      <c r="N624" s="118"/>
      <c r="O624" s="118"/>
      <c r="P624" s="118"/>
      <c r="Q624" s="118"/>
    </row>
    <row r="625" spans="2:17" ht="14.25" customHeight="1" x14ac:dyDescent="0.3">
      <c r="B625" s="23"/>
      <c r="D625" s="25"/>
      <c r="E625" s="25"/>
      <c r="M625" s="12"/>
      <c r="N625" s="118"/>
      <c r="O625" s="118"/>
      <c r="P625" s="118"/>
      <c r="Q625" s="118"/>
    </row>
    <row r="626" spans="2:17" ht="14.25" customHeight="1" x14ac:dyDescent="0.3">
      <c r="B626" s="23"/>
      <c r="D626" s="25"/>
      <c r="E626" s="25"/>
      <c r="M626" s="12"/>
      <c r="N626" s="118"/>
      <c r="O626" s="118"/>
      <c r="P626" s="118"/>
      <c r="Q626" s="118"/>
    </row>
    <row r="627" spans="2:17" ht="14.25" customHeight="1" x14ac:dyDescent="0.3">
      <c r="B627" s="23"/>
      <c r="D627" s="25"/>
      <c r="E627" s="25"/>
      <c r="M627" s="12"/>
      <c r="N627" s="118"/>
      <c r="O627" s="118"/>
      <c r="P627" s="118"/>
      <c r="Q627" s="118"/>
    </row>
    <row r="628" spans="2:17" ht="14.25" customHeight="1" x14ac:dyDescent="0.3">
      <c r="B628" s="23"/>
      <c r="D628" s="25"/>
      <c r="E628" s="25"/>
      <c r="M628" s="12"/>
      <c r="N628" s="118"/>
      <c r="O628" s="118"/>
      <c r="P628" s="118"/>
      <c r="Q628" s="118"/>
    </row>
    <row r="629" spans="2:17" ht="14.25" customHeight="1" x14ac:dyDescent="0.3">
      <c r="B629" s="23"/>
      <c r="D629" s="25"/>
      <c r="E629" s="25"/>
      <c r="M629" s="12"/>
      <c r="N629" s="118"/>
      <c r="O629" s="118"/>
      <c r="P629" s="118"/>
      <c r="Q629" s="118"/>
    </row>
    <row r="630" spans="2:17" ht="14.25" customHeight="1" x14ac:dyDescent="0.3">
      <c r="B630" s="23"/>
      <c r="D630" s="25"/>
      <c r="E630" s="25"/>
      <c r="M630" s="12"/>
      <c r="N630" s="118"/>
      <c r="O630" s="118"/>
      <c r="P630" s="118"/>
      <c r="Q630" s="118"/>
    </row>
    <row r="631" spans="2:17" ht="14.25" customHeight="1" x14ac:dyDescent="0.3">
      <c r="B631" s="23"/>
      <c r="D631" s="25"/>
      <c r="E631" s="25"/>
      <c r="M631" s="12"/>
      <c r="N631" s="118"/>
      <c r="O631" s="118"/>
      <c r="P631" s="118"/>
      <c r="Q631" s="118"/>
    </row>
    <row r="632" spans="2:17" ht="14.25" customHeight="1" x14ac:dyDescent="0.3">
      <c r="B632" s="23"/>
      <c r="D632" s="25"/>
      <c r="E632" s="25"/>
      <c r="M632" s="12"/>
      <c r="N632" s="118"/>
      <c r="O632" s="118"/>
      <c r="P632" s="118"/>
      <c r="Q632" s="118"/>
    </row>
    <row r="633" spans="2:17" ht="14.25" customHeight="1" x14ac:dyDescent="0.3">
      <c r="B633" s="23"/>
      <c r="D633" s="25"/>
      <c r="E633" s="25"/>
      <c r="M633" s="12"/>
      <c r="N633" s="118"/>
      <c r="O633" s="118"/>
      <c r="P633" s="118"/>
      <c r="Q633" s="118"/>
    </row>
    <row r="634" spans="2:17" ht="14.25" customHeight="1" x14ac:dyDescent="0.3">
      <c r="B634" s="23"/>
      <c r="D634" s="25"/>
      <c r="E634" s="25"/>
      <c r="M634" s="12"/>
      <c r="N634" s="118"/>
      <c r="O634" s="118"/>
      <c r="P634" s="118"/>
      <c r="Q634" s="118"/>
    </row>
    <row r="635" spans="2:17" ht="14.25" customHeight="1" x14ac:dyDescent="0.3">
      <c r="B635" s="23"/>
      <c r="D635" s="25"/>
      <c r="E635" s="25"/>
      <c r="M635" s="12"/>
      <c r="N635" s="118"/>
      <c r="O635" s="118"/>
      <c r="P635" s="118"/>
      <c r="Q635" s="118"/>
    </row>
    <row r="636" spans="2:17" ht="14.25" customHeight="1" x14ac:dyDescent="0.3">
      <c r="B636" s="23"/>
      <c r="D636" s="25"/>
      <c r="E636" s="25"/>
      <c r="M636" s="12"/>
      <c r="N636" s="118"/>
      <c r="O636" s="118"/>
      <c r="P636" s="118"/>
      <c r="Q636" s="118"/>
    </row>
    <row r="637" spans="2:17" ht="14.25" customHeight="1" x14ac:dyDescent="0.3">
      <c r="B637" s="23"/>
      <c r="D637" s="25"/>
      <c r="E637" s="25"/>
      <c r="M637" s="12"/>
      <c r="N637" s="118"/>
      <c r="O637" s="118"/>
      <c r="P637" s="118"/>
      <c r="Q637" s="118"/>
    </row>
    <row r="638" spans="2:17" ht="14.25" customHeight="1" x14ac:dyDescent="0.3">
      <c r="B638" s="23"/>
      <c r="D638" s="25"/>
      <c r="E638" s="25"/>
      <c r="M638" s="12"/>
      <c r="N638" s="118"/>
      <c r="O638" s="118"/>
      <c r="P638" s="118"/>
      <c r="Q638" s="118"/>
    </row>
    <row r="639" spans="2:17" ht="14.25" customHeight="1" x14ac:dyDescent="0.3">
      <c r="B639" s="23"/>
      <c r="D639" s="25"/>
      <c r="E639" s="25"/>
      <c r="M639" s="12"/>
      <c r="N639" s="118"/>
      <c r="O639" s="118"/>
      <c r="P639" s="118"/>
      <c r="Q639" s="118"/>
    </row>
    <row r="640" spans="2:17" ht="14.25" customHeight="1" x14ac:dyDescent="0.3">
      <c r="B640" s="23"/>
      <c r="D640" s="25"/>
      <c r="E640" s="25"/>
      <c r="M640" s="12"/>
      <c r="N640" s="118"/>
      <c r="O640" s="118"/>
      <c r="P640" s="118"/>
      <c r="Q640" s="118"/>
    </row>
    <row r="641" spans="2:17" ht="14.25" customHeight="1" x14ac:dyDescent="0.3">
      <c r="B641" s="23"/>
      <c r="D641" s="25"/>
      <c r="E641" s="25"/>
      <c r="M641" s="12"/>
      <c r="N641" s="118"/>
      <c r="O641" s="118"/>
      <c r="P641" s="118"/>
      <c r="Q641" s="118"/>
    </row>
    <row r="642" spans="2:17" ht="14.25" customHeight="1" x14ac:dyDescent="0.3">
      <c r="B642" s="23"/>
      <c r="D642" s="25"/>
      <c r="E642" s="25"/>
      <c r="M642" s="12"/>
      <c r="N642" s="118"/>
      <c r="O642" s="118"/>
      <c r="P642" s="118"/>
      <c r="Q642" s="118"/>
    </row>
    <row r="643" spans="2:17" ht="14.25" customHeight="1" x14ac:dyDescent="0.3">
      <c r="B643" s="23"/>
      <c r="D643" s="25"/>
      <c r="E643" s="25"/>
      <c r="M643" s="12"/>
      <c r="N643" s="118"/>
      <c r="O643" s="118"/>
      <c r="P643" s="118"/>
      <c r="Q643" s="118"/>
    </row>
    <row r="644" spans="2:17" ht="14.25" customHeight="1" x14ac:dyDescent="0.3">
      <c r="B644" s="23"/>
      <c r="D644" s="25"/>
      <c r="E644" s="25"/>
      <c r="M644" s="12"/>
      <c r="N644" s="118"/>
      <c r="O644" s="118"/>
      <c r="P644" s="118"/>
      <c r="Q644" s="118"/>
    </row>
    <row r="645" spans="2:17" ht="14.25" customHeight="1" x14ac:dyDescent="0.3">
      <c r="B645" s="23"/>
      <c r="D645" s="25"/>
      <c r="E645" s="25"/>
      <c r="M645" s="12"/>
      <c r="N645" s="118"/>
      <c r="O645" s="118"/>
      <c r="P645" s="118"/>
      <c r="Q645" s="118"/>
    </row>
    <row r="646" spans="2:17" ht="14.25" customHeight="1" x14ac:dyDescent="0.3">
      <c r="B646" s="23"/>
      <c r="D646" s="25"/>
      <c r="E646" s="25"/>
      <c r="M646" s="12"/>
      <c r="N646" s="118"/>
      <c r="O646" s="118"/>
      <c r="P646" s="118"/>
      <c r="Q646" s="118"/>
    </row>
    <row r="647" spans="2:17" ht="14.25" customHeight="1" x14ac:dyDescent="0.3">
      <c r="B647" s="23"/>
      <c r="D647" s="25"/>
      <c r="E647" s="25"/>
      <c r="M647" s="12"/>
      <c r="N647" s="118"/>
      <c r="O647" s="118"/>
      <c r="P647" s="118"/>
      <c r="Q647" s="118"/>
    </row>
    <row r="648" spans="2:17" ht="14.25" customHeight="1" x14ac:dyDescent="0.3">
      <c r="B648" s="23"/>
      <c r="D648" s="25"/>
      <c r="E648" s="25"/>
      <c r="M648" s="12"/>
      <c r="N648" s="118"/>
      <c r="O648" s="118"/>
      <c r="P648" s="118"/>
      <c r="Q648" s="118"/>
    </row>
    <row r="649" spans="2:17" ht="14.25" customHeight="1" x14ac:dyDescent="0.3">
      <c r="B649" s="23"/>
      <c r="D649" s="25"/>
      <c r="E649" s="25"/>
      <c r="M649" s="12"/>
      <c r="N649" s="118"/>
      <c r="O649" s="118"/>
      <c r="P649" s="118"/>
      <c r="Q649" s="118"/>
    </row>
    <row r="650" spans="2:17" ht="14.25" customHeight="1" x14ac:dyDescent="0.3">
      <c r="B650" s="23"/>
      <c r="D650" s="25"/>
      <c r="E650" s="25"/>
      <c r="M650" s="12"/>
      <c r="N650" s="118"/>
      <c r="O650" s="118"/>
      <c r="P650" s="118"/>
      <c r="Q650" s="118"/>
    </row>
    <row r="651" spans="2:17" ht="14.25" customHeight="1" x14ac:dyDescent="0.3">
      <c r="B651" s="23"/>
      <c r="D651" s="25"/>
      <c r="E651" s="25"/>
      <c r="M651" s="12"/>
      <c r="N651" s="118"/>
      <c r="O651" s="118"/>
      <c r="P651" s="118"/>
      <c r="Q651" s="118"/>
    </row>
    <row r="652" spans="2:17" ht="14.25" customHeight="1" x14ac:dyDescent="0.3">
      <c r="B652" s="23"/>
      <c r="D652" s="25"/>
      <c r="E652" s="25"/>
      <c r="M652" s="12"/>
      <c r="N652" s="118"/>
      <c r="O652" s="118"/>
      <c r="P652" s="118"/>
      <c r="Q652" s="118"/>
    </row>
    <row r="653" spans="2:17" ht="14.25" customHeight="1" x14ac:dyDescent="0.3">
      <c r="B653" s="23"/>
      <c r="D653" s="25"/>
      <c r="E653" s="25"/>
      <c r="M653" s="12"/>
      <c r="N653" s="118"/>
      <c r="O653" s="118"/>
      <c r="P653" s="118"/>
      <c r="Q653" s="118"/>
    </row>
    <row r="654" spans="2:17" ht="14.25" customHeight="1" x14ac:dyDescent="0.3">
      <c r="B654" s="23"/>
      <c r="D654" s="25"/>
      <c r="E654" s="25"/>
      <c r="M654" s="12"/>
      <c r="N654" s="118"/>
      <c r="O654" s="118"/>
      <c r="P654" s="118"/>
      <c r="Q654" s="118"/>
    </row>
    <row r="655" spans="2:17" ht="14.25" customHeight="1" x14ac:dyDescent="0.3">
      <c r="B655" s="23"/>
      <c r="D655" s="25"/>
      <c r="E655" s="25"/>
      <c r="M655" s="12"/>
      <c r="N655" s="118"/>
      <c r="O655" s="118"/>
      <c r="P655" s="118"/>
      <c r="Q655" s="118"/>
    </row>
    <row r="656" spans="2:17" ht="14.25" customHeight="1" x14ac:dyDescent="0.3">
      <c r="B656" s="23"/>
      <c r="D656" s="25"/>
      <c r="E656" s="25"/>
      <c r="M656" s="12"/>
      <c r="N656" s="118"/>
      <c r="O656" s="118"/>
      <c r="P656" s="118"/>
      <c r="Q656" s="118"/>
    </row>
    <row r="657" spans="2:17" ht="14.25" customHeight="1" x14ac:dyDescent="0.3">
      <c r="B657" s="23"/>
      <c r="D657" s="25"/>
      <c r="E657" s="25"/>
      <c r="M657" s="12"/>
      <c r="N657" s="118"/>
      <c r="O657" s="118"/>
      <c r="P657" s="118"/>
      <c r="Q657" s="118"/>
    </row>
    <row r="658" spans="2:17" ht="14.25" customHeight="1" x14ac:dyDescent="0.3">
      <c r="B658" s="23"/>
      <c r="D658" s="25"/>
      <c r="E658" s="25"/>
      <c r="M658" s="12"/>
      <c r="N658" s="118"/>
      <c r="O658" s="118"/>
      <c r="P658" s="118"/>
      <c r="Q658" s="118"/>
    </row>
    <row r="659" spans="2:17" ht="14.25" customHeight="1" x14ac:dyDescent="0.3">
      <c r="B659" s="23"/>
      <c r="D659" s="25"/>
      <c r="E659" s="25"/>
      <c r="M659" s="12"/>
      <c r="N659" s="118"/>
      <c r="O659" s="118"/>
      <c r="P659" s="118"/>
      <c r="Q659" s="118"/>
    </row>
    <row r="660" spans="2:17" ht="14.25" customHeight="1" x14ac:dyDescent="0.3">
      <c r="B660" s="23"/>
      <c r="D660" s="25"/>
      <c r="E660" s="25"/>
      <c r="M660" s="12"/>
      <c r="N660" s="118"/>
      <c r="O660" s="118"/>
      <c r="P660" s="118"/>
      <c r="Q660" s="118"/>
    </row>
    <row r="661" spans="2:17" ht="14.25" customHeight="1" x14ac:dyDescent="0.3">
      <c r="B661" s="23"/>
      <c r="D661" s="25"/>
      <c r="E661" s="25"/>
      <c r="M661" s="12"/>
      <c r="N661" s="118"/>
      <c r="O661" s="118"/>
      <c r="P661" s="118"/>
      <c r="Q661" s="118"/>
    </row>
    <row r="662" spans="2:17" ht="14.25" customHeight="1" x14ac:dyDescent="0.3">
      <c r="B662" s="23"/>
      <c r="D662" s="25"/>
      <c r="E662" s="25"/>
      <c r="M662" s="12"/>
      <c r="N662" s="118"/>
      <c r="O662" s="118"/>
      <c r="P662" s="118"/>
      <c r="Q662" s="118"/>
    </row>
    <row r="663" spans="2:17" ht="14.25" customHeight="1" x14ac:dyDescent="0.3">
      <c r="B663" s="23"/>
      <c r="D663" s="25"/>
      <c r="E663" s="25"/>
      <c r="M663" s="12"/>
      <c r="N663" s="118"/>
      <c r="O663" s="118"/>
      <c r="P663" s="118"/>
      <c r="Q663" s="118"/>
    </row>
    <row r="664" spans="2:17" ht="14.25" customHeight="1" x14ac:dyDescent="0.3">
      <c r="B664" s="23"/>
      <c r="D664" s="25"/>
      <c r="E664" s="25"/>
      <c r="M664" s="12"/>
      <c r="N664" s="118"/>
      <c r="O664" s="118"/>
      <c r="P664" s="118"/>
      <c r="Q664" s="118"/>
    </row>
    <row r="665" spans="2:17" ht="14.25" customHeight="1" x14ac:dyDescent="0.3">
      <c r="B665" s="23"/>
      <c r="D665" s="25"/>
      <c r="E665" s="25"/>
      <c r="M665" s="12"/>
      <c r="N665" s="118"/>
      <c r="O665" s="118"/>
      <c r="P665" s="118"/>
      <c r="Q665" s="118"/>
    </row>
    <row r="666" spans="2:17" ht="14.25" customHeight="1" x14ac:dyDescent="0.3">
      <c r="B666" s="23"/>
      <c r="D666" s="25"/>
      <c r="E666" s="25"/>
      <c r="M666" s="12"/>
      <c r="N666" s="118"/>
      <c r="O666" s="118"/>
      <c r="P666" s="118"/>
      <c r="Q666" s="118"/>
    </row>
    <row r="667" spans="2:17" ht="14.25" customHeight="1" x14ac:dyDescent="0.3">
      <c r="B667" s="23"/>
      <c r="D667" s="25"/>
      <c r="E667" s="25"/>
      <c r="M667" s="12"/>
      <c r="N667" s="118"/>
      <c r="O667" s="118"/>
      <c r="P667" s="118"/>
      <c r="Q667" s="118"/>
    </row>
    <row r="668" spans="2:17" ht="14.25" customHeight="1" x14ac:dyDescent="0.3">
      <c r="B668" s="23"/>
      <c r="D668" s="25"/>
      <c r="E668" s="25"/>
      <c r="M668" s="12"/>
      <c r="N668" s="118"/>
      <c r="O668" s="118"/>
      <c r="P668" s="118"/>
      <c r="Q668" s="118"/>
    </row>
    <row r="669" spans="2:17" ht="14.25" customHeight="1" x14ac:dyDescent="0.3">
      <c r="B669" s="23"/>
      <c r="D669" s="25"/>
      <c r="E669" s="25"/>
      <c r="M669" s="12"/>
      <c r="N669" s="118"/>
      <c r="O669" s="118"/>
      <c r="P669" s="118"/>
      <c r="Q669" s="118"/>
    </row>
    <row r="670" spans="2:17" ht="14.25" customHeight="1" x14ac:dyDescent="0.3">
      <c r="B670" s="23"/>
      <c r="D670" s="25"/>
      <c r="E670" s="25"/>
      <c r="M670" s="12"/>
      <c r="N670" s="118"/>
      <c r="O670" s="118"/>
      <c r="P670" s="118"/>
      <c r="Q670" s="118"/>
    </row>
    <row r="671" spans="2:17" ht="14.25" customHeight="1" x14ac:dyDescent="0.3">
      <c r="B671" s="23"/>
      <c r="D671" s="25"/>
      <c r="E671" s="25"/>
      <c r="M671" s="12"/>
      <c r="N671" s="118"/>
      <c r="O671" s="118"/>
      <c r="P671" s="118"/>
      <c r="Q671" s="118"/>
    </row>
    <row r="672" spans="2:17" ht="14.25" customHeight="1" x14ac:dyDescent="0.3">
      <c r="B672" s="23"/>
      <c r="D672" s="25"/>
      <c r="E672" s="25"/>
      <c r="M672" s="12"/>
      <c r="N672" s="118"/>
      <c r="O672" s="118"/>
      <c r="P672" s="118"/>
      <c r="Q672" s="118"/>
    </row>
    <row r="673" spans="2:17" ht="14.25" customHeight="1" x14ac:dyDescent="0.3">
      <c r="B673" s="23"/>
      <c r="D673" s="25"/>
      <c r="E673" s="25"/>
      <c r="M673" s="12"/>
      <c r="N673" s="118"/>
      <c r="O673" s="118"/>
      <c r="P673" s="118"/>
      <c r="Q673" s="118"/>
    </row>
    <row r="674" spans="2:17" ht="14.25" customHeight="1" x14ac:dyDescent="0.3">
      <c r="B674" s="23"/>
      <c r="D674" s="25"/>
      <c r="E674" s="25"/>
      <c r="M674" s="12"/>
      <c r="N674" s="118"/>
      <c r="O674" s="118"/>
      <c r="P674" s="118"/>
      <c r="Q674" s="118"/>
    </row>
    <row r="675" spans="2:17" ht="14.25" customHeight="1" x14ac:dyDescent="0.3">
      <c r="B675" s="23"/>
      <c r="D675" s="25"/>
      <c r="E675" s="25"/>
      <c r="M675" s="12"/>
      <c r="N675" s="118"/>
      <c r="O675" s="118"/>
      <c r="P675" s="118"/>
      <c r="Q675" s="118"/>
    </row>
    <row r="676" spans="2:17" ht="14.25" customHeight="1" x14ac:dyDescent="0.3">
      <c r="B676" s="23"/>
      <c r="D676" s="25"/>
      <c r="E676" s="25"/>
      <c r="M676" s="12"/>
      <c r="N676" s="118"/>
      <c r="O676" s="118"/>
      <c r="P676" s="118"/>
      <c r="Q676" s="118"/>
    </row>
    <row r="677" spans="2:17" ht="14.25" customHeight="1" x14ac:dyDescent="0.3">
      <c r="B677" s="23"/>
      <c r="D677" s="25"/>
      <c r="E677" s="25"/>
      <c r="M677" s="12"/>
      <c r="N677" s="118"/>
      <c r="O677" s="118"/>
      <c r="P677" s="118"/>
      <c r="Q677" s="118"/>
    </row>
    <row r="678" spans="2:17" ht="14.25" customHeight="1" x14ac:dyDescent="0.3">
      <c r="B678" s="23"/>
      <c r="D678" s="25"/>
      <c r="E678" s="25"/>
      <c r="M678" s="12"/>
      <c r="N678" s="118"/>
      <c r="O678" s="118"/>
      <c r="P678" s="118"/>
      <c r="Q678" s="118"/>
    </row>
    <row r="679" spans="2:17" ht="14.25" customHeight="1" x14ac:dyDescent="0.3">
      <c r="B679" s="23"/>
      <c r="D679" s="25"/>
      <c r="E679" s="25"/>
      <c r="M679" s="12"/>
      <c r="N679" s="118"/>
      <c r="O679" s="118"/>
      <c r="P679" s="118"/>
      <c r="Q679" s="118"/>
    </row>
    <row r="680" spans="2:17" ht="14.25" customHeight="1" x14ac:dyDescent="0.3">
      <c r="B680" s="23"/>
      <c r="D680" s="25"/>
      <c r="E680" s="25"/>
      <c r="M680" s="12"/>
      <c r="N680" s="118"/>
      <c r="O680" s="118"/>
      <c r="P680" s="118"/>
      <c r="Q680" s="118"/>
    </row>
    <row r="681" spans="2:17" ht="14.25" customHeight="1" x14ac:dyDescent="0.3">
      <c r="B681" s="23"/>
      <c r="D681" s="25"/>
      <c r="E681" s="25"/>
      <c r="M681" s="12"/>
      <c r="N681" s="118"/>
      <c r="O681" s="118"/>
      <c r="P681" s="118"/>
      <c r="Q681" s="118"/>
    </row>
    <row r="682" spans="2:17" ht="14.25" customHeight="1" x14ac:dyDescent="0.3">
      <c r="B682" s="23"/>
      <c r="D682" s="25"/>
      <c r="E682" s="25"/>
      <c r="M682" s="12"/>
      <c r="N682" s="118"/>
      <c r="O682" s="118"/>
      <c r="P682" s="118"/>
      <c r="Q682" s="118"/>
    </row>
    <row r="683" spans="2:17" ht="14.25" customHeight="1" x14ac:dyDescent="0.3">
      <c r="B683" s="23"/>
      <c r="D683" s="25"/>
      <c r="E683" s="25"/>
      <c r="M683" s="12"/>
      <c r="N683" s="118"/>
      <c r="O683" s="118"/>
      <c r="P683" s="118"/>
      <c r="Q683" s="118"/>
    </row>
    <row r="684" spans="2:17" ht="14.25" customHeight="1" x14ac:dyDescent="0.3">
      <c r="B684" s="23"/>
      <c r="D684" s="25"/>
      <c r="E684" s="25"/>
      <c r="M684" s="12"/>
      <c r="N684" s="118"/>
      <c r="O684" s="118"/>
      <c r="P684" s="118"/>
      <c r="Q684" s="118"/>
    </row>
    <row r="685" spans="2:17" ht="14.25" customHeight="1" x14ac:dyDescent="0.3">
      <c r="B685" s="23"/>
      <c r="D685" s="25"/>
      <c r="E685" s="25"/>
      <c r="M685" s="12"/>
      <c r="N685" s="118"/>
      <c r="O685" s="118"/>
      <c r="P685" s="118"/>
      <c r="Q685" s="118"/>
    </row>
    <row r="686" spans="2:17" ht="14.25" customHeight="1" x14ac:dyDescent="0.3">
      <c r="B686" s="23"/>
      <c r="D686" s="25"/>
      <c r="E686" s="25"/>
      <c r="M686" s="12"/>
      <c r="N686" s="118"/>
      <c r="O686" s="118"/>
      <c r="P686" s="118"/>
      <c r="Q686" s="118"/>
    </row>
    <row r="687" spans="2:17" ht="14.25" customHeight="1" x14ac:dyDescent="0.3">
      <c r="B687" s="23"/>
      <c r="D687" s="25"/>
      <c r="E687" s="25"/>
      <c r="M687" s="12"/>
      <c r="N687" s="118"/>
      <c r="O687" s="118"/>
      <c r="P687" s="118"/>
      <c r="Q687" s="118"/>
    </row>
    <row r="688" spans="2:17" ht="14.25" customHeight="1" x14ac:dyDescent="0.3">
      <c r="B688" s="23"/>
      <c r="D688" s="25"/>
      <c r="E688" s="25"/>
      <c r="M688" s="12"/>
      <c r="N688" s="118"/>
      <c r="O688" s="118"/>
      <c r="P688" s="118"/>
      <c r="Q688" s="118"/>
    </row>
    <row r="689" spans="2:17" ht="14.25" customHeight="1" x14ac:dyDescent="0.3">
      <c r="B689" s="23"/>
      <c r="D689" s="25"/>
      <c r="E689" s="25"/>
      <c r="M689" s="12"/>
      <c r="N689" s="118"/>
      <c r="O689" s="118"/>
      <c r="P689" s="118"/>
      <c r="Q689" s="118"/>
    </row>
    <row r="690" spans="2:17" ht="14.25" customHeight="1" x14ac:dyDescent="0.3">
      <c r="B690" s="23"/>
      <c r="D690" s="25"/>
      <c r="E690" s="25"/>
      <c r="M690" s="12"/>
      <c r="N690" s="118"/>
      <c r="O690" s="118"/>
      <c r="P690" s="118"/>
      <c r="Q690" s="118"/>
    </row>
    <row r="691" spans="2:17" ht="14.25" customHeight="1" x14ac:dyDescent="0.3">
      <c r="B691" s="23"/>
      <c r="D691" s="25"/>
      <c r="E691" s="25"/>
      <c r="M691" s="12"/>
      <c r="N691" s="118"/>
      <c r="O691" s="118"/>
      <c r="P691" s="118"/>
      <c r="Q691" s="118"/>
    </row>
    <row r="692" spans="2:17" ht="14.25" customHeight="1" x14ac:dyDescent="0.3">
      <c r="B692" s="23"/>
      <c r="D692" s="25"/>
      <c r="E692" s="25"/>
      <c r="M692" s="12"/>
      <c r="N692" s="118"/>
      <c r="O692" s="118"/>
      <c r="P692" s="118"/>
      <c r="Q692" s="118"/>
    </row>
    <row r="693" spans="2:17" ht="14.25" customHeight="1" x14ac:dyDescent="0.3">
      <c r="B693" s="23"/>
      <c r="D693" s="25"/>
      <c r="E693" s="25"/>
      <c r="M693" s="12"/>
      <c r="N693" s="118"/>
      <c r="O693" s="118"/>
      <c r="P693" s="118"/>
      <c r="Q693" s="118"/>
    </row>
    <row r="694" spans="2:17" ht="14.25" customHeight="1" x14ac:dyDescent="0.3">
      <c r="B694" s="23"/>
      <c r="D694" s="25"/>
      <c r="E694" s="25"/>
      <c r="M694" s="12"/>
      <c r="N694" s="118"/>
      <c r="O694" s="118"/>
      <c r="P694" s="118"/>
      <c r="Q694" s="118"/>
    </row>
    <row r="695" spans="2:17" ht="14.25" customHeight="1" x14ac:dyDescent="0.3">
      <c r="B695" s="23"/>
      <c r="D695" s="25"/>
      <c r="E695" s="25"/>
      <c r="M695" s="12"/>
      <c r="N695" s="118"/>
      <c r="O695" s="118"/>
      <c r="P695" s="118"/>
      <c r="Q695" s="118"/>
    </row>
    <row r="696" spans="2:17" ht="14.25" customHeight="1" x14ac:dyDescent="0.3">
      <c r="B696" s="23"/>
      <c r="D696" s="25"/>
      <c r="E696" s="25"/>
      <c r="M696" s="12"/>
      <c r="N696" s="118"/>
      <c r="O696" s="118"/>
      <c r="P696" s="118"/>
      <c r="Q696" s="118"/>
    </row>
    <row r="697" spans="2:17" ht="14.25" customHeight="1" x14ac:dyDescent="0.3">
      <c r="B697" s="23"/>
      <c r="D697" s="25"/>
      <c r="E697" s="25"/>
      <c r="M697" s="12"/>
      <c r="N697" s="118"/>
      <c r="O697" s="118"/>
      <c r="P697" s="118"/>
      <c r="Q697" s="118"/>
    </row>
    <row r="698" spans="2:17" ht="14.25" customHeight="1" x14ac:dyDescent="0.3">
      <c r="B698" s="23"/>
      <c r="D698" s="25"/>
      <c r="E698" s="25"/>
      <c r="M698" s="12"/>
      <c r="N698" s="118"/>
      <c r="O698" s="118"/>
      <c r="P698" s="118"/>
      <c r="Q698" s="118"/>
    </row>
    <row r="699" spans="2:17" ht="14.25" customHeight="1" x14ac:dyDescent="0.3">
      <c r="B699" s="23"/>
      <c r="D699" s="25"/>
      <c r="E699" s="25"/>
      <c r="M699" s="12"/>
      <c r="N699" s="118"/>
      <c r="O699" s="118"/>
      <c r="P699" s="118"/>
      <c r="Q699" s="118"/>
    </row>
    <row r="700" spans="2:17" ht="14.25" customHeight="1" x14ac:dyDescent="0.3">
      <c r="B700" s="23"/>
      <c r="D700" s="25"/>
      <c r="E700" s="25"/>
      <c r="M700" s="12"/>
      <c r="N700" s="118"/>
      <c r="O700" s="118"/>
      <c r="P700" s="118"/>
      <c r="Q700" s="118"/>
    </row>
    <row r="701" spans="2:17" ht="14.25" customHeight="1" x14ac:dyDescent="0.3">
      <c r="B701" s="23"/>
      <c r="D701" s="25"/>
      <c r="E701" s="25"/>
      <c r="M701" s="12"/>
      <c r="N701" s="118"/>
      <c r="O701" s="118"/>
      <c r="P701" s="118"/>
      <c r="Q701" s="118"/>
    </row>
    <row r="702" spans="2:17" ht="14.25" customHeight="1" x14ac:dyDescent="0.3">
      <c r="B702" s="23"/>
      <c r="D702" s="25"/>
      <c r="E702" s="25"/>
      <c r="M702" s="12"/>
      <c r="N702" s="118"/>
      <c r="O702" s="118"/>
      <c r="P702" s="118"/>
      <c r="Q702" s="118"/>
    </row>
    <row r="703" spans="2:17" ht="14.25" customHeight="1" x14ac:dyDescent="0.3">
      <c r="B703" s="23"/>
      <c r="D703" s="25"/>
      <c r="E703" s="25"/>
      <c r="M703" s="12"/>
      <c r="N703" s="118"/>
      <c r="O703" s="118"/>
      <c r="P703" s="118"/>
      <c r="Q703" s="118"/>
    </row>
    <row r="704" spans="2:17" ht="14.25" customHeight="1" x14ac:dyDescent="0.3">
      <c r="B704" s="23"/>
      <c r="D704" s="25"/>
      <c r="E704" s="25"/>
      <c r="M704" s="12"/>
      <c r="N704" s="118"/>
      <c r="O704" s="118"/>
      <c r="P704" s="118"/>
      <c r="Q704" s="118"/>
    </row>
    <row r="705" spans="2:17" ht="14.25" customHeight="1" x14ac:dyDescent="0.3">
      <c r="B705" s="23"/>
      <c r="D705" s="25"/>
      <c r="E705" s="25"/>
      <c r="M705" s="12"/>
      <c r="N705" s="118"/>
      <c r="O705" s="118"/>
      <c r="P705" s="118"/>
      <c r="Q705" s="118"/>
    </row>
    <row r="706" spans="2:17" ht="14.25" customHeight="1" x14ac:dyDescent="0.3">
      <c r="B706" s="23"/>
      <c r="D706" s="25"/>
      <c r="E706" s="25"/>
      <c r="M706" s="12"/>
      <c r="N706" s="118"/>
      <c r="O706" s="118"/>
      <c r="P706" s="118"/>
      <c r="Q706" s="118"/>
    </row>
    <row r="707" spans="2:17" ht="14.25" customHeight="1" x14ac:dyDescent="0.3">
      <c r="B707" s="23"/>
      <c r="D707" s="25"/>
      <c r="E707" s="25"/>
      <c r="M707" s="12"/>
      <c r="N707" s="118"/>
      <c r="O707" s="118"/>
      <c r="P707" s="118"/>
      <c r="Q707" s="118"/>
    </row>
    <row r="708" spans="2:17" ht="14.25" customHeight="1" x14ac:dyDescent="0.3">
      <c r="B708" s="23"/>
      <c r="D708" s="25"/>
      <c r="E708" s="25"/>
      <c r="M708" s="12"/>
      <c r="N708" s="118"/>
      <c r="O708" s="118"/>
      <c r="P708" s="118"/>
      <c r="Q708" s="118"/>
    </row>
    <row r="709" spans="2:17" ht="14.25" customHeight="1" x14ac:dyDescent="0.3">
      <c r="B709" s="23"/>
      <c r="D709" s="25"/>
      <c r="E709" s="25"/>
      <c r="M709" s="12"/>
      <c r="N709" s="118"/>
      <c r="O709" s="118"/>
      <c r="P709" s="118"/>
      <c r="Q709" s="118"/>
    </row>
    <row r="710" spans="2:17" ht="14.25" customHeight="1" x14ac:dyDescent="0.3">
      <c r="B710" s="23"/>
      <c r="D710" s="25"/>
      <c r="E710" s="25"/>
      <c r="M710" s="12"/>
      <c r="N710" s="118"/>
      <c r="O710" s="118"/>
      <c r="P710" s="118"/>
      <c r="Q710" s="118"/>
    </row>
    <row r="711" spans="2:17" ht="14.25" customHeight="1" x14ac:dyDescent="0.3">
      <c r="B711" s="23"/>
      <c r="D711" s="25"/>
      <c r="E711" s="25"/>
      <c r="M711" s="12"/>
      <c r="N711" s="118"/>
      <c r="O711" s="118"/>
      <c r="P711" s="118"/>
      <c r="Q711" s="118"/>
    </row>
    <row r="712" spans="2:17" ht="14.25" customHeight="1" x14ac:dyDescent="0.3">
      <c r="B712" s="23"/>
      <c r="D712" s="25"/>
      <c r="E712" s="25"/>
      <c r="M712" s="12"/>
      <c r="N712" s="118"/>
      <c r="O712" s="118"/>
      <c r="P712" s="118"/>
      <c r="Q712" s="118"/>
    </row>
    <row r="713" spans="2:17" ht="14.25" customHeight="1" x14ac:dyDescent="0.3">
      <c r="B713" s="23"/>
      <c r="D713" s="25"/>
      <c r="E713" s="25"/>
      <c r="M713" s="12"/>
      <c r="N713" s="118"/>
      <c r="O713" s="118"/>
      <c r="P713" s="118"/>
      <c r="Q713" s="118"/>
    </row>
    <row r="714" spans="2:17" ht="14.25" customHeight="1" x14ac:dyDescent="0.3">
      <c r="B714" s="23"/>
      <c r="D714" s="25"/>
      <c r="E714" s="25"/>
      <c r="M714" s="12"/>
      <c r="N714" s="118"/>
      <c r="O714" s="118"/>
      <c r="P714" s="118"/>
      <c r="Q714" s="118"/>
    </row>
    <row r="715" spans="2:17" ht="14.25" customHeight="1" x14ac:dyDescent="0.3">
      <c r="B715" s="23"/>
      <c r="D715" s="25"/>
      <c r="E715" s="25"/>
      <c r="M715" s="12"/>
      <c r="N715" s="118"/>
      <c r="O715" s="118"/>
      <c r="P715" s="118"/>
      <c r="Q715" s="118"/>
    </row>
    <row r="716" spans="2:17" ht="14.25" customHeight="1" x14ac:dyDescent="0.3">
      <c r="B716" s="23"/>
      <c r="D716" s="25"/>
      <c r="E716" s="25"/>
      <c r="M716" s="12"/>
      <c r="N716" s="118"/>
      <c r="O716" s="118"/>
      <c r="P716" s="118"/>
      <c r="Q716" s="118"/>
    </row>
    <row r="717" spans="2:17" ht="14.25" customHeight="1" x14ac:dyDescent="0.3">
      <c r="B717" s="23"/>
      <c r="D717" s="25"/>
      <c r="E717" s="25"/>
      <c r="M717" s="12"/>
      <c r="N717" s="118"/>
      <c r="O717" s="118"/>
      <c r="P717" s="118"/>
      <c r="Q717" s="118"/>
    </row>
    <row r="718" spans="2:17" ht="14.25" customHeight="1" x14ac:dyDescent="0.3">
      <c r="B718" s="23"/>
      <c r="D718" s="25"/>
      <c r="E718" s="25"/>
      <c r="M718" s="12"/>
      <c r="N718" s="118"/>
      <c r="O718" s="118"/>
      <c r="P718" s="118"/>
      <c r="Q718" s="118"/>
    </row>
    <row r="719" spans="2:17" ht="14.25" customHeight="1" x14ac:dyDescent="0.3">
      <c r="B719" s="23"/>
      <c r="D719" s="25"/>
      <c r="E719" s="25"/>
      <c r="M719" s="12"/>
      <c r="N719" s="118"/>
      <c r="O719" s="118"/>
      <c r="P719" s="118"/>
      <c r="Q719" s="118"/>
    </row>
    <row r="720" spans="2:17" ht="14.25" customHeight="1" x14ac:dyDescent="0.3">
      <c r="B720" s="23"/>
      <c r="D720" s="25"/>
      <c r="E720" s="25"/>
      <c r="M720" s="12"/>
      <c r="N720" s="118"/>
      <c r="O720" s="118"/>
      <c r="P720" s="118"/>
      <c r="Q720" s="118"/>
    </row>
    <row r="721" spans="2:17" ht="14.25" customHeight="1" x14ac:dyDescent="0.3">
      <c r="B721" s="23"/>
      <c r="D721" s="25"/>
      <c r="E721" s="25"/>
      <c r="M721" s="12"/>
      <c r="N721" s="118"/>
      <c r="O721" s="118"/>
      <c r="P721" s="118"/>
      <c r="Q721" s="118"/>
    </row>
    <row r="722" spans="2:17" ht="14.25" customHeight="1" x14ac:dyDescent="0.3">
      <c r="B722" s="23"/>
      <c r="D722" s="25"/>
      <c r="E722" s="25"/>
      <c r="M722" s="12"/>
      <c r="N722" s="118"/>
      <c r="O722" s="118"/>
      <c r="P722" s="118"/>
      <c r="Q722" s="118"/>
    </row>
    <row r="723" spans="2:17" ht="14.25" customHeight="1" x14ac:dyDescent="0.3">
      <c r="B723" s="23"/>
      <c r="D723" s="25"/>
      <c r="E723" s="25"/>
      <c r="M723" s="12"/>
      <c r="N723" s="118"/>
      <c r="O723" s="118"/>
      <c r="P723" s="118"/>
      <c r="Q723" s="118"/>
    </row>
    <row r="724" spans="2:17" ht="14.25" customHeight="1" x14ac:dyDescent="0.3">
      <c r="B724" s="23"/>
      <c r="D724" s="25"/>
      <c r="E724" s="25"/>
      <c r="M724" s="12"/>
      <c r="N724" s="118"/>
      <c r="O724" s="118"/>
      <c r="P724" s="118"/>
      <c r="Q724" s="118"/>
    </row>
    <row r="725" spans="2:17" ht="14.25" customHeight="1" x14ac:dyDescent="0.3">
      <c r="B725" s="23"/>
      <c r="D725" s="25"/>
      <c r="E725" s="25"/>
      <c r="M725" s="12"/>
      <c r="N725" s="118"/>
      <c r="O725" s="118"/>
      <c r="P725" s="118"/>
      <c r="Q725" s="118"/>
    </row>
    <row r="726" spans="2:17" ht="14.25" customHeight="1" x14ac:dyDescent="0.3">
      <c r="B726" s="23"/>
      <c r="D726" s="25"/>
      <c r="E726" s="25"/>
      <c r="M726" s="12"/>
      <c r="N726" s="118"/>
      <c r="O726" s="118"/>
      <c r="P726" s="118"/>
      <c r="Q726" s="118"/>
    </row>
    <row r="727" spans="2:17" ht="14.25" customHeight="1" x14ac:dyDescent="0.3">
      <c r="B727" s="23"/>
      <c r="D727" s="25"/>
      <c r="E727" s="25"/>
      <c r="M727" s="12"/>
      <c r="N727" s="118"/>
      <c r="O727" s="118"/>
      <c r="P727" s="118"/>
      <c r="Q727" s="118"/>
    </row>
    <row r="728" spans="2:17" ht="14.25" customHeight="1" x14ac:dyDescent="0.3">
      <c r="B728" s="23"/>
      <c r="D728" s="25"/>
      <c r="E728" s="25"/>
      <c r="M728" s="12"/>
      <c r="N728" s="118"/>
      <c r="O728" s="118"/>
      <c r="P728" s="118"/>
      <c r="Q728" s="118"/>
    </row>
    <row r="729" spans="2:17" ht="14.25" customHeight="1" x14ac:dyDescent="0.3">
      <c r="B729" s="23"/>
      <c r="D729" s="25"/>
      <c r="E729" s="25"/>
      <c r="M729" s="12"/>
      <c r="N729" s="118"/>
      <c r="O729" s="118"/>
      <c r="P729" s="118"/>
      <c r="Q729" s="118"/>
    </row>
    <row r="730" spans="2:17" ht="14.25" customHeight="1" x14ac:dyDescent="0.3">
      <c r="B730" s="23"/>
      <c r="D730" s="25"/>
      <c r="E730" s="25"/>
      <c r="M730" s="12"/>
      <c r="N730" s="118"/>
      <c r="O730" s="118"/>
      <c r="P730" s="118"/>
      <c r="Q730" s="118"/>
    </row>
    <row r="731" spans="2:17" ht="14.25" customHeight="1" x14ac:dyDescent="0.3">
      <c r="B731" s="23"/>
      <c r="D731" s="25"/>
      <c r="E731" s="25"/>
      <c r="M731" s="12"/>
      <c r="N731" s="118"/>
      <c r="O731" s="118"/>
      <c r="P731" s="118"/>
      <c r="Q731" s="118"/>
    </row>
    <row r="732" spans="2:17" ht="14.25" customHeight="1" x14ac:dyDescent="0.3">
      <c r="B732" s="23"/>
      <c r="D732" s="25"/>
      <c r="E732" s="25"/>
      <c r="M732" s="12"/>
      <c r="N732" s="118"/>
      <c r="O732" s="118"/>
      <c r="P732" s="118"/>
      <c r="Q732" s="118"/>
    </row>
    <row r="733" spans="2:17" ht="14.25" customHeight="1" x14ac:dyDescent="0.3">
      <c r="B733" s="23"/>
      <c r="D733" s="25"/>
      <c r="E733" s="25"/>
      <c r="M733" s="12"/>
      <c r="N733" s="118"/>
      <c r="O733" s="118"/>
      <c r="P733" s="118"/>
      <c r="Q733" s="118"/>
    </row>
    <row r="734" spans="2:17" ht="14.25" customHeight="1" x14ac:dyDescent="0.3">
      <c r="B734" s="23"/>
      <c r="D734" s="25"/>
      <c r="E734" s="25"/>
      <c r="M734" s="12"/>
      <c r="N734" s="118"/>
      <c r="O734" s="118"/>
      <c r="P734" s="118"/>
      <c r="Q734" s="118"/>
    </row>
    <row r="735" spans="2:17" ht="14.25" customHeight="1" x14ac:dyDescent="0.3">
      <c r="B735" s="23"/>
      <c r="D735" s="25"/>
      <c r="E735" s="25"/>
      <c r="M735" s="12"/>
      <c r="N735" s="118"/>
      <c r="O735" s="118"/>
      <c r="P735" s="118"/>
      <c r="Q735" s="118"/>
    </row>
    <row r="736" spans="2:17" ht="14.25" customHeight="1" x14ac:dyDescent="0.3">
      <c r="B736" s="23"/>
      <c r="D736" s="25"/>
      <c r="E736" s="25"/>
      <c r="M736" s="12"/>
      <c r="N736" s="118"/>
      <c r="O736" s="118"/>
      <c r="P736" s="118"/>
      <c r="Q736" s="118"/>
    </row>
    <row r="737" spans="2:17" ht="14.25" customHeight="1" x14ac:dyDescent="0.3">
      <c r="B737" s="23"/>
      <c r="D737" s="25"/>
      <c r="E737" s="25"/>
      <c r="M737" s="12"/>
      <c r="N737" s="118"/>
      <c r="O737" s="118"/>
      <c r="P737" s="118"/>
      <c r="Q737" s="118"/>
    </row>
    <row r="738" spans="2:17" ht="14.25" customHeight="1" x14ac:dyDescent="0.3">
      <c r="B738" s="23"/>
      <c r="D738" s="25"/>
      <c r="E738" s="25"/>
      <c r="M738" s="12"/>
      <c r="N738" s="118"/>
      <c r="O738" s="118"/>
      <c r="P738" s="118"/>
      <c r="Q738" s="118"/>
    </row>
    <row r="739" spans="2:17" ht="14.25" customHeight="1" x14ac:dyDescent="0.3">
      <c r="B739" s="23"/>
      <c r="D739" s="25"/>
      <c r="E739" s="25"/>
      <c r="M739" s="12"/>
      <c r="N739" s="118"/>
      <c r="O739" s="118"/>
      <c r="P739" s="118"/>
      <c r="Q739" s="118"/>
    </row>
    <row r="740" spans="2:17" ht="14.25" customHeight="1" x14ac:dyDescent="0.3">
      <c r="B740" s="23"/>
      <c r="D740" s="25"/>
      <c r="E740" s="25"/>
      <c r="M740" s="12"/>
      <c r="N740" s="118"/>
      <c r="O740" s="118"/>
      <c r="P740" s="118"/>
      <c r="Q740" s="118"/>
    </row>
    <row r="741" spans="2:17" ht="14.25" customHeight="1" x14ac:dyDescent="0.3">
      <c r="B741" s="23"/>
      <c r="D741" s="25"/>
      <c r="E741" s="25"/>
      <c r="M741" s="12"/>
      <c r="N741" s="118"/>
      <c r="O741" s="118"/>
      <c r="P741" s="118"/>
      <c r="Q741" s="118"/>
    </row>
    <row r="742" spans="2:17" ht="14.25" customHeight="1" x14ac:dyDescent="0.3">
      <c r="B742" s="23"/>
      <c r="D742" s="25"/>
      <c r="E742" s="25"/>
      <c r="M742" s="12"/>
      <c r="N742" s="118"/>
      <c r="O742" s="118"/>
      <c r="P742" s="118"/>
      <c r="Q742" s="118"/>
    </row>
    <row r="743" spans="2:17" ht="14.25" customHeight="1" x14ac:dyDescent="0.3">
      <c r="B743" s="23"/>
      <c r="D743" s="25"/>
      <c r="E743" s="25"/>
      <c r="M743" s="12"/>
      <c r="N743" s="118"/>
      <c r="O743" s="118"/>
      <c r="P743" s="118"/>
      <c r="Q743" s="118"/>
    </row>
    <row r="744" spans="2:17" ht="14.25" customHeight="1" x14ac:dyDescent="0.3">
      <c r="B744" s="23"/>
      <c r="D744" s="25"/>
      <c r="E744" s="25"/>
      <c r="M744" s="12"/>
      <c r="N744" s="118"/>
      <c r="O744" s="118"/>
      <c r="P744" s="118"/>
      <c r="Q744" s="118"/>
    </row>
    <row r="745" spans="2:17" ht="14.25" customHeight="1" x14ac:dyDescent="0.3">
      <c r="B745" s="23"/>
      <c r="D745" s="25"/>
      <c r="E745" s="25"/>
      <c r="M745" s="12"/>
      <c r="N745" s="118"/>
      <c r="O745" s="118"/>
      <c r="P745" s="118"/>
      <c r="Q745" s="118"/>
    </row>
    <row r="746" spans="2:17" ht="14.25" customHeight="1" x14ac:dyDescent="0.3">
      <c r="B746" s="23"/>
      <c r="D746" s="25"/>
      <c r="E746" s="25"/>
      <c r="M746" s="12"/>
      <c r="N746" s="118"/>
      <c r="O746" s="118"/>
      <c r="P746" s="118"/>
      <c r="Q746" s="118"/>
    </row>
    <row r="747" spans="2:17" ht="14.25" customHeight="1" x14ac:dyDescent="0.3">
      <c r="B747" s="23"/>
      <c r="D747" s="25"/>
      <c r="E747" s="25"/>
      <c r="M747" s="12"/>
      <c r="N747" s="118"/>
      <c r="O747" s="118"/>
      <c r="P747" s="118"/>
      <c r="Q747" s="118"/>
    </row>
    <row r="748" spans="2:17" ht="14.25" customHeight="1" x14ac:dyDescent="0.3">
      <c r="B748" s="23"/>
      <c r="D748" s="25"/>
      <c r="E748" s="25"/>
      <c r="M748" s="12"/>
      <c r="N748" s="118"/>
      <c r="O748" s="118"/>
      <c r="P748" s="118"/>
      <c r="Q748" s="118"/>
    </row>
    <row r="749" spans="2:17" ht="14.25" customHeight="1" x14ac:dyDescent="0.3">
      <c r="B749" s="23"/>
      <c r="D749" s="25"/>
      <c r="E749" s="25"/>
      <c r="M749" s="12"/>
      <c r="N749" s="118"/>
      <c r="O749" s="118"/>
      <c r="P749" s="118"/>
      <c r="Q749" s="118"/>
    </row>
    <row r="750" spans="2:17" ht="14.25" customHeight="1" x14ac:dyDescent="0.3">
      <c r="B750" s="23"/>
      <c r="D750" s="25"/>
      <c r="E750" s="25"/>
      <c r="M750" s="12"/>
      <c r="N750" s="118"/>
      <c r="O750" s="118"/>
      <c r="P750" s="118"/>
      <c r="Q750" s="118"/>
    </row>
    <row r="751" spans="2:17" ht="14.25" customHeight="1" x14ac:dyDescent="0.3">
      <c r="B751" s="23"/>
      <c r="D751" s="25"/>
      <c r="E751" s="25"/>
      <c r="M751" s="12"/>
      <c r="N751" s="118"/>
      <c r="O751" s="118"/>
      <c r="P751" s="118"/>
      <c r="Q751" s="118"/>
    </row>
    <row r="752" spans="2:17" ht="14.25" customHeight="1" x14ac:dyDescent="0.3">
      <c r="B752" s="23"/>
      <c r="D752" s="25"/>
      <c r="E752" s="25"/>
      <c r="M752" s="12"/>
      <c r="N752" s="118"/>
      <c r="O752" s="118"/>
      <c r="P752" s="118"/>
      <c r="Q752" s="118"/>
    </row>
    <row r="753" spans="2:17" ht="14.25" customHeight="1" x14ac:dyDescent="0.3">
      <c r="B753" s="23"/>
      <c r="D753" s="25"/>
      <c r="E753" s="25"/>
      <c r="M753" s="12"/>
      <c r="N753" s="118"/>
      <c r="O753" s="118"/>
      <c r="P753" s="118"/>
      <c r="Q753" s="118"/>
    </row>
    <row r="754" spans="2:17" ht="14.25" customHeight="1" x14ac:dyDescent="0.3">
      <c r="B754" s="23"/>
      <c r="D754" s="25"/>
      <c r="E754" s="25"/>
      <c r="M754" s="12"/>
      <c r="N754" s="118"/>
      <c r="O754" s="118"/>
      <c r="P754" s="118"/>
      <c r="Q754" s="118"/>
    </row>
    <row r="755" spans="2:17" ht="14.25" customHeight="1" x14ac:dyDescent="0.3">
      <c r="B755" s="23"/>
      <c r="D755" s="25"/>
      <c r="E755" s="25"/>
      <c r="M755" s="12"/>
      <c r="N755" s="118"/>
      <c r="O755" s="118"/>
      <c r="P755" s="118"/>
      <c r="Q755" s="118"/>
    </row>
    <row r="756" spans="2:17" ht="14.25" customHeight="1" x14ac:dyDescent="0.3">
      <c r="B756" s="23"/>
      <c r="D756" s="25"/>
      <c r="E756" s="25"/>
      <c r="M756" s="12"/>
      <c r="N756" s="118"/>
      <c r="O756" s="118"/>
      <c r="P756" s="118"/>
      <c r="Q756" s="118"/>
    </row>
    <row r="757" spans="2:17" ht="14.25" customHeight="1" x14ac:dyDescent="0.3">
      <c r="B757" s="23"/>
      <c r="D757" s="25"/>
      <c r="E757" s="25"/>
      <c r="M757" s="12"/>
      <c r="N757" s="118"/>
      <c r="O757" s="118"/>
      <c r="P757" s="118"/>
      <c r="Q757" s="118"/>
    </row>
    <row r="758" spans="2:17" ht="14.25" customHeight="1" x14ac:dyDescent="0.3">
      <c r="B758" s="23"/>
      <c r="D758" s="25"/>
      <c r="E758" s="25"/>
      <c r="M758" s="12"/>
      <c r="N758" s="118"/>
      <c r="O758" s="118"/>
      <c r="P758" s="118"/>
      <c r="Q758" s="118"/>
    </row>
    <row r="759" spans="2:17" ht="14.25" customHeight="1" x14ac:dyDescent="0.3">
      <c r="B759" s="23"/>
      <c r="D759" s="25"/>
      <c r="E759" s="25"/>
      <c r="M759" s="12"/>
      <c r="N759" s="118"/>
      <c r="O759" s="118"/>
      <c r="P759" s="118"/>
      <c r="Q759" s="118"/>
    </row>
    <row r="760" spans="2:17" ht="14.25" customHeight="1" x14ac:dyDescent="0.3">
      <c r="B760" s="23"/>
      <c r="D760" s="25"/>
      <c r="E760" s="25"/>
      <c r="M760" s="12"/>
      <c r="N760" s="118"/>
      <c r="O760" s="118"/>
      <c r="P760" s="118"/>
      <c r="Q760" s="118"/>
    </row>
    <row r="761" spans="2:17" ht="14.25" customHeight="1" x14ac:dyDescent="0.3">
      <c r="B761" s="23"/>
      <c r="D761" s="25"/>
      <c r="E761" s="25"/>
      <c r="M761" s="12"/>
      <c r="N761" s="118"/>
      <c r="O761" s="118"/>
      <c r="P761" s="118"/>
      <c r="Q761" s="118"/>
    </row>
    <row r="762" spans="2:17" ht="14.25" customHeight="1" x14ac:dyDescent="0.3">
      <c r="B762" s="23"/>
      <c r="D762" s="25"/>
      <c r="E762" s="25"/>
      <c r="M762" s="12"/>
      <c r="N762" s="118"/>
      <c r="O762" s="118"/>
      <c r="P762" s="118"/>
      <c r="Q762" s="118"/>
    </row>
    <row r="763" spans="2:17" ht="14.25" customHeight="1" x14ac:dyDescent="0.3">
      <c r="B763" s="23"/>
      <c r="D763" s="25"/>
      <c r="E763" s="25"/>
      <c r="M763" s="12"/>
      <c r="N763" s="118"/>
      <c r="O763" s="118"/>
      <c r="P763" s="118"/>
      <c r="Q763" s="118"/>
    </row>
    <row r="764" spans="2:17" ht="14.25" customHeight="1" x14ac:dyDescent="0.3">
      <c r="B764" s="23"/>
      <c r="D764" s="25"/>
      <c r="E764" s="25"/>
      <c r="M764" s="12"/>
      <c r="N764" s="118"/>
      <c r="O764" s="118"/>
      <c r="P764" s="118"/>
      <c r="Q764" s="118"/>
    </row>
    <row r="765" spans="2:17" ht="14.25" customHeight="1" x14ac:dyDescent="0.3">
      <c r="B765" s="23"/>
      <c r="D765" s="25"/>
      <c r="E765" s="25"/>
      <c r="M765" s="12"/>
      <c r="N765" s="118"/>
      <c r="O765" s="118"/>
      <c r="P765" s="118"/>
      <c r="Q765" s="118"/>
    </row>
    <row r="766" spans="2:17" ht="14.25" customHeight="1" x14ac:dyDescent="0.3">
      <c r="B766" s="23"/>
      <c r="D766" s="25"/>
      <c r="E766" s="25"/>
      <c r="M766" s="12"/>
      <c r="N766" s="118"/>
      <c r="O766" s="118"/>
      <c r="P766" s="118"/>
      <c r="Q766" s="118"/>
    </row>
    <row r="767" spans="2:17" ht="14.25" customHeight="1" x14ac:dyDescent="0.3">
      <c r="B767" s="23"/>
      <c r="D767" s="25"/>
      <c r="E767" s="25"/>
      <c r="M767" s="12"/>
      <c r="N767" s="118"/>
      <c r="O767" s="118"/>
      <c r="P767" s="118"/>
      <c r="Q767" s="118"/>
    </row>
    <row r="768" spans="2:17" ht="14.25" customHeight="1" x14ac:dyDescent="0.3">
      <c r="B768" s="23"/>
      <c r="D768" s="25"/>
      <c r="E768" s="25"/>
      <c r="M768" s="12"/>
      <c r="N768" s="118"/>
      <c r="O768" s="118"/>
      <c r="P768" s="118"/>
      <c r="Q768" s="118"/>
    </row>
    <row r="769" spans="2:17" ht="14.25" customHeight="1" x14ac:dyDescent="0.3">
      <c r="B769" s="23"/>
      <c r="D769" s="25"/>
      <c r="E769" s="25"/>
      <c r="M769" s="12"/>
      <c r="N769" s="118"/>
      <c r="O769" s="118"/>
      <c r="P769" s="118"/>
      <c r="Q769" s="118"/>
    </row>
    <row r="770" spans="2:17" ht="14.25" customHeight="1" x14ac:dyDescent="0.3">
      <c r="B770" s="23"/>
      <c r="D770" s="25"/>
      <c r="E770" s="25"/>
      <c r="M770" s="12"/>
      <c r="N770" s="118"/>
      <c r="O770" s="118"/>
      <c r="P770" s="118"/>
      <c r="Q770" s="118"/>
    </row>
    <row r="771" spans="2:17" ht="14.25" customHeight="1" x14ac:dyDescent="0.3">
      <c r="B771" s="23"/>
      <c r="D771" s="25"/>
      <c r="E771" s="25"/>
      <c r="M771" s="12"/>
      <c r="N771" s="118"/>
      <c r="O771" s="118"/>
      <c r="P771" s="118"/>
      <c r="Q771" s="118"/>
    </row>
    <row r="772" spans="2:17" ht="14.25" customHeight="1" x14ac:dyDescent="0.3">
      <c r="B772" s="23"/>
      <c r="D772" s="25"/>
      <c r="E772" s="25"/>
      <c r="M772" s="12"/>
      <c r="N772" s="118"/>
      <c r="O772" s="118"/>
      <c r="P772" s="118"/>
      <c r="Q772" s="118"/>
    </row>
    <row r="773" spans="2:17" ht="14.25" customHeight="1" x14ac:dyDescent="0.3">
      <c r="B773" s="23"/>
      <c r="D773" s="25"/>
      <c r="E773" s="25"/>
      <c r="M773" s="12"/>
      <c r="N773" s="118"/>
      <c r="O773" s="118"/>
      <c r="P773" s="118"/>
      <c r="Q773" s="118"/>
    </row>
    <row r="774" spans="2:17" ht="14.25" customHeight="1" x14ac:dyDescent="0.3">
      <c r="B774" s="23"/>
      <c r="D774" s="25"/>
      <c r="E774" s="25"/>
      <c r="M774" s="12"/>
      <c r="N774" s="118"/>
      <c r="O774" s="118"/>
      <c r="P774" s="118"/>
      <c r="Q774" s="118"/>
    </row>
    <row r="775" spans="2:17" ht="14.25" customHeight="1" x14ac:dyDescent="0.3">
      <c r="B775" s="23"/>
      <c r="D775" s="25"/>
      <c r="E775" s="25"/>
      <c r="M775" s="12"/>
      <c r="N775" s="118"/>
      <c r="O775" s="118"/>
      <c r="P775" s="118"/>
      <c r="Q775" s="118"/>
    </row>
    <row r="776" spans="2:17" ht="14.25" customHeight="1" x14ac:dyDescent="0.3">
      <c r="B776" s="23"/>
      <c r="D776" s="25"/>
      <c r="E776" s="25"/>
      <c r="M776" s="12"/>
      <c r="N776" s="118"/>
      <c r="O776" s="118"/>
      <c r="P776" s="118"/>
      <c r="Q776" s="118"/>
    </row>
    <row r="777" spans="2:17" ht="14.25" customHeight="1" x14ac:dyDescent="0.3">
      <c r="B777" s="23"/>
      <c r="D777" s="25"/>
      <c r="E777" s="25"/>
      <c r="M777" s="12"/>
      <c r="N777" s="118"/>
      <c r="O777" s="118"/>
      <c r="P777" s="118"/>
      <c r="Q777" s="118"/>
    </row>
    <row r="778" spans="2:17" ht="14.25" customHeight="1" x14ac:dyDescent="0.3">
      <c r="B778" s="23"/>
      <c r="D778" s="25"/>
      <c r="E778" s="25"/>
      <c r="M778" s="12"/>
      <c r="N778" s="118"/>
      <c r="O778" s="118"/>
      <c r="P778" s="118"/>
      <c r="Q778" s="118"/>
    </row>
    <row r="779" spans="2:17" ht="14.25" customHeight="1" x14ac:dyDescent="0.3">
      <c r="B779" s="23"/>
      <c r="D779" s="25"/>
      <c r="E779" s="25"/>
      <c r="M779" s="12"/>
      <c r="N779" s="118"/>
      <c r="O779" s="118"/>
      <c r="P779" s="118"/>
      <c r="Q779" s="118"/>
    </row>
    <row r="780" spans="2:17" ht="14.25" customHeight="1" x14ac:dyDescent="0.3">
      <c r="B780" s="23"/>
      <c r="D780" s="25"/>
      <c r="E780" s="25"/>
      <c r="M780" s="12"/>
      <c r="N780" s="118"/>
      <c r="O780" s="118"/>
      <c r="P780" s="118"/>
      <c r="Q780" s="118"/>
    </row>
    <row r="781" spans="2:17" ht="14.25" customHeight="1" x14ac:dyDescent="0.3">
      <c r="B781" s="23"/>
      <c r="D781" s="25"/>
      <c r="E781" s="25"/>
      <c r="M781" s="12"/>
      <c r="N781" s="118"/>
      <c r="O781" s="118"/>
      <c r="P781" s="118"/>
      <c r="Q781" s="118"/>
    </row>
    <row r="782" spans="2:17" ht="14.25" customHeight="1" x14ac:dyDescent="0.3">
      <c r="B782" s="23"/>
      <c r="D782" s="25"/>
      <c r="E782" s="25"/>
      <c r="M782" s="12"/>
      <c r="N782" s="118"/>
      <c r="O782" s="118"/>
      <c r="P782" s="118"/>
      <c r="Q782" s="118"/>
    </row>
    <row r="783" spans="2:17" ht="14.25" customHeight="1" x14ac:dyDescent="0.3">
      <c r="B783" s="23"/>
      <c r="D783" s="25"/>
      <c r="E783" s="25"/>
      <c r="M783" s="12"/>
      <c r="N783" s="118"/>
      <c r="O783" s="118"/>
      <c r="P783" s="118"/>
      <c r="Q783" s="118"/>
    </row>
    <row r="784" spans="2:17" ht="14.25" customHeight="1" x14ac:dyDescent="0.3">
      <c r="B784" s="23"/>
      <c r="D784" s="25"/>
      <c r="E784" s="25"/>
      <c r="M784" s="12"/>
      <c r="N784" s="118"/>
      <c r="O784" s="118"/>
      <c r="P784" s="118"/>
      <c r="Q784" s="118"/>
    </row>
    <row r="785" spans="2:17" ht="14.25" customHeight="1" x14ac:dyDescent="0.3">
      <c r="B785" s="23"/>
      <c r="D785" s="25"/>
      <c r="E785" s="25"/>
      <c r="M785" s="12"/>
      <c r="N785" s="118"/>
      <c r="O785" s="118"/>
      <c r="P785" s="118"/>
      <c r="Q785" s="118"/>
    </row>
    <row r="786" spans="2:17" ht="14.25" customHeight="1" x14ac:dyDescent="0.3">
      <c r="B786" s="23"/>
      <c r="D786" s="25"/>
      <c r="E786" s="25"/>
      <c r="M786" s="12"/>
      <c r="N786" s="118"/>
      <c r="O786" s="118"/>
      <c r="P786" s="118"/>
      <c r="Q786" s="118"/>
    </row>
    <row r="787" spans="2:17" ht="14.25" customHeight="1" x14ac:dyDescent="0.3">
      <c r="B787" s="23"/>
      <c r="D787" s="25"/>
      <c r="E787" s="25"/>
      <c r="M787" s="12"/>
      <c r="N787" s="118"/>
      <c r="O787" s="118"/>
      <c r="P787" s="118"/>
      <c r="Q787" s="118"/>
    </row>
    <row r="788" spans="2:17" ht="14.25" customHeight="1" x14ac:dyDescent="0.3">
      <c r="B788" s="23"/>
      <c r="D788" s="25"/>
      <c r="E788" s="25"/>
      <c r="M788" s="12"/>
      <c r="N788" s="118"/>
      <c r="O788" s="118"/>
      <c r="P788" s="118"/>
      <c r="Q788" s="118"/>
    </row>
    <row r="789" spans="2:17" ht="14.25" customHeight="1" x14ac:dyDescent="0.3">
      <c r="B789" s="23"/>
      <c r="D789" s="25"/>
      <c r="E789" s="25"/>
      <c r="M789" s="12"/>
      <c r="N789" s="118"/>
      <c r="O789" s="118"/>
      <c r="P789" s="118"/>
      <c r="Q789" s="118"/>
    </row>
    <row r="790" spans="2:17" ht="14.25" customHeight="1" x14ac:dyDescent="0.3">
      <c r="B790" s="23"/>
      <c r="D790" s="25"/>
      <c r="E790" s="25"/>
      <c r="M790" s="12"/>
      <c r="N790" s="118"/>
      <c r="O790" s="118"/>
      <c r="P790" s="118"/>
      <c r="Q790" s="118"/>
    </row>
    <row r="791" spans="2:17" ht="14.25" customHeight="1" x14ac:dyDescent="0.3">
      <c r="B791" s="23"/>
      <c r="D791" s="25"/>
      <c r="E791" s="25"/>
      <c r="M791" s="12"/>
      <c r="N791" s="118"/>
      <c r="O791" s="118"/>
      <c r="P791" s="118"/>
      <c r="Q791" s="118"/>
    </row>
    <row r="792" spans="2:17" ht="14.25" customHeight="1" x14ac:dyDescent="0.3">
      <c r="B792" s="23"/>
      <c r="D792" s="25"/>
      <c r="E792" s="25"/>
      <c r="M792" s="12"/>
      <c r="N792" s="118"/>
      <c r="O792" s="118"/>
      <c r="P792" s="118"/>
      <c r="Q792" s="118"/>
    </row>
    <row r="793" spans="2:17" ht="14.25" customHeight="1" x14ac:dyDescent="0.3">
      <c r="B793" s="23"/>
      <c r="D793" s="25"/>
      <c r="E793" s="25"/>
      <c r="M793" s="12"/>
      <c r="N793" s="118"/>
      <c r="O793" s="118"/>
      <c r="P793" s="118"/>
      <c r="Q793" s="118"/>
    </row>
    <row r="794" spans="2:17" ht="14.25" customHeight="1" x14ac:dyDescent="0.3">
      <c r="B794" s="23"/>
      <c r="D794" s="25"/>
      <c r="E794" s="25"/>
      <c r="M794" s="12"/>
      <c r="N794" s="118"/>
      <c r="O794" s="118"/>
      <c r="P794" s="118"/>
      <c r="Q794" s="118"/>
    </row>
    <row r="795" spans="2:17" ht="14.25" customHeight="1" x14ac:dyDescent="0.3">
      <c r="B795" s="23"/>
      <c r="D795" s="25"/>
      <c r="E795" s="25"/>
      <c r="M795" s="12"/>
      <c r="N795" s="118"/>
      <c r="O795" s="118"/>
      <c r="P795" s="118"/>
      <c r="Q795" s="118"/>
    </row>
    <row r="796" spans="2:17" ht="14.25" customHeight="1" x14ac:dyDescent="0.3">
      <c r="B796" s="23"/>
      <c r="D796" s="25"/>
      <c r="E796" s="25"/>
      <c r="M796" s="12"/>
      <c r="N796" s="118"/>
      <c r="O796" s="118"/>
      <c r="P796" s="118"/>
      <c r="Q796" s="118"/>
    </row>
    <row r="797" spans="2:17" ht="14.25" customHeight="1" x14ac:dyDescent="0.3">
      <c r="B797" s="23"/>
      <c r="D797" s="25"/>
      <c r="E797" s="25"/>
      <c r="M797" s="12"/>
      <c r="N797" s="118"/>
      <c r="O797" s="118"/>
      <c r="P797" s="118"/>
      <c r="Q797" s="118"/>
    </row>
    <row r="798" spans="2:17" ht="14.25" customHeight="1" x14ac:dyDescent="0.3">
      <c r="B798" s="23"/>
      <c r="D798" s="25"/>
      <c r="E798" s="25"/>
      <c r="M798" s="12"/>
      <c r="N798" s="118"/>
      <c r="O798" s="118"/>
      <c r="P798" s="118"/>
      <c r="Q798" s="118"/>
    </row>
    <row r="799" spans="2:17" ht="14.25" customHeight="1" x14ac:dyDescent="0.3">
      <c r="B799" s="23"/>
      <c r="D799" s="25"/>
      <c r="E799" s="25"/>
      <c r="M799" s="12"/>
      <c r="N799" s="118"/>
      <c r="O799" s="118"/>
      <c r="P799" s="118"/>
      <c r="Q799" s="118"/>
    </row>
    <row r="800" spans="2:17" ht="14.25" customHeight="1" x14ac:dyDescent="0.3">
      <c r="B800" s="23"/>
      <c r="D800" s="25"/>
      <c r="E800" s="25"/>
      <c r="M800" s="12"/>
      <c r="N800" s="118"/>
      <c r="O800" s="118"/>
      <c r="P800" s="118"/>
      <c r="Q800" s="118"/>
    </row>
    <row r="801" spans="2:17" ht="14.25" customHeight="1" x14ac:dyDescent="0.3">
      <c r="B801" s="23"/>
      <c r="D801" s="25"/>
      <c r="E801" s="25"/>
      <c r="M801" s="12"/>
      <c r="N801" s="118"/>
      <c r="O801" s="118"/>
      <c r="P801" s="118"/>
      <c r="Q801" s="118"/>
    </row>
    <row r="802" spans="2:17" ht="14.25" customHeight="1" x14ac:dyDescent="0.3">
      <c r="B802" s="23"/>
      <c r="D802" s="25"/>
      <c r="E802" s="25"/>
      <c r="M802" s="12"/>
      <c r="N802" s="118"/>
      <c r="O802" s="118"/>
      <c r="P802" s="118"/>
      <c r="Q802" s="118"/>
    </row>
    <row r="803" spans="2:17" ht="14.25" customHeight="1" x14ac:dyDescent="0.3">
      <c r="B803" s="23"/>
      <c r="D803" s="25"/>
      <c r="E803" s="25"/>
      <c r="M803" s="12"/>
      <c r="N803" s="118"/>
      <c r="O803" s="118"/>
      <c r="P803" s="118"/>
      <c r="Q803" s="118"/>
    </row>
    <row r="804" spans="2:17" ht="14.25" customHeight="1" x14ac:dyDescent="0.3">
      <c r="B804" s="23"/>
      <c r="D804" s="25"/>
      <c r="E804" s="25"/>
      <c r="M804" s="12"/>
      <c r="N804" s="118"/>
      <c r="O804" s="118"/>
      <c r="P804" s="118"/>
      <c r="Q804" s="118"/>
    </row>
    <row r="805" spans="2:17" ht="14.25" customHeight="1" x14ac:dyDescent="0.3">
      <c r="B805" s="23"/>
      <c r="D805" s="25"/>
      <c r="E805" s="25"/>
      <c r="M805" s="12"/>
      <c r="N805" s="118"/>
      <c r="O805" s="118"/>
      <c r="P805" s="118"/>
      <c r="Q805" s="118"/>
    </row>
    <row r="806" spans="2:17" ht="14.25" customHeight="1" x14ac:dyDescent="0.3">
      <c r="B806" s="23"/>
      <c r="D806" s="25"/>
      <c r="E806" s="25"/>
      <c r="M806" s="12"/>
      <c r="N806" s="118"/>
      <c r="O806" s="118"/>
      <c r="P806" s="118"/>
      <c r="Q806" s="118"/>
    </row>
    <row r="807" spans="2:17" ht="14.25" customHeight="1" x14ac:dyDescent="0.3">
      <c r="B807" s="23"/>
      <c r="D807" s="25"/>
      <c r="E807" s="25"/>
      <c r="M807" s="12"/>
      <c r="N807" s="118"/>
      <c r="O807" s="118"/>
      <c r="P807" s="118"/>
      <c r="Q807" s="118"/>
    </row>
    <row r="808" spans="2:17" ht="14.25" customHeight="1" x14ac:dyDescent="0.3">
      <c r="B808" s="23"/>
      <c r="D808" s="25"/>
      <c r="E808" s="25"/>
      <c r="M808" s="12"/>
      <c r="N808" s="118"/>
      <c r="O808" s="118"/>
      <c r="P808" s="118"/>
      <c r="Q808" s="118"/>
    </row>
    <row r="809" spans="2:17" ht="14.25" customHeight="1" x14ac:dyDescent="0.3">
      <c r="B809" s="23"/>
      <c r="D809" s="25"/>
      <c r="E809" s="25"/>
      <c r="M809" s="12"/>
      <c r="N809" s="118"/>
      <c r="O809" s="118"/>
      <c r="P809" s="118"/>
      <c r="Q809" s="118"/>
    </row>
    <row r="810" spans="2:17" ht="14.25" customHeight="1" x14ac:dyDescent="0.3">
      <c r="B810" s="23"/>
      <c r="D810" s="25"/>
      <c r="E810" s="25"/>
      <c r="M810" s="12"/>
      <c r="N810" s="118"/>
      <c r="O810" s="118"/>
      <c r="P810" s="118"/>
      <c r="Q810" s="118"/>
    </row>
    <row r="811" spans="2:17" ht="14.25" customHeight="1" x14ac:dyDescent="0.3">
      <c r="B811" s="23"/>
      <c r="D811" s="25"/>
      <c r="E811" s="25"/>
      <c r="M811" s="12"/>
      <c r="N811" s="118"/>
      <c r="O811" s="118"/>
      <c r="P811" s="118"/>
      <c r="Q811" s="118"/>
    </row>
    <row r="812" spans="2:17" ht="14.25" customHeight="1" x14ac:dyDescent="0.3">
      <c r="B812" s="23"/>
      <c r="D812" s="25"/>
      <c r="E812" s="25"/>
      <c r="M812" s="12"/>
      <c r="N812" s="118"/>
      <c r="O812" s="118"/>
      <c r="P812" s="118"/>
      <c r="Q812" s="118"/>
    </row>
    <row r="813" spans="2:17" ht="14.25" customHeight="1" x14ac:dyDescent="0.3">
      <c r="B813" s="23"/>
      <c r="D813" s="25"/>
      <c r="E813" s="25"/>
      <c r="M813" s="12"/>
      <c r="N813" s="118"/>
      <c r="O813" s="118"/>
      <c r="P813" s="118"/>
      <c r="Q813" s="118"/>
    </row>
    <row r="814" spans="2:17" ht="14.25" customHeight="1" x14ac:dyDescent="0.3">
      <c r="B814" s="23"/>
      <c r="D814" s="25"/>
      <c r="E814" s="25"/>
      <c r="M814" s="12"/>
      <c r="N814" s="118"/>
      <c r="O814" s="118"/>
      <c r="P814" s="118"/>
      <c r="Q814" s="118"/>
    </row>
    <row r="815" spans="2:17" ht="14.25" customHeight="1" x14ac:dyDescent="0.3">
      <c r="B815" s="23"/>
      <c r="D815" s="25"/>
      <c r="E815" s="25"/>
      <c r="M815" s="12"/>
      <c r="N815" s="118"/>
      <c r="O815" s="118"/>
      <c r="P815" s="118"/>
      <c r="Q815" s="118"/>
    </row>
    <row r="816" spans="2:17" ht="14.25" customHeight="1" x14ac:dyDescent="0.3">
      <c r="B816" s="23"/>
      <c r="D816" s="25"/>
      <c r="E816" s="25"/>
      <c r="M816" s="12"/>
      <c r="N816" s="118"/>
      <c r="O816" s="118"/>
      <c r="P816" s="118"/>
      <c r="Q816" s="118"/>
    </row>
    <row r="817" spans="2:17" ht="14.25" customHeight="1" x14ac:dyDescent="0.3">
      <c r="B817" s="23"/>
      <c r="D817" s="25"/>
      <c r="E817" s="25"/>
      <c r="M817" s="12"/>
      <c r="N817" s="118"/>
      <c r="O817" s="118"/>
      <c r="P817" s="118"/>
      <c r="Q817" s="118"/>
    </row>
    <row r="818" spans="2:17" ht="14.25" customHeight="1" x14ac:dyDescent="0.3">
      <c r="B818" s="23"/>
      <c r="D818" s="25"/>
      <c r="E818" s="25"/>
      <c r="M818" s="12"/>
      <c r="N818" s="118"/>
      <c r="O818" s="118"/>
      <c r="P818" s="118"/>
      <c r="Q818" s="118"/>
    </row>
    <row r="819" spans="2:17" ht="14.25" customHeight="1" x14ac:dyDescent="0.3">
      <c r="B819" s="23"/>
      <c r="D819" s="25"/>
      <c r="E819" s="25"/>
      <c r="M819" s="12"/>
      <c r="N819" s="118"/>
      <c r="O819" s="118"/>
      <c r="P819" s="118"/>
      <c r="Q819" s="118"/>
    </row>
    <row r="820" spans="2:17" ht="14.25" customHeight="1" x14ac:dyDescent="0.3">
      <c r="B820" s="23"/>
      <c r="D820" s="25"/>
      <c r="E820" s="25"/>
      <c r="M820" s="12"/>
      <c r="N820" s="118"/>
      <c r="O820" s="118"/>
      <c r="P820" s="118"/>
      <c r="Q820" s="118"/>
    </row>
    <row r="821" spans="2:17" ht="14.25" customHeight="1" x14ac:dyDescent="0.3">
      <c r="B821" s="23"/>
      <c r="D821" s="25"/>
      <c r="E821" s="25"/>
      <c r="M821" s="12"/>
      <c r="N821" s="118"/>
      <c r="O821" s="118"/>
      <c r="P821" s="118"/>
      <c r="Q821" s="118"/>
    </row>
    <row r="822" spans="2:17" ht="14.25" customHeight="1" x14ac:dyDescent="0.3">
      <c r="B822" s="23"/>
      <c r="D822" s="25"/>
      <c r="E822" s="25"/>
      <c r="M822" s="12"/>
      <c r="N822" s="118"/>
      <c r="O822" s="118"/>
      <c r="P822" s="118"/>
      <c r="Q822" s="118"/>
    </row>
    <row r="823" spans="2:17" ht="14.25" customHeight="1" x14ac:dyDescent="0.3">
      <c r="B823" s="23"/>
      <c r="D823" s="25"/>
      <c r="E823" s="25"/>
      <c r="M823" s="12"/>
      <c r="N823" s="118"/>
      <c r="O823" s="118"/>
      <c r="P823" s="118"/>
      <c r="Q823" s="118"/>
    </row>
    <row r="824" spans="2:17" ht="14.25" customHeight="1" x14ac:dyDescent="0.3">
      <c r="B824" s="23"/>
      <c r="D824" s="25"/>
      <c r="E824" s="25"/>
      <c r="M824" s="12"/>
      <c r="N824" s="118"/>
      <c r="O824" s="118"/>
      <c r="P824" s="118"/>
      <c r="Q824" s="118"/>
    </row>
    <row r="825" spans="2:17" ht="14.25" customHeight="1" x14ac:dyDescent="0.3">
      <c r="B825" s="23"/>
      <c r="D825" s="25"/>
      <c r="E825" s="25"/>
      <c r="M825" s="12"/>
      <c r="N825" s="118"/>
      <c r="O825" s="118"/>
      <c r="P825" s="118"/>
      <c r="Q825" s="118"/>
    </row>
    <row r="826" spans="2:17" ht="14.25" customHeight="1" x14ac:dyDescent="0.3">
      <c r="B826" s="23"/>
      <c r="D826" s="25"/>
      <c r="E826" s="25"/>
      <c r="M826" s="12"/>
      <c r="N826" s="118"/>
      <c r="O826" s="118"/>
      <c r="P826" s="118"/>
      <c r="Q826" s="118"/>
    </row>
    <row r="827" spans="2:17" ht="14.25" customHeight="1" x14ac:dyDescent="0.3">
      <c r="B827" s="23"/>
      <c r="D827" s="25"/>
      <c r="E827" s="25"/>
      <c r="M827" s="12"/>
      <c r="N827" s="118"/>
      <c r="O827" s="118"/>
      <c r="P827" s="118"/>
      <c r="Q827" s="118"/>
    </row>
    <row r="828" spans="2:17" ht="14.25" customHeight="1" x14ac:dyDescent="0.3">
      <c r="B828" s="23"/>
      <c r="D828" s="25"/>
      <c r="E828" s="25"/>
      <c r="M828" s="12"/>
      <c r="N828" s="118"/>
      <c r="O828" s="118"/>
      <c r="P828" s="118"/>
      <c r="Q828" s="118"/>
    </row>
    <row r="829" spans="2:17" ht="14.25" customHeight="1" x14ac:dyDescent="0.3">
      <c r="B829" s="23"/>
      <c r="D829" s="25"/>
      <c r="E829" s="25"/>
      <c r="M829" s="12"/>
      <c r="N829" s="118"/>
      <c r="O829" s="118"/>
      <c r="P829" s="118"/>
      <c r="Q829" s="118"/>
    </row>
    <row r="830" spans="2:17" ht="14.25" customHeight="1" x14ac:dyDescent="0.3">
      <c r="B830" s="23"/>
      <c r="D830" s="25"/>
      <c r="E830" s="25"/>
      <c r="M830" s="12"/>
      <c r="N830" s="118"/>
      <c r="O830" s="118"/>
      <c r="P830" s="118"/>
      <c r="Q830" s="118"/>
    </row>
    <row r="831" spans="2:17" ht="14.25" customHeight="1" x14ac:dyDescent="0.3">
      <c r="B831" s="23"/>
      <c r="D831" s="25"/>
      <c r="E831" s="25"/>
      <c r="M831" s="12"/>
      <c r="N831" s="118"/>
      <c r="O831" s="118"/>
      <c r="P831" s="118"/>
      <c r="Q831" s="118"/>
    </row>
    <row r="832" spans="2:17" ht="14.25" customHeight="1" x14ac:dyDescent="0.3">
      <c r="B832" s="23"/>
      <c r="D832" s="25"/>
      <c r="E832" s="25"/>
      <c r="M832" s="12"/>
      <c r="N832" s="118"/>
      <c r="O832" s="118"/>
      <c r="P832" s="118"/>
      <c r="Q832" s="118"/>
    </row>
    <row r="833" spans="2:17" ht="14.25" customHeight="1" x14ac:dyDescent="0.3">
      <c r="B833" s="23"/>
      <c r="D833" s="25"/>
      <c r="E833" s="25"/>
      <c r="M833" s="12"/>
      <c r="N833" s="118"/>
      <c r="O833" s="118"/>
      <c r="P833" s="118"/>
      <c r="Q833" s="118"/>
    </row>
    <row r="834" spans="2:17" ht="14.25" customHeight="1" x14ac:dyDescent="0.3">
      <c r="B834" s="23"/>
      <c r="D834" s="25"/>
      <c r="E834" s="25"/>
      <c r="M834" s="12"/>
      <c r="N834" s="118"/>
      <c r="O834" s="118"/>
      <c r="P834" s="118"/>
      <c r="Q834" s="118"/>
    </row>
    <row r="835" spans="2:17" ht="14.25" customHeight="1" x14ac:dyDescent="0.3">
      <c r="B835" s="23"/>
      <c r="D835" s="25"/>
      <c r="E835" s="25"/>
      <c r="M835" s="12"/>
      <c r="N835" s="118"/>
      <c r="O835" s="118"/>
      <c r="P835" s="118"/>
      <c r="Q835" s="118"/>
    </row>
    <row r="836" spans="2:17" ht="14.25" customHeight="1" x14ac:dyDescent="0.3">
      <c r="B836" s="23"/>
      <c r="D836" s="25"/>
      <c r="E836" s="25"/>
      <c r="M836" s="12"/>
      <c r="N836" s="118"/>
      <c r="O836" s="118"/>
      <c r="P836" s="118"/>
      <c r="Q836" s="118"/>
    </row>
    <row r="837" spans="2:17" ht="14.25" customHeight="1" x14ac:dyDescent="0.3">
      <c r="B837" s="23"/>
      <c r="D837" s="25"/>
      <c r="E837" s="25"/>
      <c r="M837" s="12"/>
      <c r="N837" s="118"/>
      <c r="O837" s="118"/>
      <c r="P837" s="118"/>
      <c r="Q837" s="118"/>
    </row>
    <row r="838" spans="2:17" ht="14.25" customHeight="1" x14ac:dyDescent="0.3">
      <c r="B838" s="23"/>
      <c r="D838" s="25"/>
      <c r="E838" s="25"/>
      <c r="M838" s="12"/>
      <c r="N838" s="118"/>
      <c r="O838" s="118"/>
      <c r="P838" s="118"/>
      <c r="Q838" s="118"/>
    </row>
    <row r="839" spans="2:17" ht="14.25" customHeight="1" x14ac:dyDescent="0.3">
      <c r="B839" s="23"/>
      <c r="D839" s="25"/>
      <c r="E839" s="25"/>
      <c r="M839" s="12"/>
      <c r="N839" s="118"/>
      <c r="O839" s="118"/>
      <c r="P839" s="118"/>
      <c r="Q839" s="118"/>
    </row>
    <row r="840" spans="2:17" ht="14.25" customHeight="1" x14ac:dyDescent="0.3">
      <c r="B840" s="23"/>
      <c r="D840" s="25"/>
      <c r="E840" s="25"/>
      <c r="M840" s="12"/>
      <c r="N840" s="118"/>
      <c r="O840" s="118"/>
      <c r="P840" s="118"/>
      <c r="Q840" s="118"/>
    </row>
    <row r="841" spans="2:17" ht="14.25" customHeight="1" x14ac:dyDescent="0.3">
      <c r="B841" s="23"/>
      <c r="D841" s="25"/>
      <c r="E841" s="25"/>
      <c r="M841" s="12"/>
      <c r="N841" s="118"/>
      <c r="O841" s="118"/>
      <c r="P841" s="118"/>
      <c r="Q841" s="118"/>
    </row>
    <row r="842" spans="2:17" ht="14.25" customHeight="1" x14ac:dyDescent="0.3">
      <c r="B842" s="23"/>
      <c r="D842" s="25"/>
      <c r="E842" s="25"/>
      <c r="M842" s="12"/>
      <c r="N842" s="118"/>
      <c r="O842" s="118"/>
      <c r="P842" s="118"/>
      <c r="Q842" s="118"/>
    </row>
    <row r="843" spans="2:17" ht="14.25" customHeight="1" x14ac:dyDescent="0.3">
      <c r="B843" s="23"/>
      <c r="D843" s="25"/>
      <c r="E843" s="25"/>
      <c r="M843" s="12"/>
      <c r="N843" s="118"/>
      <c r="O843" s="118"/>
      <c r="P843" s="118"/>
      <c r="Q843" s="118"/>
    </row>
    <row r="844" spans="2:17" ht="14.25" customHeight="1" x14ac:dyDescent="0.3">
      <c r="B844" s="23"/>
      <c r="D844" s="25"/>
      <c r="E844" s="25"/>
      <c r="M844" s="12"/>
      <c r="N844" s="118"/>
      <c r="O844" s="118"/>
      <c r="P844" s="118"/>
      <c r="Q844" s="118"/>
    </row>
    <row r="845" spans="2:17" ht="14.25" customHeight="1" x14ac:dyDescent="0.3">
      <c r="B845" s="23"/>
      <c r="D845" s="25"/>
      <c r="E845" s="25"/>
      <c r="M845" s="12"/>
      <c r="N845" s="118"/>
      <c r="O845" s="118"/>
      <c r="P845" s="118"/>
      <c r="Q845" s="118"/>
    </row>
    <row r="846" spans="2:17" ht="14.25" customHeight="1" x14ac:dyDescent="0.3">
      <c r="B846" s="23"/>
      <c r="D846" s="25"/>
      <c r="E846" s="25"/>
      <c r="M846" s="12"/>
      <c r="N846" s="118"/>
      <c r="O846" s="118"/>
      <c r="P846" s="118"/>
      <c r="Q846" s="118"/>
    </row>
    <row r="847" spans="2:17" ht="14.25" customHeight="1" x14ac:dyDescent="0.3">
      <c r="B847" s="23"/>
      <c r="D847" s="25"/>
      <c r="E847" s="25"/>
      <c r="M847" s="12"/>
      <c r="N847" s="118"/>
      <c r="O847" s="118"/>
      <c r="P847" s="118"/>
      <c r="Q847" s="118"/>
    </row>
    <row r="848" spans="2:17" ht="14.25" customHeight="1" x14ac:dyDescent="0.3">
      <c r="B848" s="23"/>
      <c r="D848" s="25"/>
      <c r="E848" s="25"/>
      <c r="M848" s="12"/>
      <c r="N848" s="118"/>
      <c r="O848" s="118"/>
      <c r="P848" s="118"/>
      <c r="Q848" s="118"/>
    </row>
    <row r="849" spans="2:17" ht="14.25" customHeight="1" x14ac:dyDescent="0.3">
      <c r="B849" s="23"/>
      <c r="D849" s="25"/>
      <c r="E849" s="25"/>
      <c r="M849" s="12"/>
      <c r="N849" s="118"/>
      <c r="O849" s="118"/>
      <c r="P849" s="118"/>
      <c r="Q849" s="118"/>
    </row>
    <row r="850" spans="2:17" ht="14.25" customHeight="1" x14ac:dyDescent="0.3">
      <c r="B850" s="23"/>
      <c r="D850" s="25"/>
      <c r="E850" s="25"/>
      <c r="M850" s="12"/>
      <c r="N850" s="118"/>
      <c r="O850" s="118"/>
      <c r="P850" s="118"/>
      <c r="Q850" s="118"/>
    </row>
    <row r="851" spans="2:17" ht="14.25" customHeight="1" x14ac:dyDescent="0.3">
      <c r="B851" s="23"/>
      <c r="D851" s="25"/>
      <c r="E851" s="25"/>
      <c r="M851" s="12"/>
      <c r="N851" s="118"/>
      <c r="O851" s="118"/>
      <c r="P851" s="118"/>
      <c r="Q851" s="118"/>
    </row>
    <row r="852" spans="2:17" ht="14.25" customHeight="1" x14ac:dyDescent="0.3">
      <c r="B852" s="23"/>
      <c r="D852" s="25"/>
      <c r="E852" s="25"/>
      <c r="M852" s="12"/>
      <c r="N852" s="118"/>
      <c r="O852" s="118"/>
      <c r="P852" s="118"/>
      <c r="Q852" s="118"/>
    </row>
    <row r="853" spans="2:17" ht="14.25" customHeight="1" x14ac:dyDescent="0.3">
      <c r="B853" s="23"/>
      <c r="D853" s="25"/>
      <c r="E853" s="25"/>
      <c r="M853" s="12"/>
      <c r="N853" s="118"/>
      <c r="O853" s="118"/>
      <c r="P853" s="118"/>
      <c r="Q853" s="118"/>
    </row>
    <row r="854" spans="2:17" ht="14.25" customHeight="1" x14ac:dyDescent="0.3">
      <c r="B854" s="23"/>
      <c r="D854" s="25"/>
      <c r="E854" s="25"/>
      <c r="M854" s="12"/>
      <c r="N854" s="118"/>
      <c r="O854" s="118"/>
      <c r="P854" s="118"/>
      <c r="Q854" s="118"/>
    </row>
    <row r="855" spans="2:17" ht="14.25" customHeight="1" x14ac:dyDescent="0.3">
      <c r="B855" s="23"/>
      <c r="D855" s="25"/>
      <c r="E855" s="25"/>
      <c r="M855" s="12"/>
      <c r="N855" s="118"/>
      <c r="O855" s="118"/>
      <c r="P855" s="118"/>
      <c r="Q855" s="118"/>
    </row>
    <row r="856" spans="2:17" ht="14.25" customHeight="1" x14ac:dyDescent="0.3">
      <c r="B856" s="23"/>
      <c r="D856" s="25"/>
      <c r="E856" s="25"/>
      <c r="M856" s="12"/>
      <c r="N856" s="118"/>
      <c r="O856" s="118"/>
      <c r="P856" s="118"/>
      <c r="Q856" s="118"/>
    </row>
    <row r="857" spans="2:17" ht="14.25" customHeight="1" x14ac:dyDescent="0.3">
      <c r="B857" s="23"/>
      <c r="D857" s="25"/>
      <c r="E857" s="25"/>
      <c r="M857" s="12"/>
      <c r="N857" s="118"/>
      <c r="O857" s="118"/>
      <c r="P857" s="118"/>
      <c r="Q857" s="118"/>
    </row>
    <row r="858" spans="2:17" ht="14.25" customHeight="1" x14ac:dyDescent="0.3">
      <c r="B858" s="23"/>
      <c r="D858" s="25"/>
      <c r="E858" s="25"/>
      <c r="M858" s="12"/>
      <c r="N858" s="118"/>
      <c r="O858" s="118"/>
      <c r="P858" s="118"/>
      <c r="Q858" s="118"/>
    </row>
    <row r="859" spans="2:17" ht="14.25" customHeight="1" x14ac:dyDescent="0.3">
      <c r="B859" s="23"/>
      <c r="D859" s="25"/>
      <c r="E859" s="25"/>
      <c r="M859" s="12"/>
      <c r="N859" s="118"/>
      <c r="O859" s="118"/>
      <c r="P859" s="118"/>
      <c r="Q859" s="118"/>
    </row>
    <row r="860" spans="2:17" ht="14.25" customHeight="1" x14ac:dyDescent="0.3">
      <c r="B860" s="23"/>
      <c r="D860" s="25"/>
      <c r="E860" s="25"/>
      <c r="M860" s="12"/>
      <c r="N860" s="118"/>
      <c r="O860" s="118"/>
      <c r="P860" s="118"/>
      <c r="Q860" s="118"/>
    </row>
    <row r="861" spans="2:17" ht="14.25" customHeight="1" x14ac:dyDescent="0.3">
      <c r="B861" s="23"/>
      <c r="D861" s="25"/>
      <c r="E861" s="25"/>
      <c r="M861" s="12"/>
      <c r="N861" s="118"/>
      <c r="O861" s="118"/>
      <c r="P861" s="118"/>
      <c r="Q861" s="118"/>
    </row>
    <row r="862" spans="2:17" ht="14.25" customHeight="1" x14ac:dyDescent="0.3">
      <c r="B862" s="23"/>
      <c r="D862" s="25"/>
      <c r="E862" s="25"/>
      <c r="M862" s="12"/>
      <c r="N862" s="118"/>
      <c r="O862" s="118"/>
      <c r="P862" s="118"/>
      <c r="Q862" s="118"/>
    </row>
    <row r="863" spans="2:17" ht="14.25" customHeight="1" x14ac:dyDescent="0.3">
      <c r="B863" s="23"/>
      <c r="D863" s="25"/>
      <c r="E863" s="25"/>
      <c r="M863" s="12"/>
      <c r="N863" s="118"/>
      <c r="O863" s="118"/>
      <c r="P863" s="118"/>
      <c r="Q863" s="118"/>
    </row>
    <row r="864" spans="2:17" ht="14.25" customHeight="1" x14ac:dyDescent="0.3">
      <c r="B864" s="23"/>
      <c r="D864" s="25"/>
      <c r="E864" s="25"/>
      <c r="M864" s="12"/>
      <c r="N864" s="118"/>
      <c r="O864" s="118"/>
      <c r="P864" s="118"/>
      <c r="Q864" s="118"/>
    </row>
    <row r="865" spans="2:17" ht="14.25" customHeight="1" x14ac:dyDescent="0.3">
      <c r="B865" s="23"/>
      <c r="D865" s="25"/>
      <c r="E865" s="25"/>
      <c r="M865" s="12"/>
      <c r="N865" s="118"/>
      <c r="O865" s="118"/>
      <c r="P865" s="118"/>
      <c r="Q865" s="118"/>
    </row>
    <row r="866" spans="2:17" ht="14.25" customHeight="1" x14ac:dyDescent="0.3">
      <c r="B866" s="23"/>
      <c r="D866" s="25"/>
      <c r="E866" s="25"/>
      <c r="M866" s="12"/>
      <c r="N866" s="118"/>
      <c r="O866" s="118"/>
      <c r="P866" s="118"/>
      <c r="Q866" s="118"/>
    </row>
    <row r="867" spans="2:17" ht="14.25" customHeight="1" x14ac:dyDescent="0.3">
      <c r="B867" s="23"/>
      <c r="D867" s="25"/>
      <c r="E867" s="25"/>
      <c r="M867" s="12"/>
      <c r="N867" s="118"/>
      <c r="O867" s="118"/>
      <c r="P867" s="118"/>
      <c r="Q867" s="118"/>
    </row>
    <row r="868" spans="2:17" ht="14.25" customHeight="1" x14ac:dyDescent="0.3">
      <c r="B868" s="23"/>
      <c r="D868" s="25"/>
      <c r="E868" s="25"/>
      <c r="M868" s="12"/>
      <c r="N868" s="118"/>
      <c r="O868" s="118"/>
      <c r="P868" s="118"/>
      <c r="Q868" s="118"/>
    </row>
    <row r="869" spans="2:17" ht="14.25" customHeight="1" x14ac:dyDescent="0.3">
      <c r="B869" s="23"/>
      <c r="D869" s="25"/>
      <c r="E869" s="25"/>
      <c r="M869" s="12"/>
      <c r="N869" s="118"/>
      <c r="O869" s="118"/>
      <c r="P869" s="118"/>
      <c r="Q869" s="118"/>
    </row>
    <row r="870" spans="2:17" ht="14.25" customHeight="1" x14ac:dyDescent="0.3">
      <c r="B870" s="23"/>
      <c r="D870" s="25"/>
      <c r="E870" s="25"/>
      <c r="M870" s="12"/>
      <c r="N870" s="118"/>
      <c r="O870" s="118"/>
      <c r="P870" s="118"/>
      <c r="Q870" s="118"/>
    </row>
    <row r="871" spans="2:17" ht="14.25" customHeight="1" x14ac:dyDescent="0.3">
      <c r="B871" s="23"/>
      <c r="D871" s="25"/>
      <c r="E871" s="25"/>
      <c r="M871" s="12"/>
      <c r="N871" s="118"/>
      <c r="O871" s="118"/>
      <c r="P871" s="118"/>
      <c r="Q871" s="118"/>
    </row>
    <row r="872" spans="2:17" ht="14.25" customHeight="1" x14ac:dyDescent="0.3">
      <c r="B872" s="23"/>
      <c r="D872" s="25"/>
      <c r="E872" s="25"/>
      <c r="M872" s="12"/>
      <c r="N872" s="118"/>
      <c r="O872" s="118"/>
      <c r="P872" s="118"/>
      <c r="Q872" s="118"/>
    </row>
    <row r="873" spans="2:17" ht="14.25" customHeight="1" x14ac:dyDescent="0.3">
      <c r="B873" s="23"/>
      <c r="D873" s="25"/>
      <c r="E873" s="25"/>
      <c r="M873" s="12"/>
      <c r="N873" s="118"/>
      <c r="O873" s="118"/>
      <c r="P873" s="118"/>
      <c r="Q873" s="118"/>
    </row>
    <row r="874" spans="2:17" ht="14.25" customHeight="1" x14ac:dyDescent="0.3">
      <c r="B874" s="23"/>
      <c r="D874" s="25"/>
      <c r="E874" s="25"/>
      <c r="M874" s="12"/>
      <c r="N874" s="118"/>
      <c r="O874" s="118"/>
      <c r="P874" s="118"/>
      <c r="Q874" s="118"/>
    </row>
    <row r="875" spans="2:17" ht="14.25" customHeight="1" x14ac:dyDescent="0.3">
      <c r="B875" s="23"/>
      <c r="D875" s="25"/>
      <c r="E875" s="25"/>
      <c r="M875" s="12"/>
      <c r="N875" s="118"/>
      <c r="O875" s="118"/>
      <c r="P875" s="118"/>
      <c r="Q875" s="118"/>
    </row>
    <row r="876" spans="2:17" ht="14.25" customHeight="1" x14ac:dyDescent="0.3">
      <c r="B876" s="23"/>
      <c r="D876" s="25"/>
      <c r="E876" s="25"/>
      <c r="M876" s="12"/>
      <c r="N876" s="118"/>
      <c r="O876" s="118"/>
      <c r="P876" s="118"/>
      <c r="Q876" s="118"/>
    </row>
    <row r="877" spans="2:17" ht="14.25" customHeight="1" x14ac:dyDescent="0.3">
      <c r="B877" s="23"/>
      <c r="D877" s="25"/>
      <c r="E877" s="25"/>
      <c r="M877" s="12"/>
      <c r="N877" s="118"/>
      <c r="O877" s="118"/>
      <c r="P877" s="118"/>
      <c r="Q877" s="118"/>
    </row>
    <row r="878" spans="2:17" ht="14.25" customHeight="1" x14ac:dyDescent="0.3">
      <c r="B878" s="23"/>
      <c r="D878" s="25"/>
      <c r="E878" s="25"/>
      <c r="M878" s="12"/>
      <c r="N878" s="118"/>
      <c r="O878" s="118"/>
      <c r="P878" s="118"/>
      <c r="Q878" s="118"/>
    </row>
    <row r="879" spans="2:17" ht="14.25" customHeight="1" x14ac:dyDescent="0.3">
      <c r="B879" s="23"/>
      <c r="D879" s="25"/>
      <c r="E879" s="25"/>
      <c r="M879" s="12"/>
      <c r="N879" s="118"/>
      <c r="O879" s="118"/>
      <c r="P879" s="118"/>
      <c r="Q879" s="118"/>
    </row>
    <row r="880" spans="2:17" ht="14.25" customHeight="1" x14ac:dyDescent="0.3">
      <c r="B880" s="23"/>
      <c r="D880" s="25"/>
      <c r="E880" s="25"/>
      <c r="M880" s="12"/>
      <c r="N880" s="118"/>
      <c r="O880" s="118"/>
      <c r="P880" s="118"/>
      <c r="Q880" s="118"/>
    </row>
    <row r="881" spans="2:17" ht="14.25" customHeight="1" x14ac:dyDescent="0.3">
      <c r="B881" s="23"/>
      <c r="D881" s="25"/>
      <c r="E881" s="25"/>
      <c r="M881" s="12"/>
      <c r="N881" s="118"/>
      <c r="O881" s="118"/>
      <c r="P881" s="118"/>
      <c r="Q881" s="118"/>
    </row>
    <row r="882" spans="2:17" ht="14.25" customHeight="1" x14ac:dyDescent="0.3">
      <c r="B882" s="23"/>
      <c r="D882" s="25"/>
      <c r="E882" s="25"/>
      <c r="M882" s="12"/>
      <c r="N882" s="118"/>
      <c r="O882" s="118"/>
      <c r="P882" s="118"/>
      <c r="Q882" s="118"/>
    </row>
    <row r="883" spans="2:17" ht="14.25" customHeight="1" x14ac:dyDescent="0.3">
      <c r="B883" s="23"/>
      <c r="D883" s="25"/>
      <c r="E883" s="25"/>
      <c r="M883" s="12"/>
      <c r="N883" s="118"/>
      <c r="O883" s="118"/>
      <c r="P883" s="118"/>
      <c r="Q883" s="118"/>
    </row>
    <row r="884" spans="2:17" ht="14.25" customHeight="1" x14ac:dyDescent="0.3">
      <c r="B884" s="23"/>
      <c r="D884" s="25"/>
      <c r="E884" s="25"/>
      <c r="M884" s="12"/>
      <c r="N884" s="118"/>
      <c r="O884" s="118"/>
      <c r="P884" s="118"/>
      <c r="Q884" s="118"/>
    </row>
    <row r="885" spans="2:17" ht="14.25" customHeight="1" x14ac:dyDescent="0.3">
      <c r="B885" s="23"/>
      <c r="D885" s="25"/>
      <c r="E885" s="25"/>
      <c r="M885" s="12"/>
      <c r="N885" s="118"/>
      <c r="O885" s="118"/>
      <c r="P885" s="118"/>
      <c r="Q885" s="118"/>
    </row>
    <row r="886" spans="2:17" ht="14.25" customHeight="1" x14ac:dyDescent="0.3">
      <c r="B886" s="23"/>
      <c r="D886" s="25"/>
      <c r="E886" s="25"/>
      <c r="M886" s="12"/>
      <c r="N886" s="118"/>
      <c r="O886" s="118"/>
      <c r="P886" s="118"/>
      <c r="Q886" s="118"/>
    </row>
    <row r="887" spans="2:17" ht="14.25" customHeight="1" x14ac:dyDescent="0.3">
      <c r="B887" s="23"/>
      <c r="D887" s="25"/>
      <c r="E887" s="25"/>
      <c r="M887" s="12"/>
      <c r="N887" s="118"/>
      <c r="O887" s="118"/>
      <c r="P887" s="118"/>
      <c r="Q887" s="118"/>
    </row>
    <row r="888" spans="2:17" ht="14.25" customHeight="1" x14ac:dyDescent="0.3">
      <c r="B888" s="23"/>
      <c r="D888" s="25"/>
      <c r="E888" s="25"/>
      <c r="M888" s="12"/>
      <c r="N888" s="118"/>
      <c r="O888" s="118"/>
      <c r="P888" s="118"/>
      <c r="Q888" s="118"/>
    </row>
    <row r="889" spans="2:17" ht="14.25" customHeight="1" x14ac:dyDescent="0.3">
      <c r="B889" s="23"/>
      <c r="D889" s="25"/>
      <c r="E889" s="25"/>
      <c r="M889" s="12"/>
      <c r="N889" s="118"/>
      <c r="O889" s="118"/>
      <c r="P889" s="118"/>
      <c r="Q889" s="118"/>
    </row>
    <row r="890" spans="2:17" ht="14.25" customHeight="1" x14ac:dyDescent="0.3">
      <c r="B890" s="23"/>
      <c r="D890" s="25"/>
      <c r="E890" s="25"/>
      <c r="M890" s="12"/>
      <c r="N890" s="118"/>
      <c r="O890" s="118"/>
      <c r="P890" s="118"/>
      <c r="Q890" s="118"/>
    </row>
    <row r="891" spans="2:17" ht="14.25" customHeight="1" x14ac:dyDescent="0.3">
      <c r="B891" s="23"/>
      <c r="D891" s="25"/>
      <c r="E891" s="25"/>
      <c r="M891" s="12"/>
      <c r="N891" s="118"/>
      <c r="O891" s="118"/>
      <c r="P891" s="118"/>
      <c r="Q891" s="118"/>
    </row>
    <row r="892" spans="2:17" ht="14.25" customHeight="1" x14ac:dyDescent="0.3">
      <c r="B892" s="23"/>
      <c r="D892" s="25"/>
      <c r="E892" s="25"/>
      <c r="M892" s="12"/>
      <c r="N892" s="118"/>
      <c r="O892" s="118"/>
      <c r="P892" s="118"/>
      <c r="Q892" s="118"/>
    </row>
    <row r="893" spans="2:17" ht="14.25" customHeight="1" x14ac:dyDescent="0.3">
      <c r="B893" s="23"/>
      <c r="D893" s="25"/>
      <c r="E893" s="25"/>
      <c r="M893" s="12"/>
      <c r="N893" s="118"/>
      <c r="O893" s="118"/>
      <c r="P893" s="118"/>
      <c r="Q893" s="118"/>
    </row>
    <row r="894" spans="2:17" ht="14.25" customHeight="1" x14ac:dyDescent="0.3">
      <c r="B894" s="23"/>
      <c r="D894" s="25"/>
      <c r="E894" s="25"/>
      <c r="M894" s="12"/>
      <c r="N894" s="118"/>
      <c r="O894" s="118"/>
      <c r="P894" s="118"/>
      <c r="Q894" s="118"/>
    </row>
    <row r="895" spans="2:17" ht="14.25" customHeight="1" x14ac:dyDescent="0.3">
      <c r="B895" s="23"/>
      <c r="D895" s="25"/>
      <c r="E895" s="25"/>
      <c r="M895" s="12"/>
      <c r="N895" s="118"/>
      <c r="O895" s="118"/>
      <c r="P895" s="118"/>
      <c r="Q895" s="118"/>
    </row>
    <row r="896" spans="2:17" ht="14.25" customHeight="1" x14ac:dyDescent="0.3">
      <c r="B896" s="23"/>
      <c r="D896" s="25"/>
      <c r="E896" s="25"/>
      <c r="M896" s="12"/>
      <c r="N896" s="118"/>
      <c r="O896" s="118"/>
      <c r="P896" s="118"/>
      <c r="Q896" s="118"/>
    </row>
    <row r="897" spans="2:17" ht="14.25" customHeight="1" x14ac:dyDescent="0.3">
      <c r="B897" s="23"/>
      <c r="D897" s="25"/>
      <c r="E897" s="25"/>
      <c r="M897" s="12"/>
      <c r="N897" s="118"/>
      <c r="O897" s="118"/>
      <c r="P897" s="118"/>
      <c r="Q897" s="118"/>
    </row>
    <row r="898" spans="2:17" ht="14.25" customHeight="1" x14ac:dyDescent="0.3">
      <c r="B898" s="23"/>
      <c r="D898" s="25"/>
      <c r="E898" s="25"/>
      <c r="M898" s="12"/>
      <c r="N898" s="118"/>
      <c r="O898" s="118"/>
      <c r="P898" s="118"/>
      <c r="Q898" s="118"/>
    </row>
    <row r="899" spans="2:17" ht="14.25" customHeight="1" x14ac:dyDescent="0.3">
      <c r="B899" s="23"/>
      <c r="D899" s="25"/>
      <c r="E899" s="25"/>
      <c r="M899" s="12"/>
      <c r="N899" s="118"/>
      <c r="O899" s="118"/>
      <c r="P899" s="118"/>
      <c r="Q899" s="118"/>
    </row>
    <row r="900" spans="2:17" ht="14.25" customHeight="1" x14ac:dyDescent="0.3">
      <c r="B900" s="23"/>
      <c r="D900" s="25"/>
      <c r="E900" s="25"/>
      <c r="M900" s="12"/>
      <c r="N900" s="118"/>
      <c r="O900" s="118"/>
      <c r="P900" s="118"/>
      <c r="Q900" s="118"/>
    </row>
    <row r="901" spans="2:17" ht="14.25" customHeight="1" x14ac:dyDescent="0.3">
      <c r="B901" s="23"/>
      <c r="D901" s="25"/>
      <c r="E901" s="25"/>
      <c r="M901" s="12"/>
      <c r="N901" s="118"/>
      <c r="O901" s="118"/>
      <c r="P901" s="118"/>
      <c r="Q901" s="118"/>
    </row>
    <row r="902" spans="2:17" ht="14.25" customHeight="1" x14ac:dyDescent="0.3">
      <c r="B902" s="23"/>
      <c r="D902" s="25"/>
      <c r="E902" s="25"/>
      <c r="M902" s="12"/>
      <c r="N902" s="118"/>
      <c r="O902" s="118"/>
      <c r="P902" s="118"/>
      <c r="Q902" s="118"/>
    </row>
    <row r="903" spans="2:17" ht="14.25" customHeight="1" x14ac:dyDescent="0.3">
      <c r="B903" s="23"/>
      <c r="D903" s="25"/>
      <c r="E903" s="25"/>
      <c r="M903" s="12"/>
      <c r="N903" s="118"/>
      <c r="O903" s="118"/>
      <c r="P903" s="118"/>
      <c r="Q903" s="118"/>
    </row>
    <row r="904" spans="2:17" ht="14.25" customHeight="1" x14ac:dyDescent="0.3">
      <c r="B904" s="23"/>
      <c r="D904" s="25"/>
      <c r="E904" s="25"/>
      <c r="M904" s="12"/>
      <c r="N904" s="118"/>
      <c r="O904" s="118"/>
      <c r="P904" s="118"/>
      <c r="Q904" s="118"/>
    </row>
    <row r="905" spans="2:17" ht="14.25" customHeight="1" x14ac:dyDescent="0.3">
      <c r="B905" s="23"/>
      <c r="D905" s="25"/>
      <c r="E905" s="25"/>
      <c r="M905" s="12"/>
      <c r="N905" s="118"/>
      <c r="O905" s="118"/>
      <c r="P905" s="118"/>
      <c r="Q905" s="118"/>
    </row>
    <row r="906" spans="2:17" ht="14.25" customHeight="1" x14ac:dyDescent="0.3">
      <c r="B906" s="23"/>
      <c r="D906" s="25"/>
      <c r="E906" s="25"/>
      <c r="M906" s="12"/>
      <c r="N906" s="118"/>
      <c r="O906" s="118"/>
      <c r="P906" s="118"/>
      <c r="Q906" s="118"/>
    </row>
    <row r="907" spans="2:17" ht="14.25" customHeight="1" x14ac:dyDescent="0.3">
      <c r="B907" s="23"/>
      <c r="D907" s="25"/>
      <c r="E907" s="25"/>
      <c r="M907" s="12"/>
      <c r="N907" s="118"/>
      <c r="O907" s="118"/>
      <c r="P907" s="118"/>
      <c r="Q907" s="118"/>
    </row>
    <row r="908" spans="2:17" ht="14.25" customHeight="1" x14ac:dyDescent="0.3">
      <c r="B908" s="23"/>
      <c r="D908" s="25"/>
      <c r="E908" s="25"/>
      <c r="M908" s="12"/>
      <c r="N908" s="118"/>
      <c r="O908" s="118"/>
      <c r="P908" s="118"/>
      <c r="Q908" s="118"/>
    </row>
    <row r="909" spans="2:17" ht="14.25" customHeight="1" x14ac:dyDescent="0.3">
      <c r="B909" s="23"/>
      <c r="D909" s="25"/>
      <c r="E909" s="25"/>
      <c r="M909" s="12"/>
      <c r="N909" s="118"/>
      <c r="O909" s="118"/>
      <c r="P909" s="118"/>
      <c r="Q909" s="118"/>
    </row>
    <row r="910" spans="2:17" ht="14.25" customHeight="1" x14ac:dyDescent="0.3">
      <c r="B910" s="23"/>
      <c r="D910" s="25"/>
      <c r="E910" s="25"/>
      <c r="M910" s="12"/>
      <c r="N910" s="118"/>
      <c r="O910" s="118"/>
      <c r="P910" s="118"/>
      <c r="Q910" s="118"/>
    </row>
    <row r="911" spans="2:17" ht="14.25" customHeight="1" x14ac:dyDescent="0.3">
      <c r="B911" s="23"/>
      <c r="D911" s="25"/>
      <c r="E911" s="25"/>
      <c r="M911" s="12"/>
      <c r="N911" s="118"/>
      <c r="O911" s="118"/>
      <c r="P911" s="118"/>
      <c r="Q911" s="118"/>
    </row>
    <row r="912" spans="2:17" ht="14.25" customHeight="1" x14ac:dyDescent="0.3">
      <c r="B912" s="23"/>
      <c r="D912" s="25"/>
      <c r="E912" s="25"/>
      <c r="M912" s="12"/>
      <c r="N912" s="118"/>
      <c r="O912" s="118"/>
      <c r="P912" s="118"/>
      <c r="Q912" s="118"/>
    </row>
    <row r="913" spans="2:17" ht="14.25" customHeight="1" x14ac:dyDescent="0.3">
      <c r="B913" s="23"/>
      <c r="D913" s="25"/>
      <c r="E913" s="25"/>
      <c r="M913" s="12"/>
      <c r="N913" s="118"/>
      <c r="O913" s="118"/>
      <c r="P913" s="118"/>
      <c r="Q913" s="118"/>
    </row>
    <row r="914" spans="2:17" ht="14.25" customHeight="1" x14ac:dyDescent="0.3">
      <c r="B914" s="23"/>
      <c r="D914" s="25"/>
      <c r="E914" s="25"/>
      <c r="M914" s="12"/>
      <c r="N914" s="118"/>
      <c r="O914" s="118"/>
      <c r="P914" s="118"/>
      <c r="Q914" s="118"/>
    </row>
    <row r="915" spans="2:17" ht="14.25" customHeight="1" x14ac:dyDescent="0.3">
      <c r="B915" s="23"/>
      <c r="D915" s="25"/>
      <c r="E915" s="25"/>
      <c r="M915" s="12"/>
      <c r="N915" s="118"/>
      <c r="O915" s="118"/>
      <c r="P915" s="118"/>
      <c r="Q915" s="118"/>
    </row>
    <row r="916" spans="2:17" ht="14.25" customHeight="1" x14ac:dyDescent="0.3">
      <c r="B916" s="23"/>
      <c r="D916" s="25"/>
      <c r="E916" s="25"/>
      <c r="M916" s="12"/>
      <c r="N916" s="118"/>
      <c r="O916" s="118"/>
      <c r="P916" s="118"/>
      <c r="Q916" s="118"/>
    </row>
    <row r="917" spans="2:17" ht="14.25" customHeight="1" x14ac:dyDescent="0.3">
      <c r="B917" s="23"/>
      <c r="D917" s="25"/>
      <c r="E917" s="25"/>
      <c r="M917" s="12"/>
      <c r="N917" s="118"/>
      <c r="O917" s="118"/>
      <c r="P917" s="118"/>
      <c r="Q917" s="118"/>
    </row>
    <row r="918" spans="2:17" ht="14.25" customHeight="1" x14ac:dyDescent="0.3">
      <c r="B918" s="23"/>
      <c r="D918" s="25"/>
      <c r="E918" s="25"/>
      <c r="M918" s="12"/>
      <c r="N918" s="118"/>
      <c r="O918" s="118"/>
      <c r="P918" s="118"/>
      <c r="Q918" s="118"/>
    </row>
    <row r="919" spans="2:17" ht="14.25" customHeight="1" x14ac:dyDescent="0.3">
      <c r="B919" s="23"/>
      <c r="D919" s="25"/>
      <c r="E919" s="25"/>
      <c r="M919" s="12"/>
      <c r="N919" s="118"/>
      <c r="O919" s="118"/>
      <c r="P919" s="118"/>
      <c r="Q919" s="118"/>
    </row>
    <row r="920" spans="2:17" ht="14.25" customHeight="1" x14ac:dyDescent="0.3">
      <c r="B920" s="23"/>
      <c r="D920" s="25"/>
      <c r="E920" s="25"/>
      <c r="M920" s="12"/>
      <c r="N920" s="118"/>
      <c r="O920" s="118"/>
      <c r="P920" s="118"/>
      <c r="Q920" s="118"/>
    </row>
    <row r="921" spans="2:17" ht="14.25" customHeight="1" x14ac:dyDescent="0.3">
      <c r="B921" s="23"/>
      <c r="D921" s="25"/>
      <c r="E921" s="25"/>
      <c r="M921" s="12"/>
      <c r="N921" s="118"/>
      <c r="O921" s="118"/>
      <c r="P921" s="118"/>
      <c r="Q921" s="118"/>
    </row>
    <row r="922" spans="2:17" ht="14.25" customHeight="1" x14ac:dyDescent="0.3">
      <c r="B922" s="23"/>
      <c r="D922" s="25"/>
      <c r="E922" s="25"/>
      <c r="M922" s="12"/>
      <c r="N922" s="118"/>
      <c r="O922" s="118"/>
      <c r="P922" s="118"/>
      <c r="Q922" s="118"/>
    </row>
    <row r="923" spans="2:17" ht="14.25" customHeight="1" x14ac:dyDescent="0.3">
      <c r="B923" s="23"/>
      <c r="D923" s="25"/>
      <c r="E923" s="25"/>
      <c r="M923" s="12"/>
      <c r="N923" s="118"/>
      <c r="O923" s="118"/>
      <c r="P923" s="118"/>
      <c r="Q923" s="118"/>
    </row>
    <row r="924" spans="2:17" ht="14.25" customHeight="1" x14ac:dyDescent="0.3">
      <c r="B924" s="23"/>
      <c r="D924" s="25"/>
      <c r="E924" s="25"/>
      <c r="M924" s="12"/>
      <c r="N924" s="118"/>
      <c r="O924" s="118"/>
      <c r="P924" s="118"/>
      <c r="Q924" s="118"/>
    </row>
    <row r="925" spans="2:17" ht="14.25" customHeight="1" x14ac:dyDescent="0.3">
      <c r="B925" s="23"/>
      <c r="D925" s="25"/>
      <c r="E925" s="25"/>
      <c r="M925" s="12"/>
      <c r="N925" s="118"/>
      <c r="O925" s="118"/>
      <c r="P925" s="118"/>
      <c r="Q925" s="118"/>
    </row>
    <row r="926" spans="2:17" ht="14.25" customHeight="1" x14ac:dyDescent="0.3">
      <c r="B926" s="23"/>
      <c r="D926" s="25"/>
      <c r="E926" s="25"/>
      <c r="M926" s="12"/>
      <c r="N926" s="118"/>
      <c r="O926" s="118"/>
      <c r="P926" s="118"/>
      <c r="Q926" s="118"/>
    </row>
    <row r="927" spans="2:17" ht="14.25" customHeight="1" x14ac:dyDescent="0.3">
      <c r="B927" s="23"/>
      <c r="D927" s="25"/>
      <c r="E927" s="25"/>
      <c r="M927" s="12"/>
      <c r="N927" s="118"/>
      <c r="O927" s="118"/>
      <c r="P927" s="118"/>
      <c r="Q927" s="118"/>
    </row>
    <row r="928" spans="2:17" ht="14.25" customHeight="1" x14ac:dyDescent="0.3">
      <c r="B928" s="23"/>
      <c r="D928" s="25"/>
      <c r="E928" s="25"/>
      <c r="M928" s="12"/>
      <c r="N928" s="118"/>
      <c r="O928" s="118"/>
      <c r="P928" s="118"/>
      <c r="Q928" s="118"/>
    </row>
    <row r="929" spans="2:17" ht="14.25" customHeight="1" x14ac:dyDescent="0.3">
      <c r="B929" s="23"/>
      <c r="D929" s="25"/>
      <c r="E929" s="25"/>
      <c r="M929" s="12"/>
      <c r="N929" s="118"/>
      <c r="O929" s="118"/>
      <c r="P929" s="118"/>
      <c r="Q929" s="118"/>
    </row>
    <row r="930" spans="2:17" ht="14.25" customHeight="1" x14ac:dyDescent="0.3">
      <c r="B930" s="23"/>
      <c r="D930" s="25"/>
      <c r="E930" s="25"/>
      <c r="M930" s="12"/>
      <c r="N930" s="118"/>
      <c r="O930" s="118"/>
      <c r="P930" s="118"/>
      <c r="Q930" s="118"/>
    </row>
    <row r="931" spans="2:17" ht="14.25" customHeight="1" x14ac:dyDescent="0.3">
      <c r="B931" s="23"/>
      <c r="D931" s="25"/>
      <c r="E931" s="25"/>
      <c r="M931" s="12"/>
      <c r="N931" s="118"/>
      <c r="O931" s="118"/>
      <c r="P931" s="118"/>
      <c r="Q931" s="118"/>
    </row>
    <row r="932" spans="2:17" ht="14.25" customHeight="1" x14ac:dyDescent="0.3">
      <c r="B932" s="23"/>
      <c r="D932" s="25"/>
      <c r="E932" s="25"/>
      <c r="M932" s="12"/>
      <c r="N932" s="118"/>
      <c r="O932" s="118"/>
      <c r="P932" s="118"/>
      <c r="Q932" s="118"/>
    </row>
    <row r="933" spans="2:17" ht="14.25" customHeight="1" x14ac:dyDescent="0.3">
      <c r="B933" s="23"/>
      <c r="D933" s="25"/>
      <c r="E933" s="25"/>
      <c r="M933" s="12"/>
      <c r="N933" s="118"/>
      <c r="O933" s="118"/>
      <c r="P933" s="118"/>
      <c r="Q933" s="118"/>
    </row>
    <row r="934" spans="2:17" ht="14.25" customHeight="1" x14ac:dyDescent="0.3">
      <c r="B934" s="23"/>
      <c r="D934" s="25"/>
      <c r="E934" s="25"/>
      <c r="M934" s="12"/>
      <c r="N934" s="118"/>
      <c r="O934" s="118"/>
      <c r="P934" s="118"/>
      <c r="Q934" s="118"/>
    </row>
    <row r="935" spans="2:17" ht="14.25" customHeight="1" x14ac:dyDescent="0.3">
      <c r="B935" s="23"/>
      <c r="D935" s="25"/>
      <c r="E935" s="25"/>
      <c r="M935" s="12"/>
      <c r="N935" s="118"/>
      <c r="O935" s="118"/>
      <c r="P935" s="118"/>
      <c r="Q935" s="118"/>
    </row>
    <row r="936" spans="2:17" ht="14.25" customHeight="1" x14ac:dyDescent="0.3">
      <c r="B936" s="23"/>
      <c r="D936" s="25"/>
      <c r="E936" s="25"/>
      <c r="M936" s="12"/>
      <c r="N936" s="118"/>
      <c r="O936" s="118"/>
      <c r="P936" s="118"/>
      <c r="Q936" s="118"/>
    </row>
    <row r="937" spans="2:17" ht="14.25" customHeight="1" x14ac:dyDescent="0.3">
      <c r="B937" s="23"/>
      <c r="D937" s="25"/>
      <c r="E937" s="25"/>
      <c r="M937" s="12"/>
      <c r="N937" s="118"/>
      <c r="O937" s="118"/>
      <c r="P937" s="118"/>
      <c r="Q937" s="118"/>
    </row>
    <row r="938" spans="2:17" ht="14.25" customHeight="1" x14ac:dyDescent="0.3">
      <c r="B938" s="23"/>
      <c r="D938" s="25"/>
      <c r="E938" s="25"/>
      <c r="M938" s="12"/>
      <c r="N938" s="118"/>
      <c r="O938" s="118"/>
      <c r="P938" s="118"/>
      <c r="Q938" s="118"/>
    </row>
    <row r="939" spans="2:17" ht="14.25" customHeight="1" x14ac:dyDescent="0.3">
      <c r="B939" s="23"/>
      <c r="D939" s="25"/>
      <c r="E939" s="25"/>
      <c r="M939" s="12"/>
      <c r="N939" s="118"/>
      <c r="O939" s="118"/>
      <c r="P939" s="118"/>
      <c r="Q939" s="118"/>
    </row>
    <row r="940" spans="2:17" ht="14.25" customHeight="1" x14ac:dyDescent="0.3">
      <c r="B940" s="23"/>
      <c r="D940" s="25"/>
      <c r="E940" s="25"/>
      <c r="M940" s="12"/>
      <c r="N940" s="118"/>
      <c r="O940" s="118"/>
      <c r="P940" s="118"/>
      <c r="Q940" s="118"/>
    </row>
    <row r="941" spans="2:17" ht="14.25" customHeight="1" x14ac:dyDescent="0.3">
      <c r="B941" s="23"/>
      <c r="D941" s="25"/>
      <c r="E941" s="25"/>
      <c r="M941" s="12"/>
      <c r="N941" s="118"/>
      <c r="O941" s="118"/>
      <c r="P941" s="118"/>
      <c r="Q941" s="118"/>
    </row>
    <row r="942" spans="2:17" ht="14.25" customHeight="1" x14ac:dyDescent="0.3">
      <c r="B942" s="23"/>
      <c r="D942" s="25"/>
      <c r="E942" s="25"/>
      <c r="M942" s="12"/>
      <c r="N942" s="118"/>
      <c r="O942" s="118"/>
      <c r="P942" s="118"/>
      <c r="Q942" s="118"/>
    </row>
    <row r="943" spans="2:17" ht="14.25" customHeight="1" x14ac:dyDescent="0.3">
      <c r="B943" s="23"/>
      <c r="D943" s="25"/>
      <c r="E943" s="25"/>
      <c r="M943" s="12"/>
      <c r="N943" s="118"/>
      <c r="O943" s="118"/>
      <c r="P943" s="118"/>
      <c r="Q943" s="118"/>
    </row>
    <row r="944" spans="2:17" ht="14.25" customHeight="1" x14ac:dyDescent="0.3">
      <c r="B944" s="23"/>
      <c r="D944" s="25"/>
      <c r="E944" s="25"/>
      <c r="M944" s="12"/>
      <c r="N944" s="118"/>
      <c r="O944" s="118"/>
      <c r="P944" s="118"/>
      <c r="Q944" s="118"/>
    </row>
    <row r="945" spans="2:17" ht="14.25" customHeight="1" x14ac:dyDescent="0.3">
      <c r="B945" s="23"/>
      <c r="D945" s="25"/>
      <c r="E945" s="25"/>
      <c r="M945" s="12"/>
      <c r="N945" s="118"/>
      <c r="O945" s="118"/>
      <c r="P945" s="118"/>
      <c r="Q945" s="118"/>
    </row>
    <row r="946" spans="2:17" ht="14.25" customHeight="1" x14ac:dyDescent="0.3">
      <c r="B946" s="23"/>
      <c r="D946" s="25"/>
      <c r="E946" s="25"/>
      <c r="M946" s="12"/>
      <c r="N946" s="118"/>
      <c r="O946" s="118"/>
      <c r="P946" s="118"/>
      <c r="Q946" s="118"/>
    </row>
    <row r="947" spans="2:17" ht="14.25" customHeight="1" x14ac:dyDescent="0.3">
      <c r="B947" s="23"/>
      <c r="D947" s="25"/>
      <c r="E947" s="25"/>
      <c r="M947" s="12"/>
      <c r="N947" s="118"/>
      <c r="O947" s="118"/>
      <c r="P947" s="118"/>
      <c r="Q947" s="118"/>
    </row>
    <row r="948" spans="2:17" ht="14.25" customHeight="1" x14ac:dyDescent="0.3">
      <c r="B948" s="23"/>
      <c r="D948" s="25"/>
      <c r="E948" s="25"/>
      <c r="M948" s="12"/>
      <c r="N948" s="118"/>
      <c r="O948" s="118"/>
      <c r="P948" s="118"/>
      <c r="Q948" s="118"/>
    </row>
    <row r="949" spans="2:17" ht="14.25" customHeight="1" x14ac:dyDescent="0.3">
      <c r="B949" s="23"/>
      <c r="D949" s="25"/>
      <c r="E949" s="25"/>
      <c r="M949" s="12"/>
      <c r="N949" s="118"/>
      <c r="O949" s="118"/>
      <c r="P949" s="118"/>
      <c r="Q949" s="118"/>
    </row>
    <row r="950" spans="2:17" ht="14.25" customHeight="1" x14ac:dyDescent="0.3">
      <c r="B950" s="23"/>
      <c r="D950" s="25"/>
      <c r="E950" s="25"/>
      <c r="M950" s="12"/>
      <c r="N950" s="118"/>
      <c r="O950" s="118"/>
      <c r="P950" s="118"/>
      <c r="Q950" s="118"/>
    </row>
    <row r="951" spans="2:17" ht="14.25" customHeight="1" x14ac:dyDescent="0.3">
      <c r="B951" s="23"/>
      <c r="D951" s="25"/>
      <c r="E951" s="25"/>
      <c r="M951" s="12"/>
      <c r="N951" s="118"/>
      <c r="O951" s="118"/>
      <c r="P951" s="118"/>
      <c r="Q951" s="118"/>
    </row>
    <row r="952" spans="2:17" ht="14.25" customHeight="1" x14ac:dyDescent="0.3">
      <c r="B952" s="23"/>
      <c r="D952" s="25"/>
      <c r="E952" s="25"/>
      <c r="M952" s="12"/>
      <c r="N952" s="118"/>
      <c r="O952" s="118"/>
      <c r="P952" s="118"/>
      <c r="Q952" s="118"/>
    </row>
    <row r="953" spans="2:17" ht="14.25" customHeight="1" x14ac:dyDescent="0.3">
      <c r="B953" s="23"/>
      <c r="D953" s="25"/>
      <c r="E953" s="25"/>
      <c r="M953" s="12"/>
      <c r="N953" s="118"/>
      <c r="O953" s="118"/>
      <c r="P953" s="118"/>
      <c r="Q953" s="118"/>
    </row>
    <row r="954" spans="2:17" ht="14.25" customHeight="1" x14ac:dyDescent="0.3">
      <c r="B954" s="23"/>
      <c r="D954" s="25"/>
      <c r="E954" s="25"/>
      <c r="M954" s="12"/>
      <c r="N954" s="118"/>
      <c r="O954" s="118"/>
      <c r="P954" s="118"/>
      <c r="Q954" s="118"/>
    </row>
    <row r="955" spans="2:17" ht="14.25" customHeight="1" x14ac:dyDescent="0.3">
      <c r="B955" s="23"/>
      <c r="D955" s="25"/>
      <c r="E955" s="25"/>
      <c r="M955" s="12"/>
      <c r="N955" s="118"/>
      <c r="O955" s="118"/>
      <c r="P955" s="118"/>
      <c r="Q955" s="118"/>
    </row>
    <row r="956" spans="2:17" ht="14.25" customHeight="1" x14ac:dyDescent="0.3">
      <c r="B956" s="23"/>
      <c r="D956" s="25"/>
      <c r="E956" s="25"/>
      <c r="M956" s="12"/>
      <c r="N956" s="118"/>
      <c r="O956" s="118"/>
      <c r="P956" s="118"/>
      <c r="Q956" s="118"/>
    </row>
    <row r="957" spans="2:17" ht="14.25" customHeight="1" x14ac:dyDescent="0.3">
      <c r="B957" s="23"/>
      <c r="D957" s="25"/>
      <c r="E957" s="25"/>
      <c r="M957" s="12"/>
      <c r="N957" s="118"/>
      <c r="O957" s="118"/>
      <c r="P957" s="118"/>
      <c r="Q957" s="118"/>
    </row>
    <row r="958" spans="2:17" ht="14.25" customHeight="1" x14ac:dyDescent="0.3">
      <c r="B958" s="23"/>
      <c r="D958" s="25"/>
      <c r="E958" s="25"/>
      <c r="M958" s="12"/>
      <c r="N958" s="118"/>
      <c r="O958" s="118"/>
      <c r="P958" s="118"/>
      <c r="Q958" s="118"/>
    </row>
    <row r="959" spans="2:17" ht="14.25" customHeight="1" x14ac:dyDescent="0.3">
      <c r="B959" s="23"/>
      <c r="D959" s="25"/>
      <c r="E959" s="25"/>
      <c r="M959" s="12"/>
      <c r="N959" s="118"/>
      <c r="O959" s="118"/>
      <c r="P959" s="118"/>
      <c r="Q959" s="118"/>
    </row>
    <row r="960" spans="2:17" ht="14.25" customHeight="1" x14ac:dyDescent="0.3">
      <c r="B960" s="23"/>
      <c r="D960" s="25"/>
      <c r="E960" s="25"/>
      <c r="M960" s="12"/>
      <c r="N960" s="118"/>
      <c r="O960" s="118"/>
      <c r="P960" s="118"/>
      <c r="Q960" s="118"/>
    </row>
    <row r="961" spans="2:17" ht="14.25" customHeight="1" x14ac:dyDescent="0.3">
      <c r="B961" s="23"/>
      <c r="D961" s="25"/>
      <c r="E961" s="25"/>
      <c r="M961" s="12"/>
      <c r="N961" s="118"/>
      <c r="O961" s="118"/>
      <c r="P961" s="118"/>
      <c r="Q961" s="118"/>
    </row>
    <row r="962" spans="2:17" ht="14.25" customHeight="1" x14ac:dyDescent="0.3">
      <c r="B962" s="23"/>
      <c r="D962" s="25"/>
      <c r="E962" s="25"/>
      <c r="M962" s="12"/>
      <c r="N962" s="118"/>
      <c r="O962" s="118"/>
      <c r="P962" s="118"/>
      <c r="Q962" s="118"/>
    </row>
    <row r="963" spans="2:17" ht="14.25" customHeight="1" x14ac:dyDescent="0.3">
      <c r="B963" s="23"/>
      <c r="D963" s="25"/>
      <c r="E963" s="25"/>
      <c r="M963" s="12"/>
      <c r="N963" s="118"/>
      <c r="O963" s="118"/>
      <c r="P963" s="118"/>
      <c r="Q963" s="118"/>
    </row>
    <row r="964" spans="2:17" ht="14.25" customHeight="1" x14ac:dyDescent="0.3">
      <c r="B964" s="23"/>
      <c r="D964" s="25"/>
      <c r="E964" s="25"/>
      <c r="M964" s="12"/>
      <c r="N964" s="118"/>
      <c r="O964" s="118"/>
      <c r="P964" s="118"/>
      <c r="Q964" s="118"/>
    </row>
    <row r="965" spans="2:17" ht="14.25" customHeight="1" x14ac:dyDescent="0.3">
      <c r="B965" s="23"/>
      <c r="D965" s="25"/>
      <c r="E965" s="25"/>
      <c r="M965" s="12"/>
      <c r="N965" s="118"/>
      <c r="O965" s="118"/>
      <c r="P965" s="118"/>
      <c r="Q965" s="118"/>
    </row>
    <row r="966" spans="2:17" ht="14.25" customHeight="1" x14ac:dyDescent="0.3">
      <c r="B966" s="23"/>
      <c r="D966" s="25"/>
      <c r="E966" s="25"/>
      <c r="M966" s="12"/>
      <c r="N966" s="118"/>
      <c r="O966" s="118"/>
      <c r="P966" s="118"/>
      <c r="Q966" s="118"/>
    </row>
    <row r="967" spans="2:17" ht="14.25" customHeight="1" x14ac:dyDescent="0.3">
      <c r="B967" s="23"/>
      <c r="D967" s="25"/>
      <c r="E967" s="25"/>
      <c r="M967" s="12"/>
      <c r="N967" s="118"/>
      <c r="O967" s="118"/>
      <c r="P967" s="118"/>
      <c r="Q967" s="118"/>
    </row>
    <row r="968" spans="2:17" ht="14.25" customHeight="1" x14ac:dyDescent="0.3">
      <c r="B968" s="23"/>
      <c r="D968" s="25"/>
      <c r="E968" s="25"/>
      <c r="M968" s="12"/>
      <c r="N968" s="118"/>
      <c r="O968" s="118"/>
      <c r="P968" s="118"/>
      <c r="Q968" s="118"/>
    </row>
    <row r="969" spans="2:17" ht="14.25" customHeight="1" x14ac:dyDescent="0.3">
      <c r="B969" s="23"/>
      <c r="D969" s="25"/>
      <c r="E969" s="25"/>
      <c r="M969" s="12"/>
      <c r="N969" s="118"/>
      <c r="O969" s="118"/>
      <c r="P969" s="118"/>
      <c r="Q969" s="118"/>
    </row>
    <row r="970" spans="2:17" ht="14.25" customHeight="1" x14ac:dyDescent="0.3">
      <c r="B970" s="23"/>
      <c r="D970" s="25"/>
      <c r="E970" s="25"/>
      <c r="M970" s="12"/>
      <c r="N970" s="118"/>
      <c r="O970" s="118"/>
      <c r="P970" s="118"/>
      <c r="Q970" s="118"/>
    </row>
    <row r="971" spans="2:17" ht="14.25" customHeight="1" x14ac:dyDescent="0.3">
      <c r="B971" s="23"/>
      <c r="D971" s="25"/>
      <c r="E971" s="25"/>
      <c r="M971" s="12"/>
      <c r="N971" s="118"/>
      <c r="O971" s="118"/>
      <c r="P971" s="118"/>
      <c r="Q971" s="118"/>
    </row>
    <row r="972" spans="2:17" ht="14.25" customHeight="1" x14ac:dyDescent="0.3">
      <c r="B972" s="23"/>
      <c r="D972" s="25"/>
      <c r="E972" s="25"/>
      <c r="M972" s="12"/>
      <c r="N972" s="118"/>
      <c r="O972" s="118"/>
      <c r="P972" s="118"/>
      <c r="Q972" s="118"/>
    </row>
    <row r="973" spans="2:17" ht="14.25" customHeight="1" x14ac:dyDescent="0.3">
      <c r="B973" s="23"/>
      <c r="D973" s="25"/>
      <c r="E973" s="25"/>
      <c r="M973" s="12"/>
      <c r="N973" s="118"/>
      <c r="O973" s="118"/>
      <c r="P973" s="118"/>
      <c r="Q973" s="118"/>
    </row>
    <row r="974" spans="2:17" ht="14.25" customHeight="1" x14ac:dyDescent="0.3">
      <c r="B974" s="23"/>
      <c r="D974" s="25"/>
      <c r="E974" s="25"/>
      <c r="M974" s="12"/>
      <c r="N974" s="118"/>
      <c r="O974" s="118"/>
      <c r="P974" s="118"/>
      <c r="Q974" s="118"/>
    </row>
    <row r="975" spans="2:17" ht="14.25" customHeight="1" x14ac:dyDescent="0.3">
      <c r="B975" s="23"/>
      <c r="D975" s="25"/>
      <c r="E975" s="25"/>
      <c r="M975" s="12"/>
      <c r="N975" s="118"/>
      <c r="O975" s="118"/>
      <c r="P975" s="118"/>
      <c r="Q975" s="118"/>
    </row>
    <row r="976" spans="2:17" ht="14.25" customHeight="1" x14ac:dyDescent="0.3">
      <c r="B976" s="23"/>
      <c r="D976" s="25"/>
      <c r="E976" s="25"/>
      <c r="M976" s="12"/>
      <c r="N976" s="118"/>
      <c r="O976" s="118"/>
      <c r="P976" s="118"/>
      <c r="Q976" s="118"/>
    </row>
    <row r="977" spans="2:17" ht="14.25" customHeight="1" x14ac:dyDescent="0.3">
      <c r="B977" s="23"/>
      <c r="D977" s="25"/>
      <c r="E977" s="25"/>
      <c r="M977" s="12"/>
      <c r="N977" s="118"/>
      <c r="O977" s="118"/>
      <c r="P977" s="118"/>
      <c r="Q977" s="118"/>
    </row>
    <row r="978" spans="2:17" ht="14.25" customHeight="1" x14ac:dyDescent="0.3">
      <c r="B978" s="23"/>
      <c r="D978" s="25"/>
      <c r="E978" s="25"/>
      <c r="M978" s="12"/>
      <c r="N978" s="118"/>
      <c r="O978" s="118"/>
      <c r="P978" s="118"/>
      <c r="Q978" s="118"/>
    </row>
    <row r="979" spans="2:17" ht="14.25" customHeight="1" x14ac:dyDescent="0.3">
      <c r="B979" s="23"/>
      <c r="D979" s="25"/>
      <c r="E979" s="25"/>
      <c r="M979" s="12"/>
      <c r="N979" s="118"/>
      <c r="O979" s="118"/>
      <c r="P979" s="118"/>
      <c r="Q979" s="118"/>
    </row>
    <row r="980" spans="2:17" ht="14.25" customHeight="1" x14ac:dyDescent="0.3">
      <c r="B980" s="23"/>
      <c r="D980" s="25"/>
      <c r="E980" s="25"/>
      <c r="M980" s="12"/>
      <c r="N980" s="118"/>
      <c r="O980" s="118"/>
      <c r="P980" s="118"/>
      <c r="Q980" s="118"/>
    </row>
    <row r="981" spans="2:17" ht="14.25" customHeight="1" x14ac:dyDescent="0.3">
      <c r="B981" s="23"/>
      <c r="D981" s="25"/>
      <c r="E981" s="25"/>
      <c r="M981" s="12"/>
      <c r="N981" s="118"/>
      <c r="O981" s="118"/>
      <c r="P981" s="118"/>
      <c r="Q981" s="118"/>
    </row>
    <row r="982" spans="2:17" ht="14.25" customHeight="1" x14ac:dyDescent="0.3">
      <c r="B982" s="23"/>
      <c r="D982" s="25"/>
      <c r="E982" s="25"/>
      <c r="M982" s="12"/>
      <c r="N982" s="118"/>
      <c r="O982" s="118"/>
      <c r="P982" s="118"/>
      <c r="Q982" s="118"/>
    </row>
    <row r="983" spans="2:17" ht="14.25" customHeight="1" x14ac:dyDescent="0.3">
      <c r="B983" s="23"/>
      <c r="D983" s="25"/>
      <c r="E983" s="25"/>
      <c r="M983" s="12"/>
      <c r="N983" s="118"/>
      <c r="O983" s="118"/>
      <c r="P983" s="118"/>
      <c r="Q983" s="118"/>
    </row>
    <row r="984" spans="2:17" ht="14.25" customHeight="1" x14ac:dyDescent="0.3">
      <c r="B984" s="23"/>
      <c r="D984" s="25"/>
      <c r="E984" s="25"/>
      <c r="M984" s="12"/>
      <c r="N984" s="118"/>
      <c r="O984" s="118"/>
      <c r="P984" s="118"/>
      <c r="Q984" s="118"/>
    </row>
    <row r="985" spans="2:17" ht="14.25" customHeight="1" x14ac:dyDescent="0.3">
      <c r="B985" s="23"/>
      <c r="D985" s="25"/>
      <c r="E985" s="25"/>
      <c r="M985" s="12"/>
      <c r="N985" s="118"/>
      <c r="O985" s="118"/>
      <c r="P985" s="118"/>
      <c r="Q985" s="118"/>
    </row>
    <row r="986" spans="2:17" ht="14.25" customHeight="1" x14ac:dyDescent="0.3">
      <c r="B986" s="23"/>
      <c r="D986" s="25"/>
      <c r="E986" s="25"/>
      <c r="M986" s="12"/>
      <c r="N986" s="118"/>
      <c r="O986" s="118"/>
      <c r="P986" s="118"/>
      <c r="Q986" s="118"/>
    </row>
    <row r="987" spans="2:17" ht="14.25" customHeight="1" x14ac:dyDescent="0.3">
      <c r="B987" s="23"/>
      <c r="D987" s="25"/>
      <c r="E987" s="25"/>
      <c r="M987" s="12"/>
      <c r="N987" s="118"/>
      <c r="O987" s="118"/>
      <c r="P987" s="118"/>
      <c r="Q987" s="118"/>
    </row>
    <row r="988" spans="2:17" ht="14.25" customHeight="1" x14ac:dyDescent="0.3">
      <c r="B988" s="23"/>
      <c r="D988" s="25"/>
      <c r="E988" s="25"/>
      <c r="M988" s="12"/>
      <c r="N988" s="118"/>
      <c r="O988" s="118"/>
      <c r="P988" s="118"/>
      <c r="Q988" s="118"/>
    </row>
    <row r="989" spans="2:17" ht="14.25" customHeight="1" x14ac:dyDescent="0.3">
      <c r="B989" s="23"/>
      <c r="D989" s="25"/>
      <c r="E989" s="25"/>
      <c r="M989" s="12"/>
      <c r="N989" s="118"/>
      <c r="O989" s="118"/>
      <c r="P989" s="118"/>
      <c r="Q989" s="118"/>
    </row>
    <row r="990" spans="2:17" ht="14.25" customHeight="1" x14ac:dyDescent="0.3">
      <c r="B990" s="23"/>
      <c r="D990" s="25"/>
      <c r="E990" s="25"/>
      <c r="M990" s="12"/>
      <c r="N990" s="118"/>
      <c r="O990" s="118"/>
      <c r="P990" s="118"/>
      <c r="Q990" s="118"/>
    </row>
    <row r="991" spans="2:17" ht="14.25" customHeight="1" x14ac:dyDescent="0.3">
      <c r="B991" s="23"/>
      <c r="D991" s="25"/>
      <c r="E991" s="25"/>
      <c r="M991" s="12"/>
      <c r="N991" s="118"/>
      <c r="O991" s="118"/>
      <c r="P991" s="118"/>
      <c r="Q991" s="118"/>
    </row>
    <row r="992" spans="2:17" ht="14.25" customHeight="1" x14ac:dyDescent="0.3">
      <c r="B992" s="23"/>
      <c r="D992" s="25"/>
      <c r="E992" s="25"/>
      <c r="M992" s="12"/>
      <c r="N992" s="118"/>
      <c r="O992" s="118"/>
      <c r="P992" s="118"/>
      <c r="Q992" s="118"/>
    </row>
    <row r="993" spans="2:17" ht="14.25" customHeight="1" x14ac:dyDescent="0.3">
      <c r="B993" s="23"/>
      <c r="D993" s="25"/>
      <c r="E993" s="25"/>
      <c r="M993" s="12"/>
      <c r="N993" s="118"/>
      <c r="O993" s="118"/>
      <c r="P993" s="118"/>
      <c r="Q993" s="118"/>
    </row>
    <row r="994" spans="2:17" ht="14.25" customHeight="1" x14ac:dyDescent="0.3">
      <c r="B994" s="23"/>
      <c r="D994" s="25"/>
      <c r="E994" s="25"/>
      <c r="M994" s="12"/>
      <c r="N994" s="118"/>
      <c r="O994" s="118"/>
      <c r="P994" s="118"/>
      <c r="Q994" s="118"/>
    </row>
    <row r="995" spans="2:17" ht="14.25" customHeight="1" x14ac:dyDescent="0.3">
      <c r="B995" s="23"/>
      <c r="D995" s="25"/>
      <c r="E995" s="25"/>
      <c r="M995" s="12"/>
      <c r="N995" s="118"/>
      <c r="O995" s="118"/>
      <c r="P995" s="118"/>
      <c r="Q995" s="118"/>
    </row>
    <row r="996" spans="2:17" ht="14.25" customHeight="1" x14ac:dyDescent="0.3">
      <c r="B996" s="23"/>
      <c r="D996" s="25"/>
      <c r="E996" s="25"/>
      <c r="M996" s="12"/>
      <c r="N996" s="118"/>
      <c r="O996" s="118"/>
      <c r="P996" s="118"/>
      <c r="Q996" s="118"/>
    </row>
    <row r="997" spans="2:17" ht="14.25" customHeight="1" x14ac:dyDescent="0.3">
      <c r="B997" s="23"/>
      <c r="D997" s="25"/>
      <c r="E997" s="25"/>
      <c r="M997" s="12"/>
      <c r="N997" s="118"/>
      <c r="O997" s="118"/>
      <c r="P997" s="118"/>
      <c r="Q997" s="118"/>
    </row>
    <row r="998" spans="2:17" ht="14.25" customHeight="1" x14ac:dyDescent="0.3">
      <c r="B998" s="23"/>
      <c r="D998" s="25"/>
      <c r="E998" s="25"/>
      <c r="M998" s="12"/>
      <c r="N998" s="118"/>
      <c r="O998" s="118"/>
      <c r="P998" s="118"/>
      <c r="Q998" s="118"/>
    </row>
    <row r="999" spans="2:17" ht="14.25" customHeight="1" x14ac:dyDescent="0.3">
      <c r="B999" s="23"/>
      <c r="D999" s="25"/>
      <c r="E999" s="25"/>
      <c r="M999" s="12"/>
      <c r="N999" s="118"/>
      <c r="O999" s="118"/>
      <c r="P999" s="118"/>
      <c r="Q999" s="118"/>
    </row>
    <row r="1000" spans="2:17" ht="14.25" customHeight="1" x14ac:dyDescent="0.3">
      <c r="B1000" s="23"/>
      <c r="D1000" s="25"/>
      <c r="E1000" s="25"/>
      <c r="M1000" s="12"/>
      <c r="N1000" s="118"/>
      <c r="O1000" s="118"/>
      <c r="P1000" s="118"/>
      <c r="Q1000" s="118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H4" sqref="H4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49" t="s">
        <v>548</v>
      </c>
      <c r="B1" s="350">
        <f>SUM(D1:D3)</f>
        <v>284749.59999999998</v>
      </c>
      <c r="C1" s="351" t="s">
        <v>549</v>
      </c>
      <c r="D1" s="352">
        <v>162500</v>
      </c>
      <c r="E1" s="353" t="s">
        <v>550</v>
      </c>
      <c r="F1" s="354" t="s">
        <v>551</v>
      </c>
      <c r="G1" s="354" t="s">
        <v>552</v>
      </c>
      <c r="H1" s="354" t="s">
        <v>553</v>
      </c>
      <c r="I1" s="350" t="s">
        <v>554</v>
      </c>
      <c r="J1" s="353" t="s">
        <v>555</v>
      </c>
      <c r="K1" s="354" t="s">
        <v>556</v>
      </c>
      <c r="L1" s="350" t="s">
        <v>254</v>
      </c>
      <c r="M1" s="565" t="s">
        <v>557</v>
      </c>
      <c r="N1" s="552"/>
      <c r="Q1" s="25"/>
      <c r="R1" s="25"/>
      <c r="S1" s="25"/>
    </row>
    <row r="2" spans="1:19" ht="14.4" x14ac:dyDescent="0.3">
      <c r="A2" s="355" t="s">
        <v>558</v>
      </c>
      <c r="B2" s="356">
        <v>0.65</v>
      </c>
      <c r="C2" s="357" t="s">
        <v>559</v>
      </c>
      <c r="D2" s="358">
        <v>104249.60000000001</v>
      </c>
      <c r="E2" s="359" t="s">
        <v>560</v>
      </c>
      <c r="F2" s="360">
        <v>2420</v>
      </c>
      <c r="G2" s="360">
        <v>3519</v>
      </c>
      <c r="H2" s="360">
        <v>4397</v>
      </c>
      <c r="I2" s="358">
        <v>0</v>
      </c>
      <c r="J2" s="361" t="s">
        <v>561</v>
      </c>
      <c r="K2" s="362">
        <f>'Combined Retirement'!B22</f>
        <v>34444.46742778919</v>
      </c>
      <c r="L2" s="363">
        <f>'Combined Retirement'!B24</f>
        <v>2870.372285649099</v>
      </c>
      <c r="M2" s="359" t="s">
        <v>562</v>
      </c>
      <c r="N2" s="364">
        <f>'Combined Retirement'!N1</f>
        <v>0.21977797398773583</v>
      </c>
      <c r="Q2" s="25"/>
      <c r="R2" s="25"/>
      <c r="S2" s="25"/>
    </row>
    <row r="3" spans="1:19" ht="14.4" x14ac:dyDescent="0.3">
      <c r="A3" s="365" t="s">
        <v>563</v>
      </c>
      <c r="B3" s="366">
        <f>B1*(1+B2)</f>
        <v>469836.83999999991</v>
      </c>
      <c r="C3" s="367" t="s">
        <v>564</v>
      </c>
      <c r="D3" s="368">
        <v>18000</v>
      </c>
      <c r="E3" s="369" t="s">
        <v>565</v>
      </c>
      <c r="F3" s="370">
        <v>2345</v>
      </c>
      <c r="G3" s="370">
        <v>3401</v>
      </c>
      <c r="H3" s="370">
        <v>4262</v>
      </c>
      <c r="I3" s="368">
        <v>0</v>
      </c>
      <c r="J3" s="371" t="s">
        <v>566</v>
      </c>
      <c r="K3" s="372">
        <f>'Combined Retirement'!C22</f>
        <v>39051.173639423083</v>
      </c>
      <c r="L3" s="366">
        <f>'Combined Retirement'!C24</f>
        <v>3254.2644699519233</v>
      </c>
      <c r="M3" s="369" t="s">
        <v>567</v>
      </c>
      <c r="N3" s="373">
        <f>'Combined Retirement'!R1</f>
        <v>103259.78879999998</v>
      </c>
      <c r="Q3" s="25"/>
      <c r="R3" s="25"/>
      <c r="S3" s="25"/>
    </row>
    <row r="4" spans="1:19" ht="14.4" x14ac:dyDescent="0.3">
      <c r="A4" s="374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49"/>
      <c r="B5" s="375" t="s">
        <v>568</v>
      </c>
      <c r="C5" s="375" t="s">
        <v>569</v>
      </c>
      <c r="D5" s="375" t="s">
        <v>570</v>
      </c>
      <c r="E5" s="350" t="s">
        <v>571</v>
      </c>
      <c r="F5" s="376" t="s">
        <v>572</v>
      </c>
      <c r="G5" s="377" t="s">
        <v>573</v>
      </c>
      <c r="H5" s="23"/>
      <c r="I5" s="23"/>
      <c r="J5" s="23"/>
      <c r="K5" s="23"/>
      <c r="L5" s="23"/>
      <c r="M5" s="378" t="s">
        <v>574</v>
      </c>
      <c r="N5" s="354">
        <f>N11</f>
        <v>39153.069999999992</v>
      </c>
      <c r="O5" s="379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55" t="s">
        <v>575</v>
      </c>
      <c r="B6" s="380">
        <v>58.5</v>
      </c>
      <c r="C6" s="381">
        <f t="array" ref="C6">INDEX(B11:B1171,MATCH(MIN(ABS(B11:B1171-B6)),ABS(B11:B1171-B6),0))</f>
        <v>58.540725530458587</v>
      </c>
      <c r="D6" s="382">
        <f t="array" ref="D6">INDEX(A11:A1171,MATCH(C6,B11:B1171,0),0)</f>
        <v>51288</v>
      </c>
      <c r="E6" s="383">
        <f ca="1">'Isaac 401k'!B4</f>
        <v>76.833333333333329</v>
      </c>
      <c r="F6" s="384">
        <f ca="1">'Isaac 401k'!D4</f>
        <v>79319</v>
      </c>
      <c r="G6" s="385">
        <f ca="1">(F6-B9)/365.25</f>
        <v>135.28542094455852</v>
      </c>
      <c r="H6" s="23"/>
      <c r="I6" s="23"/>
      <c r="J6" s="565" t="s">
        <v>576</v>
      </c>
      <c r="K6" s="552"/>
      <c r="L6" s="23"/>
      <c r="M6" s="386" t="s">
        <v>577</v>
      </c>
      <c r="N6" s="362">
        <f>N3/12</f>
        <v>8604.982399999999</v>
      </c>
      <c r="O6" s="387">
        <f t="shared" si="0"/>
        <v>103259.78879999998</v>
      </c>
      <c r="P6" s="25"/>
      <c r="Q6" s="25"/>
      <c r="R6" s="25"/>
      <c r="S6" s="25"/>
    </row>
    <row r="7" spans="1:19" ht="14.4" x14ac:dyDescent="0.3">
      <c r="A7" s="365" t="s">
        <v>578</v>
      </c>
      <c r="B7" s="388">
        <v>53.9</v>
      </c>
      <c r="C7" s="389">
        <f t="array" ref="C7">INDEX(C11:C1171,MATCH(MIN(ABS(C11:C1171-B7)),ABS(C11:C1171-B7),0))</f>
        <v>53.930184804928132</v>
      </c>
      <c r="D7" s="390">
        <f t="array" ref="D7">INDEX(A11:A1171,MATCH(C7,C11:C1171,0),0)</f>
        <v>51288</v>
      </c>
      <c r="E7" s="391">
        <f ca="1">'Lorri 401b'!B4</f>
        <v>51.416666666666664</v>
      </c>
      <c r="F7" s="392">
        <f ca="1">'Lorri 401b'!D4</f>
        <v>70037</v>
      </c>
      <c r="G7" s="393">
        <f ca="1">(F7-C9)/365.25</f>
        <v>105.2621492128679</v>
      </c>
      <c r="H7" s="23"/>
      <c r="I7" s="23"/>
      <c r="J7" s="394">
        <v>0.27938000000000002</v>
      </c>
      <c r="K7" s="395">
        <f>1-J7</f>
        <v>0.72062000000000004</v>
      </c>
      <c r="L7" s="23"/>
      <c r="M7" s="396" t="s">
        <v>579</v>
      </c>
      <c r="N7" s="372">
        <f>N5-N6</f>
        <v>30548.087599999992</v>
      </c>
      <c r="O7" s="397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6293671.1446793424</v>
      </c>
      <c r="K9" s="25">
        <f t="shared" si="1"/>
        <v>10846930.502226649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580</v>
      </c>
      <c r="C10" s="11" t="s">
        <v>581</v>
      </c>
      <c r="E10" s="25" t="s">
        <v>549</v>
      </c>
      <c r="F10" s="25" t="s">
        <v>561</v>
      </c>
      <c r="G10" s="25" t="s">
        <v>566</v>
      </c>
      <c r="H10" s="25" t="s">
        <v>582</v>
      </c>
      <c r="I10" s="25" t="s">
        <v>583</v>
      </c>
      <c r="J10" s="25" t="s">
        <v>584</v>
      </c>
      <c r="K10" s="25" t="s">
        <v>585</v>
      </c>
      <c r="L10" s="25"/>
      <c r="N10" s="25" t="s">
        <v>586</v>
      </c>
      <c r="O10" s="25" t="s">
        <v>587</v>
      </c>
      <c r="P10" s="25" t="s">
        <v>588</v>
      </c>
      <c r="Q10" s="25" t="s">
        <v>589</v>
      </c>
      <c r="R10" s="25" t="s">
        <v>590</v>
      </c>
      <c r="S10" s="25" t="s">
        <v>591</v>
      </c>
    </row>
    <row r="11" spans="1:19" ht="14.4" x14ac:dyDescent="0.3">
      <c r="A11" s="37">
        <v>51288</v>
      </c>
      <c r="B11" s="398">
        <f t="shared" ref="B11:C11" si="2">($A11-B$9)/365.25</f>
        <v>58.540725530458587</v>
      </c>
      <c r="C11" s="398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3254.2644699519233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31459.43324439897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7693.6367556010218</v>
      </c>
      <c r="P11" s="25">
        <f t="shared" ref="P11:P265" si="6">N11-O11</f>
        <v>31459.43324439897</v>
      </c>
      <c r="Q11" s="25">
        <f t="array" aca="1" ref="Q11" ca="1">INDEX('Isaac 401k'!L:L,MATCH('Retirement Calculator'!A11,'Isaac 401k'!N:N,0),0)</f>
        <v>3223427.4329962051</v>
      </c>
      <c r="R11" s="25">
        <f t="array" aca="1" ref="R11" ca="1">INDEX('Lorri 401b'!L:L,MATCH('Retirement Calculator'!A11,'Lorri 401b'!N:N,0),0)</f>
        <v>3387619.9599469192</v>
      </c>
      <c r="S11" s="25">
        <f t="shared" ref="S11:S265" ca="1" si="7">SUM(Q11:R11)</f>
        <v>6611047.3929431243</v>
      </c>
    </row>
    <row r="12" spans="1:19" ht="14.4" x14ac:dyDescent="0.3">
      <c r="A12" s="37">
        <v>51318</v>
      </c>
      <c r="B12" s="398">
        <f t="shared" ref="B12:C12" si="8">($A12-B$9)/365.25</f>
        <v>58.622861054072551</v>
      </c>
      <c r="C12" s="398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3254.2644699519233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31459.43324439897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7693.6367556010218</v>
      </c>
      <c r="P12" s="25">
        <f t="shared" si="6"/>
        <v>31459.43324439897</v>
      </c>
      <c r="Q12" s="25">
        <f t="array" aca="1" ref="Q12" ca="1">INDEX('Isaac 401k'!L:L,MATCH('Retirement Calculator'!A12,'Isaac 401k'!N:N,0),0)</f>
        <v>3205267.8664174387</v>
      </c>
      <c r="R12" s="25">
        <f t="array" aca="1" ref="R12" ca="1">INDEX('Lorri 401b'!L:L,MATCH('Retirement Calculator'!A12,'Lorri 401b'!N:N,0),0)</f>
        <v>3401735.0431133648</v>
      </c>
      <c r="S12" s="25">
        <f t="shared" ca="1" si="7"/>
        <v>6607002.9095308036</v>
      </c>
    </row>
    <row r="13" spans="1:19" ht="14.4" x14ac:dyDescent="0.3">
      <c r="A13" s="37">
        <v>51349</v>
      </c>
      <c r="B13" s="398">
        <f t="shared" ref="B13:C13" si="9">($A13-B$9)/365.25</f>
        <v>58.70773442847365</v>
      </c>
      <c r="C13" s="398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3254.2644699519233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31459.43324439897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7693.6367556010218</v>
      </c>
      <c r="P13" s="25">
        <f t="shared" si="6"/>
        <v>31459.43324439897</v>
      </c>
      <c r="Q13" s="25">
        <f t="array" aca="1" ref="Q13" ca="1">INDEX('Isaac 401k'!L:L,MATCH('Retirement Calculator'!A13,'Isaac 401k'!N:N,0),0)</f>
        <v>3187032.6349779274</v>
      </c>
      <c r="R13" s="25">
        <f t="array" aca="1" ref="R13" ca="1">INDEX('Lorri 401b'!L:L,MATCH('Retirement Calculator'!A13,'Lorri 401b'!N:N,0),0)</f>
        <v>3415908.9391263374</v>
      </c>
      <c r="S13" s="25">
        <f t="shared" ca="1" si="7"/>
        <v>6602941.5741042644</v>
      </c>
    </row>
    <row r="14" spans="1:19" ht="14.4" x14ac:dyDescent="0.3">
      <c r="A14" s="37">
        <v>51380</v>
      </c>
      <c r="B14" s="398">
        <f t="shared" ref="B14:C14" si="10">($A14-B$9)/365.25</f>
        <v>58.792607802874741</v>
      </c>
      <c r="C14" s="398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3254.2644699519233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31459.43324439897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7693.6367556010218</v>
      </c>
      <c r="P14" s="25">
        <f t="shared" si="6"/>
        <v>31459.43324439897</v>
      </c>
      <c r="Q14" s="25">
        <f t="array" aca="1" ref="Q14" ca="1">INDEX('Isaac 401k'!L:L,MATCH('Retirement Calculator'!A14,'Isaac 401k'!N:N,0),0)</f>
        <v>3168721.4234074182</v>
      </c>
      <c r="R14" s="25">
        <f t="array" aca="1" ref="R14" ca="1">INDEX('Lorri 401b'!L:L,MATCH('Retirement Calculator'!A14,'Lorri 401b'!N:N,0),0)</f>
        <v>3430141.8930393639</v>
      </c>
      <c r="S14" s="25">
        <f t="shared" ca="1" si="7"/>
        <v>6598863.3164467821</v>
      </c>
    </row>
    <row r="15" spans="1:19" ht="14.4" x14ac:dyDescent="0.3">
      <c r="A15" s="37">
        <v>51410</v>
      </c>
      <c r="B15" s="398">
        <f t="shared" ref="B15:C15" si="11">($A15-B$9)/365.25</f>
        <v>58.874743326488705</v>
      </c>
      <c r="C15" s="398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3254.2644699519233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31459.43324439897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7693.6367556010218</v>
      </c>
      <c r="P15" s="25">
        <f t="shared" si="6"/>
        <v>31459.43324439897</v>
      </c>
      <c r="Q15" s="25">
        <f t="array" aca="1" ref="Q15" ca="1">INDEX('Isaac 401k'!L:L,MATCH('Retirement Calculator'!A15,'Isaac 401k'!N:N,0),0)</f>
        <v>3150333.9151220322</v>
      </c>
      <c r="R15" s="25">
        <f t="array" aca="1" ref="R15" ca="1">INDEX('Lorri 401b'!L:L,MATCH('Retirement Calculator'!A15,'Lorri 401b'!N:N,0),0)</f>
        <v>3444434.1509270277</v>
      </c>
      <c r="S15" s="25">
        <f t="shared" ca="1" si="7"/>
        <v>6594768.0660490599</v>
      </c>
    </row>
    <row r="16" spans="1:19" ht="14.4" x14ac:dyDescent="0.3">
      <c r="A16" s="37">
        <v>51441</v>
      </c>
      <c r="B16" s="398">
        <f t="shared" ref="B16:C16" si="12">($A16-B$9)/365.25</f>
        <v>58.959616700889804</v>
      </c>
      <c r="C16" s="398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3254.2644699519233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31459.43324439897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7693.6367556010218</v>
      </c>
      <c r="P16" s="25">
        <f t="shared" si="6"/>
        <v>31459.43324439897</v>
      </c>
      <c r="Q16" s="25">
        <f t="array" aca="1" ref="Q16" ca="1">INDEX('Isaac 401k'!L:L,MATCH('Retirement Calculator'!A16,'Isaac 401k'!N:N,0),0)</f>
        <v>3131869.7922187904</v>
      </c>
      <c r="R16" s="25">
        <f t="array" aca="1" ref="R16" ca="1">INDEX('Lorri 401b'!L:L,MATCH('Retirement Calculator'!A16,'Lorri 401b'!N:N,0),0)</f>
        <v>3458785.9598892238</v>
      </c>
      <c r="S16" s="25">
        <f t="shared" ca="1" si="7"/>
        <v>6590655.7521080142</v>
      </c>
    </row>
    <row r="17" spans="1:19" ht="14.4" x14ac:dyDescent="0.3">
      <c r="A17" s="37">
        <v>51471</v>
      </c>
      <c r="B17" s="398">
        <f t="shared" ref="B17:C17" si="13">($A17-B$9)/365.25</f>
        <v>59.041752224503767</v>
      </c>
      <c r="C17" s="398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3254.2644699519233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31459.43324439897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7693.6367556010218</v>
      </c>
      <c r="P17" s="25">
        <f t="shared" si="6"/>
        <v>31459.43324439897</v>
      </c>
      <c r="Q17" s="25">
        <f t="array" aca="1" ref="Q17" ca="1">INDEX('Isaac 401k'!L:L,MATCH('Retirement Calculator'!A17,'Isaac 401k'!N:N,0),0)</f>
        <v>3113328.735470118</v>
      </c>
      <c r="R17" s="25">
        <f t="array" aca="1" ref="R17" ca="1">INDEX('Lorri 401b'!L:L,MATCH('Retirement Calculator'!A17,'Lorri 401b'!N:N,0),0)</f>
        <v>3473197.568055429</v>
      </c>
      <c r="S17" s="25">
        <f t="shared" ca="1" si="7"/>
        <v>6586526.3035255466</v>
      </c>
    </row>
    <row r="18" spans="1:19" ht="14.4" x14ac:dyDescent="0.3">
      <c r="A18" s="37">
        <v>51502</v>
      </c>
      <c r="B18" s="398">
        <f t="shared" ref="B18:C18" si="14">($A18-B$9)/365.25</f>
        <v>59.126625598904859</v>
      </c>
      <c r="C18" s="398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3254.2644699519233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31459.43324439897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7693.6367556010218</v>
      </c>
      <c r="P18" s="25">
        <f t="shared" si="6"/>
        <v>31459.43324439897</v>
      </c>
      <c r="Q18" s="25">
        <f t="array" aca="1" ref="Q18" ca="1">INDEX('Isaac 401k'!L:L,MATCH('Retirement Calculator'!A18,'Isaac 401k'!N:N,0),0)</f>
        <v>3094710.4243183262</v>
      </c>
      <c r="R18" s="25">
        <f t="array" aca="1" ref="R18" ca="1">INDEX('Lorri 401b'!L:L,MATCH('Retirement Calculator'!A18,'Lorri 401b'!N:N,0),0)</f>
        <v>3487669.2245889935</v>
      </c>
      <c r="S18" s="25">
        <f t="shared" ca="1" si="7"/>
        <v>6582379.6489073196</v>
      </c>
    </row>
    <row r="19" spans="1:19" ht="14.4" x14ac:dyDescent="0.3">
      <c r="A19" s="37">
        <v>51533</v>
      </c>
      <c r="B19" s="398">
        <f t="shared" ref="B19:C19" si="15">($A19-B$9)/365.25</f>
        <v>59.211498973305957</v>
      </c>
      <c r="C19" s="398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3254.2644699519233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31459.43324439897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7693.6367556010218</v>
      </c>
      <c r="P19" s="25">
        <f t="shared" si="6"/>
        <v>31459.43324439897</v>
      </c>
      <c r="Q19" s="25">
        <f t="array" aca="1" ref="Q19" ca="1">INDEX('Isaac 401k'!L:L,MATCH('Retirement Calculator'!A19,'Isaac 401k'!N:N,0),0)</f>
        <v>3076014.5368700689</v>
      </c>
      <c r="R19" s="25">
        <f t="array" aca="1" ref="R19" ca="1">INDEX('Lorri 401b'!L:L,MATCH('Retirement Calculator'!A19,'Lorri 401b'!N:N,0),0)</f>
        <v>3502201.1796914474</v>
      </c>
      <c r="S19" s="25">
        <f t="shared" ca="1" si="7"/>
        <v>6578215.7165615167</v>
      </c>
    </row>
    <row r="20" spans="1:19" ht="14.4" x14ac:dyDescent="0.3">
      <c r="A20" s="37">
        <v>51561</v>
      </c>
      <c r="B20" s="398">
        <f t="shared" ref="B20:C20" si="16">($A20-B$9)/365.25</f>
        <v>59.288158795345652</v>
      </c>
      <c r="C20" s="398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3254.2644699519233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31459.43324439897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7693.6367556010218</v>
      </c>
      <c r="P20" s="25">
        <f t="shared" si="6"/>
        <v>31459.43324439897</v>
      </c>
      <c r="Q20" s="25">
        <f t="array" aca="1" ref="Q20" ca="1">INDEX('Isaac 401k'!L:L,MATCH('Retirement Calculator'!A20,'Isaac 401k'!N:N,0),0)</f>
        <v>3057240.7498907768</v>
      </c>
      <c r="R20" s="25">
        <f t="array" aca="1" ref="R20" ca="1">INDEX('Lorri 401b'!L:L,MATCH('Retirement Calculator'!A20,'Lorri 401b'!N:N,0),0)</f>
        <v>3516793.6846068283</v>
      </c>
      <c r="S20" s="25">
        <f t="shared" ca="1" si="7"/>
        <v>6574034.4344976051</v>
      </c>
    </row>
    <row r="21" spans="1:19" ht="15.75" customHeight="1" x14ac:dyDescent="0.3">
      <c r="A21" s="37">
        <v>51592</v>
      </c>
      <c r="B21" s="398">
        <f t="shared" ref="B21:C21" si="17">($A21-B$9)/365.25</f>
        <v>59.37303216974675</v>
      </c>
      <c r="C21" s="398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3254.2644699519233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31459.43324439897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7693.6367556010218</v>
      </c>
      <c r="P21" s="25">
        <f t="shared" si="6"/>
        <v>31459.43324439897</v>
      </c>
      <c r="Q21" s="25">
        <f t="array" aca="1" ref="Q21" ca="1">INDEX('Isaac 401k'!L:L,MATCH('Retirement Calculator'!A21,'Isaac 401k'!N:N,0),0)</f>
        <v>3038388.7387990714</v>
      </c>
      <c r="R21" s="25">
        <f t="array" aca="1" ref="R21" ca="1">INDEX('Lorri 401b'!L:L,MATCH('Retirement Calculator'!A21,'Lorri 401b'!N:N,0),0)</f>
        <v>3531446.9916260233</v>
      </c>
      <c r="S21" s="25">
        <f t="shared" ca="1" si="7"/>
        <v>6569835.7304250952</v>
      </c>
    </row>
    <row r="22" spans="1:19" ht="15.75" customHeight="1" x14ac:dyDescent="0.3">
      <c r="A22" s="37">
        <v>51622</v>
      </c>
      <c r="B22" s="398">
        <f t="shared" ref="B22:C22" si="18">($A22-B$9)/365.25</f>
        <v>59.455167693360714</v>
      </c>
      <c r="C22" s="398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3254.2644699519233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31459.43324439897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7693.6367556010218</v>
      </c>
      <c r="P22" s="25">
        <f t="shared" si="6"/>
        <v>31459.43324439897</v>
      </c>
      <c r="Q22" s="25">
        <f t="array" aca="1" ref="Q22" ca="1">INDEX('Isaac 401k'!L:L,MATCH('Retirement Calculator'!A22,'Isaac 401k'!N:N,0),0)</f>
        <v>3019458.1776611502</v>
      </c>
      <c r="R22" s="25">
        <f t="array" aca="1" ref="R22" ca="1">INDEX('Lorri 401b'!L:L,MATCH('Retirement Calculator'!A22,'Lorri 401b'!N:N,0),0)</f>
        <v>3546161.3540911316</v>
      </c>
      <c r="S22" s="25">
        <f t="shared" ca="1" si="7"/>
        <v>6565619.5317522818</v>
      </c>
    </row>
    <row r="23" spans="1:19" ht="15.75" customHeight="1" x14ac:dyDescent="0.3">
      <c r="A23" s="37">
        <v>51653</v>
      </c>
      <c r="B23" s="398">
        <f t="shared" ref="B23:C23" si="19">($A23-B$9)/365.25</f>
        <v>59.540041067761805</v>
      </c>
      <c r="C23" s="398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3254.2644699519233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31459.43324439897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7693.6367556010218</v>
      </c>
      <c r="P23" s="25">
        <f t="shared" si="6"/>
        <v>31459.43324439897</v>
      </c>
      <c r="Q23" s="25">
        <f t="array" aca="1" ref="Q23" ca="1">INDEX('Isaac 401k'!L:L,MATCH('Retirement Calculator'!A23,'Isaac 401k'!N:N,0),0)</f>
        <v>3000448.7391851544</v>
      </c>
      <c r="R23" s="25">
        <f t="array" aca="1" ref="R23" ca="1">INDEX('Lorri 401b'!L:L,MATCH('Retirement Calculator'!A23,'Lorri 401b'!N:N,0),0)</f>
        <v>3560937.0263998448</v>
      </c>
      <c r="S23" s="25">
        <f t="shared" ca="1" si="7"/>
        <v>6561385.7655849997</v>
      </c>
    </row>
    <row r="24" spans="1:19" ht="15.75" customHeight="1" x14ac:dyDescent="0.3">
      <c r="A24" s="37">
        <v>51683</v>
      </c>
      <c r="B24" s="398">
        <f t="shared" ref="B24:C24" si="20">($A24-B$9)/365.25</f>
        <v>59.622176591375769</v>
      </c>
      <c r="C24" s="398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3254.2644699519233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31459.43324439897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7693.6367556010218</v>
      </c>
      <c r="P24" s="25">
        <f t="shared" si="6"/>
        <v>31459.43324439897</v>
      </c>
      <c r="Q24" s="25">
        <f t="array" aca="1" ref="Q24" ca="1">INDEX('Isaac 401k'!L:L,MATCH('Retirement Calculator'!A24,'Isaac 401k'!N:N,0),0)</f>
        <v>2981360.0947155086</v>
      </c>
      <c r="R24" s="25">
        <f t="array" aca="1" ref="R24" ca="1">INDEX('Lorri 401b'!L:L,MATCH('Retirement Calculator'!A24,'Lorri 401b'!N:N,0),0)</f>
        <v>3575774.264009844</v>
      </c>
      <c r="S24" s="25">
        <f t="shared" ca="1" si="7"/>
        <v>6557134.3587253522</v>
      </c>
    </row>
    <row r="25" spans="1:19" ht="15.75" customHeight="1" x14ac:dyDescent="0.3">
      <c r="A25" s="37">
        <v>51714</v>
      </c>
      <c r="B25" s="398">
        <f t="shared" ref="B25:C25" si="21">($A25-B$9)/365.25</f>
        <v>59.707049965776868</v>
      </c>
      <c r="C25" s="398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3254.2644699519233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31459.43324439897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7693.6367556010218</v>
      </c>
      <c r="P25" s="25">
        <f t="shared" si="6"/>
        <v>31459.43324439897</v>
      </c>
      <c r="Q25" s="25">
        <f t="array" aca="1" ref="Q25" ca="1">INDEX('Isaac 401k'!L:L,MATCH('Retirement Calculator'!A25,'Isaac 401k'!N:N,0),0)</f>
        <v>2962191.9142272393</v>
      </c>
      <c r="R25" s="25">
        <f t="array" aca="1" ref="R25" ca="1">INDEX('Lorri 401b'!L:L,MATCH('Retirement Calculator'!A25,'Lorri 401b'!N:N,0),0)</f>
        <v>3590673.3234432186</v>
      </c>
      <c r="S25" s="25">
        <f t="shared" ca="1" si="7"/>
        <v>6552865.2376704579</v>
      </c>
    </row>
    <row r="26" spans="1:19" ht="15.75" customHeight="1" x14ac:dyDescent="0.3">
      <c r="A26" s="37">
        <v>51745</v>
      </c>
      <c r="B26" s="398">
        <f t="shared" ref="B26:C26" si="22">($A26-B$9)/365.25</f>
        <v>59.791923340177959</v>
      </c>
      <c r="C26" s="398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3254.2644699519233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31459.43324439897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7693.6367556010218</v>
      </c>
      <c r="P26" s="25">
        <f t="shared" si="6"/>
        <v>31459.43324439897</v>
      </c>
      <c r="Q26" s="25">
        <f t="array" aca="1" ref="Q26" ca="1">INDEX('Isaac 401k'!L:L,MATCH('Retirement Calculator'!A26,'Isaac 401k'!N:N,0),0)</f>
        <v>2942943.8663202692</v>
      </c>
      <c r="R26" s="25">
        <f t="array" aca="1" ref="R26" ca="1">INDEX('Lorri 401b'!L:L,MATCH('Retirement Calculator'!A26,'Lorri 401b'!N:N,0),0)</f>
        <v>3605634.4622908989</v>
      </c>
      <c r="S26" s="25">
        <f t="shared" ca="1" si="7"/>
        <v>6548578.3286111681</v>
      </c>
    </row>
    <row r="27" spans="1:19" ht="15.75" customHeight="1" x14ac:dyDescent="0.3">
      <c r="A27" s="37">
        <v>51775</v>
      </c>
      <c r="B27" s="398">
        <f t="shared" ref="B27:C27" si="23">($A27-B$9)/365.25</f>
        <v>59.874058863791923</v>
      </c>
      <c r="C27" s="398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3254.2644699519233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31459.43324439897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7693.6367556010218</v>
      </c>
      <c r="P27" s="25">
        <f t="shared" si="6"/>
        <v>31459.43324439897</v>
      </c>
      <c r="Q27" s="25">
        <f t="array" aca="1" ref="Q27" ca="1">INDEX('Isaac 401k'!L:L,MATCH('Retirement Calculator'!A27,'Isaac 401k'!N:N,0),0)</f>
        <v>2923615.6182136866</v>
      </c>
      <c r="R27" s="25">
        <f t="array" aca="1" ref="R27" ca="1">INDEX('Lorri 401b'!L:L,MATCH('Retirement Calculator'!A27,'Lorri 401b'!N:N,0),0)</f>
        <v>3620657.9392171111</v>
      </c>
      <c r="S27" s="25">
        <f t="shared" ca="1" si="7"/>
        <v>6544273.5574307982</v>
      </c>
    </row>
    <row r="28" spans="1:19" ht="15.75" customHeight="1" x14ac:dyDescent="0.3">
      <c r="A28" s="37">
        <v>51806</v>
      </c>
      <c r="B28" s="398">
        <f t="shared" ref="B28:C28" si="24">($A28-B$9)/365.25</f>
        <v>59.958932238193022</v>
      </c>
      <c r="C28" s="398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3254.2644699519233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31459.43324439897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7693.6367556010218</v>
      </c>
      <c r="P28" s="25">
        <f t="shared" si="6"/>
        <v>31459.43324439897</v>
      </c>
      <c r="Q28" s="25">
        <f t="array" aca="1" ref="Q28" ca="1">INDEX('Isaac 401k'!L:L,MATCH('Retirement Calculator'!A28,'Isaac 401k'!N:N,0),0)</f>
        <v>2904206.835739993</v>
      </c>
      <c r="R28" s="25">
        <f t="array" aca="1" ref="R28" ca="1">INDEX('Lorri 401b'!L:L,MATCH('Retirement Calculator'!A28,'Lorri 401b'!N:N,0),0)</f>
        <v>3635744.0139638493</v>
      </c>
      <c r="S28" s="25">
        <f t="shared" ca="1" si="7"/>
        <v>6539950.8497038428</v>
      </c>
    </row>
    <row r="29" spans="1:19" ht="15.75" customHeight="1" x14ac:dyDescent="0.3">
      <c r="A29" s="37">
        <v>51836</v>
      </c>
      <c r="B29" s="398">
        <f t="shared" ref="B29:C29" si="25">($A29-B$9)/365.25</f>
        <v>60.041067761806978</v>
      </c>
      <c r="C29" s="398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3254.2644699519233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31459.43324439897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7693.6367556010218</v>
      </c>
      <c r="P29" s="25">
        <f t="shared" si="6"/>
        <v>31459.43324439897</v>
      </c>
      <c r="Q29" s="25">
        <f t="array" aca="1" ref="Q29" ca="1">INDEX('Isaac 401k'!L:L,MATCH('Retirement Calculator'!A29,'Isaac 401k'!N:N,0),0)</f>
        <v>2884717.1833393257</v>
      </c>
      <c r="R29" s="25">
        <f t="array" aca="1" ref="R29" ca="1">INDEX('Lorri 401b'!L:L,MATCH('Retirement Calculator'!A29,'Lorri 401b'!N:N,0),0)</f>
        <v>3650892.9473553654</v>
      </c>
      <c r="S29" s="25">
        <f t="shared" ca="1" si="7"/>
        <v>6535610.1306946911</v>
      </c>
    </row>
    <row r="30" spans="1:19" ht="15.75" customHeight="1" x14ac:dyDescent="0.3">
      <c r="A30" s="37">
        <v>51867</v>
      </c>
      <c r="B30" s="398">
        <f t="shared" ref="B30:C30" si="26">($A30-B$9)/365.25</f>
        <v>60.125941136208077</v>
      </c>
      <c r="C30" s="398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3254.2644699519233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31459.43324439897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7693.6367556010218</v>
      </c>
      <c r="P30" s="25">
        <f t="shared" si="6"/>
        <v>31459.43324439897</v>
      </c>
      <c r="Q30" s="25">
        <f t="array" aca="1" ref="Q30" ca="1">INDEX('Isaac 401k'!L:L,MATCH('Retirement Calculator'!A30,'Isaac 401k'!N:N,0),0)</f>
        <v>2865146.3240536558</v>
      </c>
      <c r="R30" s="25">
        <f t="array" aca="1" ref="R30" ca="1">INDEX('Lorri 401b'!L:L,MATCH('Retirement Calculator'!A30,'Lorri 401b'!N:N,0),0)</f>
        <v>3666105.0013026795</v>
      </c>
      <c r="S30" s="25">
        <f t="shared" ca="1" si="7"/>
        <v>6531251.3253563354</v>
      </c>
    </row>
    <row r="31" spans="1:19" ht="15.75" customHeight="1" x14ac:dyDescent="0.3">
      <c r="A31" s="37">
        <v>51898</v>
      </c>
      <c r="B31" s="398">
        <f t="shared" ref="B31:C31" si="27">($A31-B$9)/365.25</f>
        <v>60.210814510609168</v>
      </c>
      <c r="C31" s="398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3254.2644699519233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31459.43324439897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7693.6367556010218</v>
      </c>
      <c r="P31" s="25">
        <f t="shared" si="6"/>
        <v>31459.43324439897</v>
      </c>
      <c r="Q31" s="25">
        <f t="array" aca="1" ref="Q31" ca="1">INDEX('Isaac 401k'!L:L,MATCH('Retirement Calculator'!A31,'Isaac 401k'!N:N,0),0)</f>
        <v>2845493.9195209625</v>
      </c>
      <c r="R31" s="25">
        <f t="array" aca="1" ref="R31" ca="1">INDEX('Lorri 401b'!L:L,MATCH('Retirement Calculator'!A31,'Lorri 401b'!N:N,0),0)</f>
        <v>3681380.4388081073</v>
      </c>
      <c r="S31" s="25">
        <f t="shared" ca="1" si="7"/>
        <v>6526874.3583290698</v>
      </c>
    </row>
    <row r="32" spans="1:19" ht="15.75" customHeight="1" x14ac:dyDescent="0.3">
      <c r="A32" s="37">
        <v>51926</v>
      </c>
      <c r="B32" s="398">
        <f t="shared" ref="B32:C32" si="28">($A32-B$9)/365.25</f>
        <v>60.28747433264887</v>
      </c>
      <c r="C32" s="398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3254.2644699519233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31459.43324439897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7693.6367556010218</v>
      </c>
      <c r="P32" s="25">
        <f t="shared" si="6"/>
        <v>31459.43324439897</v>
      </c>
      <c r="Q32" s="25">
        <f t="array" aca="1" ref="Q32" ca="1">INDEX('Isaac 401k'!L:L,MATCH('Retirement Calculator'!A32,'Isaac 401k'!N:N,0),0)</f>
        <v>2825759.6299693827</v>
      </c>
      <c r="R32" s="25">
        <f t="array" aca="1" ref="R32" ca="1">INDEX('Lorri 401b'!L:L,MATCH('Retirement Calculator'!A32,'Lorri 401b'!N:N,0),0)</f>
        <v>3696719.5239698077</v>
      </c>
      <c r="S32" s="25">
        <f t="shared" ca="1" si="7"/>
        <v>6522479.1539391903</v>
      </c>
    </row>
    <row r="33" spans="1:19" ht="15.75" customHeight="1" x14ac:dyDescent="0.3">
      <c r="A33" s="37">
        <v>51957</v>
      </c>
      <c r="B33" s="398">
        <f t="shared" ref="B33:C33" si="29">($A33-B$9)/365.25</f>
        <v>60.372347707049968</v>
      </c>
      <c r="C33" s="398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3254.2644699519233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31459.43324439897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7693.6367556010218</v>
      </c>
      <c r="P33" s="25">
        <f t="shared" si="6"/>
        <v>31459.43324439897</v>
      </c>
      <c r="Q33" s="25">
        <f t="array" aca="1" ref="Q33" ca="1">INDEX('Isaac 401k'!L:L,MATCH('Retirement Calculator'!A33,'Isaac 401k'!N:N,0),0)</f>
        <v>2805943.1142113381</v>
      </c>
      <c r="R33" s="25">
        <f t="array" aca="1" ref="R33" ca="1">INDEX('Lorri 401b'!L:L,MATCH('Retirement Calculator'!A33,'Lorri 401b'!N:N,0),0)</f>
        <v>3712122.5219863486</v>
      </c>
      <c r="S33" s="25">
        <f t="shared" ca="1" si="7"/>
        <v>6518065.6361976862</v>
      </c>
    </row>
    <row r="34" spans="1:19" ht="15.75" customHeight="1" x14ac:dyDescent="0.3">
      <c r="A34" s="37">
        <v>51987</v>
      </c>
      <c r="B34" s="398">
        <f t="shared" ref="B34:C34" si="30">($A34-B$9)/365.25</f>
        <v>60.454483230663932</v>
      </c>
      <c r="C34" s="398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3254.2644699519233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31459.43324439897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7693.6367556010218</v>
      </c>
      <c r="P34" s="25">
        <f t="shared" si="6"/>
        <v>31459.43324439897</v>
      </c>
      <c r="Q34" s="25">
        <f t="array" aca="1" ref="Q34" ca="1">INDEX('Isaac 401k'!L:L,MATCH('Retirement Calculator'!A34,'Isaac 401k'!N:N,0),0)</f>
        <v>2786044.0296376348</v>
      </c>
      <c r="R34" s="25">
        <f t="array" aca="1" ref="R34" ca="1">INDEX('Lorri 401b'!L:L,MATCH('Retirement Calculator'!A34,'Lorri 401b'!N:N,0),0)</f>
        <v>3727589.6991612916</v>
      </c>
      <c r="S34" s="25">
        <f t="shared" ca="1" si="7"/>
        <v>6513633.7287989259</v>
      </c>
    </row>
    <row r="35" spans="1:19" ht="15.75" customHeight="1" x14ac:dyDescent="0.3">
      <c r="A35" s="37">
        <v>52018</v>
      </c>
      <c r="B35" s="398">
        <f t="shared" ref="B35:C35" si="31">($A35-B$9)/365.25</f>
        <v>60.539356605065024</v>
      </c>
      <c r="C35" s="398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3254.2644699519233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31459.43324439897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7693.6367556010218</v>
      </c>
      <c r="P35" s="25">
        <f t="shared" si="6"/>
        <v>31459.43324439897</v>
      </c>
      <c r="Q35" s="25">
        <f t="array" aca="1" ref="Q35" ca="1">INDEX('Isaac 401k'!L:L,MATCH('Retirement Calculator'!A35,'Isaac 401k'!N:N,0),0)</f>
        <v>2766062.0322115412</v>
      </c>
      <c r="R35" s="25">
        <f t="array" aca="1" ref="R35" ca="1">INDEX('Lorri 401b'!L:L,MATCH('Retirement Calculator'!A35,'Lorri 401b'!N:N,0),0)</f>
        <v>3743121.3229077971</v>
      </c>
      <c r="S35" s="25">
        <f t="shared" ca="1" si="7"/>
        <v>6509183.3551193383</v>
      </c>
    </row>
    <row r="36" spans="1:19" ht="15.75" customHeight="1" x14ac:dyDescent="0.3">
      <c r="A36" s="37">
        <v>52048</v>
      </c>
      <c r="B36" s="398">
        <f t="shared" ref="B36:C36" si="32">($A36-B$9)/365.25</f>
        <v>60.621492128678987</v>
      </c>
      <c r="C36" s="398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3254.2644699519233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31459.43324439897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7693.6367556010218</v>
      </c>
      <c r="P36" s="25">
        <f t="shared" si="6"/>
        <v>31459.43324439897</v>
      </c>
      <c r="Q36" s="25">
        <f t="array" aca="1" ref="Q36" ca="1">INDEX('Isaac 401k'!L:L,MATCH('Retirement Calculator'!A36,'Isaac 401k'!N:N,0),0)</f>
        <v>2745996.776462839</v>
      </c>
      <c r="R36" s="25">
        <f t="array" aca="1" ref="R36" ca="1">INDEX('Lorri 401b'!L:L,MATCH('Retirement Calculator'!A36,'Lorri 401b'!N:N,0),0)</f>
        <v>3758717.6617532461</v>
      </c>
      <c r="S36" s="25">
        <f t="shared" ca="1" si="7"/>
        <v>6504714.4382160846</v>
      </c>
    </row>
    <row r="37" spans="1:19" ht="15.75" customHeight="1" x14ac:dyDescent="0.3">
      <c r="A37" s="37">
        <v>52079</v>
      </c>
      <c r="B37" s="398">
        <f t="shared" ref="B37:C37" si="33">($A37-B$9)/365.25</f>
        <v>60.706365503080079</v>
      </c>
      <c r="C37" s="398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3254.2644699519233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31459.43324439897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7693.6367556010218</v>
      </c>
      <c r="P37" s="25">
        <f t="shared" si="6"/>
        <v>31459.43324439897</v>
      </c>
      <c r="Q37" s="25">
        <f t="array" aca="1" ref="Q37" ca="1">INDEX('Isaac 401k'!L:L,MATCH('Retirement Calculator'!A37,'Isaac 401k'!N:N,0),0)</f>
        <v>2725847.9154818505</v>
      </c>
      <c r="R37" s="25">
        <f t="array" aca="1" ref="R37" ca="1">INDEX('Lorri 401b'!L:L,MATCH('Retirement Calculator'!A37,'Lorri 401b'!N:N,0),0)</f>
        <v>3774378.9853438847</v>
      </c>
      <c r="S37" s="25">
        <f t="shared" ca="1" si="7"/>
        <v>6500226.9008257352</v>
      </c>
    </row>
    <row r="38" spans="1:19" ht="15.75" customHeight="1" x14ac:dyDescent="0.3">
      <c r="A38" s="37">
        <v>52110</v>
      </c>
      <c r="B38" s="398">
        <f t="shared" ref="B38:C38" si="34">($A38-B$9)/365.25</f>
        <v>60.791238877481177</v>
      </c>
      <c r="C38" s="398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3254.2644699519233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31459.43324439897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7693.6367556010218</v>
      </c>
      <c r="P38" s="25">
        <f t="shared" si="6"/>
        <v>31459.43324439897</v>
      </c>
      <c r="Q38" s="25">
        <f t="array" aca="1" ref="Q38" ca="1">INDEX('Isaac 401k'!L:L,MATCH('Retirement Calculator'!A38,'Isaac 401k'!N:N,0),0)</f>
        <v>2705615.1009134413</v>
      </c>
      <c r="R38" s="25">
        <f t="array" aca="1" ref="R38" ca="1">INDEX('Lorri 401b'!L:L,MATCH('Retirement Calculator'!A38,'Lorri 401b'!N:N,0),0)</f>
        <v>3790105.564449484</v>
      </c>
      <c r="S38" s="25">
        <f t="shared" ca="1" si="7"/>
        <v>6495720.6653629253</v>
      </c>
    </row>
    <row r="39" spans="1:19" ht="15.75" customHeight="1" x14ac:dyDescent="0.3">
      <c r="A39" s="37">
        <v>52140</v>
      </c>
      <c r="B39" s="398">
        <f t="shared" ref="B39:C39" si="35">($A39-B$9)/365.25</f>
        <v>60.873374401095141</v>
      </c>
      <c r="C39" s="398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3254.2644699519233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31459.43324439897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7693.6367556010218</v>
      </c>
      <c r="P39" s="25">
        <f t="shared" si="6"/>
        <v>31459.43324439897</v>
      </c>
      <c r="Q39" s="25">
        <f t="array" aca="1" ref="Q39" ca="1">INDEX('Isaac 401k'!L:L,MATCH('Retirement Calculator'!A39,'Isaac 401k'!N:N,0),0)</f>
        <v>2685297.9829509966</v>
      </c>
      <c r="R39" s="25">
        <f t="array" aca="1" ref="R39" ca="1">INDEX('Lorri 401b'!L:L,MATCH('Retirement Calculator'!A39,'Lorri 401b'!N:N,0),0)</f>
        <v>3805897.6709680236</v>
      </c>
      <c r="S39" s="25">
        <f t="shared" ca="1" si="7"/>
        <v>6491195.6539190207</v>
      </c>
    </row>
    <row r="40" spans="1:19" ht="15.75" customHeight="1" x14ac:dyDescent="0.3">
      <c r="A40" s="37">
        <v>52171</v>
      </c>
      <c r="B40" s="398">
        <f t="shared" ref="B40:C40" si="36">($A40-B$9)/365.25</f>
        <v>60.958247775496233</v>
      </c>
      <c r="C40" s="398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3254.2644699519233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31459.43324439897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7693.6367556010218</v>
      </c>
      <c r="P40" s="25">
        <f t="shared" si="6"/>
        <v>31459.43324439897</v>
      </c>
      <c r="Q40" s="25">
        <f t="array" aca="1" ref="Q40" ca="1">INDEX('Isaac 401k'!L:L,MATCH('Retirement Calculator'!A40,'Isaac 401k'!N:N,0),0)</f>
        <v>2664896.2103303755</v>
      </c>
      <c r="R40" s="25">
        <f t="array" aca="1" ref="R40" ca="1">INDEX('Lorri 401b'!L:L,MATCH('Retirement Calculator'!A40,'Lorri 401b'!N:N,0),0)</f>
        <v>3821755.5779303904</v>
      </c>
      <c r="S40" s="25">
        <f t="shared" ca="1" si="7"/>
        <v>6486651.7882607654</v>
      </c>
    </row>
    <row r="41" spans="1:19" ht="15.75" customHeight="1" x14ac:dyDescent="0.3">
      <c r="A41" s="37">
        <v>52201</v>
      </c>
      <c r="B41" s="398">
        <f t="shared" ref="B41:C41" si="37">($A41-B$9)/365.25</f>
        <v>61.040383299110196</v>
      </c>
      <c r="C41" s="398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3254.2644699519233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31459.43324439897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7693.6367556010218</v>
      </c>
      <c r="P41" s="25">
        <f t="shared" si="6"/>
        <v>31459.43324439897</v>
      </c>
      <c r="Q41" s="25">
        <f t="array" aca="1" ref="Q41" ca="1">INDEX('Isaac 401k'!L:L,MATCH('Retirement Calculator'!A41,'Isaac 401k'!N:N,0),0)</f>
        <v>2644409.430323835</v>
      </c>
      <c r="R41" s="25">
        <f t="array" aca="1" ref="R41" ca="1">INDEX('Lorri 401b'!L:L,MATCH('Retirement Calculator'!A41,'Lorri 401b'!N:N,0),0)</f>
        <v>3837679.5595051004</v>
      </c>
      <c r="S41" s="25">
        <f t="shared" ca="1" si="7"/>
        <v>6482088.9898289349</v>
      </c>
    </row>
    <row r="42" spans="1:19" ht="15.75" customHeight="1" x14ac:dyDescent="0.3">
      <c r="A42" s="37">
        <v>52232</v>
      </c>
      <c r="B42" s="398">
        <f t="shared" ref="B42:C42" si="38">($A42-B$9)/365.25</f>
        <v>61.125256673511295</v>
      </c>
      <c r="C42" s="398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3254.2644699519233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31459.43324439897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7693.6367556010218</v>
      </c>
      <c r="P42" s="25">
        <f t="shared" si="6"/>
        <v>31459.43324439897</v>
      </c>
      <c r="Q42" s="25">
        <f t="array" aca="1" ref="Q42" ca="1">INDEX('Isaac 401k'!L:L,MATCH('Retirement Calculator'!A42,'Isaac 401k'!N:N,0),0)</f>
        <v>2623837.2887339341</v>
      </c>
      <c r="R42" s="25">
        <f t="array" aca="1" ref="R42" ca="1">INDEX('Lorri 401b'!L:L,MATCH('Retirement Calculator'!A42,'Lorri 401b'!N:N,0),0)</f>
        <v>3853669.8910030383</v>
      </c>
      <c r="S42" s="25">
        <f t="shared" ca="1" si="7"/>
        <v>6477507.1797369719</v>
      </c>
    </row>
    <row r="43" spans="1:19" ht="15.75" customHeight="1" x14ac:dyDescent="0.3">
      <c r="A43" s="37">
        <v>52263</v>
      </c>
      <c r="B43" s="398">
        <f t="shared" ref="B43:C43" si="39">($A43-B$9)/365.25</f>
        <v>61.210130047912386</v>
      </c>
      <c r="C43" s="398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3254.2644699519233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31459.43324439897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7693.6367556010218</v>
      </c>
      <c r="P43" s="25">
        <f t="shared" si="6"/>
        <v>31459.43324439897</v>
      </c>
      <c r="Q43" s="25">
        <f t="array" aca="1" ref="Q43" ca="1">INDEX('Isaac 401k'!L:L,MATCH('Retirement Calculator'!A43,'Isaac 401k'!N:N,0),0)</f>
        <v>2603179.4298874084</v>
      </c>
      <c r="R43" s="25">
        <f t="array" aca="1" ref="R43" ca="1">INDEX('Lorri 401b'!L:L,MATCH('Retirement Calculator'!A43,'Lorri 401b'!N:N,0),0)</f>
        <v>3869726.8488822174</v>
      </c>
      <c r="S43" s="25">
        <f t="shared" ca="1" si="7"/>
        <v>6472906.2787696254</v>
      </c>
    </row>
    <row r="44" spans="1:19" ht="15.75" customHeight="1" x14ac:dyDescent="0.3">
      <c r="A44" s="37">
        <v>52291</v>
      </c>
      <c r="B44" s="398">
        <f t="shared" ref="B44:C44" si="40">($A44-B$9)/365.25</f>
        <v>61.286789869952088</v>
      </c>
      <c r="C44" s="398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3254.2644699519233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31459.43324439897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7693.6367556010218</v>
      </c>
      <c r="P44" s="25">
        <f t="shared" si="6"/>
        <v>31459.43324439897</v>
      </c>
      <c r="Q44" s="25">
        <f t="array" aca="1" ref="Q44" ca="1">INDEX('Isaac 401k'!L:L,MATCH('Retirement Calculator'!A44,'Isaac 401k'!N:N,0),0)</f>
        <v>2582435.4966290221</v>
      </c>
      <c r="R44" s="25">
        <f t="array" aca="1" ref="R44" ca="1">INDEX('Lorri 401b'!L:L,MATCH('Retirement Calculator'!A44,'Lorri 401b'!N:N,0),0)</f>
        <v>3885850.7107525598</v>
      </c>
      <c r="S44" s="25">
        <f t="shared" ca="1" si="7"/>
        <v>6468286.2073815819</v>
      </c>
    </row>
    <row r="45" spans="1:19" ht="15.75" customHeight="1" x14ac:dyDescent="0.3">
      <c r="A45" s="37">
        <v>52322</v>
      </c>
      <c r="B45" s="398">
        <f t="shared" ref="B45:C45" si="41">($A45-B$9)/365.25</f>
        <v>61.371663244353179</v>
      </c>
      <c r="C45" s="398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3254.2644699519233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31459.43324439897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7693.6367556010218</v>
      </c>
      <c r="P45" s="25">
        <f t="shared" si="6"/>
        <v>31459.43324439897</v>
      </c>
      <c r="Q45" s="25">
        <f t="array" aca="1" ref="Q45" ca="1">INDEX('Isaac 401k'!L:L,MATCH('Retirement Calculator'!A45,'Isaac 401k'!N:N,0),0)</f>
        <v>2561605.1303153927</v>
      </c>
      <c r="R45" s="25">
        <f t="array" aca="1" ref="R45" ca="1">INDEX('Lorri 401b'!L:L,MATCH('Retirement Calculator'!A45,'Lorri 401b'!N:N,0),0)</f>
        <v>3902041.7553806957</v>
      </c>
      <c r="S45" s="25">
        <f t="shared" ca="1" si="7"/>
        <v>6463646.8856960889</v>
      </c>
    </row>
    <row r="46" spans="1:19" ht="15.75" customHeight="1" x14ac:dyDescent="0.3">
      <c r="A46" s="37">
        <v>52352</v>
      </c>
      <c r="B46" s="398">
        <f t="shared" ref="B46:C46" si="42">($A46-B$9)/365.25</f>
        <v>61.453798767967143</v>
      </c>
      <c r="C46" s="398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3254.2644699519233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31459.43324439897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7693.6367556010218</v>
      </c>
      <c r="P46" s="25">
        <f t="shared" si="6"/>
        <v>31459.43324439897</v>
      </c>
      <c r="Q46" s="25">
        <f t="array" aca="1" ref="Q46" ca="1">INDEX('Isaac 401k'!L:L,MATCH('Retirement Calculator'!A46,'Isaac 401k'!N:N,0),0)</f>
        <v>2540687.9708087896</v>
      </c>
      <c r="R46" s="25">
        <f t="array" aca="1" ref="R46" ca="1">INDEX('Lorri 401b'!L:L,MATCH('Retirement Calculator'!A46,'Lorri 401b'!N:N,0),0)</f>
        <v>3918300.2626947821</v>
      </c>
      <c r="S46" s="25">
        <f t="shared" ca="1" si="7"/>
        <v>6458988.2335035717</v>
      </c>
    </row>
    <row r="47" spans="1:19" ht="15.75" customHeight="1" x14ac:dyDescent="0.3">
      <c r="A47" s="37">
        <v>52383</v>
      </c>
      <c r="B47" s="398">
        <f t="shared" ref="B47:C47" si="43">($A47-B$9)/365.25</f>
        <v>61.538672142368242</v>
      </c>
      <c r="C47" s="398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3254.2644699519233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31459.43324439897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7693.6367556010218</v>
      </c>
      <c r="P47" s="25">
        <f t="shared" si="6"/>
        <v>31459.43324439897</v>
      </c>
      <c r="Q47" s="25">
        <f t="array" aca="1" ref="Q47" ca="1">INDEX('Isaac 401k'!L:L,MATCH('Retirement Calculator'!A47,'Isaac 401k'!N:N,0),0)</f>
        <v>2519683.6564709092</v>
      </c>
      <c r="R47" s="25">
        <f t="array" aca="1" ref="R47" ca="1">INDEX('Lorri 401b'!L:L,MATCH('Retirement Calculator'!A47,'Lorri 401b'!N:N,0),0)</f>
        <v>3934626.5137893436</v>
      </c>
      <c r="S47" s="25">
        <f t="shared" ca="1" si="7"/>
        <v>6454310.1702602524</v>
      </c>
    </row>
    <row r="48" spans="1:19" ht="15.75" customHeight="1" x14ac:dyDescent="0.3">
      <c r="A48" s="37">
        <v>52413</v>
      </c>
      <c r="B48" s="398">
        <f t="shared" ref="B48:C48" si="44">($A48-B$9)/365.25</f>
        <v>61.620807665982205</v>
      </c>
      <c r="C48" s="398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3254.2644699519233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31459.43324439897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7693.6367556010218</v>
      </c>
      <c r="P48" s="25">
        <f t="shared" si="6"/>
        <v>31459.43324439897</v>
      </c>
      <c r="Q48" s="25">
        <f t="array" aca="1" ref="Q48" ca="1">INDEX('Isaac 401k'!L:L,MATCH('Retirement Calculator'!A48,'Isaac 401k'!N:N,0),0)</f>
        <v>2498591.824156621</v>
      </c>
      <c r="R48" s="25">
        <f t="array" aca="1" ref="R48" ca="1">INDEX('Lorri 401b'!L:L,MATCH('Retirement Calculator'!A48,'Lorri 401b'!N:N,0),0)</f>
        <v>3951020.7909301324</v>
      </c>
      <c r="S48" s="25">
        <f t="shared" ca="1" si="7"/>
        <v>6449612.6150867529</v>
      </c>
    </row>
    <row r="49" spans="1:19" ht="15.75" customHeight="1" x14ac:dyDescent="0.3">
      <c r="A49" s="37">
        <v>52444</v>
      </c>
      <c r="B49" s="398">
        <f t="shared" ref="B49:C49" si="45">($A49-B$9)/365.25</f>
        <v>61.705681040383297</v>
      </c>
      <c r="C49" s="398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3254.2644699519233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31459.43324439897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7693.6367556010218</v>
      </c>
      <c r="P49" s="25">
        <f t="shared" si="6"/>
        <v>31459.43324439897</v>
      </c>
      <c r="Q49" s="25">
        <f t="array" aca="1" ref="Q49" ca="1">INDEX('Isaac 401k'!L:L,MATCH('Retirement Calculator'!A49,'Isaac 401k'!N:N,0),0)</f>
        <v>2477412.1092076898</v>
      </c>
      <c r="R49" s="25">
        <f t="array" aca="1" ref="R49" ca="1">INDEX('Lorri 401b'!L:L,MATCH('Retirement Calculator'!A49,'Lorri 401b'!N:N,0),0)</f>
        <v>3967483.3775590081</v>
      </c>
      <c r="S49" s="25">
        <f t="shared" ca="1" si="7"/>
        <v>6444895.4867666978</v>
      </c>
    </row>
    <row r="50" spans="1:19" ht="15.75" customHeight="1" x14ac:dyDescent="0.3">
      <c r="A50" s="37">
        <v>52475</v>
      </c>
      <c r="B50" s="398">
        <f t="shared" ref="B50:C50" si="46">($A50-B$9)/365.25</f>
        <v>61.790554414784395</v>
      </c>
      <c r="C50" s="398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3254.2644699519233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31459.43324439897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7693.6367556010218</v>
      </c>
      <c r="P50" s="25">
        <f t="shared" si="6"/>
        <v>31459.43324439897</v>
      </c>
      <c r="Q50" s="25">
        <f t="array" aca="1" ref="Q50" ca="1">INDEX('Isaac 401k'!L:L,MATCH('Retirement Calculator'!A50,'Isaac 401k'!N:N,0),0)</f>
        <v>2456144.1454464714</v>
      </c>
      <c r="R50" s="25">
        <f t="array" aca="1" ref="R50" ca="1">INDEX('Lorri 401b'!L:L,MATCH('Retirement Calculator'!A50,'Lorri 401b'!N:N,0),0)</f>
        <v>3984014.5582988374</v>
      </c>
      <c r="S50" s="25">
        <f t="shared" ca="1" si="7"/>
        <v>6440158.7037453093</v>
      </c>
    </row>
    <row r="51" spans="1:19" ht="15.75" customHeight="1" x14ac:dyDescent="0.3">
      <c r="A51" s="37">
        <v>52505</v>
      </c>
      <c r="B51" s="398">
        <f t="shared" ref="B51:C51" si="47">($A51-B$9)/365.25</f>
        <v>61.872689938398359</v>
      </c>
      <c r="C51" s="398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3254.2644699519233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31459.43324439897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7693.6367556010218</v>
      </c>
      <c r="P51" s="25">
        <f t="shared" si="6"/>
        <v>31459.43324439897</v>
      </c>
      <c r="Q51" s="25">
        <f t="array" aca="1" ref="Q51" ca="1">INDEX('Isaac 401k'!L:L,MATCH('Retirement Calculator'!A51,'Isaac 401k'!N:N,0),0)</f>
        <v>2434787.5651695812</v>
      </c>
      <c r="R51" s="25">
        <f t="array" aca="1" ref="R51" ca="1">INDEX('Lorri 401b'!L:L,MATCH('Retirement Calculator'!A51,'Lorri 401b'!N:N,0),0)</f>
        <v>4000614.6189584159</v>
      </c>
      <c r="S51" s="25">
        <f t="shared" ca="1" si="7"/>
        <v>6435402.1841279976</v>
      </c>
    </row>
    <row r="52" spans="1:19" ht="15.75" customHeight="1" x14ac:dyDescent="0.3">
      <c r="A52" s="37">
        <v>52536</v>
      </c>
      <c r="B52" s="398">
        <f t="shared" ref="B52:C52" si="48">($A52-B$9)/365.25</f>
        <v>61.957563312799451</v>
      </c>
      <c r="C52" s="398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3254.2644699519233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31459.43324439897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7693.6367556010218</v>
      </c>
      <c r="P52" s="25">
        <f t="shared" si="6"/>
        <v>31459.43324439897</v>
      </c>
      <c r="Q52" s="25">
        <f t="array" aca="1" ref="Q52" ca="1">INDEX('Isaac 401k'!L:L,MATCH('Retirement Calculator'!A52,'Isaac 401k'!N:N,0),0)</f>
        <v>2413341.9991415371</v>
      </c>
      <c r="R52" s="25">
        <f t="array" aca="1" ref="R52" ca="1">INDEX('Lorri 401b'!L:L,MATCH('Retirement Calculator'!A52,'Lorri 401b'!N:N,0),0)</f>
        <v>4017283.8465374094</v>
      </c>
      <c r="S52" s="25">
        <f t="shared" ca="1" si="7"/>
        <v>6430625.845678946</v>
      </c>
    </row>
    <row r="53" spans="1:19" ht="15.75" customHeight="1" x14ac:dyDescent="0.3">
      <c r="A53" s="37">
        <v>52566</v>
      </c>
      <c r="B53" s="398">
        <f t="shared" ref="B53:C53" si="49">($A53-B$9)/365.25</f>
        <v>62.039698836413415</v>
      </c>
      <c r="C53" s="398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3254.2644699519233</v>
      </c>
      <c r="H53" s="25">
        <f>IF(B53&lt;62,0,'Combined Retirement'!$I$14)</f>
        <v>2345</v>
      </c>
      <c r="I53" s="25">
        <f>IF(C53&lt;62,0,'Combined Retirement'!$I$13)</f>
        <v>0</v>
      </c>
      <c r="J53" s="25">
        <f t="shared" si="3"/>
        <v>30683.43324439897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8469.6367556010227</v>
      </c>
      <c r="P53" s="25">
        <f t="shared" si="6"/>
        <v>30683.43324439897</v>
      </c>
      <c r="Q53" s="25">
        <f t="array" aca="1" ref="Q53" ca="1">INDEX('Isaac 401k'!L:L,MATCH('Retirement Calculator'!A53,'Isaac 401k'!N:N,0),0)</f>
        <v>2392586.3099217098</v>
      </c>
      <c r="R53" s="25">
        <f t="array" aca="1" ref="R53" ca="1">INDEX('Lorri 401b'!L:L,MATCH('Retirement Calculator'!A53,'Lorri 401b'!N:N,0),0)</f>
        <v>4034022.529231315</v>
      </c>
      <c r="S53" s="25">
        <f t="shared" ca="1" si="7"/>
        <v>6426608.8391530253</v>
      </c>
    </row>
    <row r="54" spans="1:19" ht="15.75" customHeight="1" x14ac:dyDescent="0.3">
      <c r="A54" s="37">
        <v>52597</v>
      </c>
      <c r="B54" s="398">
        <f t="shared" ref="B54:C54" si="50">($A54-B$9)/365.25</f>
        <v>62.124572210814513</v>
      </c>
      <c r="C54" s="398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3254.2644699519233</v>
      </c>
      <c r="H54" s="25">
        <f>IF(B54&lt;62,0,'Combined Retirement'!$I$14)</f>
        <v>2345</v>
      </c>
      <c r="I54" s="25">
        <f>IF(C54&lt;62,0,'Combined Retirement'!$I$13)</f>
        <v>0</v>
      </c>
      <c r="J54" s="25">
        <f t="shared" si="3"/>
        <v>30683.43324439897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8469.6367556010227</v>
      </c>
      <c r="P54" s="25">
        <f t="shared" si="6"/>
        <v>30683.43324439897</v>
      </c>
      <c r="Q54" s="25">
        <f t="array" aca="1" ref="Q54" ca="1">INDEX('Isaac 401k'!L:L,MATCH('Retirement Calculator'!A54,'Isaac 401k'!N:N,0),0)</f>
        <v>2371744.1386634666</v>
      </c>
      <c r="R54" s="25">
        <f t="array" aca="1" ref="R54" ca="1">INDEX('Lorri 401b'!L:L,MATCH('Retirement Calculator'!A54,'Lorri 401b'!N:N,0),0)</f>
        <v>4050830.9564364455</v>
      </c>
      <c r="S54" s="25">
        <f t="shared" ca="1" si="7"/>
        <v>6422575.095099912</v>
      </c>
    </row>
    <row r="55" spans="1:19" ht="15.75" customHeight="1" x14ac:dyDescent="0.3">
      <c r="A55" s="37">
        <v>52628</v>
      </c>
      <c r="B55" s="398">
        <f t="shared" ref="B55:C55" si="51">($A55-B$9)/365.25</f>
        <v>62.209445585215605</v>
      </c>
      <c r="C55" s="398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3254.2644699519233</v>
      </c>
      <c r="H55" s="25">
        <f>IF(B55&lt;62,0,'Combined Retirement'!$I$14)</f>
        <v>2345</v>
      </c>
      <c r="I55" s="25">
        <f>IF(C55&lt;62,0,'Combined Retirement'!$I$13)</f>
        <v>0</v>
      </c>
      <c r="J55" s="25">
        <f t="shared" si="3"/>
        <v>30683.43324439897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8469.6367556010227</v>
      </c>
      <c r="P55" s="25">
        <f t="shared" si="6"/>
        <v>30683.43324439897</v>
      </c>
      <c r="Q55" s="25">
        <f t="array" aca="1" ref="Q55" ca="1">INDEX('Isaac 401k'!L:L,MATCH('Retirement Calculator'!A55,'Isaac 401k'!N:N,0),0)</f>
        <v>2350815.1250249804</v>
      </c>
      <c r="R55" s="25">
        <f t="array" aca="1" ref="R55" ca="1">INDEX('Lorri 401b'!L:L,MATCH('Retirement Calculator'!A55,'Lorri 401b'!N:N,0),0)</f>
        <v>4067709.4187549306</v>
      </c>
      <c r="S55" s="25">
        <f t="shared" ca="1" si="7"/>
        <v>6418524.5437799115</v>
      </c>
    </row>
    <row r="56" spans="1:19" ht="15.75" customHeight="1" x14ac:dyDescent="0.3">
      <c r="A56" s="37">
        <v>52657</v>
      </c>
      <c r="B56" s="398">
        <f t="shared" ref="B56:C56" si="52">($A56-B$9)/365.25</f>
        <v>62.288843258042434</v>
      </c>
      <c r="C56" s="398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3254.2644699519233</v>
      </c>
      <c r="H56" s="25">
        <f>IF(B56&lt;62,0,'Combined Retirement'!$I$14)</f>
        <v>2345</v>
      </c>
      <c r="I56" s="25">
        <f>IF(C56&lt;62,0,'Combined Retirement'!$I$13)</f>
        <v>0</v>
      </c>
      <c r="J56" s="25">
        <f t="shared" si="3"/>
        <v>30683.43324439897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8469.6367556010227</v>
      </c>
      <c r="P56" s="25">
        <f t="shared" si="6"/>
        <v>30683.43324439897</v>
      </c>
      <c r="Q56" s="25">
        <f t="array" aca="1" ref="Q56" ca="1">INDEX('Isaac 401k'!L:L,MATCH('Retirement Calculator'!A56,'Isaac 401k'!N:N,0),0)</f>
        <v>2329798.9071630007</v>
      </c>
      <c r="R56" s="25">
        <f t="array" aca="1" ref="R56" ca="1">INDEX('Lorri 401b'!L:L,MATCH('Retirement Calculator'!A56,'Lorri 401b'!N:N,0),0)</f>
        <v>4084658.2079997426</v>
      </c>
      <c r="S56" s="25">
        <f t="shared" ca="1" si="7"/>
        <v>6414457.1151627433</v>
      </c>
    </row>
    <row r="57" spans="1:19" ht="15.75" customHeight="1" x14ac:dyDescent="0.3">
      <c r="A57" s="37">
        <v>52688</v>
      </c>
      <c r="B57" s="398">
        <f t="shared" ref="B57:C57" si="53">($A57-B$9)/365.25</f>
        <v>62.373716632443532</v>
      </c>
      <c r="C57" s="398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3254.2644699519233</v>
      </c>
      <c r="H57" s="25">
        <f>IF(B57&lt;62,0,'Combined Retirement'!$I$14)</f>
        <v>2345</v>
      </c>
      <c r="I57" s="25">
        <f>IF(C57&lt;62,0,'Combined Retirement'!$I$13)</f>
        <v>0</v>
      </c>
      <c r="J57" s="25">
        <f t="shared" si="3"/>
        <v>30683.43324439897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8469.6367556010227</v>
      </c>
      <c r="P57" s="25">
        <f t="shared" si="6"/>
        <v>30683.43324439897</v>
      </c>
      <c r="Q57" s="25">
        <f t="array" aca="1" ref="Q57" ca="1">INDEX('Isaac 401k'!L:L,MATCH('Retirement Calculator'!A57,'Isaac 401k'!N:N,0),0)</f>
        <v>2308695.1217265963</v>
      </c>
      <c r="R57" s="25">
        <f t="array" aca="1" ref="R57" ca="1">INDEX('Lorri 401b'!L:L,MATCH('Retirement Calculator'!A57,'Lorri 401b'!N:N,0),0)</f>
        <v>4101677.6171997413</v>
      </c>
      <c r="S57" s="25">
        <f t="shared" ca="1" si="7"/>
        <v>6410372.738926338</v>
      </c>
    </row>
    <row r="58" spans="1:19" ht="15.75" customHeight="1" x14ac:dyDescent="0.3">
      <c r="A58" s="37">
        <v>52718</v>
      </c>
      <c r="B58" s="398">
        <f t="shared" ref="B58:C58" si="54">($A58-B$9)/365.25</f>
        <v>62.455852156057496</v>
      </c>
      <c r="C58" s="398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3254.2644699519233</v>
      </c>
      <c r="H58" s="25">
        <f>IF(B58&lt;62,0,'Combined Retirement'!$I$14)</f>
        <v>2345</v>
      </c>
      <c r="I58" s="25">
        <f>IF(C58&lt;62,0,'Combined Retirement'!$I$13)</f>
        <v>0</v>
      </c>
      <c r="J58" s="25">
        <f t="shared" si="3"/>
        <v>30683.43324439897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8469.6367556010227</v>
      </c>
      <c r="P58" s="25">
        <f t="shared" si="6"/>
        <v>30683.43324439897</v>
      </c>
      <c r="Q58" s="25">
        <f t="array" aca="1" ref="Q58" ca="1">INDEX('Isaac 401k'!L:L,MATCH('Retirement Calculator'!A58,'Isaac 401k'!N:N,0),0)</f>
        <v>2287503.4038508735</v>
      </c>
      <c r="R58" s="25">
        <f t="array" aca="1" ref="R58" ca="1">INDEX('Lorri 401b'!L:L,MATCH('Retirement Calculator'!A58,'Lorri 401b'!N:N,0),0)</f>
        <v>4118767.9406047403</v>
      </c>
      <c r="S58" s="25">
        <f t="shared" ca="1" si="7"/>
        <v>6406271.3444556138</v>
      </c>
    </row>
    <row r="59" spans="1:19" ht="15.75" customHeight="1" x14ac:dyDescent="0.3">
      <c r="A59" s="37">
        <v>52749</v>
      </c>
      <c r="B59" s="398">
        <f t="shared" ref="B59:C59" si="55">($A59-B$9)/365.25</f>
        <v>62.540725530458587</v>
      </c>
      <c r="C59" s="398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3254.2644699519233</v>
      </c>
      <c r="H59" s="25">
        <f>IF(B59&lt;62,0,'Combined Retirement'!$I$14)</f>
        <v>2345</v>
      </c>
      <c r="I59" s="25">
        <f>IF(C59&lt;62,0,'Combined Retirement'!$I$13)</f>
        <v>0</v>
      </c>
      <c r="J59" s="25">
        <f t="shared" si="3"/>
        <v>30683.43324439897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8469.6367556010227</v>
      </c>
      <c r="P59" s="25">
        <f t="shared" si="6"/>
        <v>30683.43324439897</v>
      </c>
      <c r="Q59" s="25">
        <f t="array" aca="1" ref="Q59" ca="1">INDEX('Isaac 401k'!L:L,MATCH('Retirement Calculator'!A59,'Isaac 401k'!N:N,0),0)</f>
        <v>2266223.3871506685</v>
      </c>
      <c r="R59" s="25">
        <f t="array" aca="1" ref="R59" ca="1">INDEX('Lorri 401b'!L:L,MATCH('Retirement Calculator'!A59,'Lorri 401b'!N:N,0),0)</f>
        <v>4135929.4736905931</v>
      </c>
      <c r="S59" s="25">
        <f t="shared" ca="1" si="7"/>
        <v>6402152.8608412612</v>
      </c>
    </row>
    <row r="60" spans="1:19" ht="15.75" customHeight="1" x14ac:dyDescent="0.3">
      <c r="A60" s="37">
        <v>52779</v>
      </c>
      <c r="B60" s="398">
        <f t="shared" ref="B60:C60" si="56">($A60-B$9)/365.25</f>
        <v>62.622861054072551</v>
      </c>
      <c r="C60" s="398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3254.2644699519233</v>
      </c>
      <c r="H60" s="25">
        <f>IF(B60&lt;62,0,'Combined Retirement'!$I$14)</f>
        <v>2345</v>
      </c>
      <c r="I60" s="25">
        <f>IF(C60&lt;62,0,'Combined Retirement'!$I$13)</f>
        <v>0</v>
      </c>
      <c r="J60" s="25">
        <f t="shared" si="3"/>
        <v>30683.43324439897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8469.6367556010227</v>
      </c>
      <c r="P60" s="25">
        <f t="shared" si="6"/>
        <v>30683.43324439897</v>
      </c>
      <c r="Q60" s="25">
        <f t="array" aca="1" ref="Q60" ca="1">INDEX('Isaac 401k'!L:L,MATCH('Retirement Calculator'!A60,'Isaac 401k'!N:N,0),0)</f>
        <v>2244854.7037142124</v>
      </c>
      <c r="R60" s="25">
        <f t="array" aca="1" ref="R60" ca="1">INDEX('Lorri 401b'!L:L,MATCH('Retirement Calculator'!A60,'Lorri 401b'!N:N,0),0)</f>
        <v>4153162.5131643037</v>
      </c>
      <c r="S60" s="25">
        <f t="shared" ca="1" si="7"/>
        <v>6398017.2168785166</v>
      </c>
    </row>
    <row r="61" spans="1:19" ht="15.75" customHeight="1" x14ac:dyDescent="0.3">
      <c r="A61" s="37">
        <v>52810</v>
      </c>
      <c r="B61" s="398">
        <f t="shared" ref="B61:C61" si="57">($A61-B$9)/365.25</f>
        <v>62.70773442847365</v>
      </c>
      <c r="C61" s="398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3254.2644699519233</v>
      </c>
      <c r="H61" s="25">
        <f>IF(B61&lt;62,0,'Combined Retirement'!$I$14)</f>
        <v>2345</v>
      </c>
      <c r="I61" s="25">
        <f>IF(C61&lt;62,0,'Combined Retirement'!$I$13)</f>
        <v>0</v>
      </c>
      <c r="J61" s="25">
        <f t="shared" si="3"/>
        <v>30683.43324439897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8469.6367556010227</v>
      </c>
      <c r="P61" s="25">
        <f t="shared" si="6"/>
        <v>30683.43324439897</v>
      </c>
      <c r="Q61" s="25">
        <f t="array" aca="1" ref="Q61" ca="1">INDEX('Isaac 401k'!L:L,MATCH('Retirement Calculator'!A61,'Isaac 401k'!N:N,0),0)</f>
        <v>2223396.9840967711</v>
      </c>
      <c r="R61" s="25">
        <f t="array" aca="1" ref="R61" ca="1">INDEX('Lorri 401b'!L:L,MATCH('Retirement Calculator'!A61,'Lorri 401b'!N:N,0),0)</f>
        <v>4170467.3569691549</v>
      </c>
      <c r="S61" s="25">
        <f t="shared" ca="1" si="7"/>
        <v>6393864.3410659265</v>
      </c>
    </row>
    <row r="62" spans="1:19" ht="15.75" customHeight="1" x14ac:dyDescent="0.3">
      <c r="A62" s="37">
        <v>52841</v>
      </c>
      <c r="B62" s="398">
        <f t="shared" ref="B62:C62" si="58">($A62-B$9)/365.25</f>
        <v>62.792607802874741</v>
      </c>
      <c r="C62" s="398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3254.2644699519233</v>
      </c>
      <c r="H62" s="25">
        <f>IF(B62&lt;62,0,'Combined Retirement'!$I$14)</f>
        <v>2345</v>
      </c>
      <c r="I62" s="25">
        <f>IF(C62&lt;62,0,'Combined Retirement'!$I$13)</f>
        <v>0</v>
      </c>
      <c r="J62" s="25">
        <f t="shared" si="3"/>
        <v>30683.43324439897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8469.6367556010227</v>
      </c>
      <c r="P62" s="25">
        <f t="shared" si="6"/>
        <v>30683.43324439897</v>
      </c>
      <c r="Q62" s="25">
        <f t="array" aca="1" ref="Q62" ca="1">INDEX('Isaac 401k'!L:L,MATCH('Retirement Calculator'!A62,'Isaac 401k'!N:N,0),0)</f>
        <v>2201849.8573142574</v>
      </c>
      <c r="R62" s="25">
        <f t="array" aca="1" ref="R62" ca="1">INDEX('Lorri 401b'!L:L,MATCH('Retirement Calculator'!A62,'Lorri 401b'!N:N,0),0)</f>
        <v>4187844.3042898597</v>
      </c>
      <c r="S62" s="25">
        <f t="shared" ca="1" si="7"/>
        <v>6389694.1616041176</v>
      </c>
    </row>
    <row r="63" spans="1:19" ht="15.75" customHeight="1" x14ac:dyDescent="0.3">
      <c r="A63" s="37">
        <v>52871</v>
      </c>
      <c r="B63" s="398">
        <f t="shared" ref="B63:C63" si="59">($A63-B$9)/365.25</f>
        <v>62.874743326488705</v>
      </c>
      <c r="C63" s="398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3254.2644699519233</v>
      </c>
      <c r="H63" s="25">
        <f>IF(B63&lt;62,0,'Combined Retirement'!$I$14)</f>
        <v>2345</v>
      </c>
      <c r="I63" s="25">
        <f>IF(C63&lt;62,0,'Combined Retirement'!$I$13)</f>
        <v>0</v>
      </c>
      <c r="J63" s="25">
        <f t="shared" si="3"/>
        <v>30683.43324439897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8469.6367556010227</v>
      </c>
      <c r="P63" s="25">
        <f t="shared" si="6"/>
        <v>30683.43324439897</v>
      </c>
      <c r="Q63" s="25">
        <f t="array" aca="1" ref="Q63" ca="1">INDEX('Isaac 401k'!L:L,MATCH('Retirement Calculator'!A63,'Isaac 401k'!N:N,0),0)</f>
        <v>2180212.9508368163</v>
      </c>
      <c r="R63" s="25">
        <f t="array" aca="1" ref="R63" ca="1">INDEX('Lorri 401b'!L:L,MATCH('Retirement Calculator'!A63,'Lorri 401b'!N:N,0),0)</f>
        <v>4205293.655557734</v>
      </c>
      <c r="S63" s="25">
        <f t="shared" ca="1" si="7"/>
        <v>6385506.6063945498</v>
      </c>
    </row>
    <row r="64" spans="1:19" ht="15.75" customHeight="1" x14ac:dyDescent="0.3">
      <c r="A64" s="37">
        <v>52902</v>
      </c>
      <c r="B64" s="398">
        <f t="shared" ref="B64:C64" si="60">($A64-B$9)/365.25</f>
        <v>62.959616700889804</v>
      </c>
      <c r="C64" s="398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3254.2644699519233</v>
      </c>
      <c r="H64" s="25">
        <f>IF(B64&lt;62,0,'Combined Retirement'!$I$14)</f>
        <v>2345</v>
      </c>
      <c r="I64" s="25">
        <f>IF(C64&lt;62,0,'Combined Retirement'!$I$13)</f>
        <v>0</v>
      </c>
      <c r="J64" s="25">
        <f t="shared" si="3"/>
        <v>30683.43324439897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8469.6367556010227</v>
      </c>
      <c r="P64" s="25">
        <f t="shared" si="6"/>
        <v>30683.43324439897</v>
      </c>
      <c r="Q64" s="25">
        <f t="array" aca="1" ref="Q64" ca="1">INDEX('Isaac 401k'!L:L,MATCH('Retirement Calculator'!A64,'Isaac 401k'!N:N,0),0)</f>
        <v>2158485.8905823859</v>
      </c>
      <c r="R64" s="25">
        <f t="array" aca="1" ref="R64" ca="1">INDEX('Lorri 401b'!L:L,MATCH('Retirement Calculator'!A64,'Lorri 401b'!N:N,0),0)</f>
        <v>4222815.7124558911</v>
      </c>
      <c r="S64" s="25">
        <f t="shared" ca="1" si="7"/>
        <v>6381301.6030382775</v>
      </c>
    </row>
    <row r="65" spans="1:19" ht="15.75" customHeight="1" x14ac:dyDescent="0.3">
      <c r="A65" s="37">
        <v>52932</v>
      </c>
      <c r="B65" s="398">
        <f t="shared" ref="B65:C65" si="61">($A65-B$9)/365.25</f>
        <v>63.041752224503767</v>
      </c>
      <c r="C65" s="398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3254.2644699519233</v>
      </c>
      <c r="H65" s="25">
        <f>IF(B65&lt;62,0,'Combined Retirement'!$I$14)</f>
        <v>2345</v>
      </c>
      <c r="I65" s="25">
        <f>IF(C65&lt;62,0,'Combined Retirement'!$I$13)</f>
        <v>0</v>
      </c>
      <c r="J65" s="25">
        <f t="shared" si="3"/>
        <v>30683.43324439897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8469.6367556010227</v>
      </c>
      <c r="P65" s="25">
        <f t="shared" si="6"/>
        <v>30683.43324439897</v>
      </c>
      <c r="Q65" s="25">
        <f t="array" aca="1" ref="Q65" ca="1">INDEX('Isaac 401k'!L:L,MATCH('Retirement Calculator'!A65,'Isaac 401k'!N:N,0),0)</f>
        <v>2136668.3009102289</v>
      </c>
      <c r="R65" s="25">
        <f t="array" aca="1" ref="R65" ca="1">INDEX('Lorri 401b'!L:L,MATCH('Retirement Calculator'!A65,'Lorri 401b'!N:N,0),0)</f>
        <v>4240410.7779244576</v>
      </c>
      <c r="S65" s="25">
        <f t="shared" ca="1" si="7"/>
        <v>6377079.0788346864</v>
      </c>
    </row>
    <row r="66" spans="1:19" ht="15.75" customHeight="1" x14ac:dyDescent="0.3">
      <c r="A66" s="37">
        <v>52963</v>
      </c>
      <c r="B66" s="398">
        <f t="shared" ref="B66:C66" si="62">($A66-B$9)/365.25</f>
        <v>63.126625598904859</v>
      </c>
      <c r="C66" s="398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3254.2644699519233</v>
      </c>
      <c r="H66" s="25">
        <f>IF(B66&lt;62,0,'Combined Retirement'!$I$14)</f>
        <v>2345</v>
      </c>
      <c r="I66" s="25">
        <f>IF(C66&lt;62,0,'Combined Retirement'!$I$13)</f>
        <v>0</v>
      </c>
      <c r="J66" s="25">
        <f t="shared" si="3"/>
        <v>30683.43324439897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8469.6367556010227</v>
      </c>
      <c r="P66" s="25">
        <f t="shared" si="6"/>
        <v>30683.43324439897</v>
      </c>
      <c r="Q66" s="25">
        <f t="array" aca="1" ref="Q66" ca="1">INDEX('Isaac 401k'!L:L,MATCH('Retirement Calculator'!A66,'Isaac 401k'!N:N,0),0)</f>
        <v>2114759.8046144377</v>
      </c>
      <c r="R66" s="25">
        <f t="array" aca="1" ref="R66" ca="1">INDEX('Lorri 401b'!L:L,MATCH('Retirement Calculator'!A66,'Lorri 401b'!N:N,0),0)</f>
        <v>4258079.1561658094</v>
      </c>
      <c r="S66" s="25">
        <f t="shared" ca="1" si="7"/>
        <v>6372838.9607802471</v>
      </c>
    </row>
    <row r="67" spans="1:19" ht="15.75" customHeight="1" x14ac:dyDescent="0.3">
      <c r="A67" s="37">
        <v>52994</v>
      </c>
      <c r="B67" s="398">
        <f t="shared" ref="B67:C67" si="63">($A67-B$9)/365.25</f>
        <v>63.211498973305957</v>
      </c>
      <c r="C67" s="398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3254.2644699519233</v>
      </c>
      <c r="H67" s="25">
        <f>IF(B67&lt;62,0,'Combined Retirement'!$I$14)</f>
        <v>2345</v>
      </c>
      <c r="I67" s="25">
        <f>IF(C67&lt;62,0,'Combined Retirement'!$I$13)</f>
        <v>0</v>
      </c>
      <c r="J67" s="25">
        <f t="shared" si="3"/>
        <v>30683.43324439897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8469.6367556010227</v>
      </c>
      <c r="P67" s="25">
        <f t="shared" si="6"/>
        <v>30683.43324439897</v>
      </c>
      <c r="Q67" s="25">
        <f t="array" aca="1" ref="Q67" ca="1">INDEX('Isaac 401k'!L:L,MATCH('Retirement Calculator'!A67,'Isaac 401k'!N:N,0),0)</f>
        <v>2092760.0229174139</v>
      </c>
      <c r="R67" s="25">
        <f t="array" aca="1" ref="R67" ca="1">INDEX('Lorri 401b'!L:L,MATCH('Retirement Calculator'!A67,'Lorri 401b'!N:N,0),0)</f>
        <v>4275821.1526498338</v>
      </c>
      <c r="S67" s="25">
        <f t="shared" ca="1" si="7"/>
        <v>6368581.1755672479</v>
      </c>
    </row>
    <row r="68" spans="1:19" ht="15.75" customHeight="1" x14ac:dyDescent="0.3">
      <c r="A68" s="37">
        <v>53022</v>
      </c>
      <c r="B68" s="398">
        <f t="shared" ref="B68:C68" si="64">($A68-B$9)/365.25</f>
        <v>63.288158795345652</v>
      </c>
      <c r="C68" s="398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3254.2644699519233</v>
      </c>
      <c r="H68" s="25">
        <f>IF(B68&lt;62,0,'Combined Retirement'!$I$14)</f>
        <v>2345</v>
      </c>
      <c r="I68" s="25">
        <f>IF(C68&lt;62,0,'Combined Retirement'!$I$13)</f>
        <v>0</v>
      </c>
      <c r="J68" s="25">
        <f t="shared" si="3"/>
        <v>30683.43324439897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8469.6367556010227</v>
      </c>
      <c r="P68" s="25">
        <f t="shared" si="6"/>
        <v>30683.43324439897</v>
      </c>
      <c r="Q68" s="25">
        <f t="array" aca="1" ref="Q68" ca="1">INDEX('Isaac 401k'!L:L,MATCH('Retirement Calculator'!A68,'Isaac 401k'!N:N,0),0)</f>
        <v>2070668.575463319</v>
      </c>
      <c r="R68" s="25">
        <f t="array" aca="1" ref="R68" ca="1">INDEX('Lorri 401b'!L:L,MATCH('Retirement Calculator'!A68,'Lorri 401b'!N:N,0),0)</f>
        <v>4293637.0741192084</v>
      </c>
      <c r="S68" s="25">
        <f t="shared" ca="1" si="7"/>
        <v>6364305.6495825276</v>
      </c>
    </row>
    <row r="69" spans="1:19" ht="15.75" customHeight="1" x14ac:dyDescent="0.3">
      <c r="A69" s="37">
        <v>53053</v>
      </c>
      <c r="B69" s="398">
        <f t="shared" ref="B69:C69" si="65">($A69-B$9)/365.25</f>
        <v>63.37303216974675</v>
      </c>
      <c r="C69" s="398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3254.2644699519233</v>
      </c>
      <c r="H69" s="25">
        <f>IF(B69&lt;62,0,'Combined Retirement'!$I$14)</f>
        <v>2345</v>
      </c>
      <c r="I69" s="25">
        <f>IF(C69&lt;62,0,'Combined Retirement'!$I$13)</f>
        <v>0</v>
      </c>
      <c r="J69" s="25">
        <f t="shared" si="3"/>
        <v>30683.43324439897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8469.6367556010227</v>
      </c>
      <c r="P69" s="25">
        <f t="shared" si="6"/>
        <v>30683.43324439897</v>
      </c>
      <c r="Q69" s="25">
        <f t="array" aca="1" ref="Q69" ca="1">INDEX('Isaac 401k'!L:L,MATCH('Retirement Calculator'!A69,'Isaac 401k'!N:N,0),0)</f>
        <v>2048485.0803114988</v>
      </c>
      <c r="R69" s="25">
        <f t="array" aca="1" ref="R69" ca="1">INDEX('Lorri 401b'!L:L,MATCH('Retirement Calculator'!A69,'Lorri 401b'!N:N,0),0)</f>
        <v>4311527.2285947055</v>
      </c>
      <c r="S69" s="25">
        <f t="shared" ca="1" si="7"/>
        <v>6360012.3089062041</v>
      </c>
    </row>
    <row r="70" spans="1:19" ht="15.75" customHeight="1" x14ac:dyDescent="0.3">
      <c r="A70" s="37">
        <v>53083</v>
      </c>
      <c r="B70" s="398">
        <f t="shared" ref="B70:C70" si="66">($A70-B$9)/365.25</f>
        <v>63.455167693360714</v>
      </c>
      <c r="C70" s="398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3254.2644699519233</v>
      </c>
      <c r="H70" s="25">
        <f>IF(B70&lt;62,0,'Combined Retirement'!$I$14)</f>
        <v>2345</v>
      </c>
      <c r="I70" s="25">
        <f>IF(C70&lt;62,0,'Combined Retirement'!$I$13)</f>
        <v>0</v>
      </c>
      <c r="J70" s="25">
        <f t="shared" si="3"/>
        <v>30683.43324439897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8469.6367556010227</v>
      </c>
      <c r="P70" s="25">
        <f t="shared" si="6"/>
        <v>30683.43324439897</v>
      </c>
      <c r="Q70" s="25">
        <f t="array" aca="1" ref="Q70" ca="1">INDEX('Isaac 401k'!L:L,MATCH('Retirement Calculator'!A70,'Isaac 401k'!N:N,0),0)</f>
        <v>2026209.1539298794</v>
      </c>
      <c r="R70" s="25">
        <f t="array" aca="1" ref="R70" ca="1">INDEX('Lorri 401b'!L:L,MATCH('Retirement Calculator'!A70,'Lorri 401b'!N:N,0),0)</f>
        <v>4329491.9253805168</v>
      </c>
      <c r="S70" s="25">
        <f t="shared" ca="1" si="7"/>
        <v>6355701.0793103967</v>
      </c>
    </row>
    <row r="71" spans="1:19" ht="15.75" customHeight="1" x14ac:dyDescent="0.3">
      <c r="A71" s="37">
        <v>53114</v>
      </c>
      <c r="B71" s="398">
        <f t="shared" ref="B71:C71" si="67">($A71-B$9)/365.25</f>
        <v>63.540041067761805</v>
      </c>
      <c r="C71" s="398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3254.2644699519233</v>
      </c>
      <c r="H71" s="25">
        <f>IF(B71&lt;62,0,'Combined Retirement'!$I$14)</f>
        <v>2345</v>
      </c>
      <c r="I71" s="25">
        <f>IF(C71&lt;62,0,'Combined Retirement'!$I$13)</f>
        <v>0</v>
      </c>
      <c r="J71" s="25">
        <f t="shared" si="3"/>
        <v>30683.43324439897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8469.6367556010227</v>
      </c>
      <c r="P71" s="25">
        <f t="shared" si="6"/>
        <v>30683.43324439897</v>
      </c>
      <c r="Q71" s="25">
        <f t="array" aca="1" ref="Q71" ca="1">INDEX('Isaac 401k'!L:L,MATCH('Retirement Calculator'!A71,'Isaac 401k'!N:N,0),0)</f>
        <v>2003840.4111883366</v>
      </c>
      <c r="R71" s="25">
        <f t="array" aca="1" ref="R71" ca="1">INDEX('Lorri 401b'!L:L,MATCH('Retirement Calculator'!A71,'Lorri 401b'!N:N,0),0)</f>
        <v>4347531.475069602</v>
      </c>
      <c r="S71" s="25">
        <f t="shared" ca="1" si="7"/>
        <v>6351371.886257939</v>
      </c>
    </row>
    <row r="72" spans="1:19" ht="15.75" customHeight="1" x14ac:dyDescent="0.3">
      <c r="A72" s="37">
        <v>53144</v>
      </c>
      <c r="B72" s="398">
        <f t="shared" ref="B72:C72" si="68">($A72-B$9)/365.25</f>
        <v>63.622176591375769</v>
      </c>
      <c r="C72" s="398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3254.2644699519233</v>
      </c>
      <c r="H72" s="25">
        <f>IF(B72&lt;62,0,'Combined Retirement'!$I$14)</f>
        <v>2345</v>
      </c>
      <c r="I72" s="25">
        <f>IF(C72&lt;62,0,'Combined Retirement'!$I$13)</f>
        <v>0</v>
      </c>
      <c r="J72" s="25">
        <f t="shared" si="3"/>
        <v>30683.43324439897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8469.6367556010227</v>
      </c>
      <c r="P72" s="25">
        <f t="shared" si="6"/>
        <v>30683.43324439897</v>
      </c>
      <c r="Q72" s="25">
        <f t="array" aca="1" ref="Q72" ca="1">INDEX('Isaac 401k'!L:L,MATCH('Retirement Calculator'!A72,'Isaac 401k'!N:N,0),0)</f>
        <v>1981378.4653520372</v>
      </c>
      <c r="R72" s="25">
        <f t="array" aca="1" ref="R72" ca="1">INDEX('Lorri 401b'!L:L,MATCH('Retirement Calculator'!A72,'Lorri 401b'!N:N,0),0)</f>
        <v>4365646.1895490587</v>
      </c>
      <c r="S72" s="25">
        <f t="shared" ca="1" si="7"/>
        <v>6347024.6549010957</v>
      </c>
    </row>
    <row r="73" spans="1:19" ht="15.75" customHeight="1" x14ac:dyDescent="0.3">
      <c r="A73" s="37">
        <v>53175</v>
      </c>
      <c r="B73" s="398">
        <f t="shared" ref="B73:C73" si="69">($A73-B$9)/365.25</f>
        <v>63.707049965776868</v>
      </c>
      <c r="C73" s="398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3254.2644699519233</v>
      </c>
      <c r="H73" s="25">
        <f>IF(B73&lt;62,0,'Combined Retirement'!$I$14)</f>
        <v>2345</v>
      </c>
      <c r="I73" s="25">
        <f>IF(C73&lt;62,0,'Combined Retirement'!$I$13)</f>
        <v>0</v>
      </c>
      <c r="J73" s="25">
        <f t="shared" si="3"/>
        <v>30683.43324439897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8469.6367556010227</v>
      </c>
      <c r="P73" s="25">
        <f t="shared" si="6"/>
        <v>30683.43324439897</v>
      </c>
      <c r="Q73" s="25">
        <f t="array" aca="1" ref="Q73" ca="1">INDEX('Isaac 401k'!L:L,MATCH('Retirement Calculator'!A73,'Isaac 401k'!N:N,0),0)</f>
        <v>1958822.9280747534</v>
      </c>
      <c r="R73" s="25">
        <f t="array" aca="1" ref="R73" ca="1">INDEX('Lorri 401b'!L:L,MATCH('Retirement Calculator'!A73,'Lorri 401b'!N:N,0),0)</f>
        <v>4383836.3820055127</v>
      </c>
      <c r="S73" s="25">
        <f t="shared" ca="1" si="7"/>
        <v>6342659.3100802656</v>
      </c>
    </row>
    <row r="74" spans="1:19" ht="15.75" customHeight="1" x14ac:dyDescent="0.3">
      <c r="A74" s="37">
        <v>53206</v>
      </c>
      <c r="B74" s="398">
        <f t="shared" ref="B74:C74" si="70">($A74-B$9)/365.25</f>
        <v>63.791923340177959</v>
      </c>
      <c r="C74" s="398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3254.2644699519233</v>
      </c>
      <c r="H74" s="25">
        <f>IF(B74&lt;62,0,'Combined Retirement'!$I$14)</f>
        <v>2345</v>
      </c>
      <c r="I74" s="25">
        <f>IF(C74&lt;62,0,'Combined Retirement'!$I$13)</f>
        <v>0</v>
      </c>
      <c r="J74" s="25">
        <f t="shared" si="3"/>
        <v>30683.43324439897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8469.6367556010227</v>
      </c>
      <c r="P74" s="25">
        <f t="shared" si="6"/>
        <v>30683.43324439897</v>
      </c>
      <c r="Q74" s="25">
        <f t="array" aca="1" ref="Q74" ca="1">INDEX('Isaac 401k'!L:L,MATCH('Retirement Calculator'!A74,'Isaac 401k'!N:N,0),0)</f>
        <v>1936173.4093921476</v>
      </c>
      <c r="R74" s="25">
        <f t="array" aca="1" ref="R74" ca="1">INDEX('Lorri 401b'!L:L,MATCH('Retirement Calculator'!A74,'Lorri 401b'!N:N,0),0)</f>
        <v>4402102.366930536</v>
      </c>
      <c r="S74" s="25">
        <f t="shared" ca="1" si="7"/>
        <v>6338275.7763226833</v>
      </c>
    </row>
    <row r="75" spans="1:19" ht="15.75" customHeight="1" x14ac:dyDescent="0.3">
      <c r="A75" s="37">
        <v>53236</v>
      </c>
      <c r="B75" s="398">
        <f t="shared" ref="B75:C75" si="71">($A75-B$9)/365.25</f>
        <v>63.874058863791923</v>
      </c>
      <c r="C75" s="398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3254.2644699519233</v>
      </c>
      <c r="H75" s="25">
        <f>IF(B75&lt;62,0,'Combined Retirement'!$I$14)</f>
        <v>2345</v>
      </c>
      <c r="I75" s="25">
        <f>IF(C75&lt;62,0,'Combined Retirement'!$I$13)</f>
        <v>0</v>
      </c>
      <c r="J75" s="25">
        <f t="shared" si="3"/>
        <v>30683.43324439897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8469.6367556010227</v>
      </c>
      <c r="P75" s="25">
        <f t="shared" si="6"/>
        <v>30683.43324439897</v>
      </c>
      <c r="Q75" s="25">
        <f t="array" aca="1" ref="Q75" ca="1">INDEX('Isaac 401k'!L:L,MATCH('Retirement Calculator'!A75,'Isaac 401k'!N:N,0),0)</f>
        <v>1913429.5177150308</v>
      </c>
      <c r="R75" s="25">
        <f t="array" aca="1" ref="R75" ca="1">INDEX('Lorri 401b'!L:L,MATCH('Retirement Calculator'!A75,'Lorri 401b'!N:N,0),0)</f>
        <v>4420444.4601260796</v>
      </c>
      <c r="S75" s="25">
        <f t="shared" ca="1" si="7"/>
        <v>6333873.9778411109</v>
      </c>
    </row>
    <row r="76" spans="1:19" ht="15.75" customHeight="1" x14ac:dyDescent="0.3">
      <c r="A76" s="37">
        <v>53267</v>
      </c>
      <c r="B76" s="398">
        <f t="shared" ref="B76:C76" si="72">($A76-B$9)/365.25</f>
        <v>63.958932238193022</v>
      </c>
      <c r="C76" s="398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3254.2644699519233</v>
      </c>
      <c r="H76" s="25">
        <f>IF(B76&lt;62,0,'Combined Retirement'!$I$14)</f>
        <v>2345</v>
      </c>
      <c r="I76" s="25">
        <f>IF(C76&lt;62,0,'Combined Retirement'!$I$13)</f>
        <v>0</v>
      </c>
      <c r="J76" s="25">
        <f t="shared" si="3"/>
        <v>30683.43324439897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8469.6367556010227</v>
      </c>
      <c r="P76" s="25">
        <f t="shared" si="6"/>
        <v>30683.43324439897</v>
      </c>
      <c r="Q76" s="25">
        <f t="array" aca="1" ref="Q76" ca="1">INDEX('Isaac 401k'!L:L,MATCH('Retirement Calculator'!A76,'Isaac 401k'!N:N,0),0)</f>
        <v>1890590.8598225927</v>
      </c>
      <c r="R76" s="25">
        <f t="array" aca="1" ref="R76" ca="1">INDEX('Lorri 401b'!L:L,MATCH('Retirement Calculator'!A76,'Lorri 401b'!N:N,0),0)</f>
        <v>4438862.978709938</v>
      </c>
      <c r="S76" s="25">
        <f t="shared" ca="1" si="7"/>
        <v>6329453.8385325307</v>
      </c>
    </row>
    <row r="77" spans="1:19" ht="15.75" customHeight="1" x14ac:dyDescent="0.3">
      <c r="A77" s="37">
        <v>53297</v>
      </c>
      <c r="B77" s="398">
        <f t="shared" ref="B77:C77" si="73">($A77-B$9)/365.25</f>
        <v>64.041067761806985</v>
      </c>
      <c r="C77" s="398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3254.2644699519233</v>
      </c>
      <c r="H77" s="25">
        <f>IF(B77&lt;62,0,'Combined Retirement'!$I$14)</f>
        <v>2345</v>
      </c>
      <c r="I77" s="25">
        <f>IF(C77&lt;62,0,'Combined Retirement'!$I$13)</f>
        <v>0</v>
      </c>
      <c r="J77" s="25">
        <f t="shared" si="3"/>
        <v>30683.43324439897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8469.6367556010227</v>
      </c>
      <c r="P77" s="25">
        <f t="shared" si="6"/>
        <v>30683.43324439897</v>
      </c>
      <c r="Q77" s="25">
        <f t="array" aca="1" ref="Q77" ca="1">INDEX('Isaac 401k'!L:L,MATCH('Retirement Calculator'!A77,'Isaac 401k'!N:N,0),0)</f>
        <v>1867657.0408556028</v>
      </c>
      <c r="R77" s="25">
        <f t="array" aca="1" ref="R77" ca="1">INDEX('Lorri 401b'!L:L,MATCH('Retirement Calculator'!A77,'Lorri 401b'!N:N,0),0)</f>
        <v>4457358.2411212297</v>
      </c>
      <c r="S77" s="25">
        <f t="shared" ca="1" si="7"/>
        <v>6325015.2819768321</v>
      </c>
    </row>
    <row r="78" spans="1:19" ht="15.75" customHeight="1" x14ac:dyDescent="0.3">
      <c r="A78" s="37">
        <v>53328</v>
      </c>
      <c r="B78" s="398">
        <f t="shared" ref="B78:C78" si="74">($A78-B$9)/365.25</f>
        <v>64.12594113620807</v>
      </c>
      <c r="C78" s="398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3254.2644699519233</v>
      </c>
      <c r="H78" s="25">
        <f>IF(B78&lt;62,0,'Combined Retirement'!$I$14)</f>
        <v>2345</v>
      </c>
      <c r="I78" s="25">
        <f>IF(C78&lt;62,0,'Combined Retirement'!$I$13)</f>
        <v>0</v>
      </c>
      <c r="J78" s="25">
        <f t="shared" si="3"/>
        <v>8572.3375798201851</v>
      </c>
      <c r="K78" s="25">
        <f t="shared" si="4"/>
        <v>22111.095664578788</v>
      </c>
      <c r="L78" s="25"/>
      <c r="N78" s="25">
        <f>'Combined Retirement'!$C$18/12</f>
        <v>39153.069999999992</v>
      </c>
      <c r="O78" s="25">
        <f t="shared" si="5"/>
        <v>8469.6367556010227</v>
      </c>
      <c r="P78" s="25">
        <f t="shared" si="6"/>
        <v>30683.43324439897</v>
      </c>
      <c r="Q78" s="25">
        <f t="array" aca="1" ref="Q78" ca="1">INDEX('Isaac 401k'!L:L,MATCH('Retirement Calculator'!A78,'Isaac 401k'!N:N,0),0)</f>
        <v>1866830.8895394318</v>
      </c>
      <c r="R78" s="25">
        <f t="array" aca="1" ref="R78" ca="1">INDEX('Lorri 401b'!L:L,MATCH('Retirement Calculator'!A78,'Lorri 401b'!N:N,0),0)</f>
        <v>4453727.3418960543</v>
      </c>
      <c r="S78" s="25">
        <f t="shared" ca="1" si="7"/>
        <v>6320558.2314354861</v>
      </c>
    </row>
    <row r="79" spans="1:19" ht="15.75" customHeight="1" x14ac:dyDescent="0.3">
      <c r="A79" s="37">
        <v>53359</v>
      </c>
      <c r="B79" s="398">
        <f t="shared" ref="B79:C79" si="75">($A79-B$9)/365.25</f>
        <v>64.210814510609168</v>
      </c>
      <c r="C79" s="398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3254.2644699519233</v>
      </c>
      <c r="H79" s="25">
        <f>IF(B79&lt;62,0,'Combined Retirement'!$I$14)</f>
        <v>2345</v>
      </c>
      <c r="I79" s="25">
        <f>IF(C79&lt;62,0,'Combined Retirement'!$I$13)</f>
        <v>0</v>
      </c>
      <c r="J79" s="25">
        <f t="shared" si="3"/>
        <v>8572.3375798201851</v>
      </c>
      <c r="K79" s="25">
        <f t="shared" si="4"/>
        <v>22111.095664578788</v>
      </c>
      <c r="L79" s="25"/>
      <c r="N79" s="25">
        <f>'Combined Retirement'!$C$18/12</f>
        <v>39153.069999999992</v>
      </c>
      <c r="O79" s="25">
        <f t="shared" si="5"/>
        <v>8469.6367556010227</v>
      </c>
      <c r="P79" s="25">
        <f t="shared" si="6"/>
        <v>30683.43324439897</v>
      </c>
      <c r="Q79" s="25">
        <f t="array" aca="1" ref="Q79" ca="1">INDEX('Isaac 401k'!L:L,MATCH('Retirement Calculator'!A79,'Isaac 401k'!N:N,0),0)</f>
        <v>1866001.2959261101</v>
      </c>
      <c r="R79" s="25">
        <f t="array" aca="1" ref="R79" ca="1">INDEX('Lorri 401b'!L:L,MATCH('Retirement Calculator'!A79,'Lorri 401b'!N:N,0),0)</f>
        <v>4450081.3139241068</v>
      </c>
      <c r="S79" s="25">
        <f t="shared" ca="1" si="7"/>
        <v>6316082.6098502167</v>
      </c>
    </row>
    <row r="80" spans="1:19" ht="15.75" customHeight="1" x14ac:dyDescent="0.3">
      <c r="A80" s="37">
        <v>53387</v>
      </c>
      <c r="B80" s="398">
        <f t="shared" ref="B80:C80" si="76">($A80-B$9)/365.25</f>
        <v>64.28747433264887</v>
      </c>
      <c r="C80" s="398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3254.2644699519233</v>
      </c>
      <c r="H80" s="25">
        <f>IF(B80&lt;62,0,'Combined Retirement'!$I$14)</f>
        <v>2345</v>
      </c>
      <c r="I80" s="25">
        <f>IF(C80&lt;62,0,'Combined Retirement'!$I$13)</f>
        <v>0</v>
      </c>
      <c r="J80" s="25">
        <f t="shared" si="3"/>
        <v>8572.3375798201851</v>
      </c>
      <c r="K80" s="25">
        <f t="shared" si="4"/>
        <v>22111.095664578788</v>
      </c>
      <c r="L80" s="25"/>
      <c r="N80" s="25">
        <f>'Combined Retirement'!$C$18/12</f>
        <v>39153.069999999992</v>
      </c>
      <c r="O80" s="25">
        <f t="shared" si="5"/>
        <v>8469.6367556010227</v>
      </c>
      <c r="P80" s="25">
        <f t="shared" si="6"/>
        <v>30683.43324439897</v>
      </c>
      <c r="Q80" s="25">
        <f t="array" aca="1" ref="Q80" ca="1">INDEX('Isaac 401k'!L:L,MATCH('Retirement Calculator'!A80,'Isaac 401k'!N:N,0),0)</f>
        <v>1865168.2456727328</v>
      </c>
      <c r="R80" s="25">
        <f t="array" aca="1" ref="R80" ca="1">INDEX('Lorri 401b'!L:L,MATCH('Retirement Calculator'!A80,'Lorri 401b'!N:N,0),0)</f>
        <v>4446420.0941689434</v>
      </c>
      <c r="S80" s="25">
        <f t="shared" ca="1" si="7"/>
        <v>6311588.3398416759</v>
      </c>
    </row>
    <row r="81" spans="1:19" ht="15.75" customHeight="1" x14ac:dyDescent="0.3">
      <c r="A81" s="37">
        <v>53418</v>
      </c>
      <c r="B81" s="398">
        <f t="shared" ref="B81:C81" si="77">($A81-B$9)/365.25</f>
        <v>64.372347707049968</v>
      </c>
      <c r="C81" s="398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3254.2644699519233</v>
      </c>
      <c r="H81" s="25">
        <f>IF(B81&lt;62,0,'Combined Retirement'!$I$14)</f>
        <v>2345</v>
      </c>
      <c r="I81" s="25">
        <f>IF(C81&lt;62,0,'Combined Retirement'!$I$13)</f>
        <v>0</v>
      </c>
      <c r="J81" s="25">
        <f t="shared" si="3"/>
        <v>8572.3375798201851</v>
      </c>
      <c r="K81" s="25">
        <f t="shared" si="4"/>
        <v>22111.095664578788</v>
      </c>
      <c r="L81" s="25"/>
      <c r="N81" s="25">
        <f>'Combined Retirement'!$C$18/12</f>
        <v>39153.069999999992</v>
      </c>
      <c r="O81" s="25">
        <f t="shared" si="5"/>
        <v>8469.6367556010227</v>
      </c>
      <c r="P81" s="25">
        <f t="shared" si="6"/>
        <v>30683.43324439897</v>
      </c>
      <c r="Q81" s="25">
        <f t="array" aca="1" ref="Q81" ca="1">INDEX('Isaac 401k'!L:L,MATCH('Retirement Calculator'!A81,'Isaac 401k'!N:N,0),0)</f>
        <v>1864331.7243766333</v>
      </c>
      <c r="R81" s="25">
        <f t="array" aca="1" ref="R81" ca="1">INDEX('Lorri 401b'!L:L,MATCH('Retirement Calculator'!A81,'Lorri 401b'!N:N,0),0)</f>
        <v>4442743.619331466</v>
      </c>
      <c r="S81" s="25">
        <f t="shared" ca="1" si="7"/>
        <v>6307075.3437080998</v>
      </c>
    </row>
    <row r="82" spans="1:19" ht="15.75" customHeight="1" x14ac:dyDescent="0.3">
      <c r="A82" s="37">
        <v>53448</v>
      </c>
      <c r="B82" s="398">
        <f t="shared" ref="B82:C82" si="78">($A82-B$9)/365.25</f>
        <v>64.454483230663925</v>
      </c>
      <c r="C82" s="398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3254.2644699519233</v>
      </c>
      <c r="H82" s="25">
        <f>IF(B82&lt;62,0,'Combined Retirement'!$I$14)</f>
        <v>2345</v>
      </c>
      <c r="I82" s="25">
        <f>IF(C82&lt;62,0,'Combined Retirement'!$I$13)</f>
        <v>0</v>
      </c>
      <c r="J82" s="25">
        <f t="shared" si="3"/>
        <v>8572.3375798201851</v>
      </c>
      <c r="K82" s="25">
        <f t="shared" si="4"/>
        <v>22111.095664578788</v>
      </c>
      <c r="L82" s="25"/>
      <c r="N82" s="25">
        <f>'Combined Retirement'!$C$18/12</f>
        <v>39153.069999999992</v>
      </c>
      <c r="O82" s="25">
        <f t="shared" si="5"/>
        <v>8469.6367556010227</v>
      </c>
      <c r="P82" s="25">
        <f t="shared" si="6"/>
        <v>30683.43324439897</v>
      </c>
      <c r="Q82" s="25">
        <f t="array" aca="1" ref="Q82" ca="1">INDEX('Isaac 401k'!L:L,MATCH('Retirement Calculator'!A82,'Isaac 401k'!N:N,0),0)</f>
        <v>1863491.7175751333</v>
      </c>
      <c r="R82" s="25">
        <f t="array" aca="1" ref="R82" ca="1">INDEX('Lorri 401b'!L:L,MATCH('Retirement Calculator'!A82,'Lorri 401b'!N:N,0),0)</f>
        <v>4439051.8258488327</v>
      </c>
      <c r="S82" s="25">
        <f t="shared" ca="1" si="7"/>
        <v>6302543.5434239656</v>
      </c>
    </row>
    <row r="83" spans="1:19" ht="15.75" customHeight="1" x14ac:dyDescent="0.3">
      <c r="A83" s="37">
        <v>53479</v>
      </c>
      <c r="B83" s="398">
        <f t="shared" ref="B83:C83" si="79">($A83-B$9)/365.25</f>
        <v>64.539356605065024</v>
      </c>
      <c r="C83" s="398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3254.2644699519233</v>
      </c>
      <c r="H83" s="25">
        <f>IF(B83&lt;62,0,'Combined Retirement'!$I$14)</f>
        <v>2345</v>
      </c>
      <c r="I83" s="25">
        <f>IF(C83&lt;62,0,'Combined Retirement'!$I$13)</f>
        <v>0</v>
      </c>
      <c r="J83" s="25">
        <f t="shared" si="3"/>
        <v>8572.3375798201851</v>
      </c>
      <c r="K83" s="25">
        <f t="shared" si="4"/>
        <v>22111.095664578788</v>
      </c>
      <c r="L83" s="25"/>
      <c r="N83" s="25">
        <f>'Combined Retirement'!$C$18/12</f>
        <v>39153.069999999992</v>
      </c>
      <c r="O83" s="25">
        <f t="shared" si="5"/>
        <v>8469.6367556010227</v>
      </c>
      <c r="P83" s="25">
        <f t="shared" si="6"/>
        <v>30683.43324439897</v>
      </c>
      <c r="Q83" s="25">
        <f t="array" aca="1" ref="Q83" ca="1">INDEX('Isaac 401k'!L:L,MATCH('Retirement Calculator'!A83,'Isaac 401k'!N:N,0),0)</f>
        <v>1862648.2107452936</v>
      </c>
      <c r="R83" s="25">
        <f t="array" aca="1" ref="R83" ca="1">INDEX('Lorri 401b'!L:L,MATCH('Retirement Calculator'!A83,'Lorri 401b'!N:N,0),0)</f>
        <v>4435344.6498933556</v>
      </c>
      <c r="S83" s="25">
        <f t="shared" ca="1" si="7"/>
        <v>6297992.8606386492</v>
      </c>
    </row>
    <row r="84" spans="1:19" ht="15.75" customHeight="1" x14ac:dyDescent="0.3">
      <c r="A84" s="37">
        <v>53509</v>
      </c>
      <c r="B84" s="398">
        <f t="shared" ref="B84:C84" si="80">($A84-B$9)/365.25</f>
        <v>64.62149212867898</v>
      </c>
      <c r="C84" s="398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3254.2644699519233</v>
      </c>
      <c r="H84" s="25">
        <f>IF(B84&lt;62,0,'Combined Retirement'!$I$14)</f>
        <v>2345</v>
      </c>
      <c r="I84" s="25">
        <f>IF(C84&lt;62,0,'Combined Retirement'!$I$13)</f>
        <v>0</v>
      </c>
      <c r="J84" s="25">
        <f t="shared" si="3"/>
        <v>8572.3375798201851</v>
      </c>
      <c r="K84" s="25">
        <f t="shared" si="4"/>
        <v>22111.095664578788</v>
      </c>
      <c r="L84" s="25"/>
      <c r="N84" s="25">
        <f>'Combined Retirement'!$C$18/12</f>
        <v>39153.069999999992</v>
      </c>
      <c r="O84" s="25">
        <f t="shared" si="5"/>
        <v>8469.6367556010227</v>
      </c>
      <c r="P84" s="25">
        <f t="shared" si="6"/>
        <v>30683.43324439897</v>
      </c>
      <c r="Q84" s="25">
        <f t="array" aca="1" ref="Q84" ca="1">INDEX('Isaac 401k'!L:L,MATCH('Retirement Calculator'!A84,'Isaac 401k'!N:N,0),0)</f>
        <v>1861801.1893036631</v>
      </c>
      <c r="R84" s="25">
        <f t="array" aca="1" ref="R84" ca="1">INDEX('Lorri 401b'!L:L,MATCH('Retirement Calculator'!A84,'Lorri 401b'!N:N,0),0)</f>
        <v>4431622.0273713972</v>
      </c>
      <c r="S84" s="25">
        <f t="shared" ca="1" si="7"/>
        <v>6293423.2166750599</v>
      </c>
    </row>
    <row r="85" spans="1:19" ht="15.75" customHeight="1" x14ac:dyDescent="0.3">
      <c r="A85" s="37">
        <v>53540</v>
      </c>
      <c r="B85" s="398">
        <f t="shared" ref="B85:C85" si="81">($A85-B$9)/365.25</f>
        <v>64.706365503080079</v>
      </c>
      <c r="C85" s="398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3254.2644699519233</v>
      </c>
      <c r="H85" s="25">
        <f>IF(B85&lt;62,0,'Combined Retirement'!$I$14)</f>
        <v>2345</v>
      </c>
      <c r="I85" s="25">
        <f>IF(C85&lt;62,0,'Combined Retirement'!$I$13)</f>
        <v>0</v>
      </c>
      <c r="J85" s="25">
        <f t="shared" si="3"/>
        <v>8572.3375798201851</v>
      </c>
      <c r="K85" s="25">
        <f t="shared" si="4"/>
        <v>22111.095664578788</v>
      </c>
      <c r="L85" s="25"/>
      <c r="N85" s="25">
        <f>'Combined Retirement'!$C$18/12</f>
        <v>39153.069999999992</v>
      </c>
      <c r="O85" s="25">
        <f t="shared" si="5"/>
        <v>8469.6367556010227</v>
      </c>
      <c r="P85" s="25">
        <f t="shared" si="6"/>
        <v>30683.43324439897</v>
      </c>
      <c r="Q85" s="25">
        <f t="array" aca="1" ref="Q85" ca="1">INDEX('Isaac 401k'!L:L,MATCH('Retirement Calculator'!A85,'Isaac 401k'!N:N,0),0)</f>
        <v>1860950.6386060256</v>
      </c>
      <c r="R85" s="25">
        <f t="array" aca="1" ref="R85" ca="1">INDEX('Lorri 401b'!L:L,MATCH('Retirement Calculator'!A85,'Lorri 401b'!N:N,0),0)</f>
        <v>4427883.8939222638</v>
      </c>
      <c r="S85" s="25">
        <f t="shared" ca="1" si="7"/>
        <v>6288834.5325282896</v>
      </c>
    </row>
    <row r="86" spans="1:19" ht="15.75" customHeight="1" x14ac:dyDescent="0.3">
      <c r="A86" s="37">
        <v>53571</v>
      </c>
      <c r="B86" s="398">
        <f t="shared" ref="B86:C86" si="82">($A86-B$9)/365.25</f>
        <v>64.791238877481177</v>
      </c>
      <c r="C86" s="398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3254.2644699519233</v>
      </c>
      <c r="H86" s="25">
        <f>IF(B86&lt;62,0,'Combined Retirement'!$I$14)</f>
        <v>2345</v>
      </c>
      <c r="I86" s="25">
        <f>IF(C86&lt;62,0,'Combined Retirement'!$I$13)</f>
        <v>0</v>
      </c>
      <c r="J86" s="25">
        <f t="shared" si="3"/>
        <v>8572.3375798201851</v>
      </c>
      <c r="K86" s="25">
        <f t="shared" si="4"/>
        <v>22111.095664578788</v>
      </c>
      <c r="L86" s="25"/>
      <c r="N86" s="25">
        <f>'Combined Retirement'!$C$18/12</f>
        <v>39153.069999999992</v>
      </c>
      <c r="O86" s="25">
        <f t="shared" si="5"/>
        <v>8469.6367556010227</v>
      </c>
      <c r="P86" s="25">
        <f t="shared" si="6"/>
        <v>30683.43324439897</v>
      </c>
      <c r="Q86" s="25">
        <f t="array" aca="1" ref="Q86" ca="1">INDEX('Isaac 401k'!L:L,MATCH('Retirement Calculator'!A86,'Isaac 401k'!N:N,0),0)</f>
        <v>1860096.5439471481</v>
      </c>
      <c r="R86" s="25">
        <f t="array" aca="1" ref="R86" ca="1">INDEX('Lorri 401b'!L:L,MATCH('Retirement Calculator'!A86,'Lorri 401b'!N:N,0),0)</f>
        <v>4424130.1849170923</v>
      </c>
      <c r="S86" s="25">
        <f t="shared" ca="1" si="7"/>
        <v>6284226.7288642405</v>
      </c>
    </row>
    <row r="87" spans="1:19" ht="15.75" customHeight="1" x14ac:dyDescent="0.3">
      <c r="A87" s="37">
        <v>53601</v>
      </c>
      <c r="B87" s="398">
        <f t="shared" ref="B87:C87" si="83">($A87-B$9)/365.25</f>
        <v>64.873374401095134</v>
      </c>
      <c r="C87" s="398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3254.2644699519233</v>
      </c>
      <c r="H87" s="25">
        <f>IF(B87&lt;62,0,'Combined Retirement'!$I$14)</f>
        <v>2345</v>
      </c>
      <c r="I87" s="25">
        <f>IF(C87&lt;62,0,'Combined Retirement'!$I$13)</f>
        <v>0</v>
      </c>
      <c r="J87" s="25">
        <f t="shared" si="3"/>
        <v>8572.3375798201851</v>
      </c>
      <c r="K87" s="25">
        <f t="shared" si="4"/>
        <v>22111.095664578788</v>
      </c>
      <c r="L87" s="25"/>
      <c r="N87" s="25">
        <f>'Combined Retirement'!$C$18/12</f>
        <v>39153.069999999992</v>
      </c>
      <c r="O87" s="25">
        <f t="shared" si="5"/>
        <v>8469.6367556010227</v>
      </c>
      <c r="P87" s="25">
        <f t="shared" si="6"/>
        <v>30683.43324439897</v>
      </c>
      <c r="Q87" s="25">
        <f t="array" aca="1" ref="Q87" ca="1">INDEX('Isaac 401k'!L:L,MATCH('Retirement Calculator'!A87,'Isaac 401k'!N:N,0),0)</f>
        <v>1859238.8905605252</v>
      </c>
      <c r="R87" s="25">
        <f t="array" aca="1" ref="R87" ca="1">INDEX('Lorri 401b'!L:L,MATCH('Retirement Calculator'!A87,'Lorri 401b'!N:N,0),0)</f>
        <v>4420360.8354577329</v>
      </c>
      <c r="S87" s="25">
        <f t="shared" ca="1" si="7"/>
        <v>6279599.7260182584</v>
      </c>
    </row>
    <row r="88" spans="1:19" ht="15.75" customHeight="1" x14ac:dyDescent="0.3">
      <c r="A88" s="37">
        <v>53632</v>
      </c>
      <c r="B88" s="398">
        <f t="shared" ref="B88:C88" si="84">($A88-B$9)/365.25</f>
        <v>64.958247775496233</v>
      </c>
      <c r="C88" s="398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3254.2644699519233</v>
      </c>
      <c r="H88" s="25">
        <f>IF(B88&lt;62,0,'Combined Retirement'!$I$14)</f>
        <v>2345</v>
      </c>
      <c r="I88" s="25">
        <f>IF(C88&lt;62,0,'Combined Retirement'!$I$13)</f>
        <v>0</v>
      </c>
      <c r="J88" s="25">
        <f t="shared" si="3"/>
        <v>8572.3375798201851</v>
      </c>
      <c r="K88" s="25">
        <f t="shared" si="4"/>
        <v>22111.095664578788</v>
      </c>
      <c r="L88" s="25"/>
      <c r="N88" s="25">
        <f>'Combined Retirement'!$C$18/12</f>
        <v>39153.069999999992</v>
      </c>
      <c r="O88" s="25">
        <f t="shared" si="5"/>
        <v>8469.6367556010227</v>
      </c>
      <c r="P88" s="25">
        <f t="shared" si="6"/>
        <v>30683.43324439897</v>
      </c>
      <c r="Q88" s="25">
        <f t="array" aca="1" ref="Q88" ca="1">INDEX('Isaac 401k'!L:L,MATCH('Retirement Calculator'!A88,'Isaac 401k'!N:N,0),0)</f>
        <v>1858377.6636181248</v>
      </c>
      <c r="R88" s="25">
        <f t="array" aca="1" ref="R88" ca="1">INDEX('Lorri 401b'!L:L,MATCH('Retirement Calculator'!A88,'Lorri 401b'!N:N,0),0)</f>
        <v>4416575.7803756259</v>
      </c>
      <c r="S88" s="25">
        <f t="shared" ca="1" si="7"/>
        <v>6274953.443993751</v>
      </c>
    </row>
    <row r="89" spans="1:19" ht="15.75" customHeight="1" x14ac:dyDescent="0.3">
      <c r="A89" s="37">
        <v>53662</v>
      </c>
      <c r="B89" s="398">
        <f t="shared" ref="B89:C89" si="85">($A89-B$9)/365.25</f>
        <v>65.040383299110204</v>
      </c>
      <c r="C89" s="398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3254.2644699519233</v>
      </c>
      <c r="H89" s="25">
        <f>IF(B89&lt;62,0,'Combined Retirement'!$I$14)</f>
        <v>2345</v>
      </c>
      <c r="I89" s="25">
        <f>IF(C89&lt;62,0,'Combined Retirement'!$I$13)</f>
        <v>0</v>
      </c>
      <c r="J89" s="25">
        <f t="shared" si="3"/>
        <v>8572.3375798201851</v>
      </c>
      <c r="K89" s="25">
        <f t="shared" si="4"/>
        <v>22111.095664578788</v>
      </c>
      <c r="L89" s="25"/>
      <c r="N89" s="25">
        <f>'Combined Retirement'!$C$18/12</f>
        <v>39153.069999999992</v>
      </c>
      <c r="O89" s="25">
        <f t="shared" si="5"/>
        <v>8469.6367556010227</v>
      </c>
      <c r="P89" s="25">
        <f t="shared" si="6"/>
        <v>30683.43324439897</v>
      </c>
      <c r="Q89" s="25">
        <f t="array" aca="1" ref="Q89" ca="1">INDEX('Isaac 401k'!L:L,MATCH('Retirement Calculator'!A89,'Isaac 401k'!N:N,0),0)</f>
        <v>1857512.848230131</v>
      </c>
      <c r="R89" s="25">
        <f t="array" aca="1" ref="R89" ca="1">INDEX('Lorri 401b'!L:L,MATCH('Retirement Calculator'!A89,'Lorri 401b'!N:N,0),0)</f>
        <v>4412774.9542306764</v>
      </c>
      <c r="S89" s="25">
        <f t="shared" ca="1" si="7"/>
        <v>6270287.8024608074</v>
      </c>
    </row>
    <row r="90" spans="1:19" ht="15.75" customHeight="1" x14ac:dyDescent="0.3">
      <c r="A90" s="37">
        <v>53693</v>
      </c>
      <c r="B90" s="398">
        <f t="shared" ref="B90:C90" si="86">($A90-B$9)/365.25</f>
        <v>65.125256673511288</v>
      </c>
      <c r="C90" s="398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3254.2644699519233</v>
      </c>
      <c r="H90" s="25">
        <f>IF(B90&lt;62,0,'Combined Retirement'!$I$14)</f>
        <v>2345</v>
      </c>
      <c r="I90" s="25">
        <f>IF(C90&lt;62,0,'Combined Retirement'!$I$13)</f>
        <v>0</v>
      </c>
      <c r="J90" s="25">
        <f t="shared" si="3"/>
        <v>8572.3375798201851</v>
      </c>
      <c r="K90" s="25">
        <f t="shared" si="4"/>
        <v>22111.095664578788</v>
      </c>
      <c r="L90" s="25"/>
      <c r="N90" s="25">
        <f>'Combined Retirement'!$C$18/12</f>
        <v>39153.069999999992</v>
      </c>
      <c r="O90" s="25">
        <f t="shared" si="5"/>
        <v>8469.6367556010227</v>
      </c>
      <c r="P90" s="25">
        <f t="shared" si="6"/>
        <v>30683.43324439897</v>
      </c>
      <c r="Q90" s="25">
        <f t="array" aca="1" ref="Q90" ca="1">INDEX('Isaac 401k'!L:L,MATCH('Retirement Calculator'!A90,'Isaac 401k'!N:N,0),0)</f>
        <v>1856644.4294446872</v>
      </c>
      <c r="R90" s="25">
        <f t="array" aca="1" ref="R90" ca="1">INDEX('Lorri 401b'!L:L,MATCH('Retirement Calculator'!A90,'Lorri 401b'!N:N,0),0)</f>
        <v>4408958.2913101232</v>
      </c>
      <c r="S90" s="25">
        <f t="shared" ca="1" si="7"/>
        <v>6265602.7207548106</v>
      </c>
    </row>
    <row r="91" spans="1:19" ht="15.75" customHeight="1" x14ac:dyDescent="0.3">
      <c r="A91" s="37">
        <v>53724</v>
      </c>
      <c r="B91" s="398">
        <f t="shared" ref="B91:C91" si="87">($A91-B$9)/365.25</f>
        <v>65.210130047912386</v>
      </c>
      <c r="C91" s="398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3254.2644699519233</v>
      </c>
      <c r="H91" s="25">
        <f>IF(B91&lt;62,0,'Combined Retirement'!$I$14)</f>
        <v>2345</v>
      </c>
      <c r="I91" s="25">
        <f>IF(C91&lt;62,0,'Combined Retirement'!$I$13)</f>
        <v>0</v>
      </c>
      <c r="J91" s="25">
        <f t="shared" si="3"/>
        <v>8572.3375798201851</v>
      </c>
      <c r="K91" s="25">
        <f t="shared" si="4"/>
        <v>22111.095664578788</v>
      </c>
      <c r="L91" s="25"/>
      <c r="N91" s="25">
        <f>'Combined Retirement'!$C$18/12</f>
        <v>39153.069999999992</v>
      </c>
      <c r="O91" s="25">
        <f t="shared" si="5"/>
        <v>8469.6367556010227</v>
      </c>
      <c r="P91" s="25">
        <f t="shared" si="6"/>
        <v>30683.43324439897</v>
      </c>
      <c r="Q91" s="25">
        <f t="array" aca="1" ref="Q91" ca="1">INDEX('Isaac 401k'!L:L,MATCH('Retirement Calculator'!A91,'Isaac 401k'!N:N,0),0)</f>
        <v>1855772.3922476375</v>
      </c>
      <c r="R91" s="25">
        <f t="array" aca="1" ref="R91" ca="1">INDEX('Lorri 401b'!L:L,MATCH('Retirement Calculator'!A91,'Lorri 401b'!N:N,0),0)</f>
        <v>4405125.7256274009</v>
      </c>
      <c r="S91" s="25">
        <f t="shared" ca="1" si="7"/>
        <v>6260898.1178750386</v>
      </c>
    </row>
    <row r="92" spans="1:19" ht="15.75" customHeight="1" x14ac:dyDescent="0.3">
      <c r="A92" s="37">
        <v>53752</v>
      </c>
      <c r="B92" s="398">
        <f t="shared" ref="B92:C92" si="88">($A92-B$9)/365.25</f>
        <v>65.286789869952088</v>
      </c>
      <c r="C92" s="398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3254.2644699519233</v>
      </c>
      <c r="H92" s="25">
        <f>IF(B92&lt;62,0,'Combined Retirement'!$I$14)</f>
        <v>2345</v>
      </c>
      <c r="I92" s="25">
        <f>IF(C92&lt;62,0,'Combined Retirement'!$I$13)</f>
        <v>0</v>
      </c>
      <c r="J92" s="25">
        <f t="shared" si="3"/>
        <v>8572.3375798201851</v>
      </c>
      <c r="K92" s="25">
        <f t="shared" si="4"/>
        <v>22111.095664578788</v>
      </c>
      <c r="L92" s="25"/>
      <c r="N92" s="25">
        <f>'Combined Retirement'!$C$18/12</f>
        <v>39153.069999999992</v>
      </c>
      <c r="O92" s="25">
        <f t="shared" si="5"/>
        <v>8469.6367556010227</v>
      </c>
      <c r="P92" s="25">
        <f t="shared" si="6"/>
        <v>30683.43324439897</v>
      </c>
      <c r="Q92" s="25">
        <f t="array" aca="1" ref="Q92" ca="1">INDEX('Isaac 401k'!L:L,MATCH('Retirement Calculator'!A92,'Isaac 401k'!N:N,0),0)</f>
        <v>1854896.7215622666</v>
      </c>
      <c r="R92" s="25">
        <f t="array" aca="1" ref="R92" ca="1">INDEX('Lorri 401b'!L:L,MATCH('Retirement Calculator'!A92,'Lorri 401b'!N:N,0),0)</f>
        <v>4401277.1909210011</v>
      </c>
      <c r="S92" s="25">
        <f t="shared" ca="1" si="7"/>
        <v>6256173.9124832675</v>
      </c>
    </row>
    <row r="93" spans="1:19" ht="15.75" customHeight="1" x14ac:dyDescent="0.3">
      <c r="A93" s="37">
        <v>53783</v>
      </c>
      <c r="B93" s="398">
        <f t="shared" ref="B93:C93" si="89">($A93-B$9)/365.25</f>
        <v>65.371663244353186</v>
      </c>
      <c r="C93" s="398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3254.2644699519233</v>
      </c>
      <c r="H93" s="25">
        <f>IF(B93&lt;62,0,'Combined Retirement'!$I$14)</f>
        <v>2345</v>
      </c>
      <c r="I93" s="25">
        <f>IF(C93&lt;62,0,'Combined Retirement'!$I$13)</f>
        <v>0</v>
      </c>
      <c r="J93" s="25">
        <f t="shared" si="3"/>
        <v>8572.3375798201851</v>
      </c>
      <c r="K93" s="25">
        <f t="shared" si="4"/>
        <v>22111.095664578788</v>
      </c>
      <c r="L93" s="25"/>
      <c r="N93" s="25">
        <f>'Combined Retirement'!$C$18/12</f>
        <v>39153.069999999992</v>
      </c>
      <c r="O93" s="25">
        <f t="shared" si="5"/>
        <v>8469.6367556010227</v>
      </c>
      <c r="P93" s="25">
        <f t="shared" si="6"/>
        <v>30683.43324439897</v>
      </c>
      <c r="Q93" s="25">
        <f t="array" aca="1" ref="Q93" ca="1">INDEX('Isaac 401k'!L:L,MATCH('Retirement Calculator'!A93,'Isaac 401k'!N:N,0),0)</f>
        <v>1854017.4022490401</v>
      </c>
      <c r="R93" s="25">
        <f t="array" aca="1" ref="R93" ca="1">INDEX('Lorri 401b'!L:L,MATCH('Retirement Calculator'!A93,'Lorri 401b'!N:N,0),0)</f>
        <v>4397412.6206533248</v>
      </c>
      <c r="S93" s="25">
        <f t="shared" ca="1" si="7"/>
        <v>6251430.0229023648</v>
      </c>
    </row>
    <row r="94" spans="1:19" ht="15.75" customHeight="1" x14ac:dyDescent="0.3">
      <c r="A94" s="37">
        <v>53813</v>
      </c>
      <c r="B94" s="398">
        <f t="shared" ref="B94:C94" si="90">($A94-B$9)/365.25</f>
        <v>65.453798767967143</v>
      </c>
      <c r="C94" s="398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3254.2644699519233</v>
      </c>
      <c r="H94" s="25">
        <f>IF(B94&lt;62,0,'Combined Retirement'!$I$14)</f>
        <v>2345</v>
      </c>
      <c r="I94" s="25">
        <f>IF(C94&lt;62,0,'Combined Retirement'!$I$13)</f>
        <v>0</v>
      </c>
      <c r="J94" s="25">
        <f t="shared" si="3"/>
        <v>8572.3375798201851</v>
      </c>
      <c r="K94" s="25">
        <f t="shared" si="4"/>
        <v>22111.095664578788</v>
      </c>
      <c r="L94" s="25"/>
      <c r="N94" s="25">
        <f>'Combined Retirement'!$C$18/12</f>
        <v>39153.069999999992</v>
      </c>
      <c r="O94" s="25">
        <f t="shared" si="5"/>
        <v>8469.6367556010227</v>
      </c>
      <c r="P94" s="25">
        <f t="shared" si="6"/>
        <v>30683.43324439897</v>
      </c>
      <c r="Q94" s="25">
        <f t="array" aca="1" ref="Q94" ca="1">INDEX('Isaac 401k'!L:L,MATCH('Retirement Calculator'!A94,'Isaac 401k'!N:N,0),0)</f>
        <v>1853134.4191053417</v>
      </c>
      <c r="R94" s="25">
        <f t="array" aca="1" ref="R94" ca="1">INDEX('Lorri 401b'!L:L,MATCH('Retirement Calculator'!A94,'Lorri 401b'!N:N,0),0)</f>
        <v>4393531.9480095329</v>
      </c>
      <c r="S94" s="25">
        <f t="shared" ca="1" si="7"/>
        <v>6246666.3671148745</v>
      </c>
    </row>
    <row r="95" spans="1:19" ht="15.75" customHeight="1" x14ac:dyDescent="0.3">
      <c r="A95" s="37">
        <v>53844</v>
      </c>
      <c r="B95" s="398">
        <f t="shared" ref="B95:C95" si="91">($A95-B$9)/365.25</f>
        <v>65.538672142368242</v>
      </c>
      <c r="C95" s="398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3254.2644699519233</v>
      </c>
      <c r="H95" s="25">
        <f>IF(B95&lt;62,0,'Combined Retirement'!$I$14)</f>
        <v>2345</v>
      </c>
      <c r="I95" s="25">
        <f>IF(C95&lt;62,0,'Combined Retirement'!$I$13)</f>
        <v>0</v>
      </c>
      <c r="J95" s="25">
        <f t="shared" si="3"/>
        <v>8572.3375798201851</v>
      </c>
      <c r="K95" s="25">
        <f t="shared" si="4"/>
        <v>22111.095664578788</v>
      </c>
      <c r="L95" s="25"/>
      <c r="N95" s="25">
        <f>'Combined Retirement'!$C$18/12</f>
        <v>39153.069999999992</v>
      </c>
      <c r="O95" s="25">
        <f t="shared" si="5"/>
        <v>8469.6367556010227</v>
      </c>
      <c r="P95" s="25">
        <f t="shared" si="6"/>
        <v>30683.43324439897</v>
      </c>
      <c r="Q95" s="25">
        <f t="array" aca="1" ref="Q95" ca="1">INDEX('Isaac 401k'!L:L,MATCH('Retirement Calculator'!A95,'Isaac 401k'!N:N,0),0)</f>
        <v>1852247.7568652113</v>
      </c>
      <c r="R95" s="25">
        <f t="array" aca="1" ref="R95" ca="1">INDEX('Lorri 401b'!L:L,MATCH('Retirement Calculator'!A95,'Lorri 401b'!N:N,0),0)</f>
        <v>4389635.1058963919</v>
      </c>
      <c r="S95" s="25">
        <f t="shared" ca="1" si="7"/>
        <v>6241882.8627616037</v>
      </c>
    </row>
    <row r="96" spans="1:19" ht="15.75" customHeight="1" x14ac:dyDescent="0.3">
      <c r="A96" s="37">
        <v>53874</v>
      </c>
      <c r="B96" s="398">
        <f t="shared" ref="B96:C96" si="92">($A96-B$9)/365.25</f>
        <v>65.620807665982198</v>
      </c>
      <c r="C96" s="398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3254.2644699519233</v>
      </c>
      <c r="H96" s="25">
        <f>IF(B96&lt;62,0,'Combined Retirement'!$I$14)</f>
        <v>2345</v>
      </c>
      <c r="I96" s="25">
        <f>IF(C96&lt;62,0,'Combined Retirement'!$I$13)</f>
        <v>0</v>
      </c>
      <c r="J96" s="25">
        <f t="shared" si="3"/>
        <v>8572.3375798201851</v>
      </c>
      <c r="K96" s="25">
        <f t="shared" si="4"/>
        <v>22111.095664578788</v>
      </c>
      <c r="L96" s="25"/>
      <c r="N96" s="25">
        <f>'Combined Retirement'!$C$18/12</f>
        <v>39153.069999999992</v>
      </c>
      <c r="O96" s="25">
        <f t="shared" si="5"/>
        <v>8469.6367556010227</v>
      </c>
      <c r="P96" s="25">
        <f t="shared" si="6"/>
        <v>30683.43324439897</v>
      </c>
      <c r="Q96" s="25">
        <f t="array" aca="1" ref="Q96" ca="1">INDEX('Isaac 401k'!L:L,MATCH('Retirement Calculator'!A96,'Isaac 401k'!N:N,0),0)</f>
        <v>1851357.4001990804</v>
      </c>
      <c r="R96" s="25">
        <f t="array" aca="1" ref="R96" ca="1">INDEX('Lorri 401b'!L:L,MATCH('Retirement Calculator'!A96,'Lorri 401b'!N:N,0),0)</f>
        <v>4385722.0269411122</v>
      </c>
      <c r="S96" s="25">
        <f t="shared" ca="1" si="7"/>
        <v>6237079.4271401931</v>
      </c>
    </row>
    <row r="97" spans="1:19" ht="15.75" customHeight="1" x14ac:dyDescent="0.3">
      <c r="A97" s="37">
        <v>53905</v>
      </c>
      <c r="B97" s="398">
        <f t="shared" ref="B97:C97" si="93">($A97-B$9)/365.25</f>
        <v>65.705681040383297</v>
      </c>
      <c r="C97" s="398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3254.2644699519233</v>
      </c>
      <c r="H97" s="25">
        <f>IF(B97&lt;62,0,'Combined Retirement'!$I$14)</f>
        <v>2345</v>
      </c>
      <c r="I97" s="25">
        <f>IF(C97&lt;62,0,'Combined Retirement'!$I$13)</f>
        <v>0</v>
      </c>
      <c r="J97" s="25">
        <f t="shared" si="3"/>
        <v>8572.3375798201851</v>
      </c>
      <c r="K97" s="25">
        <f t="shared" si="4"/>
        <v>22111.095664578788</v>
      </c>
      <c r="L97" s="25"/>
      <c r="N97" s="25">
        <f>'Combined Retirement'!$C$18/12</f>
        <v>39153.069999999992</v>
      </c>
      <c r="O97" s="25">
        <f t="shared" si="5"/>
        <v>8469.6367556010227</v>
      </c>
      <c r="P97" s="25">
        <f t="shared" si="6"/>
        <v>30683.43324439897</v>
      </c>
      <c r="Q97" s="25">
        <f t="array" aca="1" ref="Q97" ca="1">INDEX('Isaac 401k'!L:L,MATCH('Retirement Calculator'!A97,'Isaac 401k'!N:N,0),0)</f>
        <v>1850463.3337135073</v>
      </c>
      <c r="R97" s="25">
        <f t="array" aca="1" ref="R97" ca="1">INDEX('Lorri 401b'!L:L,MATCH('Retirement Calculator'!A97,'Lorri 401b'!N:N,0),0)</f>
        <v>4381792.643490186</v>
      </c>
      <c r="S97" s="25">
        <f t="shared" ca="1" si="7"/>
        <v>6232255.9772036932</v>
      </c>
    </row>
    <row r="98" spans="1:19" ht="15.75" customHeight="1" x14ac:dyDescent="0.3">
      <c r="A98" s="37">
        <v>53936</v>
      </c>
      <c r="B98" s="398">
        <f t="shared" ref="B98:C98" si="94">($A98-B$9)/365.25</f>
        <v>65.790554414784395</v>
      </c>
      <c r="C98" s="398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3254.2644699519233</v>
      </c>
      <c r="H98" s="25">
        <f>IF(B98&lt;62,0,'Combined Retirement'!$I$14)</f>
        <v>2345</v>
      </c>
      <c r="I98" s="25">
        <f>IF(C98&lt;62,0,'Combined Retirement'!$I$13)</f>
        <v>0</v>
      </c>
      <c r="J98" s="25">
        <f t="shared" si="3"/>
        <v>8572.3375798201851</v>
      </c>
      <c r="K98" s="25">
        <f t="shared" si="4"/>
        <v>22111.095664578788</v>
      </c>
      <c r="L98" s="25"/>
      <c r="N98" s="25">
        <f>'Combined Retirement'!$C$18/12</f>
        <v>39153.069999999992</v>
      </c>
      <c r="O98" s="25">
        <f t="shared" si="5"/>
        <v>8469.6367556010227</v>
      </c>
      <c r="P98" s="25">
        <f t="shared" si="6"/>
        <v>30683.43324439897</v>
      </c>
      <c r="Q98" s="25">
        <f t="array" aca="1" ref="Q98" ca="1">INDEX('Isaac 401k'!L:L,MATCH('Retirement Calculator'!A98,'Isaac 401k'!N:N,0),0)</f>
        <v>1849565.5419509108</v>
      </c>
      <c r="R98" s="25">
        <f t="array" aca="1" ref="R98" ca="1">INDEX('Lorri 401b'!L:L,MATCH('Retirement Calculator'!A98,'Lorri 401b'!N:N,0),0)</f>
        <v>4377846.8876082143</v>
      </c>
      <c r="S98" s="25">
        <f t="shared" ca="1" si="7"/>
        <v>6227412.4295591246</v>
      </c>
    </row>
    <row r="99" spans="1:19" ht="15.75" customHeight="1" x14ac:dyDescent="0.3">
      <c r="A99" s="37">
        <v>53966</v>
      </c>
      <c r="B99" s="398">
        <f t="shared" ref="B99:C99" si="95">($A99-B$9)/365.25</f>
        <v>65.872689938398352</v>
      </c>
      <c r="C99" s="398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3254.2644699519233</v>
      </c>
      <c r="H99" s="25">
        <f>IF(B99&lt;62,0,'Combined Retirement'!$I$14)</f>
        <v>2345</v>
      </c>
      <c r="I99" s="25">
        <f>IF(C99&lt;62,0,'Combined Retirement'!$I$13)</f>
        <v>0</v>
      </c>
      <c r="J99" s="25">
        <f t="shared" si="3"/>
        <v>8572.3375798201851</v>
      </c>
      <c r="K99" s="25">
        <f t="shared" si="4"/>
        <v>22111.095664578788</v>
      </c>
      <c r="L99" s="25"/>
      <c r="N99" s="25">
        <f>'Combined Retirement'!$C$18/12</f>
        <v>39153.069999999992</v>
      </c>
      <c r="O99" s="25">
        <f t="shared" si="5"/>
        <v>8469.6367556010227</v>
      </c>
      <c r="P99" s="25">
        <f t="shared" si="6"/>
        <v>30683.43324439897</v>
      </c>
      <c r="Q99" s="25">
        <f t="array" aca="1" ref="Q99" ca="1">INDEX('Isaac 401k'!L:L,MATCH('Retirement Calculator'!A99,'Isaac 401k'!N:N,0),0)</f>
        <v>1848664.0093893036</v>
      </c>
      <c r="R99" s="25">
        <f t="array" aca="1" ref="R99" ca="1">INDEX('Lorri 401b'!L:L,MATCH('Retirement Calculator'!A99,'Lorri 401b'!N:N,0),0)</f>
        <v>4373884.6910767341</v>
      </c>
      <c r="S99" s="25">
        <f t="shared" ca="1" si="7"/>
        <v>6222548.7004660377</v>
      </c>
    </row>
    <row r="100" spans="1:19" ht="15.75" customHeight="1" x14ac:dyDescent="0.3">
      <c r="A100" s="37">
        <v>53997</v>
      </c>
      <c r="B100" s="398">
        <f t="shared" ref="B100:C100" si="96">($A100-B$9)/365.25</f>
        <v>65.957563312799451</v>
      </c>
      <c r="C100" s="398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3254.2644699519233</v>
      </c>
      <c r="H100" s="25">
        <f>IF(B100&lt;62,0,'Combined Retirement'!$I$14)</f>
        <v>2345</v>
      </c>
      <c r="I100" s="25">
        <f>IF(C100&lt;62,0,'Combined Retirement'!$I$13)</f>
        <v>0</v>
      </c>
      <c r="J100" s="25">
        <f t="shared" si="3"/>
        <v>8572.3375798201851</v>
      </c>
      <c r="K100" s="25">
        <f t="shared" si="4"/>
        <v>22111.095664578788</v>
      </c>
      <c r="L100" s="25"/>
      <c r="N100" s="25">
        <f>'Combined Retirement'!$C$18/12</f>
        <v>39153.069999999992</v>
      </c>
      <c r="O100" s="25">
        <f t="shared" si="5"/>
        <v>8469.6367556010227</v>
      </c>
      <c r="P100" s="25">
        <f t="shared" si="6"/>
        <v>30683.43324439897</v>
      </c>
      <c r="Q100" s="25">
        <f t="array" aca="1" ref="Q100" ca="1">INDEX('Isaac 401k'!L:L,MATCH('Retirement Calculator'!A100,'Isaac 401k'!N:N,0),0)</f>
        <v>1847758.7204420231</v>
      </c>
      <c r="R100" s="25">
        <f t="array" aca="1" ref="R100" ca="1">INDEX('Lorri 401b'!L:L,MATCH('Retirement Calculator'!A100,'Lorri 401b'!N:N,0),0)</f>
        <v>4369905.9853930399</v>
      </c>
      <c r="S100" s="25">
        <f t="shared" ca="1" si="7"/>
        <v>6217664.705835063</v>
      </c>
    </row>
    <row r="101" spans="1:19" ht="15.75" customHeight="1" x14ac:dyDescent="0.3">
      <c r="A101" s="37">
        <v>54027</v>
      </c>
      <c r="B101" s="398">
        <f t="shared" ref="B101:C101" si="97">($A101-B$9)/365.25</f>
        <v>66.039698836413422</v>
      </c>
      <c r="C101" s="398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3254.2644699519233</v>
      </c>
      <c r="H101" s="25">
        <f>IF(B101&lt;62,0,'Combined Retirement'!$I$14)</f>
        <v>2345</v>
      </c>
      <c r="I101" s="25">
        <f>IF(C101&lt;62,0,'Combined Retirement'!$I$13)</f>
        <v>0</v>
      </c>
      <c r="J101" s="25">
        <f t="shared" si="3"/>
        <v>8572.3375798201851</v>
      </c>
      <c r="K101" s="25">
        <f t="shared" si="4"/>
        <v>22111.095664578788</v>
      </c>
      <c r="L101" s="25"/>
      <c r="N101" s="25">
        <f>'Combined Retirement'!$C$18/12</f>
        <v>39153.069999999992</v>
      </c>
      <c r="O101" s="25">
        <f t="shared" si="5"/>
        <v>8469.6367556010227</v>
      </c>
      <c r="P101" s="25">
        <f t="shared" si="6"/>
        <v>30683.43324439897</v>
      </c>
      <c r="Q101" s="25">
        <f t="array" aca="1" ref="Q101" ca="1">INDEX('Isaac 401k'!L:L,MATCH('Retirement Calculator'!A101,'Isaac 401k'!N:N,0),0)</f>
        <v>1846849.6594574621</v>
      </c>
      <c r="R101" s="25">
        <f t="array" aca="1" ref="R101" ca="1">INDEX('Lorri 401b'!L:L,MATCH('Retirement Calculator'!A101,'Lorri 401b'!N:N,0),0)</f>
        <v>4365910.7017689962</v>
      </c>
      <c r="S101" s="25">
        <f t="shared" ca="1" si="7"/>
        <v>6212760.3612264581</v>
      </c>
    </row>
    <row r="102" spans="1:19" ht="15.75" customHeight="1" x14ac:dyDescent="0.3">
      <c r="A102" s="37">
        <v>54058</v>
      </c>
      <c r="B102" s="398">
        <f t="shared" ref="B102:C102" si="98">($A102-B$9)/365.25</f>
        <v>66.124572210814506</v>
      </c>
      <c r="C102" s="398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3254.2644699519233</v>
      </c>
      <c r="H102" s="25">
        <f>IF(B102&lt;62,0,'Combined Retirement'!$I$14)</f>
        <v>2345</v>
      </c>
      <c r="I102" s="25">
        <f>IF(C102&lt;62,0,'Combined Retirement'!$I$13)</f>
        <v>0</v>
      </c>
      <c r="J102" s="25">
        <f t="shared" si="3"/>
        <v>8572.3375798201851</v>
      </c>
      <c r="K102" s="25">
        <f t="shared" si="4"/>
        <v>22111.095664578788</v>
      </c>
      <c r="L102" s="25"/>
      <c r="N102" s="25">
        <f>'Combined Retirement'!$C$18/12</f>
        <v>39153.069999999992</v>
      </c>
      <c r="O102" s="25">
        <f t="shared" si="5"/>
        <v>8469.6367556010227</v>
      </c>
      <c r="P102" s="25">
        <f t="shared" si="6"/>
        <v>30683.43324439897</v>
      </c>
      <c r="Q102" s="25">
        <f t="array" aca="1" ref="Q102" ca="1">INDEX('Isaac 401k'!L:L,MATCH('Retirement Calculator'!A102,'Isaac 401k'!N:N,0),0)</f>
        <v>1845936.810718799</v>
      </c>
      <c r="R102" s="25">
        <f t="array" aca="1" ref="R102" ca="1">INDEX('Lorri 401b'!L:L,MATCH('Retirement Calculator'!A102,'Lorri 401b'!N:N,0),0)</f>
        <v>4361898.7711298531</v>
      </c>
      <c r="S102" s="25">
        <f t="shared" ca="1" si="7"/>
        <v>6207835.5818486521</v>
      </c>
    </row>
    <row r="103" spans="1:19" ht="15.75" customHeight="1" x14ac:dyDescent="0.3">
      <c r="A103" s="37">
        <v>54089</v>
      </c>
      <c r="B103" s="398">
        <f t="shared" ref="B103:C103" si="99">($A103-B$9)/365.25</f>
        <v>66.209445585215605</v>
      </c>
      <c r="C103" s="398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3254.2644699519233</v>
      </c>
      <c r="H103" s="25">
        <f>IF(B103&lt;62,0,'Combined Retirement'!$I$14)</f>
        <v>2345</v>
      </c>
      <c r="I103" s="25">
        <f>IF(C103&lt;62,0,'Combined Retirement'!$I$13)</f>
        <v>0</v>
      </c>
      <c r="J103" s="25">
        <f t="shared" si="3"/>
        <v>8572.3375798201851</v>
      </c>
      <c r="K103" s="25">
        <f t="shared" si="4"/>
        <v>22111.095664578788</v>
      </c>
      <c r="L103" s="25"/>
      <c r="N103" s="25">
        <f>'Combined Retirement'!$C$18/12</f>
        <v>39153.069999999992</v>
      </c>
      <c r="O103" s="25">
        <f t="shared" si="5"/>
        <v>8469.6367556010227</v>
      </c>
      <c r="P103" s="25">
        <f t="shared" si="6"/>
        <v>30683.43324439897</v>
      </c>
      <c r="Q103" s="25">
        <f t="array" aca="1" ref="Q103" ca="1">INDEX('Isaac 401k'!L:L,MATCH('Retirement Calculator'!A103,'Isaac 401k'!N:N,0),0)</f>
        <v>1845020.1584437247</v>
      </c>
      <c r="R103" s="25">
        <f t="array" aca="1" ref="R103" ca="1">INDEX('Lorri 401b'!L:L,MATCH('Retirement Calculator'!A103,'Lorri 401b'!N:N,0),0)</f>
        <v>4357870.1241130466</v>
      </c>
      <c r="S103" s="25">
        <f t="shared" ca="1" si="7"/>
        <v>6202890.2825567713</v>
      </c>
    </row>
    <row r="104" spans="1:19" ht="15.75" customHeight="1" x14ac:dyDescent="0.3">
      <c r="A104" s="37">
        <v>54118</v>
      </c>
      <c r="B104" s="398">
        <f t="shared" ref="B104:C104" si="100">($A104-B$9)/365.25</f>
        <v>66.288843258042434</v>
      </c>
      <c r="C104" s="398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3254.2644699519233</v>
      </c>
      <c r="H104" s="25">
        <f>IF(B104&lt;62,0,'Combined Retirement'!$I$14)</f>
        <v>2345</v>
      </c>
      <c r="I104" s="25">
        <f>IF(C104&lt;62,0,'Combined Retirement'!$I$13)</f>
        <v>0</v>
      </c>
      <c r="J104" s="25">
        <f t="shared" si="3"/>
        <v>8572.3375798201851</v>
      </c>
      <c r="K104" s="25">
        <f t="shared" si="4"/>
        <v>22111.095664578788</v>
      </c>
      <c r="L104" s="25"/>
      <c r="N104" s="25">
        <f>'Combined Retirement'!$C$18/12</f>
        <v>39153.069999999992</v>
      </c>
      <c r="O104" s="25">
        <f t="shared" si="5"/>
        <v>8469.6367556010227</v>
      </c>
      <c r="P104" s="25">
        <f t="shared" si="6"/>
        <v>30683.43324439897</v>
      </c>
      <c r="Q104" s="25">
        <f t="array" aca="1" ref="Q104" ca="1">INDEX('Isaac 401k'!L:L,MATCH('Retirement Calculator'!A104,'Isaac 401k'!N:N,0),0)</f>
        <v>1844099.686784171</v>
      </c>
      <c r="R104" s="25">
        <f t="array" aca="1" ref="R104" ca="1">INDEX('Lorri 401b'!L:L,MATCH('Retirement Calculator'!A104,'Lorri 401b'!N:N,0),0)</f>
        <v>4353824.6910670036</v>
      </c>
      <c r="S104" s="25">
        <f t="shared" ca="1" si="7"/>
        <v>6197924.3778511751</v>
      </c>
    </row>
    <row r="105" spans="1:19" ht="15.75" customHeight="1" x14ac:dyDescent="0.3">
      <c r="A105" s="37">
        <v>54149</v>
      </c>
      <c r="B105" s="398">
        <f t="shared" ref="B105:C105" si="101">($A105-B$9)/365.25</f>
        <v>66.373716632443532</v>
      </c>
      <c r="C105" s="398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3254.2644699519233</v>
      </c>
      <c r="H105" s="25">
        <f>IF(B105&lt;62,0,'Combined Retirement'!$I$14)</f>
        <v>2345</v>
      </c>
      <c r="I105" s="25">
        <f>IF(C105&lt;62,0,'Combined Retirement'!$I$13)</f>
        <v>0</v>
      </c>
      <c r="J105" s="25">
        <f t="shared" si="3"/>
        <v>8572.3375798201851</v>
      </c>
      <c r="K105" s="25">
        <f t="shared" si="4"/>
        <v>22111.095664578788</v>
      </c>
      <c r="L105" s="25"/>
      <c r="N105" s="25">
        <f>'Combined Retirement'!$C$18/12</f>
        <v>39153.069999999992</v>
      </c>
      <c r="O105" s="25">
        <f t="shared" si="5"/>
        <v>8469.6367556010227</v>
      </c>
      <c r="P105" s="25">
        <f t="shared" si="6"/>
        <v>30683.43324439897</v>
      </c>
      <c r="Q105" s="25">
        <f t="array" aca="1" ref="Q105" ca="1">INDEX('Isaac 401k'!L:L,MATCH('Retirement Calculator'!A105,'Isaac 401k'!N:N,0),0)</f>
        <v>1843175.3798260358</v>
      </c>
      <c r="R105" s="25">
        <f t="array" aca="1" ref="R105" ca="1">INDEX('Lorri 401b'!L:L,MATCH('Retirement Calculator'!A105,'Lorri 401b'!N:N,0),0)</f>
        <v>4349762.4020499354</v>
      </c>
      <c r="S105" s="25">
        <f t="shared" ca="1" si="7"/>
        <v>6192937.7818759717</v>
      </c>
    </row>
    <row r="106" spans="1:19" ht="15.75" customHeight="1" x14ac:dyDescent="0.3">
      <c r="A106" s="37">
        <v>54179</v>
      </c>
      <c r="B106" s="398">
        <f t="shared" ref="B106:C106" si="102">($A106-B$9)/365.25</f>
        <v>66.455852156057489</v>
      </c>
      <c r="C106" s="398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3254.2644699519233</v>
      </c>
      <c r="H106" s="25">
        <f>IF(B106&lt;62,0,'Combined Retirement'!$I$14)</f>
        <v>2345</v>
      </c>
      <c r="I106" s="25">
        <f>IF(C106&lt;62,0,'Combined Retirement'!$I$13)</f>
        <v>0</v>
      </c>
      <c r="J106" s="25">
        <f t="shared" si="3"/>
        <v>8572.3375798201851</v>
      </c>
      <c r="K106" s="25">
        <f t="shared" si="4"/>
        <v>22111.095664578788</v>
      </c>
      <c r="L106" s="25"/>
      <c r="N106" s="25">
        <f>'Combined Retirement'!$C$18/12</f>
        <v>39153.069999999992</v>
      </c>
      <c r="O106" s="25">
        <f t="shared" si="5"/>
        <v>8469.6367556010227</v>
      </c>
      <c r="P106" s="25">
        <f t="shared" si="6"/>
        <v>30683.43324439897</v>
      </c>
      <c r="Q106" s="25">
        <f t="array" aca="1" ref="Q106" ca="1">INDEX('Isaac 401k'!L:L,MATCH('Retirement Calculator'!A106,'Isaac 401k'!N:N,0),0)</f>
        <v>1842247.2215889082</v>
      </c>
      <c r="R106" s="25">
        <f t="array" aca="1" ref="R106" ca="1">INDEX('Lorri 401b'!L:L,MATCH('Retirement Calculator'!A106,'Lorri 401b'!N:N,0),0)</f>
        <v>4345683.1868286291</v>
      </c>
      <c r="S106" s="25">
        <f t="shared" ca="1" si="7"/>
        <v>6187930.4084175378</v>
      </c>
    </row>
    <row r="107" spans="1:19" ht="15.75" customHeight="1" x14ac:dyDescent="0.3">
      <c r="A107" s="37">
        <v>54210</v>
      </c>
      <c r="B107" s="398">
        <f t="shared" ref="B107:C107" si="103">($A107-B$9)/365.25</f>
        <v>66.540725530458587</v>
      </c>
      <c r="C107" s="398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3254.2644699519233</v>
      </c>
      <c r="H107" s="25">
        <f>IF(B107&lt;62,0,'Combined Retirement'!$I$14)</f>
        <v>2345</v>
      </c>
      <c r="I107" s="25">
        <f>IF(C107&lt;62,0,'Combined Retirement'!$I$13)</f>
        <v>0</v>
      </c>
      <c r="J107" s="25">
        <f t="shared" si="3"/>
        <v>8572.3375798201851</v>
      </c>
      <c r="K107" s="25">
        <f t="shared" si="4"/>
        <v>22111.095664578788</v>
      </c>
      <c r="L107" s="25"/>
      <c r="N107" s="25">
        <f>'Combined Retirement'!$C$18/12</f>
        <v>39153.069999999992</v>
      </c>
      <c r="O107" s="25">
        <f t="shared" si="5"/>
        <v>8469.6367556010227</v>
      </c>
      <c r="P107" s="25">
        <f t="shared" si="6"/>
        <v>30683.43324439897</v>
      </c>
      <c r="Q107" s="25">
        <f t="array" aca="1" ref="Q107" ca="1">INDEX('Isaac 401k'!L:L,MATCH('Retirement Calculator'!A107,'Isaac 401k'!N:N,0),0)</f>
        <v>1841315.1960257927</v>
      </c>
      <c r="R107" s="25">
        <f t="array" aca="1" ref="R107" ca="1">INDEX('Lorri 401b'!L:L,MATCH('Retirement Calculator'!A107,'Lorri 401b'!N:N,0),0)</f>
        <v>4341586.9748772345</v>
      </c>
      <c r="S107" s="25">
        <f t="shared" ca="1" si="7"/>
        <v>6182902.1709030271</v>
      </c>
    </row>
    <row r="108" spans="1:19" ht="15.75" customHeight="1" x14ac:dyDescent="0.3">
      <c r="A108" s="37">
        <v>54240</v>
      </c>
      <c r="B108" s="398">
        <f t="shared" ref="B108:C108" si="104">($A108-B$9)/365.25</f>
        <v>66.622861054072558</v>
      </c>
      <c r="C108" s="398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3254.2644699519233</v>
      </c>
      <c r="H108" s="25">
        <f>IF(B108&lt;62,0,'Combined Retirement'!$I$14)</f>
        <v>2345</v>
      </c>
      <c r="I108" s="25">
        <f>IF(C108&lt;62,0,'Combined Retirement'!$I$13)</f>
        <v>2420</v>
      </c>
      <c r="J108" s="25">
        <f t="shared" si="3"/>
        <v>7896.2379798201846</v>
      </c>
      <c r="K108" s="25">
        <f t="shared" si="4"/>
        <v>20367.195264578786</v>
      </c>
      <c r="L108" s="25"/>
      <c r="N108" s="25">
        <f>'Combined Retirement'!$C$18/12</f>
        <v>39153.069999999992</v>
      </c>
      <c r="O108" s="25">
        <f t="shared" si="5"/>
        <v>10889.636755601023</v>
      </c>
      <c r="P108" s="25">
        <f t="shared" si="6"/>
        <v>28263.43324439897</v>
      </c>
      <c r="Q108" s="25">
        <f t="array" aca="1" ref="Q108" ca="1">INDEX('Isaac 401k'!L:L,MATCH('Retirement Calculator'!A108,'Isaac 401k'!N:N,0),0)</f>
        <v>1841058.2037044973</v>
      </c>
      <c r="R108" s="25">
        <f t="array" aca="1" ref="R108" ca="1">INDEX('Lorri 401b'!L:L,MATCH('Retirement Calculator'!A108,'Lorri 401b'!N:N,0),0)</f>
        <v>4339224.8620277084</v>
      </c>
      <c r="S108" s="25">
        <f t="shared" ca="1" si="7"/>
        <v>6180283.0657322053</v>
      </c>
    </row>
    <row r="109" spans="1:19" ht="15.75" customHeight="1" x14ac:dyDescent="0.3">
      <c r="A109" s="37">
        <v>54271</v>
      </c>
      <c r="B109" s="398">
        <f t="shared" ref="B109:C109" si="105">($A109-B$9)/365.25</f>
        <v>66.707734428473643</v>
      </c>
      <c r="C109" s="398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3254.2644699519233</v>
      </c>
      <c r="H109" s="25">
        <f>IF(B109&lt;62,0,'Combined Retirement'!$I$14)</f>
        <v>2345</v>
      </c>
      <c r="I109" s="25">
        <f>IF(C109&lt;62,0,'Combined Retirement'!$I$13)</f>
        <v>2420</v>
      </c>
      <c r="J109" s="25">
        <f t="shared" si="3"/>
        <v>7896.2379798201846</v>
      </c>
      <c r="K109" s="25">
        <f t="shared" si="4"/>
        <v>20367.195264578786</v>
      </c>
      <c r="L109" s="25"/>
      <c r="N109" s="25">
        <f>'Combined Retirement'!$C$18/12</f>
        <v>39153.069999999992</v>
      </c>
      <c r="O109" s="25">
        <f t="shared" si="5"/>
        <v>10889.636755601023</v>
      </c>
      <c r="P109" s="25">
        <f t="shared" si="6"/>
        <v>28263.43324439897</v>
      </c>
      <c r="Q109" s="25">
        <f t="array" aca="1" ref="Q109" ca="1">INDEX('Isaac 401k'!L:L,MATCH('Retirement Calculator'!A109,'Isaac 401k'!N:N,0),0)</f>
        <v>1840800.1405818632</v>
      </c>
      <c r="R109" s="25">
        <f t="array" aca="1" ref="R109" ca="1">INDEX('Lorri 401b'!L:L,MATCH('Retirement Calculator'!A109,'Lorri 401b'!N:N,0),0)</f>
        <v>4336852.9070413094</v>
      </c>
      <c r="S109" s="25">
        <f t="shared" ca="1" si="7"/>
        <v>6177653.0476231724</v>
      </c>
    </row>
    <row r="110" spans="1:19" ht="15.75" customHeight="1" x14ac:dyDescent="0.3">
      <c r="A110" s="37">
        <v>54302</v>
      </c>
      <c r="B110" s="398">
        <f t="shared" ref="B110:C110" si="106">($A110-B$9)/365.25</f>
        <v>66.792607802874741</v>
      </c>
      <c r="C110" s="398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3254.2644699519233</v>
      </c>
      <c r="H110" s="25">
        <f>IF(B110&lt;62,0,'Combined Retirement'!$I$14)</f>
        <v>2345</v>
      </c>
      <c r="I110" s="25">
        <f>IF(C110&lt;62,0,'Combined Retirement'!$I$13)</f>
        <v>2420</v>
      </c>
      <c r="J110" s="25">
        <f t="shared" si="3"/>
        <v>7896.2379798201846</v>
      </c>
      <c r="K110" s="25">
        <f t="shared" si="4"/>
        <v>20367.195264578786</v>
      </c>
      <c r="L110" s="25"/>
      <c r="N110" s="25">
        <f>'Combined Retirement'!$C$18/12</f>
        <v>39153.069999999992</v>
      </c>
      <c r="O110" s="25">
        <f t="shared" si="5"/>
        <v>10889.636755601023</v>
      </c>
      <c r="P110" s="25">
        <f t="shared" si="6"/>
        <v>28263.43324439897</v>
      </c>
      <c r="Q110" s="25">
        <f t="array" aca="1" ref="Q110" ca="1">INDEX('Isaac 401k'!L:L,MATCH('Retirement Calculator'!A110,'Isaac 401k'!N:N,0),0)</f>
        <v>1840541.0021962181</v>
      </c>
      <c r="R110" s="25">
        <f t="array" aca="1" ref="R110" ca="1">INDEX('Lorri 401b'!L:L,MATCH('Retirement Calculator'!A110,'Lorri 401b'!N:N,0),0)</f>
        <v>4334471.0689091338</v>
      </c>
      <c r="S110" s="25">
        <f t="shared" ca="1" si="7"/>
        <v>6175012.0711053517</v>
      </c>
    </row>
    <row r="111" spans="1:19" ht="15.75" customHeight="1" x14ac:dyDescent="0.3">
      <c r="A111" s="37">
        <v>54332</v>
      </c>
      <c r="B111" s="398">
        <f t="shared" ref="B111:C111" si="107">($A111-B$9)/365.25</f>
        <v>66.874743326488712</v>
      </c>
      <c r="C111" s="398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3254.2644699519233</v>
      </c>
      <c r="H111" s="25">
        <f>IF(B111&lt;62,0,'Combined Retirement'!$I$14)</f>
        <v>2345</v>
      </c>
      <c r="I111" s="25">
        <f>IF(C111&lt;62,0,'Combined Retirement'!$I$13)</f>
        <v>2420</v>
      </c>
      <c r="J111" s="25">
        <f t="shared" si="3"/>
        <v>7896.2379798201846</v>
      </c>
      <c r="K111" s="25">
        <f t="shared" si="4"/>
        <v>20367.195264578786</v>
      </c>
      <c r="L111" s="25"/>
      <c r="N111" s="25">
        <f>'Combined Retirement'!$C$18/12</f>
        <v>39153.069999999992</v>
      </c>
      <c r="O111" s="25">
        <f t="shared" si="5"/>
        <v>10889.636755601023</v>
      </c>
      <c r="P111" s="25">
        <f t="shared" si="6"/>
        <v>28263.43324439897</v>
      </c>
      <c r="Q111" s="25">
        <f t="array" aca="1" ref="Q111" ca="1">INDEX('Isaac 401k'!L:L,MATCH('Retirement Calculator'!A111,'Isaac 401k'!N:N,0),0)</f>
        <v>1840280.7840672994</v>
      </c>
      <c r="R111" s="25">
        <f t="array" aca="1" ref="R111" ca="1">INDEX('Lorri 401b'!L:L,MATCH('Retirement Calculator'!A111,'Lorri 401b'!N:N,0),0)</f>
        <v>4332079.3064514073</v>
      </c>
      <c r="S111" s="25">
        <f t="shared" ca="1" si="7"/>
        <v>6172360.0905187065</v>
      </c>
    </row>
    <row r="112" spans="1:19" ht="15.75" customHeight="1" x14ac:dyDescent="0.3">
      <c r="A112" s="37">
        <v>54363</v>
      </c>
      <c r="B112" s="398">
        <f t="shared" ref="B112:C112" si="108">($A112-B$9)/365.25</f>
        <v>66.959616700889796</v>
      </c>
      <c r="C112" s="398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3254.2644699519233</v>
      </c>
      <c r="H112" s="25">
        <f>IF(B112&lt;62,0,'Combined Retirement'!$I$14)</f>
        <v>2345</v>
      </c>
      <c r="I112" s="25">
        <f>IF(C112&lt;62,0,'Combined Retirement'!$I$13)</f>
        <v>2420</v>
      </c>
      <c r="J112" s="25">
        <f t="shared" si="3"/>
        <v>7896.2379798201846</v>
      </c>
      <c r="K112" s="25">
        <f t="shared" si="4"/>
        <v>20367.195264578786</v>
      </c>
      <c r="L112" s="25"/>
      <c r="N112" s="25">
        <f>'Combined Retirement'!$C$18/12</f>
        <v>39153.069999999992</v>
      </c>
      <c r="O112" s="25">
        <f t="shared" si="5"/>
        <v>10889.636755601023</v>
      </c>
      <c r="P112" s="25">
        <f t="shared" si="6"/>
        <v>28263.43324439897</v>
      </c>
      <c r="Q112" s="25">
        <f t="array" aca="1" ref="Q112" ca="1">INDEX('Isaac 401k'!L:L,MATCH('Retirement Calculator'!A112,'Isaac 401k'!N:N,0),0)</f>
        <v>1840019.481696177</v>
      </c>
      <c r="R112" s="25">
        <f t="array" aca="1" ref="R112" ca="1">INDEX('Lorri 401b'!L:L,MATCH('Retirement Calculator'!A112,'Lorri 401b'!N:N,0),0)</f>
        <v>4329677.5783167733</v>
      </c>
      <c r="S112" s="25">
        <f t="shared" ca="1" si="7"/>
        <v>6169697.0600129506</v>
      </c>
    </row>
    <row r="113" spans="1:19" ht="15.75" customHeight="1" x14ac:dyDescent="0.3">
      <c r="A113" s="37">
        <v>54393</v>
      </c>
      <c r="B113" s="398">
        <f t="shared" ref="B113:C113" si="109">($A113-B$9)/365.25</f>
        <v>67.041752224503767</v>
      </c>
      <c r="C113" s="398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3254.2644699519233</v>
      </c>
      <c r="H113" s="25">
        <f>IF(B113&lt;62,0,'Combined Retirement'!$I$14)</f>
        <v>2345</v>
      </c>
      <c r="I113" s="25">
        <f>IF(C113&lt;62,0,'Combined Retirement'!$I$13)</f>
        <v>2420</v>
      </c>
      <c r="J113" s="25">
        <f t="shared" si="3"/>
        <v>7896.2379798201846</v>
      </c>
      <c r="K113" s="25">
        <f t="shared" si="4"/>
        <v>20367.195264578786</v>
      </c>
      <c r="L113" s="25"/>
      <c r="N113" s="25">
        <f>'Combined Retirement'!$C$18/12</f>
        <v>39153.069999999992</v>
      </c>
      <c r="O113" s="25">
        <f t="shared" si="5"/>
        <v>10889.636755601023</v>
      </c>
      <c r="P113" s="25">
        <f t="shared" si="6"/>
        <v>28263.43324439897</v>
      </c>
      <c r="Q113" s="25">
        <f t="array" aca="1" ref="Q113" ca="1">INDEX('Isaac 401k'!L:L,MATCH('Retirement Calculator'!A113,'Isaac 401k'!N:N,0),0)</f>
        <v>1839757.0905651751</v>
      </c>
      <c r="R113" s="25">
        <f t="array" aca="1" ref="R113" ca="1">INDEX('Lorri 401b'!L:L,MATCH('Retirement Calculator'!A113,'Lorri 401b'!N:N,0),0)</f>
        <v>4327265.8429815788</v>
      </c>
      <c r="S113" s="25">
        <f t="shared" ca="1" si="7"/>
        <v>6167022.9335467536</v>
      </c>
    </row>
    <row r="114" spans="1:19" ht="15.75" customHeight="1" x14ac:dyDescent="0.3">
      <c r="A114" s="37">
        <v>54424</v>
      </c>
      <c r="B114" s="398">
        <f t="shared" ref="B114:C114" si="110">($A114-B$9)/365.25</f>
        <v>67.126625598904866</v>
      </c>
      <c r="C114" s="398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3254.2644699519233</v>
      </c>
      <c r="H114" s="25">
        <f>IF(B114&lt;62,0,'Combined Retirement'!$I$14)</f>
        <v>2345</v>
      </c>
      <c r="I114" s="25">
        <f>IF(C114&lt;62,0,'Combined Retirement'!$I$13)</f>
        <v>2420</v>
      </c>
      <c r="J114" s="25">
        <f t="shared" si="3"/>
        <v>7896.2379798201846</v>
      </c>
      <c r="K114" s="25">
        <f t="shared" si="4"/>
        <v>20367.195264578786</v>
      </c>
      <c r="L114" s="25"/>
      <c r="N114" s="25">
        <f>'Combined Retirement'!$C$18/12</f>
        <v>39153.069999999992</v>
      </c>
      <c r="O114" s="25">
        <f t="shared" si="5"/>
        <v>10889.636755601023</v>
      </c>
      <c r="P114" s="25">
        <f t="shared" si="6"/>
        <v>28263.43324439897</v>
      </c>
      <c r="Q114" s="25">
        <f t="array" aca="1" ref="Q114" ca="1">INDEX('Isaac 401k'!L:L,MATCH('Retirement Calculator'!A114,'Isaac 401k'!N:N,0),0)</f>
        <v>1839493.6061377937</v>
      </c>
      <c r="R114" s="25">
        <f t="array" aca="1" ref="R114" ca="1">INDEX('Lorri 401b'!L:L,MATCH('Retirement Calculator'!A114,'Lorri 401b'!N:N,0),0)</f>
        <v>4324844.0587491542</v>
      </c>
      <c r="S114" s="25">
        <f t="shared" ca="1" si="7"/>
        <v>6164337.6648869477</v>
      </c>
    </row>
    <row r="115" spans="1:19" ht="15.75" customHeight="1" x14ac:dyDescent="0.3">
      <c r="A115" s="37">
        <v>54455</v>
      </c>
      <c r="B115" s="398">
        <f t="shared" ref="B115:C115" si="111">($A115-B$9)/365.25</f>
        <v>67.21149897330595</v>
      </c>
      <c r="C115" s="398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3254.2644699519233</v>
      </c>
      <c r="H115" s="25">
        <f>IF(B115&lt;62,0,'Combined Retirement'!$I$14)</f>
        <v>2345</v>
      </c>
      <c r="I115" s="25">
        <f>IF(C115&lt;62,0,'Combined Retirement'!$I$13)</f>
        <v>2420</v>
      </c>
      <c r="J115" s="25">
        <f t="shared" si="3"/>
        <v>7896.2379798201846</v>
      </c>
      <c r="K115" s="25">
        <f t="shared" si="4"/>
        <v>20367.195264578786</v>
      </c>
      <c r="L115" s="25"/>
      <c r="N115" s="25">
        <f>'Combined Retirement'!$C$18/12</f>
        <v>39153.069999999992</v>
      </c>
      <c r="O115" s="25">
        <f t="shared" si="5"/>
        <v>10889.636755601023</v>
      </c>
      <c r="P115" s="25">
        <f t="shared" si="6"/>
        <v>28263.43324439897</v>
      </c>
      <c r="Q115" s="25">
        <f t="array" aca="1" ref="Q115" ca="1">INDEX('Isaac 401k'!L:L,MATCH('Retirement Calculator'!A115,'Isaac 401k'!N:N,0),0)</f>
        <v>1839229.0238586317</v>
      </c>
      <c r="R115" s="25">
        <f t="array" aca="1" ref="R115" ca="1">INDEX('Lorri 401b'!L:L,MATCH('Retirement Calculator'!A115,'Lorri 401b'!N:N,0),0)</f>
        <v>4322412.1837490946</v>
      </c>
      <c r="S115" s="25">
        <f t="shared" ca="1" si="7"/>
        <v>6161641.2076077266</v>
      </c>
    </row>
    <row r="116" spans="1:19" ht="15.75" customHeight="1" x14ac:dyDescent="0.3">
      <c r="A116" s="37">
        <v>54483</v>
      </c>
      <c r="B116" s="398">
        <f t="shared" ref="B116:C116" si="112">($A116-B$9)/365.25</f>
        <v>67.288158795345652</v>
      </c>
      <c r="C116" s="398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3254.2644699519233</v>
      </c>
      <c r="H116" s="25">
        <f>IF(B116&lt;62,0,'Combined Retirement'!$I$14)</f>
        <v>2345</v>
      </c>
      <c r="I116" s="25">
        <f>IF(C116&lt;62,0,'Combined Retirement'!$I$13)</f>
        <v>2420</v>
      </c>
      <c r="J116" s="25">
        <f t="shared" si="3"/>
        <v>7896.2379798201846</v>
      </c>
      <c r="K116" s="25">
        <f t="shared" si="4"/>
        <v>20367.195264578786</v>
      </c>
      <c r="L116" s="25"/>
      <c r="N116" s="25">
        <f>'Combined Retirement'!$C$18/12</f>
        <v>39153.069999999992</v>
      </c>
      <c r="O116" s="25">
        <f t="shared" si="5"/>
        <v>10889.636755601023</v>
      </c>
      <c r="P116" s="25">
        <f t="shared" si="6"/>
        <v>28263.43324439897</v>
      </c>
      <c r="Q116" s="25">
        <f t="array" aca="1" ref="Q116" ca="1">INDEX('Isaac 401k'!L:L,MATCH('Retirement Calculator'!A116,'Isaac 401k'!N:N,0),0)</f>
        <v>1838963.3391533066</v>
      </c>
      <c r="R116" s="25">
        <f t="array" aca="1" ref="R116" ca="1">INDEX('Lorri 401b'!L:L,MATCH('Retirement Calculator'!A116,'Lorri 401b'!N:N,0),0)</f>
        <v>4319970.175936535</v>
      </c>
      <c r="S116" s="25">
        <f t="shared" ca="1" si="7"/>
        <v>6158933.5150898416</v>
      </c>
    </row>
    <row r="117" spans="1:19" ht="15.75" customHeight="1" x14ac:dyDescent="0.3">
      <c r="A117" s="37">
        <v>54514</v>
      </c>
      <c r="B117" s="398">
        <f t="shared" ref="B117:C117" si="113">($A117-B$9)/365.25</f>
        <v>67.37303216974675</v>
      </c>
      <c r="C117" s="398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3254.2644699519233</v>
      </c>
      <c r="H117" s="25">
        <f>IF(B117&lt;62,0,'Combined Retirement'!$I$14)</f>
        <v>2345</v>
      </c>
      <c r="I117" s="25">
        <f>IF(C117&lt;62,0,'Combined Retirement'!$I$13)</f>
        <v>2420</v>
      </c>
      <c r="J117" s="25">
        <f t="shared" si="3"/>
        <v>7896.2379798201846</v>
      </c>
      <c r="K117" s="25">
        <f t="shared" si="4"/>
        <v>20367.195264578786</v>
      </c>
      <c r="L117" s="25"/>
      <c r="N117" s="25">
        <f>'Combined Retirement'!$C$18/12</f>
        <v>39153.069999999992</v>
      </c>
      <c r="O117" s="25">
        <f t="shared" si="5"/>
        <v>10889.636755601023</v>
      </c>
      <c r="P117" s="25">
        <f t="shared" si="6"/>
        <v>28263.43324439897</v>
      </c>
      <c r="Q117" s="25">
        <f t="array" aca="1" ref="Q117" ca="1">INDEX('Isaac 401k'!L:L,MATCH('Retirement Calculator'!A117,'Isaac 401k'!N:N,0),0)</f>
        <v>1838696.5474283758</v>
      </c>
      <c r="R117" s="25">
        <f t="array" aca="1" ref="R117" ca="1">INDEX('Lorri 401b'!L:L,MATCH('Retirement Calculator'!A117,'Lorri 401b'!N:N,0),0)</f>
        <v>4317517.9930914231</v>
      </c>
      <c r="S117" s="25">
        <f t="shared" ca="1" si="7"/>
        <v>6156214.5405197991</v>
      </c>
    </row>
    <row r="118" spans="1:19" ht="15.75" customHeight="1" x14ac:dyDescent="0.3">
      <c r="A118" s="37">
        <v>54544</v>
      </c>
      <c r="B118" s="398">
        <f t="shared" ref="B118:C118" si="114">($A118-B$9)/365.25</f>
        <v>67.455167693360707</v>
      </c>
      <c r="C118" s="398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3254.2644699519233</v>
      </c>
      <c r="H118" s="25">
        <f>IF(B118&lt;62,0,'Combined Retirement'!$I$14)</f>
        <v>2345</v>
      </c>
      <c r="I118" s="25">
        <f>IF(C118&lt;62,0,'Combined Retirement'!$I$13)</f>
        <v>2420</v>
      </c>
      <c r="J118" s="25">
        <f t="shared" si="3"/>
        <v>7896.2379798201846</v>
      </c>
      <c r="K118" s="25">
        <f t="shared" si="4"/>
        <v>20367.195264578786</v>
      </c>
      <c r="L118" s="25"/>
      <c r="N118" s="25">
        <f>'Combined Retirement'!$C$18/12</f>
        <v>39153.069999999992</v>
      </c>
      <c r="O118" s="25">
        <f t="shared" si="5"/>
        <v>10889.636755601023</v>
      </c>
      <c r="P118" s="25">
        <f t="shared" si="6"/>
        <v>28263.43324439897</v>
      </c>
      <c r="Q118" s="25">
        <f t="array" aca="1" ref="Q118" ca="1">INDEX('Isaac 401k'!L:L,MATCH('Retirement Calculator'!A118,'Isaac 401k'!N:N,0),0)</f>
        <v>1838428.6440712579</v>
      </c>
      <c r="R118" s="25">
        <f t="array" aca="1" ref="R118" ca="1">INDEX('Lorri 401b'!L:L,MATCH('Retirement Calculator'!A118,'Lorri 401b'!N:N,0),0)</f>
        <v>4315055.5928177899</v>
      </c>
      <c r="S118" s="25">
        <f t="shared" ca="1" si="7"/>
        <v>6153484.2368890475</v>
      </c>
    </row>
    <row r="119" spans="1:19" ht="15.75" customHeight="1" x14ac:dyDescent="0.3">
      <c r="A119" s="37">
        <v>54575</v>
      </c>
      <c r="B119" s="398">
        <f t="shared" ref="B119:C119" si="115">($A119-B$9)/365.25</f>
        <v>67.540041067761805</v>
      </c>
      <c r="C119" s="398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3254.2644699519233</v>
      </c>
      <c r="H119" s="25">
        <f>IF(B119&lt;62,0,'Combined Retirement'!$I$14)</f>
        <v>2345</v>
      </c>
      <c r="I119" s="25">
        <f>IF(C119&lt;62,0,'Combined Retirement'!$I$13)</f>
        <v>2420</v>
      </c>
      <c r="J119" s="25">
        <f t="shared" si="3"/>
        <v>7896.2379798201846</v>
      </c>
      <c r="K119" s="25">
        <f t="shared" si="4"/>
        <v>20367.195264578786</v>
      </c>
      <c r="L119" s="25"/>
      <c r="N119" s="25">
        <f>'Combined Retirement'!$C$18/12</f>
        <v>39153.069999999992</v>
      </c>
      <c r="O119" s="25">
        <f t="shared" si="5"/>
        <v>10889.636755601023</v>
      </c>
      <c r="P119" s="25">
        <f t="shared" si="6"/>
        <v>28263.43324439897</v>
      </c>
      <c r="Q119" s="25">
        <f t="array" aca="1" ref="Q119" ca="1">INDEX('Isaac 401k'!L:L,MATCH('Retirement Calculator'!A119,'Isaac 401k'!N:N,0),0)</f>
        <v>1838159.624450152</v>
      </c>
      <c r="R119" s="25">
        <f t="array" aca="1" ref="R119" ca="1">INDEX('Lorri 401b'!L:L,MATCH('Retirement Calculator'!A119,'Lorri 401b'!N:N,0),0)</f>
        <v>4312582.932543016</v>
      </c>
      <c r="S119" s="25">
        <f t="shared" ca="1" si="7"/>
        <v>6150742.5569931678</v>
      </c>
    </row>
    <row r="120" spans="1:19" ht="15.75" customHeight="1" x14ac:dyDescent="0.3">
      <c r="A120" s="37">
        <v>54605</v>
      </c>
      <c r="B120" s="398">
        <f t="shared" ref="B120:C120" si="116">($A120-B$9)/365.25</f>
        <v>67.622176591375776</v>
      </c>
      <c r="C120" s="398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3254.2644699519233</v>
      </c>
      <c r="H120" s="25">
        <f>IF(B120&lt;62,0,'Combined Retirement'!$I$14)</f>
        <v>2345</v>
      </c>
      <c r="I120" s="25">
        <f>IF(C120&lt;62,0,'Combined Retirement'!$I$13)</f>
        <v>2420</v>
      </c>
      <c r="J120" s="25">
        <f t="shared" si="3"/>
        <v>7896.2379798201846</v>
      </c>
      <c r="K120" s="25">
        <f t="shared" si="4"/>
        <v>20367.195264578786</v>
      </c>
      <c r="L120" s="25"/>
      <c r="N120" s="25">
        <f>'Combined Retirement'!$C$18/12</f>
        <v>39153.069999999992</v>
      </c>
      <c r="O120" s="25">
        <f t="shared" si="5"/>
        <v>10889.636755601023</v>
      </c>
      <c r="P120" s="25">
        <f t="shared" si="6"/>
        <v>28263.43324439897</v>
      </c>
      <c r="Q120" s="25">
        <f t="array" aca="1" ref="Q120" ca="1">INDEX('Isaac 401k'!L:L,MATCH('Retirement Calculator'!A120,'Isaac 401k'!N:N,0),0)</f>
        <v>1837889.4839139583</v>
      </c>
      <c r="R120" s="25">
        <f t="array" aca="1" ref="R120" ca="1">INDEX('Lorri 401b'!L:L,MATCH('Retirement Calculator'!A120,'Lorri 401b'!N:N,0),0)</f>
        <v>4310099.9695170978</v>
      </c>
      <c r="S120" s="25">
        <f t="shared" ca="1" si="7"/>
        <v>6147989.4534310559</v>
      </c>
    </row>
    <row r="121" spans="1:19" ht="15.75" customHeight="1" x14ac:dyDescent="0.3">
      <c r="A121" s="37">
        <v>54636</v>
      </c>
      <c r="B121" s="398">
        <f t="shared" ref="B121:C121" si="117">($A121-B$9)/365.25</f>
        <v>67.707049965776861</v>
      </c>
      <c r="C121" s="398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3254.2644699519233</v>
      </c>
      <c r="H121" s="25">
        <f>IF(B121&lt;62,0,'Combined Retirement'!$I$14)</f>
        <v>2345</v>
      </c>
      <c r="I121" s="25">
        <f>IF(C121&lt;62,0,'Combined Retirement'!$I$13)</f>
        <v>2420</v>
      </c>
      <c r="J121" s="25">
        <f t="shared" si="3"/>
        <v>7896.2379798201846</v>
      </c>
      <c r="K121" s="25">
        <f t="shared" si="4"/>
        <v>20367.195264578786</v>
      </c>
      <c r="L121" s="25"/>
      <c r="N121" s="25">
        <f>'Combined Retirement'!$C$18/12</f>
        <v>39153.069999999992</v>
      </c>
      <c r="O121" s="25">
        <f t="shared" si="5"/>
        <v>10889.636755601023</v>
      </c>
      <c r="P121" s="25">
        <f t="shared" si="6"/>
        <v>28263.43324439897</v>
      </c>
      <c r="Q121" s="25">
        <f t="array" aca="1" ref="Q121" ca="1">INDEX('Isaac 401k'!L:L,MATCH('Retirement Calculator'!A121,'Isaac 401k'!N:N,0),0)</f>
        <v>1837618.2177921969</v>
      </c>
      <c r="R121" s="25">
        <f t="array" aca="1" ref="R121" ca="1">INDEX('Lorri 401b'!L:L,MATCH('Retirement Calculator'!A121,'Lorri 401b'!N:N,0),0)</f>
        <v>4307606.6608119048</v>
      </c>
      <c r="S121" s="25">
        <f t="shared" ca="1" si="7"/>
        <v>6145224.8786041019</v>
      </c>
    </row>
    <row r="122" spans="1:19" ht="15.75" customHeight="1" x14ac:dyDescent="0.3">
      <c r="A122" s="37">
        <v>54667</v>
      </c>
      <c r="B122" s="398">
        <f t="shared" ref="B122:C122" si="118">($A122-B$9)/365.25</f>
        <v>67.791923340177959</v>
      </c>
      <c r="C122" s="398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3254.2644699519233</v>
      </c>
      <c r="H122" s="25">
        <f>IF(B122&lt;62,0,'Combined Retirement'!$I$14)</f>
        <v>2345</v>
      </c>
      <c r="I122" s="25">
        <f>IF(C122&lt;62,0,'Combined Retirement'!$I$13)</f>
        <v>2420</v>
      </c>
      <c r="J122" s="25">
        <f t="shared" si="3"/>
        <v>7896.2379798201846</v>
      </c>
      <c r="K122" s="25">
        <f t="shared" si="4"/>
        <v>20367.195264578786</v>
      </c>
      <c r="L122" s="25"/>
      <c r="N122" s="25">
        <f>'Combined Retirement'!$C$18/12</f>
        <v>39153.069999999992</v>
      </c>
      <c r="O122" s="25">
        <f t="shared" si="5"/>
        <v>10889.636755601023</v>
      </c>
      <c r="P122" s="25">
        <f t="shared" si="6"/>
        <v>28263.43324439897</v>
      </c>
      <c r="Q122" s="25">
        <f t="array" aca="1" ref="Q122" ca="1">INDEX('Isaac 401k'!L:L,MATCH('Retirement Calculator'!A122,'Isaac 401k'!N:N,0),0)</f>
        <v>1837345.8213949283</v>
      </c>
      <c r="R122" s="25">
        <f t="array" aca="1" ref="R122" ca="1">INDEX('Lorri 401b'!L:L,MATCH('Retirement Calculator'!A122,'Lorri 401b'!N:N,0),0)</f>
        <v>4305102.9633204397</v>
      </c>
      <c r="S122" s="25">
        <f t="shared" ca="1" si="7"/>
        <v>6142448.7847153675</v>
      </c>
    </row>
    <row r="123" spans="1:19" ht="15.75" customHeight="1" x14ac:dyDescent="0.3">
      <c r="A123" s="37">
        <v>54697</v>
      </c>
      <c r="B123" s="398">
        <f t="shared" ref="B123:C123" si="119">($A123-B$9)/365.25</f>
        <v>67.87405886379193</v>
      </c>
      <c r="C123" s="398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3254.2644699519233</v>
      </c>
      <c r="H123" s="25">
        <f>IF(B123&lt;62,0,'Combined Retirement'!$I$14)</f>
        <v>2345</v>
      </c>
      <c r="I123" s="25">
        <f>IF(C123&lt;62,0,'Combined Retirement'!$I$13)</f>
        <v>2420</v>
      </c>
      <c r="J123" s="25">
        <f t="shared" si="3"/>
        <v>7896.2379798201846</v>
      </c>
      <c r="K123" s="25">
        <f t="shared" si="4"/>
        <v>20367.195264578786</v>
      </c>
      <c r="L123" s="25"/>
      <c r="N123" s="25">
        <f>'Combined Retirement'!$C$18/12</f>
        <v>39153.069999999992</v>
      </c>
      <c r="O123" s="25">
        <f t="shared" si="5"/>
        <v>10889.636755601023</v>
      </c>
      <c r="P123" s="25">
        <f t="shared" si="6"/>
        <v>28263.43324439897</v>
      </c>
      <c r="Q123" s="25">
        <f t="array" aca="1" ref="Q123" ca="1">INDEX('Isaac 401k'!L:L,MATCH('Retirement Calculator'!A123,'Isaac 401k'!N:N,0),0)</f>
        <v>1837072.2900126709</v>
      </c>
      <c r="R123" s="25">
        <f t="array" aca="1" ref="R123" ca="1">INDEX('Lorri 401b'!L:L,MATCH('Retirement Calculator'!A123,'Lorri 401b'!N:N,0),0)</f>
        <v>4302588.8337560939</v>
      </c>
      <c r="S123" s="25">
        <f t="shared" ca="1" si="7"/>
        <v>6139661.1237687645</v>
      </c>
    </row>
    <row r="124" spans="1:19" ht="15.75" customHeight="1" x14ac:dyDescent="0.3">
      <c r="A124" s="37">
        <v>54728</v>
      </c>
      <c r="B124" s="398">
        <f t="shared" ref="B124:C124" si="120">($A124-B$9)/365.25</f>
        <v>67.958932238193015</v>
      </c>
      <c r="C124" s="398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3254.2644699519233</v>
      </c>
      <c r="H124" s="25">
        <f>IF(B124&lt;62,0,'Combined Retirement'!$I$14)</f>
        <v>2345</v>
      </c>
      <c r="I124" s="25">
        <f>IF(C124&lt;62,0,'Combined Retirement'!$I$13)</f>
        <v>2420</v>
      </c>
      <c r="J124" s="25">
        <f t="shared" si="3"/>
        <v>7896.2379798201846</v>
      </c>
      <c r="K124" s="25">
        <f t="shared" si="4"/>
        <v>20367.195264578786</v>
      </c>
      <c r="L124" s="25"/>
      <c r="N124" s="25">
        <f>'Combined Retirement'!$C$18/12</f>
        <v>39153.069999999992</v>
      </c>
      <c r="O124" s="25">
        <f t="shared" si="5"/>
        <v>10889.636755601023</v>
      </c>
      <c r="P124" s="25">
        <f t="shared" si="6"/>
        <v>28263.43324439897</v>
      </c>
      <c r="Q124" s="25">
        <f t="array" aca="1" ref="Q124" ca="1">INDEX('Isaac 401k'!L:L,MATCH('Retirement Calculator'!A124,'Isaac 401k'!N:N,0),0)</f>
        <v>1836797.6189163208</v>
      </c>
      <c r="R124" s="25">
        <f t="array" aca="1" ref="R124" ca="1">INDEX('Lorri 401b'!L:L,MATCH('Retirement Calculator'!A124,'Lorri 401b'!N:N,0),0)</f>
        <v>4300064.2286518961</v>
      </c>
      <c r="S124" s="25">
        <f t="shared" ca="1" si="7"/>
        <v>6136861.8475682167</v>
      </c>
    </row>
    <row r="125" spans="1:19" ht="15.75" customHeight="1" x14ac:dyDescent="0.3">
      <c r="A125" s="37">
        <v>54758</v>
      </c>
      <c r="B125" s="398">
        <f t="shared" ref="B125:C125" si="121">($A125-B$9)/365.25</f>
        <v>68.041067761806985</v>
      </c>
      <c r="C125" s="398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3254.2644699519233</v>
      </c>
      <c r="H125" s="25">
        <f>IF(B125&lt;62,0,'Combined Retirement'!$I$14)</f>
        <v>2345</v>
      </c>
      <c r="I125" s="25">
        <f>IF(C125&lt;62,0,'Combined Retirement'!$I$13)</f>
        <v>2420</v>
      </c>
      <c r="J125" s="25">
        <f t="shared" si="3"/>
        <v>7896.2379798201846</v>
      </c>
      <c r="K125" s="25">
        <f t="shared" si="4"/>
        <v>20367.195264578786</v>
      </c>
      <c r="L125" s="25"/>
      <c r="N125" s="25">
        <f>'Combined Retirement'!$C$18/12</f>
        <v>39153.069999999992</v>
      </c>
      <c r="O125" s="25">
        <f t="shared" si="5"/>
        <v>10889.636755601023</v>
      </c>
      <c r="P125" s="25">
        <f t="shared" si="6"/>
        <v>28263.43324439897</v>
      </c>
      <c r="Q125" s="25">
        <f t="array" aca="1" ref="Q125" ca="1">INDEX('Isaac 401k'!L:L,MATCH('Retirement Calculator'!A125,'Isaac 401k'!N:N,0),0)</f>
        <v>1836521.8033570694</v>
      </c>
      <c r="R125" s="25">
        <f t="array" aca="1" ref="R125" ca="1">INDEX('Lorri 401b'!L:L,MATCH('Retirement Calculator'!A125,'Lorri 401b'!N:N,0),0)</f>
        <v>4297529.1043597646</v>
      </c>
      <c r="S125" s="25">
        <f t="shared" ca="1" si="7"/>
        <v>6134050.907716834</v>
      </c>
    </row>
    <row r="126" spans="1:19" ht="15.75" customHeight="1" x14ac:dyDescent="0.3">
      <c r="A126" s="37">
        <v>54789</v>
      </c>
      <c r="B126" s="398">
        <f t="shared" ref="B126:C126" si="122">($A126-B$9)/365.25</f>
        <v>68.12594113620807</v>
      </c>
      <c r="C126" s="398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3254.2644699519233</v>
      </c>
      <c r="H126" s="25">
        <f>IF(B126&lt;62,0,'Combined Retirement'!$I$14)</f>
        <v>2345</v>
      </c>
      <c r="I126" s="25">
        <f>IF(C126&lt;62,0,'Combined Retirement'!$I$13)</f>
        <v>2420</v>
      </c>
      <c r="J126" s="25">
        <f t="shared" si="3"/>
        <v>7896.2379798201846</v>
      </c>
      <c r="K126" s="25">
        <f t="shared" si="4"/>
        <v>20367.195264578786</v>
      </c>
      <c r="L126" s="25"/>
      <c r="N126" s="25">
        <f>'Combined Retirement'!$C$18/12</f>
        <v>39153.069999999992</v>
      </c>
      <c r="O126" s="25">
        <f t="shared" si="5"/>
        <v>10889.636755601023</v>
      </c>
      <c r="P126" s="25">
        <f t="shared" si="6"/>
        <v>28263.43324439897</v>
      </c>
      <c r="Q126" s="25">
        <f t="array" aca="1" ref="Q126" ca="1">INDEX('Isaac 401k'!L:L,MATCH('Retirement Calculator'!A126,'Isaac 401k'!N:N,0),0)</f>
        <v>1836244.8385663209</v>
      </c>
      <c r="R126" s="25">
        <f t="array" aca="1" ref="R126" ca="1">INDEX('Lorri 401b'!L:L,MATCH('Retirement Calculator'!A126,'Lorri 401b'!N:N,0),0)</f>
        <v>4294983.4170497488</v>
      </c>
      <c r="S126" s="25">
        <f t="shared" ca="1" si="7"/>
        <v>6131228.2556160698</v>
      </c>
    </row>
    <row r="127" spans="1:19" ht="15.75" customHeight="1" x14ac:dyDescent="0.3">
      <c r="A127" s="37">
        <v>54820</v>
      </c>
      <c r="B127" s="398">
        <f t="shared" ref="B127:C127" si="123">($A127-B$9)/365.25</f>
        <v>68.210814510609168</v>
      </c>
      <c r="C127" s="398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3254.2644699519233</v>
      </c>
      <c r="H127" s="25">
        <f>IF(B127&lt;62,0,'Combined Retirement'!$I$14)</f>
        <v>2345</v>
      </c>
      <c r="I127" s="25">
        <f>IF(C127&lt;62,0,'Combined Retirement'!$I$13)</f>
        <v>2420</v>
      </c>
      <c r="J127" s="25">
        <f t="shared" si="3"/>
        <v>7896.2379798201846</v>
      </c>
      <c r="K127" s="25">
        <f t="shared" si="4"/>
        <v>20367.195264578786</v>
      </c>
      <c r="L127" s="25"/>
      <c r="N127" s="25">
        <f>'Combined Retirement'!$C$18/12</f>
        <v>39153.069999999992</v>
      </c>
      <c r="O127" s="25">
        <f t="shared" si="5"/>
        <v>10889.636755601023</v>
      </c>
      <c r="P127" s="25">
        <f t="shared" si="6"/>
        <v>28263.43324439897</v>
      </c>
      <c r="Q127" s="25">
        <f t="array" aca="1" ref="Q127" ca="1">INDEX('Isaac 401k'!L:L,MATCH('Retirement Calculator'!A127,'Isaac 401k'!N:N,0),0)</f>
        <v>1835966.7197556111</v>
      </c>
      <c r="R127" s="25">
        <f t="array" aca="1" ref="R127" ca="1">INDEX('Lorri 401b'!L:L,MATCH('Retirement Calculator'!A127,'Lorri 401b'!N:N,0),0)</f>
        <v>4292427.1227092752</v>
      </c>
      <c r="S127" s="25">
        <f t="shared" ca="1" si="7"/>
        <v>6128393.8424648866</v>
      </c>
    </row>
    <row r="128" spans="1:19" ht="15.75" customHeight="1" x14ac:dyDescent="0.3">
      <c r="A128" s="37">
        <v>54848</v>
      </c>
      <c r="B128" s="398">
        <f t="shared" ref="B128:C128" si="124">($A128-B$9)/365.25</f>
        <v>68.28747433264887</v>
      </c>
      <c r="C128" s="398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3254.2644699519233</v>
      </c>
      <c r="H128" s="25">
        <f>IF(B128&lt;62,0,'Combined Retirement'!$I$14)</f>
        <v>2345</v>
      </c>
      <c r="I128" s="25">
        <f>IF(C128&lt;62,0,'Combined Retirement'!$I$13)</f>
        <v>2420</v>
      </c>
      <c r="J128" s="25">
        <f t="shared" si="3"/>
        <v>7896.2379798201846</v>
      </c>
      <c r="K128" s="25">
        <f t="shared" si="4"/>
        <v>20367.195264578786</v>
      </c>
      <c r="L128" s="25"/>
      <c r="N128" s="25">
        <f>'Combined Retirement'!$C$18/12</f>
        <v>39153.069999999992</v>
      </c>
      <c r="O128" s="25">
        <f t="shared" si="5"/>
        <v>10889.636755601023</v>
      </c>
      <c r="P128" s="25">
        <f t="shared" si="6"/>
        <v>28263.43324439897</v>
      </c>
      <c r="Q128" s="25">
        <f t="array" aca="1" ref="Q128" ca="1">INDEX('Isaac 401k'!L:L,MATCH('Retirement Calculator'!A128,'Isaac 401k'!N:N,0),0)</f>
        <v>1835687.4421165234</v>
      </c>
      <c r="R128" s="25">
        <f t="array" aca="1" ref="R128" ca="1">INDEX('Lorri 401b'!L:L,MATCH('Retirement Calculator'!A128,'Lorri 401b'!N:N,0),0)</f>
        <v>4289860.1771423826</v>
      </c>
      <c r="S128" s="25">
        <f t="shared" ca="1" si="7"/>
        <v>6125547.6192589058</v>
      </c>
    </row>
    <row r="129" spans="1:19" ht="15.75" customHeight="1" x14ac:dyDescent="0.3">
      <c r="A129" s="37">
        <v>54879</v>
      </c>
      <c r="B129" s="398">
        <f t="shared" ref="B129:C129" si="125">($A129-B$9)/365.25</f>
        <v>68.372347707049968</v>
      </c>
      <c r="C129" s="398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3254.2644699519233</v>
      </c>
      <c r="H129" s="25">
        <f>IF(B129&lt;62,0,'Combined Retirement'!$I$14)</f>
        <v>2345</v>
      </c>
      <c r="I129" s="25">
        <f>IF(C129&lt;62,0,'Combined Retirement'!$I$13)</f>
        <v>2420</v>
      </c>
      <c r="J129" s="25">
        <f t="shared" si="3"/>
        <v>7896.2379798201846</v>
      </c>
      <c r="K129" s="25">
        <f t="shared" si="4"/>
        <v>20367.195264578786</v>
      </c>
      <c r="L129" s="25"/>
      <c r="N129" s="25">
        <f>'Combined Retirement'!$C$18/12</f>
        <v>39153.069999999992</v>
      </c>
      <c r="O129" s="25">
        <f t="shared" si="5"/>
        <v>10889.636755601023</v>
      </c>
      <c r="P129" s="25">
        <f t="shared" si="6"/>
        <v>28263.43324439897</v>
      </c>
      <c r="Q129" s="25">
        <f t="array" aca="1" ref="Q129" ca="1">INDEX('Isaac 401k'!L:L,MATCH('Retirement Calculator'!A129,'Isaac 401k'!N:N,0),0)</f>
        <v>1835407.000820606</v>
      </c>
      <c r="R129" s="25">
        <f t="array" aca="1" ref="R129" ca="1">INDEX('Lorri 401b'!L:L,MATCH('Retirement Calculator'!A129,'Lorri 401b'!N:N,0),0)</f>
        <v>4287282.5359689612</v>
      </c>
      <c r="S129" s="25">
        <f t="shared" ca="1" si="7"/>
        <v>6122689.5367895672</v>
      </c>
    </row>
    <row r="130" spans="1:19" ht="15.75" customHeight="1" x14ac:dyDescent="0.3">
      <c r="A130" s="37">
        <v>54909</v>
      </c>
      <c r="B130" s="398">
        <f t="shared" ref="B130:C130" si="126">($A130-B$9)/365.25</f>
        <v>68.454483230663925</v>
      </c>
      <c r="C130" s="398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3254.2644699519233</v>
      </c>
      <c r="H130" s="25">
        <f>IF(B130&lt;62,0,'Combined Retirement'!$I$14)</f>
        <v>2345</v>
      </c>
      <c r="I130" s="25">
        <f>IF(C130&lt;62,0,'Combined Retirement'!$I$13)</f>
        <v>2420</v>
      </c>
      <c r="J130" s="25">
        <f t="shared" si="3"/>
        <v>7896.2379798201846</v>
      </c>
      <c r="K130" s="25">
        <f t="shared" si="4"/>
        <v>20367.195264578786</v>
      </c>
      <c r="L130" s="25"/>
      <c r="N130" s="25">
        <f>'Combined Retirement'!$C$18/12</f>
        <v>39153.069999999992</v>
      </c>
      <c r="O130" s="25">
        <f t="shared" si="5"/>
        <v>10889.636755601023</v>
      </c>
      <c r="P130" s="25">
        <f t="shared" si="6"/>
        <v>28263.43324439897</v>
      </c>
      <c r="Q130" s="25">
        <f t="array" aca="1" ref="Q130" ca="1">INDEX('Isaac 401k'!L:L,MATCH('Retirement Calculator'!A130,'Isaac 401k'!N:N,0),0)</f>
        <v>1835125.3910192891</v>
      </c>
      <c r="R130" s="25">
        <f t="array" aca="1" ref="R130" ca="1">INDEX('Lorri 401b'!L:L,MATCH('Retirement Calculator'!A130,'Lorri 401b'!N:N,0),0)</f>
        <v>4284694.1546239844</v>
      </c>
      <c r="S130" s="25">
        <f t="shared" ca="1" si="7"/>
        <v>6119819.5456432737</v>
      </c>
    </row>
    <row r="131" spans="1:19" ht="15.75" customHeight="1" x14ac:dyDescent="0.3">
      <c r="A131" s="37">
        <v>54940</v>
      </c>
      <c r="B131" s="398">
        <f t="shared" ref="B131:C131" si="127">($A131-B$9)/365.25</f>
        <v>68.539356605065024</v>
      </c>
      <c r="C131" s="398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3254.2644699519233</v>
      </c>
      <c r="H131" s="25">
        <f>IF(B131&lt;62,0,'Combined Retirement'!$I$14)</f>
        <v>2345</v>
      </c>
      <c r="I131" s="25">
        <f>IF(C131&lt;62,0,'Combined Retirement'!$I$13)</f>
        <v>2420</v>
      </c>
      <c r="J131" s="25">
        <f t="shared" si="3"/>
        <v>7896.2379798201846</v>
      </c>
      <c r="K131" s="25">
        <f t="shared" si="4"/>
        <v>20367.195264578786</v>
      </c>
      <c r="L131" s="25"/>
      <c r="N131" s="25">
        <f>'Combined Retirement'!$C$18/12</f>
        <v>39153.069999999992</v>
      </c>
      <c r="O131" s="25">
        <f t="shared" si="5"/>
        <v>10889.636755601023</v>
      </c>
      <c r="P131" s="25">
        <f t="shared" si="6"/>
        <v>28263.43324439897</v>
      </c>
      <c r="Q131" s="25">
        <f t="array" aca="1" ref="Q131" ca="1">INDEX('Isaac 401k'!L:L,MATCH('Retirement Calculator'!A131,'Isaac 401k'!N:N,0),0)</f>
        <v>1834842.6078438</v>
      </c>
      <c r="R131" s="25">
        <f t="array" aca="1" ref="R131" ca="1">INDEX('Lorri 401b'!L:L,MATCH('Retirement Calculator'!A131,'Lorri 401b'!N:N,0),0)</f>
        <v>4282094.9883567365</v>
      </c>
      <c r="S131" s="25">
        <f t="shared" ca="1" si="7"/>
        <v>6116937.5962005369</v>
      </c>
    </row>
    <row r="132" spans="1:19" ht="15.75" customHeight="1" x14ac:dyDescent="0.3">
      <c r="A132" s="37">
        <v>54970</v>
      </c>
      <c r="B132" s="398">
        <f t="shared" ref="B132:C132" si="128">($A132-B$9)/365.25</f>
        <v>68.62149212867898</v>
      </c>
      <c r="C132" s="398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3254.2644699519233</v>
      </c>
      <c r="H132" s="25">
        <f>IF(B132&lt;62,0,'Combined Retirement'!$I$14)</f>
        <v>2345</v>
      </c>
      <c r="I132" s="25">
        <f>IF(C132&lt;62,0,'Combined Retirement'!$I$13)</f>
        <v>2420</v>
      </c>
      <c r="J132" s="25">
        <f t="shared" si="3"/>
        <v>7896.2379798201846</v>
      </c>
      <c r="K132" s="25">
        <f t="shared" si="4"/>
        <v>20367.195264578786</v>
      </c>
      <c r="L132" s="25"/>
      <c r="N132" s="25">
        <f>'Combined Retirement'!$C$18/12</f>
        <v>39153.069999999992</v>
      </c>
      <c r="O132" s="25">
        <f t="shared" si="5"/>
        <v>10889.636755601023</v>
      </c>
      <c r="P132" s="25">
        <f t="shared" si="6"/>
        <v>28263.43324439897</v>
      </c>
      <c r="Q132" s="25">
        <f t="array" aca="1" ref="Q132" ca="1">INDEX('Isaac 401k'!L:L,MATCH('Retirement Calculator'!A132,'Isaac 401k'!N:N,0),0)</f>
        <v>1834558.6464050796</v>
      </c>
      <c r="R132" s="25">
        <f t="array" aca="1" ref="R132" ca="1">INDEX('Lorri 401b'!L:L,MATCH('Retirement Calculator'!A132,'Lorri 401b'!N:N,0),0)</f>
        <v>4279484.9922300419</v>
      </c>
      <c r="S132" s="25">
        <f t="shared" ca="1" si="7"/>
        <v>6114043.6386351213</v>
      </c>
    </row>
    <row r="133" spans="1:19" ht="15.75" customHeight="1" x14ac:dyDescent="0.3">
      <c r="A133" s="37">
        <v>55001</v>
      </c>
      <c r="B133" s="398">
        <f t="shared" ref="B133:C133" si="129">($A133-B$9)/365.25</f>
        <v>68.706365503080079</v>
      </c>
      <c r="C133" s="398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3254.2644699519233</v>
      </c>
      <c r="H133" s="25">
        <f>IF(B133&lt;62,0,'Combined Retirement'!$I$14)</f>
        <v>2345</v>
      </c>
      <c r="I133" s="25">
        <f>IF(C133&lt;62,0,'Combined Retirement'!$I$13)</f>
        <v>2420</v>
      </c>
      <c r="J133" s="25">
        <f t="shared" si="3"/>
        <v>7896.2379798201846</v>
      </c>
      <c r="K133" s="25">
        <f t="shared" si="4"/>
        <v>20367.195264578786</v>
      </c>
      <c r="L133" s="25"/>
      <c r="N133" s="25">
        <f>'Combined Retirement'!$C$18/12</f>
        <v>39153.069999999992</v>
      </c>
      <c r="O133" s="25">
        <f t="shared" si="5"/>
        <v>10889.636755601023</v>
      </c>
      <c r="P133" s="25">
        <f t="shared" si="6"/>
        <v>28263.43324439897</v>
      </c>
      <c r="Q133" s="25">
        <f t="array" aca="1" ref="Q133" ca="1">INDEX('Isaac 401k'!L:L,MATCH('Retirement Calculator'!A133,'Isaac 401k'!N:N,0),0)</f>
        <v>1834273.5017936979</v>
      </c>
      <c r="R133" s="25">
        <f t="array" aca="1" ref="R133" ca="1">INDEX('Lorri 401b'!L:L,MATCH('Retirement Calculator'!A133,'Lorri 401b'!N:N,0),0)</f>
        <v>4276864.1211194862</v>
      </c>
      <c r="S133" s="25">
        <f t="shared" ca="1" si="7"/>
        <v>6111137.6229131836</v>
      </c>
    </row>
    <row r="134" spans="1:19" ht="15.75" customHeight="1" x14ac:dyDescent="0.3">
      <c r="A134" s="37">
        <v>55032</v>
      </c>
      <c r="B134" s="398">
        <f t="shared" ref="B134:C134" si="130">($A134-B$9)/365.25</f>
        <v>68.791238877481177</v>
      </c>
      <c r="C134" s="398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3254.2644699519233</v>
      </c>
      <c r="H134" s="25">
        <f>IF(B134&lt;62,0,'Combined Retirement'!$I$14)</f>
        <v>2345</v>
      </c>
      <c r="I134" s="25">
        <f>IF(C134&lt;62,0,'Combined Retirement'!$I$13)</f>
        <v>2420</v>
      </c>
      <c r="J134" s="25">
        <f t="shared" si="3"/>
        <v>7896.2379798201846</v>
      </c>
      <c r="K134" s="25">
        <f t="shared" si="4"/>
        <v>20367.195264578786</v>
      </c>
      <c r="L134" s="25"/>
      <c r="N134" s="25">
        <f>'Combined Retirement'!$C$18/12</f>
        <v>39153.069999999992</v>
      </c>
      <c r="O134" s="25">
        <f t="shared" si="5"/>
        <v>10889.636755601023</v>
      </c>
      <c r="P134" s="25">
        <f t="shared" si="6"/>
        <v>28263.43324439897</v>
      </c>
      <c r="Q134" s="25">
        <f t="array" aca="1" ref="Q134" ca="1">INDEX('Isaac 401k'!L:L,MATCH('Retirement Calculator'!A134,'Isaac 401k'!N:N,0),0)</f>
        <v>1833987.1690797689</v>
      </c>
      <c r="R134" s="25">
        <f t="array" aca="1" ref="R134" ca="1">INDEX('Lorri 401b'!L:L,MATCH('Retirement Calculator'!A134,'Lorri 401b'!N:N,0),0)</f>
        <v>4274232.3297126358</v>
      </c>
      <c r="S134" s="25">
        <f t="shared" ca="1" si="7"/>
        <v>6108219.4987924043</v>
      </c>
    </row>
    <row r="135" spans="1:19" ht="15.75" customHeight="1" x14ac:dyDescent="0.3">
      <c r="A135" s="37">
        <v>55062</v>
      </c>
      <c r="B135" s="398">
        <f t="shared" ref="B135:C135" si="131">($A135-B$9)/365.25</f>
        <v>68.873374401095134</v>
      </c>
      <c r="C135" s="398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3254.2644699519233</v>
      </c>
      <c r="H135" s="25">
        <f>IF(B135&lt;62,0,'Combined Retirement'!$I$14)</f>
        <v>2345</v>
      </c>
      <c r="I135" s="25">
        <f>IF(C135&lt;62,0,'Combined Retirement'!$I$13)</f>
        <v>2420</v>
      </c>
      <c r="J135" s="25">
        <f t="shared" si="3"/>
        <v>7896.2379798201846</v>
      </c>
      <c r="K135" s="25">
        <f t="shared" si="4"/>
        <v>20367.195264578786</v>
      </c>
      <c r="L135" s="25"/>
      <c r="N135" s="25">
        <f>'Combined Retirement'!$C$18/12</f>
        <v>39153.069999999992</v>
      </c>
      <c r="O135" s="25">
        <f t="shared" si="5"/>
        <v>10889.636755601023</v>
      </c>
      <c r="P135" s="25">
        <f t="shared" si="6"/>
        <v>28263.43324439897</v>
      </c>
      <c r="Q135" s="25">
        <f t="array" aca="1" ref="Q135" ca="1">INDEX('Isaac 401k'!L:L,MATCH('Retirement Calculator'!A135,'Isaac 401k'!N:N,0),0)</f>
        <v>1833699.6433128652</v>
      </c>
      <c r="R135" s="25">
        <f t="array" aca="1" ref="R135" ca="1">INDEX('Lorri 401b'!L:L,MATCH('Retirement Calculator'!A135,'Lorri 401b'!N:N,0),0)</f>
        <v>4271589.5725082569</v>
      </c>
      <c r="S135" s="25">
        <f t="shared" ca="1" si="7"/>
        <v>6105289.2158211218</v>
      </c>
    </row>
    <row r="136" spans="1:19" ht="15.75" customHeight="1" x14ac:dyDescent="0.3">
      <c r="A136" s="37">
        <v>55093</v>
      </c>
      <c r="B136" s="398">
        <f t="shared" ref="B136:C136" si="132">($A136-B$9)/365.25</f>
        <v>68.958247775496233</v>
      </c>
      <c r="C136" s="398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3254.2644699519233</v>
      </c>
      <c r="H136" s="25">
        <f>IF(B136&lt;62,0,'Combined Retirement'!$I$14)</f>
        <v>2345</v>
      </c>
      <c r="I136" s="25">
        <f>IF(C136&lt;62,0,'Combined Retirement'!$I$13)</f>
        <v>2420</v>
      </c>
      <c r="J136" s="25">
        <f t="shared" si="3"/>
        <v>7896.2379798201846</v>
      </c>
      <c r="K136" s="25">
        <f t="shared" si="4"/>
        <v>20367.195264578786</v>
      </c>
      <c r="L136" s="25"/>
      <c r="N136" s="25">
        <f>'Combined Retirement'!$C$18/12</f>
        <v>39153.069999999992</v>
      </c>
      <c r="O136" s="25">
        <f t="shared" si="5"/>
        <v>10889.636755601023</v>
      </c>
      <c r="P136" s="25">
        <f t="shared" si="6"/>
        <v>28263.43324439897</v>
      </c>
      <c r="Q136" s="25">
        <f t="array" aca="1" ref="Q136" ca="1">INDEX('Isaac 401k'!L:L,MATCH('Retirement Calculator'!A136,'Isaac 401k'!N:N,0),0)</f>
        <v>1833410.9195219327</v>
      </c>
      <c r="R136" s="25">
        <f t="array" aca="1" ref="R136" ca="1">INDEX('Lorri 401b'!L:L,MATCH('Retirement Calculator'!A136,'Lorri 401b'!N:N,0),0)</f>
        <v>4268935.8038155269</v>
      </c>
      <c r="S136" s="25">
        <f t="shared" ca="1" si="7"/>
        <v>6102346.7233374594</v>
      </c>
    </row>
    <row r="137" spans="1:19" ht="15.75" customHeight="1" x14ac:dyDescent="0.3">
      <c r="A137" s="37">
        <v>55123</v>
      </c>
      <c r="B137" s="398">
        <f t="shared" ref="B137:C137" si="133">($A137-B$9)/365.25</f>
        <v>69.040383299110204</v>
      </c>
      <c r="C137" s="398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3254.2644699519233</v>
      </c>
      <c r="H137" s="25">
        <f>IF(B137&lt;62,0,'Combined Retirement'!$I$14)</f>
        <v>2345</v>
      </c>
      <c r="I137" s="25">
        <f>IF(C137&lt;62,0,'Combined Retirement'!$I$13)</f>
        <v>2420</v>
      </c>
      <c r="J137" s="25">
        <f t="shared" si="3"/>
        <v>7896.2379798201846</v>
      </c>
      <c r="K137" s="25">
        <f t="shared" si="4"/>
        <v>20367.195264578786</v>
      </c>
      <c r="L137" s="25"/>
      <c r="N137" s="25">
        <f>'Combined Retirement'!$C$18/12</f>
        <v>39153.069999999992</v>
      </c>
      <c r="O137" s="25">
        <f t="shared" si="5"/>
        <v>10889.636755601023</v>
      </c>
      <c r="P137" s="25">
        <f t="shared" si="6"/>
        <v>28263.43324439897</v>
      </c>
      <c r="Q137" s="25">
        <f t="array" aca="1" ref="Q137" ca="1">INDEX('Isaac 401k'!L:L,MATCH('Retirement Calculator'!A137,'Isaac 401k'!N:N,0),0)</f>
        <v>1833120.9927152046</v>
      </c>
      <c r="R137" s="25">
        <f t="array" aca="1" ref="R137" ca="1">INDEX('Lorri 401b'!L:L,MATCH('Retirement Calculator'!A137,'Lorri 401b'!N:N,0),0)</f>
        <v>4266270.9777532434</v>
      </c>
      <c r="S137" s="25">
        <f t="shared" ca="1" si="7"/>
        <v>6099391.9704684485</v>
      </c>
    </row>
    <row r="138" spans="1:19" ht="15.75" customHeight="1" x14ac:dyDescent="0.3">
      <c r="A138" s="37">
        <v>55154</v>
      </c>
      <c r="B138" s="398">
        <f t="shared" ref="B138:C138" si="134">($A138-B$9)/365.25</f>
        <v>69.125256673511288</v>
      </c>
      <c r="C138" s="398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3254.2644699519233</v>
      </c>
      <c r="H138" s="25">
        <f>IF(B138&lt;62,0,'Combined Retirement'!$I$14)</f>
        <v>2345</v>
      </c>
      <c r="I138" s="25">
        <f>IF(C138&lt;62,0,'Combined Retirement'!$I$13)</f>
        <v>2420</v>
      </c>
      <c r="J138" s="25">
        <f t="shared" si="3"/>
        <v>7896.2379798201846</v>
      </c>
      <c r="K138" s="25">
        <f t="shared" si="4"/>
        <v>20367.195264578786</v>
      </c>
      <c r="L138" s="25"/>
      <c r="N138" s="25">
        <f>'Combined Retirement'!$C$18/12</f>
        <v>39153.069999999992</v>
      </c>
      <c r="O138" s="25">
        <f t="shared" si="5"/>
        <v>10889.636755601023</v>
      </c>
      <c r="P138" s="25">
        <f t="shared" si="6"/>
        <v>28263.43324439897</v>
      </c>
      <c r="Q138" s="25">
        <f t="array" aca="1" ref="Q138" ca="1">INDEX('Isaac 401k'!L:L,MATCH('Retirement Calculator'!A138,'Isaac 401k'!N:N,0),0)</f>
        <v>1832829.857880115</v>
      </c>
      <c r="R138" s="25">
        <f t="array" aca="1" ref="R138" ca="1">INDEX('Lorri 401b'!L:L,MATCH('Retirement Calculator'!A138,'Lorri 401b'!N:N,0),0)</f>
        <v>4263595.0482490342</v>
      </c>
      <c r="S138" s="25">
        <f t="shared" ca="1" si="7"/>
        <v>6096424.9061291497</v>
      </c>
    </row>
    <row r="139" spans="1:19" ht="15.75" customHeight="1" x14ac:dyDescent="0.3">
      <c r="A139" s="37">
        <v>55185</v>
      </c>
      <c r="B139" s="398">
        <f t="shared" ref="B139:C139" si="135">($A139-B$9)/365.25</f>
        <v>69.210130047912386</v>
      </c>
      <c r="C139" s="398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3254.2644699519233</v>
      </c>
      <c r="H139" s="25">
        <f>IF(B139&lt;62,0,'Combined Retirement'!$I$14)</f>
        <v>2345</v>
      </c>
      <c r="I139" s="25">
        <f>IF(C139&lt;62,0,'Combined Retirement'!$I$13)</f>
        <v>2420</v>
      </c>
      <c r="J139" s="25">
        <f t="shared" si="3"/>
        <v>7896.2379798201846</v>
      </c>
      <c r="K139" s="25">
        <f t="shared" si="4"/>
        <v>20367.195264578786</v>
      </c>
      <c r="L139" s="25"/>
      <c r="N139" s="25">
        <f>'Combined Retirement'!$C$18/12</f>
        <v>39153.069999999992</v>
      </c>
      <c r="O139" s="25">
        <f t="shared" si="5"/>
        <v>10889.636755601023</v>
      </c>
      <c r="P139" s="25">
        <f t="shared" si="6"/>
        <v>28263.43324439897</v>
      </c>
      <c r="Q139" s="25">
        <f t="array" aca="1" ref="Q139" ca="1">INDEX('Isaac 401k'!L:L,MATCH('Retirement Calculator'!A139,'Isaac 401k'!N:N,0),0)</f>
        <v>1832537.5099832127</v>
      </c>
      <c r="R139" s="25">
        <f t="array" aca="1" ref="R139" ca="1">INDEX('Lorri 401b'!L:L,MATCH('Retirement Calculator'!A139,'Lorri 401b'!N:N,0),0)</f>
        <v>4260907.9690385573</v>
      </c>
      <c r="S139" s="25">
        <f t="shared" ca="1" si="7"/>
        <v>6093445.4790217699</v>
      </c>
    </row>
    <row r="140" spans="1:19" ht="15.75" customHeight="1" x14ac:dyDescent="0.3">
      <c r="A140" s="37">
        <v>55213</v>
      </c>
      <c r="B140" s="398">
        <f t="shared" ref="B140:C140" si="136">($A140-B$9)/365.25</f>
        <v>69.286789869952088</v>
      </c>
      <c r="C140" s="398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3254.2644699519233</v>
      </c>
      <c r="H140" s="25">
        <f>IF(B140&lt;62,0,'Combined Retirement'!$I$14)</f>
        <v>2345</v>
      </c>
      <c r="I140" s="25">
        <f>IF(C140&lt;62,0,'Combined Retirement'!$I$13)</f>
        <v>2420</v>
      </c>
      <c r="J140" s="25">
        <f t="shared" si="3"/>
        <v>7896.2379798201846</v>
      </c>
      <c r="K140" s="25">
        <f t="shared" si="4"/>
        <v>20367.195264578786</v>
      </c>
      <c r="L140" s="25"/>
      <c r="N140" s="25">
        <f>'Combined Retirement'!$C$18/12</f>
        <v>39153.069999999992</v>
      </c>
      <c r="O140" s="25">
        <f t="shared" si="5"/>
        <v>10889.636755601023</v>
      </c>
      <c r="P140" s="25">
        <f t="shared" si="6"/>
        <v>28263.43324439897</v>
      </c>
      <c r="Q140" s="25">
        <f t="array" aca="1" ref="Q140" ca="1">INDEX('Isaac 401k'!L:L,MATCH('Retirement Calculator'!A140,'Isaac 401k'!N:N,0),0)</f>
        <v>1832243.9439700732</v>
      </c>
      <c r="R140" s="25">
        <f t="array" aca="1" ref="R140" ca="1">INDEX('Lorri 401b'!L:L,MATCH('Retirement Calculator'!A140,'Lorri 401b'!N:N,0),0)</f>
        <v>4258209.6936647035</v>
      </c>
      <c r="S140" s="25">
        <f t="shared" ca="1" si="7"/>
        <v>6090453.6376347765</v>
      </c>
    </row>
    <row r="141" spans="1:19" ht="15.75" customHeight="1" x14ac:dyDescent="0.3">
      <c r="A141" s="37">
        <v>55244</v>
      </c>
      <c r="B141" s="398">
        <f t="shared" ref="B141:C141" si="137">($A141-B$9)/365.25</f>
        <v>69.371663244353186</v>
      </c>
      <c r="C141" s="398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3254.2644699519233</v>
      </c>
      <c r="H141" s="25">
        <f>IF(B141&lt;62,0,'Combined Retirement'!$I$14)</f>
        <v>2345</v>
      </c>
      <c r="I141" s="25">
        <f>IF(C141&lt;62,0,'Combined Retirement'!$I$13)</f>
        <v>2420</v>
      </c>
      <c r="J141" s="25">
        <f t="shared" si="3"/>
        <v>7896.2379798201846</v>
      </c>
      <c r="K141" s="25">
        <f t="shared" si="4"/>
        <v>20367.195264578786</v>
      </c>
      <c r="L141" s="25"/>
      <c r="N141" s="25">
        <f>'Combined Retirement'!$C$18/12</f>
        <v>39153.069999999992</v>
      </c>
      <c r="O141" s="25">
        <f t="shared" si="5"/>
        <v>10889.636755601023</v>
      </c>
      <c r="P141" s="25">
        <f t="shared" si="6"/>
        <v>28263.43324439897</v>
      </c>
      <c r="Q141" s="25">
        <f t="array" aca="1" ref="Q141" ca="1">INDEX('Isaac 401k'!L:L,MATCH('Retirement Calculator'!A141,'Isaac 401k'!N:N,0),0)</f>
        <v>1831949.1547652124</v>
      </c>
      <c r="R141" s="25">
        <f t="array" aca="1" ref="R141" ca="1">INDEX('Lorri 401b'!L:L,MATCH('Retirement Calculator'!A141,'Lorri 401b'!N:N,0),0)</f>
        <v>4255500.1754767923</v>
      </c>
      <c r="S141" s="25">
        <f t="shared" ca="1" si="7"/>
        <v>6087449.3302420042</v>
      </c>
    </row>
    <row r="142" spans="1:19" ht="15.75" customHeight="1" x14ac:dyDescent="0.3">
      <c r="A142" s="37">
        <v>55274</v>
      </c>
      <c r="B142" s="398">
        <f t="shared" ref="B142:C142" si="138">($A142-B$9)/365.25</f>
        <v>69.453798767967143</v>
      </c>
      <c r="C142" s="398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3254.2644699519233</v>
      </c>
      <c r="H142" s="25">
        <f>IF(B142&lt;62,0,'Combined Retirement'!$I$14)</f>
        <v>2345</v>
      </c>
      <c r="I142" s="25">
        <f>IF(C142&lt;62,0,'Combined Retirement'!$I$13)</f>
        <v>2420</v>
      </c>
      <c r="J142" s="25">
        <f t="shared" si="3"/>
        <v>7896.2379798201846</v>
      </c>
      <c r="K142" s="25">
        <f t="shared" si="4"/>
        <v>20367.195264578786</v>
      </c>
      <c r="L142" s="25"/>
      <c r="N142" s="25">
        <f>'Combined Retirement'!$C$18/12</f>
        <v>39153.069999999992</v>
      </c>
      <c r="O142" s="25">
        <f t="shared" si="5"/>
        <v>10889.636755601023</v>
      </c>
      <c r="P142" s="25">
        <f t="shared" si="6"/>
        <v>28263.43324439897</v>
      </c>
      <c r="Q142" s="25">
        <f t="array" aca="1" ref="Q142" ca="1">INDEX('Isaac 401k'!L:L,MATCH('Retirement Calculator'!A142,'Isaac 401k'!N:N,0),0)</f>
        <v>1831653.137271998</v>
      </c>
      <c r="R142" s="25">
        <f t="array" aca="1" ref="R142" ca="1">INDEX('Lorri 401b'!L:L,MATCH('Retirement Calculator'!A142,'Lorri 401b'!N:N,0),0)</f>
        <v>4252779.3676297646</v>
      </c>
      <c r="S142" s="25">
        <f t="shared" ca="1" si="7"/>
        <v>6084432.5049017631</v>
      </c>
    </row>
    <row r="143" spans="1:19" ht="15.75" customHeight="1" x14ac:dyDescent="0.3">
      <c r="A143" s="37">
        <v>55305</v>
      </c>
      <c r="B143" s="398">
        <f t="shared" ref="B143:C143" si="139">($A143-B$9)/365.25</f>
        <v>69.538672142368242</v>
      </c>
      <c r="C143" s="398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3254.2644699519233</v>
      </c>
      <c r="H143" s="25">
        <f>IF(B143&lt;62,0,'Combined Retirement'!$I$14)</f>
        <v>2345</v>
      </c>
      <c r="I143" s="25">
        <f>IF(C143&lt;62,0,'Combined Retirement'!$I$13)</f>
        <v>2420</v>
      </c>
      <c r="J143" s="25">
        <f t="shared" si="3"/>
        <v>7896.2379798201846</v>
      </c>
      <c r="K143" s="25">
        <f t="shared" si="4"/>
        <v>20367.195264578786</v>
      </c>
      <c r="L143" s="25"/>
      <c r="N143" s="25">
        <f>'Combined Retirement'!$C$18/12</f>
        <v>39153.069999999992</v>
      </c>
      <c r="O143" s="25">
        <f t="shared" si="5"/>
        <v>10889.636755601023</v>
      </c>
      <c r="P143" s="25">
        <f t="shared" si="6"/>
        <v>28263.43324439897</v>
      </c>
      <c r="Q143" s="25">
        <f t="array" aca="1" ref="Q143" ca="1">INDEX('Isaac 401k'!L:L,MATCH('Retirement Calculator'!A143,'Isaac 401k'!N:N,0),0)</f>
        <v>1831355.8863725618</v>
      </c>
      <c r="R143" s="25">
        <f t="array" aca="1" ref="R143" ca="1">INDEX('Lorri 401b'!L:L,MATCH('Retirement Calculator'!A143,'Lorri 401b'!N:N,0),0)</f>
        <v>4250047.2230833741</v>
      </c>
      <c r="S143" s="25">
        <f t="shared" ca="1" si="7"/>
        <v>6081403.1094559357</v>
      </c>
    </row>
    <row r="144" spans="1:19" ht="15.75" customHeight="1" x14ac:dyDescent="0.3">
      <c r="A144" s="37">
        <v>55335</v>
      </c>
      <c r="B144" s="398">
        <f t="shared" ref="B144:C144" si="140">($A144-B$9)/365.25</f>
        <v>69.620807665982198</v>
      </c>
      <c r="C144" s="398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3254.2644699519233</v>
      </c>
      <c r="H144" s="25">
        <f>IF(B144&lt;62,0,'Combined Retirement'!$I$14)</f>
        <v>2345</v>
      </c>
      <c r="I144" s="25">
        <f>IF(C144&lt;62,0,'Combined Retirement'!$I$13)</f>
        <v>2420</v>
      </c>
      <c r="J144" s="25">
        <f t="shared" si="3"/>
        <v>7896.2379798201846</v>
      </c>
      <c r="K144" s="25">
        <f t="shared" si="4"/>
        <v>20367.195264578786</v>
      </c>
      <c r="L144" s="25"/>
      <c r="N144" s="25">
        <f>'Combined Retirement'!$C$18/12</f>
        <v>39153.069999999992</v>
      </c>
      <c r="O144" s="25">
        <f t="shared" si="5"/>
        <v>10889.636755601023</v>
      </c>
      <c r="P144" s="25">
        <f t="shared" si="6"/>
        <v>28263.43324439897</v>
      </c>
      <c r="Q144" s="25">
        <f t="array" aca="1" ref="Q144" ca="1">INDEX('Isaac 401k'!L:L,MATCH('Retirement Calculator'!A144,'Isaac 401k'!N:N,0),0)</f>
        <v>1831057.3969277113</v>
      </c>
      <c r="R144" s="25">
        <f t="array" aca="1" ref="R144" ca="1">INDEX('Lorri 401b'!L:L,MATCH('Retirement Calculator'!A144,'Lorri 401b'!N:N,0),0)</f>
        <v>4247303.6946013737</v>
      </c>
      <c r="S144" s="25">
        <f t="shared" ca="1" si="7"/>
        <v>6078361.0915290853</v>
      </c>
    </row>
    <row r="145" spans="1:19" ht="15.75" customHeight="1" x14ac:dyDescent="0.3">
      <c r="A145" s="37">
        <v>55366</v>
      </c>
      <c r="B145" s="398">
        <f t="shared" ref="B145:C145" si="141">($A145-B$9)/365.25</f>
        <v>69.705681040383297</v>
      </c>
      <c r="C145" s="398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3254.2644699519233</v>
      </c>
      <c r="H145" s="25">
        <f>IF(B145&lt;62,0,'Combined Retirement'!$I$14)</f>
        <v>2345</v>
      </c>
      <c r="I145" s="25">
        <f>IF(C145&lt;62,0,'Combined Retirement'!$I$13)</f>
        <v>2420</v>
      </c>
      <c r="J145" s="25">
        <f t="shared" si="3"/>
        <v>7896.2379798201846</v>
      </c>
      <c r="K145" s="25">
        <f t="shared" si="4"/>
        <v>20367.195264578786</v>
      </c>
      <c r="L145" s="25"/>
      <c r="N145" s="25">
        <f>'Combined Retirement'!$C$18/12</f>
        <v>39153.069999999992</v>
      </c>
      <c r="O145" s="25">
        <f t="shared" si="5"/>
        <v>10889.636755601023</v>
      </c>
      <c r="P145" s="25">
        <f t="shared" si="6"/>
        <v>28263.43324439897</v>
      </c>
      <c r="Q145" s="25">
        <f t="array" aca="1" ref="Q145" ca="1">INDEX('Isaac 401k'!L:L,MATCH('Retirement Calculator'!A145,'Isaac 401k'!N:N,0),0)</f>
        <v>1830757.6637768405</v>
      </c>
      <c r="R145" s="25">
        <f t="array" aca="1" ref="R145" ca="1">INDEX('Lorri 401b'!L:L,MATCH('Retirement Calculator'!A145,'Lorri 401b'!N:N,0),0)</f>
        <v>4244548.7347506983</v>
      </c>
      <c r="S145" s="25">
        <f t="shared" ca="1" si="7"/>
        <v>6075306.3985275384</v>
      </c>
    </row>
    <row r="146" spans="1:19" ht="15.75" customHeight="1" x14ac:dyDescent="0.3">
      <c r="A146" s="37">
        <v>55397</v>
      </c>
      <c r="B146" s="398">
        <f t="shared" ref="B146:C146" si="142">($A146-B$9)/365.25</f>
        <v>69.790554414784395</v>
      </c>
      <c r="C146" s="398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3254.2644699519233</v>
      </c>
      <c r="H146" s="25">
        <f>IF(B146&lt;62,0,'Combined Retirement'!$I$14)</f>
        <v>2345</v>
      </c>
      <c r="I146" s="25">
        <f>IF(C146&lt;62,0,'Combined Retirement'!$I$13)</f>
        <v>2420</v>
      </c>
      <c r="J146" s="25">
        <f t="shared" si="3"/>
        <v>7896.2379798201846</v>
      </c>
      <c r="K146" s="25">
        <f t="shared" si="4"/>
        <v>20367.195264578786</v>
      </c>
      <c r="L146" s="25"/>
      <c r="N146" s="25">
        <f>'Combined Retirement'!$C$18/12</f>
        <v>39153.069999999992</v>
      </c>
      <c r="O146" s="25">
        <f t="shared" si="5"/>
        <v>10889.636755601023</v>
      </c>
      <c r="P146" s="25">
        <f t="shared" si="6"/>
        <v>28263.43324439897</v>
      </c>
      <c r="Q146" s="25">
        <f t="array" aca="1" ref="Q146" ca="1">INDEX('Isaac 401k'!L:L,MATCH('Retirement Calculator'!A146,'Isaac 401k'!N:N,0),0)</f>
        <v>1830456.6817378413</v>
      </c>
      <c r="R146" s="25">
        <f t="array" aca="1" ref="R146" ca="1">INDEX('Lorri 401b'!L:L,MATCH('Retirement Calculator'!A146,'Lorri 401b'!N:N,0),0)</f>
        <v>4241782.2959006447</v>
      </c>
      <c r="S146" s="25">
        <f t="shared" ca="1" si="7"/>
        <v>6072238.9776384858</v>
      </c>
    </row>
    <row r="147" spans="1:19" ht="15.75" customHeight="1" x14ac:dyDescent="0.3">
      <c r="A147" s="37">
        <v>55427</v>
      </c>
      <c r="B147" s="398">
        <f t="shared" ref="B147:C147" si="143">($A147-B$9)/365.25</f>
        <v>69.872689938398352</v>
      </c>
      <c r="C147" s="398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3254.2644699519233</v>
      </c>
      <c r="H147" s="25">
        <f>IF(B147&lt;62,0,'Combined Retirement'!$I$14)</f>
        <v>2345</v>
      </c>
      <c r="I147" s="25">
        <f>IF(C147&lt;62,0,'Combined Retirement'!$I$13)</f>
        <v>2420</v>
      </c>
      <c r="J147" s="25">
        <f t="shared" si="3"/>
        <v>7896.2379798201846</v>
      </c>
      <c r="K147" s="25">
        <f t="shared" si="4"/>
        <v>20367.195264578786</v>
      </c>
      <c r="L147" s="25"/>
      <c r="N147" s="25">
        <f>'Combined Retirement'!$C$18/12</f>
        <v>39153.069999999992</v>
      </c>
      <c r="O147" s="25">
        <f t="shared" si="5"/>
        <v>10889.636755601023</v>
      </c>
      <c r="P147" s="25">
        <f t="shared" si="6"/>
        <v>28263.43324439897</v>
      </c>
      <c r="Q147" s="25">
        <f t="array" aca="1" ref="Q147" ca="1">INDEX('Isaac 401k'!L:L,MATCH('Retirement Calculator'!A147,'Isaac 401k'!N:N,0),0)</f>
        <v>1830154.4456070128</v>
      </c>
      <c r="R147" s="25">
        <f t="array" aca="1" ref="R147" ca="1">INDEX('Lorri 401b'!L:L,MATCH('Retirement Calculator'!A147,'Lorri 401b'!N:N,0),0)</f>
        <v>4239004.3302220497</v>
      </c>
      <c r="S147" s="25">
        <f t="shared" ca="1" si="7"/>
        <v>6069158.7758290628</v>
      </c>
    </row>
    <row r="148" spans="1:19" ht="15.75" customHeight="1" x14ac:dyDescent="0.3">
      <c r="A148" s="37">
        <v>55458</v>
      </c>
      <c r="B148" s="398">
        <f t="shared" ref="B148:C148" si="144">($A148-B$9)/365.25</f>
        <v>69.957563312799451</v>
      </c>
      <c r="C148" s="398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3254.2644699519233</v>
      </c>
      <c r="H148" s="25">
        <f>IF(B148&lt;62,0,'Combined Retirement'!$I$14)</f>
        <v>2345</v>
      </c>
      <c r="I148" s="25">
        <f>IF(C148&lt;62,0,'Combined Retirement'!$I$13)</f>
        <v>2420</v>
      </c>
      <c r="J148" s="25">
        <f t="shared" si="3"/>
        <v>7896.2379798201846</v>
      </c>
      <c r="K148" s="25">
        <f t="shared" si="4"/>
        <v>20367.195264578786</v>
      </c>
      <c r="L148" s="25"/>
      <c r="N148" s="25">
        <f>'Combined Retirement'!$C$18/12</f>
        <v>39153.069999999992</v>
      </c>
      <c r="O148" s="25">
        <f t="shared" si="5"/>
        <v>10889.636755601023</v>
      </c>
      <c r="P148" s="25">
        <f t="shared" si="6"/>
        <v>28263.43324439897</v>
      </c>
      <c r="Q148" s="25">
        <f t="array" aca="1" ref="Q148" ca="1">INDEX('Isaac 401k'!L:L,MATCH('Retirement Calculator'!A148,'Isaac 401k'!N:N,0),0)</f>
        <v>1829850.9501589725</v>
      </c>
      <c r="R148" s="25">
        <f t="array" aca="1" ref="R148" ca="1">INDEX('Lorri 401b'!L:L,MATCH('Retirement Calculator'!A148,'Lorri 401b'!N:N,0),0)</f>
        <v>4236214.78968646</v>
      </c>
      <c r="S148" s="25">
        <f t="shared" ca="1" si="7"/>
        <v>6066065.7398454323</v>
      </c>
    </row>
    <row r="149" spans="1:19" ht="15.75" customHeight="1" x14ac:dyDescent="0.3">
      <c r="A149" s="37">
        <v>55488</v>
      </c>
      <c r="B149" s="398">
        <f t="shared" ref="B149:C149" si="145">($A149-B$9)/365.25</f>
        <v>70.039698836413422</v>
      </c>
      <c r="C149" s="398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3254.2644699519233</v>
      </c>
      <c r="H149" s="25">
        <f>IF(B149&lt;62,0,'Combined Retirement'!$I$14)</f>
        <v>2345</v>
      </c>
      <c r="I149" s="25">
        <f>IF(C149&lt;62,0,'Combined Retirement'!$I$13)</f>
        <v>2420</v>
      </c>
      <c r="J149" s="25">
        <f t="shared" si="3"/>
        <v>7896.2379798201846</v>
      </c>
      <c r="K149" s="25">
        <f t="shared" si="4"/>
        <v>20367.195264578786</v>
      </c>
      <c r="L149" s="25"/>
      <c r="N149" s="25">
        <f>'Combined Retirement'!$C$18/12</f>
        <v>39153.069999999992</v>
      </c>
      <c r="O149" s="25">
        <f t="shared" si="5"/>
        <v>10889.636755601023</v>
      </c>
      <c r="P149" s="25">
        <f t="shared" si="6"/>
        <v>28263.43324439897</v>
      </c>
      <c r="Q149" s="25">
        <f t="array" aca="1" ref="Q149" ca="1">INDEX('Isaac 401k'!L:L,MATCH('Retirement Calculator'!A149,'Isaac 401k'!N:N,0),0)</f>
        <v>1829546.1901465654</v>
      </c>
      <c r="R149" s="25">
        <f t="array" aca="1" ref="R149" ca="1">INDEX('Lorri 401b'!L:L,MATCH('Retirement Calculator'!A149,'Lorri 401b'!N:N,0),0)</f>
        <v>4233413.6260653054</v>
      </c>
      <c r="S149" s="25">
        <f t="shared" ca="1" si="7"/>
        <v>6062959.8162118709</v>
      </c>
    </row>
    <row r="150" spans="1:19" ht="15.75" customHeight="1" x14ac:dyDescent="0.3">
      <c r="A150" s="37">
        <v>55519</v>
      </c>
      <c r="B150" s="398">
        <f t="shared" ref="B150:C150" si="146">($A150-B$9)/365.25</f>
        <v>70.124572210814506</v>
      </c>
      <c r="C150" s="398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3254.2644699519233</v>
      </c>
      <c r="H150" s="25">
        <f>IF(B150&lt;62,0,'Combined Retirement'!$I$14)</f>
        <v>2345</v>
      </c>
      <c r="I150" s="25">
        <f>IF(C150&lt;62,0,'Combined Retirement'!$I$13)</f>
        <v>2420</v>
      </c>
      <c r="J150" s="25">
        <f t="shared" si="3"/>
        <v>7896.2379798201846</v>
      </c>
      <c r="K150" s="25">
        <f t="shared" si="4"/>
        <v>20367.195264578786</v>
      </c>
      <c r="L150" s="25"/>
      <c r="N150" s="25">
        <f>'Combined Retirement'!$C$18/12</f>
        <v>39153.069999999992</v>
      </c>
      <c r="O150" s="25">
        <f t="shared" si="5"/>
        <v>10889.636755601023</v>
      </c>
      <c r="P150" s="25">
        <f t="shared" si="6"/>
        <v>28263.43324439897</v>
      </c>
      <c r="Q150" s="25">
        <f t="array" aca="1" ref="Q150" ca="1">INDEX('Isaac 401k'!L:L,MATCH('Retirement Calculator'!A150,'Isaac 401k'!N:N,0),0)</f>
        <v>1829240.1603007733</v>
      </c>
      <c r="R150" s="25">
        <f t="array" aca="1" ref="R150" ca="1">INDEX('Lorri 401b'!L:L,MATCH('Retirement Calculator'!A150,'Lorri 401b'!N:N,0),0)</f>
        <v>4230600.7909290632</v>
      </c>
      <c r="S150" s="25">
        <f t="shared" ca="1" si="7"/>
        <v>6059840.9512298368</v>
      </c>
    </row>
    <row r="151" spans="1:19" ht="15.75" customHeight="1" x14ac:dyDescent="0.3">
      <c r="A151" s="37">
        <v>55550</v>
      </c>
      <c r="B151" s="398">
        <f t="shared" ref="B151:C151" si="147">($A151-B$9)/365.25</f>
        <v>70.209445585215605</v>
      </c>
      <c r="C151" s="398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3254.2644699519233</v>
      </c>
      <c r="H151" s="25">
        <f>IF(B151&lt;62,0,'Combined Retirement'!$I$14)</f>
        <v>2345</v>
      </c>
      <c r="I151" s="25">
        <f>IF(C151&lt;62,0,'Combined Retirement'!$I$13)</f>
        <v>2420</v>
      </c>
      <c r="J151" s="25">
        <f t="shared" si="3"/>
        <v>7896.2379798201846</v>
      </c>
      <c r="K151" s="25">
        <f t="shared" si="4"/>
        <v>20367.195264578786</v>
      </c>
      <c r="L151" s="25"/>
      <c r="N151" s="25">
        <f>'Combined Retirement'!$C$18/12</f>
        <v>39153.069999999992</v>
      </c>
      <c r="O151" s="25">
        <f t="shared" si="5"/>
        <v>10889.636755601023</v>
      </c>
      <c r="P151" s="25">
        <f t="shared" si="6"/>
        <v>28263.43324439897</v>
      </c>
      <c r="Q151" s="25">
        <f t="array" aca="1" ref="Q151" ca="1">INDEX('Isaac 401k'!L:L,MATCH('Retirement Calculator'!A151,'Isaac 401k'!N:N,0),0)</f>
        <v>1828932.8553306237</v>
      </c>
      <c r="R151" s="25">
        <f t="array" aca="1" ref="R151" ca="1">INDEX('Lorri 401b'!L:L,MATCH('Retirement Calculator'!A151,'Lorri 401b'!N:N,0),0)</f>
        <v>4227776.2356464202</v>
      </c>
      <c r="S151" s="25">
        <f t="shared" ca="1" si="7"/>
        <v>6056709.0909770438</v>
      </c>
    </row>
    <row r="152" spans="1:19" ht="15.75" customHeight="1" x14ac:dyDescent="0.3">
      <c r="A152" s="37">
        <v>55579</v>
      </c>
      <c r="B152" s="398">
        <f t="shared" ref="B152:C152" si="148">($A152-B$9)/365.25</f>
        <v>70.288843258042434</v>
      </c>
      <c r="C152" s="398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3254.2644699519233</v>
      </c>
      <c r="H152" s="25">
        <f>IF(B152&lt;62,0,'Combined Retirement'!$I$14)</f>
        <v>2345</v>
      </c>
      <c r="I152" s="25">
        <f>IF(C152&lt;62,0,'Combined Retirement'!$I$13)</f>
        <v>2420</v>
      </c>
      <c r="J152" s="25">
        <f t="shared" si="3"/>
        <v>7896.2379798201846</v>
      </c>
      <c r="K152" s="25">
        <f t="shared" si="4"/>
        <v>20367.195264578786</v>
      </c>
      <c r="L152" s="25"/>
      <c r="N152" s="25">
        <f>'Combined Retirement'!$C$18/12</f>
        <v>39153.069999999992</v>
      </c>
      <c r="O152" s="25">
        <f t="shared" si="5"/>
        <v>10889.636755601023</v>
      </c>
      <c r="P152" s="25">
        <f t="shared" si="6"/>
        <v>28263.43324439897</v>
      </c>
      <c r="Q152" s="25">
        <f t="array" aca="1" ref="Q152" ca="1">INDEX('Isaac 401k'!L:L,MATCH('Retirement Calculator'!A152,'Isaac 401k'!N:N,0),0)</f>
        <v>1828624.2699230984</v>
      </c>
      <c r="R152" s="25">
        <f t="array" aca="1" ref="R152" ca="1">INDEX('Lorri 401b'!L:L,MATCH('Retirement Calculator'!A152,'Lorri 401b'!N:N,0),0)</f>
        <v>4224939.9113834323</v>
      </c>
      <c r="S152" s="25">
        <f t="shared" ca="1" si="7"/>
        <v>6053564.1813065307</v>
      </c>
    </row>
    <row r="153" spans="1:19" ht="15.75" customHeight="1" x14ac:dyDescent="0.3">
      <c r="A153" s="37">
        <v>55610</v>
      </c>
      <c r="B153" s="398">
        <f t="shared" ref="B153:C153" si="149">($A153-B$9)/365.25</f>
        <v>70.373716632443532</v>
      </c>
      <c r="C153" s="398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3254.2644699519233</v>
      </c>
      <c r="H153" s="25">
        <f>IF(B153&lt;62,0,'Combined Retirement'!$I$14)</f>
        <v>2345</v>
      </c>
      <c r="I153" s="25">
        <f>IF(C153&lt;62,0,'Combined Retirement'!$I$13)</f>
        <v>2420</v>
      </c>
      <c r="J153" s="25">
        <f t="shared" si="3"/>
        <v>7896.2379798201846</v>
      </c>
      <c r="K153" s="25">
        <f t="shared" si="4"/>
        <v>20367.195264578786</v>
      </c>
      <c r="L153" s="25"/>
      <c r="N153" s="25">
        <f>'Combined Retirement'!$C$18/12</f>
        <v>39153.069999999992</v>
      </c>
      <c r="O153" s="25">
        <f t="shared" si="5"/>
        <v>10889.636755601023</v>
      </c>
      <c r="P153" s="25">
        <f t="shared" si="6"/>
        <v>28263.43324439897</v>
      </c>
      <c r="Q153" s="25">
        <f t="array" aca="1" ref="Q153" ca="1">INDEX('Isaac 401k'!L:L,MATCH('Retirement Calculator'!A153,'Isaac 401k'!N:N,0),0)</f>
        <v>1828314.3987430418</v>
      </c>
      <c r="R153" s="25">
        <f t="array" aca="1" ref="R153" ca="1">INDEX('Lorri 401b'!L:L,MATCH('Retirement Calculator'!A153,'Lorri 401b'!N:N,0),0)</f>
        <v>4222091.7691026824</v>
      </c>
      <c r="S153" s="25">
        <f t="shared" ca="1" si="7"/>
        <v>6050406.1678457242</v>
      </c>
    </row>
    <row r="154" spans="1:19" ht="15.75" customHeight="1" x14ac:dyDescent="0.3">
      <c r="A154" s="37">
        <v>55640</v>
      </c>
      <c r="B154" s="398">
        <f t="shared" ref="B154:C154" si="150">($A154-B$9)/365.25</f>
        <v>70.455852156057489</v>
      </c>
      <c r="C154" s="398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3254.2644699519233</v>
      </c>
      <c r="H154" s="25">
        <f>IF(B154&lt;62,0,'Combined Retirement'!$I$14)</f>
        <v>2345</v>
      </c>
      <c r="I154" s="25">
        <f>IF(C154&lt;62,0,'Combined Retirement'!$I$13)</f>
        <v>2420</v>
      </c>
      <c r="J154" s="25">
        <f t="shared" si="3"/>
        <v>7896.2379798201846</v>
      </c>
      <c r="K154" s="25">
        <f t="shared" si="4"/>
        <v>20367.195264578786</v>
      </c>
      <c r="L154" s="25"/>
      <c r="N154" s="25">
        <f>'Combined Retirement'!$C$18/12</f>
        <v>39153.069999999992</v>
      </c>
      <c r="O154" s="25">
        <f t="shared" si="5"/>
        <v>10889.636755601023</v>
      </c>
      <c r="P154" s="25">
        <f t="shared" si="6"/>
        <v>28263.43324439897</v>
      </c>
      <c r="Q154" s="25">
        <f t="array" aca="1" ref="Q154" ca="1">INDEX('Isaac 401k'!L:L,MATCH('Retirement Calculator'!A154,'Isaac 401k'!N:N,0),0)</f>
        <v>1828003.2364330683</v>
      </c>
      <c r="R154" s="25">
        <f t="array" aca="1" ref="R154" ca="1">INDEX('Lorri 401b'!L:L,MATCH('Retirement Calculator'!A154,'Lorri 401b'!N:N,0),0)</f>
        <v>4219231.759562429</v>
      </c>
      <c r="S154" s="25">
        <f t="shared" ca="1" si="7"/>
        <v>6047234.9959954973</v>
      </c>
    </row>
    <row r="155" spans="1:19" ht="15.75" customHeight="1" x14ac:dyDescent="0.3">
      <c r="A155" s="37">
        <v>55671</v>
      </c>
      <c r="B155" s="398">
        <f t="shared" ref="B155:C155" si="151">($A155-B$9)/365.25</f>
        <v>70.540725530458587</v>
      </c>
      <c r="C155" s="398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3254.2644699519233</v>
      </c>
      <c r="H155" s="25">
        <f>IF(B155&lt;62,0,'Combined Retirement'!$I$14)</f>
        <v>2345</v>
      </c>
      <c r="I155" s="25">
        <f>IF(C155&lt;62,0,'Combined Retirement'!$I$13)</f>
        <v>2420</v>
      </c>
      <c r="J155" s="25">
        <f t="shared" si="3"/>
        <v>7896.2379798201846</v>
      </c>
      <c r="K155" s="25">
        <f t="shared" si="4"/>
        <v>20367.195264578786</v>
      </c>
      <c r="L155" s="25"/>
      <c r="N155" s="25">
        <f>'Combined Retirement'!$C$18/12</f>
        <v>39153.069999999992</v>
      </c>
      <c r="O155" s="25">
        <f t="shared" si="5"/>
        <v>10889.636755601023</v>
      </c>
      <c r="P155" s="25">
        <f t="shared" si="6"/>
        <v>28263.43324439897</v>
      </c>
      <c r="Q155" s="25">
        <f t="array" aca="1" ref="Q155" ca="1">INDEX('Isaac 401k'!L:L,MATCH('Retirement Calculator'!A155,'Isaac 401k'!N:N,0),0)</f>
        <v>1827690.7776134699</v>
      </c>
      <c r="R155" s="25">
        <f t="array" aca="1" ref="R155" ca="1">INDEX('Lorri 401b'!L:L,MATCH('Retirement Calculator'!A155,'Lorri 401b'!N:N,0),0)</f>
        <v>4216359.833315758</v>
      </c>
      <c r="S155" s="25">
        <f t="shared" ca="1" si="7"/>
        <v>6044050.6109292284</v>
      </c>
    </row>
    <row r="156" spans="1:19" ht="15.75" customHeight="1" x14ac:dyDescent="0.3">
      <c r="A156" s="37">
        <v>55701</v>
      </c>
      <c r="B156" s="398">
        <f t="shared" ref="B156:C156" si="152">($A156-B$9)/365.25</f>
        <v>70.622861054072558</v>
      </c>
      <c r="C156" s="398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3254.2644699519233</v>
      </c>
      <c r="H156" s="25">
        <f>IF(B156&lt;62,0,'Combined Retirement'!$I$14)</f>
        <v>2345</v>
      </c>
      <c r="I156" s="25">
        <f>IF(C156&lt;62,0,'Combined Retirement'!$I$13)</f>
        <v>2420</v>
      </c>
      <c r="J156" s="25">
        <f t="shared" si="3"/>
        <v>7896.2379798201846</v>
      </c>
      <c r="K156" s="25">
        <f t="shared" si="4"/>
        <v>20367.195264578786</v>
      </c>
      <c r="L156" s="25"/>
      <c r="N156" s="25">
        <f>'Combined Retirement'!$C$18/12</f>
        <v>39153.069999999992</v>
      </c>
      <c r="O156" s="25">
        <f t="shared" si="5"/>
        <v>10889.636755601023</v>
      </c>
      <c r="P156" s="25">
        <f t="shared" si="6"/>
        <v>28263.43324439897</v>
      </c>
      <c r="Q156" s="25">
        <f t="array" aca="1" ref="Q156" ca="1">INDEX('Isaac 401k'!L:L,MATCH('Retirement Calculator'!A156,'Isaac 401k'!N:N,0),0)</f>
        <v>1827377.0168821232</v>
      </c>
      <c r="R156" s="25">
        <f t="array" aca="1" ref="R156" ca="1">INDEX('Lorri 401b'!L:L,MATCH('Retirement Calculator'!A156,'Lorri 401b'!N:N,0),0)</f>
        <v>4213475.940709726</v>
      </c>
      <c r="S156" s="25">
        <f t="shared" ca="1" si="7"/>
        <v>6040852.9575918494</v>
      </c>
    </row>
    <row r="157" spans="1:19" ht="15.75" customHeight="1" x14ac:dyDescent="0.3">
      <c r="A157" s="37">
        <v>55732</v>
      </c>
      <c r="B157" s="398">
        <f t="shared" ref="B157:C157" si="153">($A157-B$9)/365.25</f>
        <v>70.707734428473643</v>
      </c>
      <c r="C157" s="398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3254.2644699519233</v>
      </c>
      <c r="H157" s="25">
        <f>IF(B157&lt;62,0,'Combined Retirement'!$I$14)</f>
        <v>2345</v>
      </c>
      <c r="I157" s="25">
        <f>IF(C157&lt;62,0,'Combined Retirement'!$I$13)</f>
        <v>2420</v>
      </c>
      <c r="J157" s="25">
        <f t="shared" si="3"/>
        <v>7896.2379798201846</v>
      </c>
      <c r="K157" s="25">
        <f t="shared" si="4"/>
        <v>20367.195264578786</v>
      </c>
      <c r="L157" s="25"/>
      <c r="N157" s="25">
        <f>'Combined Retirement'!$C$18/12</f>
        <v>39153.069999999992</v>
      </c>
      <c r="O157" s="25">
        <f t="shared" si="5"/>
        <v>10889.636755601023</v>
      </c>
      <c r="P157" s="25">
        <f t="shared" si="6"/>
        <v>28263.43324439897</v>
      </c>
      <c r="Q157" s="25">
        <f t="array" aca="1" ref="Q157" ca="1">INDEX('Isaac 401k'!L:L,MATCH('Retirement Calculator'!A157,'Isaac 401k'!N:N,0),0)</f>
        <v>1827061.9488143958</v>
      </c>
      <c r="R157" s="25">
        <f t="array" aca="1" ref="R157" ca="1">INDEX('Lorri 401b'!L:L,MATCH('Retirement Calculator'!A157,'Lorri 401b'!N:N,0),0)</f>
        <v>4210580.0318845017</v>
      </c>
      <c r="S157" s="25">
        <f t="shared" ca="1" si="7"/>
        <v>6037641.9806988975</v>
      </c>
    </row>
    <row r="158" spans="1:19" ht="15.75" customHeight="1" x14ac:dyDescent="0.3">
      <c r="A158" s="37">
        <v>55763</v>
      </c>
      <c r="B158" s="398">
        <f t="shared" ref="B158:C158" si="154">($A158-B$9)/365.25</f>
        <v>70.792607802874741</v>
      </c>
      <c r="C158" s="398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3254.2644699519233</v>
      </c>
      <c r="H158" s="25">
        <f>IF(B158&lt;62,0,'Combined Retirement'!$I$14)</f>
        <v>2345</v>
      </c>
      <c r="I158" s="25">
        <f>IF(C158&lt;62,0,'Combined Retirement'!$I$13)</f>
        <v>2420</v>
      </c>
      <c r="J158" s="25">
        <f t="shared" si="3"/>
        <v>7896.2379798201846</v>
      </c>
      <c r="K158" s="25">
        <f t="shared" si="4"/>
        <v>20367.195264578786</v>
      </c>
      <c r="L158" s="25"/>
      <c r="N158" s="25">
        <f>'Combined Retirement'!$C$18/12</f>
        <v>39153.069999999992</v>
      </c>
      <c r="O158" s="25">
        <f t="shared" si="5"/>
        <v>10889.636755601023</v>
      </c>
      <c r="P158" s="25">
        <f t="shared" si="6"/>
        <v>28263.43324439897</v>
      </c>
      <c r="Q158" s="25">
        <f t="array" aca="1" ref="Q158" ca="1">INDEX('Isaac 401k'!L:L,MATCH('Retirement Calculator'!A158,'Isaac 401k'!N:N,0),0)</f>
        <v>1826745.567963053</v>
      </c>
      <c r="R158" s="25">
        <f t="array" aca="1" ref="R158" ca="1">INDEX('Lorri 401b'!L:L,MATCH('Retirement Calculator'!A158,'Lorri 401b'!N:N,0),0)</f>
        <v>4207672.0567725059</v>
      </c>
      <c r="S158" s="25">
        <f t="shared" ca="1" si="7"/>
        <v>6034417.6247355584</v>
      </c>
    </row>
    <row r="159" spans="1:19" ht="15.75" customHeight="1" x14ac:dyDescent="0.3">
      <c r="A159" s="37">
        <v>55793</v>
      </c>
      <c r="B159" s="398">
        <f t="shared" ref="B159:C159" si="155">($A159-B$9)/365.25</f>
        <v>70.874743326488712</v>
      </c>
      <c r="C159" s="398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3254.2644699519233</v>
      </c>
      <c r="H159" s="25">
        <f>IF(B159&lt;62,0,'Combined Retirement'!$I$14)</f>
        <v>2345</v>
      </c>
      <c r="I159" s="25">
        <f>IF(C159&lt;62,0,'Combined Retirement'!$I$13)</f>
        <v>2420</v>
      </c>
      <c r="J159" s="25">
        <f t="shared" si="3"/>
        <v>7896.2379798201846</v>
      </c>
      <c r="K159" s="25">
        <f t="shared" si="4"/>
        <v>20367.195264578786</v>
      </c>
      <c r="L159" s="25"/>
      <c r="N159" s="25">
        <f>'Combined Retirement'!$C$18/12</f>
        <v>39153.069999999992</v>
      </c>
      <c r="O159" s="25">
        <f t="shared" si="5"/>
        <v>10889.636755601023</v>
      </c>
      <c r="P159" s="25">
        <f t="shared" si="6"/>
        <v>28263.43324439897</v>
      </c>
      <c r="Q159" s="25">
        <f t="array" aca="1" ref="Q159" ca="1">INDEX('Isaac 401k'!L:L,MATCH('Retirement Calculator'!A159,'Isaac 401k'!N:N,0),0)</f>
        <v>1826427.868858163</v>
      </c>
      <c r="R159" s="25">
        <f t="array" aca="1" ref="R159" ca="1">INDEX('Lorri 401b'!L:L,MATCH('Retirement Calculator'!A159,'Lorri 401b'!N:N,0),0)</f>
        <v>4204751.9650975438</v>
      </c>
      <c r="S159" s="25">
        <f t="shared" ca="1" si="7"/>
        <v>6031179.833955707</v>
      </c>
    </row>
    <row r="160" spans="1:19" ht="15.75" customHeight="1" x14ac:dyDescent="0.3">
      <c r="A160" s="37">
        <v>55824</v>
      </c>
      <c r="B160" s="398">
        <f t="shared" ref="B160:C160" si="156">($A160-B$9)/365.25</f>
        <v>70.959616700889796</v>
      </c>
      <c r="C160" s="398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3254.2644699519233</v>
      </c>
      <c r="H160" s="25">
        <f>IF(B160&lt;62,0,'Combined Retirement'!$I$14)</f>
        <v>2345</v>
      </c>
      <c r="I160" s="25">
        <f>IF(C160&lt;62,0,'Combined Retirement'!$I$13)</f>
        <v>2420</v>
      </c>
      <c r="J160" s="25">
        <f t="shared" si="3"/>
        <v>7896.2379798201846</v>
      </c>
      <c r="K160" s="25">
        <f t="shared" si="4"/>
        <v>20367.195264578786</v>
      </c>
      <c r="L160" s="25"/>
      <c r="N160" s="25">
        <f>'Combined Retirement'!$C$18/12</f>
        <v>39153.069999999992</v>
      </c>
      <c r="O160" s="25">
        <f t="shared" si="5"/>
        <v>10889.636755601023</v>
      </c>
      <c r="P160" s="25">
        <f t="shared" si="6"/>
        <v>28263.43324439897</v>
      </c>
      <c r="Q160" s="25">
        <f t="array" aca="1" ref="Q160" ca="1">INDEX('Isaac 401k'!L:L,MATCH('Retirement Calculator'!A160,'Isaac 401k'!N:N,0),0)</f>
        <v>1826108.8460070025</v>
      </c>
      <c r="R160" s="25">
        <f t="array" aca="1" ref="R160" ca="1">INDEX('Lorri 401b'!L:L,MATCH('Retirement Calculator'!A160,'Lorri 401b'!N:N,0),0)</f>
        <v>4201819.7063739356</v>
      </c>
      <c r="S160" s="25">
        <f t="shared" ca="1" si="7"/>
        <v>6027928.5523809381</v>
      </c>
    </row>
    <row r="161" spans="1:19" ht="15.75" customHeight="1" x14ac:dyDescent="0.3">
      <c r="A161" s="37">
        <v>55854</v>
      </c>
      <c r="B161" s="398">
        <f t="shared" ref="B161:C161" si="157">($A161-B$9)/365.25</f>
        <v>71.041752224503767</v>
      </c>
      <c r="C161" s="398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3254.2644699519233</v>
      </c>
      <c r="H161" s="25">
        <f>IF(B161&lt;62,0,'Combined Retirement'!$I$14)</f>
        <v>2345</v>
      </c>
      <c r="I161" s="25">
        <f>IF(C161&lt;62,0,'Combined Retirement'!$I$13)</f>
        <v>2420</v>
      </c>
      <c r="J161" s="25">
        <f t="shared" si="3"/>
        <v>7896.2379798201846</v>
      </c>
      <c r="K161" s="25">
        <f t="shared" si="4"/>
        <v>20367.195264578786</v>
      </c>
      <c r="L161" s="25"/>
      <c r="N161" s="25">
        <f>'Combined Retirement'!$C$18/12</f>
        <v>39153.069999999992</v>
      </c>
      <c r="O161" s="25">
        <f t="shared" si="5"/>
        <v>10889.636755601023</v>
      </c>
      <c r="P161" s="25">
        <f t="shared" si="6"/>
        <v>28263.43324439897</v>
      </c>
      <c r="Q161" s="25">
        <f t="array" aca="1" ref="Q161" ca="1">INDEX('Isaac 401k'!L:L,MATCH('Retirement Calculator'!A161,'Isaac 401k'!N:N,0),0)</f>
        <v>1825788.4938939621</v>
      </c>
      <c r="R161" s="25">
        <f t="array" aca="1" ref="R161" ca="1">INDEX('Lorri 401b'!L:L,MATCH('Retirement Calculator'!A161,'Lorri 401b'!N:N,0),0)</f>
        <v>4198875.2299056454</v>
      </c>
      <c r="S161" s="25">
        <f t="shared" ca="1" si="7"/>
        <v>6024663.7237996077</v>
      </c>
    </row>
    <row r="162" spans="1:19" ht="15.75" customHeight="1" x14ac:dyDescent="0.3">
      <c r="A162" s="37">
        <v>55885</v>
      </c>
      <c r="B162" s="398">
        <f t="shared" ref="B162:C162" si="158">($A162-B$9)/365.25</f>
        <v>71.126625598904866</v>
      </c>
      <c r="C162" s="398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3254.2644699519233</v>
      </c>
      <c r="H162" s="25">
        <f>IF(B162&lt;62,0,'Combined Retirement'!$I$14)</f>
        <v>2345</v>
      </c>
      <c r="I162" s="25">
        <f>IF(C162&lt;62,0,'Combined Retirement'!$I$13)</f>
        <v>2420</v>
      </c>
      <c r="J162" s="25">
        <f t="shared" si="3"/>
        <v>7896.2379798201846</v>
      </c>
      <c r="K162" s="25">
        <f t="shared" si="4"/>
        <v>20367.195264578786</v>
      </c>
      <c r="L162" s="25"/>
      <c r="N162" s="25">
        <f>'Combined Retirement'!$C$18/12</f>
        <v>39153.069999999992</v>
      </c>
      <c r="O162" s="25">
        <f t="shared" si="5"/>
        <v>10889.636755601023</v>
      </c>
      <c r="P162" s="25">
        <f t="shared" si="6"/>
        <v>28263.43324439897</v>
      </c>
      <c r="Q162" s="25">
        <f t="array" aca="1" ref="Q162" ca="1">INDEX('Isaac 401k'!L:L,MATCH('Retirement Calculator'!A162,'Isaac 401k'!N:N,0),0)</f>
        <v>1825466.8069804509</v>
      </c>
      <c r="R162" s="25">
        <f t="array" aca="1" ref="R162" ca="1">INDEX('Lorri 401b'!L:L,MATCH('Retirement Calculator'!A162,'Lorri 401b'!N:N,0),0)</f>
        <v>4195918.4847854041</v>
      </c>
      <c r="S162" s="25">
        <f t="shared" ca="1" si="7"/>
        <v>6021385.2917658547</v>
      </c>
    </row>
    <row r="163" spans="1:19" ht="15.75" customHeight="1" x14ac:dyDescent="0.3">
      <c r="A163" s="37">
        <v>55916</v>
      </c>
      <c r="B163" s="398">
        <f t="shared" ref="B163:C163" si="159">($A163-B$9)/365.25</f>
        <v>71.21149897330595</v>
      </c>
      <c r="C163" s="398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3254.2644699519233</v>
      </c>
      <c r="H163" s="25">
        <f>IF(B163&lt;62,0,'Combined Retirement'!$I$14)</f>
        <v>2345</v>
      </c>
      <c r="I163" s="25">
        <f>IF(C163&lt;62,0,'Combined Retirement'!$I$13)</f>
        <v>2420</v>
      </c>
      <c r="J163" s="25">
        <f t="shared" si="3"/>
        <v>7896.2379798201846</v>
      </c>
      <c r="K163" s="25">
        <f t="shared" si="4"/>
        <v>20367.195264578786</v>
      </c>
      <c r="L163" s="25"/>
      <c r="N163" s="25">
        <f>'Combined Retirement'!$C$18/12</f>
        <v>39153.069999999992</v>
      </c>
      <c r="O163" s="25">
        <f t="shared" si="5"/>
        <v>10889.636755601023</v>
      </c>
      <c r="P163" s="25">
        <f t="shared" si="6"/>
        <v>28263.43324439897</v>
      </c>
      <c r="Q163" s="25">
        <f t="array" aca="1" ref="Q163" ca="1">INDEX('Isaac 401k'!L:L,MATCH('Retirement Calculator'!A163,'Isaac 401k'!N:N,0),0)</f>
        <v>1825143.7797047999</v>
      </c>
      <c r="R163" s="25">
        <f t="array" aca="1" ref="R163" ca="1">INDEX('Lorri 401b'!L:L,MATCH('Retirement Calculator'!A163,'Lorri 401b'!N:N,0),0)</f>
        <v>4192949.4198938287</v>
      </c>
      <c r="S163" s="25">
        <f t="shared" ca="1" si="7"/>
        <v>6018093.199598629</v>
      </c>
    </row>
    <row r="164" spans="1:19" ht="15.75" customHeight="1" x14ac:dyDescent="0.3">
      <c r="A164" s="37">
        <v>55944</v>
      </c>
      <c r="B164" s="398">
        <f t="shared" ref="B164:C164" si="160">($A164-B$9)/365.25</f>
        <v>71.288158795345652</v>
      </c>
      <c r="C164" s="398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3254.2644699519233</v>
      </c>
      <c r="H164" s="25">
        <f>IF(B164&lt;62,0,'Combined Retirement'!$I$14)</f>
        <v>2345</v>
      </c>
      <c r="I164" s="25">
        <f>IF(C164&lt;62,0,'Combined Retirement'!$I$13)</f>
        <v>2420</v>
      </c>
      <c r="J164" s="25">
        <f t="shared" si="3"/>
        <v>7896.2379798201846</v>
      </c>
      <c r="K164" s="25">
        <f t="shared" si="4"/>
        <v>20367.195264578786</v>
      </c>
      <c r="L164" s="25"/>
      <c r="N164" s="25">
        <f>'Combined Retirement'!$C$18/12</f>
        <v>39153.069999999992</v>
      </c>
      <c r="O164" s="25">
        <f t="shared" si="5"/>
        <v>10889.636755601023</v>
      </c>
      <c r="P164" s="25">
        <f t="shared" si="6"/>
        <v>28263.43324439897</v>
      </c>
      <c r="Q164" s="25">
        <f t="array" aca="1" ref="Q164" ca="1">INDEX('Isaac 401k'!L:L,MATCH('Retirement Calculator'!A164,'Isaac 401k'!N:N,0),0)</f>
        <v>1824819.4064821671</v>
      </c>
      <c r="R164" s="25">
        <f t="array" aca="1" ref="R164" ca="1">INDEX('Lorri 401b'!L:L,MATCH('Retirement Calculator'!A164,'Lorri 401b'!N:N,0),0)</f>
        <v>4189967.9838985386</v>
      </c>
      <c r="S164" s="25">
        <f t="shared" ca="1" si="7"/>
        <v>6014787.3903807057</v>
      </c>
    </row>
    <row r="165" spans="1:19" ht="15.75" customHeight="1" x14ac:dyDescent="0.3">
      <c r="A165" s="37">
        <v>55975</v>
      </c>
      <c r="B165" s="398">
        <f t="shared" ref="B165:C165" si="161">($A165-B$9)/365.25</f>
        <v>71.37303216974675</v>
      </c>
      <c r="C165" s="398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3254.2644699519233</v>
      </c>
      <c r="H165" s="25">
        <f>IF(B165&lt;62,0,'Combined Retirement'!$I$14)</f>
        <v>2345</v>
      </c>
      <c r="I165" s="25">
        <f>IF(C165&lt;62,0,'Combined Retirement'!$I$13)</f>
        <v>2420</v>
      </c>
      <c r="J165" s="25">
        <f t="shared" si="3"/>
        <v>7896.2379798201846</v>
      </c>
      <c r="K165" s="25">
        <f t="shared" si="4"/>
        <v>20367.195264578786</v>
      </c>
      <c r="L165" s="25"/>
      <c r="N165" s="25">
        <f>'Combined Retirement'!$C$18/12</f>
        <v>39153.069999999992</v>
      </c>
      <c r="O165" s="25">
        <f t="shared" si="5"/>
        <v>10889.636755601023</v>
      </c>
      <c r="P165" s="25">
        <f t="shared" si="6"/>
        <v>28263.43324439897</v>
      </c>
      <c r="Q165" s="25">
        <f t="array" aca="1" ref="Q165" ca="1">INDEX('Isaac 401k'!L:L,MATCH('Retirement Calculator'!A165,'Isaac 401k'!N:N,0),0)</f>
        <v>1824493.6817044399</v>
      </c>
      <c r="R165" s="25">
        <f t="array" aca="1" ref="R165" ca="1">INDEX('Lorri 401b'!L:L,MATCH('Retirement Calculator'!A165,'Lorri 401b'!N:N,0),0)</f>
        <v>4186974.1252532681</v>
      </c>
      <c r="S165" s="25">
        <f t="shared" ca="1" si="7"/>
        <v>6011467.8069577077</v>
      </c>
    </row>
    <row r="166" spans="1:19" ht="15.75" customHeight="1" x14ac:dyDescent="0.3">
      <c r="A166" s="37">
        <v>56005</v>
      </c>
      <c r="B166" s="398">
        <f t="shared" ref="B166:C166" si="162">($A166-B$9)/365.25</f>
        <v>71.455167693360707</v>
      </c>
      <c r="C166" s="398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3254.2644699519233</v>
      </c>
      <c r="H166" s="25">
        <f>IF(B166&lt;62,0,'Combined Retirement'!$I$14)</f>
        <v>2345</v>
      </c>
      <c r="I166" s="25">
        <f>IF(C166&lt;62,0,'Combined Retirement'!$I$13)</f>
        <v>2420</v>
      </c>
      <c r="J166" s="25">
        <f t="shared" si="3"/>
        <v>7896.2379798201846</v>
      </c>
      <c r="K166" s="25">
        <f t="shared" si="4"/>
        <v>20367.195264578786</v>
      </c>
      <c r="L166" s="25"/>
      <c r="N166" s="25">
        <f>'Combined Retirement'!$C$18/12</f>
        <v>39153.069999999992</v>
      </c>
      <c r="O166" s="25">
        <f t="shared" si="5"/>
        <v>10889.636755601023</v>
      </c>
      <c r="P166" s="25">
        <f t="shared" si="6"/>
        <v>28263.43324439897</v>
      </c>
      <c r="Q166" s="25">
        <f t="array" aca="1" ref="Q166" ca="1">INDEX('Isaac 401k'!L:L,MATCH('Retirement Calculator'!A166,'Isaac 401k'!N:N,0),0)</f>
        <v>1824166.599740139</v>
      </c>
      <c r="R166" s="25">
        <f t="array" aca="1" ref="R166" ca="1">INDEX('Lorri 401b'!L:L,MATCH('Retirement Calculator'!A166,'Lorri 401b'!N:N,0),0)</f>
        <v>4183967.7921969756</v>
      </c>
      <c r="S166" s="25">
        <f t="shared" ca="1" si="7"/>
        <v>6008134.3919371143</v>
      </c>
    </row>
    <row r="167" spans="1:19" ht="15.75" customHeight="1" x14ac:dyDescent="0.3">
      <c r="A167" s="37">
        <v>56036</v>
      </c>
      <c r="B167" s="398">
        <f t="shared" ref="B167:C167" si="163">($A167-B$9)/365.25</f>
        <v>71.540041067761805</v>
      </c>
      <c r="C167" s="398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3254.2644699519233</v>
      </c>
      <c r="H167" s="25">
        <f>IF(B167&lt;62,0,'Combined Retirement'!$I$14)</f>
        <v>2345</v>
      </c>
      <c r="I167" s="25">
        <f>IF(C167&lt;62,0,'Combined Retirement'!$I$13)</f>
        <v>2420</v>
      </c>
      <c r="J167" s="25">
        <f t="shared" si="3"/>
        <v>7896.2379798201846</v>
      </c>
      <c r="K167" s="25">
        <f t="shared" si="4"/>
        <v>20367.195264578786</v>
      </c>
      <c r="L167" s="25"/>
      <c r="N167" s="25">
        <f>'Combined Retirement'!$C$18/12</f>
        <v>39153.069999999992</v>
      </c>
      <c r="O167" s="25">
        <f t="shared" si="5"/>
        <v>10889.636755601023</v>
      </c>
      <c r="P167" s="25">
        <f t="shared" si="6"/>
        <v>28263.43324439897</v>
      </c>
      <c r="Q167" s="25">
        <f t="array" aca="1" ref="Q167" ca="1">INDEX('Isaac 401k'!L:L,MATCH('Retirement Calculator'!A167,'Isaac 401k'!N:N,0),0)</f>
        <v>1823838.1549343201</v>
      </c>
      <c r="R167" s="25">
        <f t="array" aca="1" ref="R167" ca="1">INDEX('Lorri 401b'!L:L,MATCH('Retirement Calculator'!A167,'Lorri 401b'!N:N,0),0)</f>
        <v>4180948.9327529483</v>
      </c>
      <c r="S167" s="25">
        <f t="shared" ca="1" si="7"/>
        <v>6004787.0876872689</v>
      </c>
    </row>
    <row r="168" spans="1:19" ht="15.75" customHeight="1" x14ac:dyDescent="0.3">
      <c r="A168" s="37">
        <v>56066</v>
      </c>
      <c r="B168" s="398">
        <f t="shared" ref="B168:C168" si="164">($A168-B$9)/365.25</f>
        <v>71.622176591375776</v>
      </c>
      <c r="C168" s="398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3254.2644699519233</v>
      </c>
      <c r="H168" s="25">
        <f>IF(B168&lt;62,0,'Combined Retirement'!$I$14)</f>
        <v>2345</v>
      </c>
      <c r="I168" s="25">
        <f>IF(C168&lt;62,0,'Combined Retirement'!$I$13)</f>
        <v>2420</v>
      </c>
      <c r="J168" s="25">
        <f t="shared" si="3"/>
        <v>7896.2379798201846</v>
      </c>
      <c r="K168" s="25">
        <f t="shared" si="4"/>
        <v>20367.195264578786</v>
      </c>
      <c r="L168" s="25"/>
      <c r="N168" s="25">
        <f>'Combined Retirement'!$C$18/12</f>
        <v>39153.069999999992</v>
      </c>
      <c r="O168" s="25">
        <f t="shared" si="5"/>
        <v>10889.636755601023</v>
      </c>
      <c r="P168" s="25">
        <f t="shared" si="6"/>
        <v>28263.43324439897</v>
      </c>
      <c r="Q168" s="25">
        <f t="array" aca="1" ref="Q168" ca="1">INDEX('Isaac 401k'!L:L,MATCH('Retirement Calculator'!A168,'Isaac 401k'!N:N,0),0)</f>
        <v>1823508.3416084771</v>
      </c>
      <c r="R168" s="25">
        <f t="array" aca="1" ref="R168" ca="1">INDEX('Lorri 401b'!L:L,MATCH('Retirement Calculator'!A168,'Lorri 401b'!N:N,0),0)</f>
        <v>4177917.4947279044</v>
      </c>
      <c r="S168" s="25">
        <f t="shared" ca="1" si="7"/>
        <v>6001425.8363363817</v>
      </c>
    </row>
    <row r="169" spans="1:19" ht="15.75" customHeight="1" x14ac:dyDescent="0.3">
      <c r="A169" s="37">
        <v>56097</v>
      </c>
      <c r="B169" s="398">
        <f t="shared" ref="B169:C169" si="165">($A169-B$9)/365.25</f>
        <v>71.707049965776861</v>
      </c>
      <c r="C169" s="398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3254.2644699519233</v>
      </c>
      <c r="H169" s="25">
        <f>IF(B169&lt;62,0,'Combined Retirement'!$I$14)</f>
        <v>2345</v>
      </c>
      <c r="I169" s="25">
        <f>IF(C169&lt;62,0,'Combined Retirement'!$I$13)</f>
        <v>2420</v>
      </c>
      <c r="J169" s="25">
        <f t="shared" si="3"/>
        <v>7896.2379798201846</v>
      </c>
      <c r="K169" s="25">
        <f t="shared" si="4"/>
        <v>20367.195264578786</v>
      </c>
      <c r="L169" s="25"/>
      <c r="N169" s="25">
        <f>'Combined Retirement'!$C$18/12</f>
        <v>39153.069999999992</v>
      </c>
      <c r="O169" s="25">
        <f t="shared" si="5"/>
        <v>10889.636755601023</v>
      </c>
      <c r="P169" s="25">
        <f t="shared" si="6"/>
        <v>28263.43324439897</v>
      </c>
      <c r="Q169" s="25">
        <f t="array" aca="1" ref="Q169" ca="1">INDEX('Isaac 401k'!L:L,MATCH('Retirement Calculator'!A169,'Isaac 401k'!N:N,0),0)</f>
        <v>1823177.1540604429</v>
      </c>
      <c r="R169" s="25">
        <f t="array" aca="1" ref="R169" ca="1">INDEX('Lorri 401b'!L:L,MATCH('Retirement Calculator'!A169,'Lorri 401b'!N:N,0),0)</f>
        <v>4174873.4257110893</v>
      </c>
      <c r="S169" s="25">
        <f t="shared" ca="1" si="7"/>
        <v>5998050.5797715317</v>
      </c>
    </row>
    <row r="170" spans="1:19" ht="15.75" customHeight="1" x14ac:dyDescent="0.3">
      <c r="A170" s="37">
        <v>56128</v>
      </c>
      <c r="B170" s="398">
        <f t="shared" ref="B170:C170" si="166">($A170-B$9)/365.25</f>
        <v>71.791923340177959</v>
      </c>
      <c r="C170" s="398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3254.2644699519233</v>
      </c>
      <c r="H170" s="25">
        <f>IF(B170&lt;62,0,'Combined Retirement'!$I$14)</f>
        <v>2345</v>
      </c>
      <c r="I170" s="25">
        <f>IF(C170&lt;62,0,'Combined Retirement'!$I$13)</f>
        <v>2420</v>
      </c>
      <c r="J170" s="25">
        <f t="shared" si="3"/>
        <v>7896.2379798201846</v>
      </c>
      <c r="K170" s="25">
        <f t="shared" si="4"/>
        <v>20367.195264578786</v>
      </c>
      <c r="L170" s="25"/>
      <c r="N170" s="25">
        <f>'Combined Retirement'!$C$18/12</f>
        <v>39153.069999999992</v>
      </c>
      <c r="O170" s="25">
        <f t="shared" si="5"/>
        <v>10889.636755601023</v>
      </c>
      <c r="P170" s="25">
        <f t="shared" si="6"/>
        <v>28263.43324439897</v>
      </c>
      <c r="Q170" s="25">
        <f t="array" aca="1" ref="Q170" ca="1">INDEX('Isaac 401k'!L:L,MATCH('Retirement Calculator'!A170,'Isaac 401k'!N:N,0),0)</f>
        <v>1822844.586564292</v>
      </c>
      <c r="R170" s="25">
        <f t="array" aca="1" ref="R170" ca="1">INDEX('Lorri 401b'!L:L,MATCH('Retirement Calculator'!A170,'Lorri 401b'!N:N,0),0)</f>
        <v>4171816.6730733709</v>
      </c>
      <c r="S170" s="25">
        <f t="shared" ca="1" si="7"/>
        <v>5994661.2596376631</v>
      </c>
    </row>
    <row r="171" spans="1:19" ht="15.75" customHeight="1" x14ac:dyDescent="0.3">
      <c r="A171" s="37">
        <v>56158</v>
      </c>
      <c r="B171" s="398">
        <f t="shared" ref="B171:C171" si="167">($A171-B$9)/365.25</f>
        <v>71.87405886379193</v>
      </c>
      <c r="C171" s="398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3254.2644699519233</v>
      </c>
      <c r="H171" s="25">
        <f>IF(B171&lt;62,0,'Combined Retirement'!$I$14)</f>
        <v>2345</v>
      </c>
      <c r="I171" s="25">
        <f>IF(C171&lt;62,0,'Combined Retirement'!$I$13)</f>
        <v>2420</v>
      </c>
      <c r="J171" s="25">
        <f t="shared" si="3"/>
        <v>7896.2379798201846</v>
      </c>
      <c r="K171" s="25">
        <f t="shared" si="4"/>
        <v>20367.195264578786</v>
      </c>
      <c r="L171" s="25"/>
      <c r="N171" s="25">
        <f>'Combined Retirement'!$C$18/12</f>
        <v>39153.069999999992</v>
      </c>
      <c r="O171" s="25">
        <f t="shared" si="5"/>
        <v>10889.636755601023</v>
      </c>
      <c r="P171" s="25">
        <f t="shared" si="6"/>
        <v>28263.43324439897</v>
      </c>
      <c r="Q171" s="25">
        <f t="array" aca="1" ref="Q171" ca="1">INDEX('Isaac 401k'!L:L,MATCH('Retirement Calculator'!A171,'Isaac 401k'!N:N,0),0)</f>
        <v>1822510.6333702405</v>
      </c>
      <c r="R171" s="25">
        <f t="array" aca="1" ref="R171" ca="1">INDEX('Lorri 401b'!L:L,MATCH('Retirement Calculator'!A171,'Lorri 401b'!N:N,0),0)</f>
        <v>4168747.1839663289</v>
      </c>
      <c r="S171" s="25">
        <f t="shared" ca="1" si="7"/>
        <v>5991257.8173365695</v>
      </c>
    </row>
    <row r="172" spans="1:19" ht="15.75" customHeight="1" x14ac:dyDescent="0.3">
      <c r="A172" s="37">
        <v>56189</v>
      </c>
      <c r="B172" s="398">
        <f t="shared" ref="B172:C172" si="168">($A172-B$9)/365.25</f>
        <v>71.958932238193015</v>
      </c>
      <c r="C172" s="398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3254.2644699519233</v>
      </c>
      <c r="H172" s="25">
        <f>IF(B172&lt;62,0,'Combined Retirement'!$I$14)</f>
        <v>2345</v>
      </c>
      <c r="I172" s="25">
        <f>IF(C172&lt;62,0,'Combined Retirement'!$I$13)</f>
        <v>2420</v>
      </c>
      <c r="J172" s="25">
        <f t="shared" si="3"/>
        <v>7896.2379798201846</v>
      </c>
      <c r="K172" s="25">
        <f t="shared" si="4"/>
        <v>20367.195264578786</v>
      </c>
      <c r="L172" s="25"/>
      <c r="N172" s="25">
        <f>'Combined Retirement'!$C$18/12</f>
        <v>39153.069999999992</v>
      </c>
      <c r="O172" s="25">
        <f t="shared" si="5"/>
        <v>10889.636755601023</v>
      </c>
      <c r="P172" s="25">
        <f t="shared" si="6"/>
        <v>28263.43324439897</v>
      </c>
      <c r="Q172" s="25">
        <f t="array" aca="1" ref="Q172" ca="1">INDEX('Isaac 401k'!L:L,MATCH('Retirement Calculator'!A172,'Isaac 401k'!N:N,0),0)</f>
        <v>1822175.2887045469</v>
      </c>
      <c r="R172" s="25">
        <f t="array" aca="1" ref="R172" ca="1">INDEX('Lorri 401b'!L:L,MATCH('Retirement Calculator'!A172,'Lorri 401b'!N:N,0),0)</f>
        <v>4165664.9053213405</v>
      </c>
      <c r="S172" s="25">
        <f t="shared" ca="1" si="7"/>
        <v>5987840.1940258872</v>
      </c>
    </row>
    <row r="173" spans="1:19" ht="15.75" customHeight="1" x14ac:dyDescent="0.3">
      <c r="A173" s="37">
        <v>56219</v>
      </c>
      <c r="B173" s="398">
        <f t="shared" ref="B173:C173" si="169">($A173-B$9)/365.25</f>
        <v>72.041067761806985</v>
      </c>
      <c r="C173" s="398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3254.2644699519233</v>
      </c>
      <c r="H173" s="25">
        <f>IF(B173&lt;62,0,'Combined Retirement'!$I$14)</f>
        <v>2345</v>
      </c>
      <c r="I173" s="25">
        <f>IF(C173&lt;62,0,'Combined Retirement'!$I$13)</f>
        <v>2420</v>
      </c>
      <c r="J173" s="25">
        <f t="shared" si="3"/>
        <v>7896.2379798201846</v>
      </c>
      <c r="K173" s="25">
        <f t="shared" si="4"/>
        <v>20367.195264578786</v>
      </c>
      <c r="L173" s="25"/>
      <c r="N173" s="25">
        <f>'Combined Retirement'!$C$18/12</f>
        <v>39153.069999999992</v>
      </c>
      <c r="O173" s="25">
        <f t="shared" si="5"/>
        <v>10889.636755601023</v>
      </c>
      <c r="P173" s="25">
        <f t="shared" si="6"/>
        <v>28263.43324439897</v>
      </c>
      <c r="Q173" s="25">
        <f t="array" aca="1" ref="Q173" ca="1">INDEX('Isaac 401k'!L:L,MATCH('Retirement Calculator'!A173,'Isaac 401k'!N:N,0),0)</f>
        <v>1821838.5467694129</v>
      </c>
      <c r="R173" s="25">
        <f t="array" aca="1" ref="R173" ca="1">INDEX('Lorri 401b'!L:L,MATCH('Retirement Calculator'!A173,'Lorri 401b'!N:N,0),0)</f>
        <v>4162569.7838486647</v>
      </c>
      <c r="S173" s="25">
        <f t="shared" ca="1" si="7"/>
        <v>5984408.3306180779</v>
      </c>
    </row>
    <row r="174" spans="1:19" ht="15.75" customHeight="1" x14ac:dyDescent="0.3">
      <c r="A174" s="37">
        <v>56250</v>
      </c>
      <c r="B174" s="398">
        <f t="shared" ref="B174:C174" si="170">($A174-B$9)/365.25</f>
        <v>72.12594113620807</v>
      </c>
      <c r="C174" s="398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3254.2644699519233</v>
      </c>
      <c r="H174" s="25">
        <f>IF(B174&lt;62,0,'Combined Retirement'!$I$14)</f>
        <v>2345</v>
      </c>
      <c r="I174" s="25">
        <f>IF(C174&lt;62,0,'Combined Retirement'!$I$13)</f>
        <v>2420</v>
      </c>
      <c r="J174" s="25">
        <f t="shared" si="3"/>
        <v>7896.2379798201846</v>
      </c>
      <c r="K174" s="25">
        <f t="shared" si="4"/>
        <v>20367.195264578786</v>
      </c>
      <c r="L174" s="25"/>
      <c r="N174" s="25">
        <f>'Combined Retirement'!$C$18/12</f>
        <v>39153.069999999992</v>
      </c>
      <c r="O174" s="25">
        <f t="shared" si="5"/>
        <v>10889.636755601023</v>
      </c>
      <c r="P174" s="25">
        <f t="shared" si="6"/>
        <v>28263.43324439897</v>
      </c>
      <c r="Q174" s="25">
        <f t="array" aca="1" ref="Q174" ca="1">INDEX('Isaac 401k'!L:L,MATCH('Retirement Calculator'!A174,'Isaac 401k'!N:N,0),0)</f>
        <v>1821500.4017428826</v>
      </c>
      <c r="R174" s="25">
        <f t="array" aca="1" ref="R174" ca="1">INDEX('Lorri 401b'!L:L,MATCH('Retirement Calculator'!A174,'Lorri 401b'!N:N,0),0)</f>
        <v>4159461.7660365198</v>
      </c>
      <c r="S174" s="25">
        <f t="shared" ca="1" si="7"/>
        <v>5980962.1677794028</v>
      </c>
    </row>
    <row r="175" spans="1:19" ht="15.75" customHeight="1" x14ac:dyDescent="0.3">
      <c r="A175" s="37">
        <v>56281</v>
      </c>
      <c r="B175" s="398">
        <f t="shared" ref="B175:C175" si="171">($A175-B$9)/365.25</f>
        <v>72.210814510609168</v>
      </c>
      <c r="C175" s="398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3254.2644699519233</v>
      </c>
      <c r="H175" s="25">
        <f>IF(B175&lt;62,0,'Combined Retirement'!$I$14)</f>
        <v>2345</v>
      </c>
      <c r="I175" s="25">
        <f>IF(C175&lt;62,0,'Combined Retirement'!$I$13)</f>
        <v>2420</v>
      </c>
      <c r="J175" s="25">
        <f t="shared" si="3"/>
        <v>7896.2379798201846</v>
      </c>
      <c r="K175" s="25">
        <f t="shared" si="4"/>
        <v>20367.195264578786</v>
      </c>
      <c r="L175" s="25"/>
      <c r="N175" s="25">
        <f>'Combined Retirement'!$C$18/12</f>
        <v>39153.069999999992</v>
      </c>
      <c r="O175" s="25">
        <f t="shared" si="5"/>
        <v>10889.636755601023</v>
      </c>
      <c r="P175" s="25">
        <f t="shared" si="6"/>
        <v>28263.43324439897</v>
      </c>
      <c r="Q175" s="25">
        <f t="array" aca="1" ref="Q175" ca="1">INDEX('Isaac 401k'!L:L,MATCH('Retirement Calculator'!A175,'Isaac 401k'!N:N,0),0)</f>
        <v>1821160.8477787417</v>
      </c>
      <c r="R175" s="25">
        <f t="array" aca="1" ref="R175" ca="1">INDEX('Lorri 401b'!L:L,MATCH('Retirement Calculator'!A175,'Lorri 401b'!N:N,0),0)</f>
        <v>4156340.7981501576</v>
      </c>
      <c r="S175" s="25">
        <f t="shared" ca="1" si="7"/>
        <v>5977501.6459288988</v>
      </c>
    </row>
    <row r="176" spans="1:19" ht="15.75" customHeight="1" x14ac:dyDescent="0.3">
      <c r="A176" s="37">
        <v>56309</v>
      </c>
      <c r="B176" s="398">
        <f t="shared" ref="B176:C176" si="172">($A176-B$9)/365.25</f>
        <v>72.28747433264887</v>
      </c>
      <c r="C176" s="398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3254.2644699519233</v>
      </c>
      <c r="H176" s="25">
        <f>IF(B176&lt;62,0,'Combined Retirement'!$I$14)</f>
        <v>2345</v>
      </c>
      <c r="I176" s="25">
        <f>IF(C176&lt;62,0,'Combined Retirement'!$I$13)</f>
        <v>2420</v>
      </c>
      <c r="J176" s="25">
        <f t="shared" si="3"/>
        <v>7896.2379798201846</v>
      </c>
      <c r="K176" s="25">
        <f t="shared" si="4"/>
        <v>20367.195264578786</v>
      </c>
      <c r="L176" s="25"/>
      <c r="N176" s="25">
        <f>'Combined Retirement'!$C$18/12</f>
        <v>39153.069999999992</v>
      </c>
      <c r="O176" s="25">
        <f t="shared" si="5"/>
        <v>10889.636755601023</v>
      </c>
      <c r="P176" s="25">
        <f t="shared" si="6"/>
        <v>28263.43324439897</v>
      </c>
      <c r="Q176" s="25">
        <f t="array" aca="1" ref="Q176" ca="1">INDEX('Isaac 401k'!L:L,MATCH('Retirement Calculator'!A176,'Isaac 401k'!N:N,0),0)</f>
        <v>1820819.879006417</v>
      </c>
      <c r="R176" s="25">
        <f t="array" aca="1" ref="R176" ca="1">INDEX('Lorri 401b'!L:L,MATCH('Retirement Calculator'!A176,'Lorri 401b'!N:N,0),0)</f>
        <v>4153206.8262309353</v>
      </c>
      <c r="S176" s="25">
        <f t="shared" ca="1" si="7"/>
        <v>5974026.7052373523</v>
      </c>
    </row>
    <row r="177" spans="1:19" ht="15.75" customHeight="1" x14ac:dyDescent="0.3">
      <c r="A177" s="37">
        <v>56340</v>
      </c>
      <c r="B177" s="398">
        <f t="shared" ref="B177:C177" si="173">($A177-B$9)/365.25</f>
        <v>72.372347707049968</v>
      </c>
      <c r="C177" s="398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3254.2644699519233</v>
      </c>
      <c r="H177" s="25">
        <f>IF(B177&lt;62,0,'Combined Retirement'!$I$14)</f>
        <v>2345</v>
      </c>
      <c r="I177" s="25">
        <f>IF(C177&lt;62,0,'Combined Retirement'!$I$13)</f>
        <v>2420</v>
      </c>
      <c r="J177" s="25">
        <f t="shared" si="3"/>
        <v>7896.2379798201846</v>
      </c>
      <c r="K177" s="25">
        <f t="shared" si="4"/>
        <v>20367.195264578786</v>
      </c>
      <c r="L177" s="25"/>
      <c r="N177" s="25">
        <f>'Combined Retirement'!$C$18/12</f>
        <v>39153.069999999992</v>
      </c>
      <c r="O177" s="25">
        <f t="shared" si="5"/>
        <v>10889.636755601023</v>
      </c>
      <c r="P177" s="25">
        <f t="shared" si="6"/>
        <v>28263.43324439897</v>
      </c>
      <c r="Q177" s="25">
        <f t="array" aca="1" ref="Q177" ca="1">INDEX('Isaac 401k'!L:L,MATCH('Retirement Calculator'!A177,'Isaac 401k'!N:N,0),0)</f>
        <v>1820477.4895308742</v>
      </c>
      <c r="R177" s="25">
        <f t="array" aca="1" ref="R177" ca="1">INDEX('Lorri 401b'!L:L,MATCH('Retirement Calculator'!A177,'Lorri 401b'!N:N,0),0)</f>
        <v>4150059.7960953829</v>
      </c>
      <c r="S177" s="25">
        <f t="shared" ca="1" si="7"/>
        <v>5970537.2856262568</v>
      </c>
    </row>
    <row r="178" spans="1:19" ht="15.75" customHeight="1" x14ac:dyDescent="0.3">
      <c r="A178" s="37">
        <v>56370</v>
      </c>
      <c r="B178" s="398">
        <f t="shared" ref="B178:C178" si="174">($A178-B$9)/365.25</f>
        <v>72.454483230663925</v>
      </c>
      <c r="C178" s="398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3254.2644699519233</v>
      </c>
      <c r="H178" s="25">
        <f>IF(B178&lt;62,0,'Combined Retirement'!$I$14)</f>
        <v>2345</v>
      </c>
      <c r="I178" s="25">
        <f>IF(C178&lt;62,0,'Combined Retirement'!$I$13)</f>
        <v>2420</v>
      </c>
      <c r="J178" s="25">
        <f t="shared" si="3"/>
        <v>7896.2379798201846</v>
      </c>
      <c r="K178" s="25">
        <f t="shared" si="4"/>
        <v>20367.195264578786</v>
      </c>
      <c r="L178" s="25"/>
      <c r="N178" s="25">
        <f>'Combined Retirement'!$C$18/12</f>
        <v>39153.069999999992</v>
      </c>
      <c r="O178" s="25">
        <f t="shared" si="5"/>
        <v>10889.636755601023</v>
      </c>
      <c r="P178" s="25">
        <f t="shared" si="6"/>
        <v>28263.43324439897</v>
      </c>
      <c r="Q178" s="25">
        <f t="array" aca="1" ref="Q178" ca="1">INDEX('Isaac 401k'!L:L,MATCH('Retirement Calculator'!A178,'Isaac 401k'!N:N,0),0)</f>
        <v>1820133.6734325166</v>
      </c>
      <c r="R178" s="25">
        <f t="array" aca="1" ref="R178" ca="1">INDEX('Lorri 401b'!L:L,MATCH('Retirement Calculator'!A178,'Lorri 401b'!N:N,0),0)</f>
        <v>4146899.6533342656</v>
      </c>
      <c r="S178" s="25">
        <f t="shared" ca="1" si="7"/>
        <v>5967033.3267667824</v>
      </c>
    </row>
    <row r="179" spans="1:19" ht="15.75" customHeight="1" x14ac:dyDescent="0.3">
      <c r="A179" s="37">
        <v>56401</v>
      </c>
      <c r="B179" s="398">
        <f t="shared" ref="B179:C179" si="175">($A179-B$9)/365.25</f>
        <v>72.539356605065024</v>
      </c>
      <c r="C179" s="398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3254.2644699519233</v>
      </c>
      <c r="H179" s="25">
        <f>IF(B179&lt;62,0,'Combined Retirement'!$I$14)</f>
        <v>2345</v>
      </c>
      <c r="I179" s="25">
        <f>IF(C179&lt;62,0,'Combined Retirement'!$I$13)</f>
        <v>2420</v>
      </c>
      <c r="J179" s="25">
        <f t="shared" si="3"/>
        <v>7896.2379798201846</v>
      </c>
      <c r="K179" s="25">
        <f t="shared" si="4"/>
        <v>20367.195264578786</v>
      </c>
      <c r="L179" s="25"/>
      <c r="N179" s="25">
        <f>'Combined Retirement'!$C$18/12</f>
        <v>39153.069999999992</v>
      </c>
      <c r="O179" s="25">
        <f t="shared" si="5"/>
        <v>10889.636755601023</v>
      </c>
      <c r="P179" s="25">
        <f t="shared" si="6"/>
        <v>28263.43324439897</v>
      </c>
      <c r="Q179" s="25">
        <f t="array" aca="1" ref="Q179" ca="1">INDEX('Isaac 401k'!L:L,MATCH('Retirement Calculator'!A179,'Isaac 401k'!N:N,0),0)</f>
        <v>1819788.4247670826</v>
      </c>
      <c r="R179" s="25">
        <f t="array" aca="1" ref="R179" ca="1">INDEX('Lorri 401b'!L:L,MATCH('Retirement Calculator'!A179,'Lorri 401b'!N:N,0),0)</f>
        <v>4143726.3433116437</v>
      </c>
      <c r="S179" s="25">
        <f t="shared" ca="1" si="7"/>
        <v>5963514.7680787258</v>
      </c>
    </row>
    <row r="180" spans="1:19" ht="15.75" customHeight="1" x14ac:dyDescent="0.3">
      <c r="A180" s="37">
        <v>56431</v>
      </c>
      <c r="B180" s="398">
        <f t="shared" ref="B180:C180" si="176">($A180-B$9)/365.25</f>
        <v>72.62149212867898</v>
      </c>
      <c r="C180" s="398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3254.2644699519233</v>
      </c>
      <c r="H180" s="25">
        <f>IF(B180&lt;62,0,'Combined Retirement'!$I$14)</f>
        <v>2345</v>
      </c>
      <c r="I180" s="25">
        <f>IF(C180&lt;62,0,'Combined Retirement'!$I$13)</f>
        <v>2420</v>
      </c>
      <c r="J180" s="25">
        <f t="shared" si="3"/>
        <v>7896.2379798201846</v>
      </c>
      <c r="K180" s="25">
        <f t="shared" si="4"/>
        <v>20367.195264578786</v>
      </c>
      <c r="L180" s="25"/>
      <c r="N180" s="25">
        <f>'Combined Retirement'!$C$18/12</f>
        <v>39153.069999999992</v>
      </c>
      <c r="O180" s="25">
        <f t="shared" si="5"/>
        <v>10889.636755601023</v>
      </c>
      <c r="P180" s="25">
        <f t="shared" si="6"/>
        <v>28263.43324439897</v>
      </c>
      <c r="Q180" s="25">
        <f t="array" aca="1" ref="Q180" ca="1">INDEX('Isaac 401k'!L:L,MATCH('Retirement Calculator'!A180,'Isaac 401k'!N:N,0),0)</f>
        <v>1819441.7375655426</v>
      </c>
      <c r="R180" s="25">
        <f t="array" aca="1" ref="R180" ca="1">INDEX('Lorri 401b'!L:L,MATCH('Retirement Calculator'!A180,'Lorri 401b'!N:N,0),0)</f>
        <v>4140539.8111639279</v>
      </c>
      <c r="S180" s="25">
        <f t="shared" ca="1" si="7"/>
        <v>5959981.54872947</v>
      </c>
    </row>
    <row r="181" spans="1:19" ht="15.75" customHeight="1" x14ac:dyDescent="0.3">
      <c r="A181" s="37">
        <v>56462</v>
      </c>
      <c r="B181" s="398">
        <f t="shared" ref="B181:C181" si="177">($A181-B$9)/365.25</f>
        <v>72.706365503080079</v>
      </c>
      <c r="C181" s="398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3254.2644699519233</v>
      </c>
      <c r="H181" s="25">
        <f>IF(B181&lt;62,0,'Combined Retirement'!$I$14)</f>
        <v>2345</v>
      </c>
      <c r="I181" s="25">
        <f>IF(C181&lt;62,0,'Combined Retirement'!$I$13)</f>
        <v>2420</v>
      </c>
      <c r="J181" s="25">
        <f t="shared" si="3"/>
        <v>7896.2379798201846</v>
      </c>
      <c r="K181" s="25">
        <f t="shared" si="4"/>
        <v>20367.195264578786</v>
      </c>
      <c r="L181" s="25"/>
      <c r="N181" s="25">
        <f>'Combined Retirement'!$C$18/12</f>
        <v>39153.069999999992</v>
      </c>
      <c r="O181" s="25">
        <f t="shared" si="5"/>
        <v>10889.636755601023</v>
      </c>
      <c r="P181" s="25">
        <f t="shared" si="6"/>
        <v>28263.43324439897</v>
      </c>
      <c r="Q181" s="25">
        <f t="array" aca="1" ref="Q181" ca="1">INDEX('Isaac 401k'!L:L,MATCH('Retirement Calculator'!A181,'Isaac 401k'!N:N,0),0)</f>
        <v>1819093.6058339961</v>
      </c>
      <c r="R181" s="25">
        <f t="array" aca="1" ref="R181" ca="1">INDEX('Lorri 401b'!L:L,MATCH('Retirement Calculator'!A181,'Lorri 401b'!N:N,0),0)</f>
        <v>4137340.0017989296</v>
      </c>
      <c r="S181" s="25">
        <f t="shared" ca="1" si="7"/>
        <v>5956433.6076329257</v>
      </c>
    </row>
    <row r="182" spans="1:19" ht="15.75" customHeight="1" x14ac:dyDescent="0.3">
      <c r="A182" s="37">
        <v>56493</v>
      </c>
      <c r="B182" s="398">
        <f t="shared" ref="B182:C182" si="178">($A182-B$9)/365.25</f>
        <v>72.791238877481177</v>
      </c>
      <c r="C182" s="398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3254.2644699519233</v>
      </c>
      <c r="H182" s="25">
        <f>IF(B182&lt;62,0,'Combined Retirement'!$I$14)</f>
        <v>2345</v>
      </c>
      <c r="I182" s="25">
        <f>IF(C182&lt;62,0,'Combined Retirement'!$I$13)</f>
        <v>2420</v>
      </c>
      <c r="J182" s="25">
        <f t="shared" si="3"/>
        <v>7896.2379798201846</v>
      </c>
      <c r="K182" s="25">
        <f t="shared" si="4"/>
        <v>20367.195264578786</v>
      </c>
      <c r="L182" s="25"/>
      <c r="N182" s="25">
        <f>'Combined Retirement'!$C$18/12</f>
        <v>39153.069999999992</v>
      </c>
      <c r="O182" s="25">
        <f t="shared" si="5"/>
        <v>10889.636755601023</v>
      </c>
      <c r="P182" s="25">
        <f t="shared" si="6"/>
        <v>28263.43324439897</v>
      </c>
      <c r="Q182" s="25">
        <f t="array" aca="1" ref="Q182" ca="1">INDEX('Isaac 401k'!L:L,MATCH('Retirement Calculator'!A182,'Isaac 401k'!N:N,0),0)</f>
        <v>1818744.0235535682</v>
      </c>
      <c r="R182" s="25">
        <f t="array" aca="1" ref="R182" ca="1">INDEX('Lorri 401b'!L:L,MATCH('Retirement Calculator'!A182,'Lorri 401b'!N:N,0),0)</f>
        <v>4134126.8598949108</v>
      </c>
      <c r="S182" s="25">
        <f t="shared" ca="1" si="7"/>
        <v>5952870.8834484788</v>
      </c>
    </row>
    <row r="183" spans="1:19" ht="15.75" customHeight="1" x14ac:dyDescent="0.3">
      <c r="A183" s="37">
        <v>56523</v>
      </c>
      <c r="B183" s="398">
        <f t="shared" ref="B183:C183" si="179">($A183-B$9)/365.25</f>
        <v>72.873374401095134</v>
      </c>
      <c r="C183" s="398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3254.2644699519233</v>
      </c>
      <c r="H183" s="25">
        <f>IF(B183&lt;62,0,'Combined Retirement'!$I$14)</f>
        <v>2345</v>
      </c>
      <c r="I183" s="25">
        <f>IF(C183&lt;62,0,'Combined Retirement'!$I$13)</f>
        <v>2420</v>
      </c>
      <c r="J183" s="25">
        <f t="shared" si="3"/>
        <v>7896.2379798201846</v>
      </c>
      <c r="K183" s="25">
        <f t="shared" si="4"/>
        <v>20367.195264578786</v>
      </c>
      <c r="L183" s="25"/>
      <c r="N183" s="25">
        <f>'Combined Retirement'!$C$18/12</f>
        <v>39153.069999999992</v>
      </c>
      <c r="O183" s="25">
        <f t="shared" si="5"/>
        <v>10889.636755601023</v>
      </c>
      <c r="P183" s="25">
        <f t="shared" si="6"/>
        <v>28263.43324439897</v>
      </c>
      <c r="Q183" s="25">
        <f t="array" aca="1" ref="Q183" ca="1">INDEX('Isaac 401k'!L:L,MATCH('Retirement Calculator'!A183,'Isaac 401k'!N:N,0),0)</f>
        <v>1818392.9846803052</v>
      </c>
      <c r="R183" s="25">
        <f t="array" aca="1" ref="R183" ca="1">INDEX('Lorri 401b'!L:L,MATCH('Retirement Calculator'!A183,'Lorri 401b'!N:N,0),0)</f>
        <v>4130900.3298996249</v>
      </c>
      <c r="S183" s="25">
        <f t="shared" ca="1" si="7"/>
        <v>5949293.3145799302</v>
      </c>
    </row>
    <row r="184" spans="1:19" ht="15.75" customHeight="1" x14ac:dyDescent="0.3">
      <c r="A184" s="37">
        <v>56554</v>
      </c>
      <c r="B184" s="398">
        <f t="shared" ref="B184:C184" si="180">($A184-B$9)/365.25</f>
        <v>72.958247775496233</v>
      </c>
      <c r="C184" s="398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3254.2644699519233</v>
      </c>
      <c r="H184" s="25">
        <f>IF(B184&lt;62,0,'Combined Retirement'!$I$14)</f>
        <v>2345</v>
      </c>
      <c r="I184" s="25">
        <f>IF(C184&lt;62,0,'Combined Retirement'!$I$13)</f>
        <v>2420</v>
      </c>
      <c r="J184" s="25">
        <f t="shared" si="3"/>
        <v>7896.2379798201846</v>
      </c>
      <c r="K184" s="25">
        <f t="shared" si="4"/>
        <v>20367.195264578786</v>
      </c>
      <c r="L184" s="25"/>
      <c r="N184" s="25">
        <f>'Combined Retirement'!$C$18/12</f>
        <v>39153.069999999992</v>
      </c>
      <c r="O184" s="25">
        <f t="shared" si="5"/>
        <v>10889.636755601023</v>
      </c>
      <c r="P184" s="25">
        <f t="shared" si="6"/>
        <v>28263.43324439897</v>
      </c>
      <c r="Q184" s="25">
        <f t="array" aca="1" ref="Q184" ca="1">INDEX('Isaac 401k'!L:L,MATCH('Retirement Calculator'!A184,'Isaac 401k'!N:N,0),0)</f>
        <v>1818040.4831450703</v>
      </c>
      <c r="R184" s="25">
        <f t="array" aca="1" ref="R184" ca="1">INDEX('Lorri 401b'!L:L,MATCH('Retirement Calculator'!A184,'Lorri 401b'!N:N,0),0)</f>
        <v>4127660.3560293587</v>
      </c>
      <c r="S184" s="25">
        <f t="shared" ca="1" si="7"/>
        <v>5945700.839174429</v>
      </c>
    </row>
    <row r="185" spans="1:19" ht="15.75" customHeight="1" x14ac:dyDescent="0.3">
      <c r="A185" s="37">
        <v>56584</v>
      </c>
      <c r="B185" s="398">
        <f t="shared" ref="B185:C185" si="181">($A185-B$9)/365.25</f>
        <v>73.040383299110204</v>
      </c>
      <c r="C185" s="398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3254.2644699519233</v>
      </c>
      <c r="H185" s="25">
        <f>IF(B185&lt;62,0,'Combined Retirement'!$I$14)</f>
        <v>2345</v>
      </c>
      <c r="I185" s="25">
        <f>IF(C185&lt;62,0,'Combined Retirement'!$I$13)</f>
        <v>2420</v>
      </c>
      <c r="J185" s="25">
        <f t="shared" si="3"/>
        <v>7896.2379798201846</v>
      </c>
      <c r="K185" s="25">
        <f t="shared" si="4"/>
        <v>20367.195264578786</v>
      </c>
      <c r="L185" s="25"/>
      <c r="N185" s="25">
        <f>'Combined Retirement'!$C$18/12</f>
        <v>39153.069999999992</v>
      </c>
      <c r="O185" s="25">
        <f t="shared" si="5"/>
        <v>10889.636755601023</v>
      </c>
      <c r="P185" s="25">
        <f t="shared" si="6"/>
        <v>28263.43324439897</v>
      </c>
      <c r="Q185" s="25">
        <f t="array" aca="1" ref="Q185" ca="1">INDEX('Isaac 401k'!L:L,MATCH('Retirement Calculator'!A185,'Isaac 401k'!N:N,0),0)</f>
        <v>1817686.5128534385</v>
      </c>
      <c r="R185" s="25">
        <f t="array" aca="1" ref="R185" ca="1">INDEX('Lorri 401b'!L:L,MATCH('Retirement Calculator'!A185,'Lorri 401b'!N:N,0),0)</f>
        <v>4124406.8822679664</v>
      </c>
      <c r="S185" s="25">
        <f t="shared" ca="1" si="7"/>
        <v>5942093.3951214049</v>
      </c>
    </row>
    <row r="186" spans="1:19" ht="15.75" customHeight="1" x14ac:dyDescent="0.3">
      <c r="A186" s="37">
        <v>56615</v>
      </c>
      <c r="B186" s="398">
        <f t="shared" ref="B186:C186" si="182">($A186-B$9)/365.25</f>
        <v>73.125256673511288</v>
      </c>
      <c r="C186" s="398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3254.2644699519233</v>
      </c>
      <c r="H186" s="25">
        <f>IF(B186&lt;62,0,'Combined Retirement'!$I$14)</f>
        <v>2345</v>
      </c>
      <c r="I186" s="25">
        <f>IF(C186&lt;62,0,'Combined Retirement'!$I$13)</f>
        <v>2420</v>
      </c>
      <c r="J186" s="25">
        <f t="shared" si="3"/>
        <v>7896.2379798201846</v>
      </c>
      <c r="K186" s="25">
        <f t="shared" si="4"/>
        <v>20367.195264578786</v>
      </c>
      <c r="L186" s="25"/>
      <c r="N186" s="25">
        <f>'Combined Retirement'!$C$18/12</f>
        <v>39153.069999999992</v>
      </c>
      <c r="O186" s="25">
        <f t="shared" si="5"/>
        <v>10889.636755601023</v>
      </c>
      <c r="P186" s="25">
        <f t="shared" si="6"/>
        <v>28263.43324439897</v>
      </c>
      <c r="Q186" s="25">
        <f t="array" aca="1" ref="Q186" ca="1">INDEX('Isaac 401k'!L:L,MATCH('Retirement Calculator'!A186,'Isaac 401k'!N:N,0),0)</f>
        <v>1817331.0676855918</v>
      </c>
      <c r="R186" s="25">
        <f t="array" aca="1" ref="R186" ca="1">INDEX('Lorri 401b'!L:L,MATCH('Retirement Calculator'!A186,'Lorri 401b'!N:N,0),0)</f>
        <v>4121139.8523659017</v>
      </c>
      <c r="S186" s="25">
        <f t="shared" ca="1" si="7"/>
        <v>5938470.9200514937</v>
      </c>
    </row>
    <row r="187" spans="1:19" ht="15.75" customHeight="1" x14ac:dyDescent="0.3">
      <c r="A187" s="37">
        <v>56646</v>
      </c>
      <c r="B187" s="398">
        <f t="shared" ref="B187:C187" si="183">($A187-B$9)/365.25</f>
        <v>73.210130047912386</v>
      </c>
      <c r="C187" s="398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3254.2644699519233</v>
      </c>
      <c r="H187" s="25">
        <f>IF(B187&lt;62,0,'Combined Retirement'!$I$14)</f>
        <v>2345</v>
      </c>
      <c r="I187" s="25">
        <f>IF(C187&lt;62,0,'Combined Retirement'!$I$13)</f>
        <v>2420</v>
      </c>
      <c r="J187" s="25">
        <f t="shared" si="3"/>
        <v>7896.2379798201846</v>
      </c>
      <c r="K187" s="25">
        <f t="shared" si="4"/>
        <v>20367.195264578786</v>
      </c>
      <c r="L187" s="25"/>
      <c r="N187" s="25">
        <f>'Combined Retirement'!$C$18/12</f>
        <v>39153.069999999992</v>
      </c>
      <c r="O187" s="25">
        <f t="shared" si="5"/>
        <v>10889.636755601023</v>
      </c>
      <c r="P187" s="25">
        <f t="shared" si="6"/>
        <v>28263.43324439897</v>
      </c>
      <c r="Q187" s="25">
        <f t="array" aca="1" ref="Q187" ca="1">INDEX('Isaac 401k'!L:L,MATCH('Retirement Calculator'!A187,'Isaac 401k'!N:N,0),0)</f>
        <v>1816974.1414962122</v>
      </c>
      <c r="R187" s="25">
        <f t="array" aca="1" ref="R187" ca="1">INDEX('Lorri 401b'!L:L,MATCH('Retirement Calculator'!A187,'Lorri 401b'!N:N,0),0)</f>
        <v>4117859.2098392453</v>
      </c>
      <c r="S187" s="25">
        <f t="shared" ca="1" si="7"/>
        <v>5934833.3513354575</v>
      </c>
    </row>
    <row r="188" spans="1:19" ht="15.75" customHeight="1" x14ac:dyDescent="0.3">
      <c r="A188" s="37">
        <v>56674</v>
      </c>
      <c r="B188" s="398">
        <f t="shared" ref="B188:C188" si="184">($A188-B$9)/365.25</f>
        <v>73.286789869952088</v>
      </c>
      <c r="C188" s="398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3254.2644699519233</v>
      </c>
      <c r="H188" s="25">
        <f>IF(B188&lt;62,0,'Combined Retirement'!$I$14)</f>
        <v>2345</v>
      </c>
      <c r="I188" s="25">
        <f>IF(C188&lt;62,0,'Combined Retirement'!$I$13)</f>
        <v>2420</v>
      </c>
      <c r="J188" s="25">
        <f t="shared" si="3"/>
        <v>7896.2379798201846</v>
      </c>
      <c r="K188" s="25">
        <f t="shared" si="4"/>
        <v>20367.195264578786</v>
      </c>
      <c r="L188" s="25"/>
      <c r="N188" s="25">
        <f>'Combined Retirement'!$C$18/12</f>
        <v>39153.069999999992</v>
      </c>
      <c r="O188" s="25">
        <f t="shared" si="5"/>
        <v>10889.636755601023</v>
      </c>
      <c r="P188" s="25">
        <f t="shared" si="6"/>
        <v>28263.43324439897</v>
      </c>
      <c r="Q188" s="25">
        <f t="array" aca="1" ref="Q188" ca="1">INDEX('Isaac 401k'!L:L,MATCH('Retirement Calculator'!A188,'Isaac 401k'!N:N,0),0)</f>
        <v>1816615.728114377</v>
      </c>
      <c r="R188" s="25">
        <f t="array" aca="1" ref="R188" ca="1">INDEX('Lorri 401b'!L:L,MATCH('Retirement Calculator'!A188,'Lorri 401b'!N:N,0),0)</f>
        <v>4114564.8979687276</v>
      </c>
      <c r="S188" s="25">
        <f t="shared" ca="1" si="7"/>
        <v>5931180.6260831049</v>
      </c>
    </row>
    <row r="189" spans="1:19" ht="15.75" customHeight="1" x14ac:dyDescent="0.3">
      <c r="A189" s="37">
        <v>56705</v>
      </c>
      <c r="B189" s="398">
        <f t="shared" ref="B189:C189" si="185">($A189-B$9)/365.25</f>
        <v>73.371663244353186</v>
      </c>
      <c r="C189" s="398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3254.2644699519233</v>
      </c>
      <c r="H189" s="25">
        <f>IF(B189&lt;62,0,'Combined Retirement'!$I$14)</f>
        <v>2345</v>
      </c>
      <c r="I189" s="25">
        <f>IF(C189&lt;62,0,'Combined Retirement'!$I$13)</f>
        <v>2420</v>
      </c>
      <c r="J189" s="25">
        <f t="shared" si="3"/>
        <v>7896.2379798201846</v>
      </c>
      <c r="K189" s="25">
        <f t="shared" si="4"/>
        <v>20367.195264578786</v>
      </c>
      <c r="L189" s="25"/>
      <c r="N189" s="25">
        <f>'Combined Retirement'!$C$18/12</f>
        <v>39153.069999999992</v>
      </c>
      <c r="O189" s="25">
        <f t="shared" si="5"/>
        <v>10889.636755601023</v>
      </c>
      <c r="P189" s="25">
        <f t="shared" si="6"/>
        <v>28263.43324439897</v>
      </c>
      <c r="Q189" s="25">
        <f t="array" aca="1" ref="Q189" ca="1">INDEX('Isaac 401k'!L:L,MATCH('Retirement Calculator'!A189,'Isaac 401k'!N:N,0),0)</f>
        <v>1816255.8213434508</v>
      </c>
      <c r="R189" s="25">
        <f t="array" aca="1" ref="R189" ca="1">INDEX('Lorri 401b'!L:L,MATCH('Retirement Calculator'!A189,'Lorri 401b'!N:N,0),0)</f>
        <v>4111256.8597987494</v>
      </c>
      <c r="S189" s="25">
        <f t="shared" ca="1" si="7"/>
        <v>5927512.6811421998</v>
      </c>
    </row>
    <row r="190" spans="1:19" ht="15.75" customHeight="1" x14ac:dyDescent="0.3">
      <c r="A190" s="37">
        <v>56735</v>
      </c>
      <c r="B190" s="398">
        <f t="shared" ref="B190:C190" si="186">($A190-B$9)/365.25</f>
        <v>73.453798767967143</v>
      </c>
      <c r="C190" s="398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3254.2644699519233</v>
      </c>
      <c r="H190" s="25">
        <f>IF(B190&lt;62,0,'Combined Retirement'!$I$14)</f>
        <v>2345</v>
      </c>
      <c r="I190" s="25">
        <f>IF(C190&lt;62,0,'Combined Retirement'!$I$13)</f>
        <v>2420</v>
      </c>
      <c r="J190" s="25">
        <f t="shared" si="3"/>
        <v>7896.2379798201846</v>
      </c>
      <c r="K190" s="25">
        <f t="shared" si="4"/>
        <v>20367.195264578786</v>
      </c>
      <c r="L190" s="25"/>
      <c r="N190" s="25">
        <f>'Combined Retirement'!$C$18/12</f>
        <v>39153.069999999992</v>
      </c>
      <c r="O190" s="25">
        <f t="shared" si="5"/>
        <v>10889.636755601023</v>
      </c>
      <c r="P190" s="25">
        <f t="shared" si="6"/>
        <v>28263.43324439897</v>
      </c>
      <c r="Q190" s="25">
        <f t="array" aca="1" ref="Q190" ca="1">INDEX('Isaac 401k'!L:L,MATCH('Retirement Calculator'!A190,'Isaac 401k'!N:N,0),0)</f>
        <v>1815894.414960979</v>
      </c>
      <c r="R190" s="25">
        <f t="array" aca="1" ref="R190" ca="1">INDEX('Lorri 401b'!L:L,MATCH('Retirement Calculator'!A190,'Lorri 401b'!N:N,0),0)</f>
        <v>4107935.0381363966</v>
      </c>
      <c r="S190" s="25">
        <f t="shared" ca="1" si="7"/>
        <v>5923829.4530973751</v>
      </c>
    </row>
    <row r="191" spans="1:19" ht="15.75" customHeight="1" x14ac:dyDescent="0.3">
      <c r="A191" s="37">
        <v>56766</v>
      </c>
      <c r="B191" s="398">
        <f t="shared" ref="B191:C191" si="187">($A191-B$9)/365.25</f>
        <v>73.538672142368242</v>
      </c>
      <c r="C191" s="398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3254.2644699519233</v>
      </c>
      <c r="H191" s="25">
        <f>IF(B191&lt;62,0,'Combined Retirement'!$I$14)</f>
        <v>2345</v>
      </c>
      <c r="I191" s="25">
        <f>IF(C191&lt;62,0,'Combined Retirement'!$I$13)</f>
        <v>2420</v>
      </c>
      <c r="J191" s="25">
        <f t="shared" si="3"/>
        <v>7896.2379798201846</v>
      </c>
      <c r="K191" s="25">
        <f t="shared" si="4"/>
        <v>20367.195264578786</v>
      </c>
      <c r="L191" s="25"/>
      <c r="N191" s="25">
        <f>'Combined Retirement'!$C$18/12</f>
        <v>39153.069999999992</v>
      </c>
      <c r="O191" s="25">
        <f t="shared" si="5"/>
        <v>10889.636755601023</v>
      </c>
      <c r="P191" s="25">
        <f t="shared" si="6"/>
        <v>28263.43324439897</v>
      </c>
      <c r="Q191" s="25">
        <f t="array" aca="1" ref="Q191" ca="1">INDEX('Isaac 401k'!L:L,MATCH('Retirement Calculator'!A191,'Isaac 401k'!N:N,0),0)</f>
        <v>1815531.5027185802</v>
      </c>
      <c r="R191" s="25">
        <f t="array" aca="1" ref="R191" ca="1">INDEX('Lorri 401b'!L:L,MATCH('Retirement Calculator'!A191,'Lorri 401b'!N:N,0),0)</f>
        <v>4104599.3755504503</v>
      </c>
      <c r="S191" s="25">
        <f t="shared" ca="1" si="7"/>
        <v>5920130.8782690307</v>
      </c>
    </row>
    <row r="192" spans="1:19" ht="15.75" customHeight="1" x14ac:dyDescent="0.3">
      <c r="A192" s="37">
        <v>56796</v>
      </c>
      <c r="B192" s="398">
        <f t="shared" ref="B192:C192" si="188">($A192-B$9)/365.25</f>
        <v>73.620807665982198</v>
      </c>
      <c r="C192" s="398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3254.2644699519233</v>
      </c>
      <c r="H192" s="25">
        <f>IF(B192&lt;62,0,'Combined Retirement'!$I$14)</f>
        <v>2345</v>
      </c>
      <c r="I192" s="25">
        <f>IF(C192&lt;62,0,'Combined Retirement'!$I$13)</f>
        <v>2420</v>
      </c>
      <c r="J192" s="25">
        <f t="shared" si="3"/>
        <v>7896.2379798201846</v>
      </c>
      <c r="K192" s="25">
        <f t="shared" si="4"/>
        <v>20367.195264578786</v>
      </c>
      <c r="L192" s="25"/>
      <c r="N192" s="25">
        <f>'Combined Retirement'!$C$18/12</f>
        <v>39153.069999999992</v>
      </c>
      <c r="O192" s="25">
        <f t="shared" si="5"/>
        <v>10889.636755601023</v>
      </c>
      <c r="P192" s="25">
        <f t="shared" si="6"/>
        <v>28263.43324439897</v>
      </c>
      <c r="Q192" s="25">
        <f t="array" aca="1" ref="Q192" ca="1">INDEX('Isaac 401k'!L:L,MATCH('Retirement Calculator'!A192,'Isaac 401k'!N:N,0),0)</f>
        <v>1815167.0783418382</v>
      </c>
      <c r="R192" s="25">
        <f t="array" aca="1" ref="R192" ca="1">INDEX('Lorri 401b'!L:L,MATCH('Retirement Calculator'!A192,'Lorri 401b'!N:N,0),0)</f>
        <v>4101249.8143703961</v>
      </c>
      <c r="S192" s="25">
        <f t="shared" ca="1" si="7"/>
        <v>5916416.8927122345</v>
      </c>
    </row>
    <row r="193" spans="1:19" ht="15.75" customHeight="1" x14ac:dyDescent="0.3">
      <c r="A193" s="37">
        <v>56827</v>
      </c>
      <c r="B193" s="398">
        <f t="shared" ref="B193:C193" si="189">($A193-B$9)/365.25</f>
        <v>73.705681040383297</v>
      </c>
      <c r="C193" s="398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3254.2644699519233</v>
      </c>
      <c r="H193" s="25">
        <f>IF(B193&lt;62,0,'Combined Retirement'!$I$14)</f>
        <v>2345</v>
      </c>
      <c r="I193" s="25">
        <f>IF(C193&lt;62,0,'Combined Retirement'!$I$13)</f>
        <v>2420</v>
      </c>
      <c r="J193" s="25">
        <f t="shared" si="3"/>
        <v>7896.2379798201846</v>
      </c>
      <c r="K193" s="25">
        <f t="shared" si="4"/>
        <v>20367.195264578786</v>
      </c>
      <c r="L193" s="25"/>
      <c r="N193" s="25">
        <f>'Combined Retirement'!$C$18/12</f>
        <v>39153.069999999992</v>
      </c>
      <c r="O193" s="25">
        <f t="shared" si="5"/>
        <v>10889.636755601023</v>
      </c>
      <c r="P193" s="25">
        <f t="shared" si="6"/>
        <v>28263.43324439897</v>
      </c>
      <c r="Q193" s="25">
        <f t="array" aca="1" ref="Q193" ca="1">INDEX('Isaac 401k'!L:L,MATCH('Retirement Calculator'!A193,'Isaac 401k'!N:N,0),0)</f>
        <v>1814801.1355301931</v>
      </c>
      <c r="R193" s="25">
        <f t="array" aca="1" ref="R193" ca="1">INDEX('Lorri 401b'!L:L,MATCH('Retirement Calculator'!A193,'Lorri 401b'!N:N,0),0)</f>
        <v>4097886.2966854246</v>
      </c>
      <c r="S193" s="25">
        <f t="shared" ca="1" si="7"/>
        <v>5912687.432215618</v>
      </c>
    </row>
    <row r="194" spans="1:19" ht="15.75" customHeight="1" x14ac:dyDescent="0.3">
      <c r="A194" s="37">
        <v>56858</v>
      </c>
      <c r="B194" s="398">
        <f t="shared" ref="B194:C194" si="190">($A194-B$9)/365.25</f>
        <v>73.790554414784395</v>
      </c>
      <c r="C194" s="398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3254.2644699519233</v>
      </c>
      <c r="H194" s="25">
        <f>IF(B194&lt;62,0,'Combined Retirement'!$I$14)</f>
        <v>2345</v>
      </c>
      <c r="I194" s="25">
        <f>IF(C194&lt;62,0,'Combined Retirement'!$I$13)</f>
        <v>2420</v>
      </c>
      <c r="J194" s="25">
        <f t="shared" si="3"/>
        <v>7896.2379798201846</v>
      </c>
      <c r="K194" s="25">
        <f t="shared" si="4"/>
        <v>20367.195264578786</v>
      </c>
      <c r="L194" s="25"/>
      <c r="N194" s="25">
        <f>'Combined Retirement'!$C$18/12</f>
        <v>39153.069999999992</v>
      </c>
      <c r="O194" s="25">
        <f t="shared" si="5"/>
        <v>10889.636755601023</v>
      </c>
      <c r="P194" s="25">
        <f t="shared" si="6"/>
        <v>28263.43324439897</v>
      </c>
      <c r="Q194" s="25">
        <f t="array" aca="1" ref="Q194" ca="1">INDEX('Isaac 401k'!L:L,MATCH('Retirement Calculator'!A194,'Isaac 401k'!N:N,0),0)</f>
        <v>1814433.6679568328</v>
      </c>
      <c r="R194" s="25">
        <f t="array" aca="1" ref="R194" ca="1">INDEX('Lorri 401b'!L:L,MATCH('Retirement Calculator'!A194,'Lorri 401b'!N:N,0),0)</f>
        <v>4094508.7643434326</v>
      </c>
      <c r="S194" s="25">
        <f t="shared" ca="1" si="7"/>
        <v>5908942.4323002659</v>
      </c>
    </row>
    <row r="195" spans="1:19" ht="15.75" customHeight="1" x14ac:dyDescent="0.3">
      <c r="A195" s="37">
        <v>56888</v>
      </c>
      <c r="B195" s="398">
        <f t="shared" ref="B195:C195" si="191">($A195-B$9)/365.25</f>
        <v>73.872689938398352</v>
      </c>
      <c r="C195" s="398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3254.2644699519233</v>
      </c>
      <c r="H195" s="25">
        <f>IF(B195&lt;62,0,'Combined Retirement'!$I$14)</f>
        <v>2345</v>
      </c>
      <c r="I195" s="25">
        <f>IF(C195&lt;62,0,'Combined Retirement'!$I$13)</f>
        <v>2420</v>
      </c>
      <c r="J195" s="25">
        <f t="shared" si="3"/>
        <v>7896.2379798201846</v>
      </c>
      <c r="K195" s="25">
        <f t="shared" si="4"/>
        <v>20367.195264578786</v>
      </c>
      <c r="L195" s="25"/>
      <c r="N195" s="25">
        <f>'Combined Retirement'!$C$18/12</f>
        <v>39153.069999999992</v>
      </c>
      <c r="O195" s="25">
        <f t="shared" si="5"/>
        <v>10889.636755601023</v>
      </c>
      <c r="P195" s="25">
        <f t="shared" si="6"/>
        <v>28263.43324439897</v>
      </c>
      <c r="Q195" s="25">
        <f t="array" aca="1" ref="Q195" ca="1">INDEX('Isaac 401k'!L:L,MATCH('Retirement Calculator'!A195,'Isaac 401k'!N:N,0),0)</f>
        <v>1814064.6692685834</v>
      </c>
      <c r="R195" s="25">
        <f t="array" aca="1" ref="R195" ca="1">INDEX('Lorri 401b'!L:L,MATCH('Retirement Calculator'!A195,'Lorri 401b'!N:N,0),0)</f>
        <v>4091117.1589500159</v>
      </c>
      <c r="S195" s="25">
        <f t="shared" ca="1" si="7"/>
        <v>5905181.8282185998</v>
      </c>
    </row>
    <row r="196" spans="1:19" ht="15.75" customHeight="1" x14ac:dyDescent="0.3">
      <c r="A196" s="37">
        <v>56919</v>
      </c>
      <c r="B196" s="398">
        <f t="shared" ref="B196:C196" si="192">($A196-B$9)/365.25</f>
        <v>73.957563312799451</v>
      </c>
      <c r="C196" s="398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3254.2644699519233</v>
      </c>
      <c r="H196" s="25">
        <f>IF(B196&lt;62,0,'Combined Retirement'!$I$14)</f>
        <v>2345</v>
      </c>
      <c r="I196" s="25">
        <f>IF(C196&lt;62,0,'Combined Retirement'!$I$13)</f>
        <v>2420</v>
      </c>
      <c r="J196" s="25">
        <f t="shared" si="3"/>
        <v>7896.2379798201846</v>
      </c>
      <c r="K196" s="25">
        <f t="shared" si="4"/>
        <v>20367.195264578786</v>
      </c>
      <c r="L196" s="25"/>
      <c r="N196" s="25">
        <f>'Combined Retirement'!$C$18/12</f>
        <v>39153.069999999992</v>
      </c>
      <c r="O196" s="25">
        <f t="shared" si="5"/>
        <v>10889.636755601023</v>
      </c>
      <c r="P196" s="25">
        <f t="shared" si="6"/>
        <v>28263.43324439897</v>
      </c>
      <c r="Q196" s="25">
        <f t="array" aca="1" ref="Q196" ca="1">INDEX('Isaac 401k'!L:L,MATCH('Retirement Calculator'!A196,'Isaac 401k'!N:N,0),0)</f>
        <v>1813694.1330857996</v>
      </c>
      <c r="R196" s="25">
        <f t="array" aca="1" ref="R196" ca="1">INDEX('Lorri 401b'!L:L,MATCH('Retirement Calculator'!A196,'Lorri 401b'!N:N,0),0)</f>
        <v>4087711.4218674595</v>
      </c>
      <c r="S196" s="25">
        <f t="shared" ca="1" si="7"/>
        <v>5901405.5549532594</v>
      </c>
    </row>
    <row r="197" spans="1:19" ht="15.75" customHeight="1" x14ac:dyDescent="0.3">
      <c r="A197" s="37">
        <v>56949</v>
      </c>
      <c r="B197" s="398">
        <f t="shared" ref="B197:C197" si="193">($A197-B$9)/365.25</f>
        <v>74.039698836413422</v>
      </c>
      <c r="C197" s="398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3254.2644699519233</v>
      </c>
      <c r="H197" s="25">
        <f>IF(B197&lt;62,0,'Combined Retirement'!$I$14)</f>
        <v>2345</v>
      </c>
      <c r="I197" s="25">
        <f>IF(C197&lt;62,0,'Combined Retirement'!$I$13)</f>
        <v>2420</v>
      </c>
      <c r="J197" s="25">
        <f t="shared" si="3"/>
        <v>7896.2379798201846</v>
      </c>
      <c r="K197" s="25">
        <f t="shared" si="4"/>
        <v>20367.195264578786</v>
      </c>
      <c r="L197" s="25"/>
      <c r="N197" s="25">
        <f>'Combined Retirement'!$C$18/12</f>
        <v>39153.069999999992</v>
      </c>
      <c r="O197" s="25">
        <f t="shared" si="5"/>
        <v>10889.636755601023</v>
      </c>
      <c r="P197" s="25">
        <f t="shared" si="6"/>
        <v>28263.43324439897</v>
      </c>
      <c r="Q197" s="25">
        <f t="array" aca="1" ref="Q197" ca="1">INDEX('Isaac 401k'!L:L,MATCH('Retirement Calculator'!A197,'Isaac 401k'!N:N,0),0)</f>
        <v>1813322.0530022543</v>
      </c>
      <c r="R197" s="25">
        <f t="array" aca="1" ref="R197" ca="1">INDEX('Lorri 401b'!L:L,MATCH('Retirement Calculator'!A197,'Lorri 401b'!N:N,0),0)</f>
        <v>4084291.4942137259</v>
      </c>
      <c r="S197" s="25">
        <f t="shared" ca="1" si="7"/>
        <v>5897613.5472159805</v>
      </c>
    </row>
    <row r="198" spans="1:19" ht="15.75" customHeight="1" x14ac:dyDescent="0.3">
      <c r="A198" s="37">
        <v>56980</v>
      </c>
      <c r="B198" s="398">
        <f t="shared" ref="B198:C198" si="194">($A198-B$9)/365.25</f>
        <v>74.124572210814506</v>
      </c>
      <c r="C198" s="398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3254.2644699519233</v>
      </c>
      <c r="H198" s="25">
        <f>IF(B198&lt;62,0,'Combined Retirement'!$I$14)</f>
        <v>2345</v>
      </c>
      <c r="I198" s="25">
        <f>IF(C198&lt;62,0,'Combined Retirement'!$I$13)</f>
        <v>2420</v>
      </c>
      <c r="J198" s="25">
        <f t="shared" si="3"/>
        <v>7896.2379798201846</v>
      </c>
      <c r="K198" s="25">
        <f t="shared" si="4"/>
        <v>20367.195264578786</v>
      </c>
      <c r="L198" s="25"/>
      <c r="N198" s="25">
        <f>'Combined Retirement'!$C$18/12</f>
        <v>39153.069999999992</v>
      </c>
      <c r="O198" s="25">
        <f t="shared" si="5"/>
        <v>10889.636755601023</v>
      </c>
      <c r="P198" s="25">
        <f t="shared" si="6"/>
        <v>28263.43324439897</v>
      </c>
      <c r="Q198" s="25">
        <f t="array" aca="1" ref="Q198" ca="1">INDEX('Isaac 401k'!L:L,MATCH('Retirement Calculator'!A198,'Isaac 401k'!N:N,0),0)</f>
        <v>1812948.4225850275</v>
      </c>
      <c r="R198" s="25">
        <f t="array" aca="1" ref="R198" ca="1">INDEX('Lorri 401b'!L:L,MATCH('Retirement Calculator'!A198,'Lorri 401b'!N:N,0),0)</f>
        <v>4080857.3168614353</v>
      </c>
      <c r="S198" s="25">
        <f t="shared" ca="1" si="7"/>
        <v>5893805.7394464631</v>
      </c>
    </row>
    <row r="199" spans="1:19" ht="15.75" customHeight="1" x14ac:dyDescent="0.3">
      <c r="A199" s="37">
        <v>57011</v>
      </c>
      <c r="B199" s="398">
        <f t="shared" ref="B199:C199" si="195">($A199-B$9)/365.25</f>
        <v>74.209445585215605</v>
      </c>
      <c r="C199" s="398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3254.2644699519233</v>
      </c>
      <c r="H199" s="25">
        <f>IF(B199&lt;62,0,'Combined Retirement'!$I$14)</f>
        <v>2345</v>
      </c>
      <c r="I199" s="25">
        <f>IF(C199&lt;62,0,'Combined Retirement'!$I$13)</f>
        <v>2420</v>
      </c>
      <c r="J199" s="25">
        <f t="shared" si="3"/>
        <v>7896.2379798201846</v>
      </c>
      <c r="K199" s="25">
        <f t="shared" si="4"/>
        <v>20367.195264578786</v>
      </c>
      <c r="L199" s="25"/>
      <c r="N199" s="25">
        <f>'Combined Retirement'!$C$18/12</f>
        <v>39153.069999999992</v>
      </c>
      <c r="O199" s="25">
        <f t="shared" si="5"/>
        <v>10889.636755601023</v>
      </c>
      <c r="P199" s="25">
        <f t="shared" si="6"/>
        <v>28263.43324439897</v>
      </c>
      <c r="Q199" s="25">
        <f t="array" aca="1" ref="Q199" ca="1">INDEX('Isaac 401k'!L:L,MATCH('Retirement Calculator'!A199,'Isaac 401k'!N:N,0),0)</f>
        <v>1812573.2353743957</v>
      </c>
      <c r="R199" s="25">
        <f t="array" aca="1" ref="R199" ca="1">INDEX('Lorri 401b'!L:L,MATCH('Retirement Calculator'!A199,'Lorri 401b'!N:N,0),0)</f>
        <v>4077408.8304368434</v>
      </c>
      <c r="S199" s="25">
        <f t="shared" ca="1" si="7"/>
        <v>5889982.0658112392</v>
      </c>
    </row>
    <row r="200" spans="1:19" ht="15.75" customHeight="1" x14ac:dyDescent="0.3">
      <c r="A200" s="37">
        <v>57040</v>
      </c>
      <c r="B200" s="398">
        <f t="shared" ref="B200:C200" si="196">($A200-B$9)/365.25</f>
        <v>74.288843258042434</v>
      </c>
      <c r="C200" s="398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3254.2644699519233</v>
      </c>
      <c r="H200" s="25">
        <f>IF(B200&lt;62,0,'Combined Retirement'!$I$14)</f>
        <v>2345</v>
      </c>
      <c r="I200" s="25">
        <f>IF(C200&lt;62,0,'Combined Retirement'!$I$13)</f>
        <v>2420</v>
      </c>
      <c r="J200" s="25">
        <f t="shared" si="3"/>
        <v>7896.2379798201846</v>
      </c>
      <c r="K200" s="25">
        <f t="shared" si="4"/>
        <v>20367.195264578786</v>
      </c>
      <c r="L200" s="25"/>
      <c r="N200" s="25">
        <f>'Combined Retirement'!$C$18/12</f>
        <v>39153.069999999992</v>
      </c>
      <c r="O200" s="25">
        <f t="shared" si="5"/>
        <v>10889.636755601023</v>
      </c>
      <c r="P200" s="25">
        <f t="shared" si="6"/>
        <v>28263.43324439897</v>
      </c>
      <c r="Q200" s="25">
        <f t="array" aca="1" ref="Q200" ca="1">INDEX('Isaac 401k'!L:L,MATCH('Retirement Calculator'!A200,'Isaac 401k'!N:N,0),0)</f>
        <v>1812196.4848837196</v>
      </c>
      <c r="R200" s="25">
        <f t="array" aca="1" ref="R200" ca="1">INDEX('Lorri 401b'!L:L,MATCH('Retirement Calculator'!A200,'Lorri 401b'!N:N,0),0)</f>
        <v>4073945.9753188156</v>
      </c>
      <c r="S200" s="25">
        <f t="shared" ca="1" si="7"/>
        <v>5886142.4602025356</v>
      </c>
    </row>
    <row r="201" spans="1:19" ht="15.75" customHeight="1" x14ac:dyDescent="0.3">
      <c r="A201" s="37">
        <v>57071</v>
      </c>
      <c r="B201" s="398">
        <f t="shared" ref="B201:C201" si="197">($A201-B$9)/365.25</f>
        <v>74.373716632443532</v>
      </c>
      <c r="C201" s="398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3254.2644699519233</v>
      </c>
      <c r="H201" s="25">
        <f>IF(B201&lt;62,0,'Combined Retirement'!$I$14)</f>
        <v>2345</v>
      </c>
      <c r="I201" s="25">
        <f>IF(C201&lt;62,0,'Combined Retirement'!$I$13)</f>
        <v>2420</v>
      </c>
      <c r="J201" s="25">
        <f t="shared" si="3"/>
        <v>7896.2379798201846</v>
      </c>
      <c r="K201" s="25">
        <f t="shared" si="4"/>
        <v>20367.195264578786</v>
      </c>
      <c r="L201" s="25"/>
      <c r="N201" s="25">
        <f>'Combined Retirement'!$C$18/12</f>
        <v>39153.069999999992</v>
      </c>
      <c r="O201" s="25">
        <f t="shared" si="5"/>
        <v>10889.636755601023</v>
      </c>
      <c r="P201" s="25">
        <f t="shared" si="6"/>
        <v>28263.43324439897</v>
      </c>
      <c r="Q201" s="25">
        <f t="array" aca="1" ref="Q201" ca="1">INDEX('Isaac 401k'!L:L,MATCH('Retirement Calculator'!A201,'Isaac 401k'!N:N,0),0)</f>
        <v>1811818.1645993323</v>
      </c>
      <c r="R201" s="25">
        <f t="array" aca="1" ref="R201" ca="1">INDEX('Lorri 401b'!L:L,MATCH('Retirement Calculator'!A201,'Lorri 401b'!N:N,0),0)</f>
        <v>4070468.6916377959</v>
      </c>
      <c r="S201" s="25">
        <f t="shared" ca="1" si="7"/>
        <v>5882286.8562371284</v>
      </c>
    </row>
    <row r="202" spans="1:19" ht="15.75" customHeight="1" x14ac:dyDescent="0.3">
      <c r="A202" s="37">
        <v>57101</v>
      </c>
      <c r="B202" s="398">
        <f t="shared" ref="B202:C202" si="198">($A202-B$9)/365.25</f>
        <v>74.455852156057489</v>
      </c>
      <c r="C202" s="398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3254.2644699519233</v>
      </c>
      <c r="H202" s="25">
        <f>IF(B202&lt;62,0,'Combined Retirement'!$I$14)</f>
        <v>2345</v>
      </c>
      <c r="I202" s="25">
        <f>IF(C202&lt;62,0,'Combined Retirement'!$I$13)</f>
        <v>2420</v>
      </c>
      <c r="J202" s="25">
        <f t="shared" si="3"/>
        <v>7896.2379798201846</v>
      </c>
      <c r="K202" s="25">
        <f t="shared" si="4"/>
        <v>20367.195264578786</v>
      </c>
      <c r="L202" s="25"/>
      <c r="N202" s="25">
        <f>'Combined Retirement'!$C$18/12</f>
        <v>39153.069999999992</v>
      </c>
      <c r="O202" s="25">
        <f t="shared" si="5"/>
        <v>10889.636755601023</v>
      </c>
      <c r="P202" s="25">
        <f t="shared" si="6"/>
        <v>28263.43324439897</v>
      </c>
      <c r="Q202" s="25">
        <f t="array" aca="1" ref="Q202" ca="1">INDEX('Isaac 401k'!L:L,MATCH('Retirement Calculator'!A202,'Isaac 401k'!N:N,0),0)</f>
        <v>1811438.2679804265</v>
      </c>
      <c r="R202" s="25">
        <f t="array" aca="1" ref="R202" ca="1">INDEX('Lorri 401b'!L:L,MATCH('Retirement Calculator'!A202,'Lorri 401b'!N:N,0),0)</f>
        <v>4066976.9192747721</v>
      </c>
      <c r="S202" s="25">
        <f t="shared" ca="1" si="7"/>
        <v>5878415.1872551981</v>
      </c>
    </row>
    <row r="203" spans="1:19" ht="15.75" customHeight="1" x14ac:dyDescent="0.3">
      <c r="A203" s="37">
        <v>57132</v>
      </c>
      <c r="B203" s="398">
        <f t="shared" ref="B203:C203" si="199">($A203-B$9)/365.25</f>
        <v>74.540725530458587</v>
      </c>
      <c r="C203" s="398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3254.2644699519233</v>
      </c>
      <c r="H203" s="25">
        <f>IF(B203&lt;62,0,'Combined Retirement'!$I$14)</f>
        <v>2345</v>
      </c>
      <c r="I203" s="25">
        <f>IF(C203&lt;62,0,'Combined Retirement'!$I$13)</f>
        <v>2420</v>
      </c>
      <c r="J203" s="25">
        <f t="shared" si="3"/>
        <v>7896.2379798201846</v>
      </c>
      <c r="K203" s="25">
        <f t="shared" si="4"/>
        <v>20367.195264578786</v>
      </c>
      <c r="L203" s="25"/>
      <c r="N203" s="25">
        <f>'Combined Retirement'!$C$18/12</f>
        <v>39153.069999999992</v>
      </c>
      <c r="O203" s="25">
        <f t="shared" si="5"/>
        <v>10889.636755601023</v>
      </c>
      <c r="P203" s="25">
        <f t="shared" si="6"/>
        <v>28263.43324439897</v>
      </c>
      <c r="Q203" s="25">
        <f t="array" aca="1" ref="Q203" ca="1">INDEX('Isaac 401k'!L:L,MATCH('Retirement Calculator'!A203,'Isaac 401k'!N:N,0),0)</f>
        <v>1811056.7884589422</v>
      </c>
      <c r="R203" s="25">
        <f t="array" aca="1" ref="R203" ca="1">INDEX('Lorri 401b'!L:L,MATCH('Retirement Calculator'!A203,'Lorri 401b'!N:N,0),0)</f>
        <v>4063470.5978602357</v>
      </c>
      <c r="S203" s="25">
        <f t="shared" ca="1" si="7"/>
        <v>5874527.3863191782</v>
      </c>
    </row>
    <row r="204" spans="1:19" ht="15.75" customHeight="1" x14ac:dyDescent="0.3">
      <c r="A204" s="37">
        <v>57162</v>
      </c>
      <c r="B204" s="398">
        <f t="shared" ref="B204:C204" si="200">($A204-B$9)/365.25</f>
        <v>74.622861054072558</v>
      </c>
      <c r="C204" s="398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3254.2644699519233</v>
      </c>
      <c r="H204" s="25">
        <f>IF(B204&lt;62,0,'Combined Retirement'!$I$14)</f>
        <v>2345</v>
      </c>
      <c r="I204" s="25">
        <f>IF(C204&lt;62,0,'Combined Retirement'!$I$13)</f>
        <v>2420</v>
      </c>
      <c r="J204" s="25">
        <f t="shared" si="3"/>
        <v>7896.2379798201846</v>
      </c>
      <c r="K204" s="25">
        <f t="shared" si="4"/>
        <v>20367.195264578786</v>
      </c>
      <c r="L204" s="25"/>
      <c r="N204" s="25">
        <f>'Combined Retirement'!$C$18/12</f>
        <v>39153.069999999992</v>
      </c>
      <c r="O204" s="25">
        <f t="shared" si="5"/>
        <v>10889.636755601023</v>
      </c>
      <c r="P204" s="25">
        <f t="shared" si="6"/>
        <v>28263.43324439897</v>
      </c>
      <c r="Q204" s="25">
        <f t="array" aca="1" ref="Q204" ca="1">INDEX('Isaac 401k'!L:L,MATCH('Retirement Calculator'!A204,'Isaac 401k'!N:N,0),0)</f>
        <v>1810673.7194394516</v>
      </c>
      <c r="R204" s="25">
        <f t="array" aca="1" ref="R204" ca="1">INDEX('Lorri 401b'!L:L,MATCH('Retirement Calculator'!A204,'Lorri 401b'!N:N,0),0)</f>
        <v>4059949.666773139</v>
      </c>
      <c r="S204" s="25">
        <f t="shared" ca="1" si="7"/>
        <v>5870623.3862125911</v>
      </c>
    </row>
    <row r="205" spans="1:19" ht="15.75" customHeight="1" x14ac:dyDescent="0.3">
      <c r="A205" s="37">
        <v>57193</v>
      </c>
      <c r="B205" s="398">
        <f t="shared" ref="B205:C205" si="201">($A205-B$9)/365.25</f>
        <v>74.707734428473643</v>
      </c>
      <c r="C205" s="398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3254.2644699519233</v>
      </c>
      <c r="H205" s="25">
        <f>IF(B205&lt;62,0,'Combined Retirement'!$I$14)</f>
        <v>2345</v>
      </c>
      <c r="I205" s="25">
        <f>IF(C205&lt;62,0,'Combined Retirement'!$I$13)</f>
        <v>2420</v>
      </c>
      <c r="J205" s="25">
        <f t="shared" si="3"/>
        <v>7896.2379798201846</v>
      </c>
      <c r="K205" s="25">
        <f t="shared" si="4"/>
        <v>20367.195264578786</v>
      </c>
      <c r="L205" s="25"/>
      <c r="N205" s="25">
        <f>'Combined Retirement'!$C$18/12</f>
        <v>39153.069999999992</v>
      </c>
      <c r="O205" s="25">
        <f t="shared" si="5"/>
        <v>10889.636755601023</v>
      </c>
      <c r="P205" s="25">
        <f t="shared" si="6"/>
        <v>28263.43324439897</v>
      </c>
      <c r="Q205" s="25">
        <f t="array" aca="1" ref="Q205" ca="1">INDEX('Isaac 401k'!L:L,MATCH('Retirement Calculator'!A205,'Isaac 401k'!N:N,0),0)</f>
        <v>1810289.0542990465</v>
      </c>
      <c r="R205" s="25">
        <f t="array" aca="1" ref="R205" ca="1">INDEX('Lorri 401b'!L:L,MATCH('Retirement Calculator'!A205,'Lorri 401b'!N:N,0),0)</f>
        <v>4056414.0651398459</v>
      </c>
      <c r="S205" s="25">
        <f t="shared" ca="1" si="7"/>
        <v>5866703.1194388922</v>
      </c>
    </row>
    <row r="206" spans="1:19" ht="15.75" customHeight="1" x14ac:dyDescent="0.3">
      <c r="A206" s="37">
        <v>57224</v>
      </c>
      <c r="B206" s="398">
        <f t="shared" ref="B206:C206" si="202">($A206-B$9)/365.25</f>
        <v>74.792607802874741</v>
      </c>
      <c r="C206" s="398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3254.2644699519233</v>
      </c>
      <c r="H206" s="25">
        <f>IF(B206&lt;62,0,'Combined Retirement'!$I$14)</f>
        <v>2345</v>
      </c>
      <c r="I206" s="25">
        <f>IF(C206&lt;62,0,'Combined Retirement'!$I$13)</f>
        <v>2420</v>
      </c>
      <c r="J206" s="25">
        <f t="shared" si="3"/>
        <v>7896.2379798201846</v>
      </c>
      <c r="K206" s="25">
        <f t="shared" si="4"/>
        <v>20367.195264578786</v>
      </c>
      <c r="L206" s="25"/>
      <c r="N206" s="25">
        <f>'Combined Retirement'!$C$18/12</f>
        <v>39153.069999999992</v>
      </c>
      <c r="O206" s="25">
        <f t="shared" si="5"/>
        <v>10889.636755601023</v>
      </c>
      <c r="P206" s="25">
        <f t="shared" si="6"/>
        <v>28263.43324439897</v>
      </c>
      <c r="Q206" s="25">
        <f t="array" aca="1" ref="Q206" ca="1">INDEX('Isaac 401k'!L:L,MATCH('Retirement Calculator'!A206,'Isaac 401k'!N:N,0),0)</f>
        <v>1809902.7863872231</v>
      </c>
      <c r="R206" s="25">
        <f t="array" aca="1" ref="R206" ca="1">INDEX('Lorri 401b'!L:L,MATCH('Retirement Calculator'!A206,'Lorri 401b'!N:N,0),0)</f>
        <v>4052863.7318330808</v>
      </c>
      <c r="S206" s="25">
        <f t="shared" ca="1" si="7"/>
        <v>5862766.5182203036</v>
      </c>
    </row>
    <row r="207" spans="1:19" ht="15.75" customHeight="1" x14ac:dyDescent="0.3">
      <c r="A207" s="37">
        <v>57254</v>
      </c>
      <c r="B207" s="398">
        <f t="shared" ref="B207:C207" si="203">($A207-B$9)/365.25</f>
        <v>74.874743326488712</v>
      </c>
      <c r="C207" s="398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3254.2644699519233</v>
      </c>
      <c r="H207" s="25">
        <f>IF(B207&lt;62,0,'Combined Retirement'!$I$14)</f>
        <v>2345</v>
      </c>
      <c r="I207" s="25">
        <f>IF(C207&lt;62,0,'Combined Retirement'!$I$13)</f>
        <v>2420</v>
      </c>
      <c r="J207" s="25">
        <f t="shared" si="3"/>
        <v>7896.2379798201846</v>
      </c>
      <c r="K207" s="25">
        <f t="shared" si="4"/>
        <v>20367.195264578786</v>
      </c>
      <c r="L207" s="25"/>
      <c r="N207" s="25">
        <f>'Combined Retirement'!$C$18/12</f>
        <v>39153.069999999992</v>
      </c>
      <c r="O207" s="25">
        <f t="shared" si="5"/>
        <v>10889.636755601023</v>
      </c>
      <c r="P207" s="25">
        <f t="shared" si="6"/>
        <v>28263.43324439897</v>
      </c>
      <c r="Q207" s="25">
        <f t="array" aca="1" ref="Q207" ca="1">INDEX('Isaac 401k'!L:L,MATCH('Retirement Calculator'!A207,'Isaac 401k'!N:N,0),0)</f>
        <v>1809514.9090257669</v>
      </c>
      <c r="R207" s="25">
        <f t="array" aca="1" ref="R207" ca="1">INDEX('Lorri 401b'!L:L,MATCH('Retirement Calculator'!A207,'Lorri 401b'!N:N,0),0)</f>
        <v>4049298.6054708706</v>
      </c>
      <c r="S207" s="25">
        <f t="shared" ca="1" si="7"/>
        <v>5858813.5144966375</v>
      </c>
    </row>
    <row r="208" spans="1:19" ht="15.75" customHeight="1" x14ac:dyDescent="0.3">
      <c r="A208" s="37">
        <v>57285</v>
      </c>
      <c r="B208" s="398">
        <f t="shared" ref="B208:C208" si="204">($A208-B$9)/365.25</f>
        <v>74.959616700889796</v>
      </c>
      <c r="C208" s="398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3254.2644699519233</v>
      </c>
      <c r="H208" s="25">
        <f>IF(B208&lt;62,0,'Combined Retirement'!$I$14)</f>
        <v>2345</v>
      </c>
      <c r="I208" s="25">
        <f>IF(C208&lt;62,0,'Combined Retirement'!$I$13)</f>
        <v>2420</v>
      </c>
      <c r="J208" s="25">
        <f t="shared" si="3"/>
        <v>7896.2379798201846</v>
      </c>
      <c r="K208" s="25">
        <f t="shared" si="4"/>
        <v>20367.195264578786</v>
      </c>
      <c r="L208" s="25"/>
      <c r="N208" s="25">
        <f>'Combined Retirement'!$C$18/12</f>
        <v>39153.069999999992</v>
      </c>
      <c r="O208" s="25">
        <f t="shared" si="5"/>
        <v>10889.636755601023</v>
      </c>
      <c r="P208" s="25">
        <f t="shared" si="6"/>
        <v>28263.43324439897</v>
      </c>
      <c r="Q208" s="25">
        <f t="array" aca="1" ref="Q208" ca="1">INDEX('Isaac 401k'!L:L,MATCH('Retirement Calculator'!A208,'Isaac 401k'!N:N,0),0)</f>
        <v>1809125.4155086381</v>
      </c>
      <c r="R208" s="25">
        <f t="array" aca="1" ref="R208" ca="1">INDEX('Lorri 401b'!L:L,MATCH('Retirement Calculator'!A208,'Lorri 401b'!N:N,0),0)</f>
        <v>4045718.6244154847</v>
      </c>
      <c r="S208" s="25">
        <f t="shared" ca="1" si="7"/>
        <v>5854844.0399241224</v>
      </c>
    </row>
    <row r="209" spans="1:19" ht="15.75" customHeight="1" x14ac:dyDescent="0.3">
      <c r="A209" s="37">
        <v>57315</v>
      </c>
      <c r="B209" s="398">
        <f t="shared" ref="B209:C209" si="205">($A209-B$9)/365.25</f>
        <v>75.041752224503767</v>
      </c>
      <c r="C209" s="398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3254.2644699519233</v>
      </c>
      <c r="H209" s="25">
        <f>IF(B209&lt;62,0,'Combined Retirement'!$I$14)</f>
        <v>2345</v>
      </c>
      <c r="I209" s="25">
        <f>IF(C209&lt;62,0,'Combined Retirement'!$I$13)</f>
        <v>2420</v>
      </c>
      <c r="J209" s="25">
        <f t="shared" si="3"/>
        <v>7896.2379798201846</v>
      </c>
      <c r="K209" s="25">
        <f t="shared" si="4"/>
        <v>20367.195264578786</v>
      </c>
      <c r="L209" s="25"/>
      <c r="N209" s="25">
        <f>'Combined Retirement'!$C$18/12</f>
        <v>39153.069999999992</v>
      </c>
      <c r="O209" s="25">
        <f t="shared" si="5"/>
        <v>10889.636755601023</v>
      </c>
      <c r="P209" s="25">
        <f t="shared" si="6"/>
        <v>28263.43324439897</v>
      </c>
      <c r="Q209" s="25">
        <f t="array" aca="1" ref="Q209" ca="1">INDEX('Isaac 401k'!L:L,MATCH('Retirement Calculator'!A209,'Isaac 401k'!N:N,0),0)</f>
        <v>1808734.2991018547</v>
      </c>
      <c r="R209" s="25">
        <f t="array" aca="1" ref="R209" ca="1">INDEX('Lorri 401b'!L:L,MATCH('Retirement Calculator'!A209,'Lorri 401b'!N:N,0),0)</f>
        <v>4042123.726772368</v>
      </c>
      <c r="S209" s="25">
        <f t="shared" ca="1" si="7"/>
        <v>5850858.0258742226</v>
      </c>
    </row>
    <row r="210" spans="1:19" ht="15.75" customHeight="1" x14ac:dyDescent="0.3">
      <c r="A210" s="37">
        <v>57346</v>
      </c>
      <c r="B210" s="398">
        <f t="shared" ref="B210:C210" si="206">($A210-B$9)/365.25</f>
        <v>75.126625598904866</v>
      </c>
      <c r="C210" s="398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3254.2644699519233</v>
      </c>
      <c r="H210" s="25">
        <f>IF(B210&lt;62,0,'Combined Retirement'!$I$14)</f>
        <v>2345</v>
      </c>
      <c r="I210" s="25">
        <f>IF(C210&lt;62,0,'Combined Retirement'!$I$13)</f>
        <v>2420</v>
      </c>
      <c r="J210" s="25">
        <f t="shared" si="3"/>
        <v>7896.2379798201846</v>
      </c>
      <c r="K210" s="25">
        <f t="shared" si="4"/>
        <v>20367.195264578786</v>
      </c>
      <c r="L210" s="25"/>
      <c r="N210" s="25">
        <f>'Combined Retirement'!$C$18/12</f>
        <v>39153.069999999992</v>
      </c>
      <c r="O210" s="25">
        <f t="shared" si="5"/>
        <v>10889.636755601023</v>
      </c>
      <c r="P210" s="25">
        <f t="shared" si="6"/>
        <v>28263.43324439897</v>
      </c>
      <c r="Q210" s="25">
        <f t="array" aca="1" ref="Q210" ca="1">INDEX('Isaac 401k'!L:L,MATCH('Retirement Calculator'!A210,'Isaac 401k'!N:N,0),0)</f>
        <v>1808341.5530433762</v>
      </c>
      <c r="R210" s="25">
        <f t="array" aca="1" ref="R210" ca="1">INDEX('Lorri 401b'!L:L,MATCH('Retirement Calculator'!A210,'Lorri 401b'!N:N,0),0)</f>
        <v>4038513.8503890717</v>
      </c>
      <c r="S210" s="25">
        <f t="shared" ca="1" si="7"/>
        <v>5846855.4034324475</v>
      </c>
    </row>
    <row r="211" spans="1:19" ht="15.75" customHeight="1" x14ac:dyDescent="0.3">
      <c r="A211" s="37">
        <v>57377</v>
      </c>
      <c r="B211" s="398">
        <f t="shared" ref="B211:C211" si="207">($A211-B$9)/365.25</f>
        <v>75.21149897330595</v>
      </c>
      <c r="C211" s="398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3254.2644699519233</v>
      </c>
      <c r="H211" s="25">
        <f>IF(B211&lt;62,0,'Combined Retirement'!$I$14)</f>
        <v>2345</v>
      </c>
      <c r="I211" s="25">
        <f>IF(C211&lt;62,0,'Combined Retirement'!$I$13)</f>
        <v>2420</v>
      </c>
      <c r="J211" s="25">
        <f t="shared" si="3"/>
        <v>7896.2379798201846</v>
      </c>
      <c r="K211" s="25">
        <f t="shared" si="4"/>
        <v>20367.195264578786</v>
      </c>
      <c r="L211" s="25"/>
      <c r="N211" s="25">
        <f>'Combined Retirement'!$C$18/12</f>
        <v>39153.069999999992</v>
      </c>
      <c r="O211" s="25">
        <f t="shared" si="5"/>
        <v>10889.636755601023</v>
      </c>
      <c r="P211" s="25">
        <f t="shared" si="6"/>
        <v>28263.43324439897</v>
      </c>
      <c r="Q211" s="25">
        <f t="array" aca="1" ref="Q211" ca="1">INDEX('Isaac 401k'!L:L,MATCH('Retirement Calculator'!A211,'Isaac 401k'!N:N,0),0)</f>
        <v>1807947.1705429875</v>
      </c>
      <c r="R211" s="25">
        <f t="array" aca="1" ref="R211" ca="1">INDEX('Lorri 401b'!L:L,MATCH('Retirement Calculator'!A211,'Lorri 401b'!N:N,0),0)</f>
        <v>4034888.9328541784</v>
      </c>
      <c r="S211" s="25">
        <f t="shared" ca="1" si="7"/>
        <v>5842836.1033971664</v>
      </c>
    </row>
    <row r="212" spans="1:19" ht="15.75" customHeight="1" x14ac:dyDescent="0.3">
      <c r="A212" s="37">
        <v>57405</v>
      </c>
      <c r="B212" s="398">
        <f t="shared" ref="B212:C212" si="208">($A212-B$9)/365.25</f>
        <v>75.288158795345652</v>
      </c>
      <c r="C212" s="398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3254.2644699519233</v>
      </c>
      <c r="H212" s="25">
        <f>IF(B212&lt;62,0,'Combined Retirement'!$I$14)</f>
        <v>2345</v>
      </c>
      <c r="I212" s="25">
        <f>IF(C212&lt;62,0,'Combined Retirement'!$I$13)</f>
        <v>2420</v>
      </c>
      <c r="J212" s="25">
        <f t="shared" si="3"/>
        <v>7896.2379798201846</v>
      </c>
      <c r="K212" s="25">
        <f t="shared" si="4"/>
        <v>20367.195264578786</v>
      </c>
      <c r="L212" s="25"/>
      <c r="N212" s="25">
        <f>'Combined Retirement'!$C$18/12</f>
        <v>39153.069999999992</v>
      </c>
      <c r="O212" s="25">
        <f t="shared" si="5"/>
        <v>10889.636755601023</v>
      </c>
      <c r="P212" s="25">
        <f t="shared" si="6"/>
        <v>28263.43324439897</v>
      </c>
      <c r="Q212" s="25">
        <f t="array" aca="1" ref="Q212" ca="1">INDEX('Isaac 401k'!L:L,MATCH('Retirement Calculator'!A212,'Isaac 401k'!N:N,0),0)</f>
        <v>1807551.1447821804</v>
      </c>
      <c r="R212" s="25">
        <f t="array" aca="1" ref="R212" ca="1">INDEX('Lorri 401b'!L:L,MATCH('Retirement Calculator'!A212,'Lorri 401b'!N:N,0),0)</f>
        <v>4031248.911496223</v>
      </c>
      <c r="S212" s="25">
        <f t="shared" ca="1" si="7"/>
        <v>5838800.0562784038</v>
      </c>
    </row>
    <row r="213" spans="1:19" ht="15.75" customHeight="1" x14ac:dyDescent="0.3">
      <c r="A213" s="37">
        <v>57436</v>
      </c>
      <c r="B213" s="398">
        <f t="shared" ref="B213:C213" si="209">($A213-B$9)/365.25</f>
        <v>75.37303216974675</v>
      </c>
      <c r="C213" s="398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3254.2644699519233</v>
      </c>
      <c r="H213" s="25">
        <f>IF(B213&lt;62,0,'Combined Retirement'!$I$14)</f>
        <v>2345</v>
      </c>
      <c r="I213" s="25">
        <f>IF(C213&lt;62,0,'Combined Retirement'!$I$13)</f>
        <v>2420</v>
      </c>
      <c r="J213" s="25">
        <f t="shared" si="3"/>
        <v>7896.2379798201846</v>
      </c>
      <c r="K213" s="25">
        <f t="shared" si="4"/>
        <v>20367.195264578786</v>
      </c>
      <c r="L213" s="25"/>
      <c r="N213" s="25">
        <f>'Combined Retirement'!$C$18/12</f>
        <v>39153.069999999992</v>
      </c>
      <c r="O213" s="25">
        <f t="shared" si="5"/>
        <v>10889.636755601023</v>
      </c>
      <c r="P213" s="25">
        <f t="shared" si="6"/>
        <v>28263.43324439897</v>
      </c>
      <c r="Q213" s="25">
        <f t="array" aca="1" ref="Q213" ca="1">INDEX('Isaac 401k'!L:L,MATCH('Retirement Calculator'!A213,'Isaac 401k'!N:N,0),0)</f>
        <v>1807153.4689140366</v>
      </c>
      <c r="R213" s="25">
        <f t="array" aca="1" ref="R213" ca="1">INDEX('Lorri 401b'!L:L,MATCH('Retirement Calculator'!A213,'Lorri 401b'!N:N,0),0)</f>
        <v>4027593.7233826094</v>
      </c>
      <c r="S213" s="25">
        <f t="shared" ca="1" si="7"/>
        <v>5834747.1922966465</v>
      </c>
    </row>
    <row r="214" spans="1:19" ht="15.75" customHeight="1" x14ac:dyDescent="0.3">
      <c r="A214" s="37">
        <v>57466</v>
      </c>
      <c r="B214" s="398">
        <f t="shared" ref="B214:C214" si="210">($A214-B$9)/365.25</f>
        <v>75.455167693360707</v>
      </c>
      <c r="C214" s="398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3254.2644699519233</v>
      </c>
      <c r="H214" s="25">
        <f>IF(B214&lt;62,0,'Combined Retirement'!$I$14)</f>
        <v>2345</v>
      </c>
      <c r="I214" s="25">
        <f>IF(C214&lt;62,0,'Combined Retirement'!$I$13)</f>
        <v>2420</v>
      </c>
      <c r="J214" s="25">
        <f t="shared" si="3"/>
        <v>7896.2379798201846</v>
      </c>
      <c r="K214" s="25">
        <f t="shared" si="4"/>
        <v>20367.195264578786</v>
      </c>
      <c r="L214" s="25"/>
      <c r="N214" s="25">
        <f>'Combined Retirement'!$C$18/12</f>
        <v>39153.069999999992</v>
      </c>
      <c r="O214" s="25">
        <f t="shared" si="5"/>
        <v>10889.636755601023</v>
      </c>
      <c r="P214" s="25">
        <f t="shared" si="6"/>
        <v>28263.43324439897</v>
      </c>
      <c r="Q214" s="25">
        <f t="array" aca="1" ref="Q214" ca="1">INDEX('Isaac 401k'!L:L,MATCH('Retirement Calculator'!A214,'Isaac 401k'!N:N,0),0)</f>
        <v>1806754.1360631089</v>
      </c>
      <c r="R214" s="25">
        <f t="array" aca="1" ref="R214" ca="1">INDEX('Lorri 401b'!L:L,MATCH('Retirement Calculator'!A214,'Lorri 401b'!N:N,0),0)</f>
        <v>4023923.3053185223</v>
      </c>
      <c r="S214" s="25">
        <f t="shared" ca="1" si="7"/>
        <v>5830677.4413816314</v>
      </c>
    </row>
    <row r="215" spans="1:19" ht="15.75" customHeight="1" x14ac:dyDescent="0.3">
      <c r="A215" s="37">
        <v>57497</v>
      </c>
      <c r="B215" s="398">
        <f t="shared" ref="B215:C215" si="211">($A215-B$9)/365.25</f>
        <v>75.540041067761805</v>
      </c>
      <c r="C215" s="398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3254.2644699519233</v>
      </c>
      <c r="H215" s="25">
        <f>IF(B215&lt;62,0,'Combined Retirement'!$I$14)</f>
        <v>2345</v>
      </c>
      <c r="I215" s="25">
        <f>IF(C215&lt;62,0,'Combined Retirement'!$I$13)</f>
        <v>2420</v>
      </c>
      <c r="J215" s="25">
        <f t="shared" si="3"/>
        <v>7896.2379798201846</v>
      </c>
      <c r="K215" s="25">
        <f t="shared" si="4"/>
        <v>20367.195264578786</v>
      </c>
      <c r="L215" s="25"/>
      <c r="N215" s="25">
        <f>'Combined Retirement'!$C$18/12</f>
        <v>39153.069999999992</v>
      </c>
      <c r="O215" s="25">
        <f t="shared" si="5"/>
        <v>10889.636755601023</v>
      </c>
      <c r="P215" s="25">
        <f t="shared" si="6"/>
        <v>28263.43324439897</v>
      </c>
      <c r="Q215" s="25">
        <f t="array" aca="1" ref="Q215" ca="1">INDEX('Isaac 401k'!L:L,MATCH('Retirement Calculator'!A215,'Isaac 401k'!N:N,0),0)</f>
        <v>1806353.1393253023</v>
      </c>
      <c r="R215" s="25">
        <f t="array" aca="1" ref="R215" ca="1">INDEX('Lorri 401b'!L:L,MATCH('Retirement Calculator'!A215,'Lorri 401b'!N:N,0),0)</f>
        <v>4020237.593845835</v>
      </c>
      <c r="S215" s="25">
        <f t="shared" ca="1" si="7"/>
        <v>5826590.733171137</v>
      </c>
    </row>
    <row r="216" spans="1:19" ht="15.75" customHeight="1" x14ac:dyDescent="0.3">
      <c r="A216" s="37">
        <v>57527</v>
      </c>
      <c r="B216" s="398">
        <f t="shared" ref="B216:C216" si="212">($A216-B$9)/365.25</f>
        <v>75.622176591375776</v>
      </c>
      <c r="C216" s="398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3254.2644699519233</v>
      </c>
      <c r="H216" s="25">
        <f>IF(B216&lt;62,0,'Combined Retirement'!$I$14)</f>
        <v>2345</v>
      </c>
      <c r="I216" s="25">
        <f>IF(C216&lt;62,0,'Combined Retirement'!$I$13)</f>
        <v>2420</v>
      </c>
      <c r="J216" s="25">
        <f t="shared" si="3"/>
        <v>7896.2379798201846</v>
      </c>
      <c r="K216" s="25">
        <f t="shared" si="4"/>
        <v>20367.195264578786</v>
      </c>
      <c r="L216" s="25"/>
      <c r="N216" s="25">
        <f>'Combined Retirement'!$C$18/12</f>
        <v>39153.069999999992</v>
      </c>
      <c r="O216" s="25">
        <f t="shared" si="5"/>
        <v>10889.636755601023</v>
      </c>
      <c r="P216" s="25">
        <f t="shared" si="6"/>
        <v>28263.43324439897</v>
      </c>
      <c r="Q216" s="25">
        <f t="array" aca="1" ref="Q216" ca="1">INDEX('Isaac 401k'!L:L,MATCH('Retirement Calculator'!A216,'Isaac 401k'!N:N,0),0)</f>
        <v>1805950.471767755</v>
      </c>
      <c r="R216" s="25">
        <f t="array" aca="1" ref="R216" ca="1">INDEX('Lorri 401b'!L:L,MATCH('Retirement Calculator'!A216,'Lorri 401b'!N:N,0),0)</f>
        <v>4016536.5252420115</v>
      </c>
      <c r="S216" s="25">
        <f t="shared" ca="1" si="7"/>
        <v>5822486.9970097663</v>
      </c>
    </row>
    <row r="217" spans="1:19" ht="15.75" customHeight="1" x14ac:dyDescent="0.3">
      <c r="A217" s="37">
        <v>57558</v>
      </c>
      <c r="B217" s="398">
        <f t="shared" ref="B217:C217" si="213">($A217-B$9)/365.25</f>
        <v>75.707049965776861</v>
      </c>
      <c r="C217" s="398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3254.2644699519233</v>
      </c>
      <c r="H217" s="25">
        <f>IF(B217&lt;62,0,'Combined Retirement'!$I$14)</f>
        <v>2345</v>
      </c>
      <c r="I217" s="25">
        <f>IF(C217&lt;62,0,'Combined Retirement'!$I$13)</f>
        <v>2420</v>
      </c>
      <c r="J217" s="25">
        <f t="shared" si="3"/>
        <v>7896.2379798201846</v>
      </c>
      <c r="K217" s="25">
        <f t="shared" si="4"/>
        <v>20367.195264578786</v>
      </c>
      <c r="L217" s="25"/>
      <c r="N217" s="25">
        <f>'Combined Retirement'!$C$18/12</f>
        <v>39153.069999999992</v>
      </c>
      <c r="O217" s="25">
        <f t="shared" si="5"/>
        <v>10889.636755601023</v>
      </c>
      <c r="P217" s="25">
        <f t="shared" si="6"/>
        <v>28263.43324439897</v>
      </c>
      <c r="Q217" s="25">
        <f t="array" aca="1" ref="Q217" ca="1">INDEX('Isaac 401k'!L:L,MATCH('Retirement Calculator'!A217,'Isaac 401k'!N:N,0),0)</f>
        <v>1805546.1264287177</v>
      </c>
      <c r="R217" s="25">
        <f t="array" aca="1" ref="R217" ca="1">INDEX('Lorri 401b'!L:L,MATCH('Retirement Calculator'!A217,'Lorri 401b'!N:N,0),0)</f>
        <v>4012820.0355190053</v>
      </c>
      <c r="S217" s="25">
        <f t="shared" ca="1" si="7"/>
        <v>5818366.1619477235</v>
      </c>
    </row>
    <row r="218" spans="1:19" ht="15.75" customHeight="1" x14ac:dyDescent="0.3">
      <c r="A218" s="37">
        <v>57589</v>
      </c>
      <c r="B218" s="398">
        <f t="shared" ref="B218:C218" si="214">($A218-B$9)/365.25</f>
        <v>75.791923340177959</v>
      </c>
      <c r="C218" s="398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3254.2644699519233</v>
      </c>
      <c r="H218" s="25">
        <f>IF(B218&lt;62,0,'Combined Retirement'!$I$14)</f>
        <v>2345</v>
      </c>
      <c r="I218" s="25">
        <f>IF(C218&lt;62,0,'Combined Retirement'!$I$13)</f>
        <v>2420</v>
      </c>
      <c r="J218" s="25">
        <f t="shared" si="3"/>
        <v>7896.2379798201846</v>
      </c>
      <c r="K218" s="25">
        <f t="shared" si="4"/>
        <v>20367.195264578786</v>
      </c>
      <c r="L218" s="25"/>
      <c r="N218" s="25">
        <f>'Combined Retirement'!$C$18/12</f>
        <v>39153.069999999992</v>
      </c>
      <c r="O218" s="25">
        <f t="shared" si="5"/>
        <v>10889.636755601023</v>
      </c>
      <c r="P218" s="25">
        <f t="shared" si="6"/>
        <v>28263.43324439897</v>
      </c>
      <c r="Q218" s="25">
        <f t="array" aca="1" ref="Q218" ca="1">INDEX('Isaac 401k'!L:L,MATCH('Retirement Calculator'!A218,'Isaac 401k'!N:N,0),0)</f>
        <v>1805140.0963174347</v>
      </c>
      <c r="R218" s="25">
        <f t="array" aca="1" ref="R218" ca="1">INDEX('Lorri 401b'!L:L,MATCH('Retirement Calculator'!A218,'Lorri 401b'!N:N,0),0)</f>
        <v>4009088.0604221532</v>
      </c>
      <c r="S218" s="25">
        <f t="shared" ca="1" si="7"/>
        <v>5814228.1567395879</v>
      </c>
    </row>
    <row r="219" spans="1:19" ht="15.75" customHeight="1" x14ac:dyDescent="0.3">
      <c r="A219" s="37">
        <v>57619</v>
      </c>
      <c r="B219" s="398">
        <f t="shared" ref="B219:C219" si="215">($A219-B$9)/365.25</f>
        <v>75.87405886379193</v>
      </c>
      <c r="C219" s="398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3254.2644699519233</v>
      </c>
      <c r="H219" s="25">
        <f>IF(B219&lt;62,0,'Combined Retirement'!$I$14)</f>
        <v>2345</v>
      </c>
      <c r="I219" s="25">
        <f>IF(C219&lt;62,0,'Combined Retirement'!$I$13)</f>
        <v>2420</v>
      </c>
      <c r="J219" s="25">
        <f t="shared" si="3"/>
        <v>7896.2379798201846</v>
      </c>
      <c r="K219" s="25">
        <f t="shared" si="4"/>
        <v>20367.195264578786</v>
      </c>
      <c r="L219" s="25"/>
      <c r="N219" s="25">
        <f>'Combined Retirement'!$C$18/12</f>
        <v>39153.069999999992</v>
      </c>
      <c r="O219" s="25">
        <f t="shared" si="5"/>
        <v>10889.636755601023</v>
      </c>
      <c r="P219" s="25">
        <f t="shared" si="6"/>
        <v>28263.43324439897</v>
      </c>
      <c r="Q219" s="25">
        <f t="array" aca="1" ref="Q219" ca="1">INDEX('Isaac 401k'!L:L,MATCH('Retirement Calculator'!A219,'Isaac 401k'!N:N,0),0)</f>
        <v>1804732.3744140211</v>
      </c>
      <c r="R219" s="25">
        <f t="array" aca="1" ref="R219" ca="1">INDEX('Lorri 401b'!L:L,MATCH('Retirement Calculator'!A219,'Lorri 401b'!N:N,0),0)</f>
        <v>4005340.5354290642</v>
      </c>
      <c r="S219" s="25">
        <f t="shared" ca="1" si="7"/>
        <v>5810072.9098430853</v>
      </c>
    </row>
    <row r="220" spans="1:19" ht="15.75" customHeight="1" x14ac:dyDescent="0.3">
      <c r="A220" s="37">
        <v>57650</v>
      </c>
      <c r="B220" s="398">
        <f t="shared" ref="B220:C220" si="216">($A220-B$9)/365.25</f>
        <v>75.958932238193015</v>
      </c>
      <c r="C220" s="398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3254.2644699519233</v>
      </c>
      <c r="H220" s="25">
        <f>IF(B220&lt;62,0,'Combined Retirement'!$I$14)</f>
        <v>2345</v>
      </c>
      <c r="I220" s="25">
        <f>IF(C220&lt;62,0,'Combined Retirement'!$I$13)</f>
        <v>2420</v>
      </c>
      <c r="J220" s="25">
        <f t="shared" si="3"/>
        <v>7896.2379798201846</v>
      </c>
      <c r="K220" s="25">
        <f t="shared" si="4"/>
        <v>20367.195264578786</v>
      </c>
      <c r="L220" s="25"/>
      <c r="N220" s="25">
        <f>'Combined Retirement'!$C$18/12</f>
        <v>39153.069999999992</v>
      </c>
      <c r="O220" s="25">
        <f t="shared" si="5"/>
        <v>10889.636755601023</v>
      </c>
      <c r="P220" s="25">
        <f t="shared" si="6"/>
        <v>28263.43324439897</v>
      </c>
      <c r="Q220" s="25">
        <f t="array" aca="1" ref="Q220" ca="1">INDEX('Isaac 401k'!L:L,MATCH('Retirement Calculator'!A220,'Isaac 401k'!N:N,0),0)</f>
        <v>1804322.9536693434</v>
      </c>
      <c r="R220" s="25">
        <f t="array" aca="1" ref="R220" ca="1">INDEX('Lorri 401b'!L:L,MATCH('Retirement Calculator'!A220,'Lorri 401b'!N:N,0),0)</f>
        <v>4001577.395748504</v>
      </c>
      <c r="S220" s="25">
        <f t="shared" ca="1" si="7"/>
        <v>5805900.3494178476</v>
      </c>
    </row>
    <row r="221" spans="1:19" ht="15.75" customHeight="1" x14ac:dyDescent="0.3">
      <c r="A221" s="37">
        <v>57680</v>
      </c>
      <c r="B221" s="398">
        <f t="shared" ref="B221:C221" si="217">($A221-B$9)/365.25</f>
        <v>76.041067761806985</v>
      </c>
      <c r="C221" s="398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3254.2644699519233</v>
      </c>
      <c r="H221" s="25">
        <f>IF(B221&lt;62,0,'Combined Retirement'!$I$14)</f>
        <v>2345</v>
      </c>
      <c r="I221" s="25">
        <f>IF(C221&lt;62,0,'Combined Retirement'!$I$13)</f>
        <v>2420</v>
      </c>
      <c r="J221" s="25">
        <f t="shared" si="3"/>
        <v>7896.2379798201846</v>
      </c>
      <c r="K221" s="25">
        <f t="shared" si="4"/>
        <v>20367.195264578786</v>
      </c>
      <c r="L221" s="25"/>
      <c r="N221" s="25">
        <f>'Combined Retirement'!$C$18/12</f>
        <v>39153.069999999992</v>
      </c>
      <c r="O221" s="25">
        <f t="shared" si="5"/>
        <v>10889.636755601023</v>
      </c>
      <c r="P221" s="25">
        <f t="shared" si="6"/>
        <v>28263.43324439897</v>
      </c>
      <c r="Q221" s="25">
        <f t="array" aca="1" ref="Q221" ca="1">INDEX('Isaac 401k'!L:L,MATCH('Retirement Calculator'!A221,'Isaac 401k'!N:N,0),0)</f>
        <v>1803911.8270048962</v>
      </c>
      <c r="R221" s="25">
        <f t="array" aca="1" ref="R221" ca="1">INDEX('Lorri 401b'!L:L,MATCH('Retirement Calculator'!A221,'Lorri 401b'!N:N,0),0)</f>
        <v>3997798.576319275</v>
      </c>
      <c r="S221" s="25">
        <f t="shared" ca="1" si="7"/>
        <v>5801710.403324171</v>
      </c>
    </row>
    <row r="222" spans="1:19" ht="15.75" customHeight="1" x14ac:dyDescent="0.3">
      <c r="A222" s="37">
        <v>57711</v>
      </c>
      <c r="B222" s="398">
        <f t="shared" ref="B222:C222" si="218">($A222-B$9)/365.25</f>
        <v>76.12594113620807</v>
      </c>
      <c r="C222" s="398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3254.2644699519233</v>
      </c>
      <c r="H222" s="25">
        <f>IF(B222&lt;62,0,'Combined Retirement'!$I$14)</f>
        <v>2345</v>
      </c>
      <c r="I222" s="25">
        <f>IF(C222&lt;62,0,'Combined Retirement'!$I$13)</f>
        <v>2420</v>
      </c>
      <c r="J222" s="25">
        <f t="shared" si="3"/>
        <v>7896.2379798201846</v>
      </c>
      <c r="K222" s="25">
        <f t="shared" si="4"/>
        <v>20367.195264578786</v>
      </c>
      <c r="L222" s="25"/>
      <c r="N222" s="25">
        <f>'Combined Retirement'!$C$18/12</f>
        <v>39153.069999999992</v>
      </c>
      <c r="O222" s="25">
        <f t="shared" si="5"/>
        <v>10889.636755601023</v>
      </c>
      <c r="P222" s="25">
        <f t="shared" si="6"/>
        <v>28263.43324439897</v>
      </c>
      <c r="Q222" s="25">
        <f t="array" aca="1" ref="Q222" ca="1">INDEX('Isaac 401k'!L:L,MATCH('Retirement Calculator'!A222,'Isaac 401k'!N:N,0),0)</f>
        <v>1803498.9873126806</v>
      </c>
      <c r="R222" s="25">
        <f t="array" aca="1" ref="R222" ca="1">INDEX('Lorri 401b'!L:L,MATCH('Retirement Calculator'!A222,'Lorri 401b'!N:N,0),0)</f>
        <v>3994004.0118090906</v>
      </c>
      <c r="S222" s="25">
        <f t="shared" ca="1" si="7"/>
        <v>5797502.9991217712</v>
      </c>
    </row>
    <row r="223" spans="1:19" ht="15.75" customHeight="1" x14ac:dyDescent="0.3">
      <c r="A223" s="37">
        <v>57742</v>
      </c>
      <c r="B223" s="398">
        <f t="shared" ref="B223:C223" si="219">($A223-B$9)/365.25</f>
        <v>76.210814510609168</v>
      </c>
      <c r="C223" s="398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3254.2644699519233</v>
      </c>
      <c r="H223" s="25">
        <f>IF(B223&lt;62,0,'Combined Retirement'!$I$14)</f>
        <v>2345</v>
      </c>
      <c r="I223" s="25">
        <f>IF(C223&lt;62,0,'Combined Retirement'!$I$13)</f>
        <v>2420</v>
      </c>
      <c r="J223" s="25">
        <f t="shared" si="3"/>
        <v>7896.2379798201846</v>
      </c>
      <c r="K223" s="25">
        <f t="shared" si="4"/>
        <v>20367.195264578786</v>
      </c>
      <c r="L223" s="25"/>
      <c r="N223" s="25">
        <f>'Combined Retirement'!$C$18/12</f>
        <v>39153.069999999992</v>
      </c>
      <c r="O223" s="25">
        <f t="shared" si="5"/>
        <v>10889.636755601023</v>
      </c>
      <c r="P223" s="25">
        <f t="shared" si="6"/>
        <v>28263.43324439897</v>
      </c>
      <c r="Q223" s="25">
        <f t="array" aca="1" ref="Q223" ca="1">INDEX('Isaac 401k'!L:L,MATCH('Retirement Calculator'!A223,'Isaac 401k'!N:N,0),0)</f>
        <v>1803084.4274550807</v>
      </c>
      <c r="R223" s="25">
        <f t="array" aca="1" ref="R223" ca="1">INDEX('Lorri 401b'!L:L,MATCH('Retirement Calculator'!A223,'Lorri 401b'!N:N,0),0)</f>
        <v>3990193.6366134472</v>
      </c>
      <c r="S223" s="25">
        <f t="shared" ca="1" si="7"/>
        <v>5793278.0640685279</v>
      </c>
    </row>
    <row r="224" spans="1:19" ht="15.75" customHeight="1" x14ac:dyDescent="0.3">
      <c r="A224" s="37">
        <v>57770</v>
      </c>
      <c r="B224" s="398">
        <f t="shared" ref="B224:C224" si="220">($A224-B$9)/365.25</f>
        <v>76.28747433264887</v>
      </c>
      <c r="C224" s="398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3254.2644699519233</v>
      </c>
      <c r="H224" s="25">
        <f>IF(B224&lt;62,0,'Combined Retirement'!$I$14)</f>
        <v>2345</v>
      </c>
      <c r="I224" s="25">
        <f>IF(C224&lt;62,0,'Combined Retirement'!$I$13)</f>
        <v>2420</v>
      </c>
      <c r="J224" s="25">
        <f t="shared" si="3"/>
        <v>7896.2379798201846</v>
      </c>
      <c r="K224" s="25">
        <f t="shared" si="4"/>
        <v>20367.195264578786</v>
      </c>
      <c r="L224" s="25"/>
      <c r="N224" s="25">
        <f>'Combined Retirement'!$C$18/12</f>
        <v>39153.069999999992</v>
      </c>
      <c r="O224" s="25">
        <f t="shared" si="5"/>
        <v>10889.636755601023</v>
      </c>
      <c r="P224" s="25">
        <f t="shared" si="6"/>
        <v>28263.43324439897</v>
      </c>
      <c r="Q224" s="25">
        <f t="array" aca="1" ref="Q224" ca="1">INDEX('Isaac 401k'!L:L,MATCH('Retirement Calculator'!A224,'Isaac 401k'!N:N,0),0)</f>
        <v>1802668.1402647407</v>
      </c>
      <c r="R224" s="25">
        <f t="array" aca="1" ref="R224" ca="1">INDEX('Lorri 401b'!L:L,MATCH('Retirement Calculator'!A224,'Lorri 401b'!N:N,0),0)</f>
        <v>3986367.3848544885</v>
      </c>
      <c r="S224" s="25">
        <f t="shared" ca="1" si="7"/>
        <v>5789035.5251192292</v>
      </c>
    </row>
    <row r="225" spans="1:19" ht="15.75" customHeight="1" x14ac:dyDescent="0.3">
      <c r="A225" s="37">
        <v>57801</v>
      </c>
      <c r="B225" s="398">
        <f t="shared" ref="B225:C225" si="221">($A225-B$9)/365.25</f>
        <v>76.372347707049968</v>
      </c>
      <c r="C225" s="398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3254.2644699519233</v>
      </c>
      <c r="H225" s="25">
        <f>IF(B225&lt;62,0,'Combined Retirement'!$I$14)</f>
        <v>2345</v>
      </c>
      <c r="I225" s="25">
        <f>IF(C225&lt;62,0,'Combined Retirement'!$I$13)</f>
        <v>2420</v>
      </c>
      <c r="J225" s="25">
        <f t="shared" si="3"/>
        <v>7896.2379798201846</v>
      </c>
      <c r="K225" s="25">
        <f t="shared" si="4"/>
        <v>20367.195264578786</v>
      </c>
      <c r="L225" s="25"/>
      <c r="N225" s="25">
        <f>'Combined Retirement'!$C$18/12</f>
        <v>39153.069999999992</v>
      </c>
      <c r="O225" s="25">
        <f t="shared" si="5"/>
        <v>10889.636755601023</v>
      </c>
      <c r="P225" s="25">
        <f t="shared" si="6"/>
        <v>28263.43324439897</v>
      </c>
      <c r="Q225" s="25">
        <f t="array" aca="1" ref="Q225" ca="1">INDEX('Isaac 401k'!L:L,MATCH('Retirement Calculator'!A225,'Isaac 401k'!N:N,0),0)</f>
        <v>1802250.1185444409</v>
      </c>
      <c r="R225" s="25">
        <f t="array" aca="1" ref="R225" ca="1">INDEX('Lorri 401b'!L:L,MATCH('Retirement Calculator'!A225,'Lorri 401b'!N:N,0),0)</f>
        <v>3982525.1903798678</v>
      </c>
      <c r="S225" s="25">
        <f t="shared" ca="1" si="7"/>
        <v>5784775.308924309</v>
      </c>
    </row>
    <row r="226" spans="1:19" ht="15.75" customHeight="1" x14ac:dyDescent="0.3">
      <c r="A226" s="37">
        <v>57831</v>
      </c>
      <c r="B226" s="398">
        <f t="shared" ref="B226:C226" si="222">($A226-B$9)/365.25</f>
        <v>76.454483230663925</v>
      </c>
      <c r="C226" s="398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3254.2644699519233</v>
      </c>
      <c r="H226" s="25">
        <f>IF(B226&lt;62,0,'Combined Retirement'!$I$14)</f>
        <v>2345</v>
      </c>
      <c r="I226" s="25">
        <f>IF(C226&lt;62,0,'Combined Retirement'!$I$13)</f>
        <v>2420</v>
      </c>
      <c r="J226" s="25">
        <f t="shared" si="3"/>
        <v>7896.2379798201846</v>
      </c>
      <c r="K226" s="25">
        <f t="shared" si="4"/>
        <v>20367.195264578786</v>
      </c>
      <c r="L226" s="25"/>
      <c r="N226" s="25">
        <f>'Combined Retirement'!$C$18/12</f>
        <v>39153.069999999992</v>
      </c>
      <c r="O226" s="25">
        <f t="shared" si="5"/>
        <v>10889.636755601023</v>
      </c>
      <c r="P226" s="25">
        <f t="shared" si="6"/>
        <v>28263.43324439897</v>
      </c>
      <c r="Q226" s="25">
        <f t="array" aca="1" ref="Q226" ca="1">INDEX('Isaac 401k'!L:L,MATCH('Retirement Calculator'!A226,'Isaac 401k'!N:N,0),0)</f>
        <v>1801830.3550669733</v>
      </c>
      <c r="R226" s="25">
        <f t="array" aca="1" ref="R226" ca="1">INDEX('Lorri 401b'!L:L,MATCH('Retirement Calculator'!A226,'Lorri 401b'!N:N,0),0)</f>
        <v>3978666.9867616026</v>
      </c>
      <c r="S226" s="25">
        <f t="shared" ca="1" si="7"/>
        <v>5780497.3418285754</v>
      </c>
    </row>
    <row r="227" spans="1:19" ht="15.75" customHeight="1" x14ac:dyDescent="0.3">
      <c r="A227" s="37">
        <v>57862</v>
      </c>
      <c r="B227" s="398">
        <f t="shared" ref="B227:C227" si="223">($A227-B$9)/365.25</f>
        <v>76.539356605065024</v>
      </c>
      <c r="C227" s="398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3254.2644699519233</v>
      </c>
      <c r="H227" s="25">
        <f>IF(B227&lt;62,0,'Combined Retirement'!$I$14)</f>
        <v>2345</v>
      </c>
      <c r="I227" s="25">
        <f>IF(C227&lt;62,0,'Combined Retirement'!$I$13)</f>
        <v>2420</v>
      </c>
      <c r="J227" s="25">
        <f t="shared" si="3"/>
        <v>7896.2379798201846</v>
      </c>
      <c r="K227" s="25">
        <f t="shared" si="4"/>
        <v>20367.195264578786</v>
      </c>
      <c r="L227" s="25"/>
      <c r="N227" s="25">
        <f>'Combined Retirement'!$C$18/12</f>
        <v>39153.069999999992</v>
      </c>
      <c r="O227" s="25">
        <f t="shared" si="5"/>
        <v>10889.636755601023</v>
      </c>
      <c r="P227" s="25">
        <f t="shared" si="6"/>
        <v>28263.43324439897</v>
      </c>
      <c r="Q227" s="25">
        <f t="array" aca="1" ref="Q227" ca="1">INDEX('Isaac 401k'!L:L,MATCH('Retirement Calculator'!A227,'Isaac 401k'!N:N,0),0)</f>
        <v>1801408.8425750162</v>
      </c>
      <c r="R227" s="25">
        <f t="array" aca="1" ref="R227" ca="1">INDEX('Lorri 401b'!L:L,MATCH('Retirement Calculator'!A227,'Lorri 401b'!N:N,0),0)</f>
        <v>3974792.7072949279</v>
      </c>
      <c r="S227" s="25">
        <f t="shared" ca="1" si="7"/>
        <v>5776201.5498699443</v>
      </c>
    </row>
    <row r="228" spans="1:19" ht="15.75" customHeight="1" x14ac:dyDescent="0.3">
      <c r="A228" s="37">
        <v>57892</v>
      </c>
      <c r="B228" s="398">
        <f t="shared" ref="B228:C228" si="224">($A228-B$9)/365.25</f>
        <v>76.62149212867898</v>
      </c>
      <c r="C228" s="398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3254.2644699519233</v>
      </c>
      <c r="H228" s="25">
        <f>IF(B228&lt;62,0,'Combined Retirement'!$I$14)</f>
        <v>2345</v>
      </c>
      <c r="I228" s="25">
        <f>IF(C228&lt;62,0,'Combined Retirement'!$I$13)</f>
        <v>2420</v>
      </c>
      <c r="J228" s="25">
        <f t="shared" si="3"/>
        <v>7896.2379798201846</v>
      </c>
      <c r="K228" s="25">
        <f t="shared" si="4"/>
        <v>20367.195264578786</v>
      </c>
      <c r="L228" s="25"/>
      <c r="N228" s="25">
        <f>'Combined Retirement'!$C$18/12</f>
        <v>39153.069999999992</v>
      </c>
      <c r="O228" s="25">
        <f t="shared" si="5"/>
        <v>10889.636755601023</v>
      </c>
      <c r="P228" s="25">
        <f t="shared" si="6"/>
        <v>28263.43324439897</v>
      </c>
      <c r="Q228" s="25">
        <f t="array" aca="1" ref="Q228" ca="1">INDEX('Isaac 401k'!L:L,MATCH('Retirement Calculator'!A228,'Isaac 401k'!N:N,0),0)</f>
        <v>1800985.5737810093</v>
      </c>
      <c r="R228" s="25">
        <f t="array" aca="1" ref="R228" ca="1">INDEX('Lorri 401b'!L:L,MATCH('Retirement Calculator'!A228,'Lorri 401b'!N:N,0),0)</f>
        <v>3970902.2849971424</v>
      </c>
      <c r="S228" s="25">
        <f t="shared" ca="1" si="7"/>
        <v>5771887.8587781517</v>
      </c>
    </row>
    <row r="229" spans="1:19" ht="15.75" customHeight="1" x14ac:dyDescent="0.3">
      <c r="A229" s="37">
        <v>57923</v>
      </c>
      <c r="B229" s="398">
        <f t="shared" ref="B229:C229" si="225">($A229-B$9)/365.25</f>
        <v>76.706365503080079</v>
      </c>
      <c r="C229" s="398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3254.2644699519233</v>
      </c>
      <c r="H229" s="25">
        <f>IF(B229&lt;62,0,'Combined Retirement'!$I$14)</f>
        <v>2345</v>
      </c>
      <c r="I229" s="25">
        <f>IF(C229&lt;62,0,'Combined Retirement'!$I$13)</f>
        <v>2420</v>
      </c>
      <c r="J229" s="25">
        <f t="shared" si="3"/>
        <v>7896.2379798201846</v>
      </c>
      <c r="K229" s="25">
        <f t="shared" si="4"/>
        <v>20367.195264578786</v>
      </c>
      <c r="L229" s="25"/>
      <c r="N229" s="25">
        <f>'Combined Retirement'!$C$18/12</f>
        <v>39153.069999999992</v>
      </c>
      <c r="O229" s="25">
        <f t="shared" si="5"/>
        <v>10889.636755601023</v>
      </c>
      <c r="P229" s="25">
        <f t="shared" si="6"/>
        <v>28263.43324439897</v>
      </c>
      <c r="Q229" s="25">
        <f t="array" aca="1" ref="Q229" ca="1">INDEX('Isaac 401k'!L:L,MATCH('Retirement Calculator'!A229,'Isaac 401k'!N:N,0),0)</f>
        <v>1800560.5413670274</v>
      </c>
      <c r="R229" s="25">
        <f t="array" aca="1" ref="R229" ca="1">INDEX('Lorri 401b'!L:L,MATCH('Retirement Calculator'!A229,'Lorri 401b'!N:N,0),0)</f>
        <v>3966995.6526064491</v>
      </c>
      <c r="S229" s="25">
        <f t="shared" ca="1" si="7"/>
        <v>5767556.1939734761</v>
      </c>
    </row>
    <row r="230" spans="1:19" ht="15.75" customHeight="1" x14ac:dyDescent="0.3">
      <c r="A230" s="37">
        <v>57954</v>
      </c>
      <c r="B230" s="398">
        <f t="shared" ref="B230:C230" si="226">($A230-B$9)/365.25</f>
        <v>76.791238877481177</v>
      </c>
      <c r="C230" s="398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3254.2644699519233</v>
      </c>
      <c r="H230" s="25">
        <f>IF(B230&lt;62,0,'Combined Retirement'!$I$14)</f>
        <v>2345</v>
      </c>
      <c r="I230" s="25">
        <f>IF(C230&lt;62,0,'Combined Retirement'!$I$13)</f>
        <v>2420</v>
      </c>
      <c r="J230" s="25">
        <f t="shared" si="3"/>
        <v>7896.2379798201846</v>
      </c>
      <c r="K230" s="25">
        <f t="shared" si="4"/>
        <v>20367.195264578786</v>
      </c>
      <c r="L230" s="25"/>
      <c r="N230" s="25">
        <f>'Combined Retirement'!$C$18/12</f>
        <v>39153.069999999992</v>
      </c>
      <c r="O230" s="25">
        <f t="shared" si="5"/>
        <v>10889.636755601023</v>
      </c>
      <c r="P230" s="25">
        <f t="shared" si="6"/>
        <v>28263.43324439897</v>
      </c>
      <c r="Q230" s="25">
        <f t="array" aca="1" ref="Q230" ca="1">INDEX('Isaac 401k'!L:L,MATCH('Retirement Calculator'!A230,'Isaac 401k'!N:N,0),0)</f>
        <v>1800133.7379846538</v>
      </c>
      <c r="R230" s="25">
        <f t="array" aca="1" ref="R230" ca="1">INDEX('Lorri 401b'!L:L,MATCH('Retirement Calculator'!A230,'Lorri 401b'!N:N,0),0)</f>
        <v>3963072.7425807947</v>
      </c>
      <c r="S230" s="25">
        <f t="shared" ca="1" si="7"/>
        <v>5763206.4805654483</v>
      </c>
    </row>
    <row r="231" spans="1:19" ht="15.75" customHeight="1" x14ac:dyDescent="0.3">
      <c r="A231" s="37">
        <v>57984</v>
      </c>
      <c r="B231" s="398">
        <f t="shared" ref="B231:C231" si="227">($A231-B$9)/365.25</f>
        <v>76.873374401095134</v>
      </c>
      <c r="C231" s="398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3254.2644699519233</v>
      </c>
      <c r="H231" s="25">
        <f>IF(B231&lt;62,0,'Combined Retirement'!$I$14)</f>
        <v>2345</v>
      </c>
      <c r="I231" s="25">
        <f>IF(C231&lt;62,0,'Combined Retirement'!$I$13)</f>
        <v>2420</v>
      </c>
      <c r="J231" s="25">
        <f t="shared" si="3"/>
        <v>7896.2379798201846</v>
      </c>
      <c r="K231" s="25">
        <f t="shared" si="4"/>
        <v>20367.195264578786</v>
      </c>
      <c r="L231" s="25"/>
      <c r="N231" s="25">
        <f>'Combined Retirement'!$C$18/12</f>
        <v>39153.069999999992</v>
      </c>
      <c r="O231" s="25">
        <f t="shared" si="5"/>
        <v>10889.636755601023</v>
      </c>
      <c r="P231" s="25">
        <f t="shared" si="6"/>
        <v>28263.43324439897</v>
      </c>
      <c r="Q231" s="25">
        <f t="array" aca="1" ref="Q231" ca="1">INDEX('Isaac 401k'!L:L,MATCH('Retirement Calculator'!A231,'Isaac 401k'!N:N,0),0)</f>
        <v>1799705.1562548538</v>
      </c>
      <c r="R231" s="25">
        <f t="array" aca="1" ref="R231" ca="1">INDEX('Lorri 401b'!L:L,MATCH('Retirement Calculator'!A231,'Lorri 401b'!N:N,0),0)</f>
        <v>3959133.4870967004</v>
      </c>
      <c r="S231" s="25">
        <f t="shared" ca="1" si="7"/>
        <v>5758838.6433515539</v>
      </c>
    </row>
    <row r="232" spans="1:19" ht="15.75" customHeight="1" x14ac:dyDescent="0.3">
      <c r="A232" s="37">
        <v>58015</v>
      </c>
      <c r="B232" s="398">
        <f t="shared" ref="B232:C232" si="228">($A232-B$9)/365.25</f>
        <v>76.958247775496233</v>
      </c>
      <c r="C232" s="398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3254.2644699519233</v>
      </c>
      <c r="H232" s="25">
        <f>IF(B232&lt;62,0,'Combined Retirement'!$I$14)</f>
        <v>2345</v>
      </c>
      <c r="I232" s="25">
        <f>IF(C232&lt;62,0,'Combined Retirement'!$I$13)</f>
        <v>2420</v>
      </c>
      <c r="J232" s="25">
        <f t="shared" si="3"/>
        <v>7896.2379798201846</v>
      </c>
      <c r="K232" s="25">
        <f t="shared" si="4"/>
        <v>20367.195264578786</v>
      </c>
      <c r="L232" s="25"/>
      <c r="N232" s="25">
        <f>'Combined Retirement'!$C$18/12</f>
        <v>39153.069999999992</v>
      </c>
      <c r="O232" s="25">
        <f t="shared" si="5"/>
        <v>10889.636755601023</v>
      </c>
      <c r="P232" s="25">
        <f t="shared" si="6"/>
        <v>28263.43324439897</v>
      </c>
      <c r="Q232" s="25">
        <f t="array" aca="1" ref="Q232" ca="1">INDEX('Isaac 401k'!L:L,MATCH('Retirement Calculator'!A232,'Isaac 401k'!N:N,0),0)</f>
        <v>1799274.7887678463</v>
      </c>
      <c r="R232" s="25">
        <f t="array" aca="1" ref="R232" ca="1">INDEX('Lorri 401b'!L:L,MATCH('Retirement Calculator'!A232,'Lorri 401b'!N:N,0),0)</f>
        <v>3955177.8180480888</v>
      </c>
      <c r="S232" s="25">
        <f t="shared" ca="1" si="7"/>
        <v>5754452.6068159351</v>
      </c>
    </row>
    <row r="233" spans="1:19" ht="15.75" customHeight="1" x14ac:dyDescent="0.3">
      <c r="A233" s="37">
        <v>58045</v>
      </c>
      <c r="B233" s="398">
        <f t="shared" ref="B233:C233" si="229">($A233-B$9)/365.25</f>
        <v>77.040383299110204</v>
      </c>
      <c r="C233" s="398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3254.2644699519233</v>
      </c>
      <c r="H233" s="25">
        <f>IF(B233&lt;62,0,'Combined Retirement'!$I$14)</f>
        <v>2345</v>
      </c>
      <c r="I233" s="25">
        <f>IF(C233&lt;62,0,'Combined Retirement'!$I$13)</f>
        <v>2420</v>
      </c>
      <c r="J233" s="25">
        <f t="shared" si="3"/>
        <v>7896.2379798201846</v>
      </c>
      <c r="K233" s="25">
        <f t="shared" si="4"/>
        <v>20367.195264578786</v>
      </c>
      <c r="L233" s="25"/>
      <c r="N233" s="25">
        <f>'Combined Retirement'!$C$18/12</f>
        <v>39153.069999999992</v>
      </c>
      <c r="O233" s="25">
        <f t="shared" si="5"/>
        <v>10889.636755601023</v>
      </c>
      <c r="P233" s="25">
        <f t="shared" si="6"/>
        <v>28263.43324439897</v>
      </c>
      <c r="Q233" s="25">
        <f t="array" aca="1" ref="Q233" ca="1">INDEX('Isaac 401k'!L:L,MATCH('Retirement Calculator'!A233,'Isaac 401k'!N:N,0),0)</f>
        <v>1798842.6280829762</v>
      </c>
      <c r="R233" s="25">
        <f t="array" aca="1" ref="R233" ca="1">INDEX('Lorri 401b'!L:L,MATCH('Retirement Calculator'!A233,'Lorri 401b'!N:N,0),0)</f>
        <v>3951205.667045108</v>
      </c>
      <c r="S233" s="25">
        <f t="shared" ca="1" si="7"/>
        <v>5750048.2951280847</v>
      </c>
    </row>
    <row r="234" spans="1:19" ht="15.75" customHeight="1" x14ac:dyDescent="0.3">
      <c r="A234" s="37">
        <v>58076</v>
      </c>
      <c r="B234" s="398">
        <f t="shared" ref="B234:C234" si="230">($A234-B$9)/365.25</f>
        <v>77.125256673511288</v>
      </c>
      <c r="C234" s="398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3254.2644699519233</v>
      </c>
      <c r="H234" s="25">
        <f>IF(B234&lt;62,0,'Combined Retirement'!$I$14)</f>
        <v>2345</v>
      </c>
      <c r="I234" s="25">
        <f>IF(C234&lt;62,0,'Combined Retirement'!$I$13)</f>
        <v>2420</v>
      </c>
      <c r="J234" s="25">
        <f t="shared" si="3"/>
        <v>7896.2379798201846</v>
      </c>
      <c r="K234" s="25">
        <f t="shared" si="4"/>
        <v>20367.195264578786</v>
      </c>
      <c r="L234" s="25"/>
      <c r="N234" s="25">
        <f>'Combined Retirement'!$C$18/12</f>
        <v>39153.069999999992</v>
      </c>
      <c r="O234" s="25">
        <f t="shared" si="5"/>
        <v>10889.636755601023</v>
      </c>
      <c r="P234" s="25">
        <f t="shared" si="6"/>
        <v>28263.43324439897</v>
      </c>
      <c r="Q234" s="25">
        <f t="array" aca="1" ref="Q234" ca="1">INDEX('Isaac 401k'!L:L,MATCH('Retirement Calculator'!A234,'Isaac 401k'!N:N,0),0)</f>
        <v>1798408.6667285857</v>
      </c>
      <c r="R234" s="25">
        <f t="array" aca="1" ref="R234" ca="1">INDEX('Lorri 401b'!L:L,MATCH('Retirement Calculator'!A234,'Lorri 401b'!N:N,0),0)</f>
        <v>3947216.9654129483</v>
      </c>
      <c r="S234" s="25">
        <f t="shared" ca="1" si="7"/>
        <v>5745625.6321415342</v>
      </c>
    </row>
    <row r="235" spans="1:19" ht="15.75" customHeight="1" x14ac:dyDescent="0.3">
      <c r="A235" s="37">
        <v>58107</v>
      </c>
      <c r="B235" s="398">
        <f t="shared" ref="B235:C235" si="231">($A235-B$9)/365.25</f>
        <v>77.210130047912386</v>
      </c>
      <c r="C235" s="398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3254.2644699519233</v>
      </c>
      <c r="H235" s="25">
        <f>IF(B235&lt;62,0,'Combined Retirement'!$I$14)</f>
        <v>2345</v>
      </c>
      <c r="I235" s="25">
        <f>IF(C235&lt;62,0,'Combined Retirement'!$I$13)</f>
        <v>2420</v>
      </c>
      <c r="J235" s="25">
        <f t="shared" si="3"/>
        <v>7896.2379798201846</v>
      </c>
      <c r="K235" s="25">
        <f t="shared" si="4"/>
        <v>20367.195264578786</v>
      </c>
      <c r="L235" s="25"/>
      <c r="N235" s="25">
        <f>'Combined Retirement'!$C$18/12</f>
        <v>39153.069999999992</v>
      </c>
      <c r="O235" s="25">
        <f t="shared" si="5"/>
        <v>10889.636755601023</v>
      </c>
      <c r="P235" s="25">
        <f t="shared" si="6"/>
        <v>28263.43324439897</v>
      </c>
      <c r="Q235" s="25">
        <f t="array" aca="1" ref="Q235" ca="1">INDEX('Isaac 401k'!L:L,MATCH('Retirement Calculator'!A235,'Isaac 401k'!N:N,0),0)</f>
        <v>1797972.8972018852</v>
      </c>
      <c r="R235" s="25">
        <f t="array" aca="1" ref="R235" ca="1">INDEX('Lorri 401b'!L:L,MATCH('Retirement Calculator'!A235,'Lorri 401b'!N:N,0),0)</f>
        <v>3943211.6441906542</v>
      </c>
      <c r="S235" s="25">
        <f t="shared" ca="1" si="7"/>
        <v>5741184.5413925396</v>
      </c>
    </row>
    <row r="236" spans="1:19" ht="15.75" customHeight="1" x14ac:dyDescent="0.3">
      <c r="A236" s="37">
        <v>58135</v>
      </c>
      <c r="B236" s="398">
        <f t="shared" ref="B236:C236" si="232">($A236-B$9)/365.25</f>
        <v>77.286789869952088</v>
      </c>
      <c r="C236" s="398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3254.2644699519233</v>
      </c>
      <c r="H236" s="25">
        <f>IF(B236&lt;62,0,'Combined Retirement'!$I$14)</f>
        <v>2345</v>
      </c>
      <c r="I236" s="25">
        <f>IF(C236&lt;62,0,'Combined Retirement'!$I$13)</f>
        <v>2420</v>
      </c>
      <c r="J236" s="25">
        <f t="shared" si="3"/>
        <v>7896.2379798201846</v>
      </c>
      <c r="K236" s="25">
        <f t="shared" si="4"/>
        <v>20367.195264578786</v>
      </c>
      <c r="L236" s="25"/>
      <c r="N236" s="25">
        <f>'Combined Retirement'!$C$18/12</f>
        <v>39153.069999999992</v>
      </c>
      <c r="O236" s="25">
        <f t="shared" si="5"/>
        <v>10889.636755601023</v>
      </c>
      <c r="P236" s="25">
        <f t="shared" si="6"/>
        <v>28263.43324439897</v>
      </c>
      <c r="Q236" s="25">
        <f t="array" aca="1" ref="Q236" ca="1">INDEX('Isaac 401k'!L:L,MATCH('Retirement Calculator'!A236,'Isaac 401k'!N:N,0),0)</f>
        <v>1797535.3119688237</v>
      </c>
      <c r="R236" s="25">
        <f t="array" aca="1" ref="R236" ca="1">INDEX('Lorri 401b'!L:L,MATCH('Retirement Calculator'!A236,'Lorri 401b'!N:N,0),0)</f>
        <v>3939189.634129934</v>
      </c>
      <c r="S236" s="25">
        <f t="shared" ca="1" si="7"/>
        <v>5736724.9460987579</v>
      </c>
    </row>
    <row r="237" spans="1:19" ht="15.75" customHeight="1" x14ac:dyDescent="0.3">
      <c r="A237" s="37">
        <v>58166</v>
      </c>
      <c r="B237" s="398">
        <f t="shared" ref="B237:C237" si="233">($A237-B$9)/365.25</f>
        <v>77.371663244353186</v>
      </c>
      <c r="C237" s="398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3254.2644699519233</v>
      </c>
      <c r="H237" s="25">
        <f>IF(B237&lt;62,0,'Combined Retirement'!$I$14)</f>
        <v>2345</v>
      </c>
      <c r="I237" s="25">
        <f>IF(C237&lt;62,0,'Combined Retirement'!$I$13)</f>
        <v>2420</v>
      </c>
      <c r="J237" s="25">
        <f t="shared" si="3"/>
        <v>7896.2379798201846</v>
      </c>
      <c r="K237" s="25">
        <f t="shared" si="4"/>
        <v>20367.195264578786</v>
      </c>
      <c r="L237" s="25"/>
      <c r="N237" s="25">
        <f>'Combined Retirement'!$C$18/12</f>
        <v>39153.069999999992</v>
      </c>
      <c r="O237" s="25">
        <f t="shared" si="5"/>
        <v>10889.636755601023</v>
      </c>
      <c r="P237" s="25">
        <f t="shared" si="6"/>
        <v>28263.43324439897</v>
      </c>
      <c r="Q237" s="25">
        <f t="array" aca="1" ref="Q237" ca="1">INDEX('Isaac 401k'!L:L,MATCH('Retirement Calculator'!A237,'Isaac 401k'!N:N,0),0)</f>
        <v>1797095.9034639576</v>
      </c>
      <c r="R237" s="25">
        <f t="array" aca="1" ref="R237" ca="1">INDEX('Lorri 401b'!L:L,MATCH('Retirement Calculator'!A237,'Lorri 401b'!N:N,0),0)</f>
        <v>3935150.8656939608</v>
      </c>
      <c r="S237" s="25">
        <f t="shared" ca="1" si="7"/>
        <v>5732246.7691579182</v>
      </c>
    </row>
    <row r="238" spans="1:19" ht="15.75" customHeight="1" x14ac:dyDescent="0.3">
      <c r="A238" s="37">
        <v>58196</v>
      </c>
      <c r="B238" s="398">
        <f t="shared" ref="B238:C238" si="234">($A238-B$9)/365.25</f>
        <v>77.453798767967143</v>
      </c>
      <c r="C238" s="398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3254.2644699519233</v>
      </c>
      <c r="H238" s="25">
        <f>IF(B238&lt;62,0,'Combined Retirement'!$I$14)</f>
        <v>2345</v>
      </c>
      <c r="I238" s="25">
        <f>IF(C238&lt;62,0,'Combined Retirement'!$I$13)</f>
        <v>2420</v>
      </c>
      <c r="J238" s="25">
        <f t="shared" si="3"/>
        <v>7896.2379798201846</v>
      </c>
      <c r="K238" s="25">
        <f t="shared" si="4"/>
        <v>20367.195264578786</v>
      </c>
      <c r="L238" s="25"/>
      <c r="N238" s="25">
        <f>'Combined Retirement'!$C$18/12</f>
        <v>39153.069999999992</v>
      </c>
      <c r="O238" s="25">
        <f t="shared" si="5"/>
        <v>10889.636755601023</v>
      </c>
      <c r="P238" s="25">
        <f t="shared" si="6"/>
        <v>28263.43324439897</v>
      </c>
      <c r="Q238" s="25">
        <f t="array" aca="1" ref="Q238" ca="1">INDEX('Isaac 401k'!L:L,MATCH('Retirement Calculator'!A238,'Isaac 401k'!N:N,0),0)</f>
        <v>1796654.6640903212</v>
      </c>
      <c r="R238" s="25">
        <f t="array" aca="1" ref="R238" ca="1">INDEX('Lorri 401b'!L:L,MATCH('Retirement Calculator'!A238,'Lorri 401b'!N:N,0),0)</f>
        <v>3931095.2690561712</v>
      </c>
      <c r="S238" s="25">
        <f t="shared" ca="1" si="7"/>
        <v>5727749.9331464926</v>
      </c>
    </row>
    <row r="239" spans="1:19" ht="15.75" customHeight="1" x14ac:dyDescent="0.3">
      <c r="A239" s="37">
        <v>58227</v>
      </c>
      <c r="B239" s="398">
        <f t="shared" ref="B239:C239" si="235">($A239-B$9)/365.25</f>
        <v>77.538672142368242</v>
      </c>
      <c r="C239" s="398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3254.2644699519233</v>
      </c>
      <c r="H239" s="25">
        <f>IF(B239&lt;62,0,'Combined Retirement'!$I$14)</f>
        <v>2345</v>
      </c>
      <c r="I239" s="25">
        <f>IF(C239&lt;62,0,'Combined Retirement'!$I$13)</f>
        <v>2420</v>
      </c>
      <c r="J239" s="25">
        <f t="shared" si="3"/>
        <v>7896.2379798201846</v>
      </c>
      <c r="K239" s="25">
        <f t="shared" si="4"/>
        <v>20367.195264578786</v>
      </c>
      <c r="L239" s="25"/>
      <c r="N239" s="25">
        <f>'Combined Retirement'!$C$18/12</f>
        <v>39153.069999999992</v>
      </c>
      <c r="O239" s="25">
        <f t="shared" si="5"/>
        <v>10889.636755601023</v>
      </c>
      <c r="P239" s="25">
        <f t="shared" si="6"/>
        <v>28263.43324439897</v>
      </c>
      <c r="Q239" s="25">
        <f t="array" aca="1" ref="Q239" ca="1">INDEX('Isaac 401k'!L:L,MATCH('Retirement Calculator'!A239,'Isaac 401k'!N:N,0),0)</f>
        <v>1796211.5862192947</v>
      </c>
      <c r="R239" s="25">
        <f t="array" aca="1" ref="R239" ca="1">INDEX('Lorri 401b'!L:L,MATCH('Retirement Calculator'!A239,'Lorri 401b'!N:N,0),0)</f>
        <v>3927022.7740990575</v>
      </c>
      <c r="S239" s="25">
        <f t="shared" ca="1" si="7"/>
        <v>5723234.3603183525</v>
      </c>
    </row>
    <row r="240" spans="1:19" ht="15.75" customHeight="1" x14ac:dyDescent="0.3">
      <c r="A240" s="37">
        <v>58257</v>
      </c>
      <c r="B240" s="398">
        <f t="shared" ref="B240:C240" si="236">($A240-B$9)/365.25</f>
        <v>77.620807665982198</v>
      </c>
      <c r="C240" s="398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3254.2644699519233</v>
      </c>
      <c r="H240" s="25">
        <f>IF(B240&lt;62,0,'Combined Retirement'!$I$14)</f>
        <v>2345</v>
      </c>
      <c r="I240" s="25">
        <f>IF(C240&lt;62,0,'Combined Retirement'!$I$13)</f>
        <v>2420</v>
      </c>
      <c r="J240" s="25">
        <f t="shared" si="3"/>
        <v>7896.2379798201846</v>
      </c>
      <c r="K240" s="25">
        <f t="shared" si="4"/>
        <v>20367.195264578786</v>
      </c>
      <c r="L240" s="25"/>
      <c r="N240" s="25">
        <f>'Combined Retirement'!$C$18/12</f>
        <v>39153.069999999992</v>
      </c>
      <c r="O240" s="25">
        <f t="shared" si="5"/>
        <v>10889.636755601023</v>
      </c>
      <c r="P240" s="25">
        <f t="shared" si="6"/>
        <v>28263.43324439897</v>
      </c>
      <c r="Q240" s="25">
        <f t="array" aca="1" ref="Q240" ca="1">INDEX('Isaac 401k'!L:L,MATCH('Retirement Calculator'!A240,'Isaac 401k'!N:N,0),0)</f>
        <v>1795766.6621904722</v>
      </c>
      <c r="R240" s="25">
        <f t="array" aca="1" ref="R240" ca="1">INDEX('Lorri 401b'!L:L,MATCH('Retirement Calculator'!A240,'Lorri 401b'!N:N,0),0)</f>
        <v>3922933.3104129559</v>
      </c>
      <c r="S240" s="25">
        <f t="shared" ca="1" si="7"/>
        <v>5718699.9726034282</v>
      </c>
    </row>
    <row r="241" spans="1:19" ht="15.75" customHeight="1" x14ac:dyDescent="0.3">
      <c r="A241" s="37">
        <v>58288</v>
      </c>
      <c r="B241" s="398">
        <f t="shared" ref="B241:C241" si="237">($A241-B$9)/365.25</f>
        <v>77.705681040383297</v>
      </c>
      <c r="C241" s="398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3254.2644699519233</v>
      </c>
      <c r="H241" s="25">
        <f>IF(B241&lt;62,0,'Combined Retirement'!$I$14)</f>
        <v>2345</v>
      </c>
      <c r="I241" s="25">
        <f>IF(C241&lt;62,0,'Combined Retirement'!$I$13)</f>
        <v>2420</v>
      </c>
      <c r="J241" s="25">
        <f t="shared" si="3"/>
        <v>7896.2379798201846</v>
      </c>
      <c r="K241" s="25">
        <f t="shared" si="4"/>
        <v>20367.195264578786</v>
      </c>
      <c r="L241" s="25"/>
      <c r="N241" s="25">
        <f>'Combined Retirement'!$C$18/12</f>
        <v>39153.069999999992</v>
      </c>
      <c r="O241" s="25">
        <f t="shared" si="5"/>
        <v>10889.636755601023</v>
      </c>
      <c r="P241" s="25">
        <f t="shared" si="6"/>
        <v>28263.43324439897</v>
      </c>
      <c r="Q241" s="25">
        <f t="array" aca="1" ref="Q241" ca="1">INDEX('Isaac 401k'!L:L,MATCH('Retirement Calculator'!A241,'Isaac 401k'!N:N,0),0)</f>
        <v>1795319.8843115298</v>
      </c>
      <c r="R241" s="25">
        <f t="array" aca="1" ref="R241" ca="1">INDEX('Lorri 401b'!L:L,MATCH('Retirement Calculator'!A241,'Lorri 401b'!N:N,0),0)</f>
        <v>3918826.8072948288</v>
      </c>
      <c r="S241" s="25">
        <f t="shared" ca="1" si="7"/>
        <v>5714146.6916063586</v>
      </c>
    </row>
    <row r="242" spans="1:19" ht="15.75" customHeight="1" x14ac:dyDescent="0.3">
      <c r="A242" s="37">
        <v>58319</v>
      </c>
      <c r="B242" s="398">
        <f t="shared" ref="B242:C242" si="238">($A242-B$9)/365.25</f>
        <v>77.790554414784395</v>
      </c>
      <c r="C242" s="398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3254.2644699519233</v>
      </c>
      <c r="H242" s="25">
        <f>IF(B242&lt;62,0,'Combined Retirement'!$I$14)</f>
        <v>2345</v>
      </c>
      <c r="I242" s="25">
        <f>IF(C242&lt;62,0,'Combined Retirement'!$I$13)</f>
        <v>2420</v>
      </c>
      <c r="J242" s="25">
        <f t="shared" si="3"/>
        <v>7896.2379798201846</v>
      </c>
      <c r="K242" s="25">
        <f t="shared" si="4"/>
        <v>20367.195264578786</v>
      </c>
      <c r="L242" s="25"/>
      <c r="N242" s="25">
        <f>'Combined Retirement'!$C$18/12</f>
        <v>39153.069999999992</v>
      </c>
      <c r="O242" s="25">
        <f t="shared" si="5"/>
        <v>10889.636755601023</v>
      </c>
      <c r="P242" s="25">
        <f t="shared" si="6"/>
        <v>28263.43324439897</v>
      </c>
      <c r="Q242" s="25">
        <f t="array" aca="1" ref="Q242" ca="1">INDEX('Isaac 401k'!L:L,MATCH('Retirement Calculator'!A242,'Isaac 401k'!N:N,0),0)</f>
        <v>1794871.2448580917</v>
      </c>
      <c r="R242" s="25">
        <f t="array" aca="1" ref="R242" ca="1">INDEX('Lorri 401b'!L:L,MATCH('Retirement Calculator'!A242,'Lorri 401b'!N:N,0),0)</f>
        <v>3914703.1937470427</v>
      </c>
      <c r="S242" s="25">
        <f t="shared" ca="1" si="7"/>
        <v>5709574.4386051344</v>
      </c>
    </row>
    <row r="243" spans="1:19" ht="15.75" customHeight="1" x14ac:dyDescent="0.3">
      <c r="A243" s="37">
        <v>58349</v>
      </c>
      <c r="B243" s="398">
        <f t="shared" ref="B243:C243" si="239">($A243-B$9)/365.25</f>
        <v>77.872689938398352</v>
      </c>
      <c r="C243" s="398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3254.2644699519233</v>
      </c>
      <c r="H243" s="25">
        <f>IF(B243&lt;62,0,'Combined Retirement'!$I$14)</f>
        <v>2345</v>
      </c>
      <c r="I243" s="25">
        <f>IF(C243&lt;62,0,'Combined Retirement'!$I$13)</f>
        <v>2420</v>
      </c>
      <c r="J243" s="25">
        <f t="shared" si="3"/>
        <v>7896.2379798201846</v>
      </c>
      <c r="K243" s="25">
        <f t="shared" si="4"/>
        <v>20367.195264578786</v>
      </c>
      <c r="L243" s="25"/>
      <c r="N243" s="25">
        <f>'Combined Retirement'!$C$18/12</f>
        <v>39153.069999999992</v>
      </c>
      <c r="O243" s="25">
        <f t="shared" si="5"/>
        <v>10889.636755601023</v>
      </c>
      <c r="P243" s="25">
        <f t="shared" si="6"/>
        <v>28263.43324439897</v>
      </c>
      <c r="Q243" s="25">
        <f t="array" aca="1" ref="Q243" ca="1">INDEX('Isaac 401k'!L:L,MATCH('Retirement Calculator'!A243,'Isaac 401k'!N:N,0),0)</f>
        <v>1794420.7360735976</v>
      </c>
      <c r="R243" s="25">
        <f t="array" aca="1" ref="R243" ca="1">INDEX('Lorri 401b'!L:L,MATCH('Retirement Calculator'!A243,'Lorri 401b'!N:N,0),0)</f>
        <v>3910562.398476141</v>
      </c>
      <c r="S243" s="25">
        <f t="shared" ca="1" si="7"/>
        <v>5704983.1345497388</v>
      </c>
    </row>
    <row r="244" spans="1:19" ht="15.75" customHeight="1" x14ac:dyDescent="0.3">
      <c r="A244" s="37">
        <v>58380</v>
      </c>
      <c r="B244" s="398">
        <f t="shared" ref="B244:C244" si="240">($A244-B$9)/365.25</f>
        <v>77.957563312799451</v>
      </c>
      <c r="C244" s="398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3254.2644699519233</v>
      </c>
      <c r="H244" s="25">
        <f>IF(B244&lt;62,0,'Combined Retirement'!$I$14)</f>
        <v>2345</v>
      </c>
      <c r="I244" s="25">
        <f>IF(C244&lt;62,0,'Combined Retirement'!$I$13)</f>
        <v>2420</v>
      </c>
      <c r="J244" s="25">
        <f t="shared" si="3"/>
        <v>7896.2379798201846</v>
      </c>
      <c r="K244" s="25">
        <f t="shared" si="4"/>
        <v>20367.195264578786</v>
      </c>
      <c r="L244" s="25"/>
      <c r="N244" s="25">
        <f>'Combined Retirement'!$C$18/12</f>
        <v>39153.069999999992</v>
      </c>
      <c r="O244" s="25">
        <f t="shared" si="5"/>
        <v>10889.636755601023</v>
      </c>
      <c r="P244" s="25">
        <f t="shared" si="6"/>
        <v>28263.43324439897</v>
      </c>
      <c r="Q244" s="25">
        <f t="array" aca="1" ref="Q244" ca="1">INDEX('Isaac 401k'!L:L,MATCH('Retirement Calculator'!A244,'Isaac 401k'!N:N,0),0)</f>
        <v>1793968.3501691681</v>
      </c>
      <c r="R244" s="25">
        <f t="array" aca="1" ref="R244" ca="1">INDEX('Lorri 401b'!L:L,MATCH('Retirement Calculator'!A244,'Lorri 401b'!N:N,0),0)</f>
        <v>3906404.3498916104</v>
      </c>
      <c r="S244" s="25">
        <f t="shared" ca="1" si="7"/>
        <v>5700372.7000607783</v>
      </c>
    </row>
    <row r="245" spans="1:19" ht="15.75" customHeight="1" x14ac:dyDescent="0.3">
      <c r="A245" s="37">
        <v>58410</v>
      </c>
      <c r="B245" s="398">
        <f t="shared" ref="B245:C245" si="241">($A245-B$9)/365.25</f>
        <v>78.039698836413422</v>
      </c>
      <c r="C245" s="398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3254.2644699519233</v>
      </c>
      <c r="H245" s="25">
        <f>IF(B245&lt;62,0,'Combined Retirement'!$I$14)</f>
        <v>2345</v>
      </c>
      <c r="I245" s="25">
        <f>IF(C245&lt;62,0,'Combined Retirement'!$I$13)</f>
        <v>2420</v>
      </c>
      <c r="J245" s="25">
        <f t="shared" si="3"/>
        <v>7896.2379798201846</v>
      </c>
      <c r="K245" s="25">
        <f t="shared" si="4"/>
        <v>20367.195264578786</v>
      </c>
      <c r="L245" s="25"/>
      <c r="N245" s="25">
        <f>'Combined Retirement'!$C$18/12</f>
        <v>39153.069999999992</v>
      </c>
      <c r="O245" s="25">
        <f t="shared" si="5"/>
        <v>10889.636755601023</v>
      </c>
      <c r="P245" s="25">
        <f t="shared" si="6"/>
        <v>28263.43324439897</v>
      </c>
      <c r="Q245" s="25">
        <f t="array" aca="1" ref="Q245" ca="1">INDEX('Isaac 401k'!L:L,MATCH('Retirement Calculator'!A245,'Isaac 401k'!N:N,0),0)</f>
        <v>1793514.0793234701</v>
      </c>
      <c r="R245" s="25">
        <f t="array" aca="1" ref="R245" ca="1">INDEX('Lorri 401b'!L:L,MATCH('Retirement Calculator'!A245,'Lorri 401b'!N:N,0),0)</f>
        <v>3902228.9761046441</v>
      </c>
      <c r="S245" s="25">
        <f t="shared" ca="1" si="7"/>
        <v>5695743.0554281138</v>
      </c>
    </row>
    <row r="246" spans="1:19" ht="15.75" customHeight="1" x14ac:dyDescent="0.3">
      <c r="A246" s="37">
        <v>58441</v>
      </c>
      <c r="B246" s="398">
        <f t="shared" ref="B246:C246" si="242">($A246-B$9)/365.25</f>
        <v>78.124572210814506</v>
      </c>
      <c r="C246" s="398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3254.2644699519233</v>
      </c>
      <c r="H246" s="25">
        <f>IF(B246&lt;62,0,'Combined Retirement'!$I$14)</f>
        <v>2345</v>
      </c>
      <c r="I246" s="25">
        <f>IF(C246&lt;62,0,'Combined Retirement'!$I$13)</f>
        <v>2420</v>
      </c>
      <c r="J246" s="25">
        <f t="shared" si="3"/>
        <v>7896.2379798201846</v>
      </c>
      <c r="K246" s="25">
        <f t="shared" si="4"/>
        <v>20367.195264578786</v>
      </c>
      <c r="L246" s="25"/>
      <c r="N246" s="25">
        <f>'Combined Retirement'!$C$18/12</f>
        <v>39153.069999999992</v>
      </c>
      <c r="O246" s="25">
        <f t="shared" si="5"/>
        <v>10889.636755601023</v>
      </c>
      <c r="P246" s="25">
        <f t="shared" si="6"/>
        <v>28263.43324439897</v>
      </c>
      <c r="Q246" s="25">
        <f t="array" aca="1" ref="Q246" ca="1">INDEX('Isaac 401k'!L:L,MATCH('Retirement Calculator'!A246,'Isaac 401k'!N:N,0),0)</f>
        <v>1793057.9156825817</v>
      </c>
      <c r="R246" s="25">
        <f t="array" aca="1" ref="R246" ca="1">INDEX('Lorri 401b'!L:L,MATCH('Retirement Calculator'!A246,'Lorri 401b'!N:N,0),0)</f>
        <v>3898036.2049268987</v>
      </c>
      <c r="S246" s="25">
        <f t="shared" ca="1" si="7"/>
        <v>5691094.1206094809</v>
      </c>
    </row>
    <row r="247" spans="1:19" ht="15.75" customHeight="1" x14ac:dyDescent="0.3">
      <c r="A247" s="37">
        <v>58472</v>
      </c>
      <c r="B247" s="398">
        <f t="shared" ref="B247:C247" si="243">($A247-B$9)/365.25</f>
        <v>78.209445585215605</v>
      </c>
      <c r="C247" s="398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3254.2644699519233</v>
      </c>
      <c r="H247" s="25">
        <f>IF(B247&lt;62,0,'Combined Retirement'!$I$14)</f>
        <v>2345</v>
      </c>
      <c r="I247" s="25">
        <f>IF(C247&lt;62,0,'Combined Retirement'!$I$13)</f>
        <v>2420</v>
      </c>
      <c r="J247" s="25">
        <f t="shared" si="3"/>
        <v>7896.2379798201846</v>
      </c>
      <c r="K247" s="25">
        <f t="shared" si="4"/>
        <v>20367.195264578786</v>
      </c>
      <c r="L247" s="25"/>
      <c r="N247" s="25">
        <f>'Combined Retirement'!$C$18/12</f>
        <v>39153.069999999992</v>
      </c>
      <c r="O247" s="25">
        <f t="shared" si="5"/>
        <v>10889.636755601023</v>
      </c>
      <c r="P247" s="25">
        <f t="shared" si="6"/>
        <v>28263.43324439897</v>
      </c>
      <c r="Q247" s="25">
        <f t="array" aca="1" ref="Q247" ca="1">INDEX('Isaac 401k'!L:L,MATCH('Retirement Calculator'!A247,'Isaac 401k'!N:N,0),0)</f>
        <v>1792599.8513598563</v>
      </c>
      <c r="R247" s="25">
        <f t="array" aca="1" ref="R247" ca="1">INDEX('Lorri 401b'!L:L,MATCH('Retirement Calculator'!A247,'Lorri 401b'!N:N,0),0)</f>
        <v>3893825.9638692462</v>
      </c>
      <c r="S247" s="25">
        <f t="shared" ca="1" si="7"/>
        <v>5686425.815229103</v>
      </c>
    </row>
    <row r="248" spans="1:19" ht="15.75" customHeight="1" x14ac:dyDescent="0.3">
      <c r="A248" s="37">
        <v>58501</v>
      </c>
      <c r="B248" s="398">
        <f t="shared" ref="B248:C248" si="244">($A248-B$9)/365.25</f>
        <v>78.288843258042434</v>
      </c>
      <c r="C248" s="398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3254.2644699519233</v>
      </c>
      <c r="H248" s="25">
        <f>IF(B248&lt;62,0,'Combined Retirement'!$I$14)</f>
        <v>2345</v>
      </c>
      <c r="I248" s="25">
        <f>IF(C248&lt;62,0,'Combined Retirement'!$I$13)</f>
        <v>2420</v>
      </c>
      <c r="J248" s="25">
        <f t="shared" si="3"/>
        <v>7896.2379798201846</v>
      </c>
      <c r="K248" s="25">
        <f t="shared" si="4"/>
        <v>20367.195264578786</v>
      </c>
      <c r="L248" s="25"/>
      <c r="N248" s="25">
        <f>'Combined Retirement'!$C$18/12</f>
        <v>39153.069999999992</v>
      </c>
      <c r="O248" s="25">
        <f t="shared" si="5"/>
        <v>10889.636755601023</v>
      </c>
      <c r="P248" s="25">
        <f t="shared" si="6"/>
        <v>28263.43324439897</v>
      </c>
      <c r="Q248" s="25">
        <f t="array" aca="1" ref="Q248" ca="1">INDEX('Isaac 401k'!L:L,MATCH('Retirement Calculator'!A248,'Isaac 401k'!N:N,0),0)</f>
        <v>1792139.8784357863</v>
      </c>
      <c r="R248" s="25">
        <f t="array" aca="1" ref="R248" ca="1">INDEX('Lorri 401b'!L:L,MATCH('Retirement Calculator'!A248,'Lorri 401b'!N:N,0),0)</f>
        <v>3889598.18014052</v>
      </c>
      <c r="S248" s="25">
        <f t="shared" ca="1" si="7"/>
        <v>5681738.0585763063</v>
      </c>
    </row>
    <row r="249" spans="1:19" ht="15.75" customHeight="1" x14ac:dyDescent="0.3">
      <c r="A249" s="37">
        <v>58532</v>
      </c>
      <c r="B249" s="398">
        <f t="shared" ref="B249:C249" si="245">($A249-B$9)/365.25</f>
        <v>78.373716632443532</v>
      </c>
      <c r="C249" s="398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3254.2644699519233</v>
      </c>
      <c r="H249" s="25">
        <f>IF(B249&lt;62,0,'Combined Retirement'!$I$14)</f>
        <v>2345</v>
      </c>
      <c r="I249" s="25">
        <f>IF(C249&lt;62,0,'Combined Retirement'!$I$13)</f>
        <v>2420</v>
      </c>
      <c r="J249" s="25">
        <f t="shared" si="3"/>
        <v>7896.2379798201846</v>
      </c>
      <c r="K249" s="25">
        <f t="shared" si="4"/>
        <v>20367.195264578786</v>
      </c>
      <c r="L249" s="25"/>
      <c r="N249" s="25">
        <f>'Combined Retirement'!$C$18/12</f>
        <v>39153.069999999992</v>
      </c>
      <c r="O249" s="25">
        <f t="shared" si="5"/>
        <v>10889.636755601023</v>
      </c>
      <c r="P249" s="25">
        <f t="shared" si="6"/>
        <v>28263.43324439897</v>
      </c>
      <c r="Q249" s="25">
        <f t="array" aca="1" ref="Q249" ca="1">INDEX('Isaac 401k'!L:L,MATCH('Retirement Calculator'!A249,'Isaac 401k'!N:N,0),0)</f>
        <v>1791677.9889578659</v>
      </c>
      <c r="R249" s="25">
        <f t="array" aca="1" ref="R249" ca="1">INDEX('Lorri 401b'!L:L,MATCH('Retirement Calculator'!A249,'Lorri 401b'!N:N,0),0)</f>
        <v>3885352.7806462576</v>
      </c>
      <c r="S249" s="25">
        <f t="shared" ca="1" si="7"/>
        <v>5677030.7696041232</v>
      </c>
    </row>
    <row r="250" spans="1:19" ht="15.75" customHeight="1" x14ac:dyDescent="0.3">
      <c r="A250" s="37">
        <v>58562</v>
      </c>
      <c r="B250" s="398">
        <f t="shared" ref="B250:C250" si="246">($A250-B$9)/365.25</f>
        <v>78.455852156057489</v>
      </c>
      <c r="C250" s="398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3254.2644699519233</v>
      </c>
      <c r="H250" s="25">
        <f>IF(B250&lt;62,0,'Combined Retirement'!$I$14)</f>
        <v>2345</v>
      </c>
      <c r="I250" s="25">
        <f>IF(C250&lt;62,0,'Combined Retirement'!$I$13)</f>
        <v>2420</v>
      </c>
      <c r="J250" s="25">
        <f t="shared" si="3"/>
        <v>7896.2379798201846</v>
      </c>
      <c r="K250" s="25">
        <f t="shared" si="4"/>
        <v>20367.195264578786</v>
      </c>
      <c r="L250" s="25"/>
      <c r="N250" s="25">
        <f>'Combined Retirement'!$C$18/12</f>
        <v>39153.069999999992</v>
      </c>
      <c r="O250" s="25">
        <f t="shared" si="5"/>
        <v>10889.636755601023</v>
      </c>
      <c r="P250" s="25">
        <f t="shared" si="6"/>
        <v>28263.43324439897</v>
      </c>
      <c r="Q250" s="25">
        <f t="array" aca="1" ref="Q250" ca="1">INDEX('Isaac 401k'!L:L,MATCH('Retirement Calculator'!A250,'Isaac 401k'!N:N,0),0)</f>
        <v>1791214.1749404541</v>
      </c>
      <c r="R250" s="25">
        <f t="array" aca="1" ref="R250" ca="1">INDEX('Lorri 401b'!L:L,MATCH('Retirement Calculator'!A250,'Lorri 401b'!N:N,0),0)</f>
        <v>3881089.6919874358</v>
      </c>
      <c r="S250" s="25">
        <f t="shared" ca="1" si="7"/>
        <v>5672303.8669278901</v>
      </c>
    </row>
    <row r="251" spans="1:19" ht="15.75" customHeight="1" x14ac:dyDescent="0.3">
      <c r="A251" s="37">
        <v>58593</v>
      </c>
      <c r="B251" s="398">
        <f t="shared" ref="B251:C251" si="247">($A251-B$9)/365.25</f>
        <v>78.540725530458587</v>
      </c>
      <c r="C251" s="398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3254.2644699519233</v>
      </c>
      <c r="H251" s="25">
        <f>IF(B251&lt;62,0,'Combined Retirement'!$I$14)</f>
        <v>2345</v>
      </c>
      <c r="I251" s="25">
        <f>IF(C251&lt;62,0,'Combined Retirement'!$I$13)</f>
        <v>2420</v>
      </c>
      <c r="J251" s="25">
        <f t="shared" si="3"/>
        <v>7896.2379798201846</v>
      </c>
      <c r="K251" s="25">
        <f t="shared" si="4"/>
        <v>20367.195264578786</v>
      </c>
      <c r="L251" s="25"/>
      <c r="N251" s="25">
        <f>'Combined Retirement'!$C$18/12</f>
        <v>39153.069999999992</v>
      </c>
      <c r="O251" s="25">
        <f t="shared" si="5"/>
        <v>10889.636755601023</v>
      </c>
      <c r="P251" s="25">
        <f t="shared" si="6"/>
        <v>28263.43324439897</v>
      </c>
      <c r="Q251" s="25">
        <f t="array" aca="1" ref="Q251" ca="1">INDEX('Isaac 401k'!L:L,MATCH('Retirement Calculator'!A251,'Isaac 401k'!N:N,0),0)</f>
        <v>1790748.4283646364</v>
      </c>
      <c r="R251" s="25">
        <f t="array" aca="1" ref="R251" ca="1">INDEX('Lorri 401b'!L:L,MATCH('Retirement Calculator'!A251,'Lorri 401b'!N:N,0),0)</f>
        <v>3876808.8404592024</v>
      </c>
      <c r="S251" s="25">
        <f t="shared" ca="1" si="7"/>
        <v>5667557.2688238388</v>
      </c>
    </row>
    <row r="252" spans="1:19" ht="15.75" customHeight="1" x14ac:dyDescent="0.3">
      <c r="A252" s="37">
        <v>58623</v>
      </c>
      <c r="B252" s="398">
        <f t="shared" ref="B252:C252" si="248">($A252-B$9)/365.25</f>
        <v>78.622861054072558</v>
      </c>
      <c r="C252" s="398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3254.2644699519233</v>
      </c>
      <c r="H252" s="25">
        <f>IF(B252&lt;62,0,'Combined Retirement'!$I$14)</f>
        <v>2345</v>
      </c>
      <c r="I252" s="25">
        <f>IF(C252&lt;62,0,'Combined Retirement'!$I$13)</f>
        <v>2420</v>
      </c>
      <c r="J252" s="25">
        <f t="shared" si="3"/>
        <v>7896.2379798201846</v>
      </c>
      <c r="K252" s="25">
        <f t="shared" si="4"/>
        <v>20367.195264578786</v>
      </c>
      <c r="L252" s="25"/>
      <c r="N252" s="25">
        <f>'Combined Retirement'!$C$18/12</f>
        <v>39153.069999999992</v>
      </c>
      <c r="O252" s="25">
        <f t="shared" si="5"/>
        <v>10889.636755601023</v>
      </c>
      <c r="P252" s="25">
        <f t="shared" si="6"/>
        <v>28263.43324439897</v>
      </c>
      <c r="Q252" s="25">
        <f t="array" aca="1" ref="Q252" ca="1">INDEX('Isaac 401k'!L:L,MATCH('Retirement Calculator'!A252,'Isaac 401k'!N:N,0),0)</f>
        <v>1790280.7411780863</v>
      </c>
      <c r="R252" s="25">
        <f t="array" aca="1" ref="R252" ca="1">INDEX('Lorri 401b'!L:L,MATCH('Retirement Calculator'!A252,'Lorri 401b'!N:N,0),0)</f>
        <v>3872510.1520496011</v>
      </c>
      <c r="S252" s="25">
        <f t="shared" ca="1" si="7"/>
        <v>5662790.8932276871</v>
      </c>
    </row>
    <row r="253" spans="1:19" ht="15.75" customHeight="1" x14ac:dyDescent="0.3">
      <c r="A253" s="37">
        <v>58654</v>
      </c>
      <c r="B253" s="398">
        <f t="shared" ref="B253:C253" si="249">($A253-B$9)/365.25</f>
        <v>78.707734428473643</v>
      </c>
      <c r="C253" s="398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3254.2644699519233</v>
      </c>
      <c r="H253" s="25">
        <f>IF(B253&lt;62,0,'Combined Retirement'!$I$14)</f>
        <v>2345</v>
      </c>
      <c r="I253" s="25">
        <f>IF(C253&lt;62,0,'Combined Retirement'!$I$13)</f>
        <v>2420</v>
      </c>
      <c r="J253" s="25">
        <f t="shared" si="3"/>
        <v>7896.2379798201846</v>
      </c>
      <c r="K253" s="25">
        <f t="shared" si="4"/>
        <v>20367.195264578786</v>
      </c>
      <c r="L253" s="25"/>
      <c r="N253" s="25">
        <f>'Combined Retirement'!$C$18/12</f>
        <v>39153.069999999992</v>
      </c>
      <c r="O253" s="25">
        <f t="shared" si="5"/>
        <v>10889.636755601023</v>
      </c>
      <c r="P253" s="25">
        <f t="shared" si="6"/>
        <v>28263.43324439897</v>
      </c>
      <c r="Q253" s="25">
        <f t="array" aca="1" ref="Q253" ca="1">INDEX('Isaac 401k'!L:L,MATCH('Retirement Calculator'!A253,'Isaac 401k'!N:N,0),0)</f>
        <v>1789811.1052949254</v>
      </c>
      <c r="R253" s="25">
        <f t="array" aca="1" ref="R253" ca="1">INDEX('Lorri 401b'!L:L,MATCH('Retirement Calculator'!A253,'Lorri 401b'!N:N,0),0)</f>
        <v>3868193.5524382931</v>
      </c>
      <c r="S253" s="25">
        <f t="shared" ca="1" si="7"/>
        <v>5658004.6577332187</v>
      </c>
    </row>
    <row r="254" spans="1:19" ht="15.75" customHeight="1" x14ac:dyDescent="0.3">
      <c r="A254" s="37">
        <v>58685</v>
      </c>
      <c r="B254" s="398">
        <f t="shared" ref="B254:C254" si="250">($A254-B$9)/365.25</f>
        <v>78.792607802874741</v>
      </c>
      <c r="C254" s="398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3254.2644699519233</v>
      </c>
      <c r="H254" s="25">
        <f>IF(B254&lt;62,0,'Combined Retirement'!$I$14)</f>
        <v>2345</v>
      </c>
      <c r="I254" s="25">
        <f>IF(C254&lt;62,0,'Combined Retirement'!$I$13)</f>
        <v>2420</v>
      </c>
      <c r="J254" s="25">
        <f t="shared" si="3"/>
        <v>7896.2379798201846</v>
      </c>
      <c r="K254" s="25">
        <f t="shared" si="4"/>
        <v>20367.195264578786</v>
      </c>
      <c r="L254" s="25"/>
      <c r="N254" s="25">
        <f>'Combined Retirement'!$C$18/12</f>
        <v>39153.069999999992</v>
      </c>
      <c r="O254" s="25">
        <f t="shared" si="5"/>
        <v>10889.636755601023</v>
      </c>
      <c r="P254" s="25">
        <f t="shared" si="6"/>
        <v>28263.43324439897</v>
      </c>
      <c r="Q254" s="25">
        <f t="array" aca="1" ref="Q254" ca="1">INDEX('Isaac 401k'!L:L,MATCH('Retirement Calculator'!A254,'Isaac 401k'!N:N,0),0)</f>
        <v>1789339.5125955848</v>
      </c>
      <c r="R254" s="25">
        <f t="array" aca="1" ref="R254" ca="1">INDEX('Lorri 401b'!L:L,MATCH('Retirement Calculator'!A254,'Lorri 401b'!N:N,0),0)</f>
        <v>3863858.9669952714</v>
      </c>
      <c r="S254" s="25">
        <f t="shared" ca="1" si="7"/>
        <v>5653198.4795908565</v>
      </c>
    </row>
    <row r="255" spans="1:19" ht="15.75" customHeight="1" x14ac:dyDescent="0.3">
      <c r="A255" s="37">
        <v>58715</v>
      </c>
      <c r="B255" s="398">
        <f t="shared" ref="B255:C255" si="251">($A255-B$9)/365.25</f>
        <v>78.874743326488712</v>
      </c>
      <c r="C255" s="398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3254.2644699519233</v>
      </c>
      <c r="H255" s="25">
        <f>IF(B255&lt;62,0,'Combined Retirement'!$I$14)</f>
        <v>2345</v>
      </c>
      <c r="I255" s="25">
        <f>IF(C255&lt;62,0,'Combined Retirement'!$I$13)</f>
        <v>2420</v>
      </c>
      <c r="J255" s="25">
        <f t="shared" si="3"/>
        <v>7896.2379798201846</v>
      </c>
      <c r="K255" s="25">
        <f t="shared" si="4"/>
        <v>20367.195264578786</v>
      </c>
      <c r="L255" s="25"/>
      <c r="N255" s="25">
        <f>'Combined Retirement'!$C$18/12</f>
        <v>39153.069999999992</v>
      </c>
      <c r="O255" s="25">
        <f t="shared" si="5"/>
        <v>10889.636755601023</v>
      </c>
      <c r="P255" s="25">
        <f t="shared" si="6"/>
        <v>28263.43324439897</v>
      </c>
      <c r="Q255" s="25">
        <f t="array" aca="1" ref="Q255" ca="1">INDEX('Isaac 401k'!L:L,MATCH('Retirement Calculator'!A255,'Isaac 401k'!N:N,0),0)</f>
        <v>1788865.9549266635</v>
      </c>
      <c r="R255" s="25">
        <f t="array" aca="1" ref="R255" ca="1">INDEX('Lorri 401b'!L:L,MATCH('Retirement Calculator'!A255,'Lorri 401b'!N:N,0),0)</f>
        <v>3859506.3207795704</v>
      </c>
      <c r="S255" s="25">
        <f t="shared" ca="1" si="7"/>
        <v>5648372.2757062335</v>
      </c>
    </row>
    <row r="256" spans="1:19" ht="15.75" customHeight="1" x14ac:dyDescent="0.3">
      <c r="A256" s="37">
        <v>58746</v>
      </c>
      <c r="B256" s="398">
        <f t="shared" ref="B256:C256" si="252">($A256-B$9)/365.25</f>
        <v>78.959616700889796</v>
      </c>
      <c r="C256" s="398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3254.2644699519233</v>
      </c>
      <c r="H256" s="25">
        <f>IF(B256&lt;62,0,'Combined Retirement'!$I$14)</f>
        <v>2345</v>
      </c>
      <c r="I256" s="25">
        <f>IF(C256&lt;62,0,'Combined Retirement'!$I$13)</f>
        <v>2420</v>
      </c>
      <c r="J256" s="25">
        <f t="shared" si="3"/>
        <v>7896.2379798201846</v>
      </c>
      <c r="K256" s="25">
        <f t="shared" si="4"/>
        <v>20367.195264578786</v>
      </c>
      <c r="L256" s="25"/>
      <c r="N256" s="25">
        <f>'Combined Retirement'!$C$18/12</f>
        <v>39153.069999999992</v>
      </c>
      <c r="O256" s="25">
        <f t="shared" si="5"/>
        <v>10889.636755601023</v>
      </c>
      <c r="P256" s="25">
        <f t="shared" si="6"/>
        <v>28263.43324439897</v>
      </c>
      <c r="Q256" s="25">
        <f t="array" aca="1" ref="Q256" ca="1">INDEX('Isaac 401k'!L:L,MATCH('Retirement Calculator'!A256,'Isaac 401k'!N:N,0),0)</f>
        <v>1788390.4241007885</v>
      </c>
      <c r="R256" s="25">
        <f t="array" aca="1" ref="R256" ca="1">INDEX('Lorri 401b'!L:L,MATCH('Retirement Calculator'!A256,'Lorri 401b'!N:N,0),0)</f>
        <v>3855135.5385379707</v>
      </c>
      <c r="S256" s="25">
        <f t="shared" ca="1" si="7"/>
        <v>5643525.9626387591</v>
      </c>
    </row>
    <row r="257" spans="1:19" ht="15.75" customHeight="1" x14ac:dyDescent="0.3">
      <c r="A257" s="37">
        <v>58776</v>
      </c>
      <c r="B257" s="398">
        <f t="shared" ref="B257:C257" si="253">($A257-B$9)/365.25</f>
        <v>79.041752224503767</v>
      </c>
      <c r="C257" s="398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3254.2644699519233</v>
      </c>
      <c r="H257" s="25">
        <f>IF(B257&lt;62,0,'Combined Retirement'!$I$14)</f>
        <v>2345</v>
      </c>
      <c r="I257" s="25">
        <f>IF(C257&lt;62,0,'Combined Retirement'!$I$13)</f>
        <v>2420</v>
      </c>
      <c r="J257" s="25">
        <f t="shared" si="3"/>
        <v>7896.2379798201846</v>
      </c>
      <c r="K257" s="25">
        <f t="shared" si="4"/>
        <v>20367.195264578786</v>
      </c>
      <c r="L257" s="25"/>
      <c r="N257" s="25">
        <f>'Combined Retirement'!$C$18/12</f>
        <v>39153.069999999992</v>
      </c>
      <c r="O257" s="25">
        <f t="shared" si="5"/>
        <v>10889.636755601023</v>
      </c>
      <c r="P257" s="25">
        <f t="shared" si="6"/>
        <v>28263.43324439897</v>
      </c>
      <c r="Q257" s="25">
        <f t="array" aca="1" ref="Q257" ca="1">INDEX('Isaac 401k'!L:L,MATCH('Retirement Calculator'!A257,'Isaac 401k'!N:N,0),0)</f>
        <v>1787912.9118964723</v>
      </c>
      <c r="R257" s="25">
        <f t="array" aca="1" ref="R257" ca="1">INDEX('Lorri 401b'!L:L,MATCH('Retirement Calculator'!A257,'Lorri 401b'!N:N,0),0)</f>
        <v>3850746.5447036978</v>
      </c>
      <c r="S257" s="25">
        <f t="shared" ca="1" si="7"/>
        <v>5638659.4566001706</v>
      </c>
    </row>
    <row r="258" spans="1:19" ht="15.75" customHeight="1" x14ac:dyDescent="0.3">
      <c r="A258" s="37">
        <v>58807</v>
      </c>
      <c r="B258" s="398">
        <f t="shared" ref="B258:C258" si="254">($A258-B$9)/365.25</f>
        <v>79.126625598904866</v>
      </c>
      <c r="C258" s="398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3254.2644699519233</v>
      </c>
      <c r="H258" s="25">
        <f>IF(B258&lt;62,0,'Combined Retirement'!$I$14)</f>
        <v>2345</v>
      </c>
      <c r="I258" s="25">
        <f>IF(C258&lt;62,0,'Combined Retirement'!$I$13)</f>
        <v>2420</v>
      </c>
      <c r="J258" s="25">
        <f t="shared" si="3"/>
        <v>7896.2379798201846</v>
      </c>
      <c r="K258" s="25">
        <f t="shared" si="4"/>
        <v>20367.195264578786</v>
      </c>
      <c r="L258" s="25"/>
      <c r="N258" s="25">
        <f>'Combined Retirement'!$C$18/12</f>
        <v>39153.069999999992</v>
      </c>
      <c r="O258" s="25">
        <f t="shared" si="5"/>
        <v>10889.636755601023</v>
      </c>
      <c r="P258" s="25">
        <f t="shared" si="6"/>
        <v>28263.43324439897</v>
      </c>
      <c r="Q258" s="25">
        <f t="array" aca="1" ref="Q258" ca="1">INDEX('Isaac 401k'!L:L,MATCH('Retirement Calculator'!A258,'Isaac 401k'!N:N,0),0)</f>
        <v>1787433.4100579715</v>
      </c>
      <c r="R258" s="25">
        <f t="array" aca="1" ref="R258" ca="1">INDEX('Lorri 401b'!L:L,MATCH('Retirement Calculator'!A258,'Lorri 401b'!N:N,0),0)</f>
        <v>3846339.2633951153</v>
      </c>
      <c r="S258" s="25">
        <f t="shared" ca="1" si="7"/>
        <v>5633772.673453087</v>
      </c>
    </row>
    <row r="259" spans="1:19" ht="15.75" customHeight="1" x14ac:dyDescent="0.3">
      <c r="A259" s="37">
        <v>58838</v>
      </c>
      <c r="B259" s="398">
        <f t="shared" ref="B259:C259" si="255">($A259-B$9)/365.25</f>
        <v>79.21149897330595</v>
      </c>
      <c r="C259" s="398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3254.2644699519233</v>
      </c>
      <c r="H259" s="25">
        <f>IF(B259&lt;62,0,'Combined Retirement'!$I$14)</f>
        <v>2345</v>
      </c>
      <c r="I259" s="25">
        <f>IF(C259&lt;62,0,'Combined Retirement'!$I$13)</f>
        <v>2420</v>
      </c>
      <c r="J259" s="25">
        <f t="shared" si="3"/>
        <v>7896.2379798201846</v>
      </c>
      <c r="K259" s="25">
        <f t="shared" si="4"/>
        <v>20367.195264578786</v>
      </c>
      <c r="L259" s="25"/>
      <c r="N259" s="25">
        <f>'Combined Retirement'!$C$18/12</f>
        <v>39153.069999999992</v>
      </c>
      <c r="O259" s="25">
        <f t="shared" si="5"/>
        <v>10889.636755601023</v>
      </c>
      <c r="P259" s="25">
        <f t="shared" si="6"/>
        <v>28263.43324439897</v>
      </c>
      <c r="Q259" s="25">
        <f t="array" aca="1" ref="Q259" ca="1">INDEX('Isaac 401k'!L:L,MATCH('Retirement Calculator'!A259,'Isaac 401k'!N:N,0),0)</f>
        <v>1786951.9102951435</v>
      </c>
      <c r="R259" s="25">
        <f t="array" aca="1" ref="R259" ca="1">INDEX('Lorri 401b'!L:L,MATCH('Retirement Calculator'!A259,'Lorri 401b'!N:N,0),0)</f>
        <v>3841913.6184144136</v>
      </c>
      <c r="S259" s="25">
        <f t="shared" ca="1" si="7"/>
        <v>5628865.5287095569</v>
      </c>
    </row>
    <row r="260" spans="1:19" ht="15.75" customHeight="1" x14ac:dyDescent="0.3">
      <c r="A260" s="37">
        <v>58866</v>
      </c>
      <c r="B260" s="398">
        <f t="shared" ref="B260:C260" si="256">($A260-B$9)/365.25</f>
        <v>79.288158795345652</v>
      </c>
      <c r="C260" s="398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3254.2644699519233</v>
      </c>
      <c r="H260" s="25">
        <f>IF(B260&lt;62,0,'Combined Retirement'!$I$14)</f>
        <v>2345</v>
      </c>
      <c r="I260" s="25">
        <f>IF(C260&lt;62,0,'Combined Retirement'!$I$13)</f>
        <v>2420</v>
      </c>
      <c r="J260" s="25">
        <f t="shared" si="3"/>
        <v>7896.2379798201846</v>
      </c>
      <c r="K260" s="25">
        <f t="shared" si="4"/>
        <v>20367.195264578786</v>
      </c>
      <c r="L260" s="25"/>
      <c r="N260" s="25">
        <f>'Combined Retirement'!$C$18/12</f>
        <v>39153.069999999992</v>
      </c>
      <c r="O260" s="25">
        <f t="shared" si="5"/>
        <v>10889.636755601023</v>
      </c>
      <c r="P260" s="25">
        <f t="shared" si="6"/>
        <v>28263.43324439897</v>
      </c>
      <c r="Q260" s="25">
        <f t="array" aca="1" ref="Q260" ca="1">INDEX('Isaac 401k'!L:L,MATCH('Retirement Calculator'!A260,'Isaac 401k'!N:N,0),0)</f>
        <v>1786468.4042833038</v>
      </c>
      <c r="R260" s="25">
        <f t="array" aca="1" ref="R260" ca="1">INDEX('Lorri 401b'!L:L,MATCH('Retirement Calculator'!A260,'Lorri 401b'!N:N,0),0)</f>
        <v>3837469.5332462923</v>
      </c>
      <c r="S260" s="25">
        <f t="shared" ca="1" si="7"/>
        <v>5623937.9375295956</v>
      </c>
    </row>
    <row r="261" spans="1:19" ht="15.75" customHeight="1" x14ac:dyDescent="0.3">
      <c r="A261" s="37">
        <v>58897</v>
      </c>
      <c r="B261" s="398">
        <f t="shared" ref="B261:C261" si="257">($A261-B$9)/365.25</f>
        <v>79.37303216974675</v>
      </c>
      <c r="C261" s="398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3254.2644699519233</v>
      </c>
      <c r="H261" s="25">
        <f>IF(B261&lt;62,0,'Combined Retirement'!$I$14)</f>
        <v>2345</v>
      </c>
      <c r="I261" s="25">
        <f>IF(C261&lt;62,0,'Combined Retirement'!$I$13)</f>
        <v>2420</v>
      </c>
      <c r="J261" s="25">
        <f t="shared" si="3"/>
        <v>7896.2379798201846</v>
      </c>
      <c r="K261" s="25">
        <f t="shared" si="4"/>
        <v>20367.195264578786</v>
      </c>
      <c r="L261" s="25"/>
      <c r="N261" s="25">
        <f>'Combined Retirement'!$C$18/12</f>
        <v>39153.069999999992</v>
      </c>
      <c r="O261" s="25">
        <f t="shared" si="5"/>
        <v>10889.636755601023</v>
      </c>
      <c r="P261" s="25">
        <f t="shared" si="6"/>
        <v>28263.43324439897</v>
      </c>
      <c r="Q261" s="25">
        <f t="array" aca="1" ref="Q261" ca="1">INDEX('Isaac 401k'!L:L,MATCH('Retirement Calculator'!A261,'Isaac 401k'!N:N,0),0)</f>
        <v>1785982.8836630813</v>
      </c>
      <c r="R261" s="25">
        <f t="array" aca="1" ref="R261" ca="1">INDEX('Lorri 401b'!L:L,MATCH('Retirement Calculator'!A261,'Lorri 401b'!N:N,0),0)</f>
        <v>3833006.9310566373</v>
      </c>
      <c r="S261" s="25">
        <f t="shared" ca="1" si="7"/>
        <v>5618989.8147197189</v>
      </c>
    </row>
    <row r="262" spans="1:19" ht="15.75" customHeight="1" x14ac:dyDescent="0.3">
      <c r="A262" s="37">
        <v>58927</v>
      </c>
      <c r="B262" s="398">
        <f t="shared" ref="B262:C262" si="258">($A262-B$9)/365.25</f>
        <v>79.455167693360707</v>
      </c>
      <c r="C262" s="398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3254.2644699519233</v>
      </c>
      <c r="H262" s="25">
        <f>IF(B262&lt;62,0,'Combined Retirement'!$I$14)</f>
        <v>2345</v>
      </c>
      <c r="I262" s="25">
        <f>IF(C262&lt;62,0,'Combined Retirement'!$I$13)</f>
        <v>2420</v>
      </c>
      <c r="J262" s="25">
        <f t="shared" si="3"/>
        <v>7896.2379798201846</v>
      </c>
      <c r="K262" s="25">
        <f t="shared" si="4"/>
        <v>20367.195264578786</v>
      </c>
      <c r="L262" s="25"/>
      <c r="N262" s="25">
        <f>'Combined Retirement'!$C$18/12</f>
        <v>39153.069999999992</v>
      </c>
      <c r="O262" s="25">
        <f t="shared" si="5"/>
        <v>10889.636755601023</v>
      </c>
      <c r="P262" s="25">
        <f t="shared" si="6"/>
        <v>28263.43324439897</v>
      </c>
      <c r="Q262" s="25">
        <f t="array" aca="1" ref="Q262" ca="1">INDEX('Isaac 401k'!L:L,MATCH('Retirement Calculator'!A262,'Isaac 401k'!N:N,0),0)</f>
        <v>1785495.3400402747</v>
      </c>
      <c r="R262" s="25">
        <f t="array" aca="1" ref="R262" ca="1">INDEX('Lorri 401b'!L:L,MATCH('Retirement Calculator'!A262,'Lorri 401b'!N:N,0),0)</f>
        <v>3828525.7346911919</v>
      </c>
      <c r="S262" s="25">
        <f t="shared" ca="1" si="7"/>
        <v>5614021.0747314664</v>
      </c>
    </row>
    <row r="263" spans="1:19" ht="15.75" customHeight="1" x14ac:dyDescent="0.3">
      <c r="A263" s="37">
        <v>58958</v>
      </c>
      <c r="B263" s="398">
        <f t="shared" ref="B263:C263" si="259">($A263-B$9)/365.25</f>
        <v>79.540041067761805</v>
      </c>
      <c r="C263" s="398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3254.2644699519233</v>
      </c>
      <c r="H263" s="25">
        <f>IF(B263&lt;62,0,'Combined Retirement'!$I$14)</f>
        <v>2345</v>
      </c>
      <c r="I263" s="25">
        <f>IF(C263&lt;62,0,'Combined Retirement'!$I$13)</f>
        <v>2420</v>
      </c>
      <c r="J263" s="25">
        <f t="shared" si="3"/>
        <v>7896.2379798201846</v>
      </c>
      <c r="K263" s="25">
        <f t="shared" si="4"/>
        <v>20367.195264578786</v>
      </c>
      <c r="L263" s="25"/>
      <c r="N263" s="25">
        <f>'Combined Retirement'!$C$18/12</f>
        <v>39153.069999999992</v>
      </c>
      <c r="O263" s="25">
        <f t="shared" si="5"/>
        <v>10889.636755601023</v>
      </c>
      <c r="P263" s="25">
        <f t="shared" si="6"/>
        <v>28263.43324439897</v>
      </c>
      <c r="Q263" s="25">
        <f t="array" aca="1" ref="Q263" ca="1">INDEX('Isaac 401k'!L:L,MATCH('Retirement Calculator'!A263,'Isaac 401k'!N:N,0),0)</f>
        <v>1785005.7649857064</v>
      </c>
      <c r="R263" s="25">
        <f t="array" aca="1" ref="R263" ca="1">INDEX('Lorri 401b'!L:L,MATCH('Retirement Calculator'!A263,'Lorri 401b'!N:N,0),0)</f>
        <v>3824025.8666742239</v>
      </c>
      <c r="S263" s="25">
        <f t="shared" ca="1" si="7"/>
        <v>5609031.6316599306</v>
      </c>
    </row>
    <row r="264" spans="1:19" ht="15.75" customHeight="1" x14ac:dyDescent="0.3">
      <c r="A264" s="37">
        <v>58988</v>
      </c>
      <c r="B264" s="398">
        <f t="shared" ref="B264:C264" si="260">($A264-B$9)/365.25</f>
        <v>79.622176591375776</v>
      </c>
      <c r="C264" s="398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3254.2644699519233</v>
      </c>
      <c r="H264" s="25">
        <f>IF(B264&lt;62,0,'Combined Retirement'!$I$14)</f>
        <v>2345</v>
      </c>
      <c r="I264" s="25">
        <f>IF(C264&lt;62,0,'Combined Retirement'!$I$13)</f>
        <v>2420</v>
      </c>
      <c r="J264" s="25">
        <f t="shared" si="3"/>
        <v>7896.2379798201846</v>
      </c>
      <c r="K264" s="25">
        <f t="shared" si="4"/>
        <v>20367.195264578786</v>
      </c>
      <c r="L264" s="25"/>
      <c r="N264" s="25">
        <f>'Combined Retirement'!$C$18/12</f>
        <v>39153.069999999992</v>
      </c>
      <c r="O264" s="25">
        <f t="shared" si="5"/>
        <v>10889.636755601023</v>
      </c>
      <c r="P264" s="25">
        <f t="shared" si="6"/>
        <v>28263.43324439897</v>
      </c>
      <c r="Q264" s="25">
        <f t="array" aca="1" ref="Q264" ca="1">INDEX('Isaac 401k'!L:L,MATCH('Retirement Calculator'!A264,'Isaac 401k'!N:N,0),0)</f>
        <v>1784514.1500350775</v>
      </c>
      <c r="R264" s="25">
        <f t="array" aca="1" ref="R264" ca="1">INDEX('Lorri 401b'!L:L,MATCH('Retirement Calculator'!A264,'Lorri 401b'!N:N,0),0)</f>
        <v>3819507.2492071851</v>
      </c>
      <c r="S264" s="25">
        <f t="shared" ca="1" si="7"/>
        <v>5604021.3992422624</v>
      </c>
    </row>
    <row r="265" spans="1:19" ht="15.75" customHeight="1" x14ac:dyDescent="0.3">
      <c r="A265" s="37">
        <v>59019</v>
      </c>
      <c r="B265" s="398">
        <f t="shared" ref="B265:C265" si="261">($A265-B$9)/365.25</f>
        <v>79.707049965776861</v>
      </c>
      <c r="C265" s="398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3254.2644699519233</v>
      </c>
      <c r="H265" s="25">
        <f>IF(B265&lt;62,0,'Combined Retirement'!$I$14)</f>
        <v>2345</v>
      </c>
      <c r="I265" s="25">
        <f>IF(C265&lt;62,0,'Combined Retirement'!$I$13)</f>
        <v>2420</v>
      </c>
      <c r="J265" s="25">
        <f t="shared" si="3"/>
        <v>7896.2379798201846</v>
      </c>
      <c r="K265" s="25">
        <f t="shared" si="4"/>
        <v>20367.195264578786</v>
      </c>
      <c r="L265" s="25"/>
      <c r="N265" s="25">
        <f>'Combined Retirement'!$C$18/12</f>
        <v>39153.069999999992</v>
      </c>
      <c r="O265" s="25">
        <f t="shared" si="5"/>
        <v>10889.636755601023</v>
      </c>
      <c r="P265" s="25">
        <f t="shared" si="6"/>
        <v>28263.43324439897</v>
      </c>
      <c r="Q265" s="25">
        <f t="array" aca="1" ref="Q265" ca="1">INDEX('Isaac 401k'!L:L,MATCH('Retirement Calculator'!A265,'Isaac 401k'!N:N,0),0)</f>
        <v>1784020.4866888209</v>
      </c>
      <c r="R265" s="25">
        <f t="array" aca="1" ref="R265" ca="1">INDEX('Lorri 401b'!L:L,MATCH('Retirement Calculator'!A265,'Lorri 401b'!N:N,0),0)</f>
        <v>3814969.8041673671</v>
      </c>
      <c r="S265" s="25">
        <f t="shared" ca="1" si="7"/>
        <v>5598990.2908561882</v>
      </c>
    </row>
    <row r="266" spans="1:19" ht="15.75" customHeight="1" x14ac:dyDescent="0.3">
      <c r="A266" s="37">
        <v>59050</v>
      </c>
      <c r="B266" s="398">
        <f t="shared" ref="B266:C266" si="262">($A266-B$9)/365.25</f>
        <v>79.791923340177959</v>
      </c>
      <c r="C266" s="398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3254.2644699519233</v>
      </c>
      <c r="H266" s="25">
        <f>IF(B266&lt;62,0,'Combined Retirement'!$I$14)</f>
        <v>2345</v>
      </c>
      <c r="I266" s="25">
        <f>IF(C266&lt;62,0,'Combined Retirement'!$I$13)</f>
        <v>2420</v>
      </c>
      <c r="J266" s="25">
        <f t="shared" ref="J266:J520" si="263">IF(C266&lt;59.5,P266,P266*$J$7)</f>
        <v>7896.2379798201846</v>
      </c>
      <c r="K266" s="25">
        <f t="shared" ref="K266:K520" si="264">IF(C266&lt;59.5,0,IF(C266&lt;$B$7,0,P266*$K$7))</f>
        <v>20367.195264578786</v>
      </c>
      <c r="L266" s="25"/>
      <c r="N266" s="25">
        <f>'Combined Retirement'!$C$18/12</f>
        <v>39153.069999999992</v>
      </c>
      <c r="O266" s="25">
        <f t="shared" ref="O266:O520" si="265">SUM(E266:I266)</f>
        <v>10889.636755601023</v>
      </c>
      <c r="P266" s="25">
        <f t="shared" ref="P266:P520" si="266">N266-O266</f>
        <v>28263.43324439897</v>
      </c>
      <c r="Q266" s="25">
        <f t="array" aca="1" ref="Q266" ca="1">INDEX('Isaac 401k'!L:L,MATCH('Retirement Calculator'!A266,'Isaac 401k'!N:N,0),0)</f>
        <v>1783524.7664119548</v>
      </c>
      <c r="R266" s="25">
        <f t="array" aca="1" ref="R266" ca="1">INDEX('Lorri 401b'!L:L,MATCH('Retirement Calculator'!A266,'Lorri 401b'!N:N,0),0)</f>
        <v>3810413.45310655</v>
      </c>
      <c r="S266" s="25">
        <f t="shared" ref="S266:S520" ca="1" si="267">SUM(Q266:R266)</f>
        <v>5593938.219518505</v>
      </c>
    </row>
    <row r="267" spans="1:19" ht="15.75" customHeight="1" x14ac:dyDescent="0.3">
      <c r="A267" s="37">
        <v>59080</v>
      </c>
      <c r="B267" s="398">
        <f t="shared" ref="B267:C267" si="268">($A267-B$9)/365.25</f>
        <v>79.87405886379193</v>
      </c>
      <c r="C267" s="398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3254.2644699519233</v>
      </c>
      <c r="H267" s="25">
        <f>IF(B267&lt;62,0,'Combined Retirement'!$I$14)</f>
        <v>2345</v>
      </c>
      <c r="I267" s="25">
        <f>IF(C267&lt;62,0,'Combined Retirement'!$I$13)</f>
        <v>2420</v>
      </c>
      <c r="J267" s="25">
        <f t="shared" si="263"/>
        <v>7896.2379798201846</v>
      </c>
      <c r="K267" s="25">
        <f t="shared" si="264"/>
        <v>20367.195264578786</v>
      </c>
      <c r="L267" s="25"/>
      <c r="N267" s="25">
        <f>'Combined Retirement'!$C$18/12</f>
        <v>39153.069999999992</v>
      </c>
      <c r="O267" s="25">
        <f t="shared" si="265"/>
        <v>10889.636755601023</v>
      </c>
      <c r="P267" s="25">
        <f t="shared" si="266"/>
        <v>28263.43324439897</v>
      </c>
      <c r="Q267" s="25">
        <f t="array" aca="1" ref="Q267" ca="1">INDEX('Isaac 401k'!L:L,MATCH('Retirement Calculator'!A267,'Isaac 401k'!N:N,0),0)</f>
        <v>1783026.9806339352</v>
      </c>
      <c r="R267" s="25">
        <f t="array" aca="1" ref="R267" ca="1">INDEX('Lorri 401b'!L:L,MATCH('Retirement Calculator'!A267,'Lorri 401b'!N:N,0),0)</f>
        <v>3805838.1172496462</v>
      </c>
      <c r="S267" s="25">
        <f t="shared" ca="1" si="267"/>
        <v>5588865.0978835812</v>
      </c>
    </row>
    <row r="268" spans="1:19" ht="15.75" customHeight="1" x14ac:dyDescent="0.3">
      <c r="A268" s="37">
        <v>59111</v>
      </c>
      <c r="B268" s="398">
        <f t="shared" ref="B268:C268" si="269">($A268-B$9)/365.25</f>
        <v>79.958932238193015</v>
      </c>
      <c r="C268" s="398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3254.2644699519233</v>
      </c>
      <c r="H268" s="25">
        <f>IF(B268&lt;62,0,'Combined Retirement'!$I$14)</f>
        <v>2345</v>
      </c>
      <c r="I268" s="25">
        <f>IF(C268&lt;62,0,'Combined Retirement'!$I$13)</f>
        <v>2420</v>
      </c>
      <c r="J268" s="25">
        <f t="shared" si="263"/>
        <v>7896.2379798201846</v>
      </c>
      <c r="K268" s="25">
        <f t="shared" si="264"/>
        <v>20367.195264578786</v>
      </c>
      <c r="L268" s="25"/>
      <c r="N268" s="25">
        <f>'Combined Retirement'!$C$18/12</f>
        <v>39153.069999999992</v>
      </c>
      <c r="O268" s="25">
        <f t="shared" si="265"/>
        <v>10889.636755601023</v>
      </c>
      <c r="P268" s="25">
        <f t="shared" si="266"/>
        <v>28263.43324439897</v>
      </c>
      <c r="Q268" s="25">
        <f t="array" aca="1" ref="Q268" ca="1">INDEX('Isaac 401k'!L:L,MATCH('Retirement Calculator'!A268,'Isaac 401k'!N:N,0),0)</f>
        <v>1782527.1207485071</v>
      </c>
      <c r="R268" s="25">
        <f t="array" aca="1" ref="R268" ca="1">INDEX('Lorri 401b'!L:L,MATCH('Retirement Calculator'!A268,'Lorri 401b'!N:N,0),0)</f>
        <v>3801243.7174933385</v>
      </c>
      <c r="S268" s="25">
        <f t="shared" ca="1" si="267"/>
        <v>5583770.8382418454</v>
      </c>
    </row>
    <row r="269" spans="1:19" ht="15.75" customHeight="1" x14ac:dyDescent="0.3">
      <c r="A269" s="37">
        <v>59141</v>
      </c>
      <c r="B269" s="398">
        <f t="shared" ref="B269:C269" si="270">($A269-B$9)/365.25</f>
        <v>80.041067761806985</v>
      </c>
      <c r="C269" s="398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3254.2644699519233</v>
      </c>
      <c r="H269" s="25">
        <f>IF(B269&lt;62,0,'Combined Retirement'!$I$14)</f>
        <v>2345</v>
      </c>
      <c r="I269" s="25">
        <f>IF(C269&lt;62,0,'Combined Retirement'!$I$13)</f>
        <v>2420</v>
      </c>
      <c r="J269" s="25">
        <f t="shared" si="263"/>
        <v>7896.2379798201846</v>
      </c>
      <c r="K269" s="25">
        <f t="shared" si="264"/>
        <v>20367.195264578786</v>
      </c>
      <c r="L269" s="25"/>
      <c r="N269" s="25">
        <f>'Combined Retirement'!$C$18/12</f>
        <v>39153.069999999992</v>
      </c>
      <c r="O269" s="25">
        <f t="shared" si="265"/>
        <v>10889.636755601023</v>
      </c>
      <c r="P269" s="25">
        <f t="shared" si="266"/>
        <v>28263.43324439897</v>
      </c>
      <c r="Q269" s="25">
        <f t="array" aca="1" ref="Q269" ca="1">INDEX('Isaac 401k'!L:L,MATCH('Retirement Calculator'!A269,'Isaac 401k'!N:N,0),0)</f>
        <v>1782025.1781135565</v>
      </c>
      <c r="R269" s="25">
        <f t="array" aca="1" ref="R269" ca="1">INDEX('Lorri 401b'!L:L,MATCH('Retirement Calculator'!A269,'Lorri 401b'!N:N,0),0)</f>
        <v>3796630.1744047129</v>
      </c>
      <c r="S269" s="25">
        <f t="shared" ca="1" si="267"/>
        <v>5578655.3525182698</v>
      </c>
    </row>
    <row r="270" spans="1:19" ht="15.75" customHeight="1" x14ac:dyDescent="0.3">
      <c r="A270" s="37">
        <v>59172</v>
      </c>
      <c r="B270" s="398">
        <f t="shared" ref="B270:C270" si="271">($A270-B$9)/365.25</f>
        <v>80.12594113620807</v>
      </c>
      <c r="C270" s="398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3254.2644699519233</v>
      </c>
      <c r="H270" s="25">
        <f>IF(B270&lt;62,0,'Combined Retirement'!$I$14)</f>
        <v>2345</v>
      </c>
      <c r="I270" s="25">
        <f>IF(C270&lt;62,0,'Combined Retirement'!$I$13)</f>
        <v>2420</v>
      </c>
      <c r="J270" s="25">
        <f t="shared" si="263"/>
        <v>7896.2379798201846</v>
      </c>
      <c r="K270" s="25">
        <f t="shared" si="264"/>
        <v>20367.195264578786</v>
      </c>
      <c r="L270" s="25"/>
      <c r="N270" s="25">
        <f>'Combined Retirement'!$C$18/12</f>
        <v>39153.069999999992</v>
      </c>
      <c r="O270" s="25">
        <f t="shared" si="265"/>
        <v>10889.636755601023</v>
      </c>
      <c r="P270" s="25">
        <f t="shared" si="266"/>
        <v>28263.43324439897</v>
      </c>
      <c r="Q270" s="25">
        <f t="array" aca="1" ref="Q270" ca="1">INDEX('Isaac 401k'!L:L,MATCH('Retirement Calculator'!A270,'Isaac 401k'!N:N,0),0)</f>
        <v>1781521.1440509602</v>
      </c>
      <c r="R270" s="25">
        <f t="array" aca="1" ref="R270" ca="1">INDEX('Lorri 401b'!L:L,MATCH('Retirement Calculator'!A270,'Lorri 401b'!N:N,0),0)</f>
        <v>3791997.4082198846</v>
      </c>
      <c r="S270" s="25">
        <f t="shared" ca="1" si="267"/>
        <v>5573518.5522708446</v>
      </c>
    </row>
    <row r="271" spans="1:19" ht="15.75" customHeight="1" x14ac:dyDescent="0.3">
      <c r="A271" s="37">
        <v>59203</v>
      </c>
      <c r="B271" s="398">
        <f t="shared" ref="B271:C271" si="272">($A271-B$9)/365.25</f>
        <v>80.210814510609168</v>
      </c>
      <c r="C271" s="398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3254.2644699519233</v>
      </c>
      <c r="H271" s="25">
        <f>IF(B271&lt;62,0,'Combined Retirement'!$I$14)</f>
        <v>2345</v>
      </c>
      <c r="I271" s="25">
        <f>IF(C271&lt;62,0,'Combined Retirement'!$I$13)</f>
        <v>2420</v>
      </c>
      <c r="J271" s="25">
        <f t="shared" si="263"/>
        <v>7896.2379798201846</v>
      </c>
      <c r="K271" s="25">
        <f t="shared" si="264"/>
        <v>20367.195264578786</v>
      </c>
      <c r="L271" s="25"/>
      <c r="N271" s="25">
        <f>'Combined Retirement'!$C$18/12</f>
        <v>39153.069999999992</v>
      </c>
      <c r="O271" s="25">
        <f t="shared" si="265"/>
        <v>10889.636755601023</v>
      </c>
      <c r="P271" s="25">
        <f t="shared" si="266"/>
        <v>28263.43324439897</v>
      </c>
      <c r="Q271" s="25">
        <f t="array" aca="1" ref="Q271" ca="1">INDEX('Isaac 401k'!L:L,MATCH('Retirement Calculator'!A271,'Isaac 401k'!N:N,0),0)</f>
        <v>1781015.0098464363</v>
      </c>
      <c r="R271" s="25">
        <f t="array" aca="1" ref="R271" ca="1">INDEX('Lorri 401b'!L:L,MATCH('Retirement Calculator'!A271,'Lorri 401b'!N:N,0),0)</f>
        <v>3787345.3388426197</v>
      </c>
      <c r="S271" s="25">
        <f t="shared" ca="1" si="267"/>
        <v>5568360.348689056</v>
      </c>
    </row>
    <row r="272" spans="1:19" ht="15.75" customHeight="1" x14ac:dyDescent="0.3">
      <c r="A272" s="37">
        <v>59231</v>
      </c>
      <c r="B272" s="398">
        <f t="shared" ref="B272:C272" si="273">($A272-B$9)/365.25</f>
        <v>80.28747433264887</v>
      </c>
      <c r="C272" s="398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3254.2644699519233</v>
      </c>
      <c r="H272" s="25">
        <f>IF(B272&lt;62,0,'Combined Retirement'!$I$14)</f>
        <v>2345</v>
      </c>
      <c r="I272" s="25">
        <f>IF(C272&lt;62,0,'Combined Retirement'!$I$13)</f>
        <v>2420</v>
      </c>
      <c r="J272" s="25">
        <f t="shared" si="263"/>
        <v>7896.2379798201846</v>
      </c>
      <c r="K272" s="25">
        <f t="shared" si="264"/>
        <v>20367.195264578786</v>
      </c>
      <c r="L272" s="25"/>
      <c r="N272" s="25">
        <f>'Combined Retirement'!$C$18/12</f>
        <v>39153.069999999992</v>
      </c>
      <c r="O272" s="25">
        <f t="shared" si="265"/>
        <v>10889.636755601023</v>
      </c>
      <c r="P272" s="25">
        <f t="shared" si="266"/>
        <v>28263.43324439897</v>
      </c>
      <c r="Q272" s="25">
        <f t="array" aca="1" ref="Q272" ca="1">INDEX('Isaac 401k'!L:L,MATCH('Retirement Calculator'!A272,'Isaac 401k'!N:N,0),0)</f>
        <v>1780506.7667493937</v>
      </c>
      <c r="R272" s="25">
        <f t="array" aca="1" ref="R272" ca="1">INDEX('Lorri 401b'!L:L,MATCH('Retirement Calculator'!A272,'Lorri 401b'!N:N,0),0)</f>
        <v>3782673.8858429492</v>
      </c>
      <c r="S272" s="25">
        <f t="shared" ca="1" si="267"/>
        <v>5563180.6525923423</v>
      </c>
    </row>
    <row r="273" spans="1:19" ht="15.75" customHeight="1" x14ac:dyDescent="0.3">
      <c r="A273" s="37">
        <v>59262</v>
      </c>
      <c r="B273" s="398">
        <f t="shared" ref="B273:C273" si="274">($A273-B$9)/365.25</f>
        <v>80.372347707049968</v>
      </c>
      <c r="C273" s="398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3254.2644699519233</v>
      </c>
      <c r="H273" s="25">
        <f>IF(B273&lt;62,0,'Combined Retirement'!$I$14)</f>
        <v>2345</v>
      </c>
      <c r="I273" s="25">
        <f>IF(C273&lt;62,0,'Combined Retirement'!$I$13)</f>
        <v>2420</v>
      </c>
      <c r="J273" s="25">
        <f t="shared" si="263"/>
        <v>7896.2379798201846</v>
      </c>
      <c r="K273" s="25">
        <f t="shared" si="264"/>
        <v>20367.195264578786</v>
      </c>
      <c r="L273" s="25"/>
      <c r="N273" s="25">
        <f>'Combined Retirement'!$C$18/12</f>
        <v>39153.069999999992</v>
      </c>
      <c r="O273" s="25">
        <f t="shared" si="265"/>
        <v>10889.636755601023</v>
      </c>
      <c r="P273" s="25">
        <f t="shared" si="266"/>
        <v>28263.43324439897</v>
      </c>
      <c r="Q273" s="25">
        <f t="array" aca="1" ref="Q273" ca="1">INDEX('Isaac 401k'!L:L,MATCH('Retirement Calculator'!A273,'Isaac 401k'!N:N,0),0)</f>
        <v>1779996.40597278</v>
      </c>
      <c r="R273" s="25">
        <f t="array" aca="1" ref="R273" ca="1">INDEX('Lorri 401b'!L:L,MATCH('Retirement Calculator'!A273,'Lorri 401b'!N:N,0),0)</f>
        <v>3777982.9684557803</v>
      </c>
      <c r="S273" s="25">
        <f t="shared" ca="1" si="267"/>
        <v>5557979.37442856</v>
      </c>
    </row>
    <row r="274" spans="1:19" ht="15.75" customHeight="1" x14ac:dyDescent="0.3">
      <c r="A274" s="37">
        <v>59292</v>
      </c>
      <c r="B274" s="398">
        <f t="shared" ref="B274:C274" si="275">($A274-B$9)/365.25</f>
        <v>80.454483230663925</v>
      </c>
      <c r="C274" s="398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3254.2644699519233</v>
      </c>
      <c r="H274" s="25">
        <f>IF(B274&lt;62,0,'Combined Retirement'!$I$14)</f>
        <v>2345</v>
      </c>
      <c r="I274" s="25">
        <f>IF(C274&lt;62,0,'Combined Retirement'!$I$13)</f>
        <v>2420</v>
      </c>
      <c r="J274" s="25">
        <f t="shared" si="263"/>
        <v>7896.2379798201846</v>
      </c>
      <c r="K274" s="25">
        <f t="shared" si="264"/>
        <v>20367.195264578786</v>
      </c>
      <c r="L274" s="25"/>
      <c r="N274" s="25">
        <f>'Combined Retirement'!$C$18/12</f>
        <v>39153.069999999992</v>
      </c>
      <c r="O274" s="25">
        <f t="shared" si="265"/>
        <v>10889.636755601023</v>
      </c>
      <c r="P274" s="25">
        <f t="shared" si="266"/>
        <v>28263.43324439897</v>
      </c>
      <c r="Q274" s="25">
        <f t="array" aca="1" ref="Q274" ca="1">INDEX('Isaac 401k'!L:L,MATCH('Retirement Calculator'!A274,'Isaac 401k'!N:N,0),0)</f>
        <v>1779483.9186929304</v>
      </c>
      <c r="R274" s="25">
        <f t="array" aca="1" ref="R274" ca="1">INDEX('Lorri 401b'!L:L,MATCH('Retirement Calculator'!A274,'Lorri 401b'!N:N,0),0)</f>
        <v>3773272.5055794981</v>
      </c>
      <c r="S274" s="25">
        <f t="shared" ca="1" si="267"/>
        <v>5552756.4242724283</v>
      </c>
    </row>
    <row r="275" spans="1:19" ht="15.75" customHeight="1" x14ac:dyDescent="0.3">
      <c r="A275" s="37">
        <v>59323</v>
      </c>
      <c r="B275" s="398">
        <f t="shared" ref="B275:C275" si="276">($A275-B$9)/365.25</f>
        <v>80.539356605065024</v>
      </c>
      <c r="C275" s="398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3254.2644699519233</v>
      </c>
      <c r="H275" s="25">
        <f>IF(B275&lt;62,0,'Combined Retirement'!$I$14)</f>
        <v>2345</v>
      </c>
      <c r="I275" s="25">
        <f>IF(C275&lt;62,0,'Combined Retirement'!$I$13)</f>
        <v>2420</v>
      </c>
      <c r="J275" s="25">
        <f t="shared" si="263"/>
        <v>7896.2379798201846</v>
      </c>
      <c r="K275" s="25">
        <f t="shared" si="264"/>
        <v>20367.195264578786</v>
      </c>
      <c r="L275" s="25"/>
      <c r="N275" s="25">
        <f>'Combined Retirement'!$C$18/12</f>
        <v>39153.069999999992</v>
      </c>
      <c r="O275" s="25">
        <f t="shared" si="265"/>
        <v>10889.636755601023</v>
      </c>
      <c r="P275" s="25">
        <f t="shared" si="266"/>
        <v>28263.43324439897</v>
      </c>
      <c r="Q275" s="25">
        <f t="array" aca="1" ref="Q275" ca="1">INDEX('Isaac 401k'!L:L,MATCH('Retirement Calculator'!A275,'Isaac 401k'!N:N,0),0)</f>
        <v>1778969.2960494147</v>
      </c>
      <c r="R275" s="25">
        <f t="array" aca="1" ref="R275" ca="1">INDEX('Lorri 401b'!L:L,MATCH('Retirement Calculator'!A275,'Lorri 401b'!N:N,0),0)</f>
        <v>3768542.4157745647</v>
      </c>
      <c r="S275" s="25">
        <f t="shared" ca="1" si="267"/>
        <v>5547511.7118239794</v>
      </c>
    </row>
    <row r="276" spans="1:19" ht="15.75" customHeight="1" x14ac:dyDescent="0.3">
      <c r="A276" s="37">
        <v>59353</v>
      </c>
      <c r="B276" s="398">
        <f t="shared" ref="B276:C276" si="277">($A276-B$9)/365.25</f>
        <v>80.62149212867898</v>
      </c>
      <c r="C276" s="398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3254.2644699519233</v>
      </c>
      <c r="H276" s="25">
        <f>IF(B276&lt;62,0,'Combined Retirement'!$I$14)</f>
        <v>2345</v>
      </c>
      <c r="I276" s="25">
        <f>IF(C276&lt;62,0,'Combined Retirement'!$I$13)</f>
        <v>2420</v>
      </c>
      <c r="J276" s="25">
        <f t="shared" si="263"/>
        <v>7896.2379798201846</v>
      </c>
      <c r="K276" s="25">
        <f t="shared" si="264"/>
        <v>20367.195264578786</v>
      </c>
      <c r="L276" s="25"/>
      <c r="N276" s="25">
        <f>'Combined Retirement'!$C$18/12</f>
        <v>39153.069999999992</v>
      </c>
      <c r="O276" s="25">
        <f t="shared" si="265"/>
        <v>10889.636755601023</v>
      </c>
      <c r="P276" s="25">
        <f t="shared" si="266"/>
        <v>28263.43324439897</v>
      </c>
      <c r="Q276" s="25">
        <f t="array" aca="1" ref="Q276" ca="1">INDEX('Isaac 401k'!L:L,MATCH('Retirement Calculator'!A276,'Isaac 401k'!N:N,0),0)</f>
        <v>1778452.5291448843</v>
      </c>
      <c r="R276" s="25">
        <f t="array" aca="1" ref="R276" ca="1">INDEX('Lorri 401b'!L:L,MATCH('Retirement Calculator'!A276,'Lorri 401b'!N:N,0),0)</f>
        <v>3763792.617262111</v>
      </c>
      <c r="S276" s="25">
        <f t="shared" ca="1" si="267"/>
        <v>5542245.1464069951</v>
      </c>
    </row>
    <row r="277" spans="1:19" ht="15.75" customHeight="1" x14ac:dyDescent="0.3">
      <c r="A277" s="37">
        <v>59384</v>
      </c>
      <c r="B277" s="398">
        <f t="shared" ref="B277:C277" si="278">($A277-B$9)/365.25</f>
        <v>80.706365503080079</v>
      </c>
      <c r="C277" s="398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3254.2644699519233</v>
      </c>
      <c r="H277" s="25">
        <f>IF(B277&lt;62,0,'Combined Retirement'!$I$14)</f>
        <v>2345</v>
      </c>
      <c r="I277" s="25">
        <f>IF(C277&lt;62,0,'Combined Retirement'!$I$13)</f>
        <v>2420</v>
      </c>
      <c r="J277" s="25">
        <f t="shared" si="263"/>
        <v>7896.2379798201846</v>
      </c>
      <c r="K277" s="25">
        <f t="shared" si="264"/>
        <v>20367.195264578786</v>
      </c>
      <c r="L277" s="25"/>
      <c r="N277" s="25">
        <f>'Combined Retirement'!$C$18/12</f>
        <v>39153.069999999992</v>
      </c>
      <c r="O277" s="25">
        <f t="shared" si="265"/>
        <v>10889.636755601023</v>
      </c>
      <c r="P277" s="25">
        <f t="shared" si="266"/>
        <v>28263.43324439897</v>
      </c>
      <c r="Q277" s="25">
        <f t="array" aca="1" ref="Q277" ca="1">INDEX('Isaac 401k'!L:L,MATCH('Retirement Calculator'!A277,'Isaac 401k'!N:N,0),0)</f>
        <v>1777933.6090449186</v>
      </c>
      <c r="R277" s="25">
        <f t="array" aca="1" ref="R277" ca="1">INDEX('Lorri 401b'!L:L,MATCH('Retirement Calculator'!A277,'Lorri 401b'!N:N,0),0)</f>
        <v>3759023.0279225218</v>
      </c>
      <c r="S277" s="25">
        <f t="shared" ca="1" si="267"/>
        <v>5536956.6369674401</v>
      </c>
    </row>
    <row r="278" spans="1:19" ht="15.75" customHeight="1" x14ac:dyDescent="0.3">
      <c r="A278" s="37">
        <v>59415</v>
      </c>
      <c r="B278" s="398">
        <f t="shared" ref="B278:C278" si="279">($A278-B$9)/365.25</f>
        <v>80.791238877481177</v>
      </c>
      <c r="C278" s="398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3254.2644699519233</v>
      </c>
      <c r="H278" s="25">
        <f>IF(B278&lt;62,0,'Combined Retirement'!$I$14)</f>
        <v>2345</v>
      </c>
      <c r="I278" s="25">
        <f>IF(C278&lt;62,0,'Combined Retirement'!$I$13)</f>
        <v>2420</v>
      </c>
      <c r="J278" s="25">
        <f t="shared" si="263"/>
        <v>7896.2379798201846</v>
      </c>
      <c r="K278" s="25">
        <f t="shared" si="264"/>
        <v>20367.195264578786</v>
      </c>
      <c r="L278" s="25"/>
      <c r="N278" s="25">
        <f>'Combined Retirement'!$C$18/12</f>
        <v>39153.069999999992</v>
      </c>
      <c r="O278" s="25">
        <f t="shared" si="265"/>
        <v>10889.636755601023</v>
      </c>
      <c r="P278" s="25">
        <f t="shared" si="266"/>
        <v>28263.43324439897</v>
      </c>
      <c r="Q278" s="25">
        <f t="array" aca="1" ref="Q278" ca="1">INDEX('Isaac 401k'!L:L,MATCH('Retirement Calculator'!A278,'Isaac 401k'!N:N,0),0)</f>
        <v>1777412.5267778696</v>
      </c>
      <c r="R278" s="25">
        <f t="array" aca="1" ref="R278" ca="1">INDEX('Lorri 401b'!L:L,MATCH('Retirement Calculator'!A278,'Lorri 401b'!N:N,0),0)</f>
        <v>3754233.5652940175</v>
      </c>
      <c r="S278" s="25">
        <f t="shared" ca="1" si="267"/>
        <v>5531646.0920718871</v>
      </c>
    </row>
    <row r="279" spans="1:19" ht="15.75" customHeight="1" x14ac:dyDescent="0.3">
      <c r="A279" s="37">
        <v>59445</v>
      </c>
      <c r="B279" s="398">
        <f t="shared" ref="B279:C279" si="280">($A279-B$9)/365.25</f>
        <v>80.873374401095134</v>
      </c>
      <c r="C279" s="398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3254.2644699519233</v>
      </c>
      <c r="H279" s="25">
        <f>IF(B279&lt;62,0,'Combined Retirement'!$I$14)</f>
        <v>2345</v>
      </c>
      <c r="I279" s="25">
        <f>IF(C279&lt;62,0,'Combined Retirement'!$I$13)</f>
        <v>2420</v>
      </c>
      <c r="J279" s="25">
        <f t="shared" si="263"/>
        <v>7896.2379798201846</v>
      </c>
      <c r="K279" s="25">
        <f t="shared" si="264"/>
        <v>20367.195264578786</v>
      </c>
      <c r="L279" s="25"/>
      <c r="N279" s="25">
        <f>'Combined Retirement'!$C$18/12</f>
        <v>39153.069999999992</v>
      </c>
      <c r="O279" s="25">
        <f t="shared" si="265"/>
        <v>10889.636755601023</v>
      </c>
      <c r="P279" s="25">
        <f t="shared" si="266"/>
        <v>28263.43324439897</v>
      </c>
      <c r="Q279" s="25">
        <f t="array" aca="1" ref="Q279" ca="1">INDEX('Isaac 401k'!L:L,MATCH('Retirement Calculator'!A279,'Isaac 401k'!N:N,0),0)</f>
        <v>1776889.2733347078</v>
      </c>
      <c r="R279" s="25">
        <f t="array" aca="1" ref="R279" ca="1">INDEX('Lorri 401b'!L:L,MATCH('Retirement Calculator'!A279,'Lorri 401b'!N:N,0),0)</f>
        <v>3749424.1465712283</v>
      </c>
      <c r="S279" s="25">
        <f t="shared" ca="1" si="267"/>
        <v>5526313.4199059363</v>
      </c>
    </row>
    <row r="280" spans="1:19" ht="15.75" customHeight="1" x14ac:dyDescent="0.3">
      <c r="A280" s="37">
        <v>59476</v>
      </c>
      <c r="B280" s="398">
        <f t="shared" ref="B280:C280" si="281">($A280-B$9)/365.25</f>
        <v>80.958247775496233</v>
      </c>
      <c r="C280" s="398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3254.2644699519233</v>
      </c>
      <c r="H280" s="25">
        <f>IF(B280&lt;62,0,'Combined Retirement'!$I$14)</f>
        <v>2345</v>
      </c>
      <c r="I280" s="25">
        <f>IF(C280&lt;62,0,'Combined Retirement'!$I$13)</f>
        <v>2420</v>
      </c>
      <c r="J280" s="25">
        <f t="shared" si="263"/>
        <v>7896.2379798201846</v>
      </c>
      <c r="K280" s="25">
        <f t="shared" si="264"/>
        <v>20367.195264578786</v>
      </c>
      <c r="L280" s="25"/>
      <c r="N280" s="25">
        <f>'Combined Retirement'!$C$18/12</f>
        <v>39153.069999999992</v>
      </c>
      <c r="O280" s="25">
        <f t="shared" si="265"/>
        <v>10889.636755601023</v>
      </c>
      <c r="P280" s="25">
        <f t="shared" si="266"/>
        <v>28263.43324439897</v>
      </c>
      <c r="Q280" s="25">
        <f t="array" aca="1" ref="Q280" ca="1">INDEX('Isaac 401k'!L:L,MATCH('Retirement Calculator'!A280,'Isaac 401k'!N:N,0),0)</f>
        <v>1776363.8396688662</v>
      </c>
      <c r="R280" s="25">
        <f t="array" aca="1" ref="R280" ca="1">INDEX('Lorri 401b'!L:L,MATCH('Retirement Calculator'!A280,'Lorri 401b'!N:N,0),0)</f>
        <v>3744594.6886037607</v>
      </c>
      <c r="S280" s="25">
        <f t="shared" ca="1" si="267"/>
        <v>5520958.5282726269</v>
      </c>
    </row>
    <row r="281" spans="1:19" ht="15.75" customHeight="1" x14ac:dyDescent="0.3">
      <c r="A281" s="37">
        <v>59506</v>
      </c>
      <c r="B281" s="398">
        <f t="shared" ref="B281:C281" si="282">($A281-B$9)/365.25</f>
        <v>81.040383299110204</v>
      </c>
      <c r="C281" s="398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3254.2644699519233</v>
      </c>
      <c r="H281" s="25">
        <f>IF(B281&lt;62,0,'Combined Retirement'!$I$14)</f>
        <v>2345</v>
      </c>
      <c r="I281" s="25">
        <f>IF(C281&lt;62,0,'Combined Retirement'!$I$13)</f>
        <v>2420</v>
      </c>
      <c r="J281" s="25">
        <f t="shared" si="263"/>
        <v>7896.2379798201846</v>
      </c>
      <c r="K281" s="25">
        <f t="shared" si="264"/>
        <v>20367.195264578786</v>
      </c>
      <c r="L281" s="25"/>
      <c r="N281" s="25">
        <f>'Combined Retirement'!$C$18/12</f>
        <v>39153.069999999992</v>
      </c>
      <c r="O281" s="25">
        <f t="shared" si="265"/>
        <v>10889.636755601023</v>
      </c>
      <c r="P281" s="25">
        <f t="shared" si="266"/>
        <v>28263.43324439897</v>
      </c>
      <c r="Q281" s="25">
        <f t="array" aca="1" ref="Q281" ca="1">INDEX('Isaac 401k'!L:L,MATCH('Retirement Calculator'!A281,'Isaac 401k'!N:N,0),0)</f>
        <v>1775836.2166960838</v>
      </c>
      <c r="R281" s="25">
        <f t="array" aca="1" ref="R281" ca="1">INDEX('Lorri 401b'!L:L,MATCH('Retirement Calculator'!A281,'Lorri 401b'!N:N,0),0)</f>
        <v>3739745.107894762</v>
      </c>
      <c r="S281" s="25">
        <f t="shared" ca="1" si="267"/>
        <v>5515581.324590846</v>
      </c>
    </row>
    <row r="282" spans="1:19" ht="15.75" customHeight="1" x14ac:dyDescent="0.3">
      <c r="A282" s="37">
        <v>59537</v>
      </c>
      <c r="B282" s="398">
        <f t="shared" ref="B282:C282" si="283">($A282-B$9)/365.25</f>
        <v>81.125256673511288</v>
      </c>
      <c r="C282" s="398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3254.2644699519233</v>
      </c>
      <c r="H282" s="25">
        <f>IF(B282&lt;62,0,'Combined Retirement'!$I$14)</f>
        <v>2345</v>
      </c>
      <c r="I282" s="25">
        <f>IF(C282&lt;62,0,'Combined Retirement'!$I$13)</f>
        <v>2420</v>
      </c>
      <c r="J282" s="25">
        <f t="shared" si="263"/>
        <v>7896.2379798201846</v>
      </c>
      <c r="K282" s="25">
        <f t="shared" si="264"/>
        <v>20367.195264578786</v>
      </c>
      <c r="L282" s="25"/>
      <c r="N282" s="25">
        <f>'Combined Retirement'!$C$18/12</f>
        <v>39153.069999999992</v>
      </c>
      <c r="O282" s="25">
        <f t="shared" si="265"/>
        <v>10889.636755601023</v>
      </c>
      <c r="P282" s="25">
        <f t="shared" si="266"/>
        <v>28263.43324439897</v>
      </c>
      <c r="Q282" s="25">
        <f t="array" aca="1" ref="Q282" ca="1">INDEX('Isaac 401k'!L:L,MATCH('Retirement Calculator'!A282,'Isaac 401k'!N:N,0),0)</f>
        <v>1775306.3952942479</v>
      </c>
      <c r="R282" s="25">
        <f t="array" aca="1" ref="R282" ca="1">INDEX('Lorri 401b'!L:L,MATCH('Retirement Calculator'!A282,'Lorri 401b'!N:N,0),0)</f>
        <v>3734875.3205994754</v>
      </c>
      <c r="S282" s="25">
        <f t="shared" ca="1" si="267"/>
        <v>5510181.7158937231</v>
      </c>
    </row>
    <row r="283" spans="1:19" ht="15.75" customHeight="1" x14ac:dyDescent="0.3">
      <c r="A283" s="37">
        <v>59568</v>
      </c>
      <c r="B283" s="398">
        <f t="shared" ref="B283:C283" si="284">($A283-B$9)/365.25</f>
        <v>81.210130047912386</v>
      </c>
      <c r="C283" s="398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3254.2644699519233</v>
      </c>
      <c r="H283" s="25">
        <f>IF(B283&lt;62,0,'Combined Retirement'!$I$14)</f>
        <v>2345</v>
      </c>
      <c r="I283" s="25">
        <f>IF(C283&lt;62,0,'Combined Retirement'!$I$13)</f>
        <v>2420</v>
      </c>
      <c r="J283" s="25">
        <f t="shared" si="263"/>
        <v>7896.2379798201846</v>
      </c>
      <c r="K283" s="25">
        <f t="shared" si="264"/>
        <v>20367.195264578786</v>
      </c>
      <c r="L283" s="25"/>
      <c r="N283" s="25">
        <f>'Combined Retirement'!$C$18/12</f>
        <v>39153.069999999992</v>
      </c>
      <c r="O283" s="25">
        <f t="shared" si="265"/>
        <v>10889.636755601023</v>
      </c>
      <c r="P283" s="25">
        <f t="shared" si="266"/>
        <v>28263.43324439897</v>
      </c>
      <c r="Q283" s="25">
        <f t="array" aca="1" ref="Q283" ca="1">INDEX('Isaac 401k'!L:L,MATCH('Retirement Calculator'!A283,'Isaac 401k'!N:N,0),0)</f>
        <v>1774774.3663032379</v>
      </c>
      <c r="R283" s="25">
        <f t="array" aca="1" ref="R283" ca="1">INDEX('Lorri 401b'!L:L,MATCH('Retirement Calculator'!A283,'Lorri 401b'!N:N,0),0)</f>
        <v>3729985.2425237922</v>
      </c>
      <c r="S283" s="25">
        <f t="shared" ca="1" si="267"/>
        <v>5504759.6088270303</v>
      </c>
    </row>
    <row r="284" spans="1:19" ht="15.75" customHeight="1" x14ac:dyDescent="0.3">
      <c r="A284" s="37">
        <v>59596</v>
      </c>
      <c r="B284" s="398">
        <f t="shared" ref="B284:C284" si="285">($A284-B$9)/365.25</f>
        <v>81.286789869952088</v>
      </c>
      <c r="C284" s="398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3254.2644699519233</v>
      </c>
      <c r="H284" s="25">
        <f>IF(B284&lt;62,0,'Combined Retirement'!$I$14)</f>
        <v>2345</v>
      </c>
      <c r="I284" s="25">
        <f>IF(C284&lt;62,0,'Combined Retirement'!$I$13)</f>
        <v>2420</v>
      </c>
      <c r="J284" s="25">
        <f t="shared" si="263"/>
        <v>7896.2379798201846</v>
      </c>
      <c r="K284" s="25">
        <f t="shared" si="264"/>
        <v>20367.195264578786</v>
      </c>
      <c r="L284" s="25"/>
      <c r="N284" s="25">
        <f>'Combined Retirement'!$C$18/12</f>
        <v>39153.069999999992</v>
      </c>
      <c r="O284" s="25">
        <f t="shared" si="265"/>
        <v>10889.636755601023</v>
      </c>
      <c r="P284" s="25">
        <f t="shared" si="266"/>
        <v>28263.43324439897</v>
      </c>
      <c r="Q284" s="25">
        <f t="array" aca="1" ref="Q284" ca="1">INDEX('Isaac 401k'!L:L,MATCH('Retirement Calculator'!A284,'Isaac 401k'!N:N,0),0)</f>
        <v>1774240.1205247652</v>
      </c>
      <c r="R284" s="25">
        <f t="array" aca="1" ref="R284" ca="1">INDEX('Lorri 401b'!L:L,MATCH('Retirement Calculator'!A284,'Lorri 401b'!N:N,0),0)</f>
        <v>3725074.7891227934</v>
      </c>
      <c r="S284" s="25">
        <f t="shared" ca="1" si="267"/>
        <v>5499314.9096475588</v>
      </c>
    </row>
    <row r="285" spans="1:19" ht="15.75" customHeight="1" x14ac:dyDescent="0.3">
      <c r="A285" s="37">
        <v>59627</v>
      </c>
      <c r="B285" s="398">
        <f t="shared" ref="B285:C285" si="286">($A285-B$9)/365.25</f>
        <v>81.371663244353186</v>
      </c>
      <c r="C285" s="398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3254.2644699519233</v>
      </c>
      <c r="H285" s="25">
        <f>IF(B285&lt;62,0,'Combined Retirement'!$I$14)</f>
        <v>2345</v>
      </c>
      <c r="I285" s="25">
        <f>IF(C285&lt;62,0,'Combined Retirement'!$I$13)</f>
        <v>2420</v>
      </c>
      <c r="J285" s="25">
        <f t="shared" si="263"/>
        <v>7896.2379798201846</v>
      </c>
      <c r="K285" s="25">
        <f t="shared" si="264"/>
        <v>20367.195264578786</v>
      </c>
      <c r="L285" s="25"/>
      <c r="N285" s="25">
        <f>'Combined Retirement'!$C$18/12</f>
        <v>39153.069999999992</v>
      </c>
      <c r="O285" s="25">
        <f t="shared" si="265"/>
        <v>10889.636755601023</v>
      </c>
      <c r="P285" s="25">
        <f t="shared" si="266"/>
        <v>28263.43324439897</v>
      </c>
      <c r="Q285" s="25">
        <f t="array" aca="1" ref="Q285" ca="1">INDEX('Isaac 401k'!L:L,MATCH('Retirement Calculator'!A285,'Isaac 401k'!N:N,0),0)</f>
        <v>1773703.6487222156</v>
      </c>
      <c r="R285" s="25">
        <f t="array" aca="1" ref="R285" ca="1">INDEX('Lorri 401b'!L:L,MATCH('Retirement Calculator'!A285,'Lorri 401b'!N:N,0),0)</f>
        <v>3720143.8754992904</v>
      </c>
      <c r="S285" s="25">
        <f t="shared" ca="1" si="267"/>
        <v>5493847.524221506</v>
      </c>
    </row>
    <row r="286" spans="1:19" ht="15.75" customHeight="1" x14ac:dyDescent="0.3">
      <c r="A286" s="37">
        <v>59657</v>
      </c>
      <c r="B286" s="398">
        <f t="shared" ref="B286:C286" si="287">($A286-B$9)/365.25</f>
        <v>81.453798767967143</v>
      </c>
      <c r="C286" s="398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3254.2644699519233</v>
      </c>
      <c r="H286" s="25">
        <f>IF(B286&lt;62,0,'Combined Retirement'!$I$14)</f>
        <v>2345</v>
      </c>
      <c r="I286" s="25">
        <f>IF(C286&lt;62,0,'Combined Retirement'!$I$13)</f>
        <v>2420</v>
      </c>
      <c r="J286" s="25">
        <f t="shared" si="263"/>
        <v>7896.2379798201846</v>
      </c>
      <c r="K286" s="25">
        <f t="shared" si="264"/>
        <v>20367.195264578786</v>
      </c>
      <c r="L286" s="25"/>
      <c r="N286" s="25">
        <f>'Combined Retirement'!$C$18/12</f>
        <v>39153.069999999992</v>
      </c>
      <c r="O286" s="25">
        <f t="shared" si="265"/>
        <v>10889.636755601023</v>
      </c>
      <c r="P286" s="25">
        <f t="shared" si="266"/>
        <v>28263.43324439897</v>
      </c>
      <c r="Q286" s="25">
        <f t="array" aca="1" ref="Q286" ca="1">INDEX('Isaac 401k'!L:L,MATCH('Retirement Calculator'!A286,'Isaac 401k'!N:N,0),0)</f>
        <v>1773164.9416204887</v>
      </c>
      <c r="R286" s="25">
        <f t="array" aca="1" ref="R286" ca="1">INDEX('Lorri 401b'!L:L,MATCH('Retirement Calculator'!A286,'Lorri 401b'!N:N,0),0)</f>
        <v>3715192.4164023562</v>
      </c>
      <c r="S286" s="25">
        <f t="shared" ca="1" si="267"/>
        <v>5488357.3580228444</v>
      </c>
    </row>
    <row r="287" spans="1:19" ht="15.75" customHeight="1" x14ac:dyDescent="0.3">
      <c r="A287" s="37">
        <v>59688</v>
      </c>
      <c r="B287" s="398">
        <f t="shared" ref="B287:C287" si="288">($A287-B$9)/365.25</f>
        <v>81.538672142368242</v>
      </c>
      <c r="C287" s="398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3254.2644699519233</v>
      </c>
      <c r="H287" s="25">
        <f>IF(B287&lt;62,0,'Combined Retirement'!$I$14)</f>
        <v>2345</v>
      </c>
      <c r="I287" s="25">
        <f>IF(C287&lt;62,0,'Combined Retirement'!$I$13)</f>
        <v>2420</v>
      </c>
      <c r="J287" s="25">
        <f t="shared" si="263"/>
        <v>7896.2379798201846</v>
      </c>
      <c r="K287" s="25">
        <f t="shared" si="264"/>
        <v>20367.195264578786</v>
      </c>
      <c r="L287" s="25"/>
      <c r="N287" s="25">
        <f>'Combined Retirement'!$C$18/12</f>
        <v>39153.069999999992</v>
      </c>
      <c r="O287" s="25">
        <f t="shared" si="265"/>
        <v>10889.636755601023</v>
      </c>
      <c r="P287" s="25">
        <f t="shared" si="266"/>
        <v>28263.43324439897</v>
      </c>
      <c r="Q287" s="25">
        <f t="array" aca="1" ref="Q287" ca="1">INDEX('Isaac 401k'!L:L,MATCH('Retirement Calculator'!A287,'Isaac 401k'!N:N,0),0)</f>
        <v>1772623.9899058379</v>
      </c>
      <c r="R287" s="25">
        <f t="array" aca="1" ref="R287" ca="1">INDEX('Lorri 401b'!L:L,MATCH('Retirement Calculator'!A287,'Lorri 401b'!N:N,0),0)</f>
        <v>3710220.3262258517</v>
      </c>
      <c r="S287" s="25">
        <f t="shared" ca="1" si="267"/>
        <v>5482844.3161316896</v>
      </c>
    </row>
    <row r="288" spans="1:19" ht="15.75" customHeight="1" x14ac:dyDescent="0.3">
      <c r="A288" s="37">
        <v>59718</v>
      </c>
      <c r="B288" s="398">
        <f t="shared" ref="B288:C288" si="289">($A288-B$9)/365.25</f>
        <v>81.620807665982198</v>
      </c>
      <c r="C288" s="398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3254.2644699519233</v>
      </c>
      <c r="H288" s="25">
        <f>IF(B288&lt;62,0,'Combined Retirement'!$I$14)</f>
        <v>2345</v>
      </c>
      <c r="I288" s="25">
        <f>IF(C288&lt;62,0,'Combined Retirement'!$I$13)</f>
        <v>2420</v>
      </c>
      <c r="J288" s="25">
        <f t="shared" si="263"/>
        <v>7896.2379798201846</v>
      </c>
      <c r="K288" s="25">
        <f t="shared" si="264"/>
        <v>20367.195264578786</v>
      </c>
      <c r="L288" s="25"/>
      <c r="N288" s="25">
        <f>'Combined Retirement'!$C$18/12</f>
        <v>39153.069999999992</v>
      </c>
      <c r="O288" s="25">
        <f t="shared" si="265"/>
        <v>10889.636755601023</v>
      </c>
      <c r="P288" s="25">
        <f t="shared" si="266"/>
        <v>28263.43324439897</v>
      </c>
      <c r="Q288" s="25">
        <f t="array" aca="1" ref="Q288" ca="1">INDEX('Isaac 401k'!L:L,MATCH('Retirement Calculator'!A288,'Isaac 401k'!N:N,0),0)</f>
        <v>1772080.7842257095</v>
      </c>
      <c r="R288" s="25">
        <f t="array" aca="1" ref="R288" ca="1">INDEX('Lorri 401b'!L:L,MATCH('Retirement Calculator'!A288,'Lorri 401b'!N:N,0),0)</f>
        <v>3705227.5190069447</v>
      </c>
      <c r="S288" s="25">
        <f t="shared" ca="1" si="267"/>
        <v>5477308.303232654</v>
      </c>
    </row>
    <row r="289" spans="1:19" ht="15.75" customHeight="1" x14ac:dyDescent="0.3">
      <c r="A289" s="37">
        <v>59749</v>
      </c>
      <c r="B289" s="398">
        <f t="shared" ref="B289:C289" si="290">($A289-B$9)/365.25</f>
        <v>81.705681040383297</v>
      </c>
      <c r="C289" s="398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3254.2644699519233</v>
      </c>
      <c r="H289" s="25">
        <f>IF(B289&lt;62,0,'Combined Retirement'!$I$14)</f>
        <v>2345</v>
      </c>
      <c r="I289" s="25">
        <f>IF(C289&lt;62,0,'Combined Retirement'!$I$13)</f>
        <v>2420</v>
      </c>
      <c r="J289" s="25">
        <f t="shared" si="263"/>
        <v>7896.2379798201846</v>
      </c>
      <c r="K289" s="25">
        <f t="shared" si="264"/>
        <v>20367.195264578786</v>
      </c>
      <c r="L289" s="25"/>
      <c r="N289" s="25">
        <f>'Combined Retirement'!$C$18/12</f>
        <v>39153.069999999992</v>
      </c>
      <c r="O289" s="25">
        <f t="shared" si="265"/>
        <v>10889.636755601023</v>
      </c>
      <c r="P289" s="25">
        <f t="shared" si="266"/>
        <v>28263.43324439897</v>
      </c>
      <c r="Q289" s="25">
        <f t="array" aca="1" ref="Q289" ca="1">INDEX('Isaac 401k'!L:L,MATCH('Retirement Calculator'!A289,'Isaac 401k'!N:N,0),0)</f>
        <v>1771535.3151885804</v>
      </c>
      <c r="R289" s="25">
        <f t="array" aca="1" ref="R289" ca="1">INDEX('Lorri 401b'!L:L,MATCH('Retirement Calculator'!A289,'Lorri 401b'!N:N,0),0)</f>
        <v>3700213.9084246256</v>
      </c>
      <c r="S289" s="25">
        <f t="shared" ca="1" si="267"/>
        <v>5471749.2236132063</v>
      </c>
    </row>
    <row r="290" spans="1:19" ht="15.75" customHeight="1" x14ac:dyDescent="0.3">
      <c r="A290" s="37">
        <v>59780</v>
      </c>
      <c r="B290" s="398">
        <f t="shared" ref="B290:C290" si="291">($A290-B$9)/365.25</f>
        <v>81.790554414784395</v>
      </c>
      <c r="C290" s="398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3254.2644699519233</v>
      </c>
      <c r="H290" s="25">
        <f>IF(B290&lt;62,0,'Combined Retirement'!$I$14)</f>
        <v>2345</v>
      </c>
      <c r="I290" s="25">
        <f>IF(C290&lt;62,0,'Combined Retirement'!$I$13)</f>
        <v>2420</v>
      </c>
      <c r="J290" s="25">
        <f t="shared" si="263"/>
        <v>7896.2379798201846</v>
      </c>
      <c r="K290" s="25">
        <f t="shared" si="264"/>
        <v>20367.195264578786</v>
      </c>
      <c r="L290" s="25"/>
      <c r="N290" s="25">
        <f>'Combined Retirement'!$C$18/12</f>
        <v>39153.069999999992</v>
      </c>
      <c r="O290" s="25">
        <f t="shared" si="265"/>
        <v>10889.636755601023</v>
      </c>
      <c r="P290" s="25">
        <f t="shared" si="266"/>
        <v>28263.43324439897</v>
      </c>
      <c r="Q290" s="25">
        <f t="array" aca="1" ref="Q290" ca="1">INDEX('Isaac 401k'!L:L,MATCH('Retirement Calculator'!A290,'Isaac 401k'!N:N,0),0)</f>
        <v>1770987.5733637968</v>
      </c>
      <c r="R290" s="25">
        <f t="array" aca="1" ref="R290" ca="1">INDEX('Lorri 401b'!L:L,MATCH('Retirement Calculator'!A290,'Lorri 401b'!N:N,0),0)</f>
        <v>3695179.4077982139</v>
      </c>
      <c r="S290" s="25">
        <f t="shared" ca="1" si="267"/>
        <v>5466166.9811620107</v>
      </c>
    </row>
    <row r="291" spans="1:19" ht="15.75" customHeight="1" x14ac:dyDescent="0.3">
      <c r="A291" s="37">
        <v>59810</v>
      </c>
      <c r="B291" s="398">
        <f t="shared" ref="B291:C291" si="292">($A291-B$9)/365.25</f>
        <v>81.872689938398352</v>
      </c>
      <c r="C291" s="398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3254.2644699519233</v>
      </c>
      <c r="H291" s="25">
        <f>IF(B291&lt;62,0,'Combined Retirement'!$I$14)</f>
        <v>2345</v>
      </c>
      <c r="I291" s="25">
        <f>IF(C291&lt;62,0,'Combined Retirement'!$I$13)</f>
        <v>2420</v>
      </c>
      <c r="J291" s="25">
        <f t="shared" si="263"/>
        <v>7896.2379798201846</v>
      </c>
      <c r="K291" s="25">
        <f t="shared" si="264"/>
        <v>20367.195264578786</v>
      </c>
      <c r="L291" s="25"/>
      <c r="N291" s="25">
        <f>'Combined Retirement'!$C$18/12</f>
        <v>39153.069999999992</v>
      </c>
      <c r="O291" s="25">
        <f t="shared" si="265"/>
        <v>10889.636755601023</v>
      </c>
      <c r="P291" s="25">
        <f t="shared" si="266"/>
        <v>28263.43324439897</v>
      </c>
      <c r="Q291" s="25">
        <f t="array" aca="1" ref="Q291" ca="1">INDEX('Isaac 401k'!L:L,MATCH('Retirement Calculator'!A291,'Isaac 401k'!N:N,0),0)</f>
        <v>1770437.5492814097</v>
      </c>
      <c r="R291" s="25">
        <f t="array" aca="1" ref="R291" ca="1">INDEX('Lorri 401b'!L:L,MATCH('Retirement Calculator'!A291,'Lorri 401b'!N:N,0),0)</f>
        <v>3690123.9300858588</v>
      </c>
      <c r="S291" s="25">
        <f t="shared" ca="1" si="267"/>
        <v>5460561.4793672683</v>
      </c>
    </row>
    <row r="292" spans="1:19" ht="15.75" customHeight="1" x14ac:dyDescent="0.3">
      <c r="A292" s="37">
        <v>59841</v>
      </c>
      <c r="B292" s="398">
        <f t="shared" ref="B292:C292" si="293">($A292-B$9)/365.25</f>
        <v>81.957563312799451</v>
      </c>
      <c r="C292" s="398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3254.2644699519233</v>
      </c>
      <c r="H292" s="25">
        <f>IF(B292&lt;62,0,'Combined Retirement'!$I$14)</f>
        <v>2345</v>
      </c>
      <c r="I292" s="25">
        <f>IF(C292&lt;62,0,'Combined Retirement'!$I$13)</f>
        <v>2420</v>
      </c>
      <c r="J292" s="25">
        <f t="shared" si="263"/>
        <v>7896.2379798201846</v>
      </c>
      <c r="K292" s="25">
        <f t="shared" si="264"/>
        <v>20367.195264578786</v>
      </c>
      <c r="L292" s="25"/>
      <c r="N292" s="25">
        <f>'Combined Retirement'!$C$18/12</f>
        <v>39153.069999999992</v>
      </c>
      <c r="O292" s="25">
        <f t="shared" si="265"/>
        <v>10889.636755601023</v>
      </c>
      <c r="P292" s="25">
        <f t="shared" si="266"/>
        <v>28263.43324439897</v>
      </c>
      <c r="Q292" s="25">
        <f t="array" aca="1" ref="Q292" ca="1">INDEX('Isaac 401k'!L:L,MATCH('Retirement Calculator'!A292,'Isaac 401k'!N:N,0),0)</f>
        <v>1769885.2334320128</v>
      </c>
      <c r="R292" s="25">
        <f t="array" aca="1" ref="R292" ca="1">INDEX('Lorri 401b'!L:L,MATCH('Retirement Calculator'!A292,'Lorri 401b'!N:N,0),0)</f>
        <v>3685047.3878830355</v>
      </c>
      <c r="S292" s="25">
        <f t="shared" ca="1" si="267"/>
        <v>5454932.6213150481</v>
      </c>
    </row>
    <row r="293" spans="1:19" ht="15.75" customHeight="1" x14ac:dyDescent="0.3">
      <c r="A293" s="37">
        <v>59871</v>
      </c>
      <c r="B293" s="398">
        <f t="shared" ref="B293:C293" si="294">($A293-B$9)/365.25</f>
        <v>82.039698836413422</v>
      </c>
      <c r="C293" s="398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3254.2644699519233</v>
      </c>
      <c r="H293" s="25">
        <f>IF(B293&lt;62,0,'Combined Retirement'!$I$14)</f>
        <v>2345</v>
      </c>
      <c r="I293" s="25">
        <f>IF(C293&lt;62,0,'Combined Retirement'!$I$13)</f>
        <v>2420</v>
      </c>
      <c r="J293" s="25">
        <f t="shared" si="263"/>
        <v>7896.2379798201846</v>
      </c>
      <c r="K293" s="25">
        <f t="shared" si="264"/>
        <v>20367.195264578786</v>
      </c>
      <c r="L293" s="25"/>
      <c r="N293" s="25">
        <f>'Combined Retirement'!$C$18/12</f>
        <v>39153.069999999992</v>
      </c>
      <c r="O293" s="25">
        <f t="shared" si="265"/>
        <v>10889.636755601023</v>
      </c>
      <c r="P293" s="25">
        <f t="shared" si="266"/>
        <v>28263.43324439897</v>
      </c>
      <c r="Q293" s="25">
        <f t="array" aca="1" ref="Q293" ca="1">INDEX('Isaac 401k'!L:L,MATCH('Retirement Calculator'!A293,'Isaac 401k'!N:N,0),0)</f>
        <v>1769330.6162665768</v>
      </c>
      <c r="R293" s="25">
        <f t="array" aca="1" ref="R293" ca="1">INDEX('Lorri 401b'!L:L,MATCH('Retirement Calculator'!A293,'Lorri 401b'!N:N,0),0)</f>
        <v>3679949.6934210337</v>
      </c>
      <c r="S293" s="25">
        <f t="shared" ca="1" si="267"/>
        <v>5449280.3096876107</v>
      </c>
    </row>
    <row r="294" spans="1:19" ht="15.75" customHeight="1" x14ac:dyDescent="0.3">
      <c r="A294" s="37">
        <v>59902</v>
      </c>
      <c r="B294" s="398">
        <f t="shared" ref="B294:C294" si="295">($A294-B$9)/365.25</f>
        <v>82.124572210814506</v>
      </c>
      <c r="C294" s="398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3254.2644699519233</v>
      </c>
      <c r="H294" s="25">
        <f>IF(B294&lt;62,0,'Combined Retirement'!$I$14)</f>
        <v>2345</v>
      </c>
      <c r="I294" s="25">
        <f>IF(C294&lt;62,0,'Combined Retirement'!$I$13)</f>
        <v>2420</v>
      </c>
      <c r="J294" s="25">
        <f t="shared" si="263"/>
        <v>7896.2379798201846</v>
      </c>
      <c r="K294" s="25">
        <f t="shared" si="264"/>
        <v>20367.195264578786</v>
      </c>
      <c r="L294" s="25"/>
      <c r="N294" s="25">
        <f>'Combined Retirement'!$C$18/12</f>
        <v>39153.069999999992</v>
      </c>
      <c r="O294" s="25">
        <f t="shared" si="265"/>
        <v>10889.636755601023</v>
      </c>
      <c r="P294" s="25">
        <f t="shared" si="266"/>
        <v>28263.43324439897</v>
      </c>
      <c r="Q294" s="25">
        <f t="array" aca="1" ref="Q294" ca="1">INDEX('Isaac 401k'!L:L,MATCH('Retirement Calculator'!A294,'Isaac 401k'!N:N,0),0)</f>
        <v>1768773.6881962847</v>
      </c>
      <c r="R294" s="25">
        <f t="array" aca="1" ref="R294" ca="1">INDEX('Lorri 401b'!L:L,MATCH('Retirement Calculator'!A294,'Lorri 401b'!N:N,0),0)</f>
        <v>3674830.7585654403</v>
      </c>
      <c r="S294" s="25">
        <f t="shared" ca="1" si="267"/>
        <v>5443604.4467617255</v>
      </c>
    </row>
    <row r="295" spans="1:19" ht="15.75" customHeight="1" x14ac:dyDescent="0.3">
      <c r="A295" s="37">
        <v>59933</v>
      </c>
      <c r="B295" s="398">
        <f t="shared" ref="B295:C295" si="296">($A295-B$9)/365.25</f>
        <v>82.209445585215605</v>
      </c>
      <c r="C295" s="398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3254.2644699519233</v>
      </c>
      <c r="H295" s="25">
        <f>IF(B295&lt;62,0,'Combined Retirement'!$I$14)</f>
        <v>2345</v>
      </c>
      <c r="I295" s="25">
        <f>IF(C295&lt;62,0,'Combined Retirement'!$I$13)</f>
        <v>2420</v>
      </c>
      <c r="J295" s="25">
        <f t="shared" si="263"/>
        <v>7896.2379798201846</v>
      </c>
      <c r="K295" s="25">
        <f t="shared" si="264"/>
        <v>20367.195264578786</v>
      </c>
      <c r="L295" s="25"/>
      <c r="N295" s="25">
        <f>'Combined Retirement'!$C$18/12</f>
        <v>39153.069999999992</v>
      </c>
      <c r="O295" s="25">
        <f t="shared" si="265"/>
        <v>10889.636755601023</v>
      </c>
      <c r="P295" s="25">
        <f t="shared" si="266"/>
        <v>28263.43324439897</v>
      </c>
      <c r="Q295" s="25">
        <f t="array" aca="1" ref="Q295" ca="1">INDEX('Isaac 401k'!L:L,MATCH('Retirement Calculator'!A295,'Isaac 401k'!N:N,0),0)</f>
        <v>1768214.4395923663</v>
      </c>
      <c r="R295" s="25">
        <f t="array" aca="1" ref="R295" ca="1">INDEX('Lorri 401b'!L:L,MATCH('Retirement Calculator'!A295,'Lorri 401b'!N:N,0),0)</f>
        <v>3669690.4948146152</v>
      </c>
      <c r="S295" s="25">
        <f t="shared" ca="1" si="267"/>
        <v>5437904.9344069818</v>
      </c>
    </row>
    <row r="296" spans="1:19" ht="15.75" customHeight="1" x14ac:dyDescent="0.3">
      <c r="A296" s="37">
        <v>59962</v>
      </c>
      <c r="B296" s="398">
        <f t="shared" ref="B296:C296" si="297">($A296-B$9)/365.25</f>
        <v>82.288843258042434</v>
      </c>
      <c r="C296" s="398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3254.2644699519233</v>
      </c>
      <c r="H296" s="25">
        <f>IF(B296&lt;62,0,'Combined Retirement'!$I$14)</f>
        <v>2345</v>
      </c>
      <c r="I296" s="25">
        <f>IF(C296&lt;62,0,'Combined Retirement'!$I$13)</f>
        <v>2420</v>
      </c>
      <c r="J296" s="25">
        <f t="shared" si="263"/>
        <v>7896.2379798201846</v>
      </c>
      <c r="K296" s="25">
        <f t="shared" si="264"/>
        <v>20367.195264578786</v>
      </c>
      <c r="L296" s="25"/>
      <c r="N296" s="25">
        <f>'Combined Retirement'!$C$18/12</f>
        <v>39153.069999999992</v>
      </c>
      <c r="O296" s="25">
        <f t="shared" si="265"/>
        <v>10889.636755601023</v>
      </c>
      <c r="P296" s="25">
        <f t="shared" si="266"/>
        <v>28263.43324439897</v>
      </c>
      <c r="Q296" s="25">
        <f t="array" aca="1" ref="Q296" ca="1">INDEX('Isaac 401k'!L:L,MATCH('Retirement Calculator'!A296,'Isaac 401k'!N:N,0),0)</f>
        <v>1767652.8607859318</v>
      </c>
      <c r="R296" s="25">
        <f t="array" aca="1" ref="R296" ca="1">INDEX('Lorri 401b'!L:L,MATCH('Retirement Calculator'!A296,'Lorri 401b'!N:N,0),0)</f>
        <v>3664528.8132981616</v>
      </c>
      <c r="S296" s="25">
        <f t="shared" ca="1" si="267"/>
        <v>5432181.6740840934</v>
      </c>
    </row>
    <row r="297" spans="1:19" ht="15.75" customHeight="1" x14ac:dyDescent="0.3">
      <c r="A297" s="37">
        <v>59993</v>
      </c>
      <c r="B297" s="398">
        <f t="shared" ref="B297:C297" si="298">($A297-B$9)/365.25</f>
        <v>82.373716632443532</v>
      </c>
      <c r="C297" s="398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3254.2644699519233</v>
      </c>
      <c r="H297" s="25">
        <f>IF(B297&lt;62,0,'Combined Retirement'!$I$14)</f>
        <v>2345</v>
      </c>
      <c r="I297" s="25">
        <f>IF(C297&lt;62,0,'Combined Retirement'!$I$13)</f>
        <v>2420</v>
      </c>
      <c r="J297" s="25">
        <f t="shared" si="263"/>
        <v>7896.2379798201846</v>
      </c>
      <c r="K297" s="25">
        <f t="shared" si="264"/>
        <v>20367.195264578786</v>
      </c>
      <c r="L297" s="25"/>
      <c r="N297" s="25">
        <f>'Combined Retirement'!$C$18/12</f>
        <v>39153.069999999992</v>
      </c>
      <c r="O297" s="25">
        <f t="shared" si="265"/>
        <v>10889.636755601023</v>
      </c>
      <c r="P297" s="25">
        <f t="shared" si="266"/>
        <v>28263.43324439897</v>
      </c>
      <c r="Q297" s="25">
        <f t="array" aca="1" ref="Q297" ca="1">INDEX('Isaac 401k'!L:L,MATCH('Retirement Calculator'!A297,'Isaac 401k'!N:N,0),0)</f>
        <v>1767088.9420678038</v>
      </c>
      <c r="R297" s="25">
        <f t="array" aca="1" ref="R297" ca="1">INDEX('Lorri 401b'!L:L,MATCH('Retirement Calculator'!A297,'Lorri 401b'!N:N,0),0)</f>
        <v>3659345.6247753892</v>
      </c>
      <c r="S297" s="25">
        <f t="shared" ca="1" si="267"/>
        <v>5426434.566843193</v>
      </c>
    </row>
    <row r="298" spans="1:19" ht="15.75" customHeight="1" x14ac:dyDescent="0.3">
      <c r="A298" s="37">
        <v>60023</v>
      </c>
      <c r="B298" s="398">
        <f t="shared" ref="B298:C298" si="299">($A298-B$9)/365.25</f>
        <v>82.455852156057489</v>
      </c>
      <c r="C298" s="398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3254.2644699519233</v>
      </c>
      <c r="H298" s="25">
        <f>IF(B298&lt;62,0,'Combined Retirement'!$I$14)</f>
        <v>2345</v>
      </c>
      <c r="I298" s="25">
        <f>IF(C298&lt;62,0,'Combined Retirement'!$I$13)</f>
        <v>2420</v>
      </c>
      <c r="J298" s="25">
        <f t="shared" si="263"/>
        <v>7896.2379798201846</v>
      </c>
      <c r="K298" s="25">
        <f t="shared" si="264"/>
        <v>20367.195264578786</v>
      </c>
      <c r="L298" s="25"/>
      <c r="N298" s="25">
        <f>'Combined Retirement'!$C$18/12</f>
        <v>39153.069999999992</v>
      </c>
      <c r="O298" s="25">
        <f t="shared" si="265"/>
        <v>10889.636755601023</v>
      </c>
      <c r="P298" s="25">
        <f t="shared" si="266"/>
        <v>28263.43324439897</v>
      </c>
      <c r="Q298" s="25">
        <f t="array" aca="1" ref="Q298" ca="1">INDEX('Isaac 401k'!L:L,MATCH('Retirement Calculator'!A298,'Isaac 401k'!N:N,0),0)</f>
        <v>1766522.6736883502</v>
      </c>
      <c r="R298" s="25">
        <f t="array" aca="1" ref="R298" ca="1">INDEX('Lorri 401b'!L:L,MATCH('Retirement Calculator'!A298,'Lorri 401b'!N:N,0),0)</f>
        <v>3654140.8396337721</v>
      </c>
      <c r="S298" s="25">
        <f t="shared" ca="1" si="267"/>
        <v>5420663.5133221224</v>
      </c>
    </row>
    <row r="299" spans="1:19" ht="15.75" customHeight="1" x14ac:dyDescent="0.3">
      <c r="A299" s="37">
        <v>60054</v>
      </c>
      <c r="B299" s="398">
        <f t="shared" ref="B299:C299" si="300">($A299-B$9)/365.25</f>
        <v>82.540725530458587</v>
      </c>
      <c r="C299" s="398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3254.2644699519233</v>
      </c>
      <c r="H299" s="25">
        <f>IF(B299&lt;62,0,'Combined Retirement'!$I$14)</f>
        <v>2345</v>
      </c>
      <c r="I299" s="25">
        <f>IF(C299&lt;62,0,'Combined Retirement'!$I$13)</f>
        <v>2420</v>
      </c>
      <c r="J299" s="25">
        <f t="shared" si="263"/>
        <v>7896.2379798201846</v>
      </c>
      <c r="K299" s="25">
        <f t="shared" si="264"/>
        <v>20367.195264578786</v>
      </c>
      <c r="L299" s="25"/>
      <c r="N299" s="25">
        <f>'Combined Retirement'!$C$18/12</f>
        <v>39153.069999999992</v>
      </c>
      <c r="O299" s="25">
        <f t="shared" si="265"/>
        <v>10889.636755601023</v>
      </c>
      <c r="P299" s="25">
        <f t="shared" si="266"/>
        <v>28263.43324439897</v>
      </c>
      <c r="Q299" s="25">
        <f t="array" aca="1" ref="Q299" ca="1">INDEX('Isaac 401k'!L:L,MATCH('Retirement Calculator'!A299,'Isaac 401k'!N:N,0),0)</f>
        <v>1765954.0458573157</v>
      </c>
      <c r="R299" s="25">
        <f t="array" aca="1" ref="R299" ca="1">INDEX('Lorri 401b'!L:L,MATCH('Retirement Calculator'!A299,'Lorri 401b'!N:N,0),0)</f>
        <v>3648914.3678873982</v>
      </c>
      <c r="S299" s="25">
        <f t="shared" ca="1" si="267"/>
        <v>5414868.4137447141</v>
      </c>
    </row>
    <row r="300" spans="1:19" ht="15.75" customHeight="1" x14ac:dyDescent="0.3">
      <c r="A300" s="37">
        <v>60084</v>
      </c>
      <c r="B300" s="398">
        <f t="shared" ref="B300:C300" si="301">($A300-B$9)/365.25</f>
        <v>82.622861054072558</v>
      </c>
      <c r="C300" s="398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3254.2644699519233</v>
      </c>
      <c r="H300" s="25">
        <f>IF(B300&lt;62,0,'Combined Retirement'!$I$14)</f>
        <v>2345</v>
      </c>
      <c r="I300" s="25">
        <f>IF(C300&lt;62,0,'Combined Retirement'!$I$13)</f>
        <v>2420</v>
      </c>
      <c r="J300" s="25">
        <f t="shared" si="263"/>
        <v>7896.2379798201846</v>
      </c>
      <c r="K300" s="25">
        <f t="shared" si="264"/>
        <v>20367.195264578786</v>
      </c>
      <c r="L300" s="25"/>
      <c r="N300" s="25">
        <f>'Combined Retirement'!$C$18/12</f>
        <v>39153.069999999992</v>
      </c>
      <c r="O300" s="25">
        <f t="shared" si="265"/>
        <v>10889.636755601023</v>
      </c>
      <c r="P300" s="25">
        <f t="shared" si="266"/>
        <v>28263.43324439897</v>
      </c>
      <c r="Q300" s="25">
        <f t="array" aca="1" ref="Q300" ca="1">INDEX('Isaac 401k'!L:L,MATCH('Retirement Calculator'!A300,'Isaac 401k'!N:N,0),0)</f>
        <v>1765383.0487436517</v>
      </c>
      <c r="R300" s="25">
        <f t="array" aca="1" ref="R300" ca="1">INDEX('Lorri 401b'!L:L,MATCH('Retirement Calculator'!A300,'Lorri 401b'!N:N,0),0)</f>
        <v>3643666.1191754146</v>
      </c>
      <c r="S300" s="25">
        <f t="shared" ca="1" si="267"/>
        <v>5409049.1679190658</v>
      </c>
    </row>
    <row r="301" spans="1:19" ht="15.75" customHeight="1" x14ac:dyDescent="0.3">
      <c r="A301" s="37">
        <v>60115</v>
      </c>
      <c r="B301" s="398">
        <f t="shared" ref="B301:C301" si="302">($A301-B$9)/365.25</f>
        <v>82.707734428473643</v>
      </c>
      <c r="C301" s="398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3254.2644699519233</v>
      </c>
      <c r="H301" s="25">
        <f>IF(B301&lt;62,0,'Combined Retirement'!$I$14)</f>
        <v>2345</v>
      </c>
      <c r="I301" s="25">
        <f>IF(C301&lt;62,0,'Combined Retirement'!$I$13)</f>
        <v>2420</v>
      </c>
      <c r="J301" s="25">
        <f t="shared" si="263"/>
        <v>7896.2379798201846</v>
      </c>
      <c r="K301" s="25">
        <f t="shared" si="264"/>
        <v>20367.195264578786</v>
      </c>
      <c r="L301" s="25"/>
      <c r="N301" s="25">
        <f>'Combined Retirement'!$C$18/12</f>
        <v>39153.069999999992</v>
      </c>
      <c r="O301" s="25">
        <f t="shared" si="265"/>
        <v>10889.636755601023</v>
      </c>
      <c r="P301" s="25">
        <f t="shared" si="266"/>
        <v>28263.43324439897</v>
      </c>
      <c r="Q301" s="25">
        <f t="array" aca="1" ref="Q301" ca="1">INDEX('Isaac 401k'!L:L,MATCH('Retirement Calculator'!A301,'Isaac 401k'!N:N,0),0)</f>
        <v>1764809.6724753475</v>
      </c>
      <c r="R301" s="25">
        <f t="array" aca="1" ref="R301" ca="1">INDEX('Lorri 401b'!L:L,MATCH('Retirement Calculator'!A301,'Lorri 401b'!N:N,0),0)</f>
        <v>3638396.0027604643</v>
      </c>
      <c r="S301" s="25">
        <f t="shared" ca="1" si="267"/>
        <v>5403205.6752358116</v>
      </c>
    </row>
    <row r="302" spans="1:19" ht="15.75" customHeight="1" x14ac:dyDescent="0.3">
      <c r="A302" s="37">
        <v>60146</v>
      </c>
      <c r="B302" s="398">
        <f t="shared" ref="B302:C302" si="303">($A302-B$9)/365.25</f>
        <v>82.792607802874741</v>
      </c>
      <c r="C302" s="398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3254.2644699519233</v>
      </c>
      <c r="H302" s="25">
        <f>IF(B302&lt;62,0,'Combined Retirement'!$I$14)</f>
        <v>2345</v>
      </c>
      <c r="I302" s="25">
        <f>IF(C302&lt;62,0,'Combined Retirement'!$I$13)</f>
        <v>2420</v>
      </c>
      <c r="J302" s="25">
        <f t="shared" si="263"/>
        <v>7896.2379798201846</v>
      </c>
      <c r="K302" s="25">
        <f t="shared" si="264"/>
        <v>20367.195264578786</v>
      </c>
      <c r="L302" s="25"/>
      <c r="N302" s="25">
        <f>'Combined Retirement'!$C$18/12</f>
        <v>39153.069999999992</v>
      </c>
      <c r="O302" s="25">
        <f t="shared" si="265"/>
        <v>10889.636755601023</v>
      </c>
      <c r="P302" s="25">
        <f t="shared" si="266"/>
        <v>28263.43324439897</v>
      </c>
      <c r="Q302" s="25">
        <f t="array" aca="1" ref="Q302" ca="1">INDEX('Isaac 401k'!L:L,MATCH('Retirement Calculator'!A302,'Isaac 401k'!N:N,0),0)</f>
        <v>1764233.9071392587</v>
      </c>
      <c r="R302" s="25">
        <f t="array" aca="1" ref="R302" ca="1">INDEX('Lorri 401b'!L:L,MATCH('Retirement Calculator'!A302,'Lorri 401b'!N:N,0),0)</f>
        <v>3633103.9275271185</v>
      </c>
      <c r="S302" s="25">
        <f t="shared" ca="1" si="267"/>
        <v>5397337.8346663769</v>
      </c>
    </row>
    <row r="303" spans="1:19" ht="15.75" customHeight="1" x14ac:dyDescent="0.3">
      <c r="A303" s="37">
        <v>60176</v>
      </c>
      <c r="B303" s="398">
        <f t="shared" ref="B303:C303" si="304">($A303-B$9)/365.25</f>
        <v>82.874743326488712</v>
      </c>
      <c r="C303" s="398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3254.2644699519233</v>
      </c>
      <c r="H303" s="25">
        <f>IF(B303&lt;62,0,'Combined Retirement'!$I$14)</f>
        <v>2345</v>
      </c>
      <c r="I303" s="25">
        <f>IF(C303&lt;62,0,'Combined Retirement'!$I$13)</f>
        <v>2420</v>
      </c>
      <c r="J303" s="25">
        <f t="shared" si="263"/>
        <v>7896.2379798201846</v>
      </c>
      <c r="K303" s="25">
        <f t="shared" si="264"/>
        <v>20367.195264578786</v>
      </c>
      <c r="L303" s="25"/>
      <c r="N303" s="25">
        <f>'Combined Retirement'!$C$18/12</f>
        <v>39153.069999999992</v>
      </c>
      <c r="O303" s="25">
        <f t="shared" si="265"/>
        <v>10889.636755601023</v>
      </c>
      <c r="P303" s="25">
        <f t="shared" si="266"/>
        <v>28263.43324439897</v>
      </c>
      <c r="Q303" s="25">
        <f t="array" aca="1" ref="Q303" ca="1">INDEX('Isaac 401k'!L:L,MATCH('Retirement Calculator'!A303,'Isaac 401k'!N:N,0),0)</f>
        <v>1763655.7427809362</v>
      </c>
      <c r="R303" s="25">
        <f t="array" aca="1" ref="R303" ca="1">INDEX('Lorri 401b'!L:L,MATCH('Retirement Calculator'!A303,'Lorri 401b'!N:N,0),0)</f>
        <v>3627789.8019803003</v>
      </c>
      <c r="S303" s="25">
        <f t="shared" ca="1" si="267"/>
        <v>5391445.5447612368</v>
      </c>
    </row>
    <row r="304" spans="1:19" ht="15.75" customHeight="1" x14ac:dyDescent="0.3">
      <c r="A304" s="37">
        <v>60207</v>
      </c>
      <c r="B304" s="398">
        <f t="shared" ref="B304:C304" si="305">($A304-B$9)/365.25</f>
        <v>82.959616700889796</v>
      </c>
      <c r="C304" s="398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3254.2644699519233</v>
      </c>
      <c r="H304" s="25">
        <f>IF(B304&lt;62,0,'Combined Retirement'!$I$14)</f>
        <v>2345</v>
      </c>
      <c r="I304" s="25">
        <f>IF(C304&lt;62,0,'Combined Retirement'!$I$13)</f>
        <v>2420</v>
      </c>
      <c r="J304" s="25">
        <f t="shared" si="263"/>
        <v>7896.2379798201846</v>
      </c>
      <c r="K304" s="25">
        <f t="shared" si="264"/>
        <v>20367.195264578786</v>
      </c>
      <c r="L304" s="25"/>
      <c r="N304" s="25">
        <f>'Combined Retirement'!$C$18/12</f>
        <v>39153.069999999992</v>
      </c>
      <c r="O304" s="25">
        <f t="shared" si="265"/>
        <v>10889.636755601023</v>
      </c>
      <c r="P304" s="25">
        <f t="shared" si="266"/>
        <v>28263.43324439897</v>
      </c>
      <c r="Q304" s="25">
        <f t="array" aca="1" ref="Q304" ca="1">INDEX('Isaac 401k'!L:L,MATCH('Retirement Calculator'!A304,'Isaac 401k'!N:N,0),0)</f>
        <v>1763075.1694044538</v>
      </c>
      <c r="R304" s="25">
        <f t="array" aca="1" ref="R304" ca="1">INDEX('Lorri 401b'!L:L,MATCH('Retirement Calculator'!A304,'Lorri 401b'!N:N,0),0)</f>
        <v>3622453.5342437038</v>
      </c>
      <c r="S304" s="25">
        <f t="shared" ca="1" si="267"/>
        <v>5385528.7036481574</v>
      </c>
    </row>
    <row r="305" spans="1:19" ht="15.75" customHeight="1" x14ac:dyDescent="0.3">
      <c r="A305" s="37">
        <v>60237</v>
      </c>
      <c r="B305" s="398">
        <f t="shared" ref="B305:C305" si="306">($A305-B$9)/365.25</f>
        <v>83.041752224503767</v>
      </c>
      <c r="C305" s="398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3254.2644699519233</v>
      </c>
      <c r="H305" s="25">
        <f>IF(B305&lt;62,0,'Combined Retirement'!$I$14)</f>
        <v>2345</v>
      </c>
      <c r="I305" s="25">
        <f>IF(C305&lt;62,0,'Combined Retirement'!$I$13)</f>
        <v>2420</v>
      </c>
      <c r="J305" s="25">
        <f t="shared" si="263"/>
        <v>7896.2379798201846</v>
      </c>
      <c r="K305" s="25">
        <f t="shared" si="264"/>
        <v>20367.195264578786</v>
      </c>
      <c r="L305" s="25"/>
      <c r="N305" s="25">
        <f>'Combined Retirement'!$C$18/12</f>
        <v>39153.069999999992</v>
      </c>
      <c r="O305" s="25">
        <f t="shared" si="265"/>
        <v>10889.636755601023</v>
      </c>
      <c r="P305" s="25">
        <f t="shared" si="266"/>
        <v>28263.43324439897</v>
      </c>
      <c r="Q305" s="25">
        <f t="array" aca="1" ref="Q305" ca="1">INDEX('Isaac 401k'!L:L,MATCH('Retirement Calculator'!A305,'Isaac 401k'!N:N,0),0)</f>
        <v>1762492.1769722363</v>
      </c>
      <c r="R305" s="25">
        <f t="array" aca="1" ref="R305" ca="1">INDEX('Lorri 401b'!L:L,MATCH('Retirement Calculator'!A305,'Lorri 401b'!N:N,0),0)</f>
        <v>3617095.0320582045</v>
      </c>
      <c r="S305" s="25">
        <f t="shared" ca="1" si="267"/>
        <v>5379587.209030441</v>
      </c>
    </row>
    <row r="306" spans="1:19" ht="15.75" customHeight="1" x14ac:dyDescent="0.3">
      <c r="A306" s="37">
        <v>60268</v>
      </c>
      <c r="B306" s="398">
        <f t="shared" ref="B306:C306" si="307">($A306-B$9)/365.25</f>
        <v>83.126625598904866</v>
      </c>
      <c r="C306" s="398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3254.2644699519233</v>
      </c>
      <c r="H306" s="25">
        <f>IF(B306&lt;62,0,'Combined Retirement'!$I$14)</f>
        <v>2345</v>
      </c>
      <c r="I306" s="25">
        <f>IF(C306&lt;62,0,'Combined Retirement'!$I$13)</f>
        <v>2420</v>
      </c>
      <c r="J306" s="25">
        <f t="shared" si="263"/>
        <v>7896.2379798201846</v>
      </c>
      <c r="K306" s="25">
        <f t="shared" si="264"/>
        <v>20367.195264578786</v>
      </c>
      <c r="L306" s="25"/>
      <c r="N306" s="25">
        <f>'Combined Retirement'!$C$18/12</f>
        <v>39153.069999999992</v>
      </c>
      <c r="O306" s="25">
        <f t="shared" si="265"/>
        <v>10889.636755601023</v>
      </c>
      <c r="P306" s="25">
        <f t="shared" si="266"/>
        <v>28263.43324439897</v>
      </c>
      <c r="Q306" s="25">
        <f t="array" aca="1" ref="Q306" ca="1">INDEX('Isaac 401k'!L:L,MATCH('Retirement Calculator'!A306,'Isaac 401k'!N:N,0),0)</f>
        <v>1761906.7554048845</v>
      </c>
      <c r="R306" s="25">
        <f t="array" aca="1" ref="R306" ca="1">INDEX('Lorri 401b'!L:L,MATCH('Retirement Calculator'!A306,'Lorri 401b'!N:N,0),0)</f>
        <v>3611714.2027802658</v>
      </c>
      <c r="S306" s="25">
        <f t="shared" ca="1" si="267"/>
        <v>5373620.9581851503</v>
      </c>
    </row>
    <row r="307" spans="1:19" ht="15.75" customHeight="1" x14ac:dyDescent="0.3">
      <c r="A307" s="37">
        <v>60299</v>
      </c>
      <c r="B307" s="398">
        <f t="shared" ref="B307:C307" si="308">($A307-B$9)/365.25</f>
        <v>83.21149897330595</v>
      </c>
      <c r="C307" s="398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3254.2644699519233</v>
      </c>
      <c r="H307" s="25">
        <f>IF(B307&lt;62,0,'Combined Retirement'!$I$14)</f>
        <v>2345</v>
      </c>
      <c r="I307" s="25">
        <f>IF(C307&lt;62,0,'Combined Retirement'!$I$13)</f>
        <v>2420</v>
      </c>
      <c r="J307" s="25">
        <f t="shared" si="263"/>
        <v>7896.2379798201846</v>
      </c>
      <c r="K307" s="25">
        <f t="shared" si="264"/>
        <v>20367.195264578786</v>
      </c>
      <c r="L307" s="25"/>
      <c r="N307" s="25">
        <f>'Combined Retirement'!$C$18/12</f>
        <v>39153.069999999992</v>
      </c>
      <c r="O307" s="25">
        <f t="shared" si="265"/>
        <v>10889.636755601023</v>
      </c>
      <c r="P307" s="25">
        <f t="shared" si="266"/>
        <v>28263.43324439897</v>
      </c>
      <c r="Q307" s="25">
        <f t="array" aca="1" ref="Q307" ca="1">INDEX('Isaac 401k'!L:L,MATCH('Retirement Calculator'!A307,'Isaac 401k'!N:N,0),0)</f>
        <v>1761318.894581002</v>
      </c>
      <c r="R307" s="25">
        <f t="array" aca="1" ref="R307" ca="1">INDEX('Lorri 401b'!L:L,MATCH('Retirement Calculator'!A307,'Lorri 401b'!N:N,0),0)</f>
        <v>3606310.9533803356</v>
      </c>
      <c r="S307" s="25">
        <f t="shared" ca="1" si="267"/>
        <v>5367629.8479613373</v>
      </c>
    </row>
    <row r="308" spans="1:19" ht="15.75" customHeight="1" x14ac:dyDescent="0.3">
      <c r="A308" s="37">
        <v>60327</v>
      </c>
      <c r="B308" s="398">
        <f t="shared" ref="B308:C308" si="309">($A308-B$9)/365.25</f>
        <v>83.288158795345652</v>
      </c>
      <c r="C308" s="398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3254.2644699519233</v>
      </c>
      <c r="H308" s="25">
        <f>IF(B308&lt;62,0,'Combined Retirement'!$I$14)</f>
        <v>2345</v>
      </c>
      <c r="I308" s="25">
        <f>IF(C308&lt;62,0,'Combined Retirement'!$I$13)</f>
        <v>2420</v>
      </c>
      <c r="J308" s="25">
        <f t="shared" si="263"/>
        <v>7896.2379798201846</v>
      </c>
      <c r="K308" s="25">
        <f t="shared" si="264"/>
        <v>20367.195264578786</v>
      </c>
      <c r="L308" s="25"/>
      <c r="N308" s="25">
        <f>'Combined Retirement'!$C$18/12</f>
        <v>39153.069999999992</v>
      </c>
      <c r="O308" s="25">
        <f t="shared" si="265"/>
        <v>10889.636755601023</v>
      </c>
      <c r="P308" s="25">
        <f t="shared" si="266"/>
        <v>28263.43324439897</v>
      </c>
      <c r="Q308" s="25">
        <f t="array" aca="1" ref="Q308" ca="1">INDEX('Isaac 401k'!L:L,MATCH('Retirement Calculator'!A308,'Isaac 401k'!N:N,0),0)</f>
        <v>1760728.5843370201</v>
      </c>
      <c r="R308" s="25">
        <f t="array" aca="1" ref="R308" ca="1">INDEX('Lorri 401b'!L:L,MATCH('Retirement Calculator'!A308,'Lorri 401b'!N:N,0),0)</f>
        <v>3600885.1904412392</v>
      </c>
      <c r="S308" s="25">
        <f t="shared" ca="1" si="267"/>
        <v>5361613.774778259</v>
      </c>
    </row>
    <row r="309" spans="1:19" ht="15.75" customHeight="1" x14ac:dyDescent="0.3">
      <c r="A309" s="37">
        <v>60358</v>
      </c>
      <c r="B309" s="398">
        <f t="shared" ref="B309:C309" si="310">($A309-B$9)/365.25</f>
        <v>83.37303216974675</v>
      </c>
      <c r="C309" s="398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3254.2644699519233</v>
      </c>
      <c r="H309" s="25">
        <f>IF(B309&lt;62,0,'Combined Retirement'!$I$14)</f>
        <v>2345</v>
      </c>
      <c r="I309" s="25">
        <f>IF(C309&lt;62,0,'Combined Retirement'!$I$13)</f>
        <v>2420</v>
      </c>
      <c r="J309" s="25">
        <f t="shared" si="263"/>
        <v>7896.2379798201846</v>
      </c>
      <c r="K309" s="25">
        <f t="shared" si="264"/>
        <v>20367.195264578786</v>
      </c>
      <c r="L309" s="25"/>
      <c r="N309" s="25">
        <f>'Combined Retirement'!$C$18/12</f>
        <v>39153.069999999992</v>
      </c>
      <c r="O309" s="25">
        <f t="shared" si="265"/>
        <v>10889.636755601023</v>
      </c>
      <c r="P309" s="25">
        <f t="shared" si="266"/>
        <v>28263.43324439897</v>
      </c>
      <c r="Q309" s="25">
        <f t="array" aca="1" ref="Q309" ca="1">INDEX('Isaac 401k'!L:L,MATCH('Retirement Calculator'!A309,'Isaac 401k'!N:N,0),0)</f>
        <v>1760135.8144670215</v>
      </c>
      <c r="R309" s="25">
        <f t="array" aca="1" ref="R309" ca="1">INDEX('Lorri 401b'!L:L,MATCH('Retirement Calculator'!A309,'Lorri 401b'!N:N,0),0)</f>
        <v>3595436.8201565631</v>
      </c>
      <c r="S309" s="25">
        <f t="shared" ca="1" si="267"/>
        <v>5355572.6346235843</v>
      </c>
    </row>
    <row r="310" spans="1:19" ht="15.75" customHeight="1" x14ac:dyDescent="0.3">
      <c r="A310" s="37">
        <v>60388</v>
      </c>
      <c r="B310" s="398">
        <f t="shared" ref="B310:C310" si="311">($A310-B$9)/365.25</f>
        <v>83.455167693360707</v>
      </c>
      <c r="C310" s="398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3254.2644699519233</v>
      </c>
      <c r="H310" s="25">
        <f>IF(B310&lt;62,0,'Combined Retirement'!$I$14)</f>
        <v>2345</v>
      </c>
      <c r="I310" s="25">
        <f>IF(C310&lt;62,0,'Combined Retirement'!$I$13)</f>
        <v>2420</v>
      </c>
      <c r="J310" s="25">
        <f t="shared" si="263"/>
        <v>7896.2379798201846</v>
      </c>
      <c r="K310" s="25">
        <f t="shared" si="264"/>
        <v>20367.195264578786</v>
      </c>
      <c r="L310" s="25"/>
      <c r="N310" s="25">
        <f>'Combined Retirement'!$C$18/12</f>
        <v>39153.069999999992</v>
      </c>
      <c r="O310" s="25">
        <f t="shared" si="265"/>
        <v>10889.636755601023</v>
      </c>
      <c r="P310" s="25">
        <f t="shared" si="266"/>
        <v>28263.43324439897</v>
      </c>
      <c r="Q310" s="25">
        <f t="array" aca="1" ref="Q310" ca="1">INDEX('Isaac 401k'!L:L,MATCH('Retirement Calculator'!A310,'Isaac 401k'!N:N,0),0)</f>
        <v>1759540.5747225645</v>
      </c>
      <c r="R310" s="25">
        <f t="array" aca="1" ref="R310" ca="1">INDEX('Lorri 401b'!L:L,MATCH('Retirement Calculator'!A310,'Lorri 401b'!N:N,0),0)</f>
        <v>3589965.7483290341</v>
      </c>
      <c r="S310" s="25">
        <f t="shared" ca="1" si="267"/>
        <v>5349506.3230515989</v>
      </c>
    </row>
    <row r="311" spans="1:19" ht="15.75" customHeight="1" x14ac:dyDescent="0.3">
      <c r="A311" s="37">
        <v>60419</v>
      </c>
      <c r="B311" s="398">
        <f t="shared" ref="B311:C311" si="312">($A311-B$9)/365.25</f>
        <v>83.540041067761805</v>
      </c>
      <c r="C311" s="398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3254.2644699519233</v>
      </c>
      <c r="H311" s="25">
        <f>IF(B311&lt;62,0,'Combined Retirement'!$I$14)</f>
        <v>2345</v>
      </c>
      <c r="I311" s="25">
        <f>IF(C311&lt;62,0,'Combined Retirement'!$I$13)</f>
        <v>2420</v>
      </c>
      <c r="J311" s="25">
        <f t="shared" si="263"/>
        <v>7896.2379798201846</v>
      </c>
      <c r="K311" s="25">
        <f t="shared" si="264"/>
        <v>20367.195264578786</v>
      </c>
      <c r="L311" s="25"/>
      <c r="N311" s="25">
        <f>'Combined Retirement'!$C$18/12</f>
        <v>39153.069999999992</v>
      </c>
      <c r="O311" s="25">
        <f t="shared" si="265"/>
        <v>10889.636755601023</v>
      </c>
      <c r="P311" s="25">
        <f t="shared" si="266"/>
        <v>28263.43324439897</v>
      </c>
      <c r="Q311" s="25">
        <f t="array" aca="1" ref="Q311" ca="1">INDEX('Isaac 401k'!L:L,MATCH('Retirement Calculator'!A311,'Isaac 401k'!N:N,0),0)</f>
        <v>1758942.8548125057</v>
      </c>
      <c r="R311" s="25">
        <f t="array" aca="1" ref="R311" ca="1">INDEX('Lorri 401b'!L:L,MATCH('Retirement Calculator'!A311,'Lorri 401b'!N:N,0),0)</f>
        <v>3584471.8803688907</v>
      </c>
      <c r="S311" s="25">
        <f t="shared" ca="1" si="267"/>
        <v>5343414.7351813968</v>
      </c>
    </row>
    <row r="312" spans="1:19" ht="15.75" customHeight="1" x14ac:dyDescent="0.3">
      <c r="A312" s="37">
        <v>60449</v>
      </c>
      <c r="B312" s="398">
        <f t="shared" ref="B312:C312" si="313">($A312-B$9)/365.25</f>
        <v>83.622176591375776</v>
      </c>
      <c r="C312" s="398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3254.2644699519233</v>
      </c>
      <c r="H312" s="25">
        <f>IF(B312&lt;62,0,'Combined Retirement'!$I$14)</f>
        <v>2345</v>
      </c>
      <c r="I312" s="25">
        <f>IF(C312&lt;62,0,'Combined Retirement'!$I$13)</f>
        <v>2420</v>
      </c>
      <c r="J312" s="25">
        <f t="shared" si="263"/>
        <v>7896.2379798201846</v>
      </c>
      <c r="K312" s="25">
        <f t="shared" si="264"/>
        <v>20367.195264578786</v>
      </c>
      <c r="L312" s="25"/>
      <c r="N312" s="25">
        <f>'Combined Retirement'!$C$18/12</f>
        <v>39153.069999999992</v>
      </c>
      <c r="O312" s="25">
        <f t="shared" si="265"/>
        <v>10889.636755601023</v>
      </c>
      <c r="P312" s="25">
        <f t="shared" si="266"/>
        <v>28263.43324439897</v>
      </c>
      <c r="Q312" s="25">
        <f t="array" aca="1" ref="Q312" ca="1">INDEX('Isaac 401k'!L:L,MATCH('Retirement Calculator'!A312,'Isaac 401k'!N:N,0),0)</f>
        <v>1758342.6444028215</v>
      </c>
      <c r="R312" s="25">
        <f t="array" aca="1" ref="R312" ca="1">INDEX('Lorri 401b'!L:L,MATCH('Retirement Calculator'!A312,'Lorri 401b'!N:N,0),0)</f>
        <v>3578955.1212922465</v>
      </c>
      <c r="S312" s="25">
        <f t="shared" ca="1" si="267"/>
        <v>5337297.7656950681</v>
      </c>
    </row>
    <row r="313" spans="1:19" ht="15.75" customHeight="1" x14ac:dyDescent="0.3">
      <c r="A313" s="37">
        <v>60480</v>
      </c>
      <c r="B313" s="398">
        <f t="shared" ref="B313:C313" si="314">($A313-B$9)/365.25</f>
        <v>83.707049965776861</v>
      </c>
      <c r="C313" s="398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3254.2644699519233</v>
      </c>
      <c r="H313" s="25">
        <f>IF(B313&lt;62,0,'Combined Retirement'!$I$14)</f>
        <v>2345</v>
      </c>
      <c r="I313" s="25">
        <f>IF(C313&lt;62,0,'Combined Retirement'!$I$13)</f>
        <v>2420</v>
      </c>
      <c r="J313" s="25">
        <f t="shared" si="263"/>
        <v>7896.2379798201846</v>
      </c>
      <c r="K313" s="25">
        <f t="shared" si="264"/>
        <v>20367.195264578786</v>
      </c>
      <c r="L313" s="25"/>
      <c r="N313" s="25">
        <f>'Combined Retirement'!$C$18/12</f>
        <v>39153.069999999992</v>
      </c>
      <c r="O313" s="25">
        <f t="shared" si="265"/>
        <v>10889.636755601023</v>
      </c>
      <c r="P313" s="25">
        <f t="shared" si="266"/>
        <v>28263.43324439897</v>
      </c>
      <c r="Q313" s="25">
        <f t="array" aca="1" ref="Q313" ca="1">INDEX('Isaac 401k'!L:L,MATCH('Retirement Calculator'!A313,'Isaac 401k'!N:N,0),0)</f>
        <v>1757739.9331164304</v>
      </c>
      <c r="R313" s="25">
        <f t="array" aca="1" ref="R313" ca="1">INDEX('Lorri 401b'!L:L,MATCH('Retirement Calculator'!A313,'Lorri 401b'!N:N,0),0)</f>
        <v>3573415.3757194495</v>
      </c>
      <c r="S313" s="25">
        <f t="shared" ca="1" si="267"/>
        <v>5331155.3088358799</v>
      </c>
    </row>
    <row r="314" spans="1:19" ht="15.75" customHeight="1" x14ac:dyDescent="0.3">
      <c r="A314" s="37">
        <v>60511</v>
      </c>
      <c r="B314" s="398">
        <f t="shared" ref="B314:C314" si="315">($A314-B$9)/365.25</f>
        <v>83.791923340177959</v>
      </c>
      <c r="C314" s="398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3254.2644699519233</v>
      </c>
      <c r="H314" s="25">
        <f>IF(B314&lt;62,0,'Combined Retirement'!$I$14)</f>
        <v>2345</v>
      </c>
      <c r="I314" s="25">
        <f>IF(C314&lt;62,0,'Combined Retirement'!$I$13)</f>
        <v>2420</v>
      </c>
      <c r="J314" s="25">
        <f t="shared" si="263"/>
        <v>7896.2379798201846</v>
      </c>
      <c r="K314" s="25">
        <f t="shared" si="264"/>
        <v>20367.195264578786</v>
      </c>
      <c r="L314" s="25"/>
      <c r="N314" s="25">
        <f>'Combined Retirement'!$C$18/12</f>
        <v>39153.069999999992</v>
      </c>
      <c r="O314" s="25">
        <f t="shared" si="265"/>
        <v>10889.636755601023</v>
      </c>
      <c r="P314" s="25">
        <f t="shared" si="266"/>
        <v>28263.43324439897</v>
      </c>
      <c r="Q314" s="25">
        <f t="array" aca="1" ref="Q314" ca="1">INDEX('Isaac 401k'!L:L,MATCH('Retirement Calculator'!A314,'Isaac 401k'!N:N,0),0)</f>
        <v>1757134.7105330126</v>
      </c>
      <c r="R314" s="25">
        <f t="array" aca="1" ref="R314" ca="1">INDEX('Lorri 401b'!L:L,MATCH('Retirement Calculator'!A314,'Lorri 401b'!N:N,0),0)</f>
        <v>3567852.5478734327</v>
      </c>
      <c r="S314" s="25">
        <f t="shared" ca="1" si="267"/>
        <v>5324987.2584064454</v>
      </c>
    </row>
    <row r="315" spans="1:19" ht="15.75" customHeight="1" x14ac:dyDescent="0.3">
      <c r="A315" s="37">
        <v>60541</v>
      </c>
      <c r="B315" s="398">
        <f t="shared" ref="B315:C315" si="316">($A315-B$9)/365.25</f>
        <v>83.87405886379193</v>
      </c>
      <c r="C315" s="398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3254.2644699519233</v>
      </c>
      <c r="H315" s="25">
        <f>IF(B315&lt;62,0,'Combined Retirement'!$I$14)</f>
        <v>2345</v>
      </c>
      <c r="I315" s="25">
        <f>IF(C315&lt;62,0,'Combined Retirement'!$I$13)</f>
        <v>2420</v>
      </c>
      <c r="J315" s="25">
        <f t="shared" si="263"/>
        <v>7896.2379798201846</v>
      </c>
      <c r="K315" s="25">
        <f t="shared" si="264"/>
        <v>20367.195264578786</v>
      </c>
      <c r="L315" s="25"/>
      <c r="N315" s="25">
        <f>'Combined Retirement'!$C$18/12</f>
        <v>39153.069999999992</v>
      </c>
      <c r="O315" s="25">
        <f t="shared" si="265"/>
        <v>10889.636755601023</v>
      </c>
      <c r="P315" s="25">
        <f t="shared" si="266"/>
        <v>28263.43324439897</v>
      </c>
      <c r="Q315" s="25">
        <f t="array" aca="1" ref="Q315" ca="1">INDEX('Isaac 401k'!L:L,MATCH('Retirement Calculator'!A315,'Isaac 401k'!N:N,0),0)</f>
        <v>1756526.9661888308</v>
      </c>
      <c r="R315" s="25">
        <f t="array" aca="1" ref="R315" ca="1">INDEX('Lorri 401b'!L:L,MATCH('Retirement Calculator'!A315,'Lorri 401b'!N:N,0),0)</f>
        <v>3562266.5415780577</v>
      </c>
      <c r="S315" s="25">
        <f t="shared" ca="1" si="267"/>
        <v>5318793.5077668885</v>
      </c>
    </row>
    <row r="316" spans="1:19" ht="15.75" customHeight="1" x14ac:dyDescent="0.3">
      <c r="A316" s="37">
        <v>60572</v>
      </c>
      <c r="B316" s="398">
        <f t="shared" ref="B316:C316" si="317">($A316-B$9)/365.25</f>
        <v>83.958932238193015</v>
      </c>
      <c r="C316" s="398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3254.2644699519233</v>
      </c>
      <c r="H316" s="25">
        <f>IF(B316&lt;62,0,'Combined Retirement'!$I$14)</f>
        <v>2345</v>
      </c>
      <c r="I316" s="25">
        <f>IF(C316&lt;62,0,'Combined Retirement'!$I$13)</f>
        <v>2420</v>
      </c>
      <c r="J316" s="25">
        <f t="shared" si="263"/>
        <v>7896.2379798201846</v>
      </c>
      <c r="K316" s="25">
        <f t="shared" si="264"/>
        <v>20367.195264578786</v>
      </c>
      <c r="L316" s="25"/>
      <c r="N316" s="25">
        <f>'Combined Retirement'!$C$18/12</f>
        <v>39153.069999999992</v>
      </c>
      <c r="O316" s="25">
        <f t="shared" si="265"/>
        <v>10889.636755601023</v>
      </c>
      <c r="P316" s="25">
        <f t="shared" si="266"/>
        <v>28263.43324439897</v>
      </c>
      <c r="Q316" s="25">
        <f t="array" aca="1" ref="Q316" ca="1">INDEX('Isaac 401k'!L:L,MATCH('Retirement Calculator'!A316,'Isaac 401k'!N:N,0),0)</f>
        <v>1755916.6895765481</v>
      </c>
      <c r="R316" s="25">
        <f t="array" aca="1" ref="R316" ca="1">INDEX('Lorri 401b'!L:L,MATCH('Retirement Calculator'!A316,'Lorri 401b'!N:N,0),0)</f>
        <v>3556657.2602564516</v>
      </c>
      <c r="S316" s="25">
        <f t="shared" ca="1" si="267"/>
        <v>5312573.9498330001</v>
      </c>
    </row>
    <row r="317" spans="1:19" ht="15.75" customHeight="1" x14ac:dyDescent="0.3">
      <c r="A317" s="37">
        <v>60602</v>
      </c>
      <c r="B317" s="398">
        <f t="shared" ref="B317:C317" si="318">($A317-B$9)/365.25</f>
        <v>84.041067761806985</v>
      </c>
      <c r="C317" s="398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3254.2644699519233</v>
      </c>
      <c r="H317" s="25">
        <f>IF(B317&lt;62,0,'Combined Retirement'!$I$14)</f>
        <v>2345</v>
      </c>
      <c r="I317" s="25">
        <f>IF(C317&lt;62,0,'Combined Retirement'!$I$13)</f>
        <v>2420</v>
      </c>
      <c r="J317" s="25">
        <f t="shared" si="263"/>
        <v>7896.2379798201846</v>
      </c>
      <c r="K317" s="25">
        <f t="shared" si="264"/>
        <v>20367.195264578786</v>
      </c>
      <c r="L317" s="25"/>
      <c r="N317" s="25">
        <f>'Combined Retirement'!$C$18/12</f>
        <v>39153.069999999992</v>
      </c>
      <c r="O317" s="25">
        <f t="shared" si="265"/>
        <v>10889.636755601023</v>
      </c>
      <c r="P317" s="25">
        <f t="shared" si="266"/>
        <v>28263.43324439897</v>
      </c>
      <c r="Q317" s="25">
        <f t="array" aca="1" ref="Q317" ca="1">INDEX('Isaac 401k'!L:L,MATCH('Retirement Calculator'!A317,'Isaac 401k'!N:N,0),0)</f>
        <v>1755303.8701450475</v>
      </c>
      <c r="R317" s="25">
        <f t="array" aca="1" ref="R317" ca="1">INDEX('Lorri 401b'!L:L,MATCH('Retirement Calculator'!A317,'Lorri 401b'!N:N,0),0)</f>
        <v>3551024.606929339</v>
      </c>
      <c r="S317" s="25">
        <f t="shared" ca="1" si="267"/>
        <v>5306328.4770743866</v>
      </c>
    </row>
    <row r="318" spans="1:19" ht="15.75" customHeight="1" x14ac:dyDescent="0.3">
      <c r="A318" s="37">
        <v>60633</v>
      </c>
      <c r="B318" s="398">
        <f t="shared" ref="B318:C318" si="319">($A318-B$9)/365.25</f>
        <v>84.12594113620807</v>
      </c>
      <c r="C318" s="398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3254.2644699519233</v>
      </c>
      <c r="H318" s="25">
        <f>IF(B318&lt;62,0,'Combined Retirement'!$I$14)</f>
        <v>2345</v>
      </c>
      <c r="I318" s="25">
        <f>IF(C318&lt;62,0,'Combined Retirement'!$I$13)</f>
        <v>2420</v>
      </c>
      <c r="J318" s="25">
        <f t="shared" si="263"/>
        <v>7896.2379798201846</v>
      </c>
      <c r="K318" s="25">
        <f t="shared" si="264"/>
        <v>20367.195264578786</v>
      </c>
      <c r="L318" s="25"/>
      <c r="N318" s="25">
        <f>'Combined Retirement'!$C$18/12</f>
        <v>39153.069999999992</v>
      </c>
      <c r="O318" s="25">
        <f t="shared" si="265"/>
        <v>10889.636755601023</v>
      </c>
      <c r="P318" s="25">
        <f t="shared" si="266"/>
        <v>28263.43324439897</v>
      </c>
      <c r="Q318" s="25">
        <f t="array" aca="1" ref="Q318" ca="1">INDEX('Isaac 401k'!L:L,MATCH('Retirement Calculator'!A318,'Isaac 401k'!N:N,0),0)</f>
        <v>1754688.4972992491</v>
      </c>
      <c r="R318" s="25">
        <f t="array" aca="1" ref="R318" ca="1">INDEX('Lorri 401b'!L:L,MATCH('Retirement Calculator'!A318,'Lorri 401b'!N:N,0),0)</f>
        <v>3545368.4842133634</v>
      </c>
      <c r="S318" s="25">
        <f t="shared" ca="1" si="267"/>
        <v>5300056.9815126127</v>
      </c>
    </row>
    <row r="319" spans="1:19" ht="15.75" customHeight="1" x14ac:dyDescent="0.3">
      <c r="A319" s="37">
        <v>60664</v>
      </c>
      <c r="B319" s="398">
        <f t="shared" ref="B319:C319" si="320">($A319-B$9)/365.25</f>
        <v>84.210814510609168</v>
      </c>
      <c r="C319" s="398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3254.2644699519233</v>
      </c>
      <c r="H319" s="25">
        <f>IF(B319&lt;62,0,'Combined Retirement'!$I$14)</f>
        <v>2345</v>
      </c>
      <c r="I319" s="25">
        <f>IF(C319&lt;62,0,'Combined Retirement'!$I$13)</f>
        <v>2420</v>
      </c>
      <c r="J319" s="25">
        <f t="shared" si="263"/>
        <v>7896.2379798201846</v>
      </c>
      <c r="K319" s="25">
        <f t="shared" si="264"/>
        <v>20367.195264578786</v>
      </c>
      <c r="L319" s="25"/>
      <c r="N319" s="25">
        <f>'Combined Retirement'!$C$18/12</f>
        <v>39153.069999999992</v>
      </c>
      <c r="O319" s="25">
        <f t="shared" si="265"/>
        <v>10889.636755601023</v>
      </c>
      <c r="P319" s="25">
        <f t="shared" si="266"/>
        <v>28263.43324439897</v>
      </c>
      <c r="Q319" s="25">
        <f t="array" aca="1" ref="Q319" ca="1">INDEX('Isaac 401k'!L:L,MATCH('Retirement Calculator'!A319,'Isaac 401k'!N:N,0),0)</f>
        <v>1754070.5603999265</v>
      </c>
      <c r="R319" s="25">
        <f t="array" aca="1" ref="R319" ca="1">INDEX('Lorri 401b'!L:L,MATCH('Retirement Calculator'!A319,'Lorri 401b'!N:N,0),0)</f>
        <v>3539688.7943194043</v>
      </c>
      <c r="S319" s="25">
        <f t="shared" ca="1" si="267"/>
        <v>5293759.3547193306</v>
      </c>
    </row>
    <row r="320" spans="1:19" ht="15.75" customHeight="1" x14ac:dyDescent="0.3">
      <c r="A320" s="37">
        <v>60692</v>
      </c>
      <c r="B320" s="398">
        <f t="shared" ref="B320:C320" si="321">($A320-B$9)/365.25</f>
        <v>84.28747433264887</v>
      </c>
      <c r="C320" s="398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3254.2644699519233</v>
      </c>
      <c r="H320" s="25">
        <f>IF(B320&lt;62,0,'Combined Retirement'!$I$14)</f>
        <v>2345</v>
      </c>
      <c r="I320" s="25">
        <f>IF(C320&lt;62,0,'Combined Retirement'!$I$13)</f>
        <v>2420</v>
      </c>
      <c r="J320" s="25">
        <f t="shared" si="263"/>
        <v>7896.2379798201846</v>
      </c>
      <c r="K320" s="25">
        <f t="shared" si="264"/>
        <v>20367.195264578786</v>
      </c>
      <c r="L320" s="25"/>
      <c r="N320" s="25">
        <f>'Combined Retirement'!$C$18/12</f>
        <v>39153.069999999992</v>
      </c>
      <c r="O320" s="25">
        <f t="shared" si="265"/>
        <v>10889.636755601023</v>
      </c>
      <c r="P320" s="25">
        <f t="shared" si="266"/>
        <v>28263.43324439897</v>
      </c>
      <c r="Q320" s="25">
        <f t="array" aca="1" ref="Q320" ca="1">INDEX('Isaac 401k'!L:L,MATCH('Retirement Calculator'!A320,'Isaac 401k'!N:N,0),0)</f>
        <v>1753450.0487635233</v>
      </c>
      <c r="R320" s="25">
        <f t="array" aca="1" ref="R320" ca="1">INDEX('Lorri 401b'!L:L,MATCH('Retirement Calculator'!A320,'Lorri 401b'!N:N,0),0)</f>
        <v>3533985.4390508872</v>
      </c>
      <c r="S320" s="25">
        <f t="shared" ca="1" si="267"/>
        <v>5287435.4878144106</v>
      </c>
    </row>
    <row r="321" spans="1:19" ht="15.75" customHeight="1" x14ac:dyDescent="0.3">
      <c r="A321" s="37">
        <v>60723</v>
      </c>
      <c r="B321" s="398">
        <f t="shared" ref="B321:C321" si="322">($A321-B$9)/365.25</f>
        <v>84.372347707049968</v>
      </c>
      <c r="C321" s="398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3254.2644699519233</v>
      </c>
      <c r="H321" s="25">
        <f>IF(B321&lt;62,0,'Combined Retirement'!$I$14)</f>
        <v>2345</v>
      </c>
      <c r="I321" s="25">
        <f>IF(C321&lt;62,0,'Combined Retirement'!$I$13)</f>
        <v>2420</v>
      </c>
      <c r="J321" s="25">
        <f t="shared" si="263"/>
        <v>7896.2379798201846</v>
      </c>
      <c r="K321" s="25">
        <f t="shared" si="264"/>
        <v>20367.195264578786</v>
      </c>
      <c r="L321" s="25"/>
      <c r="N321" s="25">
        <f>'Combined Retirement'!$C$18/12</f>
        <v>39153.069999999992</v>
      </c>
      <c r="O321" s="25">
        <f t="shared" si="265"/>
        <v>10889.636755601023</v>
      </c>
      <c r="P321" s="25">
        <f t="shared" si="266"/>
        <v>28263.43324439897</v>
      </c>
      <c r="Q321" s="25">
        <f t="array" aca="1" ref="Q321" ca="1">INDEX('Isaac 401k'!L:L,MATCH('Retirement Calculator'!A321,'Isaac 401k'!N:N,0),0)</f>
        <v>1752826.9516619686</v>
      </c>
      <c r="R321" s="25">
        <f t="array" aca="1" ref="R321" ca="1">INDEX('Lorri 401b'!L:L,MATCH('Retirement Calculator'!A321,'Lorri 401b'!N:N,0),0)</f>
        <v>3528258.3198020849</v>
      </c>
      <c r="S321" s="25">
        <f t="shared" ca="1" si="267"/>
        <v>5281085.2714640535</v>
      </c>
    </row>
    <row r="322" spans="1:19" ht="15.75" customHeight="1" x14ac:dyDescent="0.3">
      <c r="A322" s="37">
        <v>60753</v>
      </c>
      <c r="B322" s="398">
        <f t="shared" ref="B322:C322" si="323">($A322-B$9)/365.25</f>
        <v>84.454483230663925</v>
      </c>
      <c r="C322" s="398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3254.2644699519233</v>
      </c>
      <c r="H322" s="25">
        <f>IF(B322&lt;62,0,'Combined Retirement'!$I$14)</f>
        <v>2345</v>
      </c>
      <c r="I322" s="25">
        <f>IF(C322&lt;62,0,'Combined Retirement'!$I$13)</f>
        <v>2420</v>
      </c>
      <c r="J322" s="25">
        <f t="shared" si="263"/>
        <v>7896.2379798201846</v>
      </c>
      <c r="K322" s="25">
        <f t="shared" si="264"/>
        <v>20367.195264578786</v>
      </c>
      <c r="L322" s="25"/>
      <c r="N322" s="25">
        <f>'Combined Retirement'!$C$18/12</f>
        <v>39153.069999999992</v>
      </c>
      <c r="O322" s="25">
        <f t="shared" si="265"/>
        <v>10889.636755601023</v>
      </c>
      <c r="P322" s="25">
        <f t="shared" si="266"/>
        <v>28263.43324439897</v>
      </c>
      <c r="Q322" s="25">
        <f t="array" aca="1" ref="Q322" ca="1">INDEX('Isaac 401k'!L:L,MATCH('Retirement Calculator'!A322,'Isaac 401k'!N:N,0),0)</f>
        <v>1752201.2583224906</v>
      </c>
      <c r="R322" s="25">
        <f t="array" aca="1" ref="R322" ca="1">INDEX('Lorri 401b'!L:L,MATCH('Retirement Calculator'!A322,'Lorri 401b'!N:N,0),0)</f>
        <v>3522507.3375564124</v>
      </c>
      <c r="S322" s="25">
        <f t="shared" ca="1" si="267"/>
        <v>5274708.5958789028</v>
      </c>
    </row>
    <row r="323" spans="1:19" ht="15.75" customHeight="1" x14ac:dyDescent="0.3">
      <c r="A323" s="37">
        <v>60784</v>
      </c>
      <c r="B323" s="398">
        <f t="shared" ref="B323:C323" si="324">($A323-B$9)/365.25</f>
        <v>84.539356605065024</v>
      </c>
      <c r="C323" s="398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3254.2644699519233</v>
      </c>
      <c r="H323" s="25">
        <f>IF(B323&lt;62,0,'Combined Retirement'!$I$14)</f>
        <v>2345</v>
      </c>
      <c r="I323" s="25">
        <f>IF(C323&lt;62,0,'Combined Retirement'!$I$13)</f>
        <v>2420</v>
      </c>
      <c r="J323" s="25">
        <f t="shared" si="263"/>
        <v>7896.2379798201846</v>
      </c>
      <c r="K323" s="25">
        <f t="shared" si="264"/>
        <v>20367.195264578786</v>
      </c>
      <c r="L323" s="25"/>
      <c r="N323" s="25">
        <f>'Combined Retirement'!$C$18/12</f>
        <v>39153.069999999992</v>
      </c>
      <c r="O323" s="25">
        <f t="shared" si="265"/>
        <v>10889.636755601023</v>
      </c>
      <c r="P323" s="25">
        <f t="shared" si="266"/>
        <v>28263.43324439897</v>
      </c>
      <c r="Q323" s="25">
        <f t="array" aca="1" ref="Q323" ca="1">INDEX('Isaac 401k'!L:L,MATCH('Retirement Calculator'!A323,'Isaac 401k'!N:N,0),0)</f>
        <v>1751572.9579274314</v>
      </c>
      <c r="R323" s="25">
        <f t="array" aca="1" ref="R323" ca="1">INDEX('Lorri 401b'!L:L,MATCH('Retirement Calculator'!A323,'Lorri 401b'!N:N,0),0)</f>
        <v>3516732.3928847164</v>
      </c>
      <c r="S323" s="25">
        <f t="shared" ca="1" si="267"/>
        <v>5268305.3508121483</v>
      </c>
    </row>
    <row r="324" spans="1:19" ht="15.75" customHeight="1" x14ac:dyDescent="0.3">
      <c r="A324" s="37">
        <v>60814</v>
      </c>
      <c r="B324" s="398">
        <f t="shared" ref="B324:C324" si="325">($A324-B$9)/365.25</f>
        <v>84.62149212867898</v>
      </c>
      <c r="C324" s="398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3254.2644699519233</v>
      </c>
      <c r="H324" s="25">
        <f>IF(B324&lt;62,0,'Combined Retirement'!$I$14)</f>
        <v>2345</v>
      </c>
      <c r="I324" s="25">
        <f>IF(C324&lt;62,0,'Combined Retirement'!$I$13)</f>
        <v>2420</v>
      </c>
      <c r="J324" s="25">
        <f t="shared" si="263"/>
        <v>7896.2379798201846</v>
      </c>
      <c r="K324" s="25">
        <f t="shared" si="264"/>
        <v>20367.195264578786</v>
      </c>
      <c r="L324" s="25"/>
      <c r="N324" s="25">
        <f>'Combined Retirement'!$C$18/12</f>
        <v>39153.069999999992</v>
      </c>
      <c r="O324" s="25">
        <f t="shared" si="265"/>
        <v>10889.636755601023</v>
      </c>
      <c r="P324" s="25">
        <f t="shared" si="266"/>
        <v>28263.43324439897</v>
      </c>
      <c r="Q324" s="25">
        <f t="array" aca="1" ref="Q324" ca="1">INDEX('Isaac 401k'!L:L,MATCH('Retirement Calculator'!A324,'Isaac 401k'!N:N,0),0)</f>
        <v>1750942.0396140595</v>
      </c>
      <c r="R324" s="25">
        <f t="array" aca="1" ref="R324" ca="1">INDEX('Lorri 401b'!L:L,MATCH('Retirement Calculator'!A324,'Lorri 401b'!N:N,0),0)</f>
        <v>3510933.3859435548</v>
      </c>
      <c r="S324" s="25">
        <f t="shared" ca="1" si="267"/>
        <v>5261875.4255576143</v>
      </c>
    </row>
    <row r="325" spans="1:19" ht="15.75" customHeight="1" x14ac:dyDescent="0.3">
      <c r="A325" s="37">
        <v>60845</v>
      </c>
      <c r="B325" s="398">
        <f t="shared" ref="B325:C325" si="326">($A325-B$9)/365.25</f>
        <v>84.706365503080079</v>
      </c>
      <c r="C325" s="398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3254.2644699519233</v>
      </c>
      <c r="H325" s="25">
        <f>IF(B325&lt;62,0,'Combined Retirement'!$I$14)</f>
        <v>2345</v>
      </c>
      <c r="I325" s="25">
        <f>IF(C325&lt;62,0,'Combined Retirement'!$I$13)</f>
        <v>2420</v>
      </c>
      <c r="J325" s="25">
        <f t="shared" si="263"/>
        <v>7896.2379798201846</v>
      </c>
      <c r="K325" s="25">
        <f t="shared" si="264"/>
        <v>20367.195264578786</v>
      </c>
      <c r="L325" s="25"/>
      <c r="N325" s="25">
        <f>'Combined Retirement'!$C$18/12</f>
        <v>39153.069999999992</v>
      </c>
      <c r="O325" s="25">
        <f t="shared" si="265"/>
        <v>10889.636755601023</v>
      </c>
      <c r="P325" s="25">
        <f t="shared" si="266"/>
        <v>28263.43324439897</v>
      </c>
      <c r="Q325" s="25">
        <f t="array" aca="1" ref="Q325" ca="1">INDEX('Isaac 401k'!L:L,MATCH('Retirement Calculator'!A325,'Isaac 401k'!N:N,0),0)</f>
        <v>1750308.4924743818</v>
      </c>
      <c r="R325" s="25">
        <f t="array" aca="1" ref="R325" ca="1">INDEX('Lorri 401b'!L:L,MATCH('Retirement Calculator'!A325,'Lorri 401b'!N:N,0),0)</f>
        <v>3505110.2164734718</v>
      </c>
      <c r="S325" s="25">
        <f t="shared" ca="1" si="267"/>
        <v>5255418.7089478541</v>
      </c>
    </row>
    <row r="326" spans="1:19" ht="15.75" customHeight="1" x14ac:dyDescent="0.3">
      <c r="A326" s="37">
        <v>60876</v>
      </c>
      <c r="B326" s="398">
        <f t="shared" ref="B326:C326" si="327">($A326-B$9)/365.25</f>
        <v>84.791238877481177</v>
      </c>
      <c r="C326" s="398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3254.2644699519233</v>
      </c>
      <c r="H326" s="25">
        <f>IF(B326&lt;62,0,'Combined Retirement'!$I$14)</f>
        <v>2345</v>
      </c>
      <c r="I326" s="25">
        <f>IF(C326&lt;62,0,'Combined Retirement'!$I$13)</f>
        <v>2420</v>
      </c>
      <c r="J326" s="25">
        <f t="shared" si="263"/>
        <v>7896.2379798201846</v>
      </c>
      <c r="K326" s="25">
        <f t="shared" si="264"/>
        <v>20367.195264578786</v>
      </c>
      <c r="L326" s="25"/>
      <c r="N326" s="25">
        <f>'Combined Retirement'!$C$18/12</f>
        <v>39153.069999999992</v>
      </c>
      <c r="O326" s="25">
        <f t="shared" si="265"/>
        <v>10889.636755601023</v>
      </c>
      <c r="P326" s="25">
        <f t="shared" si="266"/>
        <v>28263.43324439897</v>
      </c>
      <c r="Q326" s="25">
        <f t="array" aca="1" ref="Q326" ca="1">INDEX('Isaac 401k'!L:L,MATCH('Retirement Calculator'!A326,'Isaac 401k'!N:N,0),0)</f>
        <v>1749672.3055549555</v>
      </c>
      <c r="R326" s="25">
        <f t="array" aca="1" ref="R326" ca="1">INDEX('Lorri 401b'!L:L,MATCH('Retirement Calculator'!A326,'Lorri 401b'!N:N,0),0)</f>
        <v>3499262.7837972636</v>
      </c>
      <c r="S326" s="25">
        <f t="shared" ca="1" si="267"/>
        <v>5248935.0893522194</v>
      </c>
    </row>
    <row r="327" spans="1:19" ht="15.75" customHeight="1" x14ac:dyDescent="0.3">
      <c r="A327" s="37">
        <v>60906</v>
      </c>
      <c r="B327" s="398">
        <f t="shared" ref="B327:C327" si="328">($A327-B$9)/365.25</f>
        <v>84.873374401095134</v>
      </c>
      <c r="C327" s="398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3254.2644699519233</v>
      </c>
      <c r="H327" s="25">
        <f>IF(B327&lt;62,0,'Combined Retirement'!$I$14)</f>
        <v>2345</v>
      </c>
      <c r="I327" s="25">
        <f>IF(C327&lt;62,0,'Combined Retirement'!$I$13)</f>
        <v>2420</v>
      </c>
      <c r="J327" s="25">
        <f t="shared" si="263"/>
        <v>7896.2379798201846</v>
      </c>
      <c r="K327" s="25">
        <f t="shared" si="264"/>
        <v>20367.195264578786</v>
      </c>
      <c r="L327" s="25"/>
      <c r="N327" s="25">
        <f>'Combined Retirement'!$C$18/12</f>
        <v>39153.069999999992</v>
      </c>
      <c r="O327" s="25">
        <f t="shared" si="265"/>
        <v>10889.636755601023</v>
      </c>
      <c r="P327" s="25">
        <f t="shared" si="266"/>
        <v>28263.43324439897</v>
      </c>
      <c r="Q327" s="25">
        <f t="array" aca="1" ref="Q327" ca="1">INDEX('Isaac 401k'!L:L,MATCH('Retirement Calculator'!A327,'Isaac 401k'!N:N,0),0)</f>
        <v>1749033.4678566984</v>
      </c>
      <c r="R327" s="25">
        <f t="array" aca="1" ref="R327" ca="1">INDEX('Lorri 401b'!L:L,MATCH('Retirement Calculator'!A327,'Lorri 401b'!N:N,0),0)</f>
        <v>3493390.9868182377</v>
      </c>
      <c r="S327" s="25">
        <f t="shared" ca="1" si="267"/>
        <v>5242424.4546749359</v>
      </c>
    </row>
    <row r="328" spans="1:19" ht="15.75" customHeight="1" x14ac:dyDescent="0.3">
      <c r="A328" s="37">
        <v>60937</v>
      </c>
      <c r="B328" s="398">
        <f t="shared" ref="B328:C328" si="329">($A328-B$9)/365.25</f>
        <v>84.958247775496233</v>
      </c>
      <c r="C328" s="398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3254.2644699519233</v>
      </c>
      <c r="H328" s="25">
        <f>IF(B328&lt;62,0,'Combined Retirement'!$I$14)</f>
        <v>2345</v>
      </c>
      <c r="I328" s="25">
        <f>IF(C328&lt;62,0,'Combined Retirement'!$I$13)</f>
        <v>2420</v>
      </c>
      <c r="J328" s="25">
        <f t="shared" si="263"/>
        <v>7896.2379798201846</v>
      </c>
      <c r="K328" s="25">
        <f t="shared" si="264"/>
        <v>20367.195264578786</v>
      </c>
      <c r="L328" s="25"/>
      <c r="N328" s="25">
        <f>'Combined Retirement'!$C$18/12</f>
        <v>39153.069999999992</v>
      </c>
      <c r="O328" s="25">
        <f t="shared" si="265"/>
        <v>10889.636755601023</v>
      </c>
      <c r="P328" s="25">
        <f t="shared" si="266"/>
        <v>28263.43324439897</v>
      </c>
      <c r="Q328" s="25">
        <f t="array" aca="1" ref="Q328" ca="1">INDEX('Isaac 401k'!L:L,MATCH('Retirement Calculator'!A328,'Isaac 401k'!N:N,0),0)</f>
        <v>1748391.9683346986</v>
      </c>
      <c r="R328" s="25">
        <f t="array" aca="1" ref="R328" ca="1">INDEX('Lorri 401b'!L:L,MATCH('Retirement Calculator'!A328,'Lorri 401b'!N:N,0),0)</f>
        <v>3487494.7240184657</v>
      </c>
      <c r="S328" s="25">
        <f t="shared" ca="1" si="267"/>
        <v>5235886.6923531648</v>
      </c>
    </row>
    <row r="329" spans="1:19" ht="15.75" customHeight="1" x14ac:dyDescent="0.3">
      <c r="A329" s="37">
        <v>60967</v>
      </c>
      <c r="B329" s="398">
        <f t="shared" ref="B329:C329" si="330">($A329-B$9)/365.25</f>
        <v>85.040383299110204</v>
      </c>
      <c r="C329" s="398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3254.2644699519233</v>
      </c>
      <c r="H329" s="25">
        <f>IF(B329&lt;62,0,'Combined Retirement'!$I$14)</f>
        <v>2345</v>
      </c>
      <c r="I329" s="25">
        <f>IF(C329&lt;62,0,'Combined Retirement'!$I$13)</f>
        <v>2420</v>
      </c>
      <c r="J329" s="25">
        <f t="shared" si="263"/>
        <v>7896.2379798201846</v>
      </c>
      <c r="K329" s="25">
        <f t="shared" si="264"/>
        <v>20367.195264578786</v>
      </c>
      <c r="L329" s="25"/>
      <c r="N329" s="25">
        <f>'Combined Retirement'!$C$18/12</f>
        <v>39153.069999999992</v>
      </c>
      <c r="O329" s="25">
        <f t="shared" si="265"/>
        <v>10889.636755601023</v>
      </c>
      <c r="P329" s="25">
        <f t="shared" si="266"/>
        <v>28263.43324439897</v>
      </c>
      <c r="Q329" s="25">
        <f t="array" aca="1" ref="Q329" ca="1">INDEX('Isaac 401k'!L:L,MATCH('Retirement Calculator'!A329,'Isaac 401k'!N:N,0),0)</f>
        <v>1747747.7958980238</v>
      </c>
      <c r="R329" s="25">
        <f t="array" aca="1" ref="R329" ca="1">INDEX('Lorri 401b'!L:L,MATCH('Retirement Calculator'!A329,'Lorri 401b'!N:N,0),0)</f>
        <v>3481573.8934570281</v>
      </c>
      <c r="S329" s="25">
        <f t="shared" ca="1" si="267"/>
        <v>5229321.6893550521</v>
      </c>
    </row>
    <row r="330" spans="1:19" ht="15.75" customHeight="1" x14ac:dyDescent="0.3">
      <c r="A330" s="37">
        <v>60998</v>
      </c>
      <c r="B330" s="398">
        <f t="shared" ref="B330:C330" si="331">($A330-B$9)/365.25</f>
        <v>85.125256673511288</v>
      </c>
      <c r="C330" s="398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3254.2644699519233</v>
      </c>
      <c r="H330" s="25">
        <f>IF(B330&lt;62,0,'Combined Retirement'!$I$14)</f>
        <v>2345</v>
      </c>
      <c r="I330" s="25">
        <f>IF(C330&lt;62,0,'Combined Retirement'!$I$13)</f>
        <v>2420</v>
      </c>
      <c r="J330" s="25">
        <f t="shared" si="263"/>
        <v>7896.2379798201846</v>
      </c>
      <c r="K330" s="25">
        <f t="shared" si="264"/>
        <v>20367.195264578786</v>
      </c>
      <c r="L330" s="25"/>
      <c r="N330" s="25">
        <f>'Combined Retirement'!$C$18/12</f>
        <v>39153.069999999992</v>
      </c>
      <c r="O330" s="25">
        <f t="shared" si="265"/>
        <v>10889.636755601023</v>
      </c>
      <c r="P330" s="25">
        <f t="shared" si="266"/>
        <v>28263.43324439897</v>
      </c>
      <c r="Q330" s="25">
        <f t="array" aca="1" ref="Q330" ca="1">INDEX('Isaac 401k'!L:L,MATCH('Retirement Calculator'!A330,'Isaac 401k'!N:N,0),0)</f>
        <v>1747100.9394095293</v>
      </c>
      <c r="R330" s="25">
        <f t="array" aca="1" ref="R330" ca="1">INDEX('Lorri 401b'!L:L,MATCH('Retirement Calculator'!A330,'Lorri 401b'!N:N,0),0)</f>
        <v>3475628.3927682512</v>
      </c>
      <c r="S330" s="25">
        <f t="shared" ca="1" si="267"/>
        <v>5222729.3321777806</v>
      </c>
    </row>
    <row r="331" spans="1:19" ht="15.75" customHeight="1" x14ac:dyDescent="0.3">
      <c r="A331" s="37">
        <v>61029</v>
      </c>
      <c r="B331" s="398">
        <f t="shared" ref="B331:C331" si="332">($A331-B$9)/365.25</f>
        <v>85.210130047912386</v>
      </c>
      <c r="C331" s="398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3254.2644699519233</v>
      </c>
      <c r="H331" s="25">
        <f>IF(B331&lt;62,0,'Combined Retirement'!$I$14)</f>
        <v>2345</v>
      </c>
      <c r="I331" s="25">
        <f>IF(C331&lt;62,0,'Combined Retirement'!$I$13)</f>
        <v>2420</v>
      </c>
      <c r="J331" s="25">
        <f t="shared" si="263"/>
        <v>7896.2379798201846</v>
      </c>
      <c r="K331" s="25">
        <f t="shared" si="264"/>
        <v>20367.195264578786</v>
      </c>
      <c r="L331" s="25"/>
      <c r="N331" s="25">
        <f>'Combined Retirement'!$C$18/12</f>
        <v>39153.069999999992</v>
      </c>
      <c r="O331" s="25">
        <f t="shared" si="265"/>
        <v>10889.636755601023</v>
      </c>
      <c r="P331" s="25">
        <f t="shared" si="266"/>
        <v>28263.43324439897</v>
      </c>
      <c r="Q331" s="25">
        <f t="array" aca="1" ref="Q331" ca="1">INDEX('Isaac 401k'!L:L,MATCH('Retirement Calculator'!A331,'Isaac 401k'!N:N,0),0)</f>
        <v>1746451.3876856663</v>
      </c>
      <c r="R331" s="25">
        <f t="array" aca="1" ref="R331" ca="1">INDEX('Lorri 401b'!L:L,MATCH('Retirement Calculator'!A331,'Lorri 401b'!N:N,0),0)</f>
        <v>3469658.1191599378</v>
      </c>
      <c r="S331" s="25">
        <f t="shared" ca="1" si="267"/>
        <v>5216109.5068456046</v>
      </c>
    </row>
    <row r="332" spans="1:19" ht="15.75" customHeight="1" x14ac:dyDescent="0.3">
      <c r="A332" s="37">
        <v>61057</v>
      </c>
      <c r="B332" s="398">
        <f t="shared" ref="B332:C332" si="333">($A332-B$9)/365.25</f>
        <v>85.286789869952088</v>
      </c>
      <c r="C332" s="398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3254.2644699519233</v>
      </c>
      <c r="H332" s="25">
        <f>IF(B332&lt;62,0,'Combined Retirement'!$I$14)</f>
        <v>2345</v>
      </c>
      <c r="I332" s="25">
        <f>IF(C332&lt;62,0,'Combined Retirement'!$I$13)</f>
        <v>2420</v>
      </c>
      <c r="J332" s="25">
        <f t="shared" si="263"/>
        <v>7896.2379798201846</v>
      </c>
      <c r="K332" s="25">
        <f t="shared" si="264"/>
        <v>20367.195264578786</v>
      </c>
      <c r="L332" s="25"/>
      <c r="N332" s="25">
        <f>'Combined Retirement'!$C$18/12</f>
        <v>39153.069999999992</v>
      </c>
      <c r="O332" s="25">
        <f t="shared" si="265"/>
        <v>10889.636755601023</v>
      </c>
      <c r="P332" s="25">
        <f t="shared" si="266"/>
        <v>28263.43324439897</v>
      </c>
      <c r="Q332" s="25">
        <f t="array" aca="1" ref="Q332" ca="1">INDEX('Isaac 401k'!L:L,MATCH('Retirement Calculator'!A332,'Isaac 401k'!N:N,0),0)</f>
        <v>1745799.1294962871</v>
      </c>
      <c r="R332" s="25">
        <f t="array" aca="1" ref="R332" ca="1">INDEX('Lorri 401b'!L:L,MATCH('Retirement Calculator'!A332,'Lorri 401b'!N:N,0),0)</f>
        <v>3463662.9694115897</v>
      </c>
      <c r="S332" s="25">
        <f t="shared" ca="1" si="267"/>
        <v>5209462.0989078768</v>
      </c>
    </row>
    <row r="333" spans="1:19" ht="15.75" customHeight="1" x14ac:dyDescent="0.3">
      <c r="A333" s="37">
        <v>61088</v>
      </c>
      <c r="B333" s="398">
        <f t="shared" ref="B333:C333" si="334">($A333-B$9)/365.25</f>
        <v>85.371663244353186</v>
      </c>
      <c r="C333" s="398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3254.2644699519233</v>
      </c>
      <c r="H333" s="25">
        <f>IF(B333&lt;62,0,'Combined Retirement'!$I$14)</f>
        <v>2345</v>
      </c>
      <c r="I333" s="25">
        <f>IF(C333&lt;62,0,'Combined Retirement'!$I$13)</f>
        <v>2420</v>
      </c>
      <c r="J333" s="25">
        <f t="shared" si="263"/>
        <v>7896.2379798201846</v>
      </c>
      <c r="K333" s="25">
        <f t="shared" si="264"/>
        <v>20367.195264578786</v>
      </c>
      <c r="L333" s="25"/>
      <c r="N333" s="25">
        <f>'Combined Retirement'!$C$18/12</f>
        <v>39153.069999999992</v>
      </c>
      <c r="O333" s="25">
        <f t="shared" si="265"/>
        <v>10889.636755601023</v>
      </c>
      <c r="P333" s="25">
        <f t="shared" si="266"/>
        <v>28263.43324439897</v>
      </c>
      <c r="Q333" s="25">
        <f t="array" aca="1" ref="Q333" ca="1">INDEX('Isaac 401k'!L:L,MATCH('Retirement Calculator'!A333,'Isaac 401k'!N:N,0),0)</f>
        <v>1745144.1535644522</v>
      </c>
      <c r="R333" s="25">
        <f t="array" aca="1" ref="R333" ca="1">INDEX('Lorri 401b'!L:L,MATCH('Retirement Calculator'!A333,'Lorri 401b'!N:N,0),0)</f>
        <v>3457642.8398726233</v>
      </c>
      <c r="S333" s="25">
        <f t="shared" ca="1" si="267"/>
        <v>5202786.993437076</v>
      </c>
    </row>
    <row r="334" spans="1:19" ht="15.75" customHeight="1" x14ac:dyDescent="0.3">
      <c r="A334" s="37">
        <v>61118</v>
      </c>
      <c r="B334" s="398">
        <f t="shared" ref="B334:C334" si="335">($A334-B$9)/365.25</f>
        <v>85.453798767967143</v>
      </c>
      <c r="C334" s="398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3254.2644699519233</v>
      </c>
      <c r="H334" s="25">
        <f>IF(B334&lt;62,0,'Combined Retirement'!$I$14)</f>
        <v>2345</v>
      </c>
      <c r="I334" s="25">
        <f>IF(C334&lt;62,0,'Combined Retirement'!$I$13)</f>
        <v>2420</v>
      </c>
      <c r="J334" s="25">
        <f t="shared" si="263"/>
        <v>7896.2379798201846</v>
      </c>
      <c r="K334" s="25">
        <f t="shared" si="264"/>
        <v>20367.195264578786</v>
      </c>
      <c r="L334" s="25"/>
      <c r="N334" s="25">
        <f>'Combined Retirement'!$C$18/12</f>
        <v>39153.069999999992</v>
      </c>
      <c r="O334" s="25">
        <f t="shared" si="265"/>
        <v>10889.636755601023</v>
      </c>
      <c r="P334" s="25">
        <f t="shared" si="266"/>
        <v>28263.43324439897</v>
      </c>
      <c r="Q334" s="25">
        <f t="array" aca="1" ref="Q334" ca="1">INDEX('Isaac 401k'!L:L,MATCH('Retirement Calculator'!A334,'Isaac 401k'!N:N,0),0)</f>
        <v>1744486.4485662347</v>
      </c>
      <c r="R334" s="25">
        <f t="array" aca="1" ref="R334" ca="1">INDEX('Lorri 401b'!L:L,MATCH('Retirement Calculator'!A334,'Lorri 401b'!N:N,0),0)</f>
        <v>3451597.6264605778</v>
      </c>
      <c r="S334" s="25">
        <f t="shared" ca="1" si="267"/>
        <v>5196084.075026812</v>
      </c>
    </row>
    <row r="335" spans="1:19" ht="15.75" customHeight="1" x14ac:dyDescent="0.3">
      <c r="A335" s="37">
        <v>61149</v>
      </c>
      <c r="B335" s="398">
        <f t="shared" ref="B335:C335" si="336">($A335-B$9)/365.25</f>
        <v>85.538672142368242</v>
      </c>
      <c r="C335" s="398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3254.2644699519233</v>
      </c>
      <c r="H335" s="25">
        <f>IF(B335&lt;62,0,'Combined Retirement'!$I$14)</f>
        <v>2345</v>
      </c>
      <c r="I335" s="25">
        <f>IF(C335&lt;62,0,'Combined Retirement'!$I$13)</f>
        <v>2420</v>
      </c>
      <c r="J335" s="25">
        <f t="shared" si="263"/>
        <v>7896.2379798201846</v>
      </c>
      <c r="K335" s="25">
        <f t="shared" si="264"/>
        <v>20367.195264578786</v>
      </c>
      <c r="L335" s="25"/>
      <c r="N335" s="25">
        <f>'Combined Retirement'!$C$18/12</f>
        <v>39153.069999999992</v>
      </c>
      <c r="O335" s="25">
        <f t="shared" si="265"/>
        <v>10889.636755601023</v>
      </c>
      <c r="P335" s="25">
        <f t="shared" si="266"/>
        <v>28263.43324439897</v>
      </c>
      <c r="Q335" s="25">
        <f t="array" aca="1" ref="Q335" ca="1">INDEX('Isaac 401k'!L:L,MATCH('Retirement Calculator'!A335,'Isaac 401k'!N:N,0),0)</f>
        <v>1743826.0031305244</v>
      </c>
      <c r="R335" s="25">
        <f t="array" aca="1" ref="R335" ca="1">INDEX('Lorri 401b'!L:L,MATCH('Retirement Calculator'!A335,'Lorri 401b'!N:N,0),0)</f>
        <v>3445527.2246593158</v>
      </c>
      <c r="S335" s="25">
        <f t="shared" ca="1" si="267"/>
        <v>5189353.2277898397</v>
      </c>
    </row>
    <row r="336" spans="1:19" ht="15.75" customHeight="1" x14ac:dyDescent="0.3">
      <c r="A336" s="37">
        <v>61179</v>
      </c>
      <c r="B336" s="398">
        <f t="shared" ref="B336:C336" si="337">($A336-B$9)/365.25</f>
        <v>85.620807665982198</v>
      </c>
      <c r="C336" s="398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3254.2644699519233</v>
      </c>
      <c r="H336" s="25">
        <f>IF(B336&lt;62,0,'Combined Retirement'!$I$14)</f>
        <v>2345</v>
      </c>
      <c r="I336" s="25">
        <f>IF(C336&lt;62,0,'Combined Retirement'!$I$13)</f>
        <v>2420</v>
      </c>
      <c r="J336" s="25">
        <f t="shared" si="263"/>
        <v>7896.2379798201846</v>
      </c>
      <c r="K336" s="25">
        <f t="shared" si="264"/>
        <v>20367.195264578786</v>
      </c>
      <c r="L336" s="25"/>
      <c r="N336" s="25">
        <f>'Combined Retirement'!$C$18/12</f>
        <v>39153.069999999992</v>
      </c>
      <c r="O336" s="25">
        <f t="shared" si="265"/>
        <v>10889.636755601023</v>
      </c>
      <c r="P336" s="25">
        <f t="shared" si="266"/>
        <v>28263.43324439897</v>
      </c>
      <c r="Q336" s="25">
        <f t="array" aca="1" ref="Q336" ca="1">INDEX('Isaac 401k'!L:L,MATCH('Retirement Calculator'!A336,'Isaac 401k'!N:N,0),0)</f>
        <v>1743162.8058388322</v>
      </c>
      <c r="R336" s="25">
        <f t="array" aca="1" ref="R336" ca="1">INDEX('Lorri 401b'!L:L,MATCH('Retirement Calculator'!A336,'Lorri 401b'!N:N,0),0)</f>
        <v>3439431.5295172152</v>
      </c>
      <c r="S336" s="25">
        <f t="shared" ca="1" si="267"/>
        <v>5182594.3353560474</v>
      </c>
    </row>
    <row r="337" spans="1:19" ht="15.75" customHeight="1" x14ac:dyDescent="0.3">
      <c r="A337" s="37">
        <v>61210</v>
      </c>
      <c r="B337" s="398">
        <f t="shared" ref="B337:C337" si="338">($A337-B$9)/365.25</f>
        <v>85.705681040383297</v>
      </c>
      <c r="C337" s="398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3254.2644699519233</v>
      </c>
      <c r="H337" s="25">
        <f>IF(B337&lt;62,0,'Combined Retirement'!$I$14)</f>
        <v>2345</v>
      </c>
      <c r="I337" s="25">
        <f>IF(C337&lt;62,0,'Combined Retirement'!$I$13)</f>
        <v>2420</v>
      </c>
      <c r="J337" s="25">
        <f t="shared" si="263"/>
        <v>7896.2379798201846</v>
      </c>
      <c r="K337" s="25">
        <f t="shared" si="264"/>
        <v>20367.195264578786</v>
      </c>
      <c r="L337" s="25"/>
      <c r="N337" s="25">
        <f>'Combined Retirement'!$C$18/12</f>
        <v>39153.069999999992</v>
      </c>
      <c r="O337" s="25">
        <f t="shared" si="265"/>
        <v>10889.636755601023</v>
      </c>
      <c r="P337" s="25">
        <f t="shared" si="266"/>
        <v>28263.43324439897</v>
      </c>
      <c r="Q337" s="25">
        <f t="array" aca="1" ref="Q337" ca="1">INDEX('Isaac 401k'!L:L,MATCH('Retirement Calculator'!A337,'Isaac 401k'!N:N,0),0)</f>
        <v>1742496.8452250911</v>
      </c>
      <c r="R337" s="25">
        <f t="array" aca="1" ref="R337" ca="1">INDEX('Lorri 401b'!L:L,MATCH('Retirement Calculator'!A337,'Lorri 401b'!N:N,0),0)</f>
        <v>3433310.4356453558</v>
      </c>
      <c r="S337" s="25">
        <f t="shared" ca="1" si="267"/>
        <v>5175807.2808704469</v>
      </c>
    </row>
    <row r="338" spans="1:19" ht="15.75" customHeight="1" x14ac:dyDescent="0.3">
      <c r="A338" s="37">
        <v>61241</v>
      </c>
      <c r="B338" s="398">
        <f t="shared" ref="B338:C338" si="339">($A338-B$9)/365.25</f>
        <v>85.790554414784395</v>
      </c>
      <c r="C338" s="398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3254.2644699519233</v>
      </c>
      <c r="H338" s="25">
        <f>IF(B338&lt;62,0,'Combined Retirement'!$I$14)</f>
        <v>2345</v>
      </c>
      <c r="I338" s="25">
        <f>IF(C338&lt;62,0,'Combined Retirement'!$I$13)</f>
        <v>2420</v>
      </c>
      <c r="J338" s="25">
        <f t="shared" si="263"/>
        <v>7896.2379798201846</v>
      </c>
      <c r="K338" s="25">
        <f t="shared" si="264"/>
        <v>20367.195264578786</v>
      </c>
      <c r="L338" s="25"/>
      <c r="N338" s="25">
        <f>'Combined Retirement'!$C$18/12</f>
        <v>39153.069999999992</v>
      </c>
      <c r="O338" s="25">
        <f t="shared" si="265"/>
        <v>10889.636755601023</v>
      </c>
      <c r="P338" s="25">
        <f t="shared" si="266"/>
        <v>28263.43324439897</v>
      </c>
      <c r="Q338" s="25">
        <f t="array" aca="1" ref="Q338" ca="1">INDEX('Isaac 401k'!L:L,MATCH('Retirement Calculator'!A338,'Isaac 401k'!N:N,0),0)</f>
        <v>1741828.1097754594</v>
      </c>
      <c r="R338" s="25">
        <f t="array" aca="1" ref="R338" ca="1">INDEX('Lorri 401b'!L:L,MATCH('Retirement Calculator'!A338,'Lorri 401b'!N:N,0),0)</f>
        <v>3427163.8372156969</v>
      </c>
      <c r="S338" s="25">
        <f t="shared" ca="1" si="267"/>
        <v>5168991.9469911568</v>
      </c>
    </row>
    <row r="339" spans="1:19" ht="15.75" customHeight="1" x14ac:dyDescent="0.3">
      <c r="A339" s="37">
        <v>61271</v>
      </c>
      <c r="B339" s="398">
        <f t="shared" ref="B339:C339" si="340">($A339-B$9)/365.25</f>
        <v>85.872689938398352</v>
      </c>
      <c r="C339" s="398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3254.2644699519233</v>
      </c>
      <c r="H339" s="25">
        <f>IF(B339&lt;62,0,'Combined Retirement'!$I$14)</f>
        <v>2345</v>
      </c>
      <c r="I339" s="25">
        <f>IF(C339&lt;62,0,'Combined Retirement'!$I$13)</f>
        <v>2420</v>
      </c>
      <c r="J339" s="25">
        <f t="shared" si="263"/>
        <v>7896.2379798201846</v>
      </c>
      <c r="K339" s="25">
        <f t="shared" si="264"/>
        <v>20367.195264578786</v>
      </c>
      <c r="L339" s="25"/>
      <c r="N339" s="25">
        <f>'Combined Retirement'!$C$18/12</f>
        <v>39153.069999999992</v>
      </c>
      <c r="O339" s="25">
        <f t="shared" si="265"/>
        <v>10889.636755601023</v>
      </c>
      <c r="P339" s="25">
        <f t="shared" si="266"/>
        <v>28263.43324439897</v>
      </c>
      <c r="Q339" s="25">
        <f t="array" aca="1" ref="Q339" ca="1">INDEX('Isaac 401k'!L:L,MATCH('Retirement Calculator'!A339,'Isaac 401k'!N:N,0),0)</f>
        <v>1741156.587928121</v>
      </c>
      <c r="R339" s="25">
        <f t="array" aca="1" ref="R339" ca="1">INDEX('Lorri 401b'!L:L,MATCH('Retirement Calculator'!A339,'Lorri 401b'!N:N,0),0)</f>
        <v>3420991.6279592477</v>
      </c>
      <c r="S339" s="25">
        <f t="shared" ca="1" si="267"/>
        <v>5162148.2158873687</v>
      </c>
    </row>
    <row r="340" spans="1:19" ht="15.75" customHeight="1" x14ac:dyDescent="0.3">
      <c r="A340" s="37">
        <v>61302</v>
      </c>
      <c r="B340" s="398">
        <f t="shared" ref="B340:C340" si="341">($A340-B$9)/365.25</f>
        <v>85.957563312799451</v>
      </c>
      <c r="C340" s="398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3254.2644699519233</v>
      </c>
      <c r="H340" s="25">
        <f>IF(B340&lt;62,0,'Combined Retirement'!$I$14)</f>
        <v>2345</v>
      </c>
      <c r="I340" s="25">
        <f>IF(C340&lt;62,0,'Combined Retirement'!$I$13)</f>
        <v>2420</v>
      </c>
      <c r="J340" s="25">
        <f t="shared" si="263"/>
        <v>7896.2379798201846</v>
      </c>
      <c r="K340" s="25">
        <f t="shared" si="264"/>
        <v>20367.195264578786</v>
      </c>
      <c r="L340" s="25"/>
      <c r="N340" s="25">
        <f>'Combined Retirement'!$C$18/12</f>
        <v>39153.069999999992</v>
      </c>
      <c r="O340" s="25">
        <f t="shared" si="265"/>
        <v>10889.636755601023</v>
      </c>
      <c r="P340" s="25">
        <f t="shared" si="266"/>
        <v>28263.43324439897</v>
      </c>
      <c r="Q340" s="25">
        <f t="array" aca="1" ref="Q340" ca="1">INDEX('Isaac 401k'!L:L,MATCH('Retirement Calculator'!A340,'Isaac 401k'!N:N,0),0)</f>
        <v>1740482.2680730852</v>
      </c>
      <c r="R340" s="25">
        <f t="array" aca="1" ref="R340" ca="1">INDEX('Lorri 401b'!L:L,MATCH('Retirement Calculator'!A340,'Lorri 401b'!N:N,0),0)</f>
        <v>3414793.7011642298</v>
      </c>
      <c r="S340" s="25">
        <f t="shared" ca="1" si="267"/>
        <v>5155275.9692373145</v>
      </c>
    </row>
    <row r="341" spans="1:19" ht="15.75" customHeight="1" x14ac:dyDescent="0.3">
      <c r="A341" s="37">
        <v>61332</v>
      </c>
      <c r="B341" s="398">
        <f t="shared" ref="B341:C341" si="342">($A341-B$9)/365.25</f>
        <v>86.039698836413422</v>
      </c>
      <c r="C341" s="398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3254.2644699519233</v>
      </c>
      <c r="H341" s="25">
        <f>IF(B341&lt;62,0,'Combined Retirement'!$I$14)</f>
        <v>2345</v>
      </c>
      <c r="I341" s="25">
        <f>IF(C341&lt;62,0,'Combined Retirement'!$I$13)</f>
        <v>2420</v>
      </c>
      <c r="J341" s="25">
        <f t="shared" si="263"/>
        <v>7896.2379798201846</v>
      </c>
      <c r="K341" s="25">
        <f t="shared" si="264"/>
        <v>20367.195264578786</v>
      </c>
      <c r="L341" s="25"/>
      <c r="N341" s="25">
        <f>'Combined Retirement'!$C$18/12</f>
        <v>39153.069999999992</v>
      </c>
      <c r="O341" s="25">
        <f t="shared" si="265"/>
        <v>10889.636755601023</v>
      </c>
      <c r="P341" s="25">
        <f t="shared" si="266"/>
        <v>28263.43324439897</v>
      </c>
      <c r="Q341" s="25">
        <f t="array" aca="1" ref="Q341" ca="1">INDEX('Isaac 401k'!L:L,MATCH('Retirement Calculator'!A341,'Isaac 401k'!N:N,0),0)</f>
        <v>1739805.138551987</v>
      </c>
      <c r="R341" s="25">
        <f t="array" aca="1" ref="R341" ca="1">INDEX('Lorri 401b'!L:L,MATCH('Retirement Calculator'!A341,'Lorri 401b'!N:N,0),0)</f>
        <v>3408569.9496742329</v>
      </c>
      <c r="S341" s="25">
        <f t="shared" ca="1" si="267"/>
        <v>5148375.0882262196</v>
      </c>
    </row>
    <row r="342" spans="1:19" ht="15.75" customHeight="1" x14ac:dyDescent="0.3">
      <c r="A342" s="37">
        <v>61363</v>
      </c>
      <c r="B342" s="398">
        <f t="shared" ref="B342:C342" si="343">($A342-B$9)/365.25</f>
        <v>86.124572210814506</v>
      </c>
      <c r="C342" s="398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3254.2644699519233</v>
      </c>
      <c r="H342" s="25">
        <f>IF(B342&lt;62,0,'Combined Retirement'!$I$14)</f>
        <v>2345</v>
      </c>
      <c r="I342" s="25">
        <f>IF(C342&lt;62,0,'Combined Retirement'!$I$13)</f>
        <v>2420</v>
      </c>
      <c r="J342" s="25">
        <f t="shared" si="263"/>
        <v>7896.2379798201846</v>
      </c>
      <c r="K342" s="25">
        <f t="shared" si="264"/>
        <v>20367.195264578786</v>
      </c>
      <c r="L342" s="25"/>
      <c r="N342" s="25">
        <f>'Combined Retirement'!$C$18/12</f>
        <v>39153.069999999992</v>
      </c>
      <c r="O342" s="25">
        <f t="shared" si="265"/>
        <v>10889.636755601023</v>
      </c>
      <c r="P342" s="25">
        <f t="shared" si="266"/>
        <v>28263.43324439897</v>
      </c>
      <c r="Q342" s="25">
        <f t="array" aca="1" ref="Q342" ca="1">INDEX('Isaac 401k'!L:L,MATCH('Retirement Calculator'!A342,'Isaac 401k'!N:N,0),0)</f>
        <v>1739125.1876578841</v>
      </c>
      <c r="R342" s="25">
        <f t="array" aca="1" ref="R342" ca="1">INDEX('Lorri 401b'!L:L,MATCH('Retirement Calculator'!A342,'Lorri 401b'!N:N,0),0)</f>
        <v>3402320.2658863608</v>
      </c>
      <c r="S342" s="25">
        <f t="shared" ca="1" si="267"/>
        <v>5141445.4535442451</v>
      </c>
    </row>
    <row r="343" spans="1:19" ht="15.75" customHeight="1" x14ac:dyDescent="0.3">
      <c r="A343" s="37">
        <v>61394</v>
      </c>
      <c r="B343" s="398">
        <f t="shared" ref="B343:C343" si="344">($A343-B$9)/365.25</f>
        <v>86.209445585215605</v>
      </c>
      <c r="C343" s="398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3254.2644699519233</v>
      </c>
      <c r="H343" s="25">
        <f>IF(B343&lt;62,0,'Combined Retirement'!$I$14)</f>
        <v>2345</v>
      </c>
      <c r="I343" s="25">
        <f>IF(C343&lt;62,0,'Combined Retirement'!$I$13)</f>
        <v>2420</v>
      </c>
      <c r="J343" s="25">
        <f t="shared" si="263"/>
        <v>7896.2379798201846</v>
      </c>
      <c r="K343" s="25">
        <f t="shared" si="264"/>
        <v>20367.195264578786</v>
      </c>
      <c r="L343" s="25"/>
      <c r="N343" s="25">
        <f>'Combined Retirement'!$C$18/12</f>
        <v>39153.069999999992</v>
      </c>
      <c r="O343" s="25">
        <f t="shared" si="265"/>
        <v>10889.636755601023</v>
      </c>
      <c r="P343" s="25">
        <f t="shared" si="266"/>
        <v>28263.43324439897</v>
      </c>
      <c r="Q343" s="25">
        <f t="array" aca="1" ref="Q343" ca="1">INDEX('Isaac 401k'!L:L,MATCH('Retirement Calculator'!A343,'Isaac 401k'!N:N,0),0)</f>
        <v>1738442.4036350558</v>
      </c>
      <c r="R343" s="25">
        <f t="array" aca="1" ref="R343" ca="1">INDEX('Lorri 401b'!L:L,MATCH('Retirement Calculator'!A343,'Lorri 401b'!N:N,0),0)</f>
        <v>3396044.5417493726</v>
      </c>
      <c r="S343" s="25">
        <f t="shared" ca="1" si="267"/>
        <v>5134486.9453844279</v>
      </c>
    </row>
    <row r="344" spans="1:19" ht="15.75" customHeight="1" x14ac:dyDescent="0.3">
      <c r="A344" s="37">
        <v>61423</v>
      </c>
      <c r="B344" s="398">
        <f t="shared" ref="B344:C344" si="345">($A344-B$9)/365.25</f>
        <v>86.288843258042434</v>
      </c>
      <c r="C344" s="398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3254.2644699519233</v>
      </c>
      <c r="H344" s="25">
        <f>IF(B344&lt;62,0,'Combined Retirement'!$I$14)</f>
        <v>2345</v>
      </c>
      <c r="I344" s="25">
        <f>IF(C344&lt;62,0,'Combined Retirement'!$I$13)</f>
        <v>2420</v>
      </c>
      <c r="J344" s="25">
        <f t="shared" si="263"/>
        <v>7896.2379798201846</v>
      </c>
      <c r="K344" s="25">
        <f t="shared" si="264"/>
        <v>20367.195264578786</v>
      </c>
      <c r="L344" s="25"/>
      <c r="N344" s="25">
        <f>'Combined Retirement'!$C$18/12</f>
        <v>39153.069999999992</v>
      </c>
      <c r="O344" s="25">
        <f t="shared" si="265"/>
        <v>10889.636755601023</v>
      </c>
      <c r="P344" s="25">
        <f t="shared" si="266"/>
        <v>28263.43324439897</v>
      </c>
      <c r="Q344" s="25">
        <f t="array" aca="1" ref="Q344" ca="1">INDEX('Isaac 401k'!L:L,MATCH('Retirement Calculator'!A344,'Isaac 401k'!N:N,0),0)</f>
        <v>1737756.7746787991</v>
      </c>
      <c r="R344" s="25">
        <f t="array" aca="1" ref="R344" ca="1">INDEX('Lorri 401b'!L:L,MATCH('Retirement Calculator'!A344,'Lorri 401b'!N:N,0),0)</f>
        <v>3389742.668761814</v>
      </c>
      <c r="S344" s="25">
        <f t="shared" ca="1" si="267"/>
        <v>5127499.4434406133</v>
      </c>
    </row>
    <row r="345" spans="1:19" ht="15.75" customHeight="1" x14ac:dyDescent="0.3">
      <c r="A345" s="37">
        <v>61454</v>
      </c>
      <c r="B345" s="398">
        <f t="shared" ref="B345:C345" si="346">($A345-B$9)/365.25</f>
        <v>86.373716632443532</v>
      </c>
      <c r="C345" s="398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3254.2644699519233</v>
      </c>
      <c r="H345" s="25">
        <f>IF(B345&lt;62,0,'Combined Retirement'!$I$14)</f>
        <v>2345</v>
      </c>
      <c r="I345" s="25">
        <f>IF(C345&lt;62,0,'Combined Retirement'!$I$13)</f>
        <v>2420</v>
      </c>
      <c r="J345" s="25">
        <f t="shared" si="263"/>
        <v>7896.2379798201846</v>
      </c>
      <c r="K345" s="25">
        <f t="shared" si="264"/>
        <v>20367.195264578786</v>
      </c>
      <c r="L345" s="25"/>
      <c r="N345" s="25">
        <f>'Combined Retirement'!$C$18/12</f>
        <v>39153.069999999992</v>
      </c>
      <c r="O345" s="25">
        <f t="shared" si="265"/>
        <v>10889.636755601023</v>
      </c>
      <c r="P345" s="25">
        <f t="shared" si="266"/>
        <v>28263.43324439897</v>
      </c>
      <c r="Q345" s="25">
        <f t="array" aca="1" ref="Q345" ca="1">INDEX('Isaac 401k'!L:L,MATCH('Retirement Calculator'!A345,'Isaac 401k'!N:N,0),0)</f>
        <v>1737068.2889352245</v>
      </c>
      <c r="R345" s="25">
        <f t="array" aca="1" ref="R345" ca="1">INDEX('Lorri 401b'!L:L,MATCH('Retirement Calculator'!A345,'Lorri 401b'!N:N,0),0)</f>
        <v>3383414.5379701406</v>
      </c>
      <c r="S345" s="25">
        <f t="shared" ca="1" si="267"/>
        <v>5120482.8269053651</v>
      </c>
    </row>
    <row r="346" spans="1:19" ht="15.75" customHeight="1" x14ac:dyDescent="0.3">
      <c r="A346" s="37">
        <v>61484</v>
      </c>
      <c r="B346" s="398">
        <f t="shared" ref="B346:C346" si="347">($A346-B$9)/365.25</f>
        <v>86.455852156057489</v>
      </c>
      <c r="C346" s="398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3254.2644699519233</v>
      </c>
      <c r="H346" s="25">
        <f>IF(B346&lt;62,0,'Combined Retirement'!$I$14)</f>
        <v>2345</v>
      </c>
      <c r="I346" s="25">
        <f>IF(C346&lt;62,0,'Combined Retirement'!$I$13)</f>
        <v>2420</v>
      </c>
      <c r="J346" s="25">
        <f t="shared" si="263"/>
        <v>7896.2379798201846</v>
      </c>
      <c r="K346" s="25">
        <f t="shared" si="264"/>
        <v>20367.195264578786</v>
      </c>
      <c r="L346" s="25"/>
      <c r="N346" s="25">
        <f>'Combined Retirement'!$C$18/12</f>
        <v>39153.069999999992</v>
      </c>
      <c r="O346" s="25">
        <f t="shared" si="265"/>
        <v>10889.636755601023</v>
      </c>
      <c r="P346" s="25">
        <f t="shared" si="266"/>
        <v>28263.43324439897</v>
      </c>
      <c r="Q346" s="25">
        <f t="array" aca="1" ref="Q346" ca="1">INDEX('Isaac 401k'!L:L,MATCH('Retirement Calculator'!A346,'Isaac 401k'!N:N,0),0)</f>
        <v>1736376.9345010519</v>
      </c>
      <c r="R346" s="25">
        <f t="array" aca="1" ref="R346" ca="1">INDEX('Lorri 401b'!L:L,MATCH('Retirement Calculator'!A346,'Lorri 401b'!N:N,0),0)</f>
        <v>3377060.0399668352</v>
      </c>
      <c r="S346" s="25">
        <f t="shared" ca="1" si="267"/>
        <v>5113436.9744678866</v>
      </c>
    </row>
    <row r="347" spans="1:19" ht="15.75" customHeight="1" x14ac:dyDescent="0.3">
      <c r="A347" s="37">
        <v>61515</v>
      </c>
      <c r="B347" s="398">
        <f t="shared" ref="B347:C347" si="348">($A347-B$9)/365.25</f>
        <v>86.540725530458587</v>
      </c>
      <c r="C347" s="398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3254.2644699519233</v>
      </c>
      <c r="H347" s="25">
        <f>IF(B347&lt;62,0,'Combined Retirement'!$I$14)</f>
        <v>2345</v>
      </c>
      <c r="I347" s="25">
        <f>IF(C347&lt;62,0,'Combined Retirement'!$I$13)</f>
        <v>2420</v>
      </c>
      <c r="J347" s="25">
        <f t="shared" si="263"/>
        <v>7896.2379798201846</v>
      </c>
      <c r="K347" s="25">
        <f t="shared" si="264"/>
        <v>20367.195264578786</v>
      </c>
      <c r="L347" s="25"/>
      <c r="N347" s="25">
        <f>'Combined Retirement'!$C$18/12</f>
        <v>39153.069999999992</v>
      </c>
      <c r="O347" s="25">
        <f t="shared" si="265"/>
        <v>10889.636755601023</v>
      </c>
      <c r="P347" s="25">
        <f t="shared" si="266"/>
        <v>28263.43324439897</v>
      </c>
      <c r="Q347" s="25">
        <f t="array" aca="1" ref="Q347" ca="1">INDEX('Isaac 401k'!L:L,MATCH('Retirement Calculator'!A347,'Isaac 401k'!N:N,0),0)</f>
        <v>1735682.6994234035</v>
      </c>
      <c r="R347" s="25">
        <f t="array" aca="1" ref="R347" ca="1">INDEX('Lorri 401b'!L:L,MATCH('Retirement Calculator'!A347,'Lorri 401b'!N:N,0),0)</f>
        <v>3370679.064888516</v>
      </c>
      <c r="S347" s="25">
        <f t="shared" ca="1" si="267"/>
        <v>5106361.764311919</v>
      </c>
    </row>
    <row r="348" spans="1:19" ht="15.75" customHeight="1" x14ac:dyDescent="0.3">
      <c r="A348" s="37">
        <v>61545</v>
      </c>
      <c r="B348" s="398">
        <f t="shared" ref="B348:C348" si="349">($A348-B$9)/365.25</f>
        <v>86.622861054072558</v>
      </c>
      <c r="C348" s="398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3254.2644699519233</v>
      </c>
      <c r="H348" s="25">
        <f>IF(B348&lt;62,0,'Combined Retirement'!$I$14)</f>
        <v>2345</v>
      </c>
      <c r="I348" s="25">
        <f>IF(C348&lt;62,0,'Combined Retirement'!$I$13)</f>
        <v>2420</v>
      </c>
      <c r="J348" s="25">
        <f t="shared" si="263"/>
        <v>7896.2379798201846</v>
      </c>
      <c r="K348" s="25">
        <f t="shared" si="264"/>
        <v>20367.195264578786</v>
      </c>
      <c r="L348" s="25"/>
      <c r="N348" s="25">
        <f>'Combined Retirement'!$C$18/12</f>
        <v>39153.069999999992</v>
      </c>
      <c r="O348" s="25">
        <f t="shared" si="265"/>
        <v>10889.636755601023</v>
      </c>
      <c r="P348" s="25">
        <f t="shared" si="266"/>
        <v>28263.43324439897</v>
      </c>
      <c r="Q348" s="25">
        <f t="array" aca="1" ref="Q348" ca="1">INDEX('Isaac 401k'!L:L,MATCH('Retirement Calculator'!A348,'Isaac 401k'!N:N,0),0)</f>
        <v>1734985.5716995981</v>
      </c>
      <c r="R348" s="25">
        <f t="array" aca="1" ref="R348" ca="1">INDEX('Lorri 401b'!L:L,MATCH('Retirement Calculator'!A348,'Lorri 401b'!N:N,0),0)</f>
        <v>3364271.502414037</v>
      </c>
      <c r="S348" s="25">
        <f t="shared" ca="1" si="267"/>
        <v>5099257.0741136353</v>
      </c>
    </row>
    <row r="349" spans="1:19" ht="15.75" customHeight="1" x14ac:dyDescent="0.3">
      <c r="A349" s="37">
        <v>61576</v>
      </c>
      <c r="B349" s="398">
        <f t="shared" ref="B349:C349" si="350">($A349-B$9)/365.25</f>
        <v>86.707734428473643</v>
      </c>
      <c r="C349" s="398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3254.2644699519233</v>
      </c>
      <c r="H349" s="25">
        <f>IF(B349&lt;62,0,'Combined Retirement'!$I$14)</f>
        <v>2345</v>
      </c>
      <c r="I349" s="25">
        <f>IF(C349&lt;62,0,'Combined Retirement'!$I$13)</f>
        <v>2420</v>
      </c>
      <c r="J349" s="25">
        <f t="shared" si="263"/>
        <v>7896.2379798201846</v>
      </c>
      <c r="K349" s="25">
        <f t="shared" si="264"/>
        <v>20367.195264578786</v>
      </c>
      <c r="L349" s="25"/>
      <c r="N349" s="25">
        <f>'Combined Retirement'!$C$18/12</f>
        <v>39153.069999999992</v>
      </c>
      <c r="O349" s="25">
        <f t="shared" si="265"/>
        <v>10889.636755601023</v>
      </c>
      <c r="P349" s="25">
        <f t="shared" si="266"/>
        <v>28263.43324439897</v>
      </c>
      <c r="Q349" s="25">
        <f t="array" aca="1" ref="Q349" ca="1">INDEX('Isaac 401k'!L:L,MATCH('Retirement Calculator'!A349,'Isaac 401k'!N:N,0),0)</f>
        <v>1734285.5392769435</v>
      </c>
      <c r="R349" s="25">
        <f t="array" aca="1" ref="R349" ca="1">INDEX('Lorri 401b'!L:L,MATCH('Retirement Calculator'!A349,'Lorri 401b'!N:N,0),0)</f>
        <v>3357837.2417625808</v>
      </c>
      <c r="S349" s="25">
        <f t="shared" ca="1" si="267"/>
        <v>5092122.7810395248</v>
      </c>
    </row>
    <row r="350" spans="1:19" ht="15.75" customHeight="1" x14ac:dyDescent="0.3">
      <c r="A350" s="37">
        <v>61607</v>
      </c>
      <c r="B350" s="398">
        <f t="shared" ref="B350:C350" si="351">($A350-B$9)/365.25</f>
        <v>86.792607802874741</v>
      </c>
      <c r="C350" s="398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3254.2644699519233</v>
      </c>
      <c r="H350" s="25">
        <f>IF(B350&lt;62,0,'Combined Retirement'!$I$14)</f>
        <v>2345</v>
      </c>
      <c r="I350" s="25">
        <f>IF(C350&lt;62,0,'Combined Retirement'!$I$13)</f>
        <v>2420</v>
      </c>
      <c r="J350" s="25">
        <f t="shared" si="263"/>
        <v>7896.2379798201846</v>
      </c>
      <c r="K350" s="25">
        <f t="shared" si="264"/>
        <v>20367.195264578786</v>
      </c>
      <c r="L350" s="25"/>
      <c r="N350" s="25">
        <f>'Combined Retirement'!$C$18/12</f>
        <v>39153.069999999992</v>
      </c>
      <c r="O350" s="25">
        <f t="shared" si="265"/>
        <v>10889.636755601023</v>
      </c>
      <c r="P350" s="25">
        <f t="shared" si="266"/>
        <v>28263.43324439897</v>
      </c>
      <c r="Q350" s="25">
        <f t="array" aca="1" ref="Q350" ca="1">INDEX('Isaac 401k'!L:L,MATCH('Retirement Calculator'!A350,'Isaac 401k'!N:N,0),0)</f>
        <v>1733582.5900525281</v>
      </c>
      <c r="R350" s="25">
        <f t="array" aca="1" ref="R350" ca="1">INDEX('Lorri 401b'!L:L,MATCH('Retirement Calculator'!A350,'Lorri 401b'!N:N,0),0)</f>
        <v>3351376.1716917437</v>
      </c>
      <c r="S350" s="25">
        <f t="shared" ca="1" si="267"/>
        <v>5084958.761744272</v>
      </c>
    </row>
    <row r="351" spans="1:19" ht="15.75" customHeight="1" x14ac:dyDescent="0.3">
      <c r="A351" s="37">
        <v>61637</v>
      </c>
      <c r="B351" s="398">
        <f t="shared" ref="B351:C351" si="352">($A351-B$9)/365.25</f>
        <v>86.874743326488712</v>
      </c>
      <c r="C351" s="398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3254.2644699519233</v>
      </c>
      <c r="H351" s="25">
        <f>IF(B351&lt;62,0,'Combined Retirement'!$I$14)</f>
        <v>2345</v>
      </c>
      <c r="I351" s="25">
        <f>IF(C351&lt;62,0,'Combined Retirement'!$I$13)</f>
        <v>2420</v>
      </c>
      <c r="J351" s="25">
        <f t="shared" si="263"/>
        <v>7896.2379798201846</v>
      </c>
      <c r="K351" s="25">
        <f t="shared" si="264"/>
        <v>20367.195264578786</v>
      </c>
      <c r="L351" s="25"/>
      <c r="N351" s="25">
        <f>'Combined Retirement'!$C$18/12</f>
        <v>39153.069999999992</v>
      </c>
      <c r="O351" s="25">
        <f t="shared" si="265"/>
        <v>10889.636755601023</v>
      </c>
      <c r="P351" s="25">
        <f t="shared" si="266"/>
        <v>28263.43324439897</v>
      </c>
      <c r="Q351" s="25">
        <f t="array" aca="1" ref="Q351" ca="1">INDEX('Isaac 401k'!L:L,MATCH('Retirement Calculator'!A351,'Isaac 401k'!N:N,0),0)</f>
        <v>1732876.7118730107</v>
      </c>
      <c r="R351" s="25">
        <f t="array" aca="1" ref="R351" ca="1">INDEX('Lorri 401b'!L:L,MATCH('Retirement Calculator'!A351,'Lorri 401b'!N:N,0),0)</f>
        <v>3344888.1804956114</v>
      </c>
      <c r="S351" s="25">
        <f t="shared" ca="1" si="267"/>
        <v>5077764.8923686221</v>
      </c>
    </row>
    <row r="352" spans="1:19" ht="15.75" customHeight="1" x14ac:dyDescent="0.3">
      <c r="A352" s="37">
        <v>61668</v>
      </c>
      <c r="B352" s="398">
        <f t="shared" ref="B352:C352" si="353">($A352-B$9)/365.25</f>
        <v>86.959616700889796</v>
      </c>
      <c r="C352" s="398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3254.2644699519233</v>
      </c>
      <c r="H352" s="25">
        <f>IF(B352&lt;62,0,'Combined Retirement'!$I$14)</f>
        <v>2345</v>
      </c>
      <c r="I352" s="25">
        <f>IF(C352&lt;62,0,'Combined Retirement'!$I$13)</f>
        <v>2420</v>
      </c>
      <c r="J352" s="25">
        <f t="shared" si="263"/>
        <v>7896.2379798201846</v>
      </c>
      <c r="K352" s="25">
        <f t="shared" si="264"/>
        <v>20367.195264578786</v>
      </c>
      <c r="L352" s="25"/>
      <c r="N352" s="25">
        <f>'Combined Retirement'!$C$18/12</f>
        <v>39153.069999999992</v>
      </c>
      <c r="O352" s="25">
        <f t="shared" si="265"/>
        <v>10889.636755601023</v>
      </c>
      <c r="P352" s="25">
        <f t="shared" si="266"/>
        <v>28263.43324439897</v>
      </c>
      <c r="Q352" s="25">
        <f t="array" aca="1" ref="Q352" ca="1">INDEX('Isaac 401k'!L:L,MATCH('Retirement Calculator'!A352,'Isaac 401k'!N:N,0),0)</f>
        <v>1732167.8925344122</v>
      </c>
      <c r="R352" s="25">
        <f t="array" aca="1" ref="R352" ca="1">INDEX('Lorri 401b'!L:L,MATCH('Retirement Calculator'!A352,'Lorri 401b'!N:N,0),0)</f>
        <v>3338373.1560028284</v>
      </c>
      <c r="S352" s="25">
        <f t="shared" ca="1" si="267"/>
        <v>5070541.0485372404</v>
      </c>
    </row>
    <row r="353" spans="1:19" ht="15.75" customHeight="1" x14ac:dyDescent="0.3">
      <c r="A353" s="37">
        <v>61698</v>
      </c>
      <c r="B353" s="398">
        <f t="shared" ref="B353:C353" si="354">($A353-B$9)/365.25</f>
        <v>87.041752224503767</v>
      </c>
      <c r="C353" s="398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3254.2644699519233</v>
      </c>
      <c r="H353" s="25">
        <f>IF(B353&lt;62,0,'Combined Retirement'!$I$14)</f>
        <v>2345</v>
      </c>
      <c r="I353" s="25">
        <f>IF(C353&lt;62,0,'Combined Retirement'!$I$13)</f>
        <v>2420</v>
      </c>
      <c r="J353" s="25">
        <f t="shared" si="263"/>
        <v>7896.2379798201846</v>
      </c>
      <c r="K353" s="25">
        <f t="shared" si="264"/>
        <v>20367.195264578786</v>
      </c>
      <c r="L353" s="25"/>
      <c r="N353" s="25">
        <f>'Combined Retirement'!$C$18/12</f>
        <v>39153.069999999992</v>
      </c>
      <c r="O353" s="25">
        <f t="shared" si="265"/>
        <v>10889.636755601023</v>
      </c>
      <c r="P353" s="25">
        <f t="shared" si="266"/>
        <v>28263.43324439897</v>
      </c>
      <c r="Q353" s="25">
        <f t="array" aca="1" ref="Q353" ca="1">INDEX('Isaac 401k'!L:L,MATCH('Retirement Calculator'!A353,'Isaac 401k'!N:N,0),0)</f>
        <v>1731456.1197819028</v>
      </c>
      <c r="R353" s="25">
        <f t="array" aca="1" ref="R353" ca="1">INDEX('Lorri 401b'!L:L,MATCH('Retirement Calculator'!A353,'Lorri 401b'!N:N,0),0)</f>
        <v>3331830.985574659</v>
      </c>
      <c r="S353" s="25">
        <f t="shared" ca="1" si="267"/>
        <v>5063287.105356562</v>
      </c>
    </row>
    <row r="354" spans="1:19" ht="15.75" customHeight="1" x14ac:dyDescent="0.3">
      <c r="A354" s="37">
        <v>61729</v>
      </c>
      <c r="B354" s="398">
        <f t="shared" ref="B354:C354" si="355">($A354-B$9)/365.25</f>
        <v>87.126625598904866</v>
      </c>
      <c r="C354" s="398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3254.2644699519233</v>
      </c>
      <c r="H354" s="25">
        <f>IF(B354&lt;62,0,'Combined Retirement'!$I$14)</f>
        <v>2345</v>
      </c>
      <c r="I354" s="25">
        <f>IF(C354&lt;62,0,'Combined Retirement'!$I$13)</f>
        <v>2420</v>
      </c>
      <c r="J354" s="25">
        <f t="shared" si="263"/>
        <v>7896.2379798201846</v>
      </c>
      <c r="K354" s="25">
        <f t="shared" si="264"/>
        <v>20367.195264578786</v>
      </c>
      <c r="L354" s="25"/>
      <c r="N354" s="25">
        <f>'Combined Retirement'!$C$18/12</f>
        <v>39153.069999999992</v>
      </c>
      <c r="O354" s="25">
        <f t="shared" si="265"/>
        <v>10889.636755601023</v>
      </c>
      <c r="P354" s="25">
        <f t="shared" si="266"/>
        <v>28263.43324439897</v>
      </c>
      <c r="Q354" s="25">
        <f t="array" aca="1" ref="Q354" ca="1">INDEX('Isaac 401k'!L:L,MATCH('Retirement Calculator'!A354,'Isaac 401k'!N:N,0),0)</f>
        <v>1730741.3813095912</v>
      </c>
      <c r="R354" s="25">
        <f t="array" aca="1" ref="R354" ca="1">INDEX('Lorri 401b'!L:L,MATCH('Retirement Calculator'!A354,'Lorri 401b'!N:N,0),0)</f>
        <v>3325261.5561030386</v>
      </c>
      <c r="S354" s="25">
        <f t="shared" ca="1" si="267"/>
        <v>5056002.9374126298</v>
      </c>
    </row>
    <row r="355" spans="1:19" ht="15.75" customHeight="1" x14ac:dyDescent="0.3">
      <c r="A355" s="37">
        <v>61760</v>
      </c>
      <c r="B355" s="398">
        <f t="shared" ref="B355:C355" si="356">($A355-B$9)/365.25</f>
        <v>87.21149897330595</v>
      </c>
      <c r="C355" s="398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3254.2644699519233</v>
      </c>
      <c r="H355" s="25">
        <f>IF(B355&lt;62,0,'Combined Retirement'!$I$14)</f>
        <v>2345</v>
      </c>
      <c r="I355" s="25">
        <f>IF(C355&lt;62,0,'Combined Retirement'!$I$13)</f>
        <v>2420</v>
      </c>
      <c r="J355" s="25">
        <f t="shared" si="263"/>
        <v>7896.2379798201846</v>
      </c>
      <c r="K355" s="25">
        <f t="shared" si="264"/>
        <v>20367.195264578786</v>
      </c>
      <c r="L355" s="25"/>
      <c r="N355" s="25">
        <f>'Combined Retirement'!$C$18/12</f>
        <v>39153.069999999992</v>
      </c>
      <c r="O355" s="25">
        <f t="shared" si="265"/>
        <v>10889.636755601023</v>
      </c>
      <c r="P355" s="25">
        <f t="shared" si="266"/>
        <v>28263.43324439897</v>
      </c>
      <c r="Q355" s="25">
        <f t="array" aca="1" ref="Q355" ca="1">INDEX('Isaac 401k'!L:L,MATCH('Retirement Calculator'!A355,'Isaac 401k'!N:N,0),0)</f>
        <v>1730023.6647603116</v>
      </c>
      <c r="R355" s="25">
        <f t="array" aca="1" ref="R355" ca="1">INDEX('Lorri 401b'!L:L,MATCH('Retirement Calculator'!A355,'Lorri 401b'!N:N,0),0)</f>
        <v>3318664.75400862</v>
      </c>
      <c r="S355" s="25">
        <f t="shared" ca="1" si="267"/>
        <v>5048688.4187689312</v>
      </c>
    </row>
    <row r="356" spans="1:19" ht="15.75" customHeight="1" x14ac:dyDescent="0.3">
      <c r="A356" s="37">
        <v>61788</v>
      </c>
      <c r="B356" s="398">
        <f t="shared" ref="B356:C356" si="357">($A356-B$9)/365.25</f>
        <v>87.288158795345652</v>
      </c>
      <c r="C356" s="398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3254.2644699519233</v>
      </c>
      <c r="H356" s="25">
        <f>IF(B356&lt;62,0,'Combined Retirement'!$I$14)</f>
        <v>2345</v>
      </c>
      <c r="I356" s="25">
        <f>IF(C356&lt;62,0,'Combined Retirement'!$I$13)</f>
        <v>2420</v>
      </c>
      <c r="J356" s="25">
        <f t="shared" si="263"/>
        <v>7896.2379798201846</v>
      </c>
      <c r="K356" s="25">
        <f t="shared" si="264"/>
        <v>20367.195264578786</v>
      </c>
      <c r="L356" s="25"/>
      <c r="N356" s="25">
        <f>'Combined Retirement'!$C$18/12</f>
        <v>39153.069999999992</v>
      </c>
      <c r="O356" s="25">
        <f t="shared" si="265"/>
        <v>10889.636755601023</v>
      </c>
      <c r="P356" s="25">
        <f t="shared" si="266"/>
        <v>28263.43324439897</v>
      </c>
      <c r="Q356" s="25">
        <f t="array" aca="1" ref="Q356" ca="1">INDEX('Isaac 401k'!L:L,MATCH('Retirement Calculator'!A356,'Isaac 401k'!N:N,0),0)</f>
        <v>1729302.9577254101</v>
      </c>
      <c r="R356" s="25">
        <f t="array" aca="1" ref="R356" ca="1">INDEX('Lorri 401b'!L:L,MATCH('Retirement Calculator'!A356,'Lorri 401b'!N:N,0),0)</f>
        <v>3312040.4652388082</v>
      </c>
      <c r="S356" s="25">
        <f t="shared" ca="1" si="267"/>
        <v>5041343.4229642181</v>
      </c>
    </row>
    <row r="357" spans="1:19" ht="15.75" customHeight="1" x14ac:dyDescent="0.3">
      <c r="A357" s="37">
        <v>61819</v>
      </c>
      <c r="B357" s="398">
        <f t="shared" ref="B357:C357" si="358">($A357-B$9)/365.25</f>
        <v>87.37303216974675</v>
      </c>
      <c r="C357" s="398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3254.2644699519233</v>
      </c>
      <c r="H357" s="25">
        <f>IF(B357&lt;62,0,'Combined Retirement'!$I$14)</f>
        <v>2345</v>
      </c>
      <c r="I357" s="25">
        <f>IF(C357&lt;62,0,'Combined Retirement'!$I$13)</f>
        <v>2420</v>
      </c>
      <c r="J357" s="25">
        <f t="shared" si="263"/>
        <v>7896.2379798201846</v>
      </c>
      <c r="K357" s="25">
        <f t="shared" si="264"/>
        <v>20367.195264578786</v>
      </c>
      <c r="L357" s="25"/>
      <c r="N357" s="25">
        <f>'Combined Retirement'!$C$18/12</f>
        <v>39153.069999999992</v>
      </c>
      <c r="O357" s="25">
        <f t="shared" si="265"/>
        <v>10889.636755601023</v>
      </c>
      <c r="P357" s="25">
        <f t="shared" si="266"/>
        <v>28263.43324439897</v>
      </c>
      <c r="Q357" s="25">
        <f t="array" aca="1" ref="Q357" ca="1">INDEX('Isaac 401k'!L:L,MATCH('Retirement Calculator'!A357,'Isaac 401k'!N:N,0),0)</f>
        <v>1728579.2477445297</v>
      </c>
      <c r="R357" s="25">
        <f t="array" aca="1" ref="R357" ca="1">INDEX('Lorri 401b'!L:L,MATCH('Retirement Calculator'!A357,'Lorri 401b'!N:N,0),0)</f>
        <v>3305388.5752657885</v>
      </c>
      <c r="S357" s="25">
        <f t="shared" ca="1" si="267"/>
        <v>5033967.823010318</v>
      </c>
    </row>
    <row r="358" spans="1:19" ht="15.75" customHeight="1" x14ac:dyDescent="0.3">
      <c r="A358" s="37">
        <v>61849</v>
      </c>
      <c r="B358" s="398">
        <f t="shared" ref="B358:C358" si="359">($A358-B$9)/365.25</f>
        <v>87.455167693360707</v>
      </c>
      <c r="C358" s="398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3254.2644699519233</v>
      </c>
      <c r="H358" s="25">
        <f>IF(B358&lt;62,0,'Combined Retirement'!$I$14)</f>
        <v>2345</v>
      </c>
      <c r="I358" s="25">
        <f>IF(C358&lt;62,0,'Combined Retirement'!$I$13)</f>
        <v>2420</v>
      </c>
      <c r="J358" s="25">
        <f t="shared" si="263"/>
        <v>7896.2379798201846</v>
      </c>
      <c r="K358" s="25">
        <f t="shared" si="264"/>
        <v>20367.195264578786</v>
      </c>
      <c r="L358" s="25"/>
      <c r="N358" s="25">
        <f>'Combined Retirement'!$C$18/12</f>
        <v>39153.069999999992</v>
      </c>
      <c r="O358" s="25">
        <f t="shared" si="265"/>
        <v>10889.636755601023</v>
      </c>
      <c r="P358" s="25">
        <f t="shared" si="266"/>
        <v>28263.43324439897</v>
      </c>
      <c r="Q358" s="25">
        <f t="array" aca="1" ref="Q358" ca="1">INDEX('Isaac 401k'!L:L,MATCH('Retirement Calculator'!A358,'Isaac 401k'!N:N,0),0)</f>
        <v>1727852.5223053957</v>
      </c>
      <c r="R358" s="25">
        <f t="array" aca="1" ref="R358" ca="1">INDEX('Lorri 401b'!L:L,MATCH('Retirement Calculator'!A358,'Lorri 401b'!N:N,0),0)</f>
        <v>3298708.9690845478</v>
      </c>
      <c r="S358" s="25">
        <f t="shared" ca="1" si="267"/>
        <v>5026561.4913899433</v>
      </c>
    </row>
    <row r="359" spans="1:19" ht="15.75" customHeight="1" x14ac:dyDescent="0.3">
      <c r="A359" s="37">
        <v>61880</v>
      </c>
      <c r="B359" s="398">
        <f t="shared" ref="B359:C359" si="360">($A359-B$9)/365.25</f>
        <v>87.540041067761805</v>
      </c>
      <c r="C359" s="398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3254.2644699519233</v>
      </c>
      <c r="H359" s="25">
        <f>IF(B359&lt;62,0,'Combined Retirement'!$I$14)</f>
        <v>2345</v>
      </c>
      <c r="I359" s="25">
        <f>IF(C359&lt;62,0,'Combined Retirement'!$I$13)</f>
        <v>2420</v>
      </c>
      <c r="J359" s="25">
        <f t="shared" si="263"/>
        <v>7896.2379798201846</v>
      </c>
      <c r="K359" s="25">
        <f t="shared" si="264"/>
        <v>20367.195264578786</v>
      </c>
      <c r="L359" s="25"/>
      <c r="N359" s="25">
        <f>'Combined Retirement'!$C$18/12</f>
        <v>39153.069999999992</v>
      </c>
      <c r="O359" s="25">
        <f t="shared" si="265"/>
        <v>10889.636755601023</v>
      </c>
      <c r="P359" s="25">
        <f t="shared" si="266"/>
        <v>28263.43324439897</v>
      </c>
      <c r="Q359" s="25">
        <f t="array" aca="1" ref="Q359" ca="1">INDEX('Isaac 401k'!L:L,MATCH('Retirement Calculator'!A359,'Isaac 401k'!N:N,0),0)</f>
        <v>1727122.7688435987</v>
      </c>
      <c r="R359" s="25">
        <f t="array" aca="1" ref="R359" ca="1">INDEX('Lorri 401b'!L:L,MATCH('Retirement Calculator'!A359,'Lorri 401b'!N:N,0),0)</f>
        <v>3292001.5312108854</v>
      </c>
      <c r="S359" s="25">
        <f t="shared" ca="1" si="267"/>
        <v>5019124.300054484</v>
      </c>
    </row>
    <row r="360" spans="1:19" ht="15.75" customHeight="1" x14ac:dyDescent="0.3">
      <c r="A360" s="37">
        <v>61910</v>
      </c>
      <c r="B360" s="398">
        <f t="shared" ref="B360:C360" si="361">($A360-B$9)/365.25</f>
        <v>87.622176591375776</v>
      </c>
      <c r="C360" s="398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3254.2644699519233</v>
      </c>
      <c r="H360" s="25">
        <f>IF(B360&lt;62,0,'Combined Retirement'!$I$14)</f>
        <v>2345</v>
      </c>
      <c r="I360" s="25">
        <f>IF(C360&lt;62,0,'Combined Retirement'!$I$13)</f>
        <v>2420</v>
      </c>
      <c r="J360" s="25">
        <f t="shared" si="263"/>
        <v>7896.2379798201846</v>
      </c>
      <c r="K360" s="25">
        <f t="shared" si="264"/>
        <v>20367.195264578786</v>
      </c>
      <c r="L360" s="25"/>
      <c r="N360" s="25">
        <f>'Combined Retirement'!$C$18/12</f>
        <v>39153.069999999992</v>
      </c>
      <c r="O360" s="25">
        <f t="shared" si="265"/>
        <v>10889.636755601023</v>
      </c>
      <c r="P360" s="25">
        <f t="shared" si="266"/>
        <v>28263.43324439897</v>
      </c>
      <c r="Q360" s="25">
        <f t="array" aca="1" ref="Q360" ca="1">INDEX('Isaac 401k'!L:L,MATCH('Retirement Calculator'!A360,'Isaac 401k'!N:N,0),0)</f>
        <v>1726389.9747423774</v>
      </c>
      <c r="R360" s="25">
        <f t="array" aca="1" ref="R360" ca="1">INDEX('Lorri 401b'!L:L,MATCH('Retirement Calculator'!A360,'Lorri 401b'!N:N,0),0)</f>
        <v>3285266.1456794161</v>
      </c>
      <c r="S360" s="25">
        <f t="shared" ca="1" si="267"/>
        <v>5011656.1204217933</v>
      </c>
    </row>
    <row r="361" spans="1:19" ht="15.75" customHeight="1" x14ac:dyDescent="0.3">
      <c r="A361" s="37">
        <v>61941</v>
      </c>
      <c r="B361" s="398">
        <f t="shared" ref="B361:C361" si="362">($A361-B$9)/365.25</f>
        <v>87.707049965776861</v>
      </c>
      <c r="C361" s="398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3254.2644699519233</v>
      </c>
      <c r="H361" s="25">
        <f>IF(B361&lt;62,0,'Combined Retirement'!$I$14)</f>
        <v>2345</v>
      </c>
      <c r="I361" s="25">
        <f>IF(C361&lt;62,0,'Combined Retirement'!$I$13)</f>
        <v>2420</v>
      </c>
      <c r="J361" s="25">
        <f t="shared" si="263"/>
        <v>7896.2379798201846</v>
      </c>
      <c r="K361" s="25">
        <f t="shared" si="264"/>
        <v>20367.195264578786</v>
      </c>
      <c r="L361" s="25"/>
      <c r="N361" s="25">
        <f>'Combined Retirement'!$C$18/12</f>
        <v>39153.069999999992</v>
      </c>
      <c r="O361" s="25">
        <f t="shared" si="265"/>
        <v>10889.636755601023</v>
      </c>
      <c r="P361" s="25">
        <f t="shared" si="266"/>
        <v>28263.43324439897</v>
      </c>
      <c r="Q361" s="25">
        <f t="array" aca="1" ref="Q361" ca="1">INDEX('Isaac 401k'!L:L,MATCH('Retirement Calculator'!A361,'Isaac 401k'!N:N,0),0)</f>
        <v>1725654.1273324012</v>
      </c>
      <c r="R361" s="25">
        <f t="array" aca="1" ref="R361" ca="1">INDEX('Lorri 401b'!L:L,MATCH('Retirement Calculator'!A361,'Lorri 401b'!N:N,0),0)</f>
        <v>3278502.6960415659</v>
      </c>
      <c r="S361" s="25">
        <f t="shared" ca="1" si="267"/>
        <v>5004156.8233739669</v>
      </c>
    </row>
    <row r="362" spans="1:19" ht="15.75" customHeight="1" x14ac:dyDescent="0.3">
      <c r="A362" s="37">
        <v>61972</v>
      </c>
      <c r="B362" s="398">
        <f t="shared" ref="B362:C362" si="363">($A362-B$9)/365.25</f>
        <v>87.791923340177959</v>
      </c>
      <c r="C362" s="398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3254.2644699519233</v>
      </c>
      <c r="H362" s="25">
        <f>IF(B362&lt;62,0,'Combined Retirement'!$I$14)</f>
        <v>2345</v>
      </c>
      <c r="I362" s="25">
        <f>IF(C362&lt;62,0,'Combined Retirement'!$I$13)</f>
        <v>2420</v>
      </c>
      <c r="J362" s="25">
        <f t="shared" si="263"/>
        <v>7896.2379798201846</v>
      </c>
      <c r="K362" s="25">
        <f t="shared" si="264"/>
        <v>20367.195264578786</v>
      </c>
      <c r="L362" s="25"/>
      <c r="N362" s="25">
        <f>'Combined Retirement'!$C$18/12</f>
        <v>39153.069999999992</v>
      </c>
      <c r="O362" s="25">
        <f t="shared" si="265"/>
        <v>10889.636755601023</v>
      </c>
      <c r="P362" s="25">
        <f t="shared" si="266"/>
        <v>28263.43324439897</v>
      </c>
      <c r="Q362" s="25">
        <f t="array" aca="1" ref="Q362" ca="1">INDEX('Isaac 401k'!L:L,MATCH('Retirement Calculator'!A362,'Isaac 401k'!N:N,0),0)</f>
        <v>1724915.2138915502</v>
      </c>
      <c r="R362" s="25">
        <f t="array" aca="1" ref="R362" ca="1">INDEX('Lorri 401b'!L:L,MATCH('Retirement Calculator'!A362,'Lorri 401b'!N:N,0),0)</f>
        <v>3271711.065363558</v>
      </c>
      <c r="S362" s="25">
        <f t="shared" ca="1" si="267"/>
        <v>4996626.279255108</v>
      </c>
    </row>
    <row r="363" spans="1:19" ht="15.75" customHeight="1" x14ac:dyDescent="0.3">
      <c r="A363" s="37">
        <v>62002</v>
      </c>
      <c r="B363" s="398">
        <f t="shared" ref="B363:C363" si="364">($A363-B$9)/365.25</f>
        <v>87.87405886379193</v>
      </c>
      <c r="C363" s="398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3254.2644699519233</v>
      </c>
      <c r="H363" s="25">
        <f>IF(B363&lt;62,0,'Combined Retirement'!$I$14)</f>
        <v>2345</v>
      </c>
      <c r="I363" s="25">
        <f>IF(C363&lt;62,0,'Combined Retirement'!$I$13)</f>
        <v>2420</v>
      </c>
      <c r="J363" s="25">
        <f t="shared" si="263"/>
        <v>7896.2379798201846</v>
      </c>
      <c r="K363" s="25">
        <f t="shared" si="264"/>
        <v>20367.195264578786</v>
      </c>
      <c r="L363" s="25"/>
      <c r="N363" s="25">
        <f>'Combined Retirement'!$C$18/12</f>
        <v>39153.069999999992</v>
      </c>
      <c r="O363" s="25">
        <f t="shared" si="265"/>
        <v>10889.636755601023</v>
      </c>
      <c r="P363" s="25">
        <f t="shared" si="266"/>
        <v>28263.43324439897</v>
      </c>
      <c r="Q363" s="25">
        <f t="array" aca="1" ref="Q363" ca="1">INDEX('Isaac 401k'!L:L,MATCH('Retirement Calculator'!A363,'Isaac 401k'!N:N,0),0)</f>
        <v>1724173.2216446956</v>
      </c>
      <c r="R363" s="25">
        <f t="array" aca="1" ref="R363" ca="1">INDEX('Lorri 401b'!L:L,MATCH('Retirement Calculator'!A363,'Lorri 401b'!N:N,0),0)</f>
        <v>3264891.1362243914</v>
      </c>
      <c r="S363" s="25">
        <f t="shared" ca="1" si="267"/>
        <v>4989064.3578690868</v>
      </c>
    </row>
    <row r="364" spans="1:19" ht="15.75" customHeight="1" x14ac:dyDescent="0.3">
      <c r="A364" s="37">
        <v>62033</v>
      </c>
      <c r="B364" s="398">
        <f t="shared" ref="B364:C364" si="365">($A364-B$9)/365.25</f>
        <v>87.958932238193015</v>
      </c>
      <c r="C364" s="398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3254.2644699519233</v>
      </c>
      <c r="H364" s="25">
        <f>IF(B364&lt;62,0,'Combined Retirement'!$I$14)</f>
        <v>2345</v>
      </c>
      <c r="I364" s="25">
        <f>IF(C364&lt;62,0,'Combined Retirement'!$I$13)</f>
        <v>2420</v>
      </c>
      <c r="J364" s="25">
        <f t="shared" si="263"/>
        <v>7896.2379798201846</v>
      </c>
      <c r="K364" s="25">
        <f t="shared" si="264"/>
        <v>20367.195264578786</v>
      </c>
      <c r="L364" s="25"/>
      <c r="N364" s="25">
        <f>'Combined Retirement'!$C$18/12</f>
        <v>39153.069999999992</v>
      </c>
      <c r="O364" s="25">
        <f t="shared" si="265"/>
        <v>10889.636755601023</v>
      </c>
      <c r="P364" s="25">
        <f t="shared" si="266"/>
        <v>28263.43324439897</v>
      </c>
      <c r="Q364" s="25">
        <f t="array" aca="1" ref="Q364" ca="1">INDEX('Isaac 401k'!L:L,MATCH('Retirement Calculator'!A364,'Isaac 401k'!N:N,0),0)</f>
        <v>1723428.137763479</v>
      </c>
      <c r="R364" s="25">
        <f t="array" aca="1" ref="R364" ca="1">INDEX('Lorri 401b'!L:L,MATCH('Retirement Calculator'!A364,'Lorri 401b'!N:N,0),0)</f>
        <v>3258042.7907138118</v>
      </c>
      <c r="S364" s="25">
        <f t="shared" ca="1" si="267"/>
        <v>4981470.928477291</v>
      </c>
    </row>
    <row r="365" spans="1:19" ht="15.75" customHeight="1" x14ac:dyDescent="0.3">
      <c r="A365" s="37">
        <v>62063</v>
      </c>
      <c r="B365" s="398">
        <f t="shared" ref="B365:C365" si="366">($A365-B$9)/365.25</f>
        <v>88.041067761806985</v>
      </c>
      <c r="C365" s="398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3254.2644699519233</v>
      </c>
      <c r="H365" s="25">
        <f>IF(B365&lt;62,0,'Combined Retirement'!$I$14)</f>
        <v>2345</v>
      </c>
      <c r="I365" s="25">
        <f>IF(C365&lt;62,0,'Combined Retirement'!$I$13)</f>
        <v>2420</v>
      </c>
      <c r="J365" s="25">
        <f t="shared" si="263"/>
        <v>7896.2379798201846</v>
      </c>
      <c r="K365" s="25">
        <f t="shared" si="264"/>
        <v>20367.195264578786</v>
      </c>
      <c r="L365" s="25"/>
      <c r="N365" s="25">
        <f>'Combined Retirement'!$C$18/12</f>
        <v>39153.069999999992</v>
      </c>
      <c r="O365" s="25">
        <f t="shared" si="265"/>
        <v>10889.636755601023</v>
      </c>
      <c r="P365" s="25">
        <f t="shared" si="266"/>
        <v>28263.43324439897</v>
      </c>
      <c r="Q365" s="25">
        <f t="array" aca="1" ref="Q365" ca="1">INDEX('Isaac 401k'!L:L,MATCH('Retirement Calculator'!A365,'Isaac 401k'!N:N,0),0)</f>
        <v>1722679.9493660908</v>
      </c>
      <c r="R365" s="25">
        <f t="array" aca="1" ref="R365" ca="1">INDEX('Lorri 401b'!L:L,MATCH('Retirement Calculator'!A365,'Lorri 401b'!N:N,0),0)</f>
        <v>3251165.9104302716</v>
      </c>
      <c r="S365" s="25">
        <f t="shared" ca="1" si="267"/>
        <v>4973845.859796362</v>
      </c>
    </row>
    <row r="366" spans="1:19" ht="15.75" customHeight="1" x14ac:dyDescent="0.3">
      <c r="A366" s="37">
        <v>62094</v>
      </c>
      <c r="B366" s="398">
        <f t="shared" ref="B366:C366" si="367">($A366-B$9)/365.25</f>
        <v>88.12594113620807</v>
      </c>
      <c r="C366" s="398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3254.2644699519233</v>
      </c>
      <c r="H366" s="25">
        <f>IF(B366&lt;62,0,'Combined Retirement'!$I$14)</f>
        <v>2345</v>
      </c>
      <c r="I366" s="25">
        <f>IF(C366&lt;62,0,'Combined Retirement'!$I$13)</f>
        <v>2420</v>
      </c>
      <c r="J366" s="25">
        <f t="shared" si="263"/>
        <v>7896.2379798201846</v>
      </c>
      <c r="K366" s="25">
        <f t="shared" si="264"/>
        <v>20367.195264578786</v>
      </c>
      <c r="L366" s="25"/>
      <c r="N366" s="25">
        <f>'Combined Retirement'!$C$18/12</f>
        <v>39153.069999999992</v>
      </c>
      <c r="O366" s="25">
        <f t="shared" si="265"/>
        <v>10889.636755601023</v>
      </c>
      <c r="P366" s="25">
        <f t="shared" si="266"/>
        <v>28263.43324439897</v>
      </c>
      <c r="Q366" s="25">
        <f t="array" aca="1" ref="Q366" ca="1">INDEX('Isaac 401k'!L:L,MATCH('Retirement Calculator'!A366,'Isaac 401k'!N:N,0),0)</f>
        <v>1721928.6435170467</v>
      </c>
      <c r="R366" s="25">
        <f t="array" aca="1" ref="R366" ca="1">INDEX('Lorri 401b'!L:L,MATCH('Retirement Calculator'!A366,'Lorri 401b'!N:N,0),0)</f>
        <v>3244260.3764788834</v>
      </c>
      <c r="S366" s="25">
        <f t="shared" ca="1" si="267"/>
        <v>4966189.0199959297</v>
      </c>
    </row>
    <row r="367" spans="1:19" ht="15.75" customHeight="1" x14ac:dyDescent="0.3">
      <c r="A367" s="37">
        <v>62125</v>
      </c>
      <c r="B367" s="398">
        <f t="shared" ref="B367:C367" si="368">($A367-B$9)/365.25</f>
        <v>88.210814510609168</v>
      </c>
      <c r="C367" s="398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3254.2644699519233</v>
      </c>
      <c r="H367" s="25">
        <f>IF(B367&lt;62,0,'Combined Retirement'!$I$14)</f>
        <v>2345</v>
      </c>
      <c r="I367" s="25">
        <f>IF(C367&lt;62,0,'Combined Retirement'!$I$13)</f>
        <v>2420</v>
      </c>
      <c r="J367" s="25">
        <f t="shared" si="263"/>
        <v>7896.2379798201846</v>
      </c>
      <c r="K367" s="25">
        <f t="shared" si="264"/>
        <v>20367.195264578786</v>
      </c>
      <c r="L367" s="25"/>
      <c r="N367" s="25">
        <f>'Combined Retirement'!$C$18/12</f>
        <v>39153.069999999992</v>
      </c>
      <c r="O367" s="25">
        <f t="shared" si="265"/>
        <v>10889.636755601023</v>
      </c>
      <c r="P367" s="25">
        <f t="shared" si="266"/>
        <v>28263.43324439897</v>
      </c>
      <c r="Q367" s="25">
        <f t="array" aca="1" ref="Q367" ca="1">INDEX('Isaac 401k'!L:L,MATCH('Retirement Calculator'!A367,'Isaac 401k'!N:N,0),0)</f>
        <v>1721174.2072269649</v>
      </c>
      <c r="R367" s="25">
        <f t="array" aca="1" ref="R367" ca="1">INDEX('Lorri 401b'!L:L,MATCH('Retirement Calculator'!A367,'Lorri 401b'!N:N,0),0)</f>
        <v>3237326.0694693644</v>
      </c>
      <c r="S367" s="25">
        <f t="shared" ca="1" si="267"/>
        <v>4958500.276696329</v>
      </c>
    </row>
    <row r="368" spans="1:19" ht="15.75" customHeight="1" x14ac:dyDescent="0.3">
      <c r="A368" s="37">
        <v>62153</v>
      </c>
      <c r="B368" s="398">
        <f t="shared" ref="B368:C368" si="369">($A368-B$9)/365.25</f>
        <v>88.28747433264887</v>
      </c>
      <c r="C368" s="398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3254.2644699519233</v>
      </c>
      <c r="H368" s="25">
        <f>IF(B368&lt;62,0,'Combined Retirement'!$I$14)</f>
        <v>2345</v>
      </c>
      <c r="I368" s="25">
        <f>IF(C368&lt;62,0,'Combined Retirement'!$I$13)</f>
        <v>2420</v>
      </c>
      <c r="J368" s="25">
        <f t="shared" si="263"/>
        <v>7896.2379798201846</v>
      </c>
      <c r="K368" s="25">
        <f t="shared" si="264"/>
        <v>20367.195264578786</v>
      </c>
      <c r="L368" s="25"/>
      <c r="N368" s="25">
        <f>'Combined Retirement'!$C$18/12</f>
        <v>39153.069999999992</v>
      </c>
      <c r="O368" s="25">
        <f t="shared" si="265"/>
        <v>10889.636755601023</v>
      </c>
      <c r="P368" s="25">
        <f t="shared" si="266"/>
        <v>28263.43324439897</v>
      </c>
      <c r="Q368" s="25">
        <f t="array" aca="1" ref="Q368" ca="1">INDEX('Isaac 401k'!L:L,MATCH('Retirement Calculator'!A368,'Isaac 401k'!N:N,0),0)</f>
        <v>1720416.6274523411</v>
      </c>
      <c r="R368" s="25">
        <f t="array" aca="1" ref="R368" ca="1">INDEX('Lorri 401b'!L:L,MATCH('Retirement Calculator'!A368,'Lorri 401b'!N:N,0),0)</f>
        <v>3230362.8695139722</v>
      </c>
      <c r="S368" s="25">
        <f t="shared" ca="1" si="267"/>
        <v>4950779.4969663136</v>
      </c>
    </row>
    <row r="369" spans="1:19" ht="15.75" customHeight="1" x14ac:dyDescent="0.3">
      <c r="A369" s="37">
        <v>62184</v>
      </c>
      <c r="B369" s="398">
        <f t="shared" ref="B369:C369" si="370">($A369-B$9)/365.25</f>
        <v>88.372347707049968</v>
      </c>
      <c r="C369" s="398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3254.2644699519233</v>
      </c>
      <c r="H369" s="25">
        <f>IF(B369&lt;62,0,'Combined Retirement'!$I$14)</f>
        <v>2345</v>
      </c>
      <c r="I369" s="25">
        <f>IF(C369&lt;62,0,'Combined Retirement'!$I$13)</f>
        <v>2420</v>
      </c>
      <c r="J369" s="25">
        <f t="shared" si="263"/>
        <v>7896.2379798201846</v>
      </c>
      <c r="K369" s="25">
        <f t="shared" si="264"/>
        <v>20367.195264578786</v>
      </c>
      <c r="L369" s="25"/>
      <c r="N369" s="25">
        <f>'Combined Retirement'!$C$18/12</f>
        <v>39153.069999999992</v>
      </c>
      <c r="O369" s="25">
        <f t="shared" si="265"/>
        <v>10889.636755601023</v>
      </c>
      <c r="P369" s="25">
        <f t="shared" si="266"/>
        <v>28263.43324439897</v>
      </c>
      <c r="Q369" s="25">
        <f t="array" aca="1" ref="Q369" ca="1">INDEX('Isaac 401k'!L:L,MATCH('Retirement Calculator'!A369,'Isaac 401k'!N:N,0),0)</f>
        <v>1719655.891095323</v>
      </c>
      <c r="R369" s="25">
        <f t="array" aca="1" ref="R369" ca="1">INDEX('Lorri 401b'!L:L,MATCH('Retirement Calculator'!A369,'Lorri 401b'!N:N,0),0)</f>
        <v>3223370.6562254326</v>
      </c>
      <c r="S369" s="25">
        <f t="shared" ca="1" si="267"/>
        <v>4943026.5473207552</v>
      </c>
    </row>
    <row r="370" spans="1:19" ht="15.75" customHeight="1" x14ac:dyDescent="0.3">
      <c r="A370" s="37">
        <v>62214</v>
      </c>
      <c r="B370" s="398">
        <f t="shared" ref="B370:C370" si="371">($A370-B$9)/365.25</f>
        <v>88.454483230663925</v>
      </c>
      <c r="C370" s="398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3254.2644699519233</v>
      </c>
      <c r="H370" s="25">
        <f>IF(B370&lt;62,0,'Combined Retirement'!$I$14)</f>
        <v>2345</v>
      </c>
      <c r="I370" s="25">
        <f>IF(C370&lt;62,0,'Combined Retirement'!$I$13)</f>
        <v>2420</v>
      </c>
      <c r="J370" s="25">
        <f t="shared" si="263"/>
        <v>7896.2379798201846</v>
      </c>
      <c r="K370" s="25">
        <f t="shared" si="264"/>
        <v>20367.195264578786</v>
      </c>
      <c r="L370" s="25"/>
      <c r="N370" s="25">
        <f>'Combined Retirement'!$C$18/12</f>
        <v>39153.069999999992</v>
      </c>
      <c r="O370" s="25">
        <f t="shared" si="265"/>
        <v>10889.636755601023</v>
      </c>
      <c r="P370" s="25">
        <f t="shared" si="266"/>
        <v>28263.43324439897</v>
      </c>
      <c r="Q370" s="25">
        <f t="array" aca="1" ref="Q370" ca="1">INDEX('Isaac 401k'!L:L,MATCH('Retirement Calculator'!A370,'Isaac 401k'!N:N,0),0)</f>
        <v>1718891.9850034839</v>
      </c>
      <c r="R370" s="25">
        <f t="array" aca="1" ref="R370" ca="1">INDEX('Lorri 401b'!L:L,MATCH('Retirement Calculator'!A370,'Lorri 401b'!N:N,0),0)</f>
        <v>3216349.3087148573</v>
      </c>
      <c r="S370" s="25">
        <f t="shared" ca="1" si="267"/>
        <v>4935241.2937183417</v>
      </c>
    </row>
    <row r="371" spans="1:19" ht="15.75" customHeight="1" x14ac:dyDescent="0.3">
      <c r="A371" s="37">
        <v>62245</v>
      </c>
      <c r="B371" s="398">
        <f t="shared" ref="B371:C371" si="372">($A371-B$9)/365.25</f>
        <v>88.539356605065024</v>
      </c>
      <c r="C371" s="398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3254.2644699519233</v>
      </c>
      <c r="H371" s="25">
        <f>IF(B371&lt;62,0,'Combined Retirement'!$I$14)</f>
        <v>2345</v>
      </c>
      <c r="I371" s="25">
        <f>IF(C371&lt;62,0,'Combined Retirement'!$I$13)</f>
        <v>2420</v>
      </c>
      <c r="J371" s="25">
        <f t="shared" si="263"/>
        <v>7896.2379798201846</v>
      </c>
      <c r="K371" s="25">
        <f t="shared" si="264"/>
        <v>20367.195264578786</v>
      </c>
      <c r="L371" s="25"/>
      <c r="N371" s="25">
        <f>'Combined Retirement'!$C$18/12</f>
        <v>39153.069999999992</v>
      </c>
      <c r="O371" s="25">
        <f t="shared" si="265"/>
        <v>10889.636755601023</v>
      </c>
      <c r="P371" s="25">
        <f t="shared" si="266"/>
        <v>28263.43324439897</v>
      </c>
      <c r="Q371" s="25">
        <f t="array" aca="1" ref="Q371" ca="1">INDEX('Isaac 401k'!L:L,MATCH('Retirement Calculator'!A371,'Isaac 401k'!N:N,0),0)</f>
        <v>1718124.8959695958</v>
      </c>
      <c r="R371" s="25">
        <f t="array" aca="1" ref="R371" ca="1">INDEX('Lorri 401b'!L:L,MATCH('Retirement Calculator'!A371,'Lorri 401b'!N:N,0),0)</f>
        <v>3209298.7055896549</v>
      </c>
      <c r="S371" s="25">
        <f t="shared" ca="1" si="267"/>
        <v>4927423.6015592506</v>
      </c>
    </row>
    <row r="372" spans="1:19" ht="15.75" customHeight="1" x14ac:dyDescent="0.3">
      <c r="A372" s="37">
        <v>62275</v>
      </c>
      <c r="B372" s="398">
        <f t="shared" ref="B372:C372" si="373">($A372-B$9)/365.25</f>
        <v>88.62149212867898</v>
      </c>
      <c r="C372" s="398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3254.2644699519233</v>
      </c>
      <c r="H372" s="25">
        <f>IF(B372&lt;62,0,'Combined Retirement'!$I$14)</f>
        <v>2345</v>
      </c>
      <c r="I372" s="25">
        <f>IF(C372&lt;62,0,'Combined Retirement'!$I$13)</f>
        <v>2420</v>
      </c>
      <c r="J372" s="25">
        <f t="shared" si="263"/>
        <v>7896.2379798201846</v>
      </c>
      <c r="K372" s="25">
        <f t="shared" si="264"/>
        <v>20367.195264578786</v>
      </c>
      <c r="L372" s="25"/>
      <c r="N372" s="25">
        <f>'Combined Retirement'!$C$18/12</f>
        <v>39153.069999999992</v>
      </c>
      <c r="O372" s="25">
        <f t="shared" si="265"/>
        <v>10889.636755601023</v>
      </c>
      <c r="P372" s="25">
        <f t="shared" si="266"/>
        <v>28263.43324439897</v>
      </c>
      <c r="Q372" s="25">
        <f t="array" aca="1" ref="Q372" ca="1">INDEX('Isaac 401k'!L:L,MATCH('Retirement Calculator'!A372,'Isaac 401k'!N:N,0),0)</f>
        <v>1717354.6107313996</v>
      </c>
      <c r="R372" s="25">
        <f t="array" aca="1" ref="R372" ca="1">INDEX('Lorri 401b'!L:L,MATCH('Retirement Calculator'!A372,'Lorri 401b'!N:N,0),0)</f>
        <v>3202218.7249514307</v>
      </c>
      <c r="S372" s="25">
        <f t="shared" ca="1" si="267"/>
        <v>4919573.3356828298</v>
      </c>
    </row>
    <row r="373" spans="1:19" ht="15.75" customHeight="1" x14ac:dyDescent="0.3">
      <c r="A373" s="37">
        <v>62306</v>
      </c>
      <c r="B373" s="398">
        <f t="shared" ref="B373:C373" si="374">($A373-B$9)/365.25</f>
        <v>88.706365503080079</v>
      </c>
      <c r="C373" s="398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3254.2644699519233</v>
      </c>
      <c r="H373" s="25">
        <f>IF(B373&lt;62,0,'Combined Retirement'!$I$14)</f>
        <v>2345</v>
      </c>
      <c r="I373" s="25">
        <f>IF(C373&lt;62,0,'Combined Retirement'!$I$13)</f>
        <v>2420</v>
      </c>
      <c r="J373" s="25">
        <f t="shared" si="263"/>
        <v>7896.2379798201846</v>
      </c>
      <c r="K373" s="25">
        <f t="shared" si="264"/>
        <v>20367.195264578786</v>
      </c>
      <c r="L373" s="25"/>
      <c r="N373" s="25">
        <f>'Combined Retirement'!$C$18/12</f>
        <v>39153.069999999992</v>
      </c>
      <c r="O373" s="25">
        <f t="shared" si="265"/>
        <v>10889.636755601023</v>
      </c>
      <c r="P373" s="25">
        <f t="shared" si="266"/>
        <v>28263.43324439897</v>
      </c>
      <c r="Q373" s="25">
        <f t="array" aca="1" ref="Q373" ca="1">INDEX('Isaac 401k'!L:L,MATCH('Retirement Calculator'!A373,'Isaac 401k'!N:N,0),0)</f>
        <v>1716581.1159713776</v>
      </c>
      <c r="R373" s="25">
        <f t="array" aca="1" ref="R373" ca="1">INDEX('Lorri 401b'!L:L,MATCH('Retirement Calculator'!A373,'Lorri 401b'!N:N,0),0)</f>
        <v>3195109.2443938805</v>
      </c>
      <c r="S373" s="25">
        <f t="shared" ca="1" si="267"/>
        <v>4911690.3603652585</v>
      </c>
    </row>
    <row r="374" spans="1:19" ht="15.75" customHeight="1" x14ac:dyDescent="0.3">
      <c r="A374" s="37">
        <v>62337</v>
      </c>
      <c r="B374" s="398">
        <f t="shared" ref="B374:C374" si="375">($A374-B$9)/365.25</f>
        <v>88.791238877481177</v>
      </c>
      <c r="C374" s="398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3254.2644699519233</v>
      </c>
      <c r="H374" s="25">
        <f>IF(B374&lt;62,0,'Combined Retirement'!$I$14)</f>
        <v>2345</v>
      </c>
      <c r="I374" s="25">
        <f>IF(C374&lt;62,0,'Combined Retirement'!$I$13)</f>
        <v>2420</v>
      </c>
      <c r="J374" s="25">
        <f t="shared" si="263"/>
        <v>7896.2379798201846</v>
      </c>
      <c r="K374" s="25">
        <f t="shared" si="264"/>
        <v>20367.195264578786</v>
      </c>
      <c r="L374" s="25"/>
      <c r="N374" s="25">
        <f>'Combined Retirement'!$C$18/12</f>
        <v>39153.069999999992</v>
      </c>
      <c r="O374" s="25">
        <f t="shared" si="265"/>
        <v>10889.636755601023</v>
      </c>
      <c r="P374" s="25">
        <f t="shared" si="266"/>
        <v>28263.43324439897</v>
      </c>
      <c r="Q374" s="25">
        <f t="array" aca="1" ref="Q374" ca="1">INDEX('Isaac 401k'!L:L,MATCH('Retirement Calculator'!A374,'Isaac 401k'!N:N,0),0)</f>
        <v>1715804.3983165221</v>
      </c>
      <c r="R374" s="25">
        <f t="array" aca="1" ref="R374" ca="1">INDEX('Lorri 401b'!L:L,MATCH('Retirement Calculator'!A374,'Lorri 401b'!N:N,0),0)</f>
        <v>3187970.1410006736</v>
      </c>
      <c r="S374" s="25">
        <f t="shared" ca="1" si="267"/>
        <v>4903774.5393171962</v>
      </c>
    </row>
    <row r="375" spans="1:19" ht="15.75" customHeight="1" x14ac:dyDescent="0.3">
      <c r="A375" s="37">
        <v>62367</v>
      </c>
      <c r="B375" s="398">
        <f t="shared" ref="B375:C375" si="376">($A375-B$9)/365.25</f>
        <v>88.873374401095134</v>
      </c>
      <c r="C375" s="398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3254.2644699519233</v>
      </c>
      <c r="H375" s="25">
        <f>IF(B375&lt;62,0,'Combined Retirement'!$I$14)</f>
        <v>2345</v>
      </c>
      <c r="I375" s="25">
        <f>IF(C375&lt;62,0,'Combined Retirement'!$I$13)</f>
        <v>2420</v>
      </c>
      <c r="J375" s="25">
        <f t="shared" si="263"/>
        <v>7896.2379798201846</v>
      </c>
      <c r="K375" s="25">
        <f t="shared" si="264"/>
        <v>20367.195264578786</v>
      </c>
      <c r="L375" s="25"/>
      <c r="N375" s="25">
        <f>'Combined Retirement'!$C$18/12</f>
        <v>39153.069999999992</v>
      </c>
      <c r="O375" s="25">
        <f t="shared" si="265"/>
        <v>10889.636755601023</v>
      </c>
      <c r="P375" s="25">
        <f t="shared" si="266"/>
        <v>28263.43324439897</v>
      </c>
      <c r="Q375" s="25">
        <f t="array" aca="1" ref="Q375" ca="1">INDEX('Isaac 401k'!L:L,MATCH('Retirement Calculator'!A375,'Isaac 401k'!N:N,0),0)</f>
        <v>1715024.4443381049</v>
      </c>
      <c r="R375" s="25">
        <f t="array" aca="1" ref="R375" ca="1">INDEX('Lorri 401b'!L:L,MATCH('Retirement Calculator'!A375,'Lorri 401b'!N:N,0),0)</f>
        <v>3180801.2913433285</v>
      </c>
      <c r="S375" s="25">
        <f t="shared" ca="1" si="267"/>
        <v>4895825.7356814332</v>
      </c>
    </row>
    <row r="376" spans="1:19" ht="15.75" customHeight="1" x14ac:dyDescent="0.3">
      <c r="A376" s="37">
        <v>62398</v>
      </c>
      <c r="B376" s="398">
        <f t="shared" ref="B376:C376" si="377">($A376-B$9)/365.25</f>
        <v>88.958247775496233</v>
      </c>
      <c r="C376" s="398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3254.2644699519233</v>
      </c>
      <c r="H376" s="25">
        <f>IF(B376&lt;62,0,'Combined Retirement'!$I$14)</f>
        <v>2345</v>
      </c>
      <c r="I376" s="25">
        <f>IF(C376&lt;62,0,'Combined Retirement'!$I$13)</f>
        <v>2420</v>
      </c>
      <c r="J376" s="25">
        <f t="shared" si="263"/>
        <v>7896.2379798201846</v>
      </c>
      <c r="K376" s="25">
        <f t="shared" si="264"/>
        <v>20367.195264578786</v>
      </c>
      <c r="L376" s="25"/>
      <c r="N376" s="25">
        <f>'Combined Retirement'!$C$18/12</f>
        <v>39153.069999999992</v>
      </c>
      <c r="O376" s="25">
        <f t="shared" si="265"/>
        <v>10889.636755601023</v>
      </c>
      <c r="P376" s="25">
        <f t="shared" si="266"/>
        <v>28263.43324439897</v>
      </c>
      <c r="Q376" s="25">
        <f t="array" aca="1" ref="Q376" ca="1">INDEX('Isaac 401k'!L:L,MATCH('Retirement Calculator'!A376,'Isaac 401k'!N:N,0),0)</f>
        <v>1714241.2405514442</v>
      </c>
      <c r="R376" s="25">
        <f t="array" aca="1" ref="R376" ca="1">INDEX('Lorri 401b'!L:L,MATCH('Retirement Calculator'!A376,'Lorri 401b'!N:N,0),0)</f>
        <v>3173602.5714790779</v>
      </c>
      <c r="S376" s="25">
        <f t="shared" ca="1" si="267"/>
        <v>4887843.8120305222</v>
      </c>
    </row>
    <row r="377" spans="1:19" ht="15.75" customHeight="1" x14ac:dyDescent="0.3">
      <c r="A377" s="37">
        <v>62428</v>
      </c>
      <c r="B377" s="398">
        <f t="shared" ref="B377:C377" si="378">($A377-B$9)/365.25</f>
        <v>89.040383299110204</v>
      </c>
      <c r="C377" s="398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3254.2644699519233</v>
      </c>
      <c r="H377" s="25">
        <f>IF(B377&lt;62,0,'Combined Retirement'!$I$14)</f>
        <v>2345</v>
      </c>
      <c r="I377" s="25">
        <f>IF(C377&lt;62,0,'Combined Retirement'!$I$13)</f>
        <v>2420</v>
      </c>
      <c r="J377" s="25">
        <f t="shared" si="263"/>
        <v>7896.2379798201846</v>
      </c>
      <c r="K377" s="25">
        <f t="shared" si="264"/>
        <v>20367.195264578786</v>
      </c>
      <c r="L377" s="25"/>
      <c r="N377" s="25">
        <f>'Combined Retirement'!$C$18/12</f>
        <v>39153.069999999992</v>
      </c>
      <c r="O377" s="25">
        <f t="shared" si="265"/>
        <v>10889.636755601023</v>
      </c>
      <c r="P377" s="25">
        <f t="shared" si="266"/>
        <v>28263.43324439897</v>
      </c>
      <c r="Q377" s="25">
        <f t="array" aca="1" ref="Q377" ca="1">INDEX('Isaac 401k'!L:L,MATCH('Retirement Calculator'!A377,'Isaac 401k'!N:N,0),0)</f>
        <v>1713454.7734156724</v>
      </c>
      <c r="R377" s="25">
        <f t="array" aca="1" ref="R377" ca="1">INDEX('Lorri 401b'!L:L,MATCH('Retirement Calculator'!A377,'Lorri 401b'!N:N,0),0)</f>
        <v>3166373.8569487263</v>
      </c>
      <c r="S377" s="25">
        <f t="shared" ca="1" si="267"/>
        <v>4879828.6303643985</v>
      </c>
    </row>
    <row r="378" spans="1:19" ht="15.75" customHeight="1" x14ac:dyDescent="0.3">
      <c r="A378" s="37">
        <v>62459</v>
      </c>
      <c r="B378" s="398">
        <f t="shared" ref="B378:C378" si="379">($A378-B$9)/365.25</f>
        <v>89.125256673511288</v>
      </c>
      <c r="C378" s="398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3254.2644699519233</v>
      </c>
      <c r="H378" s="25">
        <f>IF(B378&lt;62,0,'Combined Retirement'!$I$14)</f>
        <v>2345</v>
      </c>
      <c r="I378" s="25">
        <f>IF(C378&lt;62,0,'Combined Retirement'!$I$13)</f>
        <v>2420</v>
      </c>
      <c r="J378" s="25">
        <f t="shared" si="263"/>
        <v>7896.2379798201846</v>
      </c>
      <c r="K378" s="25">
        <f t="shared" si="264"/>
        <v>20367.195264578786</v>
      </c>
      <c r="L378" s="25"/>
      <c r="N378" s="25">
        <f>'Combined Retirement'!$C$18/12</f>
        <v>39153.069999999992</v>
      </c>
      <c r="O378" s="25">
        <f t="shared" si="265"/>
        <v>10889.636755601023</v>
      </c>
      <c r="P378" s="25">
        <f t="shared" si="266"/>
        <v>28263.43324439897</v>
      </c>
      <c r="Q378" s="25">
        <f t="array" aca="1" ref="Q378" ca="1">INDEX('Isaac 401k'!L:L,MATCH('Retirement Calculator'!A378,'Isaac 401k'!N:N,0),0)</f>
        <v>1712665.0293335016</v>
      </c>
      <c r="R378" s="25">
        <f t="array" aca="1" ref="R378" ca="1">INDEX('Lorri 401b'!L:L,MATCH('Retirement Calculator'!A378,'Lorri 401b'!N:N,0),0)</f>
        <v>3159115.022774498</v>
      </c>
      <c r="S378" s="25">
        <f t="shared" ca="1" si="267"/>
        <v>4871780.0521079991</v>
      </c>
    </row>
    <row r="379" spans="1:19" ht="15.75" customHeight="1" x14ac:dyDescent="0.3">
      <c r="A379" s="37">
        <v>62490</v>
      </c>
      <c r="B379" s="398">
        <f t="shared" ref="B379:C379" si="380">($A379-B$9)/365.25</f>
        <v>89.210130047912386</v>
      </c>
      <c r="C379" s="398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3254.2644699519233</v>
      </c>
      <c r="H379" s="25">
        <f>IF(B379&lt;62,0,'Combined Retirement'!$I$14)</f>
        <v>2345</v>
      </c>
      <c r="I379" s="25">
        <f>IF(C379&lt;62,0,'Combined Retirement'!$I$13)</f>
        <v>2420</v>
      </c>
      <c r="J379" s="25">
        <f t="shared" si="263"/>
        <v>7896.2379798201846</v>
      </c>
      <c r="K379" s="25">
        <f t="shared" si="264"/>
        <v>20367.195264578786</v>
      </c>
      <c r="L379" s="25"/>
      <c r="N379" s="25">
        <f>'Combined Retirement'!$C$18/12</f>
        <v>39153.069999999992</v>
      </c>
      <c r="O379" s="25">
        <f t="shared" si="265"/>
        <v>10889.636755601023</v>
      </c>
      <c r="P379" s="25">
        <f t="shared" si="266"/>
        <v>28263.43324439897</v>
      </c>
      <c r="Q379" s="25">
        <f t="array" aca="1" ref="Q379" ca="1">INDEX('Isaac 401k'!L:L,MATCH('Retirement Calculator'!A379,'Isaac 401k'!N:N,0),0)</f>
        <v>1711871.9946509884</v>
      </c>
      <c r="R379" s="25">
        <f t="array" aca="1" ref="R379" ca="1">INDEX('Lorri 401b'!L:L,MATCH('Retirement Calculator'!A379,'Lorri 401b'!N:N,0),0)</f>
        <v>3151825.9434578773</v>
      </c>
      <c r="S379" s="25">
        <f t="shared" ca="1" si="267"/>
        <v>4863697.9381088652</v>
      </c>
    </row>
    <row r="380" spans="1:19" ht="15.75" customHeight="1" x14ac:dyDescent="0.3">
      <c r="A380" s="37">
        <v>62518</v>
      </c>
      <c r="B380" s="398">
        <f t="shared" ref="B380:C380" si="381">($A380-B$9)/365.25</f>
        <v>89.286789869952088</v>
      </c>
      <c r="C380" s="398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3254.2644699519233</v>
      </c>
      <c r="H380" s="25">
        <f>IF(B380&lt;62,0,'Combined Retirement'!$I$14)</f>
        <v>2345</v>
      </c>
      <c r="I380" s="25">
        <f>IF(C380&lt;62,0,'Combined Retirement'!$I$13)</f>
        <v>2420</v>
      </c>
      <c r="J380" s="25">
        <f t="shared" si="263"/>
        <v>7896.2379798201846</v>
      </c>
      <c r="K380" s="25">
        <f t="shared" si="264"/>
        <v>20367.195264578786</v>
      </c>
      <c r="L380" s="25"/>
      <c r="N380" s="25">
        <f>'Combined Retirement'!$C$18/12</f>
        <v>39153.069999999992</v>
      </c>
      <c r="O380" s="25">
        <f t="shared" si="265"/>
        <v>10889.636755601023</v>
      </c>
      <c r="P380" s="25">
        <f t="shared" si="266"/>
        <v>28263.43324439897</v>
      </c>
      <c r="Q380" s="25">
        <f t="array" aca="1" ref="Q380" ca="1">INDEX('Isaac 401k'!L:L,MATCH('Retirement Calculator'!A380,'Isaac 401k'!N:N,0),0)</f>
        <v>1711075.6556572979</v>
      </c>
      <c r="R380" s="25">
        <f t="array" aca="1" ref="R380" ca="1">INDEX('Lorri 401b'!L:L,MATCH('Retirement Calculator'!A380,'Lorri 401b'!N:N,0),0)</f>
        <v>3144506.4929774371</v>
      </c>
      <c r="S380" s="25">
        <f t="shared" ca="1" si="267"/>
        <v>4855582.1486347355</v>
      </c>
    </row>
    <row r="381" spans="1:19" ht="15.75" customHeight="1" x14ac:dyDescent="0.3">
      <c r="A381" s="37">
        <v>62549</v>
      </c>
      <c r="B381" s="398">
        <f t="shared" ref="B381:C381" si="382">($A381-B$9)/365.25</f>
        <v>89.371663244353186</v>
      </c>
      <c r="C381" s="398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3254.2644699519233</v>
      </c>
      <c r="H381" s="25">
        <f>IF(B381&lt;62,0,'Combined Retirement'!$I$14)</f>
        <v>2345</v>
      </c>
      <c r="I381" s="25">
        <f>IF(C381&lt;62,0,'Combined Retirement'!$I$13)</f>
        <v>2420</v>
      </c>
      <c r="J381" s="25">
        <f t="shared" si="263"/>
        <v>7896.2379798201846</v>
      </c>
      <c r="K381" s="25">
        <f t="shared" si="264"/>
        <v>20367.195264578786</v>
      </c>
      <c r="L381" s="25"/>
      <c r="N381" s="25">
        <f>'Combined Retirement'!$C$18/12</f>
        <v>39153.069999999992</v>
      </c>
      <c r="O381" s="25">
        <f t="shared" si="265"/>
        <v>10889.636755601023</v>
      </c>
      <c r="P381" s="25">
        <f t="shared" si="266"/>
        <v>28263.43324439897</v>
      </c>
      <c r="Q381" s="25">
        <f t="array" aca="1" ref="Q381" ca="1">INDEX('Isaac 401k'!L:L,MATCH('Retirement Calculator'!A381,'Isaac 401k'!N:N,0),0)</f>
        <v>1710275.9985844672</v>
      </c>
      <c r="R381" s="25">
        <f t="array" aca="1" ref="R381" ca="1">INDEX('Lorri 401b'!L:L,MATCH('Retirement Calculator'!A381,'Lorri 401b'!N:N,0),0)</f>
        <v>3137156.5447866619</v>
      </c>
      <c r="S381" s="25">
        <f t="shared" ca="1" si="267"/>
        <v>4847432.5433711288</v>
      </c>
    </row>
    <row r="382" spans="1:19" ht="15.75" customHeight="1" x14ac:dyDescent="0.3">
      <c r="A382" s="37">
        <v>62579</v>
      </c>
      <c r="B382" s="398">
        <f t="shared" ref="B382:C382" si="383">($A382-B$9)/365.25</f>
        <v>89.453798767967143</v>
      </c>
      <c r="C382" s="398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3254.2644699519233</v>
      </c>
      <c r="H382" s="25">
        <f>IF(B382&lt;62,0,'Combined Retirement'!$I$14)</f>
        <v>2345</v>
      </c>
      <c r="I382" s="25">
        <f>IF(C382&lt;62,0,'Combined Retirement'!$I$13)</f>
        <v>2420</v>
      </c>
      <c r="J382" s="25">
        <f t="shared" si="263"/>
        <v>7896.2379798201846</v>
      </c>
      <c r="K382" s="25">
        <f t="shared" si="264"/>
        <v>20367.195264578786</v>
      </c>
      <c r="L382" s="25"/>
      <c r="N382" s="25">
        <f>'Combined Retirement'!$C$18/12</f>
        <v>39153.069999999992</v>
      </c>
      <c r="O382" s="25">
        <f t="shared" si="265"/>
        <v>10889.636755601023</v>
      </c>
      <c r="P382" s="25">
        <f t="shared" si="266"/>
        <v>28263.43324439897</v>
      </c>
      <c r="Q382" s="25">
        <f t="array" aca="1" ref="Q382" ca="1">INDEX('Isaac 401k'!L:L,MATCH('Retirement Calculator'!A382,'Isaac 401k'!N:N,0),0)</f>
        <v>1709473.0096071663</v>
      </c>
      <c r="R382" s="25">
        <f t="array" aca="1" ref="R382" ca="1">INDEX('Lorri 401b'!L:L,MATCH('Retirement Calculator'!A382,'Lorri 401b'!N:N,0),0)</f>
        <v>3129775.9718117584</v>
      </c>
      <c r="S382" s="25">
        <f t="shared" ca="1" si="267"/>
        <v>4839248.9814189244</v>
      </c>
    </row>
    <row r="383" spans="1:19" ht="15.75" customHeight="1" x14ac:dyDescent="0.3">
      <c r="A383" s="37">
        <v>62610</v>
      </c>
      <c r="B383" s="398">
        <f t="shared" ref="B383:C383" si="384">($A383-B$9)/365.25</f>
        <v>89.538672142368242</v>
      </c>
      <c r="C383" s="398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3254.2644699519233</v>
      </c>
      <c r="H383" s="25">
        <f>IF(B383&lt;62,0,'Combined Retirement'!$I$14)</f>
        <v>2345</v>
      </c>
      <c r="I383" s="25">
        <f>IF(C383&lt;62,0,'Combined Retirement'!$I$13)</f>
        <v>2420</v>
      </c>
      <c r="J383" s="25">
        <f t="shared" si="263"/>
        <v>7896.2379798201846</v>
      </c>
      <c r="K383" s="25">
        <f t="shared" si="264"/>
        <v>20367.195264578786</v>
      </c>
      <c r="L383" s="25"/>
      <c r="N383" s="25">
        <f>'Combined Retirement'!$C$18/12</f>
        <v>39153.069999999992</v>
      </c>
      <c r="O383" s="25">
        <f t="shared" si="265"/>
        <v>10889.636755601023</v>
      </c>
      <c r="P383" s="25">
        <f t="shared" si="266"/>
        <v>28263.43324439897</v>
      </c>
      <c r="Q383" s="25">
        <f t="array" aca="1" ref="Q383" ca="1">INDEX('Isaac 401k'!L:L,MATCH('Retirement Calculator'!A383,'Isaac 401k'!N:N,0),0)</f>
        <v>1708666.6748424601</v>
      </c>
      <c r="R383" s="25">
        <f t="array" aca="1" ref="R383" ca="1">INDEX('Lorri 401b'!L:L,MATCH('Retirement Calculator'!A383,'Lorri 401b'!N:N,0),0)</f>
        <v>3122364.6464494593</v>
      </c>
      <c r="S383" s="25">
        <f t="shared" ca="1" si="267"/>
        <v>4831031.3212919198</v>
      </c>
    </row>
    <row r="384" spans="1:19" ht="15.75" customHeight="1" x14ac:dyDescent="0.3">
      <c r="A384" s="37">
        <v>62640</v>
      </c>
      <c r="B384" s="398">
        <f t="shared" ref="B384:C384" si="385">($A384-B$9)/365.25</f>
        <v>89.620807665982198</v>
      </c>
      <c r="C384" s="398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3254.2644699519233</v>
      </c>
      <c r="H384" s="25">
        <f>IF(B384&lt;62,0,'Combined Retirement'!$I$14)</f>
        <v>2345</v>
      </c>
      <c r="I384" s="25">
        <f>IF(C384&lt;62,0,'Combined Retirement'!$I$13)</f>
        <v>2420</v>
      </c>
      <c r="J384" s="25">
        <f t="shared" si="263"/>
        <v>7896.2379798201846</v>
      </c>
      <c r="K384" s="25">
        <f t="shared" si="264"/>
        <v>20367.195264578786</v>
      </c>
      <c r="L384" s="25"/>
      <c r="N384" s="25">
        <f>'Combined Retirement'!$C$18/12</f>
        <v>39153.069999999992</v>
      </c>
      <c r="O384" s="25">
        <f t="shared" si="265"/>
        <v>10889.636755601023</v>
      </c>
      <c r="P384" s="25">
        <f t="shared" si="266"/>
        <v>28263.43324439897</v>
      </c>
      <c r="Q384" s="25">
        <f t="array" aca="1" ref="Q384" ca="1">INDEX('Isaac 401k'!L:L,MATCH('Retirement Calculator'!A384,'Isaac 401k'!N:N,0),0)</f>
        <v>1707856.9803495675</v>
      </c>
      <c r="R384" s="25">
        <f t="array" aca="1" ref="R384" ca="1">INDEX('Lorri 401b'!L:L,MATCH('Retirement Calculator'!A384,'Lorri 401b'!N:N,0),0)</f>
        <v>3114922.4405648173</v>
      </c>
      <c r="S384" s="25">
        <f t="shared" ca="1" si="267"/>
        <v>4822779.4209143845</v>
      </c>
    </row>
    <row r="385" spans="1:19" ht="15.75" customHeight="1" x14ac:dyDescent="0.3">
      <c r="A385" s="37">
        <v>62671</v>
      </c>
      <c r="B385" s="398">
        <f t="shared" ref="B385:C385" si="386">($A385-B$9)/365.25</f>
        <v>89.705681040383297</v>
      </c>
      <c r="C385" s="398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3254.2644699519233</v>
      </c>
      <c r="H385" s="25">
        <f>IF(B385&lt;62,0,'Combined Retirement'!$I$14)</f>
        <v>2345</v>
      </c>
      <c r="I385" s="25">
        <f>IF(C385&lt;62,0,'Combined Retirement'!$I$13)</f>
        <v>2420</v>
      </c>
      <c r="J385" s="25">
        <f t="shared" si="263"/>
        <v>7896.2379798201846</v>
      </c>
      <c r="K385" s="25">
        <f t="shared" si="264"/>
        <v>20367.195264578786</v>
      </c>
      <c r="L385" s="25"/>
      <c r="N385" s="25">
        <f>'Combined Retirement'!$C$18/12</f>
        <v>39153.069999999992</v>
      </c>
      <c r="O385" s="25">
        <f t="shared" si="265"/>
        <v>10889.636755601023</v>
      </c>
      <c r="P385" s="25">
        <f t="shared" si="266"/>
        <v>28263.43324439897</v>
      </c>
      <c r="Q385" s="25">
        <f t="array" aca="1" ref="Q385" ca="1">INDEX('Isaac 401k'!L:L,MATCH('Retirement Calculator'!A385,'Isaac 401k'!N:N,0),0)</f>
        <v>1707043.9121296213</v>
      </c>
      <c r="R385" s="25">
        <f t="array" aca="1" ref="R385" ca="1">INDEX('Lorri 401b'!L:L,MATCH('Retirement Calculator'!A385,'Lorri 401b'!N:N,0),0)</f>
        <v>3107449.2254889896</v>
      </c>
      <c r="S385" s="25">
        <f t="shared" ca="1" si="267"/>
        <v>4814493.1376186106</v>
      </c>
    </row>
    <row r="386" spans="1:19" ht="15.75" customHeight="1" x14ac:dyDescent="0.3">
      <c r="A386" s="37">
        <v>62702</v>
      </c>
      <c r="B386" s="398">
        <f t="shared" ref="B386:C386" si="387">($A386-B$9)/365.25</f>
        <v>89.790554414784395</v>
      </c>
      <c r="C386" s="398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3254.2644699519233</v>
      </c>
      <c r="H386" s="25">
        <f>IF(B386&lt;62,0,'Combined Retirement'!$I$14)</f>
        <v>2345</v>
      </c>
      <c r="I386" s="25">
        <f>IF(C386&lt;62,0,'Combined Retirement'!$I$13)</f>
        <v>2420</v>
      </c>
      <c r="J386" s="25">
        <f t="shared" si="263"/>
        <v>7896.2379798201846</v>
      </c>
      <c r="K386" s="25">
        <f t="shared" si="264"/>
        <v>20367.195264578786</v>
      </c>
      <c r="L386" s="25"/>
      <c r="N386" s="25">
        <f>'Combined Retirement'!$C$18/12</f>
        <v>39153.069999999992</v>
      </c>
      <c r="O386" s="25">
        <f t="shared" si="265"/>
        <v>10889.636755601023</v>
      </c>
      <c r="P386" s="25">
        <f t="shared" si="266"/>
        <v>28263.43324439897</v>
      </c>
      <c r="Q386" s="25">
        <f t="array" aca="1" ref="Q386" ca="1">INDEX('Isaac 401k'!L:L,MATCH('Retirement Calculator'!A386,'Isaac 401k'!N:N,0),0)</f>
        <v>1706227.4561254252</v>
      </c>
      <c r="R386" s="25">
        <f t="array" aca="1" ref="R386" ca="1">INDEX('Lorri 401b'!L:L,MATCH('Retirement Calculator'!A386,'Lorri 401b'!N:N,0),0)</f>
        <v>3099944.8720170124</v>
      </c>
      <c r="S386" s="25">
        <f t="shared" ca="1" si="267"/>
        <v>4806172.3281424381</v>
      </c>
    </row>
    <row r="387" spans="1:19" ht="15.75" customHeight="1" x14ac:dyDescent="0.3">
      <c r="A387" s="37">
        <v>62732</v>
      </c>
      <c r="B387" s="398">
        <f t="shared" ref="B387:C387" si="388">($A387-B$9)/365.25</f>
        <v>89.872689938398352</v>
      </c>
      <c r="C387" s="398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3254.2644699519233</v>
      </c>
      <c r="H387" s="25">
        <f>IF(B387&lt;62,0,'Combined Retirement'!$I$14)</f>
        <v>2345</v>
      </c>
      <c r="I387" s="25">
        <f>IF(C387&lt;62,0,'Combined Retirement'!$I$13)</f>
        <v>2420</v>
      </c>
      <c r="J387" s="25">
        <f t="shared" si="263"/>
        <v>7896.2379798201846</v>
      </c>
      <c r="K387" s="25">
        <f t="shared" si="264"/>
        <v>20367.195264578786</v>
      </c>
      <c r="L387" s="25"/>
      <c r="N387" s="25">
        <f>'Combined Retirement'!$C$18/12</f>
        <v>39153.069999999992</v>
      </c>
      <c r="O387" s="25">
        <f t="shared" si="265"/>
        <v>10889.636755601023</v>
      </c>
      <c r="P387" s="25">
        <f t="shared" si="266"/>
        <v>28263.43324439897</v>
      </c>
      <c r="Q387" s="25">
        <f t="array" aca="1" ref="Q387" ca="1">INDEX('Isaac 401k'!L:L,MATCH('Retirement Calculator'!A387,'Isaac 401k'!N:N,0),0)</f>
        <v>1705407.5982212117</v>
      </c>
      <c r="R387" s="25">
        <f t="array" aca="1" ref="R387" ca="1">INDEX('Lorri 401b'!L:L,MATCH('Retirement Calculator'!A387,'Lorri 401b'!N:N,0),0)</f>
        <v>3092409.2504055686</v>
      </c>
      <c r="S387" s="25">
        <f t="shared" ca="1" si="267"/>
        <v>4797816.8486267803</v>
      </c>
    </row>
    <row r="388" spans="1:19" ht="15.75" customHeight="1" x14ac:dyDescent="0.3">
      <c r="A388" s="37">
        <v>62763</v>
      </c>
      <c r="B388" s="398">
        <f t="shared" ref="B388:C388" si="389">($A388-B$9)/365.25</f>
        <v>89.957563312799451</v>
      </c>
      <c r="C388" s="398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3254.2644699519233</v>
      </c>
      <c r="H388" s="25">
        <f>IF(B388&lt;62,0,'Combined Retirement'!$I$14)</f>
        <v>2345</v>
      </c>
      <c r="I388" s="25">
        <f>IF(C388&lt;62,0,'Combined Retirement'!$I$13)</f>
        <v>2420</v>
      </c>
      <c r="J388" s="25">
        <f t="shared" si="263"/>
        <v>7896.2379798201846</v>
      </c>
      <c r="K388" s="25">
        <f t="shared" si="264"/>
        <v>20367.195264578786</v>
      </c>
      <c r="L388" s="25"/>
      <c r="N388" s="25">
        <f>'Combined Retirement'!$C$18/12</f>
        <v>39153.069999999992</v>
      </c>
      <c r="O388" s="25">
        <f t="shared" si="265"/>
        <v>10889.636755601023</v>
      </c>
      <c r="P388" s="25">
        <f t="shared" si="266"/>
        <v>28263.43324439897</v>
      </c>
      <c r="Q388" s="25">
        <f t="array" aca="1" ref="Q388" ca="1">INDEX('Isaac 401k'!L:L,MATCH('Retirement Calculator'!A388,'Isaac 401k'!N:N,0),0)</f>
        <v>1704584.3242423972</v>
      </c>
      <c r="R388" s="25">
        <f t="array" aca="1" ref="R388" ca="1">INDEX('Lorri 401b'!L:L,MATCH('Retirement Calculator'!A388,'Lorri 401b'!N:N,0),0)</f>
        <v>3084842.2303707441</v>
      </c>
      <c r="S388" s="25">
        <f t="shared" ca="1" si="267"/>
        <v>4789426.5546131413</v>
      </c>
    </row>
    <row r="389" spans="1:19" ht="15.75" customHeight="1" x14ac:dyDescent="0.3">
      <c r="A389" s="37">
        <v>62793</v>
      </c>
      <c r="B389" s="398">
        <f t="shared" ref="B389:C389" si="390">($A389-B$9)/365.25</f>
        <v>90.039698836413422</v>
      </c>
      <c r="C389" s="398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3254.2644699519233</v>
      </c>
      <c r="H389" s="25">
        <f>IF(B389&lt;62,0,'Combined Retirement'!$I$14)</f>
        <v>2345</v>
      </c>
      <c r="I389" s="25">
        <f>IF(C389&lt;62,0,'Combined Retirement'!$I$13)</f>
        <v>2420</v>
      </c>
      <c r="J389" s="25">
        <f t="shared" si="263"/>
        <v>7896.2379798201846</v>
      </c>
      <c r="K389" s="25">
        <f t="shared" si="264"/>
        <v>20367.195264578786</v>
      </c>
      <c r="L389" s="25"/>
      <c r="N389" s="25">
        <f>'Combined Retirement'!$C$18/12</f>
        <v>39153.069999999992</v>
      </c>
      <c r="O389" s="25">
        <f t="shared" si="265"/>
        <v>10889.636755601023</v>
      </c>
      <c r="P389" s="25">
        <f t="shared" si="266"/>
        <v>28263.43324439897</v>
      </c>
      <c r="Q389" s="25">
        <f t="array" aca="1" ref="Q389" ca="1">INDEX('Isaac 401k'!L:L,MATCH('Retirement Calculator'!A389,'Isaac 401k'!N:N,0),0)</f>
        <v>1703757.6199553376</v>
      </c>
      <c r="R389" s="25">
        <f t="array" aca="1" ref="R389" ca="1">INDEX('Lorri 401b'!L:L,MATCH('Retirement Calculator'!A389,'Lorri 401b'!N:N,0),0)</f>
        <v>3077243.6810857742</v>
      </c>
      <c r="S389" s="25">
        <f t="shared" ca="1" si="267"/>
        <v>4781001.3010411114</v>
      </c>
    </row>
    <row r="390" spans="1:19" ht="15.75" customHeight="1" x14ac:dyDescent="0.3">
      <c r="A390" s="37">
        <v>62824</v>
      </c>
      <c r="B390" s="398">
        <f t="shared" ref="B390:C390" si="391">($A390-B$9)/365.25</f>
        <v>90.124572210814506</v>
      </c>
      <c r="C390" s="398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3254.2644699519233</v>
      </c>
      <c r="H390" s="25">
        <f>IF(B390&lt;62,0,'Combined Retirement'!$I$14)</f>
        <v>2345</v>
      </c>
      <c r="I390" s="25">
        <f>IF(C390&lt;62,0,'Combined Retirement'!$I$13)</f>
        <v>2420</v>
      </c>
      <c r="J390" s="25">
        <f t="shared" si="263"/>
        <v>7896.2379798201846</v>
      </c>
      <c r="K390" s="25">
        <f t="shared" si="264"/>
        <v>20367.195264578786</v>
      </c>
      <c r="L390" s="25"/>
      <c r="N390" s="25">
        <f>'Combined Retirement'!$C$18/12</f>
        <v>39153.069999999992</v>
      </c>
      <c r="O390" s="25">
        <f t="shared" si="265"/>
        <v>10889.636755601023</v>
      </c>
      <c r="P390" s="25">
        <f t="shared" si="266"/>
        <v>28263.43324439897</v>
      </c>
      <c r="Q390" s="25">
        <f t="array" aca="1" ref="Q390" ca="1">INDEX('Isaac 401k'!L:L,MATCH('Retirement Calculator'!A390,'Isaac 401k'!N:N,0),0)</f>
        <v>1702927.4710670821</v>
      </c>
      <c r="R390" s="25">
        <f t="array" aca="1" ref="R390" ca="1">INDEX('Lorri 401b'!L:L,MATCH('Retirement Calculator'!A390,'Lorri 401b'!N:N,0),0)</f>
        <v>3069613.4711787836</v>
      </c>
      <c r="S390" s="25">
        <f t="shared" ca="1" si="267"/>
        <v>4772540.9422458652</v>
      </c>
    </row>
    <row r="391" spans="1:19" ht="15.75" customHeight="1" x14ac:dyDescent="0.3">
      <c r="A391" s="37">
        <v>62855</v>
      </c>
      <c r="B391" s="398">
        <f t="shared" ref="B391:C391" si="392">($A391-B$9)/365.25</f>
        <v>90.209445585215605</v>
      </c>
      <c r="C391" s="398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3254.2644699519233</v>
      </c>
      <c r="H391" s="25">
        <f>IF(B391&lt;62,0,'Combined Retirement'!$I$14)</f>
        <v>2345</v>
      </c>
      <c r="I391" s="25">
        <f>IF(C391&lt;62,0,'Combined Retirement'!$I$13)</f>
        <v>2420</v>
      </c>
      <c r="J391" s="25">
        <f t="shared" si="263"/>
        <v>7896.2379798201846</v>
      </c>
      <c r="K391" s="25">
        <f t="shared" si="264"/>
        <v>20367.195264578786</v>
      </c>
      <c r="L391" s="25"/>
      <c r="N391" s="25">
        <f>'Combined Retirement'!$C$18/12</f>
        <v>39153.069999999992</v>
      </c>
      <c r="O391" s="25">
        <f t="shared" si="265"/>
        <v>10889.636755601023</v>
      </c>
      <c r="P391" s="25">
        <f t="shared" si="266"/>
        <v>28263.43324439897</v>
      </c>
      <c r="Q391" s="25">
        <f t="array" aca="1" ref="Q391" ca="1">INDEX('Isaac 401k'!L:L,MATCH('Retirement Calculator'!A391,'Isaac 401k'!N:N,0),0)</f>
        <v>1702093.8632251255</v>
      </c>
      <c r="R391" s="25">
        <f t="array" aca="1" ref="R391" ca="1">INDEX('Lorri 401b'!L:L,MATCH('Retirement Calculator'!A391,'Lorri 401b'!N:N,0),0)</f>
        <v>3061951.4687305139</v>
      </c>
      <c r="S391" s="25">
        <f t="shared" ca="1" si="267"/>
        <v>4764045.3319556396</v>
      </c>
    </row>
    <row r="392" spans="1:19" ht="15.75" customHeight="1" x14ac:dyDescent="0.3">
      <c r="A392" s="37">
        <v>62884</v>
      </c>
      <c r="B392" s="398">
        <f t="shared" ref="B392:C392" si="393">($A392-B$9)/365.25</f>
        <v>90.288843258042434</v>
      </c>
      <c r="C392" s="398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3254.2644699519233</v>
      </c>
      <c r="H392" s="25">
        <f>IF(B392&lt;62,0,'Combined Retirement'!$I$14)</f>
        <v>2345</v>
      </c>
      <c r="I392" s="25">
        <f>IF(C392&lt;62,0,'Combined Retirement'!$I$13)</f>
        <v>2420</v>
      </c>
      <c r="J392" s="25">
        <f t="shared" si="263"/>
        <v>7896.2379798201846</v>
      </c>
      <c r="K392" s="25">
        <f t="shared" si="264"/>
        <v>20367.195264578786</v>
      </c>
      <c r="L392" s="25"/>
      <c r="N392" s="25">
        <f>'Combined Retirement'!$C$18/12</f>
        <v>39153.069999999992</v>
      </c>
      <c r="O392" s="25">
        <f t="shared" si="265"/>
        <v>10889.636755601023</v>
      </c>
      <c r="P392" s="25">
        <f t="shared" si="266"/>
        <v>28263.43324439897</v>
      </c>
      <c r="Q392" s="25">
        <f t="array" aca="1" ref="Q392" ca="1">INDEX('Isaac 401k'!L:L,MATCH('Retirement Calculator'!A392,'Isaac 401k'!N:N,0),0)</f>
        <v>1701256.7820171607</v>
      </c>
      <c r="R392" s="25">
        <f t="array" aca="1" ref="R392" ca="1">INDEX('Lorri 401b'!L:L,MATCH('Retirement Calculator'!A392,'Lorri 401b'!N:N,0),0)</f>
        <v>3054257.5412720433</v>
      </c>
      <c r="S392" s="25">
        <f t="shared" ca="1" si="267"/>
        <v>4755514.3232892044</v>
      </c>
    </row>
    <row r="393" spans="1:19" ht="15.75" customHeight="1" x14ac:dyDescent="0.3">
      <c r="A393" s="37">
        <v>62915</v>
      </c>
      <c r="B393" s="398">
        <f t="shared" ref="B393:C393" si="394">($A393-B$9)/365.25</f>
        <v>90.373716632443532</v>
      </c>
      <c r="C393" s="398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3254.2644699519233</v>
      </c>
      <c r="H393" s="25">
        <f>IF(B393&lt;62,0,'Combined Retirement'!$I$14)</f>
        <v>2345</v>
      </c>
      <c r="I393" s="25">
        <f>IF(C393&lt;62,0,'Combined Retirement'!$I$13)</f>
        <v>2420</v>
      </c>
      <c r="J393" s="25">
        <f t="shared" si="263"/>
        <v>7896.2379798201846</v>
      </c>
      <c r="K393" s="25">
        <f t="shared" si="264"/>
        <v>20367.195264578786</v>
      </c>
      <c r="L393" s="25"/>
      <c r="N393" s="25">
        <f>'Combined Retirement'!$C$18/12</f>
        <v>39153.069999999992</v>
      </c>
      <c r="O393" s="25">
        <f t="shared" si="265"/>
        <v>10889.636755601023</v>
      </c>
      <c r="P393" s="25">
        <f t="shared" si="266"/>
        <v>28263.43324439897</v>
      </c>
      <c r="Q393" s="25">
        <f t="array" aca="1" ref="Q393" ca="1">INDEX('Isaac 401k'!L:L,MATCH('Retirement Calculator'!A393,'Isaac 401k'!N:N,0),0)</f>
        <v>1700416.2129708293</v>
      </c>
      <c r="R393" s="25">
        <f t="array" aca="1" ref="R393" ca="1">INDEX('Lorri 401b'!L:L,MATCH('Retirement Calculator'!A393,'Lorri 401b'!N:N,0),0)</f>
        <v>3046531.5557824955</v>
      </c>
      <c r="S393" s="25">
        <f t="shared" ca="1" si="267"/>
        <v>4746947.7687533246</v>
      </c>
    </row>
    <row r="394" spans="1:19" ht="15.75" customHeight="1" x14ac:dyDescent="0.3">
      <c r="A394" s="37">
        <v>62945</v>
      </c>
      <c r="B394" s="398">
        <f t="shared" ref="B394:C394" si="395">($A394-B$9)/365.25</f>
        <v>90.455852156057489</v>
      </c>
      <c r="C394" s="398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3254.2644699519233</v>
      </c>
      <c r="H394" s="25">
        <f>IF(B394&lt;62,0,'Combined Retirement'!$I$14)</f>
        <v>2345</v>
      </c>
      <c r="I394" s="25">
        <f>IF(C394&lt;62,0,'Combined Retirement'!$I$13)</f>
        <v>2420</v>
      </c>
      <c r="J394" s="25">
        <f t="shared" si="263"/>
        <v>7896.2379798201846</v>
      </c>
      <c r="K394" s="25">
        <f t="shared" si="264"/>
        <v>20367.195264578786</v>
      </c>
      <c r="L394" s="25"/>
      <c r="N394" s="25">
        <f>'Combined Retirement'!$C$18/12</f>
        <v>39153.069999999992</v>
      </c>
      <c r="O394" s="25">
        <f t="shared" si="265"/>
        <v>10889.636755601023</v>
      </c>
      <c r="P394" s="25">
        <f t="shared" si="266"/>
        <v>28263.43324439897</v>
      </c>
      <c r="Q394" s="25">
        <f t="array" aca="1" ref="Q394" ca="1">INDEX('Isaac 401k'!L:L,MATCH('Retirement Calculator'!A394,'Isaac 401k'!N:N,0),0)</f>
        <v>1699572.1415534716</v>
      </c>
      <c r="R394" s="25">
        <f t="array" aca="1" ref="R394" ca="1">INDEX('Lorri 401b'!L:L,MATCH('Retirement Calculator'!A394,'Lorri 401b'!N:N,0),0)</f>
        <v>3038773.3786867415</v>
      </c>
      <c r="S394" s="25">
        <f t="shared" ca="1" si="267"/>
        <v>4738345.5202402128</v>
      </c>
    </row>
    <row r="395" spans="1:19" ht="15.75" customHeight="1" x14ac:dyDescent="0.3">
      <c r="A395" s="37">
        <v>62976</v>
      </c>
      <c r="B395" s="398">
        <f t="shared" ref="B395:C395" si="396">($A395-B$9)/365.25</f>
        <v>90.540725530458587</v>
      </c>
      <c r="C395" s="398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3254.2644699519233</v>
      </c>
      <c r="H395" s="25">
        <f>IF(B395&lt;62,0,'Combined Retirement'!$I$14)</f>
        <v>2345</v>
      </c>
      <c r="I395" s="25">
        <f>IF(C395&lt;62,0,'Combined Retirement'!$I$13)</f>
        <v>2420</v>
      </c>
      <c r="J395" s="25">
        <f t="shared" si="263"/>
        <v>7896.2379798201846</v>
      </c>
      <c r="K395" s="25">
        <f t="shared" si="264"/>
        <v>20367.195264578786</v>
      </c>
      <c r="L395" s="25"/>
      <c r="N395" s="25">
        <f>'Combined Retirement'!$C$18/12</f>
        <v>39153.069999999992</v>
      </c>
      <c r="O395" s="25">
        <f t="shared" si="265"/>
        <v>10889.636755601023</v>
      </c>
      <c r="P395" s="25">
        <f t="shared" si="266"/>
        <v>28263.43324439897</v>
      </c>
      <c r="Q395" s="25">
        <f t="array" aca="1" ref="Q395" ca="1">INDEX('Isaac 401k'!L:L,MATCH('Retirement Calculator'!A395,'Isaac 401k'!N:N,0),0)</f>
        <v>1698724.553171875</v>
      </c>
      <c r="R395" s="25">
        <f t="array" aca="1" ref="R395" ca="1">INDEX('Lorri 401b'!L:L,MATCH('Retirement Calculator'!A395,'Lorri 401b'!N:N,0),0)</f>
        <v>3030982.8758530882</v>
      </c>
      <c r="S395" s="25">
        <f t="shared" ca="1" si="267"/>
        <v>4729707.4290249627</v>
      </c>
    </row>
    <row r="396" spans="1:19" ht="15.75" customHeight="1" x14ac:dyDescent="0.3">
      <c r="A396" s="37">
        <v>63006</v>
      </c>
      <c r="B396" s="398">
        <f t="shared" ref="B396:C396" si="397">($A396-B$9)/365.25</f>
        <v>90.622861054072558</v>
      </c>
      <c r="C396" s="398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3254.2644699519233</v>
      </c>
      <c r="H396" s="25">
        <f>IF(B396&lt;62,0,'Combined Retirement'!$I$14)</f>
        <v>2345</v>
      </c>
      <c r="I396" s="25">
        <f>IF(C396&lt;62,0,'Combined Retirement'!$I$13)</f>
        <v>2420</v>
      </c>
      <c r="J396" s="25">
        <f t="shared" si="263"/>
        <v>7896.2379798201846</v>
      </c>
      <c r="K396" s="25">
        <f t="shared" si="264"/>
        <v>20367.195264578786</v>
      </c>
      <c r="L396" s="25"/>
      <c r="N396" s="25">
        <f>'Combined Retirement'!$C$18/12</f>
        <v>39153.069999999992</v>
      </c>
      <c r="O396" s="25">
        <f t="shared" si="265"/>
        <v>10889.636755601023</v>
      </c>
      <c r="P396" s="25">
        <f t="shared" si="266"/>
        <v>28263.43324439897</v>
      </c>
      <c r="Q396" s="25">
        <f t="array" aca="1" ref="Q396" ca="1">INDEX('Isaac 401k'!L:L,MATCH('Retirement Calculator'!A396,'Isaac 401k'!N:N,0),0)</f>
        <v>1697873.4331720215</v>
      </c>
      <c r="R396" s="25">
        <f t="array" aca="1" ref="R396" ca="1">INDEX('Lorri 401b'!L:L,MATCH('Retirement Calculator'!A396,'Lorri 401b'!N:N,0),0)</f>
        <v>3023159.9125909614</v>
      </c>
      <c r="S396" s="25">
        <f t="shared" ca="1" si="267"/>
        <v>4721033.345762983</v>
      </c>
    </row>
    <row r="397" spans="1:19" ht="15.75" customHeight="1" x14ac:dyDescent="0.3">
      <c r="A397" s="37">
        <v>63037</v>
      </c>
      <c r="B397" s="398">
        <f t="shared" ref="B397:C397" si="398">($A397-B$9)/365.25</f>
        <v>90.707734428473643</v>
      </c>
      <c r="C397" s="398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3254.2644699519233</v>
      </c>
      <c r="H397" s="25">
        <f>IF(B397&lt;62,0,'Combined Retirement'!$I$14)</f>
        <v>2345</v>
      </c>
      <c r="I397" s="25">
        <f>IF(C397&lt;62,0,'Combined Retirement'!$I$13)</f>
        <v>2420</v>
      </c>
      <c r="J397" s="25">
        <f t="shared" si="263"/>
        <v>7896.2379798201846</v>
      </c>
      <c r="K397" s="25">
        <f t="shared" si="264"/>
        <v>20367.195264578786</v>
      </c>
      <c r="L397" s="25"/>
      <c r="N397" s="25">
        <f>'Combined Retirement'!$C$18/12</f>
        <v>39153.069999999992</v>
      </c>
      <c r="O397" s="25">
        <f t="shared" si="265"/>
        <v>10889.636755601023</v>
      </c>
      <c r="P397" s="25">
        <f t="shared" si="266"/>
        <v>28263.43324439897</v>
      </c>
      <c r="Q397" s="25">
        <f t="array" aca="1" ref="Q397" ca="1">INDEX('Isaac 401k'!L:L,MATCH('Retirement Calculator'!A397,'Isaac 401k'!N:N,0),0)</f>
        <v>1697018.7668388356</v>
      </c>
      <c r="R397" s="25">
        <f t="array" aca="1" ref="R397" ca="1">INDEX('Lorri 401b'!L:L,MATCH('Retirement Calculator'!A397,'Lorri 401b'!N:N,0),0)</f>
        <v>3015304.353648576</v>
      </c>
      <c r="S397" s="25">
        <f t="shared" ca="1" si="267"/>
        <v>4712323.1204874115</v>
      </c>
    </row>
    <row r="398" spans="1:19" ht="15.75" customHeight="1" x14ac:dyDescent="0.3">
      <c r="A398" s="37">
        <v>63068</v>
      </c>
      <c r="B398" s="398">
        <f t="shared" ref="B398:C398" si="399">($A398-B$9)/365.25</f>
        <v>90.792607802874741</v>
      </c>
      <c r="C398" s="398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3254.2644699519233</v>
      </c>
      <c r="H398" s="25">
        <f>IF(B398&lt;62,0,'Combined Retirement'!$I$14)</f>
        <v>2345</v>
      </c>
      <c r="I398" s="25">
        <f>IF(C398&lt;62,0,'Combined Retirement'!$I$13)</f>
        <v>2420</v>
      </c>
      <c r="J398" s="25">
        <f t="shared" si="263"/>
        <v>7896.2379798201846</v>
      </c>
      <c r="K398" s="25">
        <f t="shared" si="264"/>
        <v>20367.195264578786</v>
      </c>
      <c r="L398" s="25"/>
      <c r="N398" s="25">
        <f>'Combined Retirement'!$C$18/12</f>
        <v>39153.069999999992</v>
      </c>
      <c r="O398" s="25">
        <f t="shared" si="265"/>
        <v>10889.636755601023</v>
      </c>
      <c r="P398" s="25">
        <f t="shared" si="266"/>
        <v>28263.43324439897</v>
      </c>
      <c r="Q398" s="25">
        <f t="array" aca="1" ref="Q398" ca="1">INDEX('Isaac 401k'!L:L,MATCH('Retirement Calculator'!A398,'Isaac 401k'!N:N,0),0)</f>
        <v>1696160.5393959279</v>
      </c>
      <c r="R398" s="25">
        <f t="array" aca="1" ref="R398" ca="1">INDEX('Lorri 401b'!L:L,MATCH('Retirement Calculator'!A398,'Lorri 401b'!N:N,0),0)</f>
        <v>3007416.0632105973</v>
      </c>
      <c r="S398" s="25">
        <f t="shared" ca="1" si="267"/>
        <v>4703576.6026065256</v>
      </c>
    </row>
    <row r="399" spans="1:19" ht="15.75" customHeight="1" x14ac:dyDescent="0.3">
      <c r="A399" s="37">
        <v>63098</v>
      </c>
      <c r="B399" s="398">
        <f t="shared" ref="B399:C399" si="400">($A399-B$9)/365.25</f>
        <v>90.874743326488712</v>
      </c>
      <c r="C399" s="398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3254.2644699519233</v>
      </c>
      <c r="H399" s="25">
        <f>IF(B399&lt;62,0,'Combined Retirement'!$I$14)</f>
        <v>2345</v>
      </c>
      <c r="I399" s="25">
        <f>IF(C399&lt;62,0,'Combined Retirement'!$I$13)</f>
        <v>2420</v>
      </c>
      <c r="J399" s="25">
        <f t="shared" si="263"/>
        <v>7896.2379798201846</v>
      </c>
      <c r="K399" s="25">
        <f t="shared" si="264"/>
        <v>20367.195264578786</v>
      </c>
      <c r="L399" s="25"/>
      <c r="N399" s="25">
        <f>'Combined Retirement'!$C$18/12</f>
        <v>39153.069999999992</v>
      </c>
      <c r="O399" s="25">
        <f t="shared" si="265"/>
        <v>10889.636755601023</v>
      </c>
      <c r="P399" s="25">
        <f t="shared" si="266"/>
        <v>28263.43324439897</v>
      </c>
      <c r="Q399" s="25">
        <f t="array" aca="1" ref="Q399" ca="1">INDEX('Isaac 401k'!L:L,MATCH('Retirement Calculator'!A399,'Isaac 401k'!N:N,0),0)</f>
        <v>1695298.7360053414</v>
      </c>
      <c r="R399" s="25">
        <f t="array" aca="1" ref="R399" ca="1">INDEX('Lorri 401b'!L:L,MATCH('Retirement Calculator'!A399,'Lorri 401b'!N:N,0),0)</f>
        <v>2999494.9048957936</v>
      </c>
      <c r="S399" s="25">
        <f t="shared" ca="1" si="267"/>
        <v>4694793.6409011353</v>
      </c>
    </row>
    <row r="400" spans="1:19" ht="15.75" customHeight="1" x14ac:dyDescent="0.3">
      <c r="A400" s="37">
        <v>63129</v>
      </c>
      <c r="B400" s="398">
        <f t="shared" ref="B400:C400" si="401">($A400-B$9)/365.25</f>
        <v>90.959616700889796</v>
      </c>
      <c r="C400" s="398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3254.2644699519233</v>
      </c>
      <c r="H400" s="25">
        <f>IF(B400&lt;62,0,'Combined Retirement'!$I$14)</f>
        <v>2345</v>
      </c>
      <c r="I400" s="25">
        <f>IF(C400&lt;62,0,'Combined Retirement'!$I$13)</f>
        <v>2420</v>
      </c>
      <c r="J400" s="25">
        <f t="shared" si="263"/>
        <v>7896.2379798201846</v>
      </c>
      <c r="K400" s="25">
        <f t="shared" si="264"/>
        <v>20367.195264578786</v>
      </c>
      <c r="L400" s="25"/>
      <c r="N400" s="25">
        <f>'Combined Retirement'!$C$18/12</f>
        <v>39153.069999999992</v>
      </c>
      <c r="O400" s="25">
        <f t="shared" si="265"/>
        <v>10889.636755601023</v>
      </c>
      <c r="P400" s="25">
        <f t="shared" si="266"/>
        <v>28263.43324439897</v>
      </c>
      <c r="Q400" s="25">
        <f t="array" aca="1" ref="Q400" ca="1">INDEX('Isaac 401k'!L:L,MATCH('Retirement Calculator'!A400,'Isaac 401k'!N:N,0),0)</f>
        <v>1694433.3417672941</v>
      </c>
      <c r="R400" s="25">
        <f t="array" aca="1" ref="R400" ca="1">INDEX('Lorri 401b'!L:L,MATCH('Retirement Calculator'!A400,'Lorri 401b'!N:N,0),0)</f>
        <v>2991540.7417546781</v>
      </c>
      <c r="S400" s="25">
        <f t="shared" ca="1" si="267"/>
        <v>4685974.0835219724</v>
      </c>
    </row>
    <row r="401" spans="1:19" ht="15.75" customHeight="1" x14ac:dyDescent="0.3">
      <c r="A401" s="37">
        <v>63159</v>
      </c>
      <c r="B401" s="398">
        <f t="shared" ref="B401:C401" si="402">($A401-B$9)/365.25</f>
        <v>91.041752224503767</v>
      </c>
      <c r="C401" s="398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3254.2644699519233</v>
      </c>
      <c r="H401" s="25">
        <f>IF(B401&lt;62,0,'Combined Retirement'!$I$14)</f>
        <v>2345</v>
      </c>
      <c r="I401" s="25">
        <f>IF(C401&lt;62,0,'Combined Retirement'!$I$13)</f>
        <v>2420</v>
      </c>
      <c r="J401" s="25">
        <f t="shared" si="263"/>
        <v>7896.2379798201846</v>
      </c>
      <c r="K401" s="25">
        <f t="shared" si="264"/>
        <v>20367.195264578786</v>
      </c>
      <c r="L401" s="25"/>
      <c r="N401" s="25">
        <f>'Combined Retirement'!$C$18/12</f>
        <v>39153.069999999992</v>
      </c>
      <c r="O401" s="25">
        <f t="shared" si="265"/>
        <v>10889.636755601023</v>
      </c>
      <c r="P401" s="25">
        <f t="shared" si="266"/>
        <v>28263.43324439897</v>
      </c>
      <c r="Q401" s="25">
        <f t="array" aca="1" ref="Q401" ca="1">INDEX('Isaac 401k'!L:L,MATCH('Retirement Calculator'!A401,'Isaac 401k'!N:N,0),0)</f>
        <v>1693564.3417199217</v>
      </c>
      <c r="R401" s="25">
        <f t="array" aca="1" ref="R401" ca="1">INDEX('Lorri 401b'!L:L,MATCH('Retirement Calculator'!A401,'Lorri 401b'!N:N,0),0)</f>
        <v>2983553.4362671413</v>
      </c>
      <c r="S401" s="25">
        <f t="shared" ca="1" si="267"/>
        <v>4677117.7779870629</v>
      </c>
    </row>
    <row r="402" spans="1:19" ht="15.75" customHeight="1" x14ac:dyDescent="0.3">
      <c r="A402" s="37">
        <v>63190</v>
      </c>
      <c r="B402" s="398">
        <f t="shared" ref="B402:C402" si="403">($A402-B$9)/365.25</f>
        <v>91.126625598904866</v>
      </c>
      <c r="C402" s="398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3254.2644699519233</v>
      </c>
      <c r="H402" s="25">
        <f>IF(B402&lt;62,0,'Combined Retirement'!$I$14)</f>
        <v>2345</v>
      </c>
      <c r="I402" s="25">
        <f>IF(C402&lt;62,0,'Combined Retirement'!$I$13)</f>
        <v>2420</v>
      </c>
      <c r="J402" s="25">
        <f t="shared" si="263"/>
        <v>7896.2379798201846</v>
      </c>
      <c r="K402" s="25">
        <f t="shared" si="264"/>
        <v>20367.195264578786</v>
      </c>
      <c r="L402" s="25"/>
      <c r="N402" s="25">
        <f>'Combined Retirement'!$C$18/12</f>
        <v>39153.069999999992</v>
      </c>
      <c r="O402" s="25">
        <f t="shared" si="265"/>
        <v>10889.636755601023</v>
      </c>
      <c r="P402" s="25">
        <f t="shared" si="266"/>
        <v>28263.43324439897</v>
      </c>
      <c r="Q402" s="25">
        <f t="array" aca="1" ref="Q402" ca="1">INDEX('Isaac 401k'!L:L,MATCH('Retirement Calculator'!A402,'Isaac 401k'!N:N,0),0)</f>
        <v>1692691.7208390185</v>
      </c>
      <c r="R402" s="25">
        <f t="array" aca="1" ref="R402" ca="1">INDEX('Lorri 401b'!L:L,MATCH('Retirement Calculator'!A402,'Lorri 401b'!N:N,0),0)</f>
        <v>2975532.850340073</v>
      </c>
      <c r="S402" s="25">
        <f t="shared" ca="1" si="267"/>
        <v>4668224.5711790919</v>
      </c>
    </row>
    <row r="403" spans="1:19" ht="15.75" customHeight="1" x14ac:dyDescent="0.3">
      <c r="A403" s="37">
        <v>63221</v>
      </c>
      <c r="B403" s="398">
        <f t="shared" ref="B403:C403" si="404">($A403-B$9)/365.25</f>
        <v>91.21149897330595</v>
      </c>
      <c r="C403" s="398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3254.2644699519233</v>
      </c>
      <c r="H403" s="25">
        <f>IF(B403&lt;62,0,'Combined Retirement'!$I$14)</f>
        <v>2345</v>
      </c>
      <c r="I403" s="25">
        <f>IF(C403&lt;62,0,'Combined Retirement'!$I$13)</f>
        <v>2420</v>
      </c>
      <c r="J403" s="25">
        <f t="shared" si="263"/>
        <v>7896.2379798201846</v>
      </c>
      <c r="K403" s="25">
        <f t="shared" si="264"/>
        <v>20367.195264578786</v>
      </c>
      <c r="L403" s="25"/>
      <c r="N403" s="25">
        <f>'Combined Retirement'!$C$18/12</f>
        <v>39153.069999999992</v>
      </c>
      <c r="O403" s="25">
        <f t="shared" si="265"/>
        <v>10889.636755601023</v>
      </c>
      <c r="P403" s="25">
        <f t="shared" si="266"/>
        <v>28263.43324439897</v>
      </c>
      <c r="Q403" s="25">
        <f t="array" aca="1" ref="Q403" ca="1">INDEX('Isaac 401k'!L:L,MATCH('Retirement Calculator'!A403,'Isaac 401k'!N:N,0),0)</f>
        <v>1691815.4640377783</v>
      </c>
      <c r="R403" s="25">
        <f t="array" aca="1" ref="R403" ca="1">INDEX('Lorri 401b'!L:L,MATCH('Retirement Calculator'!A403,'Lorri 401b'!N:N,0),0)</f>
        <v>2967478.8453049753</v>
      </c>
      <c r="S403" s="25">
        <f t="shared" ca="1" si="267"/>
        <v>4659294.3093427531</v>
      </c>
    </row>
    <row r="404" spans="1:19" ht="15.75" customHeight="1" x14ac:dyDescent="0.3">
      <c r="A404" s="37">
        <v>63249</v>
      </c>
      <c r="B404" s="398">
        <f t="shared" ref="B404:C404" si="405">($A404-B$9)/365.25</f>
        <v>91.288158795345652</v>
      </c>
      <c r="C404" s="398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3254.2644699519233</v>
      </c>
      <c r="H404" s="25">
        <f>IF(B404&lt;62,0,'Combined Retirement'!$I$14)</f>
        <v>2345</v>
      </c>
      <c r="I404" s="25">
        <f>IF(C404&lt;62,0,'Combined Retirement'!$I$13)</f>
        <v>2420</v>
      </c>
      <c r="J404" s="25">
        <f t="shared" si="263"/>
        <v>7896.2379798201846</v>
      </c>
      <c r="K404" s="25">
        <f t="shared" si="264"/>
        <v>20367.195264578786</v>
      </c>
      <c r="L404" s="25"/>
      <c r="N404" s="25">
        <f>'Combined Retirement'!$C$18/12</f>
        <v>39153.069999999992</v>
      </c>
      <c r="O404" s="25">
        <f t="shared" si="265"/>
        <v>10889.636755601023</v>
      </c>
      <c r="P404" s="25">
        <f t="shared" si="266"/>
        <v>28263.43324439897</v>
      </c>
      <c r="Q404" s="25">
        <f t="array" aca="1" ref="Q404" ca="1">INDEX('Isaac 401k'!L:L,MATCH('Retirement Calculator'!A404,'Isaac 401k'!N:N,0),0)</f>
        <v>1690935.5561665329</v>
      </c>
      <c r="R404" s="25">
        <f t="array" aca="1" ref="R404" ca="1">INDEX('Lorri 401b'!L:L,MATCH('Retirement Calculator'!A404,'Lorri 401b'!N:N,0),0)</f>
        <v>2959391.281915565</v>
      </c>
      <c r="S404" s="25">
        <f t="shared" ca="1" si="267"/>
        <v>4650326.8380820975</v>
      </c>
    </row>
    <row r="405" spans="1:19" ht="15.75" customHeight="1" x14ac:dyDescent="0.3">
      <c r="A405" s="37">
        <v>63280</v>
      </c>
      <c r="B405" s="398">
        <f t="shared" ref="B405:C405" si="406">($A405-B$9)/365.25</f>
        <v>91.37303216974675</v>
      </c>
      <c r="C405" s="398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3254.2644699519233</v>
      </c>
      <c r="H405" s="25">
        <f>IF(B405&lt;62,0,'Combined Retirement'!$I$14)</f>
        <v>2345</v>
      </c>
      <c r="I405" s="25">
        <f>IF(C405&lt;62,0,'Combined Retirement'!$I$13)</f>
        <v>2420</v>
      </c>
      <c r="J405" s="25">
        <f t="shared" si="263"/>
        <v>7896.2379798201846</v>
      </c>
      <c r="K405" s="25">
        <f t="shared" si="264"/>
        <v>20367.195264578786</v>
      </c>
      <c r="L405" s="25"/>
      <c r="N405" s="25">
        <f>'Combined Retirement'!$C$18/12</f>
        <v>39153.069999999992</v>
      </c>
      <c r="O405" s="25">
        <f t="shared" si="265"/>
        <v>10889.636755601023</v>
      </c>
      <c r="P405" s="25">
        <f t="shared" si="266"/>
        <v>28263.43324439897</v>
      </c>
      <c r="Q405" s="25">
        <f t="array" aca="1" ref="Q405" ca="1">INDEX('Isaac 401k'!L:L,MATCH('Retirement Calculator'!A405,'Isaac 401k'!N:N,0),0)</f>
        <v>1690051.9820124907</v>
      </c>
      <c r="R405" s="25">
        <f t="array" aca="1" ref="R405" ca="1">INDEX('Lorri 401b'!L:L,MATCH('Retirement Calculator'!A405,'Lorri 401b'!N:N,0),0)</f>
        <v>2951270.0203453652</v>
      </c>
      <c r="S405" s="25">
        <f t="shared" ca="1" si="267"/>
        <v>4641322.0023578554</v>
      </c>
    </row>
    <row r="406" spans="1:19" ht="15.75" customHeight="1" x14ac:dyDescent="0.3">
      <c r="A406" s="37">
        <v>63310</v>
      </c>
      <c r="B406" s="398">
        <f t="shared" ref="B406:C406" si="407">($A406-B$9)/365.25</f>
        <v>91.455167693360707</v>
      </c>
      <c r="C406" s="398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3254.2644699519233</v>
      </c>
      <c r="H406" s="25">
        <f>IF(B406&lt;62,0,'Combined Retirement'!$I$14)</f>
        <v>2345</v>
      </c>
      <c r="I406" s="25">
        <f>IF(C406&lt;62,0,'Combined Retirement'!$I$13)</f>
        <v>2420</v>
      </c>
      <c r="J406" s="25">
        <f t="shared" si="263"/>
        <v>7896.2379798201846</v>
      </c>
      <c r="K406" s="25">
        <f t="shared" si="264"/>
        <v>20367.195264578786</v>
      </c>
      <c r="L406" s="25"/>
      <c r="N406" s="25">
        <f>'Combined Retirement'!$C$18/12</f>
        <v>39153.069999999992</v>
      </c>
      <c r="O406" s="25">
        <f t="shared" si="265"/>
        <v>10889.636755601023</v>
      </c>
      <c r="P406" s="25">
        <f t="shared" si="266"/>
        <v>28263.43324439897</v>
      </c>
      <c r="Q406" s="25">
        <f t="array" aca="1" ref="Q406" ca="1">INDEX('Isaac 401k'!L:L,MATCH('Retirement Calculator'!A406,'Isaac 401k'!N:N,0),0)</f>
        <v>1689164.7262994733</v>
      </c>
      <c r="R406" s="25">
        <f t="array" aca="1" ref="R406" ca="1">INDEX('Lorri 401b'!L:L,MATCH('Retirement Calculator'!A406,'Lorri 401b'!N:N,0),0)</f>
        <v>2943114.9201852898</v>
      </c>
      <c r="S406" s="25">
        <f t="shared" ca="1" si="267"/>
        <v>4632279.6464847634</v>
      </c>
    </row>
    <row r="407" spans="1:19" ht="15.75" customHeight="1" x14ac:dyDescent="0.3">
      <c r="A407" s="37">
        <v>63341</v>
      </c>
      <c r="B407" s="398">
        <f t="shared" ref="B407:C407" si="408">($A407-B$9)/365.25</f>
        <v>91.540041067761805</v>
      </c>
      <c r="C407" s="398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3254.2644699519233</v>
      </c>
      <c r="H407" s="25">
        <f>IF(B407&lt;62,0,'Combined Retirement'!$I$14)</f>
        <v>2345</v>
      </c>
      <c r="I407" s="25">
        <f>IF(C407&lt;62,0,'Combined Retirement'!$I$13)</f>
        <v>2420</v>
      </c>
      <c r="J407" s="25">
        <f t="shared" si="263"/>
        <v>7896.2379798201846</v>
      </c>
      <c r="K407" s="25">
        <f t="shared" si="264"/>
        <v>20367.195264578786</v>
      </c>
      <c r="L407" s="25"/>
      <c r="N407" s="25">
        <f>'Combined Retirement'!$C$18/12</f>
        <v>39153.069999999992</v>
      </c>
      <c r="O407" s="25">
        <f t="shared" si="265"/>
        <v>10889.636755601023</v>
      </c>
      <c r="P407" s="25">
        <f t="shared" si="266"/>
        <v>28263.43324439897</v>
      </c>
      <c r="Q407" s="25">
        <f t="array" aca="1" ref="Q407" ca="1">INDEX('Isaac 401k'!L:L,MATCH('Retirement Calculator'!A407,'Isaac 401k'!N:N,0),0)</f>
        <v>1688273.7736876516</v>
      </c>
      <c r="R407" s="25">
        <f t="array" aca="1" ref="R407" ca="1">INDEX('Lorri 401b'!L:L,MATCH('Retirement Calculator'!A407,'Lorri 401b'!N:N,0),0)</f>
        <v>2934925.8404412139</v>
      </c>
      <c r="S407" s="25">
        <f t="shared" ca="1" si="267"/>
        <v>4623199.6141288653</v>
      </c>
    </row>
    <row r="408" spans="1:19" ht="15.75" customHeight="1" x14ac:dyDescent="0.3">
      <c r="A408" s="37">
        <v>63371</v>
      </c>
      <c r="B408" s="398">
        <f t="shared" ref="B408:C408" si="409">($A408-B$9)/365.25</f>
        <v>91.622176591375776</v>
      </c>
      <c r="C408" s="398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3254.2644699519233</v>
      </c>
      <c r="H408" s="25">
        <f>IF(B408&lt;62,0,'Combined Retirement'!$I$14)</f>
        <v>2345</v>
      </c>
      <c r="I408" s="25">
        <f>IF(C408&lt;62,0,'Combined Retirement'!$I$13)</f>
        <v>2420</v>
      </c>
      <c r="J408" s="25">
        <f t="shared" si="263"/>
        <v>7896.2379798201846</v>
      </c>
      <c r="K408" s="25">
        <f t="shared" si="264"/>
        <v>20367.195264578786</v>
      </c>
      <c r="L408" s="25"/>
      <c r="N408" s="25">
        <f>'Combined Retirement'!$C$18/12</f>
        <v>39153.069999999992</v>
      </c>
      <c r="O408" s="25">
        <f t="shared" si="265"/>
        <v>10889.636755601023</v>
      </c>
      <c r="P408" s="25">
        <f t="shared" si="266"/>
        <v>28263.43324439897</v>
      </c>
      <c r="Q408" s="25">
        <f t="array" aca="1" ref="Q408" ca="1">INDEX('Isaac 401k'!L:L,MATCH('Retirement Calculator'!A408,'Isaac 401k'!N:N,0),0)</f>
        <v>1687379.1087732806</v>
      </c>
      <c r="R408" s="25">
        <f t="array" aca="1" ref="R408" ca="1">INDEX('Lorri 401b'!L:L,MATCH('Retirement Calculator'!A408,'Lorri 401b'!N:N,0),0)</f>
        <v>2926702.6395315379</v>
      </c>
      <c r="S408" s="25">
        <f t="shared" ca="1" si="267"/>
        <v>4614081.7483048188</v>
      </c>
    </row>
    <row r="409" spans="1:19" ht="15.75" customHeight="1" x14ac:dyDescent="0.3">
      <c r="A409" s="37">
        <v>63402</v>
      </c>
      <c r="B409" s="398">
        <f t="shared" ref="B409:C409" si="410">($A409-B$9)/365.25</f>
        <v>91.707049965776861</v>
      </c>
      <c r="C409" s="398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3254.2644699519233</v>
      </c>
      <c r="H409" s="25">
        <f>IF(B409&lt;62,0,'Combined Retirement'!$I$14)</f>
        <v>2345</v>
      </c>
      <c r="I409" s="25">
        <f>IF(C409&lt;62,0,'Combined Retirement'!$I$13)</f>
        <v>2420</v>
      </c>
      <c r="J409" s="25">
        <f t="shared" si="263"/>
        <v>7896.2379798201846</v>
      </c>
      <c r="K409" s="25">
        <f t="shared" si="264"/>
        <v>20367.195264578786</v>
      </c>
      <c r="L409" s="25"/>
      <c r="N409" s="25">
        <f>'Combined Retirement'!$C$18/12</f>
        <v>39153.069999999992</v>
      </c>
      <c r="O409" s="25">
        <f t="shared" si="265"/>
        <v>10889.636755601023</v>
      </c>
      <c r="P409" s="25">
        <f t="shared" si="266"/>
        <v>28263.43324439897</v>
      </c>
      <c r="Q409" s="25">
        <f t="array" aca="1" ref="Q409" ca="1">INDEX('Isaac 401k'!L:L,MATCH('Retirement Calculator'!A409,'Isaac 401k'!N:N,0),0)</f>
        <v>1686480.7160884331</v>
      </c>
      <c r="R409" s="25">
        <f t="array" aca="1" ref="R409" ca="1">INDEX('Lorri 401b'!L:L,MATCH('Retirement Calculator'!A409,'Lorri 401b'!N:N,0),0)</f>
        <v>2918445.1752847382</v>
      </c>
      <c r="S409" s="25">
        <f t="shared" ca="1" si="267"/>
        <v>4604925.8913731715</v>
      </c>
    </row>
    <row r="410" spans="1:19" ht="15.75" customHeight="1" x14ac:dyDescent="0.3">
      <c r="A410" s="37">
        <v>63433</v>
      </c>
      <c r="B410" s="398">
        <f t="shared" ref="B410:C410" si="411">($A410-B$9)/365.25</f>
        <v>91.791923340177959</v>
      </c>
      <c r="C410" s="398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3254.2644699519233</v>
      </c>
      <c r="H410" s="25">
        <f>IF(B410&lt;62,0,'Combined Retirement'!$I$14)</f>
        <v>2345</v>
      </c>
      <c r="I410" s="25">
        <f>IF(C410&lt;62,0,'Combined Retirement'!$I$13)</f>
        <v>2420</v>
      </c>
      <c r="J410" s="25">
        <f t="shared" si="263"/>
        <v>7896.2379798201846</v>
      </c>
      <c r="K410" s="25">
        <f t="shared" si="264"/>
        <v>20367.195264578786</v>
      </c>
      <c r="L410" s="25"/>
      <c r="N410" s="25">
        <f>'Combined Retirement'!$C$18/12</f>
        <v>39153.069999999992</v>
      </c>
      <c r="O410" s="25">
        <f t="shared" si="265"/>
        <v>10889.636755601023</v>
      </c>
      <c r="P410" s="25">
        <f t="shared" si="266"/>
        <v>28263.43324439897</v>
      </c>
      <c r="Q410" s="25">
        <f t="array" aca="1" ref="Q410" ca="1">INDEX('Isaac 401k'!L:L,MATCH('Retirement Calculator'!A410,'Isaac 401k'!N:N,0),0)</f>
        <v>1685578.5801007319</v>
      </c>
      <c r="R410" s="25">
        <f t="array" aca="1" ref="R410" ca="1">INDEX('Lorri 401b'!L:L,MATCH('Retirement Calculator'!A410,'Lorri 401b'!N:N,0),0)</f>
        <v>2910153.30493691</v>
      </c>
      <c r="S410" s="25">
        <f t="shared" ca="1" si="267"/>
        <v>4595731.885037642</v>
      </c>
    </row>
    <row r="411" spans="1:19" ht="15.75" customHeight="1" x14ac:dyDescent="0.3">
      <c r="A411" s="37">
        <v>63463</v>
      </c>
      <c r="B411" s="398">
        <f t="shared" ref="B411:C411" si="412">($A411-B$9)/365.25</f>
        <v>91.87405886379193</v>
      </c>
      <c r="C411" s="398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3254.2644699519233</v>
      </c>
      <c r="H411" s="25">
        <f>IF(B411&lt;62,0,'Combined Retirement'!$I$14)</f>
        <v>2345</v>
      </c>
      <c r="I411" s="25">
        <f>IF(C411&lt;62,0,'Combined Retirement'!$I$13)</f>
        <v>2420</v>
      </c>
      <c r="J411" s="25">
        <f t="shared" si="263"/>
        <v>7896.2379798201846</v>
      </c>
      <c r="K411" s="25">
        <f t="shared" si="264"/>
        <v>20367.195264578786</v>
      </c>
      <c r="L411" s="25"/>
      <c r="N411" s="25">
        <f>'Combined Retirement'!$C$18/12</f>
        <v>39153.069999999992</v>
      </c>
      <c r="O411" s="25">
        <f t="shared" si="265"/>
        <v>10889.636755601023</v>
      </c>
      <c r="P411" s="25">
        <f t="shared" si="266"/>
        <v>28263.43324439897</v>
      </c>
      <c r="Q411" s="25">
        <f t="array" aca="1" ref="Q411" ca="1">INDEX('Isaac 401k'!L:L,MATCH('Retirement Calculator'!A411,'Isaac 401k'!N:N,0),0)</f>
        <v>1684672.6852130822</v>
      </c>
      <c r="R411" s="25">
        <f t="array" aca="1" ref="R411" ca="1">INDEX('Lorri 401b'!L:L,MATCH('Retirement Calculator'!A411,'Lorri 401b'!N:N,0),0)</f>
        <v>2901826.8851292995</v>
      </c>
      <c r="S411" s="25">
        <f t="shared" ca="1" si="267"/>
        <v>4586499.5703423815</v>
      </c>
    </row>
    <row r="412" spans="1:19" ht="15.75" customHeight="1" x14ac:dyDescent="0.3">
      <c r="A412" s="37">
        <v>63494</v>
      </c>
      <c r="B412" s="398">
        <f t="shared" ref="B412:C412" si="413">($A412-B$9)/365.25</f>
        <v>91.958932238193015</v>
      </c>
      <c r="C412" s="398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3254.2644699519233</v>
      </c>
      <c r="H412" s="25">
        <f>IF(B412&lt;62,0,'Combined Retirement'!$I$14)</f>
        <v>2345</v>
      </c>
      <c r="I412" s="25">
        <f>IF(C412&lt;62,0,'Combined Retirement'!$I$13)</f>
        <v>2420</v>
      </c>
      <c r="J412" s="25">
        <f t="shared" si="263"/>
        <v>7896.2379798201846</v>
      </c>
      <c r="K412" s="25">
        <f t="shared" si="264"/>
        <v>20367.195264578786</v>
      </c>
      <c r="L412" s="25"/>
      <c r="N412" s="25">
        <f>'Combined Retirement'!$C$18/12</f>
        <v>39153.069999999992</v>
      </c>
      <c r="O412" s="25">
        <f t="shared" si="265"/>
        <v>10889.636755601023</v>
      </c>
      <c r="P412" s="25">
        <f t="shared" si="266"/>
        <v>28263.43324439897</v>
      </c>
      <c r="Q412" s="25">
        <f t="array" aca="1" ref="Q412" ca="1">INDEX('Isaac 401k'!L:L,MATCH('Retirement Calculator'!A412,'Isaac 401k'!N:N,0),0)</f>
        <v>1683763.0157634006</v>
      </c>
      <c r="R412" s="25">
        <f t="array" aca="1" ref="R412" ca="1">INDEX('Lorri 401b'!L:L,MATCH('Retirement Calculator'!A412,'Lorri 401b'!N:N,0),0)</f>
        <v>2893465.7719058236</v>
      </c>
      <c r="S412" s="25">
        <f t="shared" ca="1" si="267"/>
        <v>4577228.7876692247</v>
      </c>
    </row>
    <row r="413" spans="1:19" ht="15.75" customHeight="1" x14ac:dyDescent="0.3">
      <c r="A413" s="37">
        <v>63524</v>
      </c>
      <c r="B413" s="398">
        <f t="shared" ref="B413:C413" si="414">($A413-B$9)/365.25</f>
        <v>92.041067761806985</v>
      </c>
      <c r="C413" s="398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3254.2644699519233</v>
      </c>
      <c r="H413" s="25">
        <f>IF(B413&lt;62,0,'Combined Retirement'!$I$14)</f>
        <v>2345</v>
      </c>
      <c r="I413" s="25">
        <f>IF(C413&lt;62,0,'Combined Retirement'!$I$13)</f>
        <v>2420</v>
      </c>
      <c r="J413" s="25">
        <f t="shared" si="263"/>
        <v>7896.2379798201846</v>
      </c>
      <c r="K413" s="25">
        <f t="shared" si="264"/>
        <v>20367.195264578786</v>
      </c>
      <c r="L413" s="25"/>
      <c r="N413" s="25">
        <f>'Combined Retirement'!$C$18/12</f>
        <v>39153.069999999992</v>
      </c>
      <c r="O413" s="25">
        <f t="shared" si="265"/>
        <v>10889.636755601023</v>
      </c>
      <c r="P413" s="25">
        <f t="shared" si="266"/>
        <v>28263.43324439897</v>
      </c>
      <c r="Q413" s="25">
        <f t="array" aca="1" ref="Q413" ca="1">INDEX('Isaac 401k'!L:L,MATCH('Retirement Calculator'!A413,'Isaac 401k'!N:N,0),0)</f>
        <v>1682849.5560243453</v>
      </c>
      <c r="R413" s="25">
        <f t="array" aca="1" ref="R413" ca="1">INDEX('Lorri 401b'!L:L,MATCH('Retirement Calculator'!A413,'Lorri 401b'!N:N,0),0)</f>
        <v>2885069.8207105831</v>
      </c>
      <c r="S413" s="25">
        <f t="shared" ca="1" si="267"/>
        <v>4567919.3767349282</v>
      </c>
    </row>
    <row r="414" spans="1:19" ht="15.75" customHeight="1" x14ac:dyDescent="0.3">
      <c r="A414" s="37">
        <v>63555</v>
      </c>
      <c r="B414" s="398">
        <f t="shared" ref="B414:C414" si="415">($A414-B$9)/365.25</f>
        <v>92.12594113620807</v>
      </c>
      <c r="C414" s="398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3254.2644699519233</v>
      </c>
      <c r="H414" s="25">
        <f>IF(B414&lt;62,0,'Combined Retirement'!$I$14)</f>
        <v>2345</v>
      </c>
      <c r="I414" s="25">
        <f>IF(C414&lt;62,0,'Combined Retirement'!$I$13)</f>
        <v>2420</v>
      </c>
      <c r="J414" s="25">
        <f t="shared" si="263"/>
        <v>7896.2379798201846</v>
      </c>
      <c r="K414" s="25">
        <f t="shared" si="264"/>
        <v>20367.195264578786</v>
      </c>
      <c r="L414" s="25"/>
      <c r="N414" s="25">
        <f>'Combined Retirement'!$C$18/12</f>
        <v>39153.069999999992</v>
      </c>
      <c r="O414" s="25">
        <f t="shared" si="265"/>
        <v>10889.636755601023</v>
      </c>
      <c r="P414" s="25">
        <f t="shared" si="266"/>
        <v>28263.43324439897</v>
      </c>
      <c r="Q414" s="25">
        <f t="array" aca="1" ref="Q414" ca="1">INDEX('Isaac 401k'!L:L,MATCH('Retirement Calculator'!A414,'Isaac 401k'!N:N,0),0)</f>
        <v>1681932.290203044</v>
      </c>
      <c r="R414" s="25">
        <f t="array" aca="1" ref="R414" ca="1">INDEX('Lorri 401b'!L:L,MATCH('Retirement Calculator'!A414,'Lorri 401b'!N:N,0),0)</f>
        <v>2876638.8863853626</v>
      </c>
      <c r="S414" s="25">
        <f t="shared" ca="1" si="267"/>
        <v>4558571.1765884068</v>
      </c>
    </row>
    <row r="415" spans="1:19" ht="15.75" customHeight="1" x14ac:dyDescent="0.3">
      <c r="A415" s="37">
        <v>63586</v>
      </c>
      <c r="B415" s="398">
        <f t="shared" ref="B415:C415" si="416">($A415-B$9)/365.25</f>
        <v>92.210814510609168</v>
      </c>
      <c r="C415" s="398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3254.2644699519233</v>
      </c>
      <c r="H415" s="25">
        <f>IF(B415&lt;62,0,'Combined Retirement'!$I$14)</f>
        <v>2345</v>
      </c>
      <c r="I415" s="25">
        <f>IF(C415&lt;62,0,'Combined Retirement'!$I$13)</f>
        <v>2420</v>
      </c>
      <c r="J415" s="25">
        <f t="shared" si="263"/>
        <v>7896.2379798201846</v>
      </c>
      <c r="K415" s="25">
        <f t="shared" si="264"/>
        <v>20367.195264578786</v>
      </c>
      <c r="L415" s="25"/>
      <c r="N415" s="25">
        <f>'Combined Retirement'!$C$18/12</f>
        <v>39153.069999999992</v>
      </c>
      <c r="O415" s="25">
        <f t="shared" si="265"/>
        <v>10889.636755601023</v>
      </c>
      <c r="P415" s="25">
        <f t="shared" si="266"/>
        <v>28263.43324439897</v>
      </c>
      <c r="Q415" s="25">
        <f t="array" aca="1" ref="Q415" ca="1">INDEX('Isaac 401k'!L:L,MATCH('Retirement Calculator'!A415,'Isaac 401k'!N:N,0),0)</f>
        <v>1681011.2024408204</v>
      </c>
      <c r="R415" s="25">
        <f t="array" aca="1" ref="R415" ca="1">INDEX('Lorri 401b'!L:L,MATCH('Retirement Calculator'!A415,'Lorri 401b'!N:N,0),0)</f>
        <v>2868172.8231671206</v>
      </c>
      <c r="S415" s="25">
        <f t="shared" ca="1" si="267"/>
        <v>4549184.0256079407</v>
      </c>
    </row>
    <row r="416" spans="1:19" ht="15.75" customHeight="1" x14ac:dyDescent="0.3">
      <c r="A416" s="37">
        <v>63614</v>
      </c>
      <c r="B416" s="398">
        <f t="shared" ref="B416:C416" si="417">($A416-B$9)/365.25</f>
        <v>92.28747433264887</v>
      </c>
      <c r="C416" s="398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3254.2644699519233</v>
      </c>
      <c r="H416" s="25">
        <f>IF(B416&lt;62,0,'Combined Retirement'!$I$14)</f>
        <v>2345</v>
      </c>
      <c r="I416" s="25">
        <f>IF(C416&lt;62,0,'Combined Retirement'!$I$13)</f>
        <v>2420</v>
      </c>
      <c r="J416" s="25">
        <f t="shared" si="263"/>
        <v>7896.2379798201846</v>
      </c>
      <c r="K416" s="25">
        <f t="shared" si="264"/>
        <v>20367.195264578786</v>
      </c>
      <c r="L416" s="25"/>
      <c r="N416" s="25">
        <f>'Combined Retirement'!$C$18/12</f>
        <v>39153.069999999992</v>
      </c>
      <c r="O416" s="25">
        <f t="shared" si="265"/>
        <v>10889.636755601023</v>
      </c>
      <c r="P416" s="25">
        <f t="shared" si="266"/>
        <v>28263.43324439897</v>
      </c>
      <c r="Q416" s="25">
        <f t="array" aca="1" ref="Q416" ca="1">INDEX('Isaac 401k'!L:L,MATCH('Retirement Calculator'!A416,'Isaac 401k'!N:N,0),0)</f>
        <v>1680086.276812921</v>
      </c>
      <c r="R416" s="25">
        <f t="array" aca="1" ref="R416" ca="1">INDEX('Lorri 401b'!L:L,MATCH('Retirement Calculator'!A416,'Lorri 401b'!N:N,0),0)</f>
        <v>2859671.484685469</v>
      </c>
      <c r="S416" s="25">
        <f t="shared" ca="1" si="267"/>
        <v>4539757.7614983898</v>
      </c>
    </row>
    <row r="417" spans="1:19" ht="15.75" customHeight="1" x14ac:dyDescent="0.3">
      <c r="A417" s="37">
        <v>63645</v>
      </c>
      <c r="B417" s="398">
        <f t="shared" ref="B417:C417" si="418">($A417-B$9)/365.25</f>
        <v>92.372347707049968</v>
      </c>
      <c r="C417" s="398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3254.2644699519233</v>
      </c>
      <c r="H417" s="25">
        <f>IF(B417&lt;62,0,'Combined Retirement'!$I$14)</f>
        <v>2345</v>
      </c>
      <c r="I417" s="25">
        <f>IF(C417&lt;62,0,'Combined Retirement'!$I$13)</f>
        <v>2420</v>
      </c>
      <c r="J417" s="25">
        <f t="shared" si="263"/>
        <v>7896.2379798201846</v>
      </c>
      <c r="K417" s="25">
        <f t="shared" si="264"/>
        <v>20367.195264578786</v>
      </c>
      <c r="L417" s="25"/>
      <c r="N417" s="25">
        <f>'Combined Retirement'!$C$18/12</f>
        <v>39153.069999999992</v>
      </c>
      <c r="O417" s="25">
        <f t="shared" si="265"/>
        <v>10889.636755601023</v>
      </c>
      <c r="P417" s="25">
        <f t="shared" si="266"/>
        <v>28263.43324439897</v>
      </c>
      <c r="Q417" s="25">
        <f t="array" aca="1" ref="Q417" ca="1">INDEX('Isaac 401k'!L:L,MATCH('Retirement Calculator'!A417,'Isaac 401k'!N:N,0),0)</f>
        <v>1679157.4973282388</v>
      </c>
      <c r="R417" s="25">
        <f t="array" aca="1" ref="R417" ca="1">INDEX('Lorri 401b'!L:L,MATCH('Retirement Calculator'!A417,'Lorri 401b'!N:N,0),0)</f>
        <v>2851134.723960144</v>
      </c>
      <c r="S417" s="25">
        <f t="shared" ca="1" si="267"/>
        <v>4530292.221288383</v>
      </c>
    </row>
    <row r="418" spans="1:19" ht="15.75" customHeight="1" x14ac:dyDescent="0.3">
      <c r="A418" s="37">
        <v>63675</v>
      </c>
      <c r="B418" s="398">
        <f t="shared" ref="B418:C418" si="419">($A418-B$9)/365.25</f>
        <v>92.454483230663925</v>
      </c>
      <c r="C418" s="398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3254.2644699519233</v>
      </c>
      <c r="H418" s="25">
        <f>IF(B418&lt;62,0,'Combined Retirement'!$I$14)</f>
        <v>2345</v>
      </c>
      <c r="I418" s="25">
        <f>IF(C418&lt;62,0,'Combined Retirement'!$I$13)</f>
        <v>2420</v>
      </c>
      <c r="J418" s="25">
        <f t="shared" si="263"/>
        <v>7896.2379798201846</v>
      </c>
      <c r="K418" s="25">
        <f t="shared" si="264"/>
        <v>20367.195264578786</v>
      </c>
      <c r="L418" s="25"/>
      <c r="N418" s="25">
        <f>'Combined Retirement'!$C$18/12</f>
        <v>39153.069999999992</v>
      </c>
      <c r="O418" s="25">
        <f t="shared" si="265"/>
        <v>10889.636755601023</v>
      </c>
      <c r="P418" s="25">
        <f t="shared" si="266"/>
        <v>28263.43324439897</v>
      </c>
      <c r="Q418" s="25">
        <f t="array" aca="1" ref="Q418" ca="1">INDEX('Isaac 401k'!L:L,MATCH('Retirement Calculator'!A418,'Isaac 401k'!N:N,0),0)</f>
        <v>1678224.8479290369</v>
      </c>
      <c r="R418" s="25">
        <f t="array" aca="1" ref="R418" ca="1">INDEX('Lorri 401b'!L:L,MATCH('Retirement Calculator'!A418,'Lorri 401b'!N:N,0),0)</f>
        <v>2842562.3933984633</v>
      </c>
      <c r="S418" s="25">
        <f t="shared" ca="1" si="267"/>
        <v>4520787.2413275</v>
      </c>
    </row>
    <row r="419" spans="1:19" ht="15.75" customHeight="1" x14ac:dyDescent="0.3">
      <c r="A419" s="37">
        <v>63706</v>
      </c>
      <c r="B419" s="398">
        <f t="shared" ref="B419:C419" si="420">($A419-B$9)/365.25</f>
        <v>92.539356605065024</v>
      </c>
      <c r="C419" s="398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3254.2644699519233</v>
      </c>
      <c r="H419" s="25">
        <f>IF(B419&lt;62,0,'Combined Retirement'!$I$14)</f>
        <v>2345</v>
      </c>
      <c r="I419" s="25">
        <f>IF(C419&lt;62,0,'Combined Retirement'!$I$13)</f>
        <v>2420</v>
      </c>
      <c r="J419" s="25">
        <f t="shared" si="263"/>
        <v>7896.2379798201846</v>
      </c>
      <c r="K419" s="25">
        <f t="shared" si="264"/>
        <v>20367.195264578786</v>
      </c>
      <c r="L419" s="25"/>
      <c r="N419" s="25">
        <f>'Combined Retirement'!$C$18/12</f>
        <v>39153.069999999992</v>
      </c>
      <c r="O419" s="25">
        <f t="shared" si="265"/>
        <v>10889.636755601023</v>
      </c>
      <c r="P419" s="25">
        <f t="shared" si="266"/>
        <v>28263.43324439897</v>
      </c>
      <c r="Q419" s="25">
        <f t="array" aca="1" ref="Q419" ca="1">INDEX('Isaac 401k'!L:L,MATCH('Retirement Calculator'!A419,'Isaac 401k'!N:N,0),0)</f>
        <v>1677288.3124906719</v>
      </c>
      <c r="R419" s="25">
        <f t="array" aca="1" ref="R419" ca="1">INDEX('Lorri 401b'!L:L,MATCH('Retirement Calculator'!A419,'Lorri 401b'!N:N,0),0)</f>
        <v>2833954.3447927758</v>
      </c>
      <c r="S419" s="25">
        <f t="shared" ca="1" si="267"/>
        <v>4511242.6572834477</v>
      </c>
    </row>
    <row r="420" spans="1:19" ht="15.75" customHeight="1" x14ac:dyDescent="0.3">
      <c r="A420" s="37">
        <v>63736</v>
      </c>
      <c r="B420" s="398">
        <f t="shared" ref="B420:C420" si="421">($A420-B$9)/365.25</f>
        <v>92.62149212867898</v>
      </c>
      <c r="C420" s="398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3254.2644699519233</v>
      </c>
      <c r="H420" s="25">
        <f>IF(B420&lt;62,0,'Combined Retirement'!$I$14)</f>
        <v>2345</v>
      </c>
      <c r="I420" s="25">
        <f>IF(C420&lt;62,0,'Combined Retirement'!$I$13)</f>
        <v>2420</v>
      </c>
      <c r="J420" s="25">
        <f t="shared" si="263"/>
        <v>7896.2379798201846</v>
      </c>
      <c r="K420" s="25">
        <f t="shared" si="264"/>
        <v>20367.195264578786</v>
      </c>
      <c r="L420" s="25"/>
      <c r="N420" s="25">
        <f>'Combined Retirement'!$C$18/12</f>
        <v>39153.069999999992</v>
      </c>
      <c r="O420" s="25">
        <f t="shared" si="265"/>
        <v>10889.636755601023</v>
      </c>
      <c r="P420" s="25">
        <f t="shared" si="266"/>
        <v>28263.43324439897</v>
      </c>
      <c r="Q420" s="25">
        <f t="array" aca="1" ref="Q420" ca="1">INDEX('Isaac 401k'!L:L,MATCH('Retirement Calculator'!A420,'Isaac 401k'!N:N,0),0)</f>
        <v>1676347.8748213134</v>
      </c>
      <c r="R420" s="25">
        <f t="array" aca="1" ref="R420" ca="1">INDEX('Lorri 401b'!L:L,MATCH('Retirement Calculator'!A420,'Lorri 401b'!N:N,0),0)</f>
        <v>2825310.4293178977</v>
      </c>
      <c r="S420" s="25">
        <f t="shared" ca="1" si="267"/>
        <v>4501658.3041392108</v>
      </c>
    </row>
    <row r="421" spans="1:19" ht="15.75" customHeight="1" x14ac:dyDescent="0.3">
      <c r="A421" s="37">
        <v>63767</v>
      </c>
      <c r="B421" s="398">
        <f t="shared" ref="B421:C421" si="422">($A421-B$9)/365.25</f>
        <v>92.706365503080079</v>
      </c>
      <c r="C421" s="398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3254.2644699519233</v>
      </c>
      <c r="H421" s="25">
        <f>IF(B421&lt;62,0,'Combined Retirement'!$I$14)</f>
        <v>2345</v>
      </c>
      <c r="I421" s="25">
        <f>IF(C421&lt;62,0,'Combined Retirement'!$I$13)</f>
        <v>2420</v>
      </c>
      <c r="J421" s="25">
        <f t="shared" si="263"/>
        <v>7896.2379798201846</v>
      </c>
      <c r="K421" s="25">
        <f t="shared" si="264"/>
        <v>20367.195264578786</v>
      </c>
      <c r="L421" s="25"/>
      <c r="N421" s="25">
        <f>'Combined Retirement'!$C$18/12</f>
        <v>39153.069999999992</v>
      </c>
      <c r="O421" s="25">
        <f t="shared" si="265"/>
        <v>10889.636755601023</v>
      </c>
      <c r="P421" s="25">
        <f t="shared" si="266"/>
        <v>28263.43324439897</v>
      </c>
      <c r="Q421" s="25">
        <f t="array" aca="1" ref="Q421" ca="1">INDEX('Isaac 401k'!L:L,MATCH('Retirement Calculator'!A421,'Isaac 401k'!N:N,0),0)</f>
        <v>1675403.5186616662</v>
      </c>
      <c r="R421" s="25">
        <f t="array" aca="1" ref="R421" ca="1">INDEX('Lorri 401b'!L:L,MATCH('Retirement Calculator'!A421,'Lorri 401b'!N:N,0),0)</f>
        <v>2816630.4975285409</v>
      </c>
      <c r="S421" s="25">
        <f t="shared" ca="1" si="267"/>
        <v>4492034.0161902066</v>
      </c>
    </row>
    <row r="422" spans="1:19" ht="15.75" customHeight="1" x14ac:dyDescent="0.3">
      <c r="A422" s="37">
        <v>63798</v>
      </c>
      <c r="B422" s="398">
        <f t="shared" ref="B422:C422" si="423">($A422-B$9)/365.25</f>
        <v>92.791238877481177</v>
      </c>
      <c r="C422" s="398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3254.2644699519233</v>
      </c>
      <c r="H422" s="25">
        <f>IF(B422&lt;62,0,'Combined Retirement'!$I$14)</f>
        <v>2345</v>
      </c>
      <c r="I422" s="25">
        <f>IF(C422&lt;62,0,'Combined Retirement'!$I$13)</f>
        <v>2420</v>
      </c>
      <c r="J422" s="25">
        <f t="shared" si="263"/>
        <v>7896.2379798201846</v>
      </c>
      <c r="K422" s="25">
        <f t="shared" si="264"/>
        <v>20367.195264578786</v>
      </c>
      <c r="L422" s="25"/>
      <c r="N422" s="25">
        <f>'Combined Retirement'!$C$18/12</f>
        <v>39153.069999999992</v>
      </c>
      <c r="O422" s="25">
        <f t="shared" si="265"/>
        <v>10889.636755601023</v>
      </c>
      <c r="P422" s="25">
        <f t="shared" si="266"/>
        <v>28263.43324439897</v>
      </c>
      <c r="Q422" s="25">
        <f t="array" aca="1" ref="Q422" ca="1">INDEX('Isaac 401k'!L:L,MATCH('Retirement Calculator'!A422,'Isaac 401k'!N:N,0),0)</f>
        <v>1674455.2276846869</v>
      </c>
      <c r="R422" s="25">
        <f t="array" aca="1" ref="R422" ca="1">INDEX('Lorri 401b'!L:L,MATCH('Retirement Calculator'!A422,'Lorri 401b'!N:N,0),0)</f>
        <v>2807914.3993567284</v>
      </c>
      <c r="S422" s="25">
        <f t="shared" ca="1" si="267"/>
        <v>4482369.6270414153</v>
      </c>
    </row>
    <row r="423" spans="1:19" ht="15.75" customHeight="1" x14ac:dyDescent="0.3">
      <c r="A423" s="37">
        <v>63828</v>
      </c>
      <c r="B423" s="398">
        <f t="shared" ref="B423:C423" si="424">($A423-B$9)/365.25</f>
        <v>92.873374401095134</v>
      </c>
      <c r="C423" s="398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3254.2644699519233</v>
      </c>
      <c r="H423" s="25">
        <f>IF(B423&lt;62,0,'Combined Retirement'!$I$14)</f>
        <v>2345</v>
      </c>
      <c r="I423" s="25">
        <f>IF(C423&lt;62,0,'Combined Retirement'!$I$13)</f>
        <v>2420</v>
      </c>
      <c r="J423" s="25">
        <f t="shared" si="263"/>
        <v>7896.2379798201846</v>
      </c>
      <c r="K423" s="25">
        <f t="shared" si="264"/>
        <v>20367.195264578786</v>
      </c>
      <c r="L423" s="25"/>
      <c r="N423" s="25">
        <f>'Combined Retirement'!$C$18/12</f>
        <v>39153.069999999992</v>
      </c>
      <c r="O423" s="25">
        <f t="shared" si="265"/>
        <v>10889.636755601023</v>
      </c>
      <c r="P423" s="25">
        <f t="shared" si="266"/>
        <v>28263.43324439897</v>
      </c>
      <c r="Q423" s="25">
        <f t="array" aca="1" ref="Q423" ca="1">INDEX('Isaac 401k'!L:L,MATCH('Retirement Calculator'!A423,'Isaac 401k'!N:N,0),0)</f>
        <v>1673502.9854953035</v>
      </c>
      <c r="R423" s="25">
        <f t="array" aca="1" ref="R423" ca="1">INDEX('Lorri 401b'!L:L,MATCH('Retirement Calculator'!A423,'Lorri 401b'!N:N,0),0)</f>
        <v>2799161.9841092001</v>
      </c>
      <c r="S423" s="25">
        <f t="shared" ca="1" si="267"/>
        <v>4472664.9696045034</v>
      </c>
    </row>
    <row r="424" spans="1:19" ht="15.75" customHeight="1" x14ac:dyDescent="0.3">
      <c r="A424" s="37">
        <v>63859</v>
      </c>
      <c r="B424" s="398">
        <f t="shared" ref="B424:C424" si="425">($A424-B$9)/365.25</f>
        <v>92.958247775496233</v>
      </c>
      <c r="C424" s="398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3254.2644699519233</v>
      </c>
      <c r="H424" s="25">
        <f>IF(B424&lt;62,0,'Combined Retirement'!$I$14)</f>
        <v>2345</v>
      </c>
      <c r="I424" s="25">
        <f>IF(C424&lt;62,0,'Combined Retirement'!$I$13)</f>
        <v>2420</v>
      </c>
      <c r="J424" s="25">
        <f t="shared" si="263"/>
        <v>7896.2379798201846</v>
      </c>
      <c r="K424" s="25">
        <f t="shared" si="264"/>
        <v>20367.195264578786</v>
      </c>
      <c r="L424" s="25"/>
      <c r="N424" s="25">
        <f>'Combined Retirement'!$C$18/12</f>
        <v>39153.069999999992</v>
      </c>
      <c r="O424" s="25">
        <f t="shared" si="265"/>
        <v>10889.636755601023</v>
      </c>
      <c r="P424" s="25">
        <f t="shared" si="266"/>
        <v>28263.43324439897</v>
      </c>
      <c r="Q424" s="25">
        <f t="array" aca="1" ref="Q424" ca="1">INDEX('Isaac 401k'!L:L,MATCH('Retirement Calculator'!A424,'Isaac 401k'!N:N,0),0)</f>
        <v>1672546.7756301311</v>
      </c>
      <c r="R424" s="25">
        <f t="array" aca="1" ref="R424" ca="1">INDEX('Lorri 401b'!L:L,MATCH('Retirement Calculator'!A424,'Lorri 401b'!N:N,0),0)</f>
        <v>2790373.1004648074</v>
      </c>
      <c r="S424" s="25">
        <f t="shared" ca="1" si="267"/>
        <v>4462919.8760949383</v>
      </c>
    </row>
    <row r="425" spans="1:19" ht="15.75" customHeight="1" x14ac:dyDescent="0.3">
      <c r="A425" s="37">
        <v>63889</v>
      </c>
      <c r="B425" s="398">
        <f t="shared" ref="B425:C425" si="426">($A425-B$9)/365.25</f>
        <v>93.040383299110204</v>
      </c>
      <c r="C425" s="398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3254.2644699519233</v>
      </c>
      <c r="H425" s="25">
        <f>IF(B425&lt;62,0,'Combined Retirement'!$I$14)</f>
        <v>2345</v>
      </c>
      <c r="I425" s="25">
        <f>IF(C425&lt;62,0,'Combined Retirement'!$I$13)</f>
        <v>2420</v>
      </c>
      <c r="J425" s="25">
        <f t="shared" si="263"/>
        <v>7896.2379798201846</v>
      </c>
      <c r="K425" s="25">
        <f t="shared" si="264"/>
        <v>20367.195264578786</v>
      </c>
      <c r="L425" s="25"/>
      <c r="N425" s="25">
        <f>'Combined Retirement'!$C$18/12</f>
        <v>39153.069999999992</v>
      </c>
      <c r="O425" s="25">
        <f t="shared" si="265"/>
        <v>10889.636755601023</v>
      </c>
      <c r="P425" s="25">
        <f t="shared" si="266"/>
        <v>28263.43324439897</v>
      </c>
      <c r="Q425" s="25">
        <f t="array" aca="1" ref="Q425" ca="1">INDEX('Isaac 401k'!L:L,MATCH('Retirement Calculator'!A425,'Isaac 401k'!N:N,0),0)</f>
        <v>1671586.5815571873</v>
      </c>
      <c r="R425" s="25">
        <f t="array" aca="1" ref="R425" ca="1">INDEX('Lorri 401b'!L:L,MATCH('Retirement Calculator'!A425,'Lorri 401b'!N:N,0),0)</f>
        <v>2781547.5964718964</v>
      </c>
      <c r="S425" s="25">
        <f t="shared" ca="1" si="267"/>
        <v>4453134.1780290836</v>
      </c>
    </row>
    <row r="426" spans="1:19" ht="15.75" customHeight="1" x14ac:dyDescent="0.3">
      <c r="A426" s="37">
        <v>63920</v>
      </c>
      <c r="B426" s="398">
        <f t="shared" ref="B426:C426" si="427">($A426-B$9)/365.25</f>
        <v>93.125256673511288</v>
      </c>
      <c r="C426" s="398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3254.2644699519233</v>
      </c>
      <c r="H426" s="25">
        <f>IF(B426&lt;62,0,'Combined Retirement'!$I$14)</f>
        <v>2345</v>
      </c>
      <c r="I426" s="25">
        <f>IF(C426&lt;62,0,'Combined Retirement'!$I$13)</f>
        <v>2420</v>
      </c>
      <c r="J426" s="25">
        <f t="shared" si="263"/>
        <v>7896.2379798201846</v>
      </c>
      <c r="K426" s="25">
        <f t="shared" si="264"/>
        <v>20367.195264578786</v>
      </c>
      <c r="L426" s="25"/>
      <c r="N426" s="25">
        <f>'Combined Retirement'!$C$18/12</f>
        <v>39153.069999999992</v>
      </c>
      <c r="O426" s="25">
        <f t="shared" si="265"/>
        <v>10889.636755601023</v>
      </c>
      <c r="P426" s="25">
        <f t="shared" si="266"/>
        <v>28263.43324439897</v>
      </c>
      <c r="Q426" s="25">
        <f t="array" aca="1" ref="Q426" ca="1">INDEX('Isaac 401k'!L:L,MATCH('Retirement Calculator'!A426,'Isaac 401k'!N:N,0),0)</f>
        <v>1670622.386675606</v>
      </c>
      <c r="R426" s="25">
        <f t="array" aca="1" ref="R426" ca="1">INDEX('Lorri 401b'!L:L,MATCH('Retirement Calculator'!A426,'Lorri 401b'!N:N,0),0)</f>
        <v>2772685.3195456816</v>
      </c>
      <c r="S426" s="25">
        <f t="shared" ca="1" si="267"/>
        <v>4443307.7062212881</v>
      </c>
    </row>
    <row r="427" spans="1:19" ht="15.75" customHeight="1" x14ac:dyDescent="0.3">
      <c r="A427" s="37">
        <v>63951</v>
      </c>
      <c r="B427" s="398">
        <f t="shared" ref="B427:C427" si="428">($A427-B$9)/365.25</f>
        <v>93.210130047912386</v>
      </c>
      <c r="C427" s="398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3254.2644699519233</v>
      </c>
      <c r="H427" s="25">
        <f>IF(B427&lt;62,0,'Combined Retirement'!$I$14)</f>
        <v>2345</v>
      </c>
      <c r="I427" s="25">
        <f>IF(C427&lt;62,0,'Combined Retirement'!$I$13)</f>
        <v>2420</v>
      </c>
      <c r="J427" s="25">
        <f t="shared" si="263"/>
        <v>7896.2379798201846</v>
      </c>
      <c r="K427" s="25">
        <f t="shared" si="264"/>
        <v>20367.195264578786</v>
      </c>
      <c r="L427" s="25"/>
      <c r="N427" s="25">
        <f>'Combined Retirement'!$C$18/12</f>
        <v>39153.069999999992</v>
      </c>
      <c r="O427" s="25">
        <f t="shared" si="265"/>
        <v>10889.636755601023</v>
      </c>
      <c r="P427" s="25">
        <f t="shared" si="266"/>
        <v>28263.43324439897</v>
      </c>
      <c r="Q427" s="25">
        <f t="array" aca="1" ref="Q427" ca="1">INDEX('Isaac 401k'!L:L,MATCH('Retirement Calculator'!A427,'Isaac 401k'!N:N,0),0)</f>
        <v>1669654.1743153515</v>
      </c>
      <c r="R427" s="25">
        <f t="array" aca="1" ref="R427" ca="1">INDEX('Lorri 401b'!L:L,MATCH('Retirement Calculator'!A427,'Lorri 401b'!N:N,0),0)</f>
        <v>2763786.1164656072</v>
      </c>
      <c r="S427" s="25">
        <f t="shared" ca="1" si="267"/>
        <v>4433440.2907809587</v>
      </c>
    </row>
    <row r="428" spans="1:19" ht="15.75" customHeight="1" x14ac:dyDescent="0.3">
      <c r="A428" s="37">
        <v>63979</v>
      </c>
      <c r="B428" s="398">
        <f t="shared" ref="B428:C428" si="429">($A428-B$9)/365.25</f>
        <v>93.286789869952088</v>
      </c>
      <c r="C428" s="398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3254.2644699519233</v>
      </c>
      <c r="H428" s="25">
        <f>IF(B428&lt;62,0,'Combined Retirement'!$I$14)</f>
        <v>2345</v>
      </c>
      <c r="I428" s="25">
        <f>IF(C428&lt;62,0,'Combined Retirement'!$I$13)</f>
        <v>2420</v>
      </c>
      <c r="J428" s="25">
        <f t="shared" si="263"/>
        <v>7896.2379798201846</v>
      </c>
      <c r="K428" s="25">
        <f t="shared" si="264"/>
        <v>20367.195264578786</v>
      </c>
      <c r="L428" s="25"/>
      <c r="N428" s="25">
        <f>'Combined Retirement'!$C$18/12</f>
        <v>39153.069999999992</v>
      </c>
      <c r="O428" s="25">
        <f t="shared" si="265"/>
        <v>10889.636755601023</v>
      </c>
      <c r="P428" s="25">
        <f t="shared" si="266"/>
        <v>28263.43324439897</v>
      </c>
      <c r="Q428" s="25">
        <f t="array" aca="1" ref="Q428" ca="1">INDEX('Isaac 401k'!L:L,MATCH('Retirement Calculator'!A428,'Isaac 401k'!N:N,0),0)</f>
        <v>1668681.9277369294</v>
      </c>
      <c r="R428" s="25">
        <f t="array" aca="1" ref="R428" ca="1">INDEX('Lorri 401b'!L:L,MATCH('Retirement Calculator'!A428,'Lorri 401b'!N:N,0),0)</f>
        <v>2754849.8333726996</v>
      </c>
      <c r="S428" s="25">
        <f t="shared" ca="1" si="267"/>
        <v>4423531.7611096287</v>
      </c>
    </row>
    <row r="429" spans="1:19" ht="15.75" customHeight="1" x14ac:dyDescent="0.3">
      <c r="A429" s="37">
        <v>64010</v>
      </c>
      <c r="B429" s="398">
        <f t="shared" ref="B429:C429" si="430">($A429-B$9)/365.25</f>
        <v>93.371663244353186</v>
      </c>
      <c r="C429" s="398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3254.2644699519233</v>
      </c>
      <c r="H429" s="25">
        <f>IF(B429&lt;62,0,'Combined Retirement'!$I$14)</f>
        <v>2345</v>
      </c>
      <c r="I429" s="25">
        <f>IF(C429&lt;62,0,'Combined Retirement'!$I$13)</f>
        <v>2420</v>
      </c>
      <c r="J429" s="25">
        <f t="shared" si="263"/>
        <v>7896.2379798201846</v>
      </c>
      <c r="K429" s="25">
        <f t="shared" si="264"/>
        <v>20367.195264578786</v>
      </c>
      <c r="L429" s="25"/>
      <c r="N429" s="25">
        <f>'Combined Retirement'!$C$18/12</f>
        <v>39153.069999999992</v>
      </c>
      <c r="O429" s="25">
        <f t="shared" si="265"/>
        <v>10889.636755601023</v>
      </c>
      <c r="P429" s="25">
        <f t="shared" si="266"/>
        <v>28263.43324439897</v>
      </c>
      <c r="Q429" s="25">
        <f t="array" aca="1" ref="Q429" ca="1">INDEX('Isaac 401k'!L:L,MATCH('Retirement Calculator'!A429,'Isaac 401k'!N:N,0),0)</f>
        <v>1667705.630131097</v>
      </c>
      <c r="R429" s="25">
        <f t="array" aca="1" ref="R429" ca="1">INDEX('Lorri 401b'!L:L,MATCH('Retirement Calculator'!A429,'Lorri 401b'!N:N,0),0)</f>
        <v>2745876.3157669045</v>
      </c>
      <c r="S429" s="25">
        <f t="shared" ca="1" si="267"/>
        <v>4413581.945898002</v>
      </c>
    </row>
    <row r="430" spans="1:19" ht="15.75" customHeight="1" x14ac:dyDescent="0.3">
      <c r="A430" s="37">
        <v>64040</v>
      </c>
      <c r="B430" s="398">
        <f t="shared" ref="B430:C430" si="431">($A430-B$9)/365.25</f>
        <v>93.453798767967143</v>
      </c>
      <c r="C430" s="398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3254.2644699519233</v>
      </c>
      <c r="H430" s="25">
        <f>IF(B430&lt;62,0,'Combined Retirement'!$I$14)</f>
        <v>2345</v>
      </c>
      <c r="I430" s="25">
        <f>IF(C430&lt;62,0,'Combined Retirement'!$I$13)</f>
        <v>2420</v>
      </c>
      <c r="J430" s="25">
        <f t="shared" si="263"/>
        <v>7896.2379798201846</v>
      </c>
      <c r="K430" s="25">
        <f t="shared" si="264"/>
        <v>20367.195264578786</v>
      </c>
      <c r="L430" s="25"/>
      <c r="N430" s="25">
        <f>'Combined Retirement'!$C$18/12</f>
        <v>39153.069999999992</v>
      </c>
      <c r="O430" s="25">
        <f t="shared" si="265"/>
        <v>10889.636755601023</v>
      </c>
      <c r="P430" s="25">
        <f t="shared" si="266"/>
        <v>28263.43324439897</v>
      </c>
      <c r="Q430" s="25">
        <f t="array" aca="1" ref="Q430" ca="1">INDEX('Isaac 401k'!L:L,MATCH('Retirement Calculator'!A430,'Isaac 401k'!N:N,0),0)</f>
        <v>1666725.2646185737</v>
      </c>
      <c r="R430" s="25">
        <f t="array" aca="1" ref="R430" ca="1">INDEX('Lorri 401b'!L:L,MATCH('Retirement Calculator'!A430,'Lorri 401b'!N:N,0),0)</f>
        <v>2736865.4085044186</v>
      </c>
      <c r="S430" s="25">
        <f t="shared" ca="1" si="267"/>
        <v>4403590.6731229927</v>
      </c>
    </row>
    <row r="431" spans="1:19" ht="15.75" customHeight="1" x14ac:dyDescent="0.3">
      <c r="A431" s="37">
        <v>64071</v>
      </c>
      <c r="B431" s="398">
        <f t="shared" ref="B431:C431" si="432">($A431-B$9)/365.25</f>
        <v>93.538672142368242</v>
      </c>
      <c r="C431" s="398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3254.2644699519233</v>
      </c>
      <c r="H431" s="25">
        <f>IF(B431&lt;62,0,'Combined Retirement'!$I$14)</f>
        <v>2345</v>
      </c>
      <c r="I431" s="25">
        <f>IF(C431&lt;62,0,'Combined Retirement'!$I$13)</f>
        <v>2420</v>
      </c>
      <c r="J431" s="25">
        <f t="shared" si="263"/>
        <v>7896.2379798201846</v>
      </c>
      <c r="K431" s="25">
        <f t="shared" si="264"/>
        <v>20367.195264578786</v>
      </c>
      <c r="L431" s="25"/>
      <c r="N431" s="25">
        <f>'Combined Retirement'!$C$18/12</f>
        <v>39153.069999999992</v>
      </c>
      <c r="O431" s="25">
        <f t="shared" si="265"/>
        <v>10889.636755601023</v>
      </c>
      <c r="P431" s="25">
        <f t="shared" si="266"/>
        <v>28263.43324439897</v>
      </c>
      <c r="Q431" s="25">
        <f t="array" aca="1" ref="Q431" ca="1">INDEX('Isaac 401k'!L:L,MATCH('Retirement Calculator'!A431,'Isaac 401k'!N:N,0),0)</f>
        <v>1665740.8142497484</v>
      </c>
      <c r="R431" s="25">
        <f t="array" aca="1" ref="R431" ca="1">INDEX('Lorri 401b'!L:L,MATCH('Retirement Calculator'!A431,'Lorri 401b'!N:N,0),0)</f>
        <v>2727816.9557950059</v>
      </c>
      <c r="S431" s="25">
        <f t="shared" ca="1" si="267"/>
        <v>4393557.7700447543</v>
      </c>
    </row>
    <row r="432" spans="1:19" ht="15.75" customHeight="1" x14ac:dyDescent="0.3">
      <c r="A432" s="37">
        <v>64101</v>
      </c>
      <c r="B432" s="398">
        <f t="shared" ref="B432:C432" si="433">($A432-B$9)/365.25</f>
        <v>93.620807665982198</v>
      </c>
      <c r="C432" s="398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3254.2644699519233</v>
      </c>
      <c r="H432" s="25">
        <f>IF(B432&lt;62,0,'Combined Retirement'!$I$14)</f>
        <v>2345</v>
      </c>
      <c r="I432" s="25">
        <f>IF(C432&lt;62,0,'Combined Retirement'!$I$13)</f>
        <v>2420</v>
      </c>
      <c r="J432" s="25">
        <f t="shared" si="263"/>
        <v>7896.2379798201846</v>
      </c>
      <c r="K432" s="25">
        <f t="shared" si="264"/>
        <v>20367.195264578786</v>
      </c>
      <c r="L432" s="25"/>
      <c r="N432" s="25">
        <f>'Combined Retirement'!$C$18/12</f>
        <v>39153.069999999992</v>
      </c>
      <c r="O432" s="25">
        <f t="shared" si="265"/>
        <v>10889.636755601023</v>
      </c>
      <c r="P432" s="25">
        <f t="shared" si="266"/>
        <v>28263.43324439897</v>
      </c>
      <c r="Q432" s="25">
        <f t="array" aca="1" ref="Q432" ca="1">INDEX('Isaac 401k'!L:L,MATCH('Retirement Calculator'!A432,'Isaac 401k'!N:N,0),0)</f>
        <v>1664752.2620043862</v>
      </c>
      <c r="R432" s="25">
        <f t="array" aca="1" ref="R432" ca="1">INDEX('Lorri 401b'!L:L,MATCH('Retirement Calculator'!A432,'Lorri 401b'!N:N,0),0)</f>
        <v>2718730.8011993039</v>
      </c>
      <c r="S432" s="25">
        <f t="shared" ca="1" si="267"/>
        <v>4383483.0632036906</v>
      </c>
    </row>
    <row r="433" spans="1:19" ht="15.75" customHeight="1" x14ac:dyDescent="0.3">
      <c r="A433" s="37">
        <v>64132</v>
      </c>
      <c r="B433" s="398">
        <f t="shared" ref="B433:C433" si="434">($A433-B$9)/365.25</f>
        <v>93.705681040383297</v>
      </c>
      <c r="C433" s="398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3254.2644699519233</v>
      </c>
      <c r="H433" s="25">
        <f>IF(B433&lt;62,0,'Combined Retirement'!$I$14)</f>
        <v>2345</v>
      </c>
      <c r="I433" s="25">
        <f>IF(C433&lt;62,0,'Combined Retirement'!$I$13)</f>
        <v>2420</v>
      </c>
      <c r="J433" s="25">
        <f t="shared" si="263"/>
        <v>7896.2379798201846</v>
      </c>
      <c r="K433" s="25">
        <f t="shared" si="264"/>
        <v>20367.195264578786</v>
      </c>
      <c r="L433" s="25"/>
      <c r="N433" s="25">
        <f>'Combined Retirement'!$C$18/12</f>
        <v>39153.069999999992</v>
      </c>
      <c r="O433" s="25">
        <f t="shared" si="265"/>
        <v>10889.636755601023</v>
      </c>
      <c r="P433" s="25">
        <f t="shared" si="266"/>
        <v>28263.43324439897</v>
      </c>
      <c r="Q433" s="25">
        <f t="array" aca="1" ref="Q433" ca="1">INDEX('Isaac 401k'!L:L,MATCH('Retirement Calculator'!A433,'Isaac 401k'!N:N,0),0)</f>
        <v>1663759.5907913349</v>
      </c>
      <c r="R433" s="25">
        <f t="array" aca="1" ref="R433" ca="1">INDEX('Lorri 401b'!L:L,MATCH('Retirement Calculator'!A433,'Lorri 401b'!N:N,0),0)</f>
        <v>2709606.7876261198</v>
      </c>
      <c r="S433" s="25">
        <f t="shared" ca="1" si="267"/>
        <v>4373366.3784174547</v>
      </c>
    </row>
    <row r="434" spans="1:19" ht="15.75" customHeight="1" x14ac:dyDescent="0.3">
      <c r="A434" s="37">
        <v>64163</v>
      </c>
      <c r="B434" s="398">
        <f t="shared" ref="B434:C434" si="435">($A434-B$9)/365.25</f>
        <v>93.790554414784395</v>
      </c>
      <c r="C434" s="398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3254.2644699519233</v>
      </c>
      <c r="H434" s="25">
        <f>IF(B434&lt;62,0,'Combined Retirement'!$I$14)</f>
        <v>2345</v>
      </c>
      <c r="I434" s="25">
        <f>IF(C434&lt;62,0,'Combined Retirement'!$I$13)</f>
        <v>2420</v>
      </c>
      <c r="J434" s="25">
        <f t="shared" si="263"/>
        <v>7896.2379798201846</v>
      </c>
      <c r="K434" s="25">
        <f t="shared" si="264"/>
        <v>20367.195264578786</v>
      </c>
      <c r="L434" s="25"/>
      <c r="N434" s="25">
        <f>'Combined Retirement'!$C$18/12</f>
        <v>39153.069999999992</v>
      </c>
      <c r="O434" s="25">
        <f t="shared" si="265"/>
        <v>10889.636755601023</v>
      </c>
      <c r="P434" s="25">
        <f t="shared" si="266"/>
        <v>28263.43324439897</v>
      </c>
      <c r="Q434" s="25">
        <f t="array" aca="1" ref="Q434" ca="1">INDEX('Isaac 401k'!L:L,MATCH('Retirement Calculator'!A434,'Isaac 401k'!N:N,0),0)</f>
        <v>1662762.7834482293</v>
      </c>
      <c r="R434" s="25">
        <f t="array" aca="1" ref="R434" ca="1">INDEX('Lorri 401b'!L:L,MATCH('Retirement Calculator'!A434,'Lorri 401b'!N:N,0),0)</f>
        <v>2700444.757329714</v>
      </c>
      <c r="S434" s="25">
        <f t="shared" ca="1" si="267"/>
        <v>4363207.5407779431</v>
      </c>
    </row>
    <row r="435" spans="1:19" ht="15.75" customHeight="1" x14ac:dyDescent="0.3">
      <c r="A435" s="37">
        <v>64193</v>
      </c>
      <c r="B435" s="398">
        <f t="shared" ref="B435:C435" si="436">($A435-B$9)/365.25</f>
        <v>93.872689938398352</v>
      </c>
      <c r="C435" s="398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3254.2644699519233</v>
      </c>
      <c r="H435" s="25">
        <f>IF(B435&lt;62,0,'Combined Retirement'!$I$14)</f>
        <v>2345</v>
      </c>
      <c r="I435" s="25">
        <f>IF(C435&lt;62,0,'Combined Retirement'!$I$13)</f>
        <v>2420</v>
      </c>
      <c r="J435" s="25">
        <f t="shared" si="263"/>
        <v>7896.2379798201846</v>
      </c>
      <c r="K435" s="25">
        <f t="shared" si="264"/>
        <v>20367.195264578786</v>
      </c>
      <c r="L435" s="25"/>
      <c r="N435" s="25">
        <f>'Combined Retirement'!$C$18/12</f>
        <v>39153.069999999992</v>
      </c>
      <c r="O435" s="25">
        <f t="shared" si="265"/>
        <v>10889.636755601023</v>
      </c>
      <c r="P435" s="25">
        <f t="shared" si="266"/>
        <v>28263.43324439897</v>
      </c>
      <c r="Q435" s="25">
        <f t="array" aca="1" ref="Q435" ca="1">INDEX('Isaac 401k'!L:L,MATCH('Retirement Calculator'!A435,'Isaac 401k'!N:N,0),0)</f>
        <v>1661761.8227411942</v>
      </c>
      <c r="R435" s="25">
        <f t="array" aca="1" ref="R435" ca="1">INDEX('Lorri 401b'!L:L,MATCH('Retirement Calculator'!A435,'Lorri 401b'!N:N,0),0)</f>
        <v>2691244.5519070732</v>
      </c>
      <c r="S435" s="25">
        <f t="shared" ca="1" si="267"/>
        <v>4353006.3746482674</v>
      </c>
    </row>
    <row r="436" spans="1:19" ht="15.75" customHeight="1" x14ac:dyDescent="0.3">
      <c r="A436" s="37">
        <v>64224</v>
      </c>
      <c r="B436" s="398">
        <f t="shared" ref="B436:C436" si="437">($A436-B$9)/365.25</f>
        <v>93.957563312799451</v>
      </c>
      <c r="C436" s="398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3254.2644699519233</v>
      </c>
      <c r="H436" s="25">
        <f>IF(B436&lt;62,0,'Combined Retirement'!$I$14)</f>
        <v>2345</v>
      </c>
      <c r="I436" s="25">
        <f>IF(C436&lt;62,0,'Combined Retirement'!$I$13)</f>
        <v>2420</v>
      </c>
      <c r="J436" s="25">
        <f t="shared" si="263"/>
        <v>7896.2379798201846</v>
      </c>
      <c r="K436" s="25">
        <f t="shared" si="264"/>
        <v>20367.195264578786</v>
      </c>
      <c r="L436" s="25"/>
      <c r="N436" s="25">
        <f>'Combined Retirement'!$C$18/12</f>
        <v>39153.069999999992</v>
      </c>
      <c r="O436" s="25">
        <f t="shared" si="265"/>
        <v>10889.636755601023</v>
      </c>
      <c r="P436" s="25">
        <f t="shared" si="266"/>
        <v>28263.43324439897</v>
      </c>
      <c r="Q436" s="25">
        <f t="array" aca="1" ref="Q436" ca="1">INDEX('Isaac 401k'!L:L,MATCH('Retirement Calculator'!A436,'Isaac 401k'!N:N,0),0)</f>
        <v>1660756.6913645463</v>
      </c>
      <c r="R436" s="25">
        <f t="array" aca="1" ref="R436" ca="1">INDEX('Lorri 401b'!L:L,MATCH('Retirement Calculator'!A436,'Lorri 401b'!N:N,0),0)</f>
        <v>2682006.0122951716</v>
      </c>
      <c r="S436" s="25">
        <f t="shared" ca="1" si="267"/>
        <v>4342762.7036597179</v>
      </c>
    </row>
    <row r="437" spans="1:19" ht="15.75" customHeight="1" x14ac:dyDescent="0.3">
      <c r="A437" s="37">
        <v>64254</v>
      </c>
      <c r="B437" s="398">
        <f t="shared" ref="B437:C437" si="438">($A437-B$9)/365.25</f>
        <v>94.039698836413422</v>
      </c>
      <c r="C437" s="398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3254.2644699519233</v>
      </c>
      <c r="H437" s="25">
        <f>IF(B437&lt;62,0,'Combined Retirement'!$I$14)</f>
        <v>2345</v>
      </c>
      <c r="I437" s="25">
        <f>IF(C437&lt;62,0,'Combined Retirement'!$I$13)</f>
        <v>2420</v>
      </c>
      <c r="J437" s="25">
        <f t="shared" si="263"/>
        <v>7896.2379798201846</v>
      </c>
      <c r="K437" s="25">
        <f t="shared" si="264"/>
        <v>20367.195264578786</v>
      </c>
      <c r="L437" s="25"/>
      <c r="N437" s="25">
        <f>'Combined Retirement'!$C$18/12</f>
        <v>39153.069999999992</v>
      </c>
      <c r="O437" s="25">
        <f t="shared" si="265"/>
        <v>10889.636755601023</v>
      </c>
      <c r="P437" s="25">
        <f t="shared" si="266"/>
        <v>28263.43324439897</v>
      </c>
      <c r="Q437" s="25">
        <f t="array" aca="1" ref="Q437" ca="1">INDEX('Isaac 401k'!L:L,MATCH('Retirement Calculator'!A437,'Isaac 401k'!N:N,0),0)</f>
        <v>1659747.3719404957</v>
      </c>
      <c r="R437" s="25">
        <f t="array" aca="1" ref="R437" ca="1">INDEX('Lorri 401b'!L:L,MATCH('Retirement Calculator'!A437,'Lorri 401b'!N:N,0),0)</f>
        <v>2672728.9787682202</v>
      </c>
      <c r="S437" s="25">
        <f t="shared" ca="1" si="267"/>
        <v>4332476.3507087156</v>
      </c>
    </row>
    <row r="438" spans="1:19" ht="15.75" customHeight="1" x14ac:dyDescent="0.3">
      <c r="A438" s="37">
        <v>64285</v>
      </c>
      <c r="B438" s="398">
        <f t="shared" ref="B438:C438" si="439">($A438-B$9)/365.25</f>
        <v>94.124572210814506</v>
      </c>
      <c r="C438" s="398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3254.2644699519233</v>
      </c>
      <c r="H438" s="25">
        <f>IF(B438&lt;62,0,'Combined Retirement'!$I$14)</f>
        <v>2345</v>
      </c>
      <c r="I438" s="25">
        <f>IF(C438&lt;62,0,'Combined Retirement'!$I$13)</f>
        <v>2420</v>
      </c>
      <c r="J438" s="25">
        <f t="shared" si="263"/>
        <v>7896.2379798201846</v>
      </c>
      <c r="K438" s="25">
        <f t="shared" si="264"/>
        <v>20367.195264578786</v>
      </c>
      <c r="L438" s="25"/>
      <c r="N438" s="25">
        <f>'Combined Retirement'!$C$18/12</f>
        <v>39153.069999999992</v>
      </c>
      <c r="O438" s="25">
        <f t="shared" si="265"/>
        <v>10889.636755601023</v>
      </c>
      <c r="P438" s="25">
        <f t="shared" si="266"/>
        <v>28263.43324439897</v>
      </c>
      <c r="Q438" s="25">
        <f t="array" aca="1" ref="Q438" ca="1">INDEX('Isaac 401k'!L:L,MATCH('Retirement Calculator'!A438,'Isaac 401k'!N:N,0),0)</f>
        <v>1658733.8470188449</v>
      </c>
      <c r="R438" s="25">
        <f t="array" aca="1" ref="R438" ca="1">INDEX('Lorri 401b'!L:L,MATCH('Retirement Calculator'!A438,'Lorri 401b'!N:N,0),0)</f>
        <v>2663413.2909349063</v>
      </c>
      <c r="S438" s="25">
        <f t="shared" ca="1" si="267"/>
        <v>4322147.1379537508</v>
      </c>
    </row>
    <row r="439" spans="1:19" ht="15.75" customHeight="1" x14ac:dyDescent="0.3">
      <c r="A439" s="37">
        <v>64316</v>
      </c>
      <c r="B439" s="398">
        <f t="shared" ref="B439:C439" si="440">($A439-B$9)/365.25</f>
        <v>94.209445585215605</v>
      </c>
      <c r="C439" s="398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3254.2644699519233</v>
      </c>
      <c r="H439" s="25">
        <f>IF(B439&lt;62,0,'Combined Retirement'!$I$14)</f>
        <v>2345</v>
      </c>
      <c r="I439" s="25">
        <f>IF(C439&lt;62,0,'Combined Retirement'!$I$13)</f>
        <v>2420</v>
      </c>
      <c r="J439" s="25">
        <f t="shared" si="263"/>
        <v>7896.2379798201846</v>
      </c>
      <c r="K439" s="25">
        <f t="shared" si="264"/>
        <v>20367.195264578786</v>
      </c>
      <c r="L439" s="25"/>
      <c r="N439" s="25">
        <f>'Combined Retirement'!$C$18/12</f>
        <v>39153.069999999992</v>
      </c>
      <c r="O439" s="25">
        <f t="shared" si="265"/>
        <v>10889.636755601023</v>
      </c>
      <c r="P439" s="25">
        <f t="shared" si="266"/>
        <v>28263.43324439897</v>
      </c>
      <c r="Q439" s="25">
        <f t="array" aca="1" ref="Q439" ca="1">INDEX('Isaac 401k'!L:L,MATCH('Retirement Calculator'!A439,'Isaac 401k'!N:N,0),0)</f>
        <v>1657716.0990766874</v>
      </c>
      <c r="R439" s="25">
        <f t="array" aca="1" ref="R439" ca="1">INDEX('Lorri 401b'!L:L,MATCH('Retirement Calculator'!A439,'Lorri 401b'!N:N,0),0)</f>
        <v>2654058.7877356205</v>
      </c>
      <c r="S439" s="25">
        <f t="shared" ca="1" si="267"/>
        <v>4311774.8868123079</v>
      </c>
    </row>
    <row r="440" spans="1:19" ht="15.75" customHeight="1" x14ac:dyDescent="0.3">
      <c r="A440" s="37">
        <v>64345</v>
      </c>
      <c r="B440" s="398">
        <f t="shared" ref="B440:C440" si="441">($A440-B$9)/365.25</f>
        <v>94.288843258042434</v>
      </c>
      <c r="C440" s="398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3254.2644699519233</v>
      </c>
      <c r="H440" s="25">
        <f>IF(B440&lt;62,0,'Combined Retirement'!$I$14)</f>
        <v>2345</v>
      </c>
      <c r="I440" s="25">
        <f>IF(C440&lt;62,0,'Combined Retirement'!$I$13)</f>
        <v>2420</v>
      </c>
      <c r="J440" s="25">
        <f t="shared" si="263"/>
        <v>7896.2379798201846</v>
      </c>
      <c r="K440" s="25">
        <f t="shared" si="264"/>
        <v>20367.195264578786</v>
      </c>
      <c r="L440" s="25"/>
      <c r="N440" s="25">
        <f>'Combined Retirement'!$C$18/12</f>
        <v>39153.069999999992</v>
      </c>
      <c r="O440" s="25">
        <f t="shared" si="265"/>
        <v>10889.636755601023</v>
      </c>
      <c r="P440" s="25">
        <f t="shared" si="266"/>
        <v>28263.43324439897</v>
      </c>
      <c r="Q440" s="25">
        <f t="array" aca="1" ref="Q440" ca="1">INDEX('Isaac 401k'!L:L,MATCH('Retirement Calculator'!A440,'Isaac 401k'!N:N,0),0)</f>
        <v>1656694.1105181042</v>
      </c>
      <c r="R440" s="25">
        <f t="array" aca="1" ref="R440" ca="1">INDEX('Lorri 401b'!L:L,MATCH('Retirement Calculator'!A440,'Lorri 401b'!N:N,0),0)</f>
        <v>2644665.3074396709</v>
      </c>
      <c r="S440" s="25">
        <f t="shared" ca="1" si="267"/>
        <v>4301359.4179577753</v>
      </c>
    </row>
    <row r="441" spans="1:19" ht="15.75" customHeight="1" x14ac:dyDescent="0.3">
      <c r="A441" s="37">
        <v>64376</v>
      </c>
      <c r="B441" s="398">
        <f t="shared" ref="B441:C441" si="442">($A441-B$9)/365.25</f>
        <v>94.373716632443532</v>
      </c>
      <c r="C441" s="398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3254.2644699519233</v>
      </c>
      <c r="H441" s="25">
        <f>IF(B441&lt;62,0,'Combined Retirement'!$I$14)</f>
        <v>2345</v>
      </c>
      <c r="I441" s="25">
        <f>IF(C441&lt;62,0,'Combined Retirement'!$I$13)</f>
        <v>2420</v>
      </c>
      <c r="J441" s="25">
        <f t="shared" si="263"/>
        <v>7896.2379798201846</v>
      </c>
      <c r="K441" s="25">
        <f t="shared" si="264"/>
        <v>20367.195264578786</v>
      </c>
      <c r="L441" s="25"/>
      <c r="N441" s="25">
        <f>'Combined Retirement'!$C$18/12</f>
        <v>39153.069999999992</v>
      </c>
      <c r="O441" s="25">
        <f t="shared" si="265"/>
        <v>10889.636755601023</v>
      </c>
      <c r="P441" s="25">
        <f t="shared" si="266"/>
        <v>28263.43324439897</v>
      </c>
      <c r="Q441" s="25">
        <f t="array" aca="1" ref="Q441" ca="1">INDEX('Isaac 401k'!L:L,MATCH('Retirement Calculator'!A441,'Isaac 401k'!N:N,0),0)</f>
        <v>1655667.8636738602</v>
      </c>
      <c r="R441" s="25">
        <f t="array" aca="1" ref="R441" ca="1">INDEX('Lorri 401b'!L:L,MATCH('Retirement Calculator'!A441,'Lorri 401b'!N:N,0),0)</f>
        <v>2635232.6876424882</v>
      </c>
      <c r="S441" s="25">
        <f t="shared" ca="1" si="267"/>
        <v>4290900.5513163488</v>
      </c>
    </row>
    <row r="442" spans="1:19" ht="15.75" customHeight="1" x14ac:dyDescent="0.3">
      <c r="A442" s="37">
        <v>64406</v>
      </c>
      <c r="B442" s="398">
        <f t="shared" ref="B442:C442" si="443">($A442-B$9)/365.25</f>
        <v>94.455852156057489</v>
      </c>
      <c r="C442" s="398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3254.2644699519233</v>
      </c>
      <c r="H442" s="25">
        <f>IF(B442&lt;62,0,'Combined Retirement'!$I$14)</f>
        <v>2345</v>
      </c>
      <c r="I442" s="25">
        <f>IF(C442&lt;62,0,'Combined Retirement'!$I$13)</f>
        <v>2420</v>
      </c>
      <c r="J442" s="25">
        <f t="shared" si="263"/>
        <v>7896.2379798201846</v>
      </c>
      <c r="K442" s="25">
        <f t="shared" si="264"/>
        <v>20367.195264578786</v>
      </c>
      <c r="L442" s="25"/>
      <c r="N442" s="25">
        <f>'Combined Retirement'!$C$18/12</f>
        <v>39153.069999999992</v>
      </c>
      <c r="O442" s="25">
        <f t="shared" si="265"/>
        <v>10889.636755601023</v>
      </c>
      <c r="P442" s="25">
        <f t="shared" si="266"/>
        <v>28263.43324439897</v>
      </c>
      <c r="Q442" s="25">
        <f t="array" aca="1" ref="Q442" ca="1">INDEX('Isaac 401k'!L:L,MATCH('Retirement Calculator'!A442,'Isaac 401k'!N:N,0),0)</f>
        <v>1654637.3408010984</v>
      </c>
      <c r="R442" s="25">
        <f t="array" aca="1" ref="R442" ca="1">INDEX('Lorri 401b'!L:L,MATCH('Retirement Calculator'!A442,'Lorri 401b'!N:N,0),0)</f>
        <v>2625760.7652628175</v>
      </c>
      <c r="S442" s="25">
        <f t="shared" ca="1" si="267"/>
        <v>4280398.1060639154</v>
      </c>
    </row>
    <row r="443" spans="1:19" ht="15.75" customHeight="1" x14ac:dyDescent="0.3">
      <c r="A443" s="37">
        <v>64437</v>
      </c>
      <c r="B443" s="398">
        <f t="shared" ref="B443:C443" si="444">($A443-B$9)/365.25</f>
        <v>94.540725530458587</v>
      </c>
      <c r="C443" s="398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3254.2644699519233</v>
      </c>
      <c r="H443" s="25">
        <f>IF(B443&lt;62,0,'Combined Retirement'!$I$14)</f>
        <v>2345</v>
      </c>
      <c r="I443" s="25">
        <f>IF(C443&lt;62,0,'Combined Retirement'!$I$13)</f>
        <v>2420</v>
      </c>
      <c r="J443" s="25">
        <f t="shared" si="263"/>
        <v>7896.2379798201846</v>
      </c>
      <c r="K443" s="25">
        <f t="shared" si="264"/>
        <v>20367.195264578786</v>
      </c>
      <c r="L443" s="25"/>
      <c r="N443" s="25">
        <f>'Combined Retirement'!$C$18/12</f>
        <v>39153.069999999992</v>
      </c>
      <c r="O443" s="25">
        <f t="shared" si="265"/>
        <v>10889.636755601023</v>
      </c>
      <c r="P443" s="25">
        <f t="shared" si="266"/>
        <v>28263.43324439897</v>
      </c>
      <c r="Q443" s="25">
        <f t="array" aca="1" ref="Q443" ca="1">INDEX('Isaac 401k'!L:L,MATCH('Retirement Calculator'!A443,'Isaac 401k'!N:N,0),0)</f>
        <v>1653602.5240830334</v>
      </c>
      <c r="R443" s="25">
        <f t="array" aca="1" ref="R443" ca="1">INDEX('Lorri 401b'!L:L,MATCH('Retirement Calculator'!A443,'Lorri 401b'!N:N,0),0)</f>
        <v>2616249.3765398981</v>
      </c>
      <c r="S443" s="25">
        <f t="shared" ca="1" si="267"/>
        <v>4269851.9006229313</v>
      </c>
    </row>
    <row r="444" spans="1:19" ht="15.75" customHeight="1" x14ac:dyDescent="0.3">
      <c r="A444" s="37">
        <v>64467</v>
      </c>
      <c r="B444" s="398">
        <f t="shared" ref="B444:C444" si="445">($A444-B$9)/365.25</f>
        <v>94.622861054072558</v>
      </c>
      <c r="C444" s="398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3254.2644699519233</v>
      </c>
      <c r="H444" s="25">
        <f>IF(B444&lt;62,0,'Combined Retirement'!$I$14)</f>
        <v>2345</v>
      </c>
      <c r="I444" s="25">
        <f>IF(C444&lt;62,0,'Combined Retirement'!$I$13)</f>
        <v>2420</v>
      </c>
      <c r="J444" s="25">
        <f t="shared" si="263"/>
        <v>7896.2379798201846</v>
      </c>
      <c r="K444" s="25">
        <f t="shared" si="264"/>
        <v>20367.195264578786</v>
      </c>
      <c r="L444" s="25"/>
      <c r="N444" s="25">
        <f>'Combined Retirement'!$C$18/12</f>
        <v>39153.069999999992</v>
      </c>
      <c r="O444" s="25">
        <f t="shared" si="265"/>
        <v>10889.636755601023</v>
      </c>
      <c r="P444" s="25">
        <f t="shared" si="266"/>
        <v>28263.43324439897</v>
      </c>
      <c r="Q444" s="25">
        <f t="array" aca="1" ref="Q444" ca="1">INDEX('Isaac 401k'!L:L,MATCH('Retirement Calculator'!A444,'Isaac 401k'!N:N,0),0)</f>
        <v>1652563.3956286432</v>
      </c>
      <c r="R444" s="25">
        <f t="array" aca="1" ref="R444" ca="1">INDEX('Lorri 401b'!L:L,MATCH('Retirement Calculator'!A444,'Lorri 401b'!N:N,0),0)</f>
        <v>2606698.3570306329</v>
      </c>
      <c r="S444" s="25">
        <f t="shared" ca="1" si="267"/>
        <v>4259261.7526592761</v>
      </c>
    </row>
    <row r="445" spans="1:19" ht="15.75" customHeight="1" x14ac:dyDescent="0.3">
      <c r="A445" s="37">
        <v>64498</v>
      </c>
      <c r="B445" s="398">
        <f t="shared" ref="B445:C445" si="446">($A445-B$9)/365.25</f>
        <v>94.707734428473643</v>
      </c>
      <c r="C445" s="398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3254.2644699519233</v>
      </c>
      <c r="H445" s="25">
        <f>IF(B445&lt;62,0,'Combined Retirement'!$I$14)</f>
        <v>2345</v>
      </c>
      <c r="I445" s="25">
        <f>IF(C445&lt;62,0,'Combined Retirement'!$I$13)</f>
        <v>2420</v>
      </c>
      <c r="J445" s="25">
        <f t="shared" si="263"/>
        <v>7896.2379798201846</v>
      </c>
      <c r="K445" s="25">
        <f t="shared" si="264"/>
        <v>20367.195264578786</v>
      </c>
      <c r="L445" s="25"/>
      <c r="N445" s="25">
        <f>'Combined Retirement'!$C$18/12</f>
        <v>39153.069999999992</v>
      </c>
      <c r="O445" s="25">
        <f t="shared" si="265"/>
        <v>10889.636755601023</v>
      </c>
      <c r="P445" s="25">
        <f t="shared" si="266"/>
        <v>28263.43324439897</v>
      </c>
      <c r="Q445" s="25">
        <f t="array" aca="1" ref="Q445" ca="1">INDEX('Isaac 401k'!L:L,MATCH('Retirement Calculator'!A445,'Isaac 401k'!N:N,0),0)</f>
        <v>1651519.9374723597</v>
      </c>
      <c r="R445" s="25">
        <f t="array" aca="1" ref="R445" ca="1">INDEX('Lorri 401b'!L:L,MATCH('Retirement Calculator'!A445,'Lorri 401b'!N:N,0),0)</f>
        <v>2597107.5416067461</v>
      </c>
      <c r="S445" s="25">
        <f t="shared" ca="1" si="267"/>
        <v>4248627.4790791059</v>
      </c>
    </row>
    <row r="446" spans="1:19" ht="15.75" customHeight="1" x14ac:dyDescent="0.3">
      <c r="A446" s="37">
        <v>64529</v>
      </c>
      <c r="B446" s="398">
        <f t="shared" ref="B446:C446" si="447">($A446-B$9)/365.25</f>
        <v>94.792607802874741</v>
      </c>
      <c r="C446" s="398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3254.2644699519233</v>
      </c>
      <c r="H446" s="25">
        <f>IF(B446&lt;62,0,'Combined Retirement'!$I$14)</f>
        <v>2345</v>
      </c>
      <c r="I446" s="25">
        <f>IF(C446&lt;62,0,'Combined Retirement'!$I$13)</f>
        <v>2420</v>
      </c>
      <c r="J446" s="25">
        <f t="shared" si="263"/>
        <v>7896.2379798201846</v>
      </c>
      <c r="K446" s="25">
        <f t="shared" si="264"/>
        <v>20367.195264578786</v>
      </c>
      <c r="L446" s="25"/>
      <c r="N446" s="25">
        <f>'Combined Retirement'!$C$18/12</f>
        <v>39153.069999999992</v>
      </c>
      <c r="O446" s="25">
        <f t="shared" si="265"/>
        <v>10889.636755601023</v>
      </c>
      <c r="P446" s="25">
        <f t="shared" si="266"/>
        <v>28263.43324439897</v>
      </c>
      <c r="Q446" s="25">
        <f t="array" aca="1" ref="Q446" ca="1">INDEX('Isaac 401k'!L:L,MATCH('Retirement Calculator'!A446,'Isaac 401k'!N:N,0),0)</f>
        <v>1650472.1315737583</v>
      </c>
      <c r="R446" s="25">
        <f t="array" aca="1" ref="R446" ca="1">INDEX('Lorri 401b'!L:L,MATCH('Retirement Calculator'!A446,'Lorri 401b'!N:N,0),0)</f>
        <v>2587476.7644519266</v>
      </c>
      <c r="S446" s="25">
        <f t="shared" ca="1" si="267"/>
        <v>4237948.8960256847</v>
      </c>
    </row>
    <row r="447" spans="1:19" ht="15.75" customHeight="1" x14ac:dyDescent="0.3">
      <c r="A447" s="37">
        <v>64559</v>
      </c>
      <c r="B447" s="398">
        <f t="shared" ref="B447:C447" si="448">($A447-B$9)/365.25</f>
        <v>94.874743326488712</v>
      </c>
      <c r="C447" s="398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3254.2644699519233</v>
      </c>
      <c r="H447" s="25">
        <f>IF(B447&lt;62,0,'Combined Retirement'!$I$14)</f>
        <v>2345</v>
      </c>
      <c r="I447" s="25">
        <f>IF(C447&lt;62,0,'Combined Retirement'!$I$13)</f>
        <v>2420</v>
      </c>
      <c r="J447" s="25">
        <f t="shared" si="263"/>
        <v>7896.2379798201846</v>
      </c>
      <c r="K447" s="25">
        <f t="shared" si="264"/>
        <v>20367.195264578786</v>
      </c>
      <c r="L447" s="25"/>
      <c r="N447" s="25">
        <f>'Combined Retirement'!$C$18/12</f>
        <v>39153.069999999992</v>
      </c>
      <c r="O447" s="25">
        <f t="shared" si="265"/>
        <v>10889.636755601023</v>
      </c>
      <c r="P447" s="25">
        <f t="shared" si="266"/>
        <v>28263.43324439897</v>
      </c>
      <c r="Q447" s="25">
        <f t="array" aca="1" ref="Q447" ca="1">INDEX('Isaac 401k'!L:L,MATCH('Retirement Calculator'!A447,'Isaac 401k'!N:N,0),0)</f>
        <v>1649419.9598172461</v>
      </c>
      <c r="R447" s="25">
        <f t="array" aca="1" ref="R447" ca="1">INDEX('Lorri 401b'!L:L,MATCH('Retirement Calculator'!A447,'Lorri 401b'!N:N,0),0)</f>
        <v>2577805.8590589617</v>
      </c>
      <c r="S447" s="25">
        <f t="shared" ca="1" si="267"/>
        <v>4227225.8188762078</v>
      </c>
    </row>
    <row r="448" spans="1:19" ht="15.75" customHeight="1" x14ac:dyDescent="0.3">
      <c r="A448" s="37">
        <v>64590</v>
      </c>
      <c r="B448" s="398">
        <f t="shared" ref="B448:C448" si="449">($A448-B$9)/365.25</f>
        <v>94.959616700889796</v>
      </c>
      <c r="C448" s="398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3254.2644699519233</v>
      </c>
      <c r="H448" s="25">
        <f>IF(B448&lt;62,0,'Combined Retirement'!$I$14)</f>
        <v>2345</v>
      </c>
      <c r="I448" s="25">
        <f>IF(C448&lt;62,0,'Combined Retirement'!$I$13)</f>
        <v>2420</v>
      </c>
      <c r="J448" s="25">
        <f t="shared" si="263"/>
        <v>7896.2379798201846</v>
      </c>
      <c r="K448" s="25">
        <f t="shared" si="264"/>
        <v>20367.195264578786</v>
      </c>
      <c r="L448" s="25"/>
      <c r="N448" s="25">
        <f>'Combined Retirement'!$C$18/12</f>
        <v>39153.069999999992</v>
      </c>
      <c r="O448" s="25">
        <f t="shared" si="265"/>
        <v>10889.636755601023</v>
      </c>
      <c r="P448" s="25">
        <f t="shared" si="266"/>
        <v>28263.43324439897</v>
      </c>
      <c r="Q448" s="25">
        <f t="array" aca="1" ref="Q448" ca="1">INDEX('Isaac 401k'!L:L,MATCH('Retirement Calculator'!A448,'Isaac 401k'!N:N,0),0)</f>
        <v>1648363.4040117485</v>
      </c>
      <c r="R448" s="25">
        <f t="array" aca="1" ref="R448" ca="1">INDEX('Lorri 401b'!L:L,MATCH('Retirement Calculator'!A448,'Lorri 401b'!N:N,0),0)</f>
        <v>2568094.6582268598</v>
      </c>
      <c r="S448" s="25">
        <f t="shared" ca="1" si="267"/>
        <v>4216458.0622386085</v>
      </c>
    </row>
    <row r="449" spans="1:19" ht="15.75" customHeight="1" x14ac:dyDescent="0.3">
      <c r="A449" s="37">
        <v>64620</v>
      </c>
      <c r="B449" s="398">
        <f t="shared" ref="B449:C449" si="450">($A449-B$9)/365.25</f>
        <v>95.041752224503767</v>
      </c>
      <c r="C449" s="398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3254.2644699519233</v>
      </c>
      <c r="H449" s="25">
        <f>IF(B449&lt;62,0,'Combined Retirement'!$I$14)</f>
        <v>2345</v>
      </c>
      <c r="I449" s="25">
        <f>IF(C449&lt;62,0,'Combined Retirement'!$I$13)</f>
        <v>2420</v>
      </c>
      <c r="J449" s="25">
        <f t="shared" si="263"/>
        <v>7896.2379798201846</v>
      </c>
      <c r="K449" s="25">
        <f t="shared" si="264"/>
        <v>20367.195264578786</v>
      </c>
      <c r="L449" s="25"/>
      <c r="N449" s="25">
        <f>'Combined Retirement'!$C$18/12</f>
        <v>39153.069999999992</v>
      </c>
      <c r="O449" s="25">
        <f t="shared" si="265"/>
        <v>10889.636755601023</v>
      </c>
      <c r="P449" s="25">
        <f t="shared" si="266"/>
        <v>28263.43324439897</v>
      </c>
      <c r="Q449" s="25">
        <f t="array" aca="1" ref="Q449" ca="1">INDEX('Isaac 401k'!L:L,MATCH('Retirement Calculator'!A449,'Isaac 401k'!N:N,0),0)</f>
        <v>1647302.4458903947</v>
      </c>
      <c r="R449" s="25">
        <f t="array" aca="1" ref="R449" ca="1">INDEX('Lorri 401b'!L:L,MATCH('Retirement Calculator'!A449,'Lorri 401b'!N:N,0),0)</f>
        <v>2558342.9940579571</v>
      </c>
      <c r="S449" s="25">
        <f t="shared" ca="1" si="267"/>
        <v>4205645.4399483521</v>
      </c>
    </row>
    <row r="450" spans="1:19" ht="15.75" customHeight="1" x14ac:dyDescent="0.3">
      <c r="A450" s="37">
        <v>64651</v>
      </c>
      <c r="B450" s="398">
        <f t="shared" ref="B450:C450" si="451">($A450-B$9)/365.25</f>
        <v>95.126625598904866</v>
      </c>
      <c r="C450" s="398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3254.2644699519233</v>
      </c>
      <c r="H450" s="25">
        <f>IF(B450&lt;62,0,'Combined Retirement'!$I$14)</f>
        <v>2345</v>
      </c>
      <c r="I450" s="25">
        <f>IF(C450&lt;62,0,'Combined Retirement'!$I$13)</f>
        <v>2420</v>
      </c>
      <c r="J450" s="25">
        <f t="shared" si="263"/>
        <v>7896.2379798201846</v>
      </c>
      <c r="K450" s="25">
        <f t="shared" si="264"/>
        <v>20367.195264578786</v>
      </c>
      <c r="L450" s="25"/>
      <c r="N450" s="25">
        <f>'Combined Retirement'!$C$18/12</f>
        <v>39153.069999999992</v>
      </c>
      <c r="O450" s="25">
        <f t="shared" si="265"/>
        <v>10889.636755601023</v>
      </c>
      <c r="P450" s="25">
        <f t="shared" si="266"/>
        <v>28263.43324439897</v>
      </c>
      <c r="Q450" s="25">
        <f t="array" aca="1" ref="Q450" ca="1">INDEX('Isaac 401k'!L:L,MATCH('Retirement Calculator'!A450,'Isaac 401k'!N:N,0),0)</f>
        <v>1646237.0671102018</v>
      </c>
      <c r="R450" s="25">
        <f t="array" aca="1" ref="R450" ca="1">INDEX('Lorri 401b'!L:L,MATCH('Retirement Calculator'!A450,'Lorri 401b'!N:N,0),0)</f>
        <v>2548550.6979550174</v>
      </c>
      <c r="S450" s="25">
        <f t="shared" ca="1" si="267"/>
        <v>4194787.7650652193</v>
      </c>
    </row>
    <row r="451" spans="1:19" ht="15.75" customHeight="1" x14ac:dyDescent="0.3">
      <c r="A451" s="37">
        <v>64682</v>
      </c>
      <c r="B451" s="398">
        <f t="shared" ref="B451:C451" si="452">($A451-B$9)/365.25</f>
        <v>95.21149897330595</v>
      </c>
      <c r="C451" s="398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3254.2644699519233</v>
      </c>
      <c r="H451" s="25">
        <f>IF(B451&lt;62,0,'Combined Retirement'!$I$14)</f>
        <v>2345</v>
      </c>
      <c r="I451" s="25">
        <f>IF(C451&lt;62,0,'Combined Retirement'!$I$13)</f>
        <v>2420</v>
      </c>
      <c r="J451" s="25">
        <f t="shared" si="263"/>
        <v>7896.2379798201846</v>
      </c>
      <c r="K451" s="25">
        <f t="shared" si="264"/>
        <v>20367.195264578786</v>
      </c>
      <c r="L451" s="25"/>
      <c r="N451" s="25">
        <f>'Combined Retirement'!$C$18/12</f>
        <v>39153.069999999992</v>
      </c>
      <c r="O451" s="25">
        <f t="shared" si="265"/>
        <v>10889.636755601023</v>
      </c>
      <c r="P451" s="25">
        <f t="shared" si="266"/>
        <v>28263.43324439897</v>
      </c>
      <c r="Q451" s="25">
        <f t="array" aca="1" ref="Q451" ca="1">INDEX('Isaac 401k'!L:L,MATCH('Retirement Calculator'!A451,'Isaac 401k'!N:N,0),0)</f>
        <v>1645167.2492517582</v>
      </c>
      <c r="R451" s="25">
        <f t="array" aca="1" ref="R451" ca="1">INDEX('Lorri 401b'!L:L,MATCH('Retirement Calculator'!A451,'Lorri 401b'!N:N,0),0)</f>
        <v>2538717.6006183154</v>
      </c>
      <c r="S451" s="25">
        <f t="shared" ca="1" si="267"/>
        <v>4183884.8498700736</v>
      </c>
    </row>
    <row r="452" spans="1:19" ht="15.75" customHeight="1" x14ac:dyDescent="0.3">
      <c r="A452" s="37">
        <v>64710</v>
      </c>
      <c r="B452" s="398">
        <f t="shared" ref="B452:C452" si="453">($A452-B$9)/365.25</f>
        <v>95.288158795345652</v>
      </c>
      <c r="C452" s="398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3254.2644699519233</v>
      </c>
      <c r="H452" s="25">
        <f>IF(B452&lt;62,0,'Combined Retirement'!$I$14)</f>
        <v>2345</v>
      </c>
      <c r="I452" s="25">
        <f>IF(C452&lt;62,0,'Combined Retirement'!$I$13)</f>
        <v>2420</v>
      </c>
      <c r="J452" s="25">
        <f t="shared" si="263"/>
        <v>7896.2379798201846</v>
      </c>
      <c r="K452" s="25">
        <f t="shared" si="264"/>
        <v>20367.195264578786</v>
      </c>
      <c r="L452" s="25"/>
      <c r="N452" s="25">
        <f>'Combined Retirement'!$C$18/12</f>
        <v>39153.069999999992</v>
      </c>
      <c r="O452" s="25">
        <f t="shared" si="265"/>
        <v>10889.636755601023</v>
      </c>
      <c r="P452" s="25">
        <f t="shared" si="266"/>
        <v>28263.43324439897</v>
      </c>
      <c r="Q452" s="25">
        <f t="array" aca="1" ref="Q452" ca="1">INDEX('Isaac 401k'!L:L,MATCH('Retirement Calculator'!A452,'Isaac 401k'!N:N,0),0)</f>
        <v>1644092.9738189045</v>
      </c>
      <c r="R452" s="25">
        <f t="array" aca="1" ref="R452" ca="1">INDEX('Lorri 401b'!L:L,MATCH('Retirement Calculator'!A452,'Lorri 401b'!N:N,0),0)</f>
        <v>2528843.5320427106</v>
      </c>
      <c r="S452" s="25">
        <f t="shared" ca="1" si="267"/>
        <v>4172936.5058616148</v>
      </c>
    </row>
    <row r="453" spans="1:19" ht="15.75" customHeight="1" x14ac:dyDescent="0.3">
      <c r="A453" s="37">
        <v>64741</v>
      </c>
      <c r="B453" s="398">
        <f t="shared" ref="B453:C453" si="454">($A453-B$9)/365.25</f>
        <v>95.37303216974675</v>
      </c>
      <c r="C453" s="398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3254.2644699519233</v>
      </c>
      <c r="H453" s="25">
        <f>IF(B453&lt;62,0,'Combined Retirement'!$I$14)</f>
        <v>2345</v>
      </c>
      <c r="I453" s="25">
        <f>IF(C453&lt;62,0,'Combined Retirement'!$I$13)</f>
        <v>2420</v>
      </c>
      <c r="J453" s="25">
        <f t="shared" si="263"/>
        <v>7896.2379798201846</v>
      </c>
      <c r="K453" s="25">
        <f t="shared" si="264"/>
        <v>20367.195264578786</v>
      </c>
      <c r="L453" s="25"/>
      <c r="N453" s="25">
        <f>'Combined Retirement'!$C$18/12</f>
        <v>39153.069999999992</v>
      </c>
      <c r="O453" s="25">
        <f t="shared" si="265"/>
        <v>10889.636755601023</v>
      </c>
      <c r="P453" s="25">
        <f t="shared" si="266"/>
        <v>28263.43324439897</v>
      </c>
      <c r="Q453" s="25">
        <f t="array" aca="1" ref="Q453" ca="1">INDEX('Isaac 401k'!L:L,MATCH('Retirement Calculator'!A453,'Isaac 401k'!N:N,0),0)</f>
        <v>1643014.2222384138</v>
      </c>
      <c r="R453" s="25">
        <f t="array" aca="1" ref="R453" ca="1">INDEX('Lorri 401b'!L:L,MATCH('Retirement Calculator'!A453,'Lorri 401b'!N:N,0),0)</f>
        <v>2518928.3215147075</v>
      </c>
      <c r="S453" s="25">
        <f t="shared" ca="1" si="267"/>
        <v>4161942.543753121</v>
      </c>
    </row>
    <row r="454" spans="1:19" ht="15.75" customHeight="1" x14ac:dyDescent="0.3">
      <c r="A454" s="37">
        <v>64771</v>
      </c>
      <c r="B454" s="398">
        <f t="shared" ref="B454:C454" si="455">($A454-B$9)/365.25</f>
        <v>95.455167693360707</v>
      </c>
      <c r="C454" s="398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3254.2644699519233</v>
      </c>
      <c r="H454" s="25">
        <f>IF(B454&lt;62,0,'Combined Retirement'!$I$14)</f>
        <v>2345</v>
      </c>
      <c r="I454" s="25">
        <f>IF(C454&lt;62,0,'Combined Retirement'!$I$13)</f>
        <v>2420</v>
      </c>
      <c r="J454" s="25">
        <f t="shared" si="263"/>
        <v>7896.2379798201846</v>
      </c>
      <c r="K454" s="25">
        <f t="shared" si="264"/>
        <v>20367.195264578786</v>
      </c>
      <c r="L454" s="25"/>
      <c r="N454" s="25">
        <f>'Combined Retirement'!$C$18/12</f>
        <v>39153.069999999992</v>
      </c>
      <c r="O454" s="25">
        <f t="shared" si="265"/>
        <v>10889.636755601023</v>
      </c>
      <c r="P454" s="25">
        <f t="shared" si="266"/>
        <v>28263.43324439897</v>
      </c>
      <c r="Q454" s="25">
        <f t="array" aca="1" ref="Q454" ca="1">INDEX('Isaac 401k'!L:L,MATCH('Retirement Calculator'!A454,'Isaac 401k'!N:N,0),0)</f>
        <v>1641930.9758596709</v>
      </c>
      <c r="R454" s="25">
        <f t="array" aca="1" ref="R454" ca="1">INDEX('Lorri 401b'!L:L,MATCH('Retirement Calculator'!A454,'Lorri 401b'!N:N,0),0)</f>
        <v>2508971.7976095043</v>
      </c>
      <c r="S454" s="25">
        <f t="shared" ca="1" si="267"/>
        <v>4150902.7734691752</v>
      </c>
    </row>
    <row r="455" spans="1:19" ht="15.75" customHeight="1" x14ac:dyDescent="0.3">
      <c r="A455" s="37">
        <v>64802</v>
      </c>
      <c r="B455" s="398">
        <f t="shared" ref="B455:C455" si="456">($A455-B$9)/365.25</f>
        <v>95.540041067761805</v>
      </c>
      <c r="C455" s="398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3254.2644699519233</v>
      </c>
      <c r="H455" s="25">
        <f>IF(B455&lt;62,0,'Combined Retirement'!$I$14)</f>
        <v>2345</v>
      </c>
      <c r="I455" s="25">
        <f>IF(C455&lt;62,0,'Combined Retirement'!$I$13)</f>
        <v>2420</v>
      </c>
      <c r="J455" s="25">
        <f t="shared" si="263"/>
        <v>7896.2379798201846</v>
      </c>
      <c r="K455" s="25">
        <f t="shared" si="264"/>
        <v>20367.195264578786</v>
      </c>
      <c r="L455" s="25"/>
      <c r="N455" s="25">
        <f>'Combined Retirement'!$C$18/12</f>
        <v>39153.069999999992</v>
      </c>
      <c r="O455" s="25">
        <f t="shared" si="265"/>
        <v>10889.636755601023</v>
      </c>
      <c r="P455" s="25">
        <f t="shared" si="266"/>
        <v>28263.43324439897</v>
      </c>
      <c r="Q455" s="25">
        <f t="array" aca="1" ref="Q455" ca="1">INDEX('Isaac 401k'!L:L,MATCH('Retirement Calculator'!A455,'Isaac 401k'!N:N,0),0)</f>
        <v>1640843.2159543501</v>
      </c>
      <c r="R455" s="25">
        <f t="array" aca="1" ref="R455" ca="1">INDEX('Lorri 401b'!L:L,MATCH('Retirement Calculator'!A455,'Lorri 401b'!N:N,0),0)</f>
        <v>2498973.7881880295</v>
      </c>
      <c r="S455" s="25">
        <f t="shared" ca="1" si="267"/>
        <v>4139817.0041423794</v>
      </c>
    </row>
    <row r="456" spans="1:19" ht="15.75" customHeight="1" x14ac:dyDescent="0.3">
      <c r="A456" s="37">
        <v>64832</v>
      </c>
      <c r="B456" s="398">
        <f t="shared" ref="B456:C456" si="457">($A456-B$9)/365.25</f>
        <v>95.622176591375776</v>
      </c>
      <c r="C456" s="398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3254.2644699519233</v>
      </c>
      <c r="H456" s="25">
        <f>IF(B456&lt;62,0,'Combined Retirement'!$I$14)</f>
        <v>2345</v>
      </c>
      <c r="I456" s="25">
        <f>IF(C456&lt;62,0,'Combined Retirement'!$I$13)</f>
        <v>2420</v>
      </c>
      <c r="J456" s="25">
        <f t="shared" si="263"/>
        <v>7896.2379798201846</v>
      </c>
      <c r="K456" s="25">
        <f t="shared" si="264"/>
        <v>20367.195264578786</v>
      </c>
      <c r="L456" s="25"/>
      <c r="N456" s="25">
        <f>'Combined Retirement'!$C$18/12</f>
        <v>39153.069999999992</v>
      </c>
      <c r="O456" s="25">
        <f t="shared" si="265"/>
        <v>10889.636755601023</v>
      </c>
      <c r="P456" s="25">
        <f t="shared" si="266"/>
        <v>28263.43324439897</v>
      </c>
      <c r="Q456" s="25">
        <f t="array" aca="1" ref="Q456" ca="1">INDEX('Isaac 401k'!L:L,MATCH('Retirement Calculator'!A456,'Isaac 401k'!N:N,0),0)</f>
        <v>1639750.9237160904</v>
      </c>
      <c r="R456" s="25">
        <f t="array" aca="1" ref="R456" ca="1">INDEX('Lorri 401b'!L:L,MATCH('Retirement Calculator'!A456,'Lorri 401b'!N:N,0),0)</f>
        <v>2488934.1203939649</v>
      </c>
      <c r="S456" s="25">
        <f t="shared" ca="1" si="267"/>
        <v>4128685.0441100551</v>
      </c>
    </row>
    <row r="457" spans="1:19" ht="15.75" customHeight="1" x14ac:dyDescent="0.3">
      <c r="A457" s="37">
        <v>64863</v>
      </c>
      <c r="B457" s="398">
        <f t="shared" ref="B457:C457" si="458">($A457-B$9)/365.25</f>
        <v>95.707049965776861</v>
      </c>
      <c r="C457" s="398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3254.2644699519233</v>
      </c>
      <c r="H457" s="25">
        <f>IF(B457&lt;62,0,'Combined Retirement'!$I$14)</f>
        <v>2345</v>
      </c>
      <c r="I457" s="25">
        <f>IF(C457&lt;62,0,'Combined Retirement'!$I$13)</f>
        <v>2420</v>
      </c>
      <c r="J457" s="25">
        <f t="shared" si="263"/>
        <v>7896.2379798201846</v>
      </c>
      <c r="K457" s="25">
        <f t="shared" si="264"/>
        <v>20367.195264578786</v>
      </c>
      <c r="L457" s="25"/>
      <c r="N457" s="25">
        <f>'Combined Retirement'!$C$18/12</f>
        <v>39153.069999999992</v>
      </c>
      <c r="O457" s="25">
        <f t="shared" si="265"/>
        <v>10889.636755601023</v>
      </c>
      <c r="P457" s="25">
        <f t="shared" si="266"/>
        <v>28263.43324439897</v>
      </c>
      <c r="Q457" s="25">
        <f t="array" aca="1" ref="Q457" ca="1">INDEX('Isaac 401k'!L:L,MATCH('Retirement Calculator'!A457,'Isaac 401k'!N:N,0),0)</f>
        <v>1638654.0802601713</v>
      </c>
      <c r="R457" s="25">
        <f t="array" aca="1" ref="R457" ca="1">INDEX('Lorri 401b'!L:L,MATCH('Retirement Calculator'!A457,'Lorri 401b'!N:N,0),0)</f>
        <v>2478852.6206507585</v>
      </c>
      <c r="S457" s="25">
        <f t="shared" ca="1" si="267"/>
        <v>4117506.7009109296</v>
      </c>
    </row>
    <row r="458" spans="1:19" ht="15.75" customHeight="1" x14ac:dyDescent="0.3">
      <c r="A458" s="37">
        <v>64894</v>
      </c>
      <c r="B458" s="398">
        <f t="shared" ref="B458:C458" si="459">($A458-B$9)/365.25</f>
        <v>95.791923340177959</v>
      </c>
      <c r="C458" s="398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3254.2644699519233</v>
      </c>
      <c r="H458" s="25">
        <f>IF(B458&lt;62,0,'Combined Retirement'!$I$14)</f>
        <v>2345</v>
      </c>
      <c r="I458" s="25">
        <f>IF(C458&lt;62,0,'Combined Retirement'!$I$13)</f>
        <v>2420</v>
      </c>
      <c r="J458" s="25">
        <f t="shared" si="263"/>
        <v>7896.2379798201846</v>
      </c>
      <c r="K458" s="25">
        <f t="shared" si="264"/>
        <v>20367.195264578786</v>
      </c>
      <c r="L458" s="25"/>
      <c r="N458" s="25">
        <f>'Combined Retirement'!$C$18/12</f>
        <v>39153.069999999992</v>
      </c>
      <c r="O458" s="25">
        <f t="shared" si="265"/>
        <v>10889.636755601023</v>
      </c>
      <c r="P458" s="25">
        <f t="shared" si="266"/>
        <v>28263.43324439897</v>
      </c>
      <c r="Q458" s="25">
        <f t="array" aca="1" ref="Q458" ca="1">INDEX('Isaac 401k'!L:L,MATCH('Retirement Calculator'!A458,'Isaac 401k'!N:N,0),0)</f>
        <v>1637552.6666231859</v>
      </c>
      <c r="R458" s="25">
        <f t="array" aca="1" ref="R458" ca="1">INDEX('Lorri 401b'!L:L,MATCH('Retirement Calculator'!A458,'Lorri 401b'!N:N,0),0)</f>
        <v>2468729.1146586221</v>
      </c>
      <c r="S458" s="25">
        <f t="shared" ca="1" si="267"/>
        <v>4106281.7812818079</v>
      </c>
    </row>
    <row r="459" spans="1:19" ht="15.75" customHeight="1" x14ac:dyDescent="0.3">
      <c r="A459" s="37">
        <v>64924</v>
      </c>
      <c r="B459" s="398">
        <f t="shared" ref="B459:C459" si="460">($A459-B$9)/365.25</f>
        <v>95.87405886379193</v>
      </c>
      <c r="C459" s="398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3254.2644699519233</v>
      </c>
      <c r="H459" s="25">
        <f>IF(B459&lt;62,0,'Combined Retirement'!$I$14)</f>
        <v>2345</v>
      </c>
      <c r="I459" s="25">
        <f>IF(C459&lt;62,0,'Combined Retirement'!$I$13)</f>
        <v>2420</v>
      </c>
      <c r="J459" s="25">
        <f t="shared" si="263"/>
        <v>7896.2379798201846</v>
      </c>
      <c r="K459" s="25">
        <f t="shared" si="264"/>
        <v>20367.195264578786</v>
      </c>
      <c r="L459" s="25"/>
      <c r="N459" s="25">
        <f>'Combined Retirement'!$C$18/12</f>
        <v>39153.069999999992</v>
      </c>
      <c r="O459" s="25">
        <f t="shared" si="265"/>
        <v>10889.636755601023</v>
      </c>
      <c r="P459" s="25">
        <f t="shared" si="266"/>
        <v>28263.43324439897</v>
      </c>
      <c r="Q459" s="25">
        <f t="array" aca="1" ref="Q459" ca="1">INDEX('Isaac 401k'!L:L,MATCH('Retirement Calculator'!A459,'Isaac 401k'!N:N,0),0)</f>
        <v>1636446.6637627131</v>
      </c>
      <c r="R459" s="25">
        <f t="array" aca="1" ref="R459" ca="1">INDEX('Lorri 401b'!L:L,MATCH('Retirement Calculator'!A459,'Lorri 401b'!N:N,0),0)</f>
        <v>2458563.4273915184</v>
      </c>
      <c r="S459" s="25">
        <f t="shared" ca="1" si="267"/>
        <v>4095010.0911542317</v>
      </c>
    </row>
    <row r="460" spans="1:19" ht="15.75" customHeight="1" x14ac:dyDescent="0.3">
      <c r="A460" s="37">
        <v>64955</v>
      </c>
      <c r="B460" s="398">
        <f t="shared" ref="B460:C460" si="461">($A460-B$9)/365.25</f>
        <v>95.958932238193015</v>
      </c>
      <c r="C460" s="398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3254.2644699519233</v>
      </c>
      <c r="H460" s="25">
        <f>IF(B460&lt;62,0,'Combined Retirement'!$I$14)</f>
        <v>2345</v>
      </c>
      <c r="I460" s="25">
        <f>IF(C460&lt;62,0,'Combined Retirement'!$I$13)</f>
        <v>2420</v>
      </c>
      <c r="J460" s="25">
        <f t="shared" si="263"/>
        <v>7896.2379798201846</v>
      </c>
      <c r="K460" s="25">
        <f t="shared" si="264"/>
        <v>20367.195264578786</v>
      </c>
      <c r="L460" s="25"/>
      <c r="N460" s="25">
        <f>'Combined Retirement'!$C$18/12</f>
        <v>39153.069999999992</v>
      </c>
      <c r="O460" s="25">
        <f t="shared" si="265"/>
        <v>10889.636755601023</v>
      </c>
      <c r="P460" s="25">
        <f t="shared" si="266"/>
        <v>28263.43324439897</v>
      </c>
      <c r="Q460" s="25">
        <f t="array" aca="1" ref="Q460" ca="1">INDEX('Isaac 401k'!L:L,MATCH('Retirement Calculator'!A460,'Isaac 401k'!N:N,0),0)</f>
        <v>1635336.0525569883</v>
      </c>
      <c r="R460" s="25">
        <f t="array" aca="1" ref="R460" ca="1">INDEX('Lorri 401b'!L:L,MATCH('Retirement Calculator'!A460,'Lorri 401b'!N:N,0),0)</f>
        <v>2448355.3830941352</v>
      </c>
      <c r="S460" s="25">
        <f t="shared" ca="1" si="267"/>
        <v>4083691.4356511235</v>
      </c>
    </row>
    <row r="461" spans="1:19" ht="15.75" customHeight="1" x14ac:dyDescent="0.3">
      <c r="A461" s="37">
        <v>64985</v>
      </c>
      <c r="B461" s="398">
        <f t="shared" ref="B461:C461" si="462">($A461-B$9)/365.25</f>
        <v>96.041067761806985</v>
      </c>
      <c r="C461" s="398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3254.2644699519233</v>
      </c>
      <c r="H461" s="25">
        <f>IF(B461&lt;62,0,'Combined Retirement'!$I$14)</f>
        <v>2345</v>
      </c>
      <c r="I461" s="25">
        <f>IF(C461&lt;62,0,'Combined Retirement'!$I$13)</f>
        <v>2420</v>
      </c>
      <c r="J461" s="25">
        <f t="shared" si="263"/>
        <v>7896.2379798201846</v>
      </c>
      <c r="K461" s="25">
        <f t="shared" si="264"/>
        <v>20367.195264578786</v>
      </c>
      <c r="L461" s="25"/>
      <c r="N461" s="25">
        <f>'Combined Retirement'!$C$18/12</f>
        <v>39153.069999999992</v>
      </c>
      <c r="O461" s="25">
        <f t="shared" si="265"/>
        <v>10889.636755601023</v>
      </c>
      <c r="P461" s="25">
        <f t="shared" si="266"/>
        <v>28263.43324439897</v>
      </c>
      <c r="Q461" s="25">
        <f t="array" aca="1" ref="Q461" ca="1">INDEX('Isaac 401k'!L:L,MATCH('Retirement Calculator'!A461,'Isaac 401k'!N:N,0),0)</f>
        <v>1634220.8138045729</v>
      </c>
      <c r="R461" s="25">
        <f t="array" aca="1" ref="R461" ca="1">INDEX('Lorri 401b'!L:L,MATCH('Retirement Calculator'!A461,'Lorri 401b'!N:N,0),0)</f>
        <v>2438104.8052788461</v>
      </c>
      <c r="S461" s="25">
        <f t="shared" ca="1" si="267"/>
        <v>4072325.619083419</v>
      </c>
    </row>
    <row r="462" spans="1:19" ht="15.75" customHeight="1" x14ac:dyDescent="0.3">
      <c r="A462" s="37">
        <v>65016</v>
      </c>
      <c r="B462" s="398">
        <f t="shared" ref="B462:C462" si="463">($A462-B$9)/365.25</f>
        <v>96.12594113620807</v>
      </c>
      <c r="C462" s="398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3254.2644699519233</v>
      </c>
      <c r="H462" s="25">
        <f>IF(B462&lt;62,0,'Combined Retirement'!$I$14)</f>
        <v>2345</v>
      </c>
      <c r="I462" s="25">
        <f>IF(C462&lt;62,0,'Combined Retirement'!$I$13)</f>
        <v>2420</v>
      </c>
      <c r="J462" s="25">
        <f t="shared" si="263"/>
        <v>7896.2379798201846</v>
      </c>
      <c r="K462" s="25">
        <f t="shared" si="264"/>
        <v>20367.195264578786</v>
      </c>
      <c r="L462" s="25"/>
      <c r="N462" s="25">
        <f>'Combined Retirement'!$C$18/12</f>
        <v>39153.069999999992</v>
      </c>
      <c r="O462" s="25">
        <f t="shared" si="265"/>
        <v>10889.636755601023</v>
      </c>
      <c r="P462" s="25">
        <f t="shared" si="266"/>
        <v>28263.43324439897</v>
      </c>
      <c r="Q462" s="25">
        <f t="array" aca="1" ref="Q462" ca="1">INDEX('Isaac 401k'!L:L,MATCH('Retirement Calculator'!A462,'Isaac 401k'!N:N,0),0)</f>
        <v>1633100.9282240225</v>
      </c>
      <c r="R462" s="25">
        <f t="array" aca="1" ref="R462" ca="1">INDEX('Lorri 401b'!L:L,MATCH('Retirement Calculator'!A462,'Lorri 401b'!N:N,0),0)</f>
        <v>2427811.51672266</v>
      </c>
      <c r="S462" s="25">
        <f t="shared" ca="1" si="267"/>
        <v>4060912.4449466825</v>
      </c>
    </row>
    <row r="463" spans="1:19" ht="15.75" customHeight="1" x14ac:dyDescent="0.3">
      <c r="A463" s="37">
        <v>65047</v>
      </c>
      <c r="B463" s="398">
        <f t="shared" ref="B463:C463" si="464">($A463-B$9)/365.25</f>
        <v>96.210814510609168</v>
      </c>
      <c r="C463" s="398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3254.2644699519233</v>
      </c>
      <c r="H463" s="25">
        <f>IF(B463&lt;62,0,'Combined Retirement'!$I$14)</f>
        <v>2345</v>
      </c>
      <c r="I463" s="25">
        <f>IF(C463&lt;62,0,'Combined Retirement'!$I$13)</f>
        <v>2420</v>
      </c>
      <c r="J463" s="25">
        <f t="shared" si="263"/>
        <v>7896.2379798201846</v>
      </c>
      <c r="K463" s="25">
        <f t="shared" si="264"/>
        <v>20367.195264578786</v>
      </c>
      <c r="L463" s="25"/>
      <c r="N463" s="25">
        <f>'Combined Retirement'!$C$18/12</f>
        <v>39153.069999999992</v>
      </c>
      <c r="O463" s="25">
        <f t="shared" si="265"/>
        <v>10889.636755601023</v>
      </c>
      <c r="P463" s="25">
        <f t="shared" si="266"/>
        <v>28263.43324439897</v>
      </c>
      <c r="Q463" s="25">
        <f t="array" aca="1" ref="Q463" ca="1">INDEX('Isaac 401k'!L:L,MATCH('Retirement Calculator'!A463,'Isaac 401k'!N:N,0),0)</f>
        <v>1631976.3764535531</v>
      </c>
      <c r="R463" s="25">
        <f t="array" aca="1" ref="R463" ca="1">INDEX('Lorri 401b'!L:L,MATCH('Retirement Calculator'!A463,'Lorri 401b'!N:N,0),0)</f>
        <v>2417475.3394641564</v>
      </c>
      <c r="S463" s="25">
        <f t="shared" ca="1" si="267"/>
        <v>4049451.7159177093</v>
      </c>
    </row>
    <row r="464" spans="1:19" ht="15.75" customHeight="1" x14ac:dyDescent="0.3">
      <c r="A464" s="37">
        <v>65075</v>
      </c>
      <c r="B464" s="398">
        <f t="shared" ref="B464:C464" si="465">($A464-B$9)/365.25</f>
        <v>96.28747433264887</v>
      </c>
      <c r="C464" s="398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3254.2644699519233</v>
      </c>
      <c r="H464" s="25">
        <f>IF(B464&lt;62,0,'Combined Retirement'!$I$14)</f>
        <v>2345</v>
      </c>
      <c r="I464" s="25">
        <f>IF(C464&lt;62,0,'Combined Retirement'!$I$13)</f>
        <v>2420</v>
      </c>
      <c r="J464" s="25">
        <f t="shared" si="263"/>
        <v>7896.2379798201846</v>
      </c>
      <c r="K464" s="25">
        <f t="shared" si="264"/>
        <v>20367.195264578786</v>
      </c>
      <c r="L464" s="25"/>
      <c r="N464" s="25">
        <f>'Combined Retirement'!$C$18/12</f>
        <v>39153.069999999992</v>
      </c>
      <c r="O464" s="25">
        <f t="shared" si="265"/>
        <v>10889.636755601023</v>
      </c>
      <c r="P464" s="25">
        <f t="shared" si="266"/>
        <v>28263.43324439897</v>
      </c>
      <c r="Q464" s="25">
        <f t="array" aca="1" ref="Q464" ca="1">INDEX('Isaac 401k'!L:L,MATCH('Retirement Calculator'!A464,'Isaac 401k'!N:N,0),0)</f>
        <v>1630847.1390507068</v>
      </c>
      <c r="R464" s="25">
        <f t="array" aca="1" ref="R464" ca="1">INDEX('Lorri 401b'!L:L,MATCH('Retirement Calculator'!A464,'Lorri 401b'!N:N,0),0)</f>
        <v>2407096.0948004094</v>
      </c>
      <c r="S464" s="25">
        <f t="shared" ca="1" si="267"/>
        <v>4037943.2338511162</v>
      </c>
    </row>
    <row r="465" spans="1:19" ht="15.75" customHeight="1" x14ac:dyDescent="0.3">
      <c r="A465" s="37">
        <v>65106</v>
      </c>
      <c r="B465" s="398">
        <f t="shared" ref="B465:C465" si="466">($A465-B$9)/365.25</f>
        <v>96.372347707049968</v>
      </c>
      <c r="C465" s="398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3254.2644699519233</v>
      </c>
      <c r="H465" s="25">
        <f>IF(B465&lt;62,0,'Combined Retirement'!$I$14)</f>
        <v>2345</v>
      </c>
      <c r="I465" s="25">
        <f>IF(C465&lt;62,0,'Combined Retirement'!$I$13)</f>
        <v>2420</v>
      </c>
      <c r="J465" s="25">
        <f t="shared" si="263"/>
        <v>7896.2379798201846</v>
      </c>
      <c r="K465" s="25">
        <f t="shared" si="264"/>
        <v>20367.195264578786</v>
      </c>
      <c r="L465" s="25"/>
      <c r="N465" s="25">
        <f>'Combined Retirement'!$C$18/12</f>
        <v>39153.069999999992</v>
      </c>
      <c r="O465" s="25">
        <f t="shared" si="265"/>
        <v>10889.636755601023</v>
      </c>
      <c r="P465" s="25">
        <f t="shared" si="266"/>
        <v>28263.43324439897</v>
      </c>
      <c r="Q465" s="25">
        <f t="array" aca="1" ref="Q465" ca="1">INDEX('Isaac 401k'!L:L,MATCH('Retirement Calculator'!A465,'Isaac 401k'!N:N,0),0)</f>
        <v>1629713.1964920152</v>
      </c>
      <c r="R465" s="25">
        <f t="array" aca="1" ref="R465" ca="1">INDEX('Lorri 401b'!L:L,MATCH('Retirement Calculator'!A465,'Lorri 401b'!N:N,0),0)</f>
        <v>2396673.6032838966</v>
      </c>
      <c r="S465" s="25">
        <f t="shared" ca="1" si="267"/>
        <v>4026386.7997759115</v>
      </c>
    </row>
    <row r="466" spans="1:19" ht="15.75" customHeight="1" x14ac:dyDescent="0.3">
      <c r="A466" s="37">
        <v>65136</v>
      </c>
      <c r="B466" s="398">
        <f t="shared" ref="B466:C466" si="467">($A466-B$9)/365.25</f>
        <v>96.454483230663925</v>
      </c>
      <c r="C466" s="398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3254.2644699519233</v>
      </c>
      <c r="H466" s="25">
        <f>IF(B466&lt;62,0,'Combined Retirement'!$I$14)</f>
        <v>2345</v>
      </c>
      <c r="I466" s="25">
        <f>IF(C466&lt;62,0,'Combined Retirement'!$I$13)</f>
        <v>2420</v>
      </c>
      <c r="J466" s="25">
        <f t="shared" si="263"/>
        <v>7896.2379798201846</v>
      </c>
      <c r="K466" s="25">
        <f t="shared" si="264"/>
        <v>20367.195264578786</v>
      </c>
      <c r="L466" s="25"/>
      <c r="N466" s="25">
        <f>'Combined Retirement'!$C$18/12</f>
        <v>39153.069999999992</v>
      </c>
      <c r="O466" s="25">
        <f t="shared" si="265"/>
        <v>10889.636755601023</v>
      </c>
      <c r="P466" s="25">
        <f t="shared" si="266"/>
        <v>28263.43324439897</v>
      </c>
      <c r="Q466" s="25">
        <f t="array" aca="1" ref="Q466" ca="1">INDEX('Isaac 401k'!L:L,MATCH('Retirement Calculator'!A466,'Isaac 401k'!N:N,0),0)</f>
        <v>1628574.5291726624</v>
      </c>
      <c r="R466" s="25">
        <f t="array" aca="1" ref="R466" ca="1">INDEX('Lorri 401b'!L:L,MATCH('Retirement Calculator'!A466,'Lorri 401b'!N:N,0),0)</f>
        <v>2386207.6847193982</v>
      </c>
      <c r="S466" s="25">
        <f t="shared" ca="1" si="267"/>
        <v>4014782.2138920603</v>
      </c>
    </row>
    <row r="467" spans="1:19" ht="15.75" customHeight="1" x14ac:dyDescent="0.3">
      <c r="A467" s="37">
        <v>65167</v>
      </c>
      <c r="B467" s="398">
        <f t="shared" ref="B467:C467" si="468">($A467-B$9)/365.25</f>
        <v>96.539356605065024</v>
      </c>
      <c r="C467" s="398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3254.2644699519233</v>
      </c>
      <c r="H467" s="25">
        <f>IF(B467&lt;62,0,'Combined Retirement'!$I$14)</f>
        <v>2345</v>
      </c>
      <c r="I467" s="25">
        <f>IF(C467&lt;62,0,'Combined Retirement'!$I$13)</f>
        <v>2420</v>
      </c>
      <c r="J467" s="25">
        <f t="shared" si="263"/>
        <v>7896.2379798201846</v>
      </c>
      <c r="K467" s="25">
        <f t="shared" si="264"/>
        <v>20367.195264578786</v>
      </c>
      <c r="L467" s="25"/>
      <c r="N467" s="25">
        <f>'Combined Retirement'!$C$18/12</f>
        <v>39153.069999999992</v>
      </c>
      <c r="O467" s="25">
        <f t="shared" si="265"/>
        <v>10889.636755601023</v>
      </c>
      <c r="P467" s="25">
        <f t="shared" si="266"/>
        <v>28263.43324439897</v>
      </c>
      <c r="Q467" s="25">
        <f t="array" aca="1" ref="Q467" ca="1">INDEX('Isaac 401k'!L:L,MATCH('Retirement Calculator'!A467,'Isaac 401k'!N:N,0),0)</f>
        <v>1627431.1174061457</v>
      </c>
      <c r="R467" s="25">
        <f t="array" aca="1" ref="R467" ca="1">INDEX('Lorri 401b'!L:L,MATCH('Retirement Calculator'!A467,'Lorri 401b'!N:N,0),0)</f>
        <v>2375698.1581608811</v>
      </c>
      <c r="S467" s="25">
        <f t="shared" ca="1" si="267"/>
        <v>4003129.2755670268</v>
      </c>
    </row>
    <row r="468" spans="1:19" ht="15.75" customHeight="1" x14ac:dyDescent="0.3">
      <c r="A468" s="37">
        <v>65197</v>
      </c>
      <c r="B468" s="398">
        <f t="shared" ref="B468:C468" si="469">($A468-B$9)/365.25</f>
        <v>96.62149212867898</v>
      </c>
      <c r="C468" s="398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3254.2644699519233</v>
      </c>
      <c r="H468" s="25">
        <f>IF(B468&lt;62,0,'Combined Retirement'!$I$14)</f>
        <v>2345</v>
      </c>
      <c r="I468" s="25">
        <f>IF(C468&lt;62,0,'Combined Retirement'!$I$13)</f>
        <v>2420</v>
      </c>
      <c r="J468" s="25">
        <f t="shared" si="263"/>
        <v>7896.2379798201846</v>
      </c>
      <c r="K468" s="25">
        <f t="shared" si="264"/>
        <v>20367.195264578786</v>
      </c>
      <c r="L468" s="25"/>
      <c r="N468" s="25">
        <f>'Combined Retirement'!$C$18/12</f>
        <v>39153.069999999992</v>
      </c>
      <c r="O468" s="25">
        <f t="shared" si="265"/>
        <v>10889.636755601023</v>
      </c>
      <c r="P468" s="25">
        <f t="shared" si="266"/>
        <v>28263.43324439897</v>
      </c>
      <c r="Q468" s="25">
        <f t="array" aca="1" ref="Q468" ca="1">INDEX('Isaac 401k'!L:L,MATCH('Retirement Calculator'!A468,'Isaac 401k'!N:N,0),0)</f>
        <v>1626282.9414239351</v>
      </c>
      <c r="R468" s="25">
        <f t="array" aca="1" ref="R468" ca="1">INDEX('Lorri 401b'!L:L,MATCH('Retirement Calculator'!A468,'Lorri 401b'!N:N,0),0)</f>
        <v>2365144.8419083701</v>
      </c>
      <c r="S468" s="25">
        <f t="shared" ca="1" si="267"/>
        <v>3991427.783332305</v>
      </c>
    </row>
    <row r="469" spans="1:19" ht="15.75" customHeight="1" x14ac:dyDescent="0.3">
      <c r="A469" s="37">
        <v>65228</v>
      </c>
      <c r="B469" s="398">
        <f t="shared" ref="B469:C469" si="470">($A469-B$9)/365.25</f>
        <v>96.706365503080079</v>
      </c>
      <c r="C469" s="398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3254.2644699519233</v>
      </c>
      <c r="H469" s="25">
        <f>IF(B469&lt;62,0,'Combined Retirement'!$I$14)</f>
        <v>2345</v>
      </c>
      <c r="I469" s="25">
        <f>IF(C469&lt;62,0,'Combined Retirement'!$I$13)</f>
        <v>2420</v>
      </c>
      <c r="J469" s="25">
        <f t="shared" si="263"/>
        <v>7896.2379798201846</v>
      </c>
      <c r="K469" s="25">
        <f t="shared" si="264"/>
        <v>20367.195264578786</v>
      </c>
      <c r="L469" s="25"/>
      <c r="N469" s="25">
        <f>'Combined Retirement'!$C$18/12</f>
        <v>39153.069999999992</v>
      </c>
      <c r="O469" s="25">
        <f t="shared" si="265"/>
        <v>10889.636755601023</v>
      </c>
      <c r="P469" s="25">
        <f t="shared" si="266"/>
        <v>28263.43324439897</v>
      </c>
      <c r="Q469" s="25">
        <f t="array" aca="1" ref="Q469" ca="1">INDEX('Isaac 401k'!L:L,MATCH('Retirement Calculator'!A469,'Isaac 401k'!N:N,0),0)</f>
        <v>1625129.981375132</v>
      </c>
      <c r="R469" s="25">
        <f t="array" aca="1" ref="R469" ca="1">INDEX('Lorri 401b'!L:L,MATCH('Retirement Calculator'!A469,'Lorri 401b'!N:N,0),0)</f>
        <v>2354547.5535048069</v>
      </c>
      <c r="S469" s="25">
        <f t="shared" ca="1" si="267"/>
        <v>3979677.5348799387</v>
      </c>
    </row>
    <row r="470" spans="1:19" ht="15.75" customHeight="1" x14ac:dyDescent="0.3">
      <c r="A470" s="37">
        <v>65259</v>
      </c>
      <c r="B470" s="398">
        <f t="shared" ref="B470:C470" si="471">($A470-B$9)/365.25</f>
        <v>96.791238877481177</v>
      </c>
      <c r="C470" s="398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3254.2644699519233</v>
      </c>
      <c r="H470" s="25">
        <f>IF(B470&lt;62,0,'Combined Retirement'!$I$14)</f>
        <v>2345</v>
      </c>
      <c r="I470" s="25">
        <f>IF(C470&lt;62,0,'Combined Retirement'!$I$13)</f>
        <v>2420</v>
      </c>
      <c r="J470" s="25">
        <f t="shared" si="263"/>
        <v>7896.2379798201846</v>
      </c>
      <c r="K470" s="25">
        <f t="shared" si="264"/>
        <v>20367.195264578786</v>
      </c>
      <c r="L470" s="25"/>
      <c r="N470" s="25">
        <f>'Combined Retirement'!$C$18/12</f>
        <v>39153.069999999992</v>
      </c>
      <c r="O470" s="25">
        <f t="shared" si="265"/>
        <v>10889.636755601023</v>
      </c>
      <c r="P470" s="25">
        <f t="shared" si="266"/>
        <v>28263.43324439897</v>
      </c>
      <c r="Q470" s="25">
        <f t="array" aca="1" ref="Q470" ca="1">INDEX('Isaac 401k'!L:L,MATCH('Retirement Calculator'!A470,'Isaac 401k'!N:N,0),0)</f>
        <v>1623972.2173261256</v>
      </c>
      <c r="R470" s="25">
        <f t="array" aca="1" ref="R470" ca="1">INDEX('Lorri 401b'!L:L,MATCH('Retirement Calculator'!A470,'Lorri 401b'!N:N,0),0)</f>
        <v>2343906.1097328956</v>
      </c>
      <c r="S470" s="25">
        <f t="shared" ca="1" si="267"/>
        <v>3967878.3270590212</v>
      </c>
    </row>
    <row r="471" spans="1:19" ht="15.75" customHeight="1" x14ac:dyDescent="0.3">
      <c r="A471" s="37">
        <v>65289</v>
      </c>
      <c r="B471" s="398">
        <f t="shared" ref="B471:C471" si="472">($A471-B$9)/365.25</f>
        <v>96.873374401095134</v>
      </c>
      <c r="C471" s="398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3254.2644699519233</v>
      </c>
      <c r="H471" s="25">
        <f>IF(B471&lt;62,0,'Combined Retirement'!$I$14)</f>
        <v>2345</v>
      </c>
      <c r="I471" s="25">
        <f>IF(C471&lt;62,0,'Combined Retirement'!$I$13)</f>
        <v>2420</v>
      </c>
      <c r="J471" s="25">
        <f t="shared" si="263"/>
        <v>7896.2379798201846</v>
      </c>
      <c r="K471" s="25">
        <f t="shared" si="264"/>
        <v>20367.195264578786</v>
      </c>
      <c r="L471" s="25"/>
      <c r="N471" s="25">
        <f>'Combined Retirement'!$C$18/12</f>
        <v>39153.069999999992</v>
      </c>
      <c r="O471" s="25">
        <f t="shared" si="265"/>
        <v>10889.636755601023</v>
      </c>
      <c r="P471" s="25">
        <f t="shared" si="266"/>
        <v>28263.43324439897</v>
      </c>
      <c r="Q471" s="25">
        <f t="array" aca="1" ref="Q471" ca="1">INDEX('Isaac 401k'!L:L,MATCH('Retirement Calculator'!A471,'Isaac 401k'!N:N,0),0)</f>
        <v>1622809.6292602483</v>
      </c>
      <c r="R471" s="25">
        <f t="array" aca="1" ref="R471" ca="1">INDEX('Lorri 401b'!L:L,MATCH('Retirement Calculator'!A471,'Lorri 401b'!N:N,0),0)</f>
        <v>2333220.3266119347</v>
      </c>
      <c r="S471" s="25">
        <f t="shared" ca="1" si="267"/>
        <v>3956029.9558721827</v>
      </c>
    </row>
    <row r="472" spans="1:19" ht="15.75" customHeight="1" x14ac:dyDescent="0.3">
      <c r="A472" s="37">
        <v>65320</v>
      </c>
      <c r="B472" s="398">
        <f t="shared" ref="B472:C472" si="473">($A472-B$9)/365.25</f>
        <v>96.958247775496233</v>
      </c>
      <c r="C472" s="398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3254.2644699519233</v>
      </c>
      <c r="H472" s="25">
        <f>IF(B472&lt;62,0,'Combined Retirement'!$I$14)</f>
        <v>2345</v>
      </c>
      <c r="I472" s="25">
        <f>IF(C472&lt;62,0,'Combined Retirement'!$I$13)</f>
        <v>2420</v>
      </c>
      <c r="J472" s="25">
        <f t="shared" si="263"/>
        <v>7896.2379798201846</v>
      </c>
      <c r="K472" s="25">
        <f t="shared" si="264"/>
        <v>20367.195264578786</v>
      </c>
      <c r="L472" s="25"/>
      <c r="N472" s="25">
        <f>'Combined Retirement'!$C$18/12</f>
        <v>39153.069999999992</v>
      </c>
      <c r="O472" s="25">
        <f t="shared" si="265"/>
        <v>10889.636755601023</v>
      </c>
      <c r="P472" s="25">
        <f t="shared" si="266"/>
        <v>28263.43324439897</v>
      </c>
      <c r="Q472" s="25">
        <f t="array" aca="1" ref="Q472" ca="1">INDEX('Isaac 401k'!L:L,MATCH('Retirement Calculator'!A472,'Isaac 401k'!N:N,0),0)</f>
        <v>1621642.1970774299</v>
      </c>
      <c r="R472" s="25">
        <f t="array" aca="1" ref="R472" ca="1">INDEX('Lorri 401b'!L:L,MATCH('Retirement Calculator'!A472,'Lorri 401b'!N:N,0),0)</f>
        <v>2322490.0193946366</v>
      </c>
      <c r="S472" s="25">
        <f t="shared" ca="1" si="267"/>
        <v>3944132.2164720665</v>
      </c>
    </row>
    <row r="473" spans="1:19" ht="15.75" customHeight="1" x14ac:dyDescent="0.3">
      <c r="A473" s="37">
        <v>65350</v>
      </c>
      <c r="B473" s="398">
        <f t="shared" ref="B473:C473" si="474">($A473-B$9)/365.25</f>
        <v>97.040383299110204</v>
      </c>
      <c r="C473" s="398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3254.2644699519233</v>
      </c>
      <c r="H473" s="25">
        <f>IF(B473&lt;62,0,'Combined Retirement'!$I$14)</f>
        <v>2345</v>
      </c>
      <c r="I473" s="25">
        <f>IF(C473&lt;62,0,'Combined Retirement'!$I$13)</f>
        <v>2420</v>
      </c>
      <c r="J473" s="25">
        <f t="shared" si="263"/>
        <v>7896.2379798201846</v>
      </c>
      <c r="K473" s="25">
        <f t="shared" si="264"/>
        <v>20367.195264578786</v>
      </c>
      <c r="L473" s="25"/>
      <c r="N473" s="25">
        <f>'Combined Retirement'!$C$18/12</f>
        <v>39153.069999999992</v>
      </c>
      <c r="O473" s="25">
        <f t="shared" si="265"/>
        <v>10889.636755601023</v>
      </c>
      <c r="P473" s="25">
        <f t="shared" si="266"/>
        <v>28263.43324439897</v>
      </c>
      <c r="Q473" s="25">
        <f t="array" aca="1" ref="Q473" ca="1">INDEX('Isaac 401k'!L:L,MATCH('Retirement Calculator'!A473,'Isaac 401k'!N:N,0),0)</f>
        <v>1620469.9005938496</v>
      </c>
      <c r="R473" s="25">
        <f t="array" aca="1" ref="R473" ca="1">INDEX('Lorri 401b'!L:L,MATCH('Retirement Calculator'!A473,'Lorri 401b'!N:N,0),0)</f>
        <v>2311715.0025639329</v>
      </c>
      <c r="S473" s="25">
        <f t="shared" ca="1" si="267"/>
        <v>3932184.9031577827</v>
      </c>
    </row>
    <row r="474" spans="1:19" ht="15.75" customHeight="1" x14ac:dyDescent="0.3">
      <c r="A474" s="37">
        <v>65381</v>
      </c>
      <c r="B474" s="398">
        <f t="shared" ref="B474:C474" si="475">($A474-B$9)/365.25</f>
        <v>97.125256673511288</v>
      </c>
      <c r="C474" s="398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3254.2644699519233</v>
      </c>
      <c r="H474" s="25">
        <f>IF(B474&lt;62,0,'Combined Retirement'!$I$14)</f>
        <v>2345</v>
      </c>
      <c r="I474" s="25">
        <f>IF(C474&lt;62,0,'Combined Retirement'!$I$13)</f>
        <v>2420</v>
      </c>
      <c r="J474" s="25">
        <f t="shared" si="263"/>
        <v>7896.2379798201846</v>
      </c>
      <c r="K474" s="25">
        <f t="shared" si="264"/>
        <v>20367.195264578786</v>
      </c>
      <c r="L474" s="25"/>
      <c r="N474" s="25">
        <f>'Combined Retirement'!$C$18/12</f>
        <v>39153.069999999992</v>
      </c>
      <c r="O474" s="25">
        <f t="shared" si="265"/>
        <v>10889.636755601023</v>
      </c>
      <c r="P474" s="25">
        <f t="shared" si="266"/>
        <v>28263.43324439897</v>
      </c>
      <c r="Q474" s="25">
        <f t="array" aca="1" ref="Q474" ca="1">INDEX('Isaac 401k'!L:L,MATCH('Retirement Calculator'!A474,'Isaac 401k'!N:N,0),0)</f>
        <v>1619292.7195415879</v>
      </c>
      <c r="R474" s="25">
        <f t="array" aca="1" ref="R474" ca="1">INDEX('Lorri 401b'!L:L,MATCH('Retirement Calculator'!A474,'Lorri 401b'!N:N,0),0)</f>
        <v>2300895.0898297681</v>
      </c>
      <c r="S474" s="25">
        <f t="shared" ca="1" si="267"/>
        <v>3920187.8093713559</v>
      </c>
    </row>
    <row r="475" spans="1:19" ht="15.75" customHeight="1" x14ac:dyDescent="0.3">
      <c r="A475" s="37">
        <v>65412</v>
      </c>
      <c r="B475" s="398">
        <f t="shared" ref="B475:C475" si="476">($A475-B$9)/365.25</f>
        <v>97.210130047912386</v>
      </c>
      <c r="C475" s="398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3254.2644699519233</v>
      </c>
      <c r="H475" s="25">
        <f>IF(B475&lt;62,0,'Combined Retirement'!$I$14)</f>
        <v>2345</v>
      </c>
      <c r="I475" s="25">
        <f>IF(C475&lt;62,0,'Combined Retirement'!$I$13)</f>
        <v>2420</v>
      </c>
      <c r="J475" s="25">
        <f t="shared" si="263"/>
        <v>7896.2379798201846</v>
      </c>
      <c r="K475" s="25">
        <f t="shared" si="264"/>
        <v>20367.195264578786</v>
      </c>
      <c r="L475" s="25"/>
      <c r="N475" s="25">
        <f>'Combined Retirement'!$C$18/12</f>
        <v>39153.069999999992</v>
      </c>
      <c r="O475" s="25">
        <f t="shared" si="265"/>
        <v>10889.636755601023</v>
      </c>
      <c r="P475" s="25">
        <f t="shared" si="266"/>
        <v>28263.43324439897</v>
      </c>
      <c r="Q475" s="25">
        <f t="array" aca="1" ref="Q475" ca="1">INDEX('Isaac 401k'!L:L,MATCH('Retirement Calculator'!A475,'Isaac 401k'!N:N,0),0)</f>
        <v>1618110.633568275</v>
      </c>
      <c r="R475" s="25">
        <f t="array" aca="1" ref="R475" ca="1">INDEX('Lorri 401b'!L:L,MATCH('Retirement Calculator'!A475,'Lorri 401b'!N:N,0),0)</f>
        <v>2290030.0941258776</v>
      </c>
      <c r="S475" s="25">
        <f t="shared" ca="1" si="267"/>
        <v>3908140.7276941529</v>
      </c>
    </row>
    <row r="476" spans="1:19" ht="15.75" customHeight="1" x14ac:dyDescent="0.3">
      <c r="A476" s="37">
        <v>65440</v>
      </c>
      <c r="B476" s="398">
        <f t="shared" ref="B476:C476" si="477">($A476-B$9)/365.25</f>
        <v>97.286789869952088</v>
      </c>
      <c r="C476" s="398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3254.2644699519233</v>
      </c>
      <c r="H476" s="25">
        <f>IF(B476&lt;62,0,'Combined Retirement'!$I$14)</f>
        <v>2345</v>
      </c>
      <c r="I476" s="25">
        <f>IF(C476&lt;62,0,'Combined Retirement'!$I$13)</f>
        <v>2420</v>
      </c>
      <c r="J476" s="25">
        <f t="shared" si="263"/>
        <v>7896.2379798201846</v>
      </c>
      <c r="K476" s="25">
        <f t="shared" si="264"/>
        <v>20367.195264578786</v>
      </c>
      <c r="L476" s="25"/>
      <c r="N476" s="25">
        <f>'Combined Retirement'!$C$18/12</f>
        <v>39153.069999999992</v>
      </c>
      <c r="O476" s="25">
        <f t="shared" si="265"/>
        <v>10889.636755601023</v>
      </c>
      <c r="P476" s="25">
        <f t="shared" si="266"/>
        <v>28263.43324439897</v>
      </c>
      <c r="Q476" s="25">
        <f t="array" aca="1" ref="Q476" ca="1">INDEX('Isaac 401k'!L:L,MATCH('Retirement Calculator'!A476,'Isaac 401k'!N:N,0),0)</f>
        <v>1616923.6222367401</v>
      </c>
      <c r="R476" s="25">
        <f t="array" aca="1" ref="R476" ca="1">INDEX('Lorri 401b'!L:L,MATCH('Retirement Calculator'!A476,'Lorri 401b'!N:N,0),0)</f>
        <v>2279119.8276065541</v>
      </c>
      <c r="S476" s="25">
        <f t="shared" ca="1" si="267"/>
        <v>3896043.449843294</v>
      </c>
    </row>
    <row r="477" spans="1:19" ht="15.75" customHeight="1" x14ac:dyDescent="0.3">
      <c r="A477" s="37">
        <v>65471</v>
      </c>
      <c r="B477" s="398">
        <f t="shared" ref="B477:C477" si="478">($A477-B$9)/365.25</f>
        <v>97.371663244353186</v>
      </c>
      <c r="C477" s="398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3254.2644699519233</v>
      </c>
      <c r="H477" s="25">
        <f>IF(B477&lt;62,0,'Combined Retirement'!$I$14)</f>
        <v>2345</v>
      </c>
      <c r="I477" s="25">
        <f>IF(C477&lt;62,0,'Combined Retirement'!$I$13)</f>
        <v>2420</v>
      </c>
      <c r="J477" s="25">
        <f t="shared" si="263"/>
        <v>7896.2379798201846</v>
      </c>
      <c r="K477" s="25">
        <f t="shared" si="264"/>
        <v>20367.195264578786</v>
      </c>
      <c r="L477" s="25"/>
      <c r="N477" s="25">
        <f>'Combined Retirement'!$C$18/12</f>
        <v>39153.069999999992</v>
      </c>
      <c r="O477" s="25">
        <f t="shared" si="265"/>
        <v>10889.636755601023</v>
      </c>
      <c r="P477" s="25">
        <f t="shared" si="266"/>
        <v>28263.43324439897</v>
      </c>
      <c r="Q477" s="25">
        <f t="array" aca="1" ref="Q477" ca="1">INDEX('Isaac 401k'!L:L,MATCH('Retirement Calculator'!A477,'Isaac 401k'!N:N,0),0)</f>
        <v>1615731.665024657</v>
      </c>
      <c r="R477" s="25">
        <f t="array" aca="1" ref="R477" ca="1">INDEX('Lorri 401b'!L:L,MATCH('Retirement Calculator'!A477,'Lorri 401b'!N:N,0),0)</f>
        <v>2268164.1016434003</v>
      </c>
      <c r="S477" s="25">
        <f t="shared" ca="1" si="267"/>
        <v>3883895.7666680571</v>
      </c>
    </row>
    <row r="478" spans="1:19" ht="15.75" customHeight="1" x14ac:dyDescent="0.3">
      <c r="A478" s="37">
        <v>65501</v>
      </c>
      <c r="B478" s="398">
        <f t="shared" ref="B478:C478" si="479">($A478-B$9)/365.25</f>
        <v>97.453798767967143</v>
      </c>
      <c r="C478" s="398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3254.2644699519233</v>
      </c>
      <c r="H478" s="25">
        <f>IF(B478&lt;62,0,'Combined Retirement'!$I$14)</f>
        <v>2345</v>
      </c>
      <c r="I478" s="25">
        <f>IF(C478&lt;62,0,'Combined Retirement'!$I$13)</f>
        <v>2420</v>
      </c>
      <c r="J478" s="25">
        <f t="shared" si="263"/>
        <v>7896.2379798201846</v>
      </c>
      <c r="K478" s="25">
        <f t="shared" si="264"/>
        <v>20367.195264578786</v>
      </c>
      <c r="L478" s="25"/>
      <c r="N478" s="25">
        <f>'Combined Retirement'!$C$18/12</f>
        <v>39153.069999999992</v>
      </c>
      <c r="O478" s="25">
        <f t="shared" si="265"/>
        <v>10889.636755601023</v>
      </c>
      <c r="P478" s="25">
        <f t="shared" si="266"/>
        <v>28263.43324439897</v>
      </c>
      <c r="Q478" s="25">
        <f t="array" aca="1" ref="Q478" ca="1">INDEX('Isaac 401k'!L:L,MATCH('Retirement Calculator'!A478,'Isaac 401k'!N:N,0),0)</f>
        <v>1614534.7413241903</v>
      </c>
      <c r="R478" s="25">
        <f t="array" aca="1" ref="R478" ca="1">INDEX('Lorri 401b'!L:L,MATCH('Retirement Calculator'!A478,'Lorri 401b'!N:N,0),0)</f>
        <v>2257162.7268220666</v>
      </c>
      <c r="S478" s="25">
        <f t="shared" ca="1" si="267"/>
        <v>3871697.4681462571</v>
      </c>
    </row>
    <row r="479" spans="1:19" ht="15.75" customHeight="1" x14ac:dyDescent="0.3">
      <c r="A479" s="37">
        <v>65532</v>
      </c>
      <c r="B479" s="398">
        <f t="shared" ref="B479:C479" si="480">($A479-B$9)/365.25</f>
        <v>97.538672142368242</v>
      </c>
      <c r="C479" s="398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3254.2644699519233</v>
      </c>
      <c r="H479" s="25">
        <f>IF(B479&lt;62,0,'Combined Retirement'!$I$14)</f>
        <v>2345</v>
      </c>
      <c r="I479" s="25">
        <f>IF(C479&lt;62,0,'Combined Retirement'!$I$13)</f>
        <v>2420</v>
      </c>
      <c r="J479" s="25">
        <f t="shared" si="263"/>
        <v>7896.2379798201846</v>
      </c>
      <c r="K479" s="25">
        <f t="shared" si="264"/>
        <v>20367.195264578786</v>
      </c>
      <c r="L479" s="25"/>
      <c r="N479" s="25">
        <f>'Combined Retirement'!$C$18/12</f>
        <v>39153.069999999992</v>
      </c>
      <c r="O479" s="25">
        <f t="shared" si="265"/>
        <v>10889.636755601023</v>
      </c>
      <c r="P479" s="25">
        <f t="shared" si="266"/>
        <v>28263.43324439897</v>
      </c>
      <c r="Q479" s="25">
        <f t="array" aca="1" ref="Q479" ca="1">INDEX('Isaac 401k'!L:L,MATCH('Retirement Calculator'!A479,'Isaac 401k'!N:N,0),0)</f>
        <v>1613332.8304416384</v>
      </c>
      <c r="R479" s="25">
        <f t="array" aca="1" ref="R479" ca="1">INDEX('Lorri 401b'!L:L,MATCH('Retirement Calculator'!A479,'Lorri 401b'!N:N,0),0)</f>
        <v>2246115.5129389772</v>
      </c>
      <c r="S479" s="25">
        <f t="shared" ca="1" si="267"/>
        <v>3859448.3433806156</v>
      </c>
    </row>
    <row r="480" spans="1:19" ht="15.75" customHeight="1" x14ac:dyDescent="0.3">
      <c r="A480" s="37">
        <v>65562</v>
      </c>
      <c r="B480" s="398">
        <f t="shared" ref="B480:C480" si="481">($A480-B$9)/365.25</f>
        <v>97.620807665982198</v>
      </c>
      <c r="C480" s="398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3254.2644699519233</v>
      </c>
      <c r="H480" s="25">
        <f>IF(B480&lt;62,0,'Combined Retirement'!$I$14)</f>
        <v>2345</v>
      </c>
      <c r="I480" s="25">
        <f>IF(C480&lt;62,0,'Combined Retirement'!$I$13)</f>
        <v>2420</v>
      </c>
      <c r="J480" s="25">
        <f t="shared" si="263"/>
        <v>7896.2379798201846</v>
      </c>
      <c r="K480" s="25">
        <f t="shared" si="264"/>
        <v>20367.195264578786</v>
      </c>
      <c r="L480" s="25"/>
      <c r="N480" s="25">
        <f>'Combined Retirement'!$C$18/12</f>
        <v>39153.069999999992</v>
      </c>
      <c r="O480" s="25">
        <f t="shared" si="265"/>
        <v>10889.636755601023</v>
      </c>
      <c r="P480" s="25">
        <f t="shared" si="266"/>
        <v>28263.43324439897</v>
      </c>
      <c r="Q480" s="25">
        <f t="array" aca="1" ref="Q480" ca="1">INDEX('Isaac 401k'!L:L,MATCH('Retirement Calculator'!A480,'Isaac 401k'!N:N,0),0)</f>
        <v>1612125.9115970756</v>
      </c>
      <c r="R480" s="25">
        <f t="array" aca="1" ref="R480" ca="1">INDEX('Lorri 401b'!L:L,MATCH('Retirement Calculator'!A480,'Lorri 401b'!N:N,0),0)</f>
        <v>2235022.2689980417</v>
      </c>
      <c r="S480" s="25">
        <f t="shared" ca="1" si="267"/>
        <v>3847148.1805951176</v>
      </c>
    </row>
    <row r="481" spans="1:19" ht="15.75" customHeight="1" x14ac:dyDescent="0.3">
      <c r="A481" s="37">
        <v>65593</v>
      </c>
      <c r="B481" s="398">
        <f t="shared" ref="B481:C481" si="482">($A481-B$9)/365.25</f>
        <v>97.705681040383297</v>
      </c>
      <c r="C481" s="398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3254.2644699519233</v>
      </c>
      <c r="H481" s="25">
        <f>IF(B481&lt;62,0,'Combined Retirement'!$I$14)</f>
        <v>2345</v>
      </c>
      <c r="I481" s="25">
        <f>IF(C481&lt;62,0,'Combined Retirement'!$I$13)</f>
        <v>2420</v>
      </c>
      <c r="J481" s="25">
        <f t="shared" si="263"/>
        <v>7896.2379798201846</v>
      </c>
      <c r="K481" s="25">
        <f t="shared" si="264"/>
        <v>20367.195264578786</v>
      </c>
      <c r="L481" s="25"/>
      <c r="N481" s="25">
        <f>'Combined Retirement'!$C$18/12</f>
        <v>39153.069999999992</v>
      </c>
      <c r="O481" s="25">
        <f t="shared" si="265"/>
        <v>10889.636755601023</v>
      </c>
      <c r="P481" s="25">
        <f t="shared" si="266"/>
        <v>28263.43324439897</v>
      </c>
      <c r="Q481" s="25">
        <f t="array" aca="1" ref="Q481" ca="1">INDEX('Isaac 401k'!L:L,MATCH('Retirement Calculator'!A481,'Isaac 401k'!N:N,0),0)</f>
        <v>1610913.963923994</v>
      </c>
      <c r="R481" s="25">
        <f t="array" aca="1" ref="R481" ca="1">INDEX('Lorri 401b'!L:L,MATCH('Retirement Calculator'!A481,'Lorri 401b'!N:N,0),0)</f>
        <v>2223882.8032073523</v>
      </c>
      <c r="S481" s="25">
        <f t="shared" ca="1" si="267"/>
        <v>3834796.7671313463</v>
      </c>
    </row>
    <row r="482" spans="1:19" ht="15.75" customHeight="1" x14ac:dyDescent="0.3">
      <c r="A482" s="37">
        <v>65624</v>
      </c>
      <c r="B482" s="398">
        <f t="shared" ref="B482:C482" si="483">($A482-B$9)/365.25</f>
        <v>97.790554414784395</v>
      </c>
      <c r="C482" s="398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3254.2644699519233</v>
      </c>
      <c r="H482" s="25">
        <f>IF(B482&lt;62,0,'Combined Retirement'!$I$14)</f>
        <v>2345</v>
      </c>
      <c r="I482" s="25">
        <f>IF(C482&lt;62,0,'Combined Retirement'!$I$13)</f>
        <v>2420</v>
      </c>
      <c r="J482" s="25">
        <f t="shared" si="263"/>
        <v>7896.2379798201846</v>
      </c>
      <c r="K482" s="25">
        <f t="shared" si="264"/>
        <v>20367.195264578786</v>
      </c>
      <c r="L482" s="25"/>
      <c r="N482" s="25">
        <f>'Combined Retirement'!$C$18/12</f>
        <v>39153.069999999992</v>
      </c>
      <c r="O482" s="25">
        <f t="shared" si="265"/>
        <v>10889.636755601023</v>
      </c>
      <c r="P482" s="25">
        <f t="shared" si="266"/>
        <v>28263.43324439897</v>
      </c>
      <c r="Q482" s="25">
        <f t="array" aca="1" ref="Q482" ca="1">INDEX('Isaac 401k'!L:L,MATCH('Retirement Calculator'!A482,'Isaac 401k'!N:N,0),0)</f>
        <v>1609696.9664689412</v>
      </c>
      <c r="R482" s="25">
        <f t="array" aca="1" ref="R482" ca="1">INDEX('Lorri 401b'!L:L,MATCH('Retirement Calculator'!A482,'Lorri 401b'!N:N,0),0)</f>
        <v>2212696.9229758685</v>
      </c>
      <c r="S482" s="25">
        <f t="shared" ca="1" si="267"/>
        <v>3822393.8894448094</v>
      </c>
    </row>
    <row r="483" spans="1:19" ht="15.75" customHeight="1" x14ac:dyDescent="0.3">
      <c r="A483" s="37">
        <v>65654</v>
      </c>
      <c r="B483" s="398">
        <f t="shared" ref="B483:C483" si="484">($A483-B$9)/365.25</f>
        <v>97.872689938398352</v>
      </c>
      <c r="C483" s="398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3254.2644699519233</v>
      </c>
      <c r="H483" s="25">
        <f>IF(B483&lt;62,0,'Combined Retirement'!$I$14)</f>
        <v>2345</v>
      </c>
      <c r="I483" s="25">
        <f>IF(C483&lt;62,0,'Combined Retirement'!$I$13)</f>
        <v>2420</v>
      </c>
      <c r="J483" s="25">
        <f t="shared" si="263"/>
        <v>7896.2379798201846</v>
      </c>
      <c r="K483" s="25">
        <f t="shared" si="264"/>
        <v>20367.195264578786</v>
      </c>
      <c r="L483" s="25"/>
      <c r="N483" s="25">
        <f>'Combined Retirement'!$C$18/12</f>
        <v>39153.069999999992</v>
      </c>
      <c r="O483" s="25">
        <f t="shared" si="265"/>
        <v>10889.636755601023</v>
      </c>
      <c r="P483" s="25">
        <f t="shared" si="266"/>
        <v>28263.43324439897</v>
      </c>
      <c r="Q483" s="25">
        <f t="array" aca="1" ref="Q483" ca="1">INDEX('Isaac 401k'!L:L,MATCH('Retirement Calculator'!A483,'Isaac 401k'!N:N,0),0)</f>
        <v>1608474.8981911589</v>
      </c>
      <c r="R483" s="25">
        <f t="array" aca="1" ref="R483" ca="1">INDEX('Lorri 401b'!L:L,MATCH('Retirement Calculator'!A483,'Lorri 401b'!N:N,0),0)</f>
        <v>2201464.4349100869</v>
      </c>
      <c r="S483" s="25">
        <f t="shared" ca="1" si="267"/>
        <v>3809939.3331012456</v>
      </c>
    </row>
    <row r="484" spans="1:19" ht="15.75" customHeight="1" x14ac:dyDescent="0.3">
      <c r="A484" s="37">
        <v>65685</v>
      </c>
      <c r="B484" s="398">
        <f t="shared" ref="B484:C484" si="485">($A484-B$9)/365.25</f>
        <v>97.957563312799451</v>
      </c>
      <c r="C484" s="398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3254.2644699519233</v>
      </c>
      <c r="H484" s="25">
        <f>IF(B484&lt;62,0,'Combined Retirement'!$I$14)</f>
        <v>2345</v>
      </c>
      <c r="I484" s="25">
        <f>IF(C484&lt;62,0,'Combined Retirement'!$I$13)</f>
        <v>2420</v>
      </c>
      <c r="J484" s="25">
        <f t="shared" si="263"/>
        <v>7896.2379798201846</v>
      </c>
      <c r="K484" s="25">
        <f t="shared" si="264"/>
        <v>20367.195264578786</v>
      </c>
      <c r="L484" s="25"/>
      <c r="N484" s="25">
        <f>'Combined Retirement'!$C$18/12</f>
        <v>39153.069999999992</v>
      </c>
      <c r="O484" s="25">
        <f t="shared" si="265"/>
        <v>10889.636755601023</v>
      </c>
      <c r="P484" s="25">
        <f t="shared" si="266"/>
        <v>28263.43324439897</v>
      </c>
      <c r="Q484" s="25">
        <f t="array" aca="1" ref="Q484" ca="1">INDEX('Isaac 401k'!L:L,MATCH('Retirement Calculator'!A484,'Isaac 401k'!N:N,0),0)</f>
        <v>1607247.7379622192</v>
      </c>
      <c r="R484" s="25">
        <f t="array" aca="1" ref="R484" ca="1">INDEX('Lorri 401b'!L:L,MATCH('Retirement Calculator'!A484,'Lorri 401b'!N:N,0),0)</f>
        <v>2190185.1448106975</v>
      </c>
      <c r="S484" s="25">
        <f t="shared" ca="1" si="267"/>
        <v>3797432.8827729169</v>
      </c>
    </row>
    <row r="485" spans="1:19" ht="15.75" customHeight="1" x14ac:dyDescent="0.3">
      <c r="A485" s="37">
        <v>65715</v>
      </c>
      <c r="B485" s="398">
        <f t="shared" ref="B485:C485" si="486">($A485-B$9)/365.25</f>
        <v>98.039698836413422</v>
      </c>
      <c r="C485" s="398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3254.2644699519233</v>
      </c>
      <c r="H485" s="25">
        <f>IF(B485&lt;62,0,'Combined Retirement'!$I$14)</f>
        <v>2345</v>
      </c>
      <c r="I485" s="25">
        <f>IF(C485&lt;62,0,'Combined Retirement'!$I$13)</f>
        <v>2420</v>
      </c>
      <c r="J485" s="25">
        <f t="shared" si="263"/>
        <v>7896.2379798201846</v>
      </c>
      <c r="K485" s="25">
        <f t="shared" si="264"/>
        <v>20367.195264578786</v>
      </c>
      <c r="L485" s="25"/>
      <c r="N485" s="25">
        <f>'Combined Retirement'!$C$18/12</f>
        <v>39153.069999999992</v>
      </c>
      <c r="O485" s="25">
        <f t="shared" si="265"/>
        <v>10889.636755601023</v>
      </c>
      <c r="P485" s="25">
        <f t="shared" si="266"/>
        <v>28263.43324439897</v>
      </c>
      <c r="Q485" s="25">
        <f t="array" aca="1" ref="Q485" ca="1">INDEX('Isaac 401k'!L:L,MATCH('Retirement Calculator'!A485,'Isaac 401k'!N:N,0),0)</f>
        <v>1606015.4645656589</v>
      </c>
      <c r="R485" s="25">
        <f t="array" aca="1" ref="R485" ca="1">INDEX('Lorri 401b'!L:L,MATCH('Retirement Calculator'!A485,'Lorri 401b'!N:N,0),0)</f>
        <v>2178858.8576692278</v>
      </c>
      <c r="S485" s="25">
        <f t="shared" ca="1" si="267"/>
        <v>3784874.3222348867</v>
      </c>
    </row>
    <row r="486" spans="1:19" ht="15.75" customHeight="1" x14ac:dyDescent="0.3">
      <c r="A486" s="37">
        <v>65746</v>
      </c>
      <c r="B486" s="398">
        <f t="shared" ref="B486:C486" si="487">($A486-B$9)/365.25</f>
        <v>98.124572210814506</v>
      </c>
      <c r="C486" s="398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3254.2644699519233</v>
      </c>
      <c r="H486" s="25">
        <f>IF(B486&lt;62,0,'Combined Retirement'!$I$14)</f>
        <v>2345</v>
      </c>
      <c r="I486" s="25">
        <f>IF(C486&lt;62,0,'Combined Retirement'!$I$13)</f>
        <v>2420</v>
      </c>
      <c r="J486" s="25">
        <f t="shared" si="263"/>
        <v>7896.2379798201846</v>
      </c>
      <c r="K486" s="25">
        <f t="shared" si="264"/>
        <v>20367.195264578786</v>
      </c>
      <c r="L486" s="25"/>
      <c r="N486" s="25">
        <f>'Combined Retirement'!$C$18/12</f>
        <v>39153.069999999992</v>
      </c>
      <c r="O486" s="25">
        <f t="shared" si="265"/>
        <v>10889.636755601023</v>
      </c>
      <c r="P486" s="25">
        <f t="shared" si="266"/>
        <v>28263.43324439897</v>
      </c>
      <c r="Q486" s="25">
        <f t="array" aca="1" ref="Q486" ca="1">INDEX('Isaac 401k'!L:L,MATCH('Retirement Calculator'!A486,'Isaac 401k'!N:N,0),0)</f>
        <v>1604778.0566966131</v>
      </c>
      <c r="R486" s="25">
        <f t="array" aca="1" ref="R486" ca="1">INDEX('Lorri 401b'!L:L,MATCH('Retirement Calculator'!A486,'Lorri 401b'!N:N,0),0)</f>
        <v>2167485.3776646685</v>
      </c>
      <c r="S486" s="25">
        <f t="shared" ca="1" si="267"/>
        <v>3772263.4343612818</v>
      </c>
    </row>
    <row r="487" spans="1:19" ht="15.75" customHeight="1" x14ac:dyDescent="0.3">
      <c r="A487" s="37">
        <v>65777</v>
      </c>
      <c r="B487" s="398">
        <f t="shared" ref="B487:C487" si="488">($A487-B$9)/365.25</f>
        <v>98.209445585215605</v>
      </c>
      <c r="C487" s="398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3254.2644699519233</v>
      </c>
      <c r="H487" s="25">
        <f>IF(B487&lt;62,0,'Combined Retirement'!$I$14)</f>
        <v>2345</v>
      </c>
      <c r="I487" s="25">
        <f>IF(C487&lt;62,0,'Combined Retirement'!$I$13)</f>
        <v>2420</v>
      </c>
      <c r="J487" s="25">
        <f t="shared" si="263"/>
        <v>7896.2379798201846</v>
      </c>
      <c r="K487" s="25">
        <f t="shared" si="264"/>
        <v>20367.195264578786</v>
      </c>
      <c r="L487" s="25"/>
      <c r="N487" s="25">
        <f>'Combined Retirement'!$C$18/12</f>
        <v>39153.069999999992</v>
      </c>
      <c r="O487" s="25">
        <f t="shared" si="265"/>
        <v>10889.636755601023</v>
      </c>
      <c r="P487" s="25">
        <f t="shared" si="266"/>
        <v>28263.43324439897</v>
      </c>
      <c r="Q487" s="25">
        <f t="array" aca="1" ref="Q487" ca="1">INDEX('Isaac 401k'!L:L,MATCH('Retirement Calculator'!A487,'Isaac 401k'!N:N,0),0)</f>
        <v>1603535.4929614461</v>
      </c>
      <c r="R487" s="25">
        <f t="array" aca="1" ref="R487" ca="1">INDEX('Lorri 401b'!L:L,MATCH('Retirement Calculator'!A487,'Lorri 401b'!N:N,0),0)</f>
        <v>2156064.5081600901</v>
      </c>
      <c r="S487" s="25">
        <f t="shared" ca="1" si="267"/>
        <v>3759600.0011215359</v>
      </c>
    </row>
    <row r="488" spans="1:19" ht="15.75" customHeight="1" x14ac:dyDescent="0.3">
      <c r="A488" s="37">
        <v>65806</v>
      </c>
      <c r="B488" s="398">
        <f t="shared" ref="B488:C488" si="489">($A488-B$9)/365.25</f>
        <v>98.288843258042434</v>
      </c>
      <c r="C488" s="398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3254.2644699519233</v>
      </c>
      <c r="H488" s="25">
        <f>IF(B488&lt;62,0,'Combined Retirement'!$I$14)</f>
        <v>2345</v>
      </c>
      <c r="I488" s="25">
        <f>IF(C488&lt;62,0,'Combined Retirement'!$I$13)</f>
        <v>2420</v>
      </c>
      <c r="J488" s="25">
        <f t="shared" si="263"/>
        <v>7896.2379798201846</v>
      </c>
      <c r="K488" s="25">
        <f t="shared" si="264"/>
        <v>20367.195264578786</v>
      </c>
      <c r="L488" s="25"/>
      <c r="N488" s="25">
        <f>'Combined Retirement'!$C$18/12</f>
        <v>39153.069999999992</v>
      </c>
      <c r="O488" s="25">
        <f t="shared" si="265"/>
        <v>10889.636755601023</v>
      </c>
      <c r="P488" s="25">
        <f t="shared" si="266"/>
        <v>28263.43324439897</v>
      </c>
      <c r="Q488" s="25">
        <f t="array" aca="1" ref="Q488" ca="1">INDEX('Isaac 401k'!L:L,MATCH('Retirement Calculator'!A488,'Isaac 401k'!N:N,0),0)</f>
        <v>1602287.7518773826</v>
      </c>
      <c r="R488" s="25">
        <f t="array" aca="1" ref="R488" ca="1">INDEX('Lorri 401b'!L:L,MATCH('Retirement Calculator'!A488,'Lorri 401b'!N:N,0),0)</f>
        <v>2144596.0516992426</v>
      </c>
      <c r="S488" s="25">
        <f t="shared" ca="1" si="267"/>
        <v>3746883.803576625</v>
      </c>
    </row>
    <row r="489" spans="1:19" ht="15.75" customHeight="1" x14ac:dyDescent="0.3">
      <c r="A489" s="37">
        <v>65837</v>
      </c>
      <c r="B489" s="398">
        <f t="shared" ref="B489:C489" si="490">($A489-B$9)/365.25</f>
        <v>98.373716632443532</v>
      </c>
      <c r="C489" s="398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3254.2644699519233</v>
      </c>
      <c r="H489" s="25">
        <f>IF(B489&lt;62,0,'Combined Retirement'!$I$14)</f>
        <v>2345</v>
      </c>
      <c r="I489" s="25">
        <f>IF(C489&lt;62,0,'Combined Retirement'!$I$13)</f>
        <v>2420</v>
      </c>
      <c r="J489" s="25">
        <f t="shared" si="263"/>
        <v>7896.2379798201846</v>
      </c>
      <c r="K489" s="25">
        <f t="shared" si="264"/>
        <v>20367.195264578786</v>
      </c>
      <c r="L489" s="25"/>
      <c r="N489" s="25">
        <f>'Combined Retirement'!$C$18/12</f>
        <v>39153.069999999992</v>
      </c>
      <c r="O489" s="25">
        <f t="shared" si="265"/>
        <v>10889.636755601023</v>
      </c>
      <c r="P489" s="25">
        <f t="shared" si="266"/>
        <v>28263.43324439897</v>
      </c>
      <c r="Q489" s="25">
        <f t="array" aca="1" ref="Q489" ca="1">INDEX('Isaac 401k'!L:L,MATCH('Retirement Calculator'!A489,'Isaac 401k'!N:N,0),0)</f>
        <v>1601034.8118721356</v>
      </c>
      <c r="R489" s="25">
        <f t="array" aca="1" ref="R489" ca="1">INDEX('Lorri 401b'!L:L,MATCH('Retirement Calculator'!A489,'Lorri 401b'!N:N,0),0)</f>
        <v>2133079.8100031414</v>
      </c>
      <c r="S489" s="25">
        <f t="shared" ca="1" si="267"/>
        <v>3734114.6218752768</v>
      </c>
    </row>
    <row r="490" spans="1:19" ht="15.75" customHeight="1" x14ac:dyDescent="0.3">
      <c r="A490" s="37">
        <v>65867</v>
      </c>
      <c r="B490" s="398">
        <f t="shared" ref="B490:C490" si="491">($A490-B$9)/365.25</f>
        <v>98.455852156057489</v>
      </c>
      <c r="C490" s="398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3254.2644699519233</v>
      </c>
      <c r="H490" s="25">
        <f>IF(B490&lt;62,0,'Combined Retirement'!$I$14)</f>
        <v>2345</v>
      </c>
      <c r="I490" s="25">
        <f>IF(C490&lt;62,0,'Combined Retirement'!$I$13)</f>
        <v>2420</v>
      </c>
      <c r="J490" s="25">
        <f t="shared" si="263"/>
        <v>7896.2379798201846</v>
      </c>
      <c r="K490" s="25">
        <f t="shared" si="264"/>
        <v>20367.195264578786</v>
      </c>
      <c r="L490" s="25"/>
      <c r="N490" s="25">
        <f>'Combined Retirement'!$C$18/12</f>
        <v>39153.069999999992</v>
      </c>
      <c r="O490" s="25">
        <f t="shared" si="265"/>
        <v>10889.636755601023</v>
      </c>
      <c r="P490" s="25">
        <f t="shared" si="266"/>
        <v>28263.43324439897</v>
      </c>
      <c r="Q490" s="25">
        <f t="array" aca="1" ref="Q490" ca="1">INDEX('Isaac 401k'!L:L,MATCH('Retirement Calculator'!A490,'Isaac 401k'!N:N,0),0)</f>
        <v>1599776.6512835333</v>
      </c>
      <c r="R490" s="25">
        <f t="array" aca="1" ref="R490" ca="1">INDEX('Lorri 401b'!L:L,MATCH('Retirement Calculator'!A490,'Lorri 401b'!N:N,0),0)</f>
        <v>2121515.5839666398</v>
      </c>
      <c r="S490" s="25">
        <f t="shared" ca="1" si="267"/>
        <v>3721292.2352501731</v>
      </c>
    </row>
    <row r="491" spans="1:19" ht="15.75" customHeight="1" x14ac:dyDescent="0.3">
      <c r="A491" s="37">
        <v>65898</v>
      </c>
      <c r="B491" s="398">
        <f t="shared" ref="B491:C491" si="492">($A491-B$9)/365.25</f>
        <v>98.540725530458587</v>
      </c>
      <c r="C491" s="398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3254.2644699519233</v>
      </c>
      <c r="H491" s="25">
        <f>IF(B491&lt;62,0,'Combined Retirement'!$I$14)</f>
        <v>2345</v>
      </c>
      <c r="I491" s="25">
        <f>IF(C491&lt;62,0,'Combined Retirement'!$I$13)</f>
        <v>2420</v>
      </c>
      <c r="J491" s="25">
        <f t="shared" si="263"/>
        <v>7896.2379798201846</v>
      </c>
      <c r="K491" s="25">
        <f t="shared" si="264"/>
        <v>20367.195264578786</v>
      </c>
      <c r="L491" s="25"/>
      <c r="N491" s="25">
        <f>'Combined Retirement'!$C$18/12</f>
        <v>39153.069999999992</v>
      </c>
      <c r="O491" s="25">
        <f t="shared" si="265"/>
        <v>10889.636755601023</v>
      </c>
      <c r="P491" s="25">
        <f t="shared" si="266"/>
        <v>28263.43324439897</v>
      </c>
      <c r="Q491" s="25">
        <f t="array" aca="1" ref="Q491" ca="1">INDEX('Isaac 401k'!L:L,MATCH('Retirement Calculator'!A491,'Isaac 401k'!N:N,0),0)</f>
        <v>1598513.2483591451</v>
      </c>
      <c r="R491" s="25">
        <f t="array" aca="1" ref="R491" ca="1">INDEX('Lorri 401b'!L:L,MATCH('Retirement Calculator'!A491,'Lorri 401b'!N:N,0),0)</f>
        <v>2109903.1736549861</v>
      </c>
      <c r="S491" s="25">
        <f t="shared" ca="1" si="267"/>
        <v>3708416.4220141312</v>
      </c>
    </row>
    <row r="492" spans="1:19" ht="15.75" customHeight="1" x14ac:dyDescent="0.3">
      <c r="A492" s="37">
        <v>65928</v>
      </c>
      <c r="B492" s="398">
        <f t="shared" ref="B492:C492" si="493">($A492-B$9)/365.25</f>
        <v>98.622861054072558</v>
      </c>
      <c r="C492" s="398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3254.2644699519233</v>
      </c>
      <c r="H492" s="25">
        <f>IF(B492&lt;62,0,'Combined Retirement'!$I$14)</f>
        <v>2345</v>
      </c>
      <c r="I492" s="25">
        <f>IF(C492&lt;62,0,'Combined Retirement'!$I$13)</f>
        <v>2420</v>
      </c>
      <c r="J492" s="25">
        <f t="shared" si="263"/>
        <v>7896.2379798201846</v>
      </c>
      <c r="K492" s="25">
        <f t="shared" si="264"/>
        <v>20367.195264578786</v>
      </c>
      <c r="L492" s="25"/>
      <c r="N492" s="25">
        <f>'Combined Retirement'!$C$18/12</f>
        <v>39153.069999999992</v>
      </c>
      <c r="O492" s="25">
        <f t="shared" si="265"/>
        <v>10889.636755601023</v>
      </c>
      <c r="P492" s="25">
        <f t="shared" si="266"/>
        <v>28263.43324439897</v>
      </c>
      <c r="Q492" s="25">
        <f t="array" aca="1" ref="Q492" ca="1">INDEX('Isaac 401k'!L:L,MATCH('Retirement Calculator'!A492,'Isaac 401k'!N:N,0),0)</f>
        <v>1597244.5812559053</v>
      </c>
      <c r="R492" s="25">
        <f t="array" aca="1" ref="R492" ca="1">INDEX('Lorri 401b'!L:L,MATCH('Retirement Calculator'!A492,'Lorri 401b'!N:N,0),0)</f>
        <v>2098242.3783003674</v>
      </c>
      <c r="S492" s="25">
        <f t="shared" ca="1" si="267"/>
        <v>3695486.9595562727</v>
      </c>
    </row>
    <row r="493" spans="1:19" ht="15.75" customHeight="1" x14ac:dyDescent="0.3">
      <c r="A493" s="37">
        <v>65959</v>
      </c>
      <c r="B493" s="398">
        <f t="shared" ref="B493:C493" si="494">($A493-B$9)/365.25</f>
        <v>98.707734428473643</v>
      </c>
      <c r="C493" s="398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3254.2644699519233</v>
      </c>
      <c r="H493" s="25">
        <f>IF(B493&lt;62,0,'Combined Retirement'!$I$14)</f>
        <v>2345</v>
      </c>
      <c r="I493" s="25">
        <f>IF(C493&lt;62,0,'Combined Retirement'!$I$13)</f>
        <v>2420</v>
      </c>
      <c r="J493" s="25">
        <f t="shared" si="263"/>
        <v>7896.2379798201846</v>
      </c>
      <c r="K493" s="25">
        <f t="shared" si="264"/>
        <v>20367.195264578786</v>
      </c>
      <c r="L493" s="25"/>
      <c r="N493" s="25">
        <f>'Combined Retirement'!$C$18/12</f>
        <v>39153.069999999992</v>
      </c>
      <c r="O493" s="25">
        <f t="shared" si="265"/>
        <v>10889.636755601023</v>
      </c>
      <c r="P493" s="25">
        <f t="shared" si="266"/>
        <v>28263.43324439897</v>
      </c>
      <c r="Q493" s="25">
        <f t="array" aca="1" ref="Q493" ca="1">INDEX('Isaac 401k'!L:L,MATCH('Retirement Calculator'!A493,'Isaac 401k'!N:N,0),0)</f>
        <v>1595970.6280397354</v>
      </c>
      <c r="R493" s="25">
        <f t="array" aca="1" ref="R493" ca="1">INDEX('Lorri 401b'!L:L,MATCH('Retirement Calculator'!A493,'Lorri 401b'!N:N,0),0)</f>
        <v>2086532.9962984377</v>
      </c>
      <c r="S493" s="25">
        <f t="shared" ca="1" si="267"/>
        <v>3682503.6243381733</v>
      </c>
    </row>
    <row r="494" spans="1:19" ht="15.75" customHeight="1" x14ac:dyDescent="0.3">
      <c r="A494" s="37">
        <v>65990</v>
      </c>
      <c r="B494" s="398">
        <f t="shared" ref="B494:C494" si="495">($A494-B$9)/365.25</f>
        <v>98.792607802874741</v>
      </c>
      <c r="C494" s="398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3254.2644699519233</v>
      </c>
      <c r="H494" s="25">
        <f>IF(B494&lt;62,0,'Combined Retirement'!$I$14)</f>
        <v>2345</v>
      </c>
      <c r="I494" s="25">
        <f>IF(C494&lt;62,0,'Combined Retirement'!$I$13)</f>
        <v>2420</v>
      </c>
      <c r="J494" s="25">
        <f t="shared" si="263"/>
        <v>7896.2379798201846</v>
      </c>
      <c r="K494" s="25">
        <f t="shared" si="264"/>
        <v>20367.195264578786</v>
      </c>
      <c r="L494" s="25"/>
      <c r="N494" s="25">
        <f>'Combined Retirement'!$C$18/12</f>
        <v>39153.069999999992</v>
      </c>
      <c r="O494" s="25">
        <f t="shared" si="265"/>
        <v>10889.636755601023</v>
      </c>
      <c r="P494" s="25">
        <f t="shared" si="266"/>
        <v>28263.43324439897</v>
      </c>
      <c r="Q494" s="25">
        <f t="array" aca="1" ref="Q494" ca="1">INDEX('Isaac 401k'!L:L,MATCH('Retirement Calculator'!A494,'Isaac 401k'!N:N,0),0)</f>
        <v>1594691.3666851649</v>
      </c>
      <c r="R494" s="25">
        <f t="array" aca="1" ref="R494" ca="1">INDEX('Lorri 401b'!L:L,MATCH('Retirement Calculator'!A494,'Lorri 401b'!N:N,0),0)</f>
        <v>2074774.8252048334</v>
      </c>
      <c r="S494" s="25">
        <f t="shared" ca="1" si="267"/>
        <v>3669466.1918899985</v>
      </c>
    </row>
    <row r="495" spans="1:19" ht="15.75" customHeight="1" x14ac:dyDescent="0.3">
      <c r="A495" s="37">
        <v>66020</v>
      </c>
      <c r="B495" s="398">
        <f t="shared" ref="B495:C495" si="496">($A495-B$9)/365.25</f>
        <v>98.874743326488712</v>
      </c>
      <c r="C495" s="398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3254.2644699519233</v>
      </c>
      <c r="H495" s="25">
        <f>IF(B495&lt;62,0,'Combined Retirement'!$I$14)</f>
        <v>2345</v>
      </c>
      <c r="I495" s="25">
        <f>IF(C495&lt;62,0,'Combined Retirement'!$I$13)</f>
        <v>2420</v>
      </c>
      <c r="J495" s="25">
        <f t="shared" si="263"/>
        <v>7896.2379798201846</v>
      </c>
      <c r="K495" s="25">
        <f t="shared" si="264"/>
        <v>20367.195264578786</v>
      </c>
      <c r="L495" s="25"/>
      <c r="N495" s="25">
        <f>'Combined Retirement'!$C$18/12</f>
        <v>39153.069999999992</v>
      </c>
      <c r="O495" s="25">
        <f t="shared" si="265"/>
        <v>10889.636755601023</v>
      </c>
      <c r="P495" s="25">
        <f t="shared" si="266"/>
        <v>28263.43324439897</v>
      </c>
      <c r="Q495" s="25">
        <f t="array" aca="1" ref="Q495" ca="1">INDEX('Isaac 401k'!L:L,MATCH('Retirement Calculator'!A495,'Isaac 401k'!N:N,0),0)</f>
        <v>1593406.7750749502</v>
      </c>
      <c r="R495" s="25">
        <f t="array" aca="1" ref="R495" ca="1">INDEX('Lorri 401b'!L:L,MATCH('Retirement Calculator'!A495,'Lorri 401b'!N:N,0),0)</f>
        <v>2062967.6617316722</v>
      </c>
      <c r="S495" s="25">
        <f t="shared" ca="1" si="267"/>
        <v>3656374.4368066224</v>
      </c>
    </row>
    <row r="496" spans="1:19" ht="15.75" customHeight="1" x14ac:dyDescent="0.3">
      <c r="A496" s="37">
        <v>66051</v>
      </c>
      <c r="B496" s="398">
        <f t="shared" ref="B496:C496" si="497">($A496-B$9)/365.25</f>
        <v>98.959616700889796</v>
      </c>
      <c r="C496" s="398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3254.2644699519233</v>
      </c>
      <c r="H496" s="25">
        <f>IF(B496&lt;62,0,'Combined Retirement'!$I$14)</f>
        <v>2345</v>
      </c>
      <c r="I496" s="25">
        <f>IF(C496&lt;62,0,'Combined Retirement'!$I$13)</f>
        <v>2420</v>
      </c>
      <c r="J496" s="25">
        <f t="shared" si="263"/>
        <v>7896.2379798201846</v>
      </c>
      <c r="K496" s="25">
        <f t="shared" si="264"/>
        <v>20367.195264578786</v>
      </c>
      <c r="L496" s="25"/>
      <c r="N496" s="25">
        <f>'Combined Retirement'!$C$18/12</f>
        <v>39153.069999999992</v>
      </c>
      <c r="O496" s="25">
        <f t="shared" si="265"/>
        <v>10889.636755601023</v>
      </c>
      <c r="P496" s="25">
        <f t="shared" si="266"/>
        <v>28263.43324439897</v>
      </c>
      <c r="Q496" s="25">
        <f t="array" aca="1" ref="Q496" ca="1">INDEX('Isaac 401k'!L:L,MATCH('Retirement Calculator'!A496,'Isaac 401k'!N:N,0),0)</f>
        <v>1592116.8309996929</v>
      </c>
      <c r="R496" s="25">
        <f t="array" aca="1" ref="R496" ca="1">INDEX('Lorri 401b'!L:L,MATCH('Retirement Calculator'!A496,'Lorri 401b'!N:N,0),0)</f>
        <v>2051111.3017440396</v>
      </c>
      <c r="S496" s="25">
        <f t="shared" ca="1" si="267"/>
        <v>3643228.1327437325</v>
      </c>
    </row>
    <row r="497" spans="1:19" ht="15.75" customHeight="1" x14ac:dyDescent="0.3">
      <c r="A497" s="37">
        <v>66081</v>
      </c>
      <c r="B497" s="398">
        <f t="shared" ref="B497:C497" si="498">($A497-B$9)/365.25</f>
        <v>99.041752224503767</v>
      </c>
      <c r="C497" s="398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3254.2644699519233</v>
      </c>
      <c r="H497" s="25">
        <f>IF(B497&lt;62,0,'Combined Retirement'!$I$14)</f>
        <v>2345</v>
      </c>
      <c r="I497" s="25">
        <f>IF(C497&lt;62,0,'Combined Retirement'!$I$13)</f>
        <v>2420</v>
      </c>
      <c r="J497" s="25">
        <f t="shared" si="263"/>
        <v>7896.2379798201846</v>
      </c>
      <c r="K497" s="25">
        <f t="shared" si="264"/>
        <v>20367.195264578786</v>
      </c>
      <c r="L497" s="25"/>
      <c r="N497" s="25">
        <f>'Combined Retirement'!$C$18/12</f>
        <v>39153.069999999992</v>
      </c>
      <c r="O497" s="25">
        <f t="shared" si="265"/>
        <v>10889.636755601023</v>
      </c>
      <c r="P497" s="25">
        <f t="shared" si="266"/>
        <v>28263.43324439897</v>
      </c>
      <c r="Q497" s="25">
        <f t="array" aca="1" ref="Q497" ca="1">INDEX('Isaac 401k'!L:L,MATCH('Retirement Calculator'!A497,'Isaac 401k'!N:N,0),0)</f>
        <v>1590821.5121574556</v>
      </c>
      <c r="R497" s="25">
        <f t="array" aca="1" ref="R497" ca="1">INDEX('Lorri 401b'!L:L,MATCH('Retirement Calculator'!A497,'Lorri 401b'!N:N,0),0)</f>
        <v>2039205.5402564586</v>
      </c>
      <c r="S497" s="25">
        <f t="shared" ca="1" si="267"/>
        <v>3630027.0524139144</v>
      </c>
    </row>
    <row r="498" spans="1:19" ht="15.75" customHeight="1" x14ac:dyDescent="0.3">
      <c r="A498" s="37">
        <v>66112</v>
      </c>
      <c r="B498" s="398">
        <f t="shared" ref="B498:C498" si="499">($A498-B$9)/365.25</f>
        <v>99.126625598904866</v>
      </c>
      <c r="C498" s="398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3254.2644699519233</v>
      </c>
      <c r="H498" s="25">
        <f>IF(B498&lt;62,0,'Combined Retirement'!$I$14)</f>
        <v>2345</v>
      </c>
      <c r="I498" s="25">
        <f>IF(C498&lt;62,0,'Combined Retirement'!$I$13)</f>
        <v>2420</v>
      </c>
      <c r="J498" s="25">
        <f t="shared" si="263"/>
        <v>7896.2379798201846</v>
      </c>
      <c r="K498" s="25">
        <f t="shared" si="264"/>
        <v>20367.195264578786</v>
      </c>
      <c r="L498" s="25"/>
      <c r="N498" s="25">
        <f>'Combined Retirement'!$C$18/12</f>
        <v>39153.069999999992</v>
      </c>
      <c r="O498" s="25">
        <f t="shared" si="265"/>
        <v>10889.636755601023</v>
      </c>
      <c r="P498" s="25">
        <f t="shared" si="266"/>
        <v>28263.43324439897</v>
      </c>
      <c r="Q498" s="25">
        <f t="array" aca="1" ref="Q498" ca="1">INDEX('Isaac 401k'!L:L,MATCH('Retirement Calculator'!A498,'Isaac 401k'!N:N,0),0)</f>
        <v>1589520.7961533754</v>
      </c>
      <c r="R498" s="25">
        <f t="array" aca="1" ref="R498" ca="1">INDEX('Lorri 401b'!L:L,MATCH('Retirement Calculator'!A498,'Lorri 401b'!N:N,0),0)</f>
        <v>2027250.1714293458</v>
      </c>
      <c r="S498" s="25">
        <f t="shared" ca="1" si="267"/>
        <v>3616770.9675827213</v>
      </c>
    </row>
    <row r="499" spans="1:19" ht="15.75" customHeight="1" x14ac:dyDescent="0.3">
      <c r="A499" s="37">
        <v>66143</v>
      </c>
      <c r="B499" s="398">
        <f t="shared" ref="B499:C499" si="500">($A499-B$9)/365.25</f>
        <v>99.21149897330595</v>
      </c>
      <c r="C499" s="398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3254.2644699519233</v>
      </c>
      <c r="H499" s="25">
        <f>IF(B499&lt;62,0,'Combined Retirement'!$I$14)</f>
        <v>2345</v>
      </c>
      <c r="I499" s="25">
        <f>IF(C499&lt;62,0,'Combined Retirement'!$I$13)</f>
        <v>2420</v>
      </c>
      <c r="J499" s="25">
        <f t="shared" si="263"/>
        <v>7896.2379798201846</v>
      </c>
      <c r="K499" s="25">
        <f t="shared" si="264"/>
        <v>20367.195264578786</v>
      </c>
      <c r="L499" s="25"/>
      <c r="N499" s="25">
        <f>'Combined Retirement'!$C$18/12</f>
        <v>39153.069999999992</v>
      </c>
      <c r="O499" s="25">
        <f t="shared" si="265"/>
        <v>10889.636755601023</v>
      </c>
      <c r="P499" s="25">
        <f t="shared" si="266"/>
        <v>28263.43324439897</v>
      </c>
      <c r="Q499" s="25">
        <f t="array" aca="1" ref="Q499" ca="1">INDEX('Isaac 401k'!L:L,MATCH('Retirement Calculator'!A499,'Isaac 401k'!N:N,0),0)</f>
        <v>1588214.6604992782</v>
      </c>
      <c r="R499" s="25">
        <f t="array" aca="1" ref="R499" ca="1">INDEX('Lorri 401b'!L:L,MATCH('Retirement Calculator'!A499,'Lorri 401b'!N:N,0),0)</f>
        <v>2015244.9885654536</v>
      </c>
      <c r="S499" s="25">
        <f t="shared" ca="1" si="267"/>
        <v>3603459.6490647318</v>
      </c>
    </row>
    <row r="500" spans="1:19" ht="15.75" customHeight="1" x14ac:dyDescent="0.3">
      <c r="A500" s="37">
        <v>66171</v>
      </c>
      <c r="B500" s="398">
        <f t="shared" ref="B500:C500" si="501">($A500-B$9)/365.25</f>
        <v>99.288158795345652</v>
      </c>
      <c r="C500" s="398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3254.2644699519233</v>
      </c>
      <c r="H500" s="25">
        <f>IF(B500&lt;62,0,'Combined Retirement'!$I$14)</f>
        <v>2345</v>
      </c>
      <c r="I500" s="25">
        <f>IF(C500&lt;62,0,'Combined Retirement'!$I$13)</f>
        <v>2420</v>
      </c>
      <c r="J500" s="25">
        <f t="shared" si="263"/>
        <v>7896.2379798201846</v>
      </c>
      <c r="K500" s="25">
        <f t="shared" si="264"/>
        <v>20367.195264578786</v>
      </c>
      <c r="L500" s="25"/>
      <c r="N500" s="25">
        <f>'Combined Retirement'!$C$18/12</f>
        <v>39153.069999999992</v>
      </c>
      <c r="O500" s="25">
        <f t="shared" si="265"/>
        <v>10889.636755601023</v>
      </c>
      <c r="P500" s="25">
        <f t="shared" si="266"/>
        <v>28263.43324439897</v>
      </c>
      <c r="Q500" s="25">
        <f t="array" aca="1" ref="Q500" ca="1">INDEX('Isaac 401k'!L:L,MATCH('Retirement Calculator'!A500,'Isaac 401k'!N:N,0),0)</f>
        <v>1586903.0826132891</v>
      </c>
      <c r="R500" s="25">
        <f t="array" aca="1" ref="R500" ca="1">INDEX('Lorri 401b'!L:L,MATCH('Retirement Calculator'!A500,'Lorri 401b'!N:N,0),0)</f>
        <v>2003189.7841062951</v>
      </c>
      <c r="S500" s="25">
        <f t="shared" ca="1" si="267"/>
        <v>3590092.866719584</v>
      </c>
    </row>
    <row r="501" spans="1:19" ht="15.75" customHeight="1" x14ac:dyDescent="0.3">
      <c r="A501" s="37">
        <v>66202</v>
      </c>
      <c r="B501" s="398">
        <f t="shared" ref="B501:C501" si="502">($A501-B$9)/365.25</f>
        <v>99.37303216974675</v>
      </c>
      <c r="C501" s="398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3254.2644699519233</v>
      </c>
      <c r="H501" s="25">
        <f>IF(B501&lt;62,0,'Combined Retirement'!$I$14)</f>
        <v>2345</v>
      </c>
      <c r="I501" s="25">
        <f>IF(C501&lt;62,0,'Combined Retirement'!$I$13)</f>
        <v>2420</v>
      </c>
      <c r="J501" s="25">
        <f t="shared" si="263"/>
        <v>7896.2379798201846</v>
      </c>
      <c r="K501" s="25">
        <f t="shared" si="264"/>
        <v>20367.195264578786</v>
      </c>
      <c r="L501" s="25"/>
      <c r="N501" s="25">
        <f>'Combined Retirement'!$C$18/12</f>
        <v>39153.069999999992</v>
      </c>
      <c r="O501" s="25">
        <f t="shared" si="265"/>
        <v>10889.636755601023</v>
      </c>
      <c r="P501" s="25">
        <f t="shared" si="266"/>
        <v>28263.43324439897</v>
      </c>
      <c r="Q501" s="25">
        <f t="array" aca="1" ref="Q501" ca="1">INDEX('Isaac 401k'!L:L,MATCH('Retirement Calculator'!A501,'Isaac 401k'!N:N,0),0)</f>
        <v>1585586.0398194417</v>
      </c>
      <c r="R501" s="25">
        <f t="array" aca="1" ref="R501" ca="1">INDEX('Lorri 401b'!L:L,MATCH('Retirement Calculator'!A501,'Lorri 401b'!N:N,0),0)</f>
        <v>1991084.3496285568</v>
      </c>
      <c r="S501" s="25">
        <f t="shared" ca="1" si="267"/>
        <v>3576670.3894479983</v>
      </c>
    </row>
    <row r="502" spans="1:19" ht="15.75" customHeight="1" x14ac:dyDescent="0.3">
      <c r="A502" s="37">
        <v>66232</v>
      </c>
      <c r="B502" s="398">
        <f t="shared" ref="B502:C502" si="503">($A502-B$9)/365.25</f>
        <v>99.455167693360707</v>
      </c>
      <c r="C502" s="398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3254.2644699519233</v>
      </c>
      <c r="H502" s="25">
        <f>IF(B502&lt;62,0,'Combined Retirement'!$I$14)</f>
        <v>2345</v>
      </c>
      <c r="I502" s="25">
        <f>IF(C502&lt;62,0,'Combined Retirement'!$I$13)</f>
        <v>2420</v>
      </c>
      <c r="J502" s="25">
        <f t="shared" si="263"/>
        <v>7896.2379798201846</v>
      </c>
      <c r="K502" s="25">
        <f t="shared" si="264"/>
        <v>20367.195264578786</v>
      </c>
      <c r="L502" s="25"/>
      <c r="N502" s="25">
        <f>'Combined Retirement'!$C$18/12</f>
        <v>39153.069999999992</v>
      </c>
      <c r="O502" s="25">
        <f t="shared" si="265"/>
        <v>10889.636755601023</v>
      </c>
      <c r="P502" s="25">
        <f t="shared" si="266"/>
        <v>28263.43324439897</v>
      </c>
      <c r="Q502" s="25">
        <f t="array" aca="1" ref="Q502" ca="1">INDEX('Isaac 401k'!L:L,MATCH('Retirement Calculator'!A502,'Isaac 401k'!N:N,0),0)</f>
        <v>1584263.5093472865</v>
      </c>
      <c r="R502" s="25">
        <f t="array" aca="1" ref="R502" ca="1">INDEX('Lorri 401b'!L:L,MATCH('Retirement Calculator'!A502,'Lorri 401b'!N:N,0),0)</f>
        <v>1978928.4758404945</v>
      </c>
      <c r="S502" s="25">
        <f t="shared" ca="1" si="267"/>
        <v>3563191.985187781</v>
      </c>
    </row>
    <row r="503" spans="1:19" ht="15.75" customHeight="1" x14ac:dyDescent="0.3">
      <c r="A503" s="37">
        <v>66263</v>
      </c>
      <c r="B503" s="398">
        <f t="shared" ref="B503:C503" si="504">($A503-B$9)/365.25</f>
        <v>99.540041067761805</v>
      </c>
      <c r="C503" s="398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3254.2644699519233</v>
      </c>
      <c r="H503" s="25">
        <f>IF(B503&lt;62,0,'Combined Retirement'!$I$14)</f>
        <v>2345</v>
      </c>
      <c r="I503" s="25">
        <f>IF(C503&lt;62,0,'Combined Retirement'!$I$13)</f>
        <v>2420</v>
      </c>
      <c r="J503" s="25">
        <f t="shared" si="263"/>
        <v>7896.2379798201846</v>
      </c>
      <c r="K503" s="25">
        <f t="shared" si="264"/>
        <v>20367.195264578786</v>
      </c>
      <c r="L503" s="25"/>
      <c r="N503" s="25">
        <f>'Combined Retirement'!$C$18/12</f>
        <v>39153.069999999992</v>
      </c>
      <c r="O503" s="25">
        <f t="shared" si="265"/>
        <v>10889.636755601023</v>
      </c>
      <c r="P503" s="25">
        <f t="shared" si="266"/>
        <v>28263.43324439897</v>
      </c>
      <c r="Q503" s="25">
        <f t="array" aca="1" ref="Q503" ca="1">INDEX('Isaac 401k'!L:L,MATCH('Retirement Calculator'!A503,'Isaac 401k'!N:N,0),0)</f>
        <v>1582935.4683314974</v>
      </c>
      <c r="R503" s="25">
        <f t="array" aca="1" ref="R503" ca="1">INDEX('Lorri 401b'!L:L,MATCH('Retirement Calculator'!A503,'Lorri 401b'!N:N,0),0)</f>
        <v>1966721.9525783153</v>
      </c>
      <c r="S503" s="25">
        <f t="shared" ca="1" si="267"/>
        <v>3549657.4209098127</v>
      </c>
    </row>
    <row r="504" spans="1:19" ht="15.75" customHeight="1" x14ac:dyDescent="0.3">
      <c r="A504" s="37">
        <v>66293</v>
      </c>
      <c r="B504" s="398">
        <f t="shared" ref="B504:C504" si="505">($A504-B$9)/365.25</f>
        <v>99.622176591375776</v>
      </c>
      <c r="C504" s="398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3254.2644699519233</v>
      </c>
      <c r="H504" s="25">
        <f>IF(B504&lt;62,0,'Combined Retirement'!$I$14)</f>
        <v>2345</v>
      </c>
      <c r="I504" s="25">
        <f>IF(C504&lt;62,0,'Combined Retirement'!$I$13)</f>
        <v>2420</v>
      </c>
      <c r="J504" s="25">
        <f t="shared" si="263"/>
        <v>7896.2379798201846</v>
      </c>
      <c r="K504" s="25">
        <f t="shared" si="264"/>
        <v>20367.195264578786</v>
      </c>
      <c r="L504" s="25"/>
      <c r="N504" s="25">
        <f>'Combined Retirement'!$C$18/12</f>
        <v>39153.069999999992</v>
      </c>
      <c r="O504" s="25">
        <f t="shared" si="265"/>
        <v>10889.636755601023</v>
      </c>
      <c r="P504" s="25">
        <f t="shared" si="266"/>
        <v>28263.43324439897</v>
      </c>
      <c r="Q504" s="25">
        <f t="array" aca="1" ref="Q504" ca="1">INDEX('Isaac 401k'!L:L,MATCH('Retirement Calculator'!A504,'Isaac 401k'!N:N,0),0)</f>
        <v>1581601.8938114757</v>
      </c>
      <c r="R504" s="25">
        <f t="array" aca="1" ref="R504" ca="1">INDEX('Lorri 401b'!L:L,MATCH('Retirement Calculator'!A504,'Lorri 401b'!N:N,0),0)</f>
        <v>1954464.5688025437</v>
      </c>
      <c r="S504" s="25">
        <f t="shared" ca="1" si="267"/>
        <v>3536066.4626140194</v>
      </c>
    </row>
    <row r="505" spans="1:19" ht="15.75" customHeight="1" x14ac:dyDescent="0.3">
      <c r="A505" s="37">
        <v>66324</v>
      </c>
      <c r="B505" s="398">
        <f t="shared" ref="B505:C505" si="506">($A505-B$9)/365.25</f>
        <v>99.707049965776861</v>
      </c>
      <c r="C505" s="398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3254.2644699519233</v>
      </c>
      <c r="H505" s="25">
        <f>IF(B505&lt;62,0,'Combined Retirement'!$I$14)</f>
        <v>2345</v>
      </c>
      <c r="I505" s="25">
        <f>IF(C505&lt;62,0,'Combined Retirement'!$I$13)</f>
        <v>2420</v>
      </c>
      <c r="J505" s="25">
        <f t="shared" si="263"/>
        <v>7896.2379798201846</v>
      </c>
      <c r="K505" s="25">
        <f t="shared" si="264"/>
        <v>20367.195264578786</v>
      </c>
      <c r="L505" s="25"/>
      <c r="N505" s="25">
        <f>'Combined Retirement'!$C$18/12</f>
        <v>39153.069999999992</v>
      </c>
      <c r="O505" s="25">
        <f t="shared" si="265"/>
        <v>10889.636755601023</v>
      </c>
      <c r="P505" s="25">
        <f t="shared" si="266"/>
        <v>28263.43324439897</v>
      </c>
      <c r="Q505" s="25">
        <f t="array" aca="1" ref="Q505" ca="1">INDEX('Isaac 401k'!L:L,MATCH('Retirement Calculator'!A505,'Isaac 401k'!N:N,0),0)</f>
        <v>1580262.762730954</v>
      </c>
      <c r="R505" s="25">
        <f t="array" aca="1" ref="R505" ca="1">INDEX('Lorri 401b'!L:L,MATCH('Retirement Calculator'!A505,'Lorri 401b'!N:N,0),0)</f>
        <v>1942156.1125943731</v>
      </c>
      <c r="S505" s="25">
        <f t="shared" ca="1" si="267"/>
        <v>3522418.8753253268</v>
      </c>
    </row>
    <row r="506" spans="1:19" ht="15.75" customHeight="1" x14ac:dyDescent="0.3">
      <c r="A506" s="37">
        <v>66355</v>
      </c>
      <c r="B506" s="398">
        <f t="shared" ref="B506:C506" si="507">($A506-B$9)/365.25</f>
        <v>99.791923340177959</v>
      </c>
      <c r="C506" s="398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3254.2644699519233</v>
      </c>
      <c r="H506" s="25">
        <f>IF(B506&lt;62,0,'Combined Retirement'!$I$14)</f>
        <v>2345</v>
      </c>
      <c r="I506" s="25">
        <f>IF(C506&lt;62,0,'Combined Retirement'!$I$13)</f>
        <v>2420</v>
      </c>
      <c r="J506" s="25">
        <f t="shared" si="263"/>
        <v>7896.2379798201846</v>
      </c>
      <c r="K506" s="25">
        <f t="shared" si="264"/>
        <v>20367.195264578786</v>
      </c>
      <c r="L506" s="25"/>
      <c r="N506" s="25">
        <f>'Combined Retirement'!$C$18/12</f>
        <v>39153.069999999992</v>
      </c>
      <c r="O506" s="25">
        <f t="shared" si="265"/>
        <v>10889.636755601023</v>
      </c>
      <c r="P506" s="25">
        <f t="shared" si="266"/>
        <v>28263.43324439897</v>
      </c>
      <c r="Q506" s="25">
        <f t="array" aca="1" ref="Q506" ca="1">INDEX('Isaac 401k'!L:L,MATCH('Retirement Calculator'!A506,'Isaac 401k'!N:N,0),0)</f>
        <v>1578918.0519375969</v>
      </c>
      <c r="R506" s="25">
        <f t="array" aca="1" ref="R506" ca="1">INDEX('Lorri 401b'!L:L,MATCH('Retirement Calculator'!A506,'Lorri 401b'!N:N,0),0)</f>
        <v>1929796.3711520017</v>
      </c>
      <c r="S506" s="25">
        <f t="shared" ca="1" si="267"/>
        <v>3508714.4230895983</v>
      </c>
    </row>
    <row r="507" spans="1:19" ht="15.75" customHeight="1" x14ac:dyDescent="0.3">
      <c r="A507" s="37">
        <v>66385</v>
      </c>
      <c r="B507" s="398">
        <f t="shared" ref="B507:C507" si="508">($A507-B$9)/365.25</f>
        <v>99.87405886379193</v>
      </c>
      <c r="C507" s="398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3254.2644699519233</v>
      </c>
      <c r="H507" s="25">
        <f>IF(B507&lt;62,0,'Combined Retirement'!$I$14)</f>
        <v>2345</v>
      </c>
      <c r="I507" s="25">
        <f>IF(C507&lt;62,0,'Combined Retirement'!$I$13)</f>
        <v>2420</v>
      </c>
      <c r="J507" s="25">
        <f t="shared" si="263"/>
        <v>7896.2379798201846</v>
      </c>
      <c r="K507" s="25">
        <f t="shared" si="264"/>
        <v>20367.195264578786</v>
      </c>
      <c r="L507" s="25"/>
      <c r="N507" s="25">
        <f>'Combined Retirement'!$C$18/12</f>
        <v>39153.069999999992</v>
      </c>
      <c r="O507" s="25">
        <f t="shared" si="265"/>
        <v>10889.636755601023</v>
      </c>
      <c r="P507" s="25">
        <f t="shared" si="266"/>
        <v>28263.43324439897</v>
      </c>
      <c r="Q507" s="25">
        <f t="array" aca="1" ref="Q507" ca="1">INDEX('Isaac 401k'!L:L,MATCH('Retirement Calculator'!A507,'Isaac 401k'!N:N,0),0)</f>
        <v>1577567.7381826008</v>
      </c>
      <c r="R507" s="25">
        <f t="array" aca="1" ref="R507" ca="1">INDEX('Lorri 401b'!L:L,MATCH('Retirement Calculator'!A507,'Lorri 401b'!N:N,0),0)</f>
        <v>1917385.1307869537</v>
      </c>
      <c r="S507" s="25">
        <f t="shared" ca="1" si="267"/>
        <v>3494952.8689695545</v>
      </c>
    </row>
    <row r="508" spans="1:19" ht="15.75" customHeight="1" x14ac:dyDescent="0.3">
      <c r="A508" s="37">
        <v>66416</v>
      </c>
      <c r="B508" s="398">
        <f t="shared" ref="B508:C508" si="509">($A508-B$9)/365.25</f>
        <v>99.958932238193015</v>
      </c>
      <c r="C508" s="398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3254.2644699519233</v>
      </c>
      <c r="H508" s="25">
        <f>IF(B508&lt;62,0,'Combined Retirement'!$I$14)</f>
        <v>2345</v>
      </c>
      <c r="I508" s="25">
        <f>IF(C508&lt;62,0,'Combined Retirement'!$I$13)</f>
        <v>2420</v>
      </c>
      <c r="J508" s="25">
        <f t="shared" si="263"/>
        <v>7896.2379798201846</v>
      </c>
      <c r="K508" s="25">
        <f t="shared" si="264"/>
        <v>20367.195264578786</v>
      </c>
      <c r="L508" s="25"/>
      <c r="N508" s="25">
        <f>'Combined Retirement'!$C$18/12</f>
        <v>39153.069999999992</v>
      </c>
      <c r="O508" s="25">
        <f t="shared" si="265"/>
        <v>10889.636755601023</v>
      </c>
      <c r="P508" s="25">
        <f t="shared" si="266"/>
        <v>28263.43324439897</v>
      </c>
      <c r="Q508" s="25">
        <f t="array" aca="1" ref="Q508" ca="1">INDEX('Isaac 401k'!L:L,MATCH('Retirement Calculator'!A508,'Isaac 401k'!N:N,0),0)</f>
        <v>1576211.7981202921</v>
      </c>
      <c r="R508" s="25">
        <f t="array" aca="1" ref="R508" ca="1">INDEX('Lorri 401b'!L:L,MATCH('Retirement Calculator'!A508,'Lorri 401b'!N:N,0),0)</f>
        <v>1904922.1769203849</v>
      </c>
      <c r="S508" s="25">
        <f t="shared" ca="1" si="267"/>
        <v>3481133.975040677</v>
      </c>
    </row>
    <row r="509" spans="1:19" ht="15.75" customHeight="1" x14ac:dyDescent="0.3">
      <c r="A509" s="37">
        <v>66446</v>
      </c>
      <c r="B509" s="398">
        <f t="shared" ref="B509:C509" si="510">($A509-B$9)/365.25</f>
        <v>100.04106776180699</v>
      </c>
      <c r="C509" s="398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3254.2644699519233</v>
      </c>
      <c r="H509" s="25">
        <f>IF(B509&lt;62,0,'Combined Retirement'!$I$14)</f>
        <v>2345</v>
      </c>
      <c r="I509" s="25">
        <f>IF(C509&lt;62,0,'Combined Retirement'!$I$13)</f>
        <v>2420</v>
      </c>
      <c r="J509" s="25">
        <f t="shared" si="263"/>
        <v>7896.2379798201846</v>
      </c>
      <c r="K509" s="25">
        <f t="shared" si="264"/>
        <v>20367.195264578786</v>
      </c>
      <c r="L509" s="25"/>
      <c r="N509" s="25">
        <f>'Combined Retirement'!$C$18/12</f>
        <v>39153.069999999992</v>
      </c>
      <c r="O509" s="25">
        <f t="shared" si="265"/>
        <v>10889.636755601023</v>
      </c>
      <c r="P509" s="25">
        <f t="shared" si="266"/>
        <v>28263.43324439897</v>
      </c>
      <c r="Q509" s="25">
        <f t="array" aca="1" ref="Q509" ca="1">INDEX('Isaac 401k'!L:L,MATCH('Retirement Calculator'!A509,'Isaac 401k'!N:N,0),0)</f>
        <v>1574850.208307724</v>
      </c>
      <c r="R509" s="25">
        <f t="array" aca="1" ref="R509" ca="1">INDEX('Lorri 401b'!L:L,MATCH('Retirement Calculator'!A509,'Lorri 401b'!N:N,0),0)</f>
        <v>1892407.294079372</v>
      </c>
      <c r="S509" s="25">
        <f t="shared" ca="1" si="267"/>
        <v>3467257.5023870962</v>
      </c>
    </row>
    <row r="510" spans="1:19" ht="15.75" customHeight="1" x14ac:dyDescent="0.3">
      <c r="A510" s="37">
        <v>66477</v>
      </c>
      <c r="B510" s="398">
        <f t="shared" ref="B510:C510" si="511">($A510-B$9)/365.25</f>
        <v>100.12594113620807</v>
      </c>
      <c r="C510" s="398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3254.2644699519233</v>
      </c>
      <c r="H510" s="25">
        <f>IF(B510&lt;62,0,'Combined Retirement'!$I$14)</f>
        <v>2345</v>
      </c>
      <c r="I510" s="25">
        <f>IF(C510&lt;62,0,'Combined Retirement'!$I$13)</f>
        <v>2420</v>
      </c>
      <c r="J510" s="25">
        <f t="shared" si="263"/>
        <v>7896.2379798201846</v>
      </c>
      <c r="K510" s="25">
        <f t="shared" si="264"/>
        <v>20367.195264578786</v>
      </c>
      <c r="L510" s="25"/>
      <c r="N510" s="25">
        <f>'Combined Retirement'!$C$18/12</f>
        <v>39153.069999999992</v>
      </c>
      <c r="O510" s="25">
        <f t="shared" si="265"/>
        <v>10889.636755601023</v>
      </c>
      <c r="P510" s="25">
        <f t="shared" si="266"/>
        <v>28263.43324439897</v>
      </c>
      <c r="Q510" s="25">
        <f t="array" aca="1" ref="Q510" ca="1">INDEX('Isaac 401k'!L:L,MATCH('Retirement Calculator'!A510,'Isaac 401k'!N:N,0),0)</f>
        <v>1573482.9452042701</v>
      </c>
      <c r="R510" s="25">
        <f t="array" aca="1" ref="R510" ca="1">INDEX('Lorri 401b'!L:L,MATCH('Retirement Calculator'!A510,'Lorri 401b'!N:N,0),0)</f>
        <v>1879840.2658931881</v>
      </c>
      <c r="S510" s="25">
        <f t="shared" ca="1" si="267"/>
        <v>3453323.2110974584</v>
      </c>
    </row>
    <row r="511" spans="1:19" ht="15.75" customHeight="1" x14ac:dyDescent="0.3">
      <c r="A511" s="37">
        <v>66508</v>
      </c>
      <c r="B511" s="398">
        <f t="shared" ref="B511:C511" si="512">($A511-B$9)/365.25</f>
        <v>100.21081451060917</v>
      </c>
      <c r="C511" s="398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3254.2644699519233</v>
      </c>
      <c r="H511" s="25">
        <f>IF(B511&lt;62,0,'Combined Retirement'!$I$14)</f>
        <v>2345</v>
      </c>
      <c r="I511" s="25">
        <f>IF(C511&lt;62,0,'Combined Retirement'!$I$13)</f>
        <v>2420</v>
      </c>
      <c r="J511" s="25">
        <f t="shared" si="263"/>
        <v>7896.2379798201846</v>
      </c>
      <c r="K511" s="25">
        <f t="shared" si="264"/>
        <v>20367.195264578786</v>
      </c>
      <c r="L511" s="25"/>
      <c r="N511" s="25">
        <f>'Combined Retirement'!$C$18/12</f>
        <v>39153.069999999992</v>
      </c>
      <c r="O511" s="25">
        <f t="shared" si="265"/>
        <v>10889.636755601023</v>
      </c>
      <c r="P511" s="25">
        <f t="shared" si="266"/>
        <v>28263.43324439897</v>
      </c>
      <c r="Q511" s="25">
        <f t="array" aca="1" ref="Q511" ca="1">INDEX('Isaac 401k'!L:L,MATCH('Retirement Calculator'!A511,'Isaac 401k'!N:N,0),0)</f>
        <v>1572109.9851712184</v>
      </c>
      <c r="R511" s="25">
        <f t="array" aca="1" ref="R511" ca="1">INDEX('Lorri 401b'!L:L,MATCH('Retirement Calculator'!A511,'Lorri 401b'!N:N,0),0)</f>
        <v>1867220.8750895618</v>
      </c>
      <c r="S511" s="25">
        <f t="shared" ca="1" si="267"/>
        <v>3439330.86026078</v>
      </c>
    </row>
    <row r="512" spans="1:19" ht="15.75" customHeight="1" x14ac:dyDescent="0.3">
      <c r="A512" s="37">
        <v>66536</v>
      </c>
      <c r="B512" s="398">
        <f t="shared" ref="B512:C512" si="513">($A512-B$9)/365.25</f>
        <v>100.28747433264887</v>
      </c>
      <c r="C512" s="398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3254.2644699519233</v>
      </c>
      <c r="H512" s="25">
        <f>IF(B512&lt;62,0,'Combined Retirement'!$I$14)</f>
        <v>2345</v>
      </c>
      <c r="I512" s="25">
        <f>IF(C512&lt;62,0,'Combined Retirement'!$I$13)</f>
        <v>2420</v>
      </c>
      <c r="J512" s="25">
        <f t="shared" si="263"/>
        <v>7896.2379798201846</v>
      </c>
      <c r="K512" s="25">
        <f t="shared" si="264"/>
        <v>20367.195264578786</v>
      </c>
      <c r="L512" s="25"/>
      <c r="N512" s="25">
        <f>'Combined Retirement'!$C$18/12</f>
        <v>39153.069999999992</v>
      </c>
      <c r="O512" s="25">
        <f t="shared" si="265"/>
        <v>10889.636755601023</v>
      </c>
      <c r="P512" s="25">
        <f t="shared" si="266"/>
        <v>28263.43324439897</v>
      </c>
      <c r="Q512" s="25">
        <f t="array" aca="1" ref="Q512" ca="1">INDEX('Isaac 401k'!L:L,MATCH('Retirement Calculator'!A512,'Isaac 401k'!N:N,0),0)</f>
        <v>1570731.3044713624</v>
      </c>
      <c r="R512" s="25">
        <f t="array" aca="1" ref="R512" ca="1">INDEX('Lorri 401b'!L:L,MATCH('Retirement Calculator'!A512,'Lorri 401b'!N:N,0),0)</f>
        <v>1854548.9034909203</v>
      </c>
      <c r="S512" s="25">
        <f t="shared" ca="1" si="267"/>
        <v>3425280.2079622829</v>
      </c>
    </row>
    <row r="513" spans="1:19" ht="15.75" customHeight="1" x14ac:dyDescent="0.3">
      <c r="A513" s="37">
        <v>66567</v>
      </c>
      <c r="B513" s="398">
        <f t="shared" ref="B513:C513" si="514">($A513-B$9)/365.25</f>
        <v>100.37234770704997</v>
      </c>
      <c r="C513" s="398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3254.2644699519233</v>
      </c>
      <c r="H513" s="25">
        <f>IF(B513&lt;62,0,'Combined Retirement'!$I$14)</f>
        <v>2345</v>
      </c>
      <c r="I513" s="25">
        <f>IF(C513&lt;62,0,'Combined Retirement'!$I$13)</f>
        <v>2420</v>
      </c>
      <c r="J513" s="25">
        <f t="shared" si="263"/>
        <v>7896.2379798201846</v>
      </c>
      <c r="K513" s="25">
        <f t="shared" si="264"/>
        <v>20367.195264578786</v>
      </c>
      <c r="L513" s="25"/>
      <c r="N513" s="25">
        <f>'Combined Retirement'!$C$18/12</f>
        <v>39153.069999999992</v>
      </c>
      <c r="O513" s="25">
        <f t="shared" si="265"/>
        <v>10889.636755601023</v>
      </c>
      <c r="P513" s="25">
        <f t="shared" si="266"/>
        <v>28263.43324439897</v>
      </c>
      <c r="Q513" s="25">
        <f t="array" aca="1" ref="Q513" ca="1">INDEX('Isaac 401k'!L:L,MATCH('Retirement Calculator'!A513,'Isaac 401k'!N:N,0),0)</f>
        <v>1569346.8792685901</v>
      </c>
      <c r="R513" s="25">
        <f t="array" aca="1" ref="R513" ca="1">INDEX('Lorri 401b'!L:L,MATCH('Retirement Calculator'!A513,'Lorri 401b'!N:N,0),0)</f>
        <v>1841824.132010618</v>
      </c>
      <c r="S513" s="25">
        <f t="shared" ca="1" si="267"/>
        <v>3411171.0112792081</v>
      </c>
    </row>
    <row r="514" spans="1:19" ht="15.75" customHeight="1" x14ac:dyDescent="0.3">
      <c r="A514" s="37">
        <v>66597</v>
      </c>
      <c r="B514" s="398">
        <f t="shared" ref="B514:C514" si="515">($A514-B$9)/365.25</f>
        <v>100.45448323066393</v>
      </c>
      <c r="C514" s="398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3254.2644699519233</v>
      </c>
      <c r="H514" s="25">
        <f>IF(B514&lt;62,0,'Combined Retirement'!$I$14)</f>
        <v>2345</v>
      </c>
      <c r="I514" s="25">
        <f>IF(C514&lt;62,0,'Combined Retirement'!$I$13)</f>
        <v>2420</v>
      </c>
      <c r="J514" s="25">
        <f t="shared" si="263"/>
        <v>7896.2379798201846</v>
      </c>
      <c r="K514" s="25">
        <f t="shared" si="264"/>
        <v>20367.195264578786</v>
      </c>
      <c r="L514" s="25"/>
      <c r="N514" s="25">
        <f>'Combined Retirement'!$C$18/12</f>
        <v>39153.069999999992</v>
      </c>
      <c r="O514" s="25">
        <f t="shared" si="265"/>
        <v>10889.636755601023</v>
      </c>
      <c r="P514" s="25">
        <f t="shared" si="266"/>
        <v>28263.43324439897</v>
      </c>
      <c r="Q514" s="25">
        <f t="array" aca="1" ref="Q514" ca="1">INDEX('Isaac 401k'!L:L,MATCH('Retirement Calculator'!A514,'Isaac 401k'!N:N,0),0)</f>
        <v>1567956.6856274731</v>
      </c>
      <c r="R514" s="25">
        <f t="array" aca="1" ref="R514" ca="1">INDEX('Lorri 401b'!L:L,MATCH('Retirement Calculator'!A514,'Lorri 401b'!N:N,0),0)</f>
        <v>1829046.3406491478</v>
      </c>
      <c r="S514" s="25">
        <f t="shared" ca="1" si="267"/>
        <v>3397003.026276621</v>
      </c>
    </row>
    <row r="515" spans="1:19" ht="15.75" customHeight="1" x14ac:dyDescent="0.3">
      <c r="A515" s="37">
        <v>66628</v>
      </c>
      <c r="B515" s="398">
        <f t="shared" ref="B515:C515" si="516">($A515-B$9)/365.25</f>
        <v>100.53935660506502</v>
      </c>
      <c r="C515" s="398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3254.2644699519233</v>
      </c>
      <c r="H515" s="25">
        <f>IF(B515&lt;62,0,'Combined Retirement'!$I$14)</f>
        <v>2345</v>
      </c>
      <c r="I515" s="25">
        <f>IF(C515&lt;62,0,'Combined Retirement'!$I$13)</f>
        <v>2420</v>
      </c>
      <c r="J515" s="25">
        <f t="shared" si="263"/>
        <v>7896.2379798201846</v>
      </c>
      <c r="K515" s="25">
        <f t="shared" si="264"/>
        <v>20367.195264578786</v>
      </c>
      <c r="L515" s="25"/>
      <c r="N515" s="25">
        <f>'Combined Retirement'!$C$18/12</f>
        <v>39153.069999999992</v>
      </c>
      <c r="O515" s="25">
        <f t="shared" si="265"/>
        <v>10889.636755601023</v>
      </c>
      <c r="P515" s="25">
        <f t="shared" si="266"/>
        <v>28263.43324439897</v>
      </c>
      <c r="Q515" s="25">
        <f t="array" aca="1" ref="Q515" ca="1">INDEX('Isaac 401k'!L:L,MATCH('Retirement Calculator'!A515,'Isaac 401k'!N:N,0),0)</f>
        <v>1566560.6995128514</v>
      </c>
      <c r="R515" s="25">
        <f t="array" aca="1" ref="R515" ca="1">INDEX('Lorri 401b'!L:L,MATCH('Retirement Calculator'!A515,'Lorri 401b'!N:N,0),0)</f>
        <v>1816215.308490338</v>
      </c>
      <c r="S515" s="25">
        <f t="shared" ca="1" si="267"/>
        <v>3382776.0080031892</v>
      </c>
    </row>
    <row r="516" spans="1:19" ht="15.75" customHeight="1" x14ac:dyDescent="0.3">
      <c r="A516" s="37">
        <v>66658</v>
      </c>
      <c r="B516" s="398">
        <f t="shared" ref="B516:C516" si="517">($A516-B$9)/365.25</f>
        <v>100.62149212867898</v>
      </c>
      <c r="C516" s="398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3254.2644699519233</v>
      </c>
      <c r="H516" s="25">
        <f>IF(B516&lt;62,0,'Combined Retirement'!$I$14)</f>
        <v>2345</v>
      </c>
      <c r="I516" s="25">
        <f>IF(C516&lt;62,0,'Combined Retirement'!$I$13)</f>
        <v>2420</v>
      </c>
      <c r="J516" s="25">
        <f t="shared" si="263"/>
        <v>7896.2379798201846</v>
      </c>
      <c r="K516" s="25">
        <f t="shared" si="264"/>
        <v>20367.195264578786</v>
      </c>
      <c r="L516" s="25"/>
      <c r="N516" s="25">
        <f>'Combined Retirement'!$C$18/12</f>
        <v>39153.069999999992</v>
      </c>
      <c r="O516" s="25">
        <f t="shared" si="265"/>
        <v>10889.636755601023</v>
      </c>
      <c r="P516" s="25">
        <f t="shared" si="266"/>
        <v>28263.43324439897</v>
      </c>
      <c r="Q516" s="25">
        <f t="array" aca="1" ref="Q516" ca="1">INDEX('Isaac 401k'!L:L,MATCH('Retirement Calculator'!A516,'Isaac 401k'!N:N,0),0)</f>
        <v>1565158.8967894188</v>
      </c>
      <c r="R516" s="25">
        <f t="array" aca="1" ref="R516" ca="1">INDEX('Lorri 401b'!L:L,MATCH('Retirement Calculator'!A516,'Lorri 401b'!N:N,0),0)</f>
        <v>1803330.8136975332</v>
      </c>
      <c r="S516" s="25">
        <f t="shared" ca="1" si="267"/>
        <v>3368489.7104869522</v>
      </c>
    </row>
    <row r="517" spans="1:19" ht="15.75" customHeight="1" x14ac:dyDescent="0.3">
      <c r="A517" s="37">
        <v>66689</v>
      </c>
      <c r="B517" s="398">
        <f t="shared" ref="B517:C517" si="518">($A517-B$9)/365.25</f>
        <v>100.70636550308008</v>
      </c>
      <c r="C517" s="398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3254.2644699519233</v>
      </c>
      <c r="H517" s="25">
        <f>IF(B517&lt;62,0,'Combined Retirement'!$I$14)</f>
        <v>2345</v>
      </c>
      <c r="I517" s="25">
        <f>IF(C517&lt;62,0,'Combined Retirement'!$I$13)</f>
        <v>2420</v>
      </c>
      <c r="J517" s="25">
        <f t="shared" si="263"/>
        <v>7896.2379798201846</v>
      </c>
      <c r="K517" s="25">
        <f t="shared" si="264"/>
        <v>20367.195264578786</v>
      </c>
      <c r="L517" s="25"/>
      <c r="N517" s="25">
        <f>'Combined Retirement'!$C$18/12</f>
        <v>39153.069999999992</v>
      </c>
      <c r="O517" s="25">
        <f t="shared" si="265"/>
        <v>10889.636755601023</v>
      </c>
      <c r="P517" s="25">
        <f t="shared" si="266"/>
        <v>28263.43324439897</v>
      </c>
      <c r="Q517" s="25">
        <f t="array" aca="1" ref="Q517" ca="1">INDEX('Isaac 401k'!L:L,MATCH('Retirement Calculator'!A517,'Isaac 401k'!N:N,0),0)</f>
        <v>1563751.2532213051</v>
      </c>
      <c r="R517" s="25">
        <f t="array" aca="1" ref="R517" ca="1">INDEX('Lorri 401b'!L:L,MATCH('Retirement Calculator'!A517,'Lorri 401b'!N:N,0),0)</f>
        <v>1790392.6335097584</v>
      </c>
      <c r="S517" s="25">
        <f t="shared" ca="1" si="267"/>
        <v>3354143.8867310635</v>
      </c>
    </row>
    <row r="518" spans="1:19" ht="15.75" customHeight="1" x14ac:dyDescent="0.3">
      <c r="A518" s="37">
        <v>66720</v>
      </c>
      <c r="B518" s="398">
        <f t="shared" ref="B518:C518" si="519">($A518-B$9)/365.25</f>
        <v>100.79123887748118</v>
      </c>
      <c r="C518" s="398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3254.2644699519233</v>
      </c>
      <c r="H518" s="25">
        <f>IF(B518&lt;62,0,'Combined Retirement'!$I$14)</f>
        <v>2345</v>
      </c>
      <c r="I518" s="25">
        <f>IF(C518&lt;62,0,'Combined Retirement'!$I$13)</f>
        <v>2420</v>
      </c>
      <c r="J518" s="25">
        <f t="shared" si="263"/>
        <v>7896.2379798201846</v>
      </c>
      <c r="K518" s="25">
        <f t="shared" si="264"/>
        <v>20367.195264578786</v>
      </c>
      <c r="L518" s="25"/>
      <c r="N518" s="25">
        <f>'Combined Retirement'!$C$18/12</f>
        <v>39153.069999999992</v>
      </c>
      <c r="O518" s="25">
        <f t="shared" si="265"/>
        <v>10889.636755601023</v>
      </c>
      <c r="P518" s="25">
        <f t="shared" si="266"/>
        <v>28263.43324439897</v>
      </c>
      <c r="Q518" s="25">
        <f t="array" aca="1" ref="Q518" ca="1">INDEX('Isaac 401k'!L:L,MATCH('Retirement Calculator'!A518,'Isaac 401k'!N:N,0),0)</f>
        <v>1562337.7444716578</v>
      </c>
      <c r="R518" s="25">
        <f t="array" aca="1" ref="R518" ca="1">INDEX('Lorri 401b'!L:L,MATCH('Retirement Calculator'!A518,'Lorri 401b'!N:N,0),0)</f>
        <v>1777400.5442378679</v>
      </c>
      <c r="S518" s="25">
        <f t="shared" ca="1" si="267"/>
        <v>3339738.288709526</v>
      </c>
    </row>
    <row r="519" spans="1:19" ht="15.75" customHeight="1" x14ac:dyDescent="0.3">
      <c r="A519" s="37">
        <v>66750</v>
      </c>
      <c r="B519" s="398">
        <f t="shared" ref="B519:C519" si="520">($A519-B$9)/365.25</f>
        <v>100.87337440109513</v>
      </c>
      <c r="C519" s="398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3254.2644699519233</v>
      </c>
      <c r="H519" s="25">
        <f>IF(B519&lt;62,0,'Combined Retirement'!$I$14)</f>
        <v>2345</v>
      </c>
      <c r="I519" s="25">
        <f>IF(C519&lt;62,0,'Combined Retirement'!$I$13)</f>
        <v>2420</v>
      </c>
      <c r="J519" s="25">
        <f t="shared" si="263"/>
        <v>7896.2379798201846</v>
      </c>
      <c r="K519" s="25">
        <f t="shared" si="264"/>
        <v>20367.195264578786</v>
      </c>
      <c r="L519" s="25"/>
      <c r="N519" s="25">
        <f>'Combined Retirement'!$C$18/12</f>
        <v>39153.069999999992</v>
      </c>
      <c r="O519" s="25">
        <f t="shared" si="265"/>
        <v>10889.636755601023</v>
      </c>
      <c r="P519" s="25">
        <f t="shared" si="266"/>
        <v>28263.43324439897</v>
      </c>
      <c r="Q519" s="25">
        <f t="array" aca="1" ref="Q519" ca="1">INDEX('Isaac 401k'!L:L,MATCH('Retirement Calculator'!A519,'Isaac 401k'!N:N,0),0)</f>
        <v>1560918.3461022202</v>
      </c>
      <c r="R519" s="25">
        <f t="array" aca="1" ref="R519" ca="1">INDEX('Lorri 401b'!L:L,MATCH('Retirement Calculator'!A519,'Lorri 401b'!N:N,0),0)</f>
        <v>1764354.3212606779</v>
      </c>
      <c r="S519" s="25">
        <f t="shared" ca="1" si="267"/>
        <v>3325272.6673628981</v>
      </c>
    </row>
    <row r="520" spans="1:19" ht="15.75" customHeight="1" x14ac:dyDescent="0.3">
      <c r="A520" s="37">
        <v>66781</v>
      </c>
      <c r="B520" s="398">
        <f t="shared" ref="B520:C520" si="521">($A520-B$9)/365.25</f>
        <v>100.95824777549623</v>
      </c>
      <c r="C520" s="398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3254.2644699519233</v>
      </c>
      <c r="H520" s="25">
        <f>IF(B520&lt;62,0,'Combined Retirement'!$I$14)</f>
        <v>2345</v>
      </c>
      <c r="I520" s="25">
        <f>IF(C520&lt;62,0,'Combined Retirement'!$I$13)</f>
        <v>2420</v>
      </c>
      <c r="J520" s="25">
        <f t="shared" si="263"/>
        <v>7896.2379798201846</v>
      </c>
      <c r="K520" s="25">
        <f t="shared" si="264"/>
        <v>20367.195264578786</v>
      </c>
      <c r="L520" s="25"/>
      <c r="N520" s="25">
        <f>'Combined Retirement'!$C$18/12</f>
        <v>39153.069999999992</v>
      </c>
      <c r="O520" s="25">
        <f t="shared" si="265"/>
        <v>10889.636755601023</v>
      </c>
      <c r="P520" s="25">
        <f t="shared" si="266"/>
        <v>28263.43324439897</v>
      </c>
      <c r="Q520" s="25">
        <f t="array" aca="1" ref="Q520" ca="1">INDEX('Isaac 401k'!L:L,MATCH('Retirement Calculator'!A520,'Isaac 401k'!N:N,0),0)</f>
        <v>1559493.0335729101</v>
      </c>
      <c r="R520" s="25">
        <f t="array" aca="1" ref="R520" ca="1">INDEX('Lorri 401b'!L:L,MATCH('Retirement Calculator'!A520,'Lorri 401b'!N:N,0),0)</f>
        <v>1751253.7390210829</v>
      </c>
      <c r="S520" s="25">
        <f t="shared" ca="1" si="267"/>
        <v>3310746.7725939928</v>
      </c>
    </row>
    <row r="521" spans="1:19" ht="15.75" customHeight="1" x14ac:dyDescent="0.3">
      <c r="A521" s="37">
        <v>66811</v>
      </c>
      <c r="B521" s="398">
        <f t="shared" ref="B521:C521" si="522">($A521-B$9)/365.25</f>
        <v>101.0403832991102</v>
      </c>
      <c r="C521" s="398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3254.2644699519233</v>
      </c>
      <c r="H521" s="25">
        <f>IF(B521&lt;62,0,'Combined Retirement'!$I$14)</f>
        <v>2345</v>
      </c>
      <c r="I521" s="25">
        <f>IF(C521&lt;62,0,'Combined Retirement'!$I$13)</f>
        <v>2420</v>
      </c>
      <c r="J521" s="25">
        <f t="shared" ref="J521:J775" si="523">IF(C521&lt;59.5,P521,P521*$J$7)</f>
        <v>7896.2379798201846</v>
      </c>
      <c r="K521" s="25">
        <f t="shared" ref="K521:K775" si="524">IF(C521&lt;59.5,0,IF(C521&lt;$B$7,0,P521*$K$7))</f>
        <v>20367.195264578786</v>
      </c>
      <c r="L521" s="25"/>
      <c r="N521" s="25">
        <f>'Combined Retirement'!$C$18/12</f>
        <v>39153.069999999992</v>
      </c>
      <c r="O521" s="25">
        <f t="shared" ref="O521:O775" si="525">SUM(E521:I521)</f>
        <v>10889.636755601023</v>
      </c>
      <c r="P521" s="25">
        <f t="shared" ref="P521:P775" si="526">N521-O521</f>
        <v>28263.43324439897</v>
      </c>
      <c r="Q521" s="25">
        <f t="array" aca="1" ref="Q521" ca="1">INDEX('Isaac 401k'!L:L,MATCH('Retirement Calculator'!A521,'Isaac 401k'!N:N,0),0)</f>
        <v>1558061.7822413945</v>
      </c>
      <c r="R521" s="25">
        <f t="array" aca="1" ref="R521" ca="1">INDEX('Lorri 401b'!L:L,MATCH('Retirement Calculator'!A521,'Lorri 401b'!N:N,0),0)</f>
        <v>1738098.5710221562</v>
      </c>
      <c r="S521" s="25">
        <f t="shared" ref="S521:S775" ca="1" si="527">SUM(Q521:R521)</f>
        <v>3296160.3532635504</v>
      </c>
    </row>
    <row r="522" spans="1:19" ht="15.75" customHeight="1" x14ac:dyDescent="0.3">
      <c r="A522" s="37">
        <v>66842</v>
      </c>
      <c r="B522" s="398">
        <f t="shared" ref="B522:C522" si="528">($A522-B$9)/365.25</f>
        <v>101.12525667351129</v>
      </c>
      <c r="C522" s="398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3254.2644699519233</v>
      </c>
      <c r="H522" s="25">
        <f>IF(B522&lt;62,0,'Combined Retirement'!$I$14)</f>
        <v>2345</v>
      </c>
      <c r="I522" s="25">
        <f>IF(C522&lt;62,0,'Combined Retirement'!$I$13)</f>
        <v>2420</v>
      </c>
      <c r="J522" s="25">
        <f t="shared" si="523"/>
        <v>7896.2379798201846</v>
      </c>
      <c r="K522" s="25">
        <f t="shared" si="524"/>
        <v>20367.195264578786</v>
      </c>
      <c r="L522" s="25"/>
      <c r="N522" s="25">
        <f>'Combined Retirement'!$C$18/12</f>
        <v>39153.069999999992</v>
      </c>
      <c r="O522" s="25">
        <f t="shared" si="525"/>
        <v>10889.636755601023</v>
      </c>
      <c r="P522" s="25">
        <f t="shared" si="526"/>
        <v>28263.43324439897</v>
      </c>
      <c r="Q522" s="25">
        <f t="array" aca="1" ref="Q522" ca="1">INDEX('Isaac 401k'!L:L,MATCH('Retirement Calculator'!A522,'Isaac 401k'!N:N,0),0)</f>
        <v>1556624.5673626643</v>
      </c>
      <c r="R522" s="25">
        <f t="array" aca="1" ref="R522" ca="1">INDEX('Lorri 401b'!L:L,MATCH('Retirement Calculator'!A522,'Lorri 401b'!N:N,0),0)</f>
        <v>1724888.5898232339</v>
      </c>
      <c r="S522" s="25">
        <f t="shared" ca="1" si="527"/>
        <v>3281513.1571858982</v>
      </c>
    </row>
    <row r="523" spans="1:19" ht="15.75" customHeight="1" x14ac:dyDescent="0.3">
      <c r="A523" s="37">
        <v>66873</v>
      </c>
      <c r="B523" s="398">
        <f t="shared" ref="B523:C523" si="529">($A523-B$9)/365.25</f>
        <v>101.21013004791239</v>
      </c>
      <c r="C523" s="398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3254.2644699519233</v>
      </c>
      <c r="H523" s="25">
        <f>IF(B523&lt;62,0,'Combined Retirement'!$I$14)</f>
        <v>2345</v>
      </c>
      <c r="I523" s="25">
        <f>IF(C523&lt;62,0,'Combined Retirement'!$I$13)</f>
        <v>2420</v>
      </c>
      <c r="J523" s="25">
        <f t="shared" si="523"/>
        <v>7896.2379798201846</v>
      </c>
      <c r="K523" s="25">
        <f t="shared" si="524"/>
        <v>20367.195264578786</v>
      </c>
      <c r="L523" s="25"/>
      <c r="N523" s="25">
        <f>'Combined Retirement'!$C$18/12</f>
        <v>39153.069999999992</v>
      </c>
      <c r="O523" s="25">
        <f t="shared" si="525"/>
        <v>10889.636755601023</v>
      </c>
      <c r="P523" s="25">
        <f t="shared" si="526"/>
        <v>28263.43324439897</v>
      </c>
      <c r="Q523" s="25">
        <f t="array" aca="1" ref="Q523" ca="1">INDEX('Isaac 401k'!L:L,MATCH('Retirement Calculator'!A523,'Isaac 401k'!N:N,0),0)</f>
        <v>1555181.3640886059</v>
      </c>
      <c r="R523" s="25">
        <f t="array" aca="1" ref="R523" ca="1">INDEX('Lorri 401b'!L:L,MATCH('Retirement Calculator'!A523,'Lorri 401b'!N:N,0),0)</f>
        <v>1711623.5670359829</v>
      </c>
      <c r="S523" s="25">
        <f t="shared" ca="1" si="527"/>
        <v>3266804.9311245885</v>
      </c>
    </row>
    <row r="524" spans="1:19" ht="15.75" customHeight="1" x14ac:dyDescent="0.3">
      <c r="A524" s="37">
        <v>66901</v>
      </c>
      <c r="B524" s="398">
        <f t="shared" ref="B524:C524" si="530">($A524-B$9)/365.25</f>
        <v>101.28678986995209</v>
      </c>
      <c r="C524" s="398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3254.2644699519233</v>
      </c>
      <c r="H524" s="25">
        <f>IF(B524&lt;62,0,'Combined Retirement'!$I$14)</f>
        <v>2345</v>
      </c>
      <c r="I524" s="25">
        <f>IF(C524&lt;62,0,'Combined Retirement'!$I$13)</f>
        <v>2420</v>
      </c>
      <c r="J524" s="25">
        <f t="shared" si="523"/>
        <v>7896.2379798201846</v>
      </c>
      <c r="K524" s="25">
        <f t="shared" si="524"/>
        <v>20367.195264578786</v>
      </c>
      <c r="L524" s="25"/>
      <c r="N524" s="25">
        <f>'Combined Retirement'!$C$18/12</f>
        <v>39153.069999999992</v>
      </c>
      <c r="O524" s="25">
        <f t="shared" si="525"/>
        <v>10889.636755601023</v>
      </c>
      <c r="P524" s="25">
        <f t="shared" si="526"/>
        <v>28263.43324439897</v>
      </c>
      <c r="Q524" s="25">
        <f t="array" aca="1" ref="Q524" ca="1">INDEX('Isaac 401k'!L:L,MATCH('Retirement Calculator'!A524,'Isaac 401k'!N:N,0),0)</f>
        <v>1553732.1474675722</v>
      </c>
      <c r="R524" s="25">
        <f t="array" aca="1" ref="R524" ca="1">INDEX('Lorri 401b'!L:L,MATCH('Retirement Calculator'!A524,'Lorri 401b'!N:N,0),0)</f>
        <v>1698303.2733204516</v>
      </c>
      <c r="S524" s="25">
        <f t="shared" ca="1" si="527"/>
        <v>3252035.4207880236</v>
      </c>
    </row>
    <row r="525" spans="1:19" ht="15.75" customHeight="1" x14ac:dyDescent="0.3">
      <c r="A525" s="37">
        <v>66932</v>
      </c>
      <c r="B525" s="398">
        <f t="shared" ref="B525:C525" si="531">($A525-B$9)/365.25</f>
        <v>101.37166324435319</v>
      </c>
      <c r="C525" s="398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3254.2644699519233</v>
      </c>
      <c r="H525" s="25">
        <f>IF(B525&lt;62,0,'Combined Retirement'!$I$14)</f>
        <v>2345</v>
      </c>
      <c r="I525" s="25">
        <f>IF(C525&lt;62,0,'Combined Retirement'!$I$13)</f>
        <v>2420</v>
      </c>
      <c r="J525" s="25">
        <f t="shared" si="523"/>
        <v>7896.2379798201846</v>
      </c>
      <c r="K525" s="25">
        <f t="shared" si="524"/>
        <v>20367.195264578786</v>
      </c>
      <c r="L525" s="25"/>
      <c r="N525" s="25">
        <f>'Combined Retirement'!$C$18/12</f>
        <v>39153.069999999992</v>
      </c>
      <c r="O525" s="25">
        <f t="shared" si="525"/>
        <v>10889.636755601023</v>
      </c>
      <c r="P525" s="25">
        <f t="shared" si="526"/>
        <v>28263.43324439897</v>
      </c>
      <c r="Q525" s="25">
        <f t="array" aca="1" ref="Q525" ca="1">INDEX('Isaac 401k'!L:L,MATCH('Retirement Calculator'!A525,'Isaac 401k'!N:N,0),0)</f>
        <v>1552276.892443951</v>
      </c>
      <c r="R525" s="25">
        <f t="array" aca="1" ref="R525" ca="1">INDEX('Lorri 401b'!L:L,MATCH('Retirement Calculator'!A525,'Lorri 401b'!N:N,0),0)</f>
        <v>1684927.4783811057</v>
      </c>
      <c r="S525" s="25">
        <f t="shared" ca="1" si="527"/>
        <v>3237204.3708250569</v>
      </c>
    </row>
    <row r="526" spans="1:19" ht="15.75" customHeight="1" x14ac:dyDescent="0.3">
      <c r="A526" s="37">
        <v>66962</v>
      </c>
      <c r="B526" s="398">
        <f t="shared" ref="B526:C526" si="532">($A526-B$9)/365.25</f>
        <v>101.45379876796714</v>
      </c>
      <c r="C526" s="398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3254.2644699519233</v>
      </c>
      <c r="H526" s="25">
        <f>IF(B526&lt;62,0,'Combined Retirement'!$I$14)</f>
        <v>2345</v>
      </c>
      <c r="I526" s="25">
        <f>IF(C526&lt;62,0,'Combined Retirement'!$I$13)</f>
        <v>2420</v>
      </c>
      <c r="J526" s="25">
        <f t="shared" si="523"/>
        <v>7896.2379798201846</v>
      </c>
      <c r="K526" s="25">
        <f t="shared" si="524"/>
        <v>20367.195264578786</v>
      </c>
      <c r="L526" s="25"/>
      <c r="N526" s="25">
        <f>'Combined Retirement'!$C$18/12</f>
        <v>39153.069999999992</v>
      </c>
      <c r="O526" s="25">
        <f t="shared" si="525"/>
        <v>10889.636755601023</v>
      </c>
      <c r="P526" s="25">
        <f t="shared" si="526"/>
        <v>28263.43324439897</v>
      </c>
      <c r="Q526" s="25">
        <f t="array" aca="1" ref="Q526" ca="1">INDEX('Isaac 401k'!L:L,MATCH('Retirement Calculator'!A526,'Isaac 401k'!N:N,0),0)</f>
        <v>1550815.5738577312</v>
      </c>
      <c r="R526" s="25">
        <f t="array" aca="1" ref="R526" ca="1">INDEX('Lorri 401b'!L:L,MATCH('Retirement Calculator'!A526,'Lorri 401b'!N:N,0),0)</f>
        <v>1671495.9509628457</v>
      </c>
      <c r="S526" s="25">
        <f t="shared" ca="1" si="527"/>
        <v>3222311.5248205769</v>
      </c>
    </row>
    <row r="527" spans="1:19" ht="15.75" customHeight="1" x14ac:dyDescent="0.3">
      <c r="A527" s="37">
        <v>66993</v>
      </c>
      <c r="B527" s="398">
        <f t="shared" ref="B527:C527" si="533">($A527-B$9)/365.25</f>
        <v>101.53867214236824</v>
      </c>
      <c r="C527" s="398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3254.2644699519233</v>
      </c>
      <c r="H527" s="25">
        <f>IF(B527&lt;62,0,'Combined Retirement'!$I$14)</f>
        <v>2345</v>
      </c>
      <c r="I527" s="25">
        <f>IF(C527&lt;62,0,'Combined Retirement'!$I$13)</f>
        <v>2420</v>
      </c>
      <c r="J527" s="25">
        <f t="shared" si="523"/>
        <v>7896.2379798201846</v>
      </c>
      <c r="K527" s="25">
        <f t="shared" si="524"/>
        <v>20367.195264578786</v>
      </c>
      <c r="L527" s="25"/>
      <c r="N527" s="25">
        <f>'Combined Retirement'!$C$18/12</f>
        <v>39153.069999999992</v>
      </c>
      <c r="O527" s="25">
        <f t="shared" si="525"/>
        <v>10889.636755601023</v>
      </c>
      <c r="P527" s="25">
        <f t="shared" si="526"/>
        <v>28263.43324439897</v>
      </c>
      <c r="Q527" s="25">
        <f t="array" aca="1" ref="Q527" ca="1">INDEX('Isaac 401k'!L:L,MATCH('Retirement Calculator'!A527,'Isaac 401k'!N:N,0),0)</f>
        <v>1549348.166444069</v>
      </c>
      <c r="R527" s="25">
        <f t="array" aca="1" ref="R527" ca="1">INDEX('Lorri 401b'!L:L,MATCH('Retirement Calculator'!A527,'Lorri 401b'!N:N,0),0)</f>
        <v>1658008.4588470096</v>
      </c>
      <c r="S527" s="25">
        <f t="shared" ca="1" si="527"/>
        <v>3207356.6252910784</v>
      </c>
    </row>
    <row r="528" spans="1:19" ht="15.75" customHeight="1" x14ac:dyDescent="0.3">
      <c r="A528" s="37">
        <v>67023</v>
      </c>
      <c r="B528" s="398">
        <f t="shared" ref="B528:C528" si="534">($A528-B$9)/365.25</f>
        <v>101.6208076659822</v>
      </c>
      <c r="C528" s="398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3254.2644699519233</v>
      </c>
      <c r="H528" s="25">
        <f>IF(B528&lt;62,0,'Combined Retirement'!$I$14)</f>
        <v>2345</v>
      </c>
      <c r="I528" s="25">
        <f>IF(C528&lt;62,0,'Combined Retirement'!$I$13)</f>
        <v>2420</v>
      </c>
      <c r="J528" s="25">
        <f t="shared" si="523"/>
        <v>7896.2379798201846</v>
      </c>
      <c r="K528" s="25">
        <f t="shared" si="524"/>
        <v>20367.195264578786</v>
      </c>
      <c r="L528" s="25"/>
      <c r="N528" s="25">
        <f>'Combined Retirement'!$C$18/12</f>
        <v>39153.069999999992</v>
      </c>
      <c r="O528" s="25">
        <f t="shared" si="525"/>
        <v>10889.636755601023</v>
      </c>
      <c r="P528" s="25">
        <f t="shared" si="526"/>
        <v>28263.43324439897</v>
      </c>
      <c r="Q528" s="25">
        <f t="array" aca="1" ref="Q528" ca="1">INDEX('Isaac 401k'!L:L,MATCH('Retirement Calculator'!A528,'Isaac 401k'!N:N,0),0)</f>
        <v>1547874.6448328497</v>
      </c>
      <c r="R528" s="25">
        <f t="array" aca="1" ref="R528" ca="1">INDEX('Lorri 401b'!L:L,MATCH('Retirement Calculator'!A528,'Lorri 401b'!N:N,0),0)</f>
        <v>1644464.7688473575</v>
      </c>
      <c r="S528" s="25">
        <f t="shared" ca="1" si="527"/>
        <v>3192339.413680207</v>
      </c>
    </row>
    <row r="529" spans="1:19" ht="15.75" customHeight="1" x14ac:dyDescent="0.3">
      <c r="A529" s="37">
        <v>67054</v>
      </c>
      <c r="B529" s="398">
        <f t="shared" ref="B529:C529" si="535">($A529-B$9)/365.25</f>
        <v>101.7056810403833</v>
      </c>
      <c r="C529" s="398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3254.2644699519233</v>
      </c>
      <c r="H529" s="25">
        <f>IF(B529&lt;62,0,'Combined Retirement'!$I$14)</f>
        <v>2345</v>
      </c>
      <c r="I529" s="25">
        <f>IF(C529&lt;62,0,'Combined Retirement'!$I$13)</f>
        <v>2420</v>
      </c>
      <c r="J529" s="25">
        <f t="shared" si="523"/>
        <v>7896.2379798201846</v>
      </c>
      <c r="K529" s="25">
        <f t="shared" si="524"/>
        <v>20367.195264578786</v>
      </c>
      <c r="L529" s="25"/>
      <c r="N529" s="25">
        <f>'Combined Retirement'!$C$18/12</f>
        <v>39153.069999999992</v>
      </c>
      <c r="O529" s="25">
        <f t="shared" si="525"/>
        <v>10889.636755601023</v>
      </c>
      <c r="P529" s="25">
        <f t="shared" si="526"/>
        <v>28263.43324439897</v>
      </c>
      <c r="Q529" s="25">
        <f t="array" aca="1" ref="Q529" ca="1">INDEX('Isaac 401k'!L:L,MATCH('Retirement Calculator'!A529,'Isaac 401k'!N:N,0),0)</f>
        <v>1546394.9835482505</v>
      </c>
      <c r="R529" s="25">
        <f t="array" aca="1" ref="R529" ca="1">INDEX('Lorri 401b'!L:L,MATCH('Retirement Calculator'!A529,'Lorri 401b'!N:N,0),0)</f>
        <v>1630864.6468060403</v>
      </c>
      <c r="S529" s="25">
        <f t="shared" ca="1" si="527"/>
        <v>3177259.6303542908</v>
      </c>
    </row>
    <row r="530" spans="1:19" ht="15.75" customHeight="1" x14ac:dyDescent="0.3">
      <c r="A530" s="37">
        <v>67085</v>
      </c>
      <c r="B530" s="398">
        <f t="shared" ref="B530:C530" si="536">($A530-B$9)/365.25</f>
        <v>101.7905544147844</v>
      </c>
      <c r="C530" s="398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3254.2644699519233</v>
      </c>
      <c r="H530" s="25">
        <f>IF(B530&lt;62,0,'Combined Retirement'!$I$14)</f>
        <v>2345</v>
      </c>
      <c r="I530" s="25">
        <f>IF(C530&lt;62,0,'Combined Retirement'!$I$13)</f>
        <v>2420</v>
      </c>
      <c r="J530" s="25">
        <f t="shared" si="523"/>
        <v>7896.2379798201846</v>
      </c>
      <c r="K530" s="25">
        <f t="shared" si="524"/>
        <v>20367.195264578786</v>
      </c>
      <c r="L530" s="25"/>
      <c r="N530" s="25">
        <f>'Combined Retirement'!$C$18/12</f>
        <v>39153.069999999992</v>
      </c>
      <c r="O530" s="25">
        <f t="shared" si="525"/>
        <v>10889.636755601023</v>
      </c>
      <c r="P530" s="25">
        <f t="shared" si="526"/>
        <v>28263.43324439897</v>
      </c>
      <c r="Q530" s="25">
        <f t="array" aca="1" ref="Q530" ca="1">INDEX('Isaac 401k'!L:L,MATCH('Retirement Calculator'!A530,'Isaac 401k'!N:N,0),0)</f>
        <v>1544909.1570082987</v>
      </c>
      <c r="R530" s="25">
        <f t="array" aca="1" ref="R530" ca="1">INDEX('Lorri 401b'!L:L,MATCH('Retirement Calculator'!A530,'Lorri 401b'!N:N,0),0)</f>
        <v>1617207.857589551</v>
      </c>
      <c r="S530" s="25">
        <f t="shared" ca="1" si="527"/>
        <v>3162117.0145978499</v>
      </c>
    </row>
    <row r="531" spans="1:19" ht="15.75" customHeight="1" x14ac:dyDescent="0.3">
      <c r="A531" s="37">
        <v>67115</v>
      </c>
      <c r="B531" s="398">
        <f t="shared" ref="B531:C531" si="537">($A531-B$9)/365.25</f>
        <v>101.87268993839835</v>
      </c>
      <c r="C531" s="398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3254.2644699519233</v>
      </c>
      <c r="H531" s="25">
        <f>IF(B531&lt;62,0,'Combined Retirement'!$I$14)</f>
        <v>2345</v>
      </c>
      <c r="I531" s="25">
        <f>IF(C531&lt;62,0,'Combined Retirement'!$I$13)</f>
        <v>2420</v>
      </c>
      <c r="J531" s="25">
        <f t="shared" si="523"/>
        <v>7896.2379798201846</v>
      </c>
      <c r="K531" s="25">
        <f t="shared" si="524"/>
        <v>20367.195264578786</v>
      </c>
      <c r="L531" s="25"/>
      <c r="N531" s="25">
        <f>'Combined Retirement'!$C$18/12</f>
        <v>39153.069999999992</v>
      </c>
      <c r="O531" s="25">
        <f t="shared" si="525"/>
        <v>10889.636755601023</v>
      </c>
      <c r="P531" s="25">
        <f t="shared" si="526"/>
        <v>28263.43324439897</v>
      </c>
      <c r="Q531" s="25">
        <f t="array" aca="1" ref="Q531" ca="1">INDEX('Isaac 401k'!L:L,MATCH('Retirement Calculator'!A531,'Isaac 401k'!N:N,0),0)</f>
        <v>1543417.1395244305</v>
      </c>
      <c r="R531" s="25">
        <f t="array" aca="1" ref="R531" ca="1">INDEX('Lorri 401b'!L:L,MATCH('Retirement Calculator'!A531,'Lorri 401b'!N:N,0),0)</f>
        <v>1603494.1650846596</v>
      </c>
      <c r="S531" s="25">
        <f t="shared" ca="1" si="527"/>
        <v>3146911.3046090901</v>
      </c>
    </row>
    <row r="532" spans="1:19" ht="15.75" customHeight="1" x14ac:dyDescent="0.3">
      <c r="A532" s="37">
        <v>67146</v>
      </c>
      <c r="B532" s="398">
        <f t="shared" ref="B532:C532" si="538">($A532-B$9)/365.25</f>
        <v>101.95756331279945</v>
      </c>
      <c r="C532" s="398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3254.2644699519233</v>
      </c>
      <c r="H532" s="25">
        <f>IF(B532&lt;62,0,'Combined Retirement'!$I$14)</f>
        <v>2345</v>
      </c>
      <c r="I532" s="25">
        <f>IF(C532&lt;62,0,'Combined Retirement'!$I$13)</f>
        <v>2420</v>
      </c>
      <c r="J532" s="25">
        <f t="shared" si="523"/>
        <v>7896.2379798201846</v>
      </c>
      <c r="K532" s="25">
        <f t="shared" si="524"/>
        <v>20367.195264578786</v>
      </c>
      <c r="L532" s="25"/>
      <c r="N532" s="25">
        <f>'Combined Retirement'!$C$18/12</f>
        <v>39153.069999999992</v>
      </c>
      <c r="O532" s="25">
        <f t="shared" si="525"/>
        <v>10889.636755601023</v>
      </c>
      <c r="P532" s="25">
        <f t="shared" si="526"/>
        <v>28263.43324439897</v>
      </c>
      <c r="Q532" s="25">
        <f t="array" aca="1" ref="Q532" ca="1">INDEX('Isaac 401k'!L:L,MATCH('Retirement Calculator'!A532,'Isaac 401k'!N:N,0),0)</f>
        <v>1541918.9053010461</v>
      </c>
      <c r="R532" s="25">
        <f t="array" aca="1" ref="R532" ca="1">INDEX('Lorri 401b'!L:L,MATCH('Retirement Calculator'!A532,'Lorri 401b'!N:N,0),0)</f>
        <v>1589723.3321943311</v>
      </c>
      <c r="S532" s="25">
        <f t="shared" ca="1" si="527"/>
        <v>3131642.2374953772</v>
      </c>
    </row>
    <row r="533" spans="1:19" ht="15.75" customHeight="1" x14ac:dyDescent="0.3">
      <c r="A533" s="37">
        <v>67176</v>
      </c>
      <c r="B533" s="398">
        <f t="shared" ref="B533:C533" si="539">($A533-B$9)/365.25</f>
        <v>102.03969883641342</v>
      </c>
      <c r="C533" s="398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3254.2644699519233</v>
      </c>
      <c r="H533" s="25">
        <f>IF(B533&lt;62,0,'Combined Retirement'!$I$14)</f>
        <v>2345</v>
      </c>
      <c r="I533" s="25">
        <f>IF(C533&lt;62,0,'Combined Retirement'!$I$13)</f>
        <v>2420</v>
      </c>
      <c r="J533" s="25">
        <f t="shared" si="523"/>
        <v>7896.2379798201846</v>
      </c>
      <c r="K533" s="25">
        <f t="shared" si="524"/>
        <v>20367.195264578786</v>
      </c>
      <c r="L533" s="25"/>
      <c r="N533" s="25">
        <f>'Combined Retirement'!$C$18/12</f>
        <v>39153.069999999992</v>
      </c>
      <c r="O533" s="25">
        <f t="shared" si="525"/>
        <v>10889.636755601023</v>
      </c>
      <c r="P533" s="25">
        <f t="shared" si="526"/>
        <v>28263.43324439897</v>
      </c>
      <c r="Q533" s="25">
        <f t="array" aca="1" ref="Q533" ca="1">INDEX('Isaac 401k'!L:L,MATCH('Retirement Calculator'!A533,'Isaac 401k'!N:N,0),0)</f>
        <v>1540414.4284350644</v>
      </c>
      <c r="R533" s="25">
        <f t="array" aca="1" ref="R533" ca="1">INDEX('Lorri 401b'!L:L,MATCH('Retirement Calculator'!A533,'Lorri 401b'!N:N,0),0)</f>
        <v>1575895.1208336262</v>
      </c>
      <c r="S533" s="25">
        <f t="shared" ca="1" si="527"/>
        <v>3116309.5492686909</v>
      </c>
    </row>
    <row r="534" spans="1:19" ht="15.75" customHeight="1" x14ac:dyDescent="0.3">
      <c r="A534" s="37">
        <v>67207</v>
      </c>
      <c r="B534" s="398">
        <f t="shared" ref="B534:C534" si="540">($A534-B$9)/365.25</f>
        <v>102.12457221081451</v>
      </c>
      <c r="C534" s="398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3254.2644699519233</v>
      </c>
      <c r="H534" s="25">
        <f>IF(B534&lt;62,0,'Combined Retirement'!$I$14)</f>
        <v>2345</v>
      </c>
      <c r="I534" s="25">
        <f>IF(C534&lt;62,0,'Combined Retirement'!$I$13)</f>
        <v>2420</v>
      </c>
      <c r="J534" s="25">
        <f t="shared" si="523"/>
        <v>7896.2379798201846</v>
      </c>
      <c r="K534" s="25">
        <f t="shared" si="524"/>
        <v>20367.195264578786</v>
      </c>
      <c r="L534" s="25"/>
      <c r="N534" s="25">
        <f>'Combined Retirement'!$C$18/12</f>
        <v>39153.069999999992</v>
      </c>
      <c r="O534" s="25">
        <f t="shared" si="525"/>
        <v>10889.636755601023</v>
      </c>
      <c r="P534" s="25">
        <f t="shared" si="526"/>
        <v>28263.43324439897</v>
      </c>
      <c r="Q534" s="25">
        <f t="array" aca="1" ref="Q534" ca="1">INDEX('Isaac 401k'!L:L,MATCH('Retirement Calculator'!A534,'Isaac 401k'!N:N,0),0)</f>
        <v>1538903.6829154743</v>
      </c>
      <c r="R534" s="25">
        <f t="array" aca="1" ref="R534" ca="1">INDEX('Lorri 401b'!L:L,MATCH('Retirement Calculator'!A534,'Lorri 401b'!N:N,0),0)</f>
        <v>1562009.2919255851</v>
      </c>
      <c r="S534" s="25">
        <f t="shared" ca="1" si="527"/>
        <v>3100912.9748410592</v>
      </c>
    </row>
    <row r="535" spans="1:19" ht="15.75" customHeight="1" x14ac:dyDescent="0.3">
      <c r="A535" s="37">
        <v>67238</v>
      </c>
      <c r="B535" s="398">
        <f t="shared" ref="B535:C535" si="541">($A535-B$9)/365.25</f>
        <v>102.2094455852156</v>
      </c>
      <c r="C535" s="398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3254.2644699519233</v>
      </c>
      <c r="H535" s="25">
        <f>IF(B535&lt;62,0,'Combined Retirement'!$I$14)</f>
        <v>2345</v>
      </c>
      <c r="I535" s="25">
        <f>IF(C535&lt;62,0,'Combined Retirement'!$I$13)</f>
        <v>2420</v>
      </c>
      <c r="J535" s="25">
        <f t="shared" si="523"/>
        <v>7896.2379798201846</v>
      </c>
      <c r="K535" s="25">
        <f t="shared" si="524"/>
        <v>20367.195264578786</v>
      </c>
      <c r="L535" s="25"/>
      <c r="N535" s="25">
        <f>'Combined Retirement'!$C$18/12</f>
        <v>39153.069999999992</v>
      </c>
      <c r="O535" s="25">
        <f t="shared" si="525"/>
        <v>10889.636755601023</v>
      </c>
      <c r="P535" s="25">
        <f t="shared" si="526"/>
        <v>28263.43324439897</v>
      </c>
      <c r="Q535" s="25">
        <f t="array" aca="1" ref="Q535" ca="1">INDEX('Isaac 401k'!L:L,MATCH('Retirement Calculator'!A535,'Isaac 401k'!N:N,0),0)</f>
        <v>1537386.642622886</v>
      </c>
      <c r="R535" s="25">
        <f t="array" aca="1" ref="R535" ca="1">INDEX('Lorri 401b'!L:L,MATCH('Retirement Calculator'!A535,'Lorri 401b'!N:N,0),0)</f>
        <v>1548065.6053970938</v>
      </c>
      <c r="S535" s="25">
        <f t="shared" ca="1" si="527"/>
        <v>3085452.2480199798</v>
      </c>
    </row>
    <row r="536" spans="1:19" ht="15.75" customHeight="1" x14ac:dyDescent="0.3">
      <c r="A536" s="37">
        <v>67267</v>
      </c>
      <c r="B536" s="398">
        <f t="shared" ref="B536:C536" si="542">($A536-B$9)/365.25</f>
        <v>102.28884325804243</v>
      </c>
      <c r="C536" s="398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3254.2644699519233</v>
      </c>
      <c r="H536" s="25">
        <f>IF(B536&lt;62,0,'Combined Retirement'!$I$14)</f>
        <v>2345</v>
      </c>
      <c r="I536" s="25">
        <f>IF(C536&lt;62,0,'Combined Retirement'!$I$13)</f>
        <v>2420</v>
      </c>
      <c r="J536" s="25">
        <f t="shared" si="523"/>
        <v>7896.2379798201846</v>
      </c>
      <c r="K536" s="25">
        <f t="shared" si="524"/>
        <v>20367.195264578786</v>
      </c>
      <c r="L536" s="25"/>
      <c r="N536" s="25">
        <f>'Combined Retirement'!$C$18/12</f>
        <v>39153.069999999992</v>
      </c>
      <c r="O536" s="25">
        <f t="shared" si="525"/>
        <v>10889.636755601023</v>
      </c>
      <c r="P536" s="25">
        <f t="shared" si="526"/>
        <v>28263.43324439897</v>
      </c>
      <c r="Q536" s="25">
        <f t="array" aca="1" ref="Q536" ca="1">INDEX('Isaac 401k'!L:L,MATCH('Retirement Calculator'!A536,'Isaac 401k'!N:N,0),0)</f>
        <v>1535863.2813290786</v>
      </c>
      <c r="R536" s="25">
        <f t="array" aca="1" ref="R536" ca="1">INDEX('Lorri 401b'!L:L,MATCH('Retirement Calculator'!A536,'Lorri 401b'!N:N,0),0)</f>
        <v>1534063.8201747339</v>
      </c>
      <c r="S536" s="25">
        <f t="shared" ca="1" si="527"/>
        <v>3069927.1015038127</v>
      </c>
    </row>
    <row r="537" spans="1:19" ht="15.75" customHeight="1" x14ac:dyDescent="0.3">
      <c r="A537" s="37">
        <v>67298</v>
      </c>
      <c r="B537" s="398">
        <f t="shared" ref="B537:C537" si="543">($A537-B$9)/365.25</f>
        <v>102.37371663244353</v>
      </c>
      <c r="C537" s="398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3254.2644699519233</v>
      </c>
      <c r="H537" s="25">
        <f>IF(B537&lt;62,0,'Combined Retirement'!$I$14)</f>
        <v>2345</v>
      </c>
      <c r="I537" s="25">
        <f>IF(C537&lt;62,0,'Combined Retirement'!$I$13)</f>
        <v>2420</v>
      </c>
      <c r="J537" s="25">
        <f t="shared" si="523"/>
        <v>7896.2379798201846</v>
      </c>
      <c r="K537" s="25">
        <f t="shared" si="524"/>
        <v>20367.195264578786</v>
      </c>
      <c r="L537" s="25"/>
      <c r="N537" s="25">
        <f>'Combined Retirement'!$C$18/12</f>
        <v>39153.069999999992</v>
      </c>
      <c r="O537" s="25">
        <f t="shared" si="525"/>
        <v>10889.636755601023</v>
      </c>
      <c r="P537" s="25">
        <f t="shared" si="526"/>
        <v>28263.43324439897</v>
      </c>
      <c r="Q537" s="25">
        <f t="array" aca="1" ref="Q537" ca="1">INDEX('Isaac 401k'!L:L,MATCH('Retirement Calculator'!A537,'Isaac 401k'!N:N,0),0)</f>
        <v>1534333.572696547</v>
      </c>
      <c r="R537" s="25">
        <f t="array" aca="1" ref="R537" ca="1">INDEX('Lorri 401b'!L:L,MATCH('Retirement Calculator'!A537,'Lorri 401b'!N:N,0),0)</f>
        <v>1520003.6941806141</v>
      </c>
      <c r="S537" s="25">
        <f t="shared" ca="1" si="527"/>
        <v>3054337.2668771613</v>
      </c>
    </row>
    <row r="538" spans="1:19" ht="15.75" customHeight="1" x14ac:dyDescent="0.3">
      <c r="A538" s="37">
        <v>67328</v>
      </c>
      <c r="B538" s="398">
        <f t="shared" ref="B538:C538" si="544">($A538-B$9)/365.25</f>
        <v>102.45585215605749</v>
      </c>
      <c r="C538" s="398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3254.2644699519233</v>
      </c>
      <c r="H538" s="25">
        <f>IF(B538&lt;62,0,'Combined Retirement'!$I$14)</f>
        <v>2345</v>
      </c>
      <c r="I538" s="25">
        <f>IF(C538&lt;62,0,'Combined Retirement'!$I$13)</f>
        <v>2420</v>
      </c>
      <c r="J538" s="25">
        <f t="shared" si="523"/>
        <v>7896.2379798201846</v>
      </c>
      <c r="K538" s="25">
        <f t="shared" si="524"/>
        <v>20367.195264578786</v>
      </c>
      <c r="L538" s="25"/>
      <c r="N538" s="25">
        <f>'Combined Retirement'!$C$18/12</f>
        <v>39153.069999999992</v>
      </c>
      <c r="O538" s="25">
        <f t="shared" si="525"/>
        <v>10889.636755601023</v>
      </c>
      <c r="P538" s="25">
        <f t="shared" si="526"/>
        <v>28263.43324439897</v>
      </c>
      <c r="Q538" s="25">
        <f t="array" aca="1" ref="Q538" ca="1">INDEX('Isaac 401k'!L:L,MATCH('Retirement Calculator'!A538,'Isaac 401k'!N:N,0),0)</f>
        <v>1532797.4902780466</v>
      </c>
      <c r="R538" s="25">
        <f t="array" aca="1" ref="R538" ca="1">INDEX('Lorri 401b'!L:L,MATCH('Retirement Calculator'!A538,'Lorri 401b'!N:N,0),0)</f>
        <v>1505884.9843281854</v>
      </c>
      <c r="S538" s="25">
        <f t="shared" ca="1" si="527"/>
        <v>3038682.4746062318</v>
      </c>
    </row>
    <row r="539" spans="1:19" ht="15.75" customHeight="1" x14ac:dyDescent="0.3">
      <c r="A539" s="37">
        <v>67359</v>
      </c>
      <c r="B539" s="398">
        <f t="shared" ref="B539:C539" si="545">($A539-B$9)/365.25</f>
        <v>102.54072553045859</v>
      </c>
      <c r="C539" s="398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3254.2644699519233</v>
      </c>
      <c r="H539" s="25">
        <f>IF(B539&lt;62,0,'Combined Retirement'!$I$14)</f>
        <v>2345</v>
      </c>
      <c r="I539" s="25">
        <f>IF(C539&lt;62,0,'Combined Retirement'!$I$13)</f>
        <v>2420</v>
      </c>
      <c r="J539" s="25">
        <f t="shared" si="523"/>
        <v>7896.2379798201846</v>
      </c>
      <c r="K539" s="25">
        <f t="shared" si="524"/>
        <v>20367.195264578786</v>
      </c>
      <c r="L539" s="25"/>
      <c r="N539" s="25">
        <f>'Combined Retirement'!$C$18/12</f>
        <v>39153.069999999992</v>
      </c>
      <c r="O539" s="25">
        <f t="shared" si="525"/>
        <v>10889.636755601023</v>
      </c>
      <c r="P539" s="25">
        <f t="shared" si="526"/>
        <v>28263.43324439897</v>
      </c>
      <c r="Q539" s="25">
        <f t="array" aca="1" ref="Q539" ca="1">INDEX('Isaac 401k'!L:L,MATCH('Retirement Calculator'!A539,'Isaac 401k'!N:N,0),0)</f>
        <v>1531255.0075161357</v>
      </c>
      <c r="R539" s="25">
        <f t="array" aca="1" ref="R539" ca="1">INDEX('Lorri 401b'!L:L,MATCH('Retirement Calculator'!A539,'Lorri 401b'!N:N,0),0)</f>
        <v>1491707.4465180384</v>
      </c>
      <c r="S539" s="25">
        <f t="shared" ca="1" si="527"/>
        <v>3022962.4540341739</v>
      </c>
    </row>
    <row r="540" spans="1:19" ht="15.75" customHeight="1" x14ac:dyDescent="0.3">
      <c r="A540" s="37">
        <v>67389</v>
      </c>
      <c r="B540" s="398">
        <f t="shared" ref="B540:C540" si="546">($A540-B$9)/365.25</f>
        <v>102.62286105407256</v>
      </c>
      <c r="C540" s="398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3254.2644699519233</v>
      </c>
      <c r="H540" s="25">
        <f>IF(B540&lt;62,0,'Combined Retirement'!$I$14)</f>
        <v>2345</v>
      </c>
      <c r="I540" s="25">
        <f>IF(C540&lt;62,0,'Combined Retirement'!$I$13)</f>
        <v>2420</v>
      </c>
      <c r="J540" s="25">
        <f t="shared" si="523"/>
        <v>7896.2379798201846</v>
      </c>
      <c r="K540" s="25">
        <f t="shared" si="524"/>
        <v>20367.195264578786</v>
      </c>
      <c r="L540" s="25"/>
      <c r="N540" s="25">
        <f>'Combined Retirement'!$C$18/12</f>
        <v>39153.069999999992</v>
      </c>
      <c r="O540" s="25">
        <f t="shared" si="525"/>
        <v>10889.636755601023</v>
      </c>
      <c r="P540" s="25">
        <f t="shared" si="526"/>
        <v>28263.43324439897</v>
      </c>
      <c r="Q540" s="25">
        <f t="array" aca="1" ref="Q540" ca="1">INDEX('Isaac 401k'!L:L,MATCH('Retirement Calculator'!A540,'Isaac 401k'!N:N,0),0)</f>
        <v>1529706.0977427168</v>
      </c>
      <c r="R540" s="25">
        <f t="array" aca="1" ref="R540" ca="1">INDEX('Lorri 401b'!L:L,MATCH('Retirement Calculator'!A540,'Lorri 401b'!N:N,0),0)</f>
        <v>1477470.8356336823</v>
      </c>
      <c r="S540" s="25">
        <f t="shared" ca="1" si="527"/>
        <v>3007176.9333763989</v>
      </c>
    </row>
    <row r="541" spans="1:19" ht="15.75" customHeight="1" x14ac:dyDescent="0.3">
      <c r="A541" s="37">
        <v>67420</v>
      </c>
      <c r="B541" s="398">
        <f t="shared" ref="B541:C541" si="547">($A541-B$9)/365.25</f>
        <v>102.70773442847364</v>
      </c>
      <c r="C541" s="398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3254.2644699519233</v>
      </c>
      <c r="H541" s="25">
        <f>IF(B541&lt;62,0,'Combined Retirement'!$I$14)</f>
        <v>2345</v>
      </c>
      <c r="I541" s="25">
        <f>IF(C541&lt;62,0,'Combined Retirement'!$I$13)</f>
        <v>2420</v>
      </c>
      <c r="J541" s="25">
        <f t="shared" si="523"/>
        <v>7896.2379798201846</v>
      </c>
      <c r="K541" s="25">
        <f t="shared" si="524"/>
        <v>20367.195264578786</v>
      </c>
      <c r="L541" s="25"/>
      <c r="N541" s="25">
        <f>'Combined Retirement'!$C$18/12</f>
        <v>39153.069999999992</v>
      </c>
      <c r="O541" s="25">
        <f t="shared" si="525"/>
        <v>10889.636755601023</v>
      </c>
      <c r="P541" s="25">
        <f t="shared" si="526"/>
        <v>28263.43324439897</v>
      </c>
      <c r="Q541" s="25">
        <f t="array" aca="1" ref="Q541" ca="1">INDEX('Isaac 401k'!L:L,MATCH('Retirement Calculator'!A541,'Isaac 401k'!N:N,0),0)</f>
        <v>1528150.7341785752</v>
      </c>
      <c r="R541" s="25">
        <f t="array" aca="1" ref="R541" ca="1">INDEX('Lorri 401b'!L:L,MATCH('Retirement Calculator'!A541,'Lorri 401b'!N:N,0),0)</f>
        <v>1463174.9055373082</v>
      </c>
      <c r="S541" s="25">
        <f t="shared" ca="1" si="527"/>
        <v>2991325.6397158834</v>
      </c>
    </row>
    <row r="542" spans="1:19" ht="15.75" customHeight="1" x14ac:dyDescent="0.3">
      <c r="A542" s="37">
        <v>67451</v>
      </c>
      <c r="B542" s="398">
        <f t="shared" ref="B542:C542" si="548">($A542-B$9)/365.25</f>
        <v>102.79260780287474</v>
      </c>
      <c r="C542" s="398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3254.2644699519233</v>
      </c>
      <c r="H542" s="25">
        <f>IF(B542&lt;62,0,'Combined Retirement'!$I$14)</f>
        <v>2345</v>
      </c>
      <c r="I542" s="25">
        <f>IF(C542&lt;62,0,'Combined Retirement'!$I$13)</f>
        <v>2420</v>
      </c>
      <c r="J542" s="25">
        <f t="shared" si="523"/>
        <v>7896.2379798201846</v>
      </c>
      <c r="K542" s="25">
        <f t="shared" si="524"/>
        <v>20367.195264578786</v>
      </c>
      <c r="L542" s="25"/>
      <c r="N542" s="25">
        <f>'Combined Retirement'!$C$18/12</f>
        <v>39153.069999999992</v>
      </c>
      <c r="O542" s="25">
        <f t="shared" si="525"/>
        <v>10889.636755601023</v>
      </c>
      <c r="P542" s="25">
        <f t="shared" si="526"/>
        <v>28263.43324439897</v>
      </c>
      <c r="Q542" s="25">
        <f t="array" aca="1" ref="Q542" ca="1">INDEX('Isaac 401k'!L:L,MATCH('Retirement Calculator'!A542,'Isaac 401k'!N:N,0),0)</f>
        <v>1526588.8899329165</v>
      </c>
      <c r="R542" s="25">
        <f t="array" aca="1" ref="R542" ca="1">INDEX('Lorri 401b'!L:L,MATCH('Retirement Calculator'!A542,'Lorri 401b'!N:N,0),0)</f>
        <v>1448819.4090655325</v>
      </c>
      <c r="S542" s="25">
        <f t="shared" ca="1" si="527"/>
        <v>2975408.298998449</v>
      </c>
    </row>
    <row r="543" spans="1:19" ht="15.75" customHeight="1" x14ac:dyDescent="0.3">
      <c r="A543" s="37">
        <v>67481</v>
      </c>
      <c r="B543" s="398">
        <f t="shared" ref="B543:C543" si="549">($A543-B$9)/365.25</f>
        <v>102.87474332648871</v>
      </c>
      <c r="C543" s="398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3254.2644699519233</v>
      </c>
      <c r="H543" s="25">
        <f>IF(B543&lt;62,0,'Combined Retirement'!$I$14)</f>
        <v>2345</v>
      </c>
      <c r="I543" s="25">
        <f>IF(C543&lt;62,0,'Combined Retirement'!$I$13)</f>
        <v>2420</v>
      </c>
      <c r="J543" s="25">
        <f t="shared" si="523"/>
        <v>7896.2379798201846</v>
      </c>
      <c r="K543" s="25">
        <f t="shared" si="524"/>
        <v>20367.195264578786</v>
      </c>
      <c r="L543" s="25"/>
      <c r="N543" s="25">
        <f>'Combined Retirement'!$C$18/12</f>
        <v>39153.069999999992</v>
      </c>
      <c r="O543" s="25">
        <f t="shared" si="525"/>
        <v>10889.636755601023</v>
      </c>
      <c r="P543" s="25">
        <f t="shared" si="526"/>
        <v>28263.43324439897</v>
      </c>
      <c r="Q543" s="25">
        <f t="array" aca="1" ref="Q543" ca="1">INDEX('Isaac 401k'!L:L,MATCH('Retirement Calculator'!A543,'Isaac 401k'!N:N,0),0)</f>
        <v>1525020.5380029008</v>
      </c>
      <c r="R543" s="25">
        <f t="array" aca="1" ref="R543" ca="1">INDEX('Lorri 401b'!L:L,MATCH('Retirement Calculator'!A543,'Lorri 401b'!N:N,0),0)</f>
        <v>1434404.0980251243</v>
      </c>
      <c r="S543" s="25">
        <f t="shared" ca="1" si="527"/>
        <v>2959424.6360280253</v>
      </c>
    </row>
    <row r="544" spans="1:19" ht="15.75" customHeight="1" x14ac:dyDescent="0.3">
      <c r="A544" s="37">
        <v>67512</v>
      </c>
      <c r="B544" s="398">
        <f t="shared" ref="B544:C544" si="550">($A544-B$9)/365.25</f>
        <v>102.9596167008898</v>
      </c>
      <c r="C544" s="398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3254.2644699519233</v>
      </c>
      <c r="H544" s="25">
        <f>IF(B544&lt;62,0,'Combined Retirement'!$I$14)</f>
        <v>2345</v>
      </c>
      <c r="I544" s="25">
        <f>IF(C544&lt;62,0,'Combined Retirement'!$I$13)</f>
        <v>2420</v>
      </c>
      <c r="J544" s="25">
        <f t="shared" si="523"/>
        <v>7896.2379798201846</v>
      </c>
      <c r="K544" s="25">
        <f t="shared" si="524"/>
        <v>20367.195264578786</v>
      </c>
      <c r="L544" s="25"/>
      <c r="N544" s="25">
        <f>'Combined Retirement'!$C$18/12</f>
        <v>39153.069999999992</v>
      </c>
      <c r="O544" s="25">
        <f t="shared" si="525"/>
        <v>10889.636755601023</v>
      </c>
      <c r="P544" s="25">
        <f t="shared" si="526"/>
        <v>28263.43324439897</v>
      </c>
      <c r="Q544" s="25">
        <f t="array" aca="1" ref="Q544" ca="1">INDEX('Isaac 401k'!L:L,MATCH('Retirement Calculator'!A544,'Isaac 401k'!N:N,0),0)</f>
        <v>1523445.6512731768</v>
      </c>
      <c r="R544" s="25">
        <f t="array" aca="1" ref="R544" ca="1">INDEX('Lorri 401b'!L:L,MATCH('Retirement Calculator'!A544,'Lorri 401b'!N:N,0),0)</f>
        <v>1419928.7231887144</v>
      </c>
      <c r="S544" s="25">
        <f t="shared" ca="1" si="527"/>
        <v>2943374.3744618911</v>
      </c>
    </row>
    <row r="545" spans="1:19" ht="15.75" customHeight="1" x14ac:dyDescent="0.3">
      <c r="A545" s="37">
        <v>67542</v>
      </c>
      <c r="B545" s="398">
        <f t="shared" ref="B545:C545" si="551">($A545-B$9)/365.25</f>
        <v>103.04175222450377</v>
      </c>
      <c r="C545" s="398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3254.2644699519233</v>
      </c>
      <c r="H545" s="25">
        <f>IF(B545&lt;62,0,'Combined Retirement'!$I$14)</f>
        <v>2345</v>
      </c>
      <c r="I545" s="25">
        <f>IF(C545&lt;62,0,'Combined Retirement'!$I$13)</f>
        <v>2420</v>
      </c>
      <c r="J545" s="25">
        <f t="shared" si="523"/>
        <v>7896.2379798201846</v>
      </c>
      <c r="K545" s="25">
        <f t="shared" si="524"/>
        <v>20367.195264578786</v>
      </c>
      <c r="L545" s="25"/>
      <c r="N545" s="25">
        <f>'Combined Retirement'!$C$18/12</f>
        <v>39153.069999999992</v>
      </c>
      <c r="O545" s="25">
        <f t="shared" si="525"/>
        <v>10889.636755601023</v>
      </c>
      <c r="P545" s="25">
        <f t="shared" si="526"/>
        <v>28263.43324439897</v>
      </c>
      <c r="Q545" s="25">
        <f t="array" aca="1" ref="Q545" ca="1">INDEX('Isaac 401k'!L:L,MATCH('Retirement Calculator'!A545,'Isaac 401k'!N:N,0),0)</f>
        <v>1521864.2025154121</v>
      </c>
      <c r="R545" s="25">
        <f t="array" aca="1" ref="R545" ca="1">INDEX('Lorri 401b'!L:L,MATCH('Retirement Calculator'!A545,'Lorri 401b'!N:N,0),0)</f>
        <v>1405393.034290486</v>
      </c>
      <c r="S545" s="25">
        <f t="shared" ca="1" si="527"/>
        <v>2927257.2368058981</v>
      </c>
    </row>
    <row r="546" spans="1:19" ht="15.75" customHeight="1" x14ac:dyDescent="0.3">
      <c r="A546" s="37">
        <v>67573</v>
      </c>
      <c r="B546" s="398">
        <f t="shared" ref="B546:C546" si="552">($A546-B$9)/365.25</f>
        <v>103.12662559890487</v>
      </c>
      <c r="C546" s="398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3254.2644699519233</v>
      </c>
      <c r="H546" s="25">
        <f>IF(B546&lt;62,0,'Combined Retirement'!$I$14)</f>
        <v>2345</v>
      </c>
      <c r="I546" s="25">
        <f>IF(C546&lt;62,0,'Combined Retirement'!$I$13)</f>
        <v>2420</v>
      </c>
      <c r="J546" s="25">
        <f t="shared" si="523"/>
        <v>7896.2379798201846</v>
      </c>
      <c r="K546" s="25">
        <f t="shared" si="524"/>
        <v>20367.195264578786</v>
      </c>
      <c r="L546" s="25"/>
      <c r="N546" s="25">
        <f>'Combined Retirement'!$C$18/12</f>
        <v>39153.069999999992</v>
      </c>
      <c r="O546" s="25">
        <f t="shared" si="525"/>
        <v>10889.636755601023</v>
      </c>
      <c r="P546" s="25">
        <f t="shared" si="526"/>
        <v>28263.43324439897</v>
      </c>
      <c r="Q546" s="25">
        <f t="array" aca="1" ref="Q546" ca="1">INDEX('Isaac 401k'!L:L,MATCH('Retirement Calculator'!A546,'Isaac 401k'!N:N,0),0)</f>
        <v>1520276.1643878235</v>
      </c>
      <c r="R546" s="25">
        <f t="array" aca="1" ref="R546" ca="1">INDEX('Lorri 401b'!L:L,MATCH('Retirement Calculator'!A546,'Lorri 401b'!N:N,0),0)</f>
        <v>1390796.7800218484</v>
      </c>
      <c r="S546" s="25">
        <f t="shared" ca="1" si="527"/>
        <v>2911072.9444096722</v>
      </c>
    </row>
    <row r="547" spans="1:19" ht="15.75" customHeight="1" x14ac:dyDescent="0.3">
      <c r="A547" s="37">
        <v>67604</v>
      </c>
      <c r="B547" s="398">
        <f t="shared" ref="B547:C547" si="553">($A547-B$9)/365.25</f>
        <v>103.21149897330595</v>
      </c>
      <c r="C547" s="398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3254.2644699519233</v>
      </c>
      <c r="H547" s="25">
        <f>IF(B547&lt;62,0,'Combined Retirement'!$I$14)</f>
        <v>2345</v>
      </c>
      <c r="I547" s="25">
        <f>IF(C547&lt;62,0,'Combined Retirement'!$I$13)</f>
        <v>2420</v>
      </c>
      <c r="J547" s="25">
        <f t="shared" si="523"/>
        <v>7896.2379798201846</v>
      </c>
      <c r="K547" s="25">
        <f t="shared" si="524"/>
        <v>20367.195264578786</v>
      </c>
      <c r="L547" s="25"/>
      <c r="N547" s="25">
        <f>'Combined Retirement'!$C$18/12</f>
        <v>39153.069999999992</v>
      </c>
      <c r="O547" s="25">
        <f t="shared" si="525"/>
        <v>10889.636755601023</v>
      </c>
      <c r="P547" s="25">
        <f t="shared" si="526"/>
        <v>28263.43324439897</v>
      </c>
      <c r="Q547" s="25">
        <f t="array" aca="1" ref="Q547" ca="1">INDEX('Isaac 401k'!L:L,MATCH('Retirement Calculator'!A547,'Isaac 401k'!N:N,0),0)</f>
        <v>1518681.5094347033</v>
      </c>
      <c r="R547" s="25">
        <f t="array" aca="1" ref="R547" ca="1">INDEX('Lorri 401b'!L:L,MATCH('Retirement Calculator'!A547,'Lorri 401b'!N:N,0),0)</f>
        <v>1376139.7080270916</v>
      </c>
      <c r="S547" s="25">
        <f t="shared" ca="1" si="527"/>
        <v>2894821.2174617946</v>
      </c>
    </row>
    <row r="548" spans="1:19" ht="15.75" customHeight="1" x14ac:dyDescent="0.3">
      <c r="A548" s="37">
        <v>67632</v>
      </c>
      <c r="B548" s="398">
        <f t="shared" ref="B548:C548" si="554">($A548-B$9)/365.25</f>
        <v>103.28815879534565</v>
      </c>
      <c r="C548" s="398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3254.2644699519233</v>
      </c>
      <c r="H548" s="25">
        <f>IF(B548&lt;62,0,'Combined Retirement'!$I$14)</f>
        <v>2345</v>
      </c>
      <c r="I548" s="25">
        <f>IF(C548&lt;62,0,'Combined Retirement'!$I$13)</f>
        <v>2420</v>
      </c>
      <c r="J548" s="25">
        <f t="shared" si="523"/>
        <v>7896.2379798201846</v>
      </c>
      <c r="K548" s="25">
        <f t="shared" si="524"/>
        <v>20367.195264578786</v>
      </c>
      <c r="L548" s="25"/>
      <c r="N548" s="25">
        <f>'Combined Retirement'!$C$18/12</f>
        <v>39153.069999999992</v>
      </c>
      <c r="O548" s="25">
        <f t="shared" si="525"/>
        <v>10889.636755601023</v>
      </c>
      <c r="P548" s="25">
        <f t="shared" si="526"/>
        <v>28263.43324439897</v>
      </c>
      <c r="Q548" s="25">
        <f t="array" aca="1" ref="Q548" ca="1">INDEX('Isaac 401k'!L:L,MATCH('Retirement Calculator'!A548,'Isaac 401k'!N:N,0),0)</f>
        <v>1517080.210085945</v>
      </c>
      <c r="R548" s="25">
        <f t="array" aca="1" ref="R548" ca="1">INDEX('Lorri 401b'!L:L,MATCH('Retirement Calculator'!A548,'Lorri 401b'!N:N,0),0)</f>
        <v>1361421.5648990232</v>
      </c>
      <c r="S548" s="25">
        <f t="shared" ca="1" si="527"/>
        <v>2878501.7749849679</v>
      </c>
    </row>
    <row r="549" spans="1:19" ht="15.75" customHeight="1" x14ac:dyDescent="0.3">
      <c r="A549" s="37">
        <v>67663</v>
      </c>
      <c r="B549" s="398">
        <f t="shared" ref="B549:C549" si="555">($A549-B$9)/365.25</f>
        <v>103.37303216974675</v>
      </c>
      <c r="C549" s="398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3254.2644699519233</v>
      </c>
      <c r="H549" s="25">
        <f>IF(B549&lt;62,0,'Combined Retirement'!$I$14)</f>
        <v>2345</v>
      </c>
      <c r="I549" s="25">
        <f>IF(C549&lt;62,0,'Combined Retirement'!$I$13)</f>
        <v>2420</v>
      </c>
      <c r="J549" s="25">
        <f t="shared" si="523"/>
        <v>7896.2379798201846</v>
      </c>
      <c r="K549" s="25">
        <f t="shared" si="524"/>
        <v>20367.195264578786</v>
      </c>
      <c r="L549" s="25"/>
      <c r="N549" s="25">
        <f>'Combined Retirement'!$C$18/12</f>
        <v>39153.069999999992</v>
      </c>
      <c r="O549" s="25">
        <f t="shared" si="525"/>
        <v>10889.636755601023</v>
      </c>
      <c r="P549" s="25">
        <f t="shared" si="526"/>
        <v>28263.43324439897</v>
      </c>
      <c r="Q549" s="25">
        <f t="array" aca="1" ref="Q549" ca="1">INDEX('Isaac 401k'!L:L,MATCH('Retirement Calculator'!A549,'Isaac 401k'!N:N,0),0)</f>
        <v>1515472.2386565669</v>
      </c>
      <c r="R549" s="25">
        <f t="array" aca="1" ref="R549" ca="1">INDEX('Lorri 401b'!L:L,MATCH('Retirement Calculator'!A549,'Lorri 401b'!N:N,0),0)</f>
        <v>1346642.096174588</v>
      </c>
      <c r="S549" s="25">
        <f t="shared" ca="1" si="527"/>
        <v>2862114.3348311549</v>
      </c>
    </row>
    <row r="550" spans="1:19" ht="15.75" customHeight="1" x14ac:dyDescent="0.3">
      <c r="A550" s="37">
        <v>67693</v>
      </c>
      <c r="B550" s="398">
        <f t="shared" ref="B550:C550" si="556">($A550-B$9)/365.25</f>
        <v>103.45516769336071</v>
      </c>
      <c r="C550" s="398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3254.2644699519233</v>
      </c>
      <c r="H550" s="25">
        <f>IF(B550&lt;62,0,'Combined Retirement'!$I$14)</f>
        <v>2345</v>
      </c>
      <c r="I550" s="25">
        <f>IF(C550&lt;62,0,'Combined Retirement'!$I$13)</f>
        <v>2420</v>
      </c>
      <c r="J550" s="25">
        <f t="shared" si="523"/>
        <v>7896.2379798201846</v>
      </c>
      <c r="K550" s="25">
        <f t="shared" si="524"/>
        <v>20367.195264578786</v>
      </c>
      <c r="L550" s="25"/>
      <c r="N550" s="25">
        <f>'Combined Retirement'!$C$18/12</f>
        <v>39153.069999999992</v>
      </c>
      <c r="O550" s="25">
        <f t="shared" si="525"/>
        <v>10889.636755601023</v>
      </c>
      <c r="P550" s="25">
        <f t="shared" si="526"/>
        <v>28263.43324439897</v>
      </c>
      <c r="Q550" s="25">
        <f t="array" aca="1" ref="Q550" ca="1">INDEX('Isaac 401k'!L:L,MATCH('Retirement Calculator'!A550,'Isaac 401k'!N:N,0),0)</f>
        <v>1513857.5673462332</v>
      </c>
      <c r="R550" s="25">
        <f t="array" aca="1" ref="R550" ca="1">INDEX('Lorri 401b'!L:L,MATCH('Retirement Calculator'!A550,'Lorri 401b'!N:N,0),0)</f>
        <v>1331801.0463304676</v>
      </c>
      <c r="S550" s="25">
        <f t="shared" ca="1" si="527"/>
        <v>2845658.6136767007</v>
      </c>
    </row>
    <row r="551" spans="1:19" ht="15.75" customHeight="1" x14ac:dyDescent="0.3">
      <c r="A551" s="37">
        <v>67724</v>
      </c>
      <c r="B551" s="398">
        <f t="shared" ref="B551:C551" si="557">($A551-B$9)/365.25</f>
        <v>103.54004106776181</v>
      </c>
      <c r="C551" s="398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3254.2644699519233</v>
      </c>
      <c r="H551" s="25">
        <f>IF(B551&lt;62,0,'Combined Retirement'!$I$14)</f>
        <v>2345</v>
      </c>
      <c r="I551" s="25">
        <f>IF(C551&lt;62,0,'Combined Retirement'!$I$13)</f>
        <v>2420</v>
      </c>
      <c r="J551" s="25">
        <f t="shared" si="523"/>
        <v>7896.2379798201846</v>
      </c>
      <c r="K551" s="25">
        <f t="shared" si="524"/>
        <v>20367.195264578786</v>
      </c>
      <c r="L551" s="25"/>
      <c r="N551" s="25">
        <f>'Combined Retirement'!$C$18/12</f>
        <v>39153.069999999992</v>
      </c>
      <c r="O551" s="25">
        <f t="shared" si="525"/>
        <v>10889.636755601023</v>
      </c>
      <c r="P551" s="25">
        <f t="shared" si="526"/>
        <v>28263.43324439897</v>
      </c>
      <c r="Q551" s="25">
        <f t="array" aca="1" ref="Q551" ca="1">INDEX('Isaac 401k'!L:L,MATCH('Retirement Calculator'!A551,'Isaac 401k'!N:N,0),0)</f>
        <v>1512236.168238773</v>
      </c>
      <c r="R551" s="25">
        <f t="array" aca="1" ref="R551" ca="1">INDEX('Lorri 401b'!L:L,MATCH('Retirement Calculator'!A551,'Lorri 401b'!N:N,0),0)</f>
        <v>1316898.1587786633</v>
      </c>
      <c r="S551" s="25">
        <f t="shared" ca="1" si="527"/>
        <v>2829134.3270174363</v>
      </c>
    </row>
    <row r="552" spans="1:19" ht="15.75" customHeight="1" x14ac:dyDescent="0.3">
      <c r="A552" s="37">
        <v>67754</v>
      </c>
      <c r="B552" s="398">
        <f t="shared" ref="B552:C552" si="558">($A552-B$9)/365.25</f>
        <v>103.62217659137578</v>
      </c>
      <c r="C552" s="398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3254.2644699519233</v>
      </c>
      <c r="H552" s="25">
        <f>IF(B552&lt;62,0,'Combined Retirement'!$I$14)</f>
        <v>2345</v>
      </c>
      <c r="I552" s="25">
        <f>IF(C552&lt;62,0,'Combined Retirement'!$I$13)</f>
        <v>2420</v>
      </c>
      <c r="J552" s="25">
        <f t="shared" si="523"/>
        <v>7896.2379798201846</v>
      </c>
      <c r="K552" s="25">
        <f t="shared" si="524"/>
        <v>20367.195264578786</v>
      </c>
      <c r="L552" s="25"/>
      <c r="N552" s="25">
        <f>'Combined Retirement'!$C$18/12</f>
        <v>39153.069999999992</v>
      </c>
      <c r="O552" s="25">
        <f t="shared" si="525"/>
        <v>10889.636755601023</v>
      </c>
      <c r="P552" s="25">
        <f t="shared" si="526"/>
        <v>28263.43324439897</v>
      </c>
      <c r="Q552" s="25">
        <f t="array" aca="1" ref="Q552" ca="1">INDEX('Isaac 401k'!L:L,MATCH('Retirement Calculator'!A552,'Isaac 401k'!N:N,0),0)</f>
        <v>1510608.0133016985</v>
      </c>
      <c r="R552" s="25">
        <f t="array" aca="1" ref="R552" ca="1">INDEX('Lorri 401b'!L:L,MATCH('Retirement Calculator'!A552,'Lorri 401b'!N:N,0),0)</f>
        <v>1301933.1758620599</v>
      </c>
      <c r="S552" s="25">
        <f t="shared" ca="1" si="527"/>
        <v>2812541.1891637584</v>
      </c>
    </row>
    <row r="553" spans="1:19" ht="15.75" customHeight="1" x14ac:dyDescent="0.3">
      <c r="A553" s="37">
        <v>67785</v>
      </c>
      <c r="B553" s="398">
        <f t="shared" ref="B553:C553" si="559">($A553-B$9)/365.25</f>
        <v>103.70704996577686</v>
      </c>
      <c r="C553" s="398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3254.2644699519233</v>
      </c>
      <c r="H553" s="25">
        <f>IF(B553&lt;62,0,'Combined Retirement'!$I$14)</f>
        <v>2345</v>
      </c>
      <c r="I553" s="25">
        <f>IF(C553&lt;62,0,'Combined Retirement'!$I$13)</f>
        <v>2420</v>
      </c>
      <c r="J553" s="25">
        <f t="shared" si="523"/>
        <v>7896.2379798201846</v>
      </c>
      <c r="K553" s="25">
        <f t="shared" si="524"/>
        <v>20367.195264578786</v>
      </c>
      <c r="L553" s="25"/>
      <c r="N553" s="25">
        <f>'Combined Retirement'!$C$18/12</f>
        <v>39153.069999999992</v>
      </c>
      <c r="O553" s="25">
        <f t="shared" si="525"/>
        <v>10889.636755601023</v>
      </c>
      <c r="P553" s="25">
        <f t="shared" si="526"/>
        <v>28263.43324439897</v>
      </c>
      <c r="Q553" s="25">
        <f t="array" aca="1" ref="Q553" ca="1">INDEX('Isaac 401k'!L:L,MATCH('Retirement Calculator'!A553,'Isaac 401k'!N:N,0),0)</f>
        <v>1508973.0743857194</v>
      </c>
      <c r="R553" s="25">
        <f t="array" aca="1" ref="R553" ca="1">INDEX('Lorri 401b'!L:L,MATCH('Retirement Calculator'!A553,'Lorri 401b'!N:N,0),0)</f>
        <v>1286905.8388499706</v>
      </c>
      <c r="S553" s="25">
        <f t="shared" ca="1" si="527"/>
        <v>2795878.91323569</v>
      </c>
    </row>
    <row r="554" spans="1:19" ht="15.75" customHeight="1" x14ac:dyDescent="0.3">
      <c r="A554" s="37">
        <v>67816</v>
      </c>
      <c r="B554" s="398">
        <f t="shared" ref="B554:C554" si="560">($A554-B$9)/365.25</f>
        <v>103.79192334017796</v>
      </c>
      <c r="C554" s="398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3254.2644699519233</v>
      </c>
      <c r="H554" s="25">
        <f>IF(B554&lt;62,0,'Combined Retirement'!$I$14)</f>
        <v>2345</v>
      </c>
      <c r="I554" s="25">
        <f>IF(C554&lt;62,0,'Combined Retirement'!$I$13)</f>
        <v>2420</v>
      </c>
      <c r="J554" s="25">
        <f t="shared" si="523"/>
        <v>7896.2379798201846</v>
      </c>
      <c r="K554" s="25">
        <f t="shared" si="524"/>
        <v>20367.195264578786</v>
      </c>
      <c r="L554" s="25"/>
      <c r="N554" s="25">
        <f>'Combined Retirement'!$C$18/12</f>
        <v>39153.069999999992</v>
      </c>
      <c r="O554" s="25">
        <f t="shared" si="525"/>
        <v>10889.636755601023</v>
      </c>
      <c r="P554" s="25">
        <f t="shared" si="526"/>
        <v>28263.43324439897</v>
      </c>
      <c r="Q554" s="25">
        <f t="array" aca="1" ref="Q554" ca="1">INDEX('Isaac 401k'!L:L,MATCH('Retirement Calculator'!A554,'Isaac 401k'!N:N,0),0)</f>
        <v>1507331.323224257</v>
      </c>
      <c r="R554" s="25">
        <f t="array" aca="1" ref="R554" ca="1">INDEX('Lorri 401b'!L:L,MATCH('Retirement Calculator'!A554,'Lorri 401b'!N:N,0),0)</f>
        <v>1271815.8879336643</v>
      </c>
      <c r="S554" s="25">
        <f t="shared" ca="1" si="527"/>
        <v>2779147.2111579212</v>
      </c>
    </row>
    <row r="555" spans="1:19" ht="15.75" customHeight="1" x14ac:dyDescent="0.3">
      <c r="A555" s="37">
        <v>67846</v>
      </c>
      <c r="B555" s="398">
        <f t="shared" ref="B555:C555" si="561">($A555-B$9)/365.25</f>
        <v>103.87405886379193</v>
      </c>
      <c r="C555" s="398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3254.2644699519233</v>
      </c>
      <c r="H555" s="25">
        <f>IF(B555&lt;62,0,'Combined Retirement'!$I$14)</f>
        <v>2345</v>
      </c>
      <c r="I555" s="25">
        <f>IF(C555&lt;62,0,'Combined Retirement'!$I$13)</f>
        <v>2420</v>
      </c>
      <c r="J555" s="25">
        <f t="shared" si="523"/>
        <v>7896.2379798201846</v>
      </c>
      <c r="K555" s="25">
        <f t="shared" si="524"/>
        <v>20367.195264578786</v>
      </c>
      <c r="L555" s="25"/>
      <c r="N555" s="25">
        <f>'Combined Retirement'!$C$18/12</f>
        <v>39153.069999999992</v>
      </c>
      <c r="O555" s="25">
        <f t="shared" si="525"/>
        <v>10889.636755601023</v>
      </c>
      <c r="P555" s="25">
        <f t="shared" si="526"/>
        <v>28263.43324439897</v>
      </c>
      <c r="Q555" s="25">
        <f t="array" aca="1" ref="Q555" ca="1">INDEX('Isaac 401k'!L:L,MATCH('Retirement Calculator'!A555,'Isaac 401k'!N:N,0),0)</f>
        <v>1505682.7314329552</v>
      </c>
      <c r="R555" s="25">
        <f t="array" aca="1" ref="R555" ca="1">INDEX('Lorri 401b'!L:L,MATCH('Retirement Calculator'!A555,'Lorri 401b'!N:N,0),0)</f>
        <v>1256663.0622218733</v>
      </c>
      <c r="S555" s="25">
        <f t="shared" ca="1" si="527"/>
        <v>2762345.7936548283</v>
      </c>
    </row>
    <row r="556" spans="1:19" ht="15.75" customHeight="1" x14ac:dyDescent="0.3">
      <c r="A556" s="37">
        <v>67877</v>
      </c>
      <c r="B556" s="398">
        <f t="shared" ref="B556:C556" si="562">($A556-B$9)/365.25</f>
        <v>103.95893223819301</v>
      </c>
      <c r="C556" s="398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3254.2644699519233</v>
      </c>
      <c r="H556" s="25">
        <f>IF(B556&lt;62,0,'Combined Retirement'!$I$14)</f>
        <v>2345</v>
      </c>
      <c r="I556" s="25">
        <f>IF(C556&lt;62,0,'Combined Retirement'!$I$13)</f>
        <v>2420</v>
      </c>
      <c r="J556" s="25">
        <f t="shared" si="523"/>
        <v>7896.2379798201846</v>
      </c>
      <c r="K556" s="25">
        <f t="shared" si="524"/>
        <v>20367.195264578786</v>
      </c>
      <c r="L556" s="25"/>
      <c r="N556" s="25">
        <f>'Combined Retirement'!$C$18/12</f>
        <v>39153.069999999992</v>
      </c>
      <c r="O556" s="25">
        <f t="shared" si="525"/>
        <v>10889.636755601023</v>
      </c>
      <c r="P556" s="25">
        <f t="shared" si="526"/>
        <v>28263.43324439897</v>
      </c>
      <c r="Q556" s="25">
        <f t="array" aca="1" ref="Q556" ca="1">INDEX('Isaac 401k'!L:L,MATCH('Retirement Calculator'!A556,'Isaac 401k'!N:N,0),0)</f>
        <v>1504027.2705091897</v>
      </c>
      <c r="R556" s="25">
        <f t="array" aca="1" ref="R556" ca="1">INDEX('Lorri 401b'!L:L,MATCH('Retirement Calculator'!A556,'Lorri 401b'!N:N,0),0)</f>
        <v>1241447.0997362833</v>
      </c>
      <c r="S556" s="25">
        <f t="shared" ca="1" si="527"/>
        <v>2745474.370245473</v>
      </c>
    </row>
    <row r="557" spans="1:19" ht="15.75" customHeight="1" x14ac:dyDescent="0.3">
      <c r="A557" s="37">
        <v>67907</v>
      </c>
      <c r="B557" s="398">
        <f t="shared" ref="B557:C557" si="563">($A557-B$9)/365.25</f>
        <v>104.04106776180699</v>
      </c>
      <c r="C557" s="398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3254.2644699519233</v>
      </c>
      <c r="H557" s="25">
        <f>IF(B557&lt;62,0,'Combined Retirement'!$I$14)</f>
        <v>2345</v>
      </c>
      <c r="I557" s="25">
        <f>IF(C557&lt;62,0,'Combined Retirement'!$I$13)</f>
        <v>2420</v>
      </c>
      <c r="J557" s="25">
        <f t="shared" si="523"/>
        <v>7896.2379798201846</v>
      </c>
      <c r="K557" s="25">
        <f t="shared" si="524"/>
        <v>20367.195264578786</v>
      </c>
      <c r="L557" s="25"/>
      <c r="N557" s="25">
        <f>'Combined Retirement'!$C$18/12</f>
        <v>39153.069999999992</v>
      </c>
      <c r="O557" s="25">
        <f t="shared" si="525"/>
        <v>10889.636755601023</v>
      </c>
      <c r="P557" s="25">
        <f t="shared" si="526"/>
        <v>28263.43324439897</v>
      </c>
      <c r="Q557" s="25">
        <f t="array" aca="1" ref="Q557" ca="1">INDEX('Isaac 401k'!L:L,MATCH('Retirement Calculator'!A557,'Isaac 401k'!N:N,0),0)</f>
        <v>1502364.9118315752</v>
      </c>
      <c r="R557" s="25">
        <f t="array" aca="1" ref="R557" ca="1">INDEX('Lorri 401b'!L:L,MATCH('Retirement Calculator'!A557,'Lorri 401b'!N:N,0),0)</f>
        <v>1226167.7374070033</v>
      </c>
      <c r="S557" s="25">
        <f t="shared" ca="1" si="527"/>
        <v>2728532.6492385785</v>
      </c>
    </row>
    <row r="558" spans="1:19" ht="15.75" customHeight="1" x14ac:dyDescent="0.3">
      <c r="A558" s="37">
        <v>67938</v>
      </c>
      <c r="B558" s="398">
        <f t="shared" ref="B558:C558" si="564">($A558-B$9)/365.25</f>
        <v>104.12594113620807</v>
      </c>
      <c r="C558" s="398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3254.2644699519233</v>
      </c>
      <c r="H558" s="25">
        <f>IF(B558&lt;62,0,'Combined Retirement'!$I$14)</f>
        <v>2345</v>
      </c>
      <c r="I558" s="25">
        <f>IF(C558&lt;62,0,'Combined Retirement'!$I$13)</f>
        <v>2420</v>
      </c>
      <c r="J558" s="25">
        <f t="shared" si="523"/>
        <v>7896.2379798201846</v>
      </c>
      <c r="K558" s="25">
        <f t="shared" si="524"/>
        <v>20367.195264578786</v>
      </c>
      <c r="L558" s="25"/>
      <c r="N558" s="25">
        <f>'Combined Retirement'!$C$18/12</f>
        <v>39153.069999999992</v>
      </c>
      <c r="O558" s="25">
        <f t="shared" si="525"/>
        <v>10889.636755601023</v>
      </c>
      <c r="P558" s="25">
        <f t="shared" si="526"/>
        <v>28263.43324439897</v>
      </c>
      <c r="Q558" s="25">
        <f t="array" aca="1" ref="Q558" ca="1">INDEX('Isaac 401k'!L:L,MATCH('Retirement Calculator'!A558,'Isaac 401k'!N:N,0),0)</f>
        <v>1500695.6266594706</v>
      </c>
      <c r="R558" s="25">
        <f t="array" aca="1" ref="R558" ca="1">INDEX('Lorri 401b'!L:L,MATCH('Retirement Calculator'!A558,'Lorri 401b'!N:N,0),0)</f>
        <v>1210824.7110680179</v>
      </c>
      <c r="S558" s="25">
        <f t="shared" ca="1" si="527"/>
        <v>2711520.3377274885</v>
      </c>
    </row>
    <row r="559" spans="1:19" ht="15.75" customHeight="1" x14ac:dyDescent="0.3">
      <c r="A559" s="37">
        <v>67969</v>
      </c>
      <c r="B559" s="398">
        <f t="shared" ref="B559:C559" si="565">($A559-B$9)/365.25</f>
        <v>104.21081451060917</v>
      </c>
      <c r="C559" s="398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3254.2644699519233</v>
      </c>
      <c r="H559" s="25">
        <f>IF(B559&lt;62,0,'Combined Retirement'!$I$14)</f>
        <v>2345</v>
      </c>
      <c r="I559" s="25">
        <f>IF(C559&lt;62,0,'Combined Retirement'!$I$13)</f>
        <v>2420</v>
      </c>
      <c r="J559" s="25">
        <f t="shared" si="523"/>
        <v>7896.2379798201846</v>
      </c>
      <c r="K559" s="25">
        <f t="shared" si="524"/>
        <v>20367.195264578786</v>
      </c>
      <c r="L559" s="25"/>
      <c r="N559" s="25">
        <f>'Combined Retirement'!$C$18/12</f>
        <v>39153.069999999992</v>
      </c>
      <c r="O559" s="25">
        <f t="shared" si="525"/>
        <v>10889.636755601023</v>
      </c>
      <c r="P559" s="25">
        <f t="shared" si="526"/>
        <v>28263.43324439897</v>
      </c>
      <c r="Q559" s="25">
        <f t="array" aca="1" ref="Q559" ca="1">INDEX('Isaac 401k'!L:L,MATCH('Retirement Calculator'!A559,'Isaac 401k'!N:N,0),0)</f>
        <v>1499019.3861324822</v>
      </c>
      <c r="R559" s="25">
        <f t="array" aca="1" ref="R559" ca="1">INDEX('Lorri 401b'!L:L,MATCH('Retirement Calculator'!A559,'Lorri 401b'!N:N,0),0)</f>
        <v>1195417.7554526201</v>
      </c>
      <c r="S559" s="25">
        <f t="shared" ca="1" si="527"/>
        <v>2694437.1415851023</v>
      </c>
    </row>
    <row r="560" spans="1:19" ht="15.75" customHeight="1" x14ac:dyDescent="0.3">
      <c r="A560" s="37">
        <v>67997</v>
      </c>
      <c r="B560" s="398">
        <f t="shared" ref="B560:C560" si="566">($A560-B$9)/365.25</f>
        <v>104.28747433264887</v>
      </c>
      <c r="C560" s="398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3254.2644699519233</v>
      </c>
      <c r="H560" s="25">
        <f>IF(B560&lt;62,0,'Combined Retirement'!$I$14)</f>
        <v>2345</v>
      </c>
      <c r="I560" s="25">
        <f>IF(C560&lt;62,0,'Combined Retirement'!$I$13)</f>
        <v>2420</v>
      </c>
      <c r="J560" s="25">
        <f t="shared" si="523"/>
        <v>7896.2379798201846</v>
      </c>
      <c r="K560" s="25">
        <f t="shared" si="524"/>
        <v>20367.195264578786</v>
      </c>
      <c r="L560" s="25"/>
      <c r="N560" s="25">
        <f>'Combined Retirement'!$C$18/12</f>
        <v>39153.069999999992</v>
      </c>
      <c r="O560" s="25">
        <f t="shared" si="525"/>
        <v>10889.636755601023</v>
      </c>
      <c r="P560" s="25">
        <f t="shared" si="526"/>
        <v>28263.43324439897</v>
      </c>
      <c r="Q560" s="25">
        <f t="array" aca="1" ref="Q560" ca="1">INDEX('Isaac 401k'!L:L,MATCH('Retirement Calculator'!A560,'Isaac 401k'!N:N,0),0)</f>
        <v>1497336.1612699647</v>
      </c>
      <c r="R560" s="25">
        <f t="array" aca="1" ref="R560" ca="1">INDEX('Lorri 401b'!L:L,MATCH('Retirement Calculator'!A560,'Lorri 401b'!N:N,0),0)</f>
        <v>1179946.6041888248</v>
      </c>
      <c r="S560" s="25">
        <f t="shared" ca="1" si="527"/>
        <v>2677282.7654587897</v>
      </c>
    </row>
    <row r="561" spans="1:19" ht="15.75" customHeight="1" x14ac:dyDescent="0.3">
      <c r="A561" s="37">
        <v>68028</v>
      </c>
      <c r="B561" s="398">
        <f t="shared" ref="B561:C561" si="567">($A561-B$9)/365.25</f>
        <v>104.37234770704997</v>
      </c>
      <c r="C561" s="398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3254.2644699519233</v>
      </c>
      <c r="H561" s="25">
        <f>IF(B561&lt;62,0,'Combined Retirement'!$I$14)</f>
        <v>2345</v>
      </c>
      <c r="I561" s="25">
        <f>IF(C561&lt;62,0,'Combined Retirement'!$I$13)</f>
        <v>2420</v>
      </c>
      <c r="J561" s="25">
        <f t="shared" si="523"/>
        <v>7896.2379798201846</v>
      </c>
      <c r="K561" s="25">
        <f t="shared" si="524"/>
        <v>20367.195264578786</v>
      </c>
      <c r="L561" s="25"/>
      <c r="N561" s="25">
        <f>'Combined Retirement'!$C$18/12</f>
        <v>39153.069999999992</v>
      </c>
      <c r="O561" s="25">
        <f t="shared" si="525"/>
        <v>10889.636755601023</v>
      </c>
      <c r="P561" s="25">
        <f t="shared" si="526"/>
        <v>28263.43324439897</v>
      </c>
      <c r="Q561" s="25">
        <f t="array" aca="1" ref="Q561" ca="1">INDEX('Isaac 401k'!L:L,MATCH('Retirement Calculator'!A561,'Isaac 401k'!N:N,0),0)</f>
        <v>1495645.9229705201</v>
      </c>
      <c r="R561" s="25">
        <f t="array" aca="1" ref="R561" ca="1">INDEX('Lorri 401b'!L:L,MATCH('Retirement Calculator'!A561,'Lorri 401b'!N:N,0),0)</f>
        <v>1164410.9897947637</v>
      </c>
      <c r="S561" s="25">
        <f t="shared" ca="1" si="527"/>
        <v>2660056.9127652841</v>
      </c>
    </row>
    <row r="562" spans="1:19" ht="15.75" customHeight="1" x14ac:dyDescent="0.3">
      <c r="A562" s="37">
        <v>68058</v>
      </c>
      <c r="B562" s="398">
        <f t="shared" ref="B562:C562" si="568">($A562-B$9)/365.25</f>
        <v>104.45448323066393</v>
      </c>
      <c r="C562" s="398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3254.2644699519233</v>
      </c>
      <c r="H562" s="25">
        <f>IF(B562&lt;62,0,'Combined Retirement'!$I$14)</f>
        <v>2345</v>
      </c>
      <c r="I562" s="25">
        <f>IF(C562&lt;62,0,'Combined Retirement'!$I$13)</f>
        <v>2420</v>
      </c>
      <c r="J562" s="25">
        <f t="shared" si="523"/>
        <v>7896.2379798201846</v>
      </c>
      <c r="K562" s="25">
        <f t="shared" si="524"/>
        <v>20367.195264578786</v>
      </c>
      <c r="L562" s="25"/>
      <c r="N562" s="25">
        <f>'Combined Retirement'!$C$18/12</f>
        <v>39153.069999999992</v>
      </c>
      <c r="O562" s="25">
        <f t="shared" si="525"/>
        <v>10889.636755601023</v>
      </c>
      <c r="P562" s="25">
        <f t="shared" si="526"/>
        <v>28263.43324439897</v>
      </c>
      <c r="Q562" s="25">
        <f t="array" aca="1" ref="Q562" ca="1">INDEX('Isaac 401k'!L:L,MATCH('Retirement Calculator'!A562,'Isaac 401k'!N:N,0),0)</f>
        <v>1493948.6420114944</v>
      </c>
      <c r="R562" s="25">
        <f t="array" aca="1" ref="R562" ca="1">INDEX('Lorri 401b'!L:L,MATCH('Retirement Calculator'!A562,'Lorri 401b'!N:N,0),0)</f>
        <v>1148810.6436740607</v>
      </c>
      <c r="S562" s="25">
        <f t="shared" ca="1" si="527"/>
        <v>2642759.2856855551</v>
      </c>
    </row>
    <row r="563" spans="1:19" ht="15.75" customHeight="1" x14ac:dyDescent="0.3">
      <c r="A563" s="37">
        <v>68089</v>
      </c>
      <c r="B563" s="398">
        <f t="shared" ref="B563:C563" si="569">($A563-B$9)/365.25</f>
        <v>104.53935660506502</v>
      </c>
      <c r="C563" s="398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3254.2644699519233</v>
      </c>
      <c r="H563" s="25">
        <f>IF(B563&lt;62,0,'Combined Retirement'!$I$14)</f>
        <v>2345</v>
      </c>
      <c r="I563" s="25">
        <f>IF(C563&lt;62,0,'Combined Retirement'!$I$13)</f>
        <v>2420</v>
      </c>
      <c r="J563" s="25">
        <f t="shared" si="523"/>
        <v>7896.2379798201846</v>
      </c>
      <c r="K563" s="25">
        <f t="shared" si="524"/>
        <v>20367.195264578786</v>
      </c>
      <c r="L563" s="25"/>
      <c r="N563" s="25">
        <f>'Combined Retirement'!$C$18/12</f>
        <v>39153.069999999992</v>
      </c>
      <c r="O563" s="25">
        <f t="shared" si="525"/>
        <v>10889.636755601023</v>
      </c>
      <c r="P563" s="25">
        <f t="shared" si="526"/>
        <v>28263.43324439897</v>
      </c>
      <c r="Q563" s="25">
        <f t="array" aca="1" ref="Q563" ca="1">INDEX('Isaac 401k'!L:L,MATCH('Retirement Calculator'!A563,'Isaac 401k'!N:N,0),0)</f>
        <v>1492244.2890484729</v>
      </c>
      <c r="R563" s="25">
        <f t="array" aca="1" ref="R563" ca="1">INDEX('Lorri 401b'!L:L,MATCH('Retirement Calculator'!A563,'Lorri 401b'!N:N,0),0)</f>
        <v>1133145.2961111881</v>
      </c>
      <c r="S563" s="25">
        <f t="shared" ca="1" si="527"/>
        <v>2625389.5851596612</v>
      </c>
    </row>
    <row r="564" spans="1:19" ht="15.75" customHeight="1" x14ac:dyDescent="0.3">
      <c r="A564" s="37">
        <v>68119</v>
      </c>
      <c r="B564" s="398">
        <f t="shared" ref="B564:C564" si="570">($A564-B$9)/365.25</f>
        <v>104.62149212867898</v>
      </c>
      <c r="C564" s="398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3254.2644699519233</v>
      </c>
      <c r="H564" s="25">
        <f>IF(B564&lt;62,0,'Combined Retirement'!$I$14)</f>
        <v>2345</v>
      </c>
      <c r="I564" s="25">
        <f>IF(C564&lt;62,0,'Combined Retirement'!$I$13)</f>
        <v>2420</v>
      </c>
      <c r="J564" s="25">
        <f t="shared" si="523"/>
        <v>7896.2379798201846</v>
      </c>
      <c r="K564" s="25">
        <f t="shared" si="524"/>
        <v>20367.195264578786</v>
      </c>
      <c r="L564" s="25"/>
      <c r="N564" s="25">
        <f>'Combined Retirement'!$C$18/12</f>
        <v>39153.069999999992</v>
      </c>
      <c r="O564" s="25">
        <f t="shared" si="525"/>
        <v>10889.636755601023</v>
      </c>
      <c r="P564" s="25">
        <f t="shared" si="526"/>
        <v>28263.43324439897</v>
      </c>
      <c r="Q564" s="25">
        <f t="array" aca="1" ref="Q564" ca="1">INDEX('Isaac 401k'!L:L,MATCH('Retirement Calculator'!A564,'Isaac 401k'!N:N,0),0)</f>
        <v>1490532.8346147721</v>
      </c>
      <c r="R564" s="25">
        <f t="array" aca="1" ref="R564" ca="1">INDEX('Lorri 401b'!L:L,MATCH('Retirement Calculator'!A564,'Lorri 401b'!N:N,0),0)</f>
        <v>1117414.6762668036</v>
      </c>
      <c r="S564" s="25">
        <f t="shared" ca="1" si="527"/>
        <v>2607947.5108815758</v>
      </c>
    </row>
    <row r="565" spans="1:19" ht="15.75" customHeight="1" x14ac:dyDescent="0.3">
      <c r="A565" s="37">
        <v>68150</v>
      </c>
      <c r="B565" s="398">
        <f t="shared" ref="B565:C565" si="571">($A565-B$9)/365.25</f>
        <v>104.70636550308008</v>
      </c>
      <c r="C565" s="398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3254.2644699519233</v>
      </c>
      <c r="H565" s="25">
        <f>IF(B565&lt;62,0,'Combined Retirement'!$I$14)</f>
        <v>2345</v>
      </c>
      <c r="I565" s="25">
        <f>IF(C565&lt;62,0,'Combined Retirement'!$I$13)</f>
        <v>2420</v>
      </c>
      <c r="J565" s="25">
        <f t="shared" si="523"/>
        <v>7896.2379798201846</v>
      </c>
      <c r="K565" s="25">
        <f t="shared" si="524"/>
        <v>20367.195264578786</v>
      </c>
      <c r="L565" s="25"/>
      <c r="N565" s="25">
        <f>'Combined Retirement'!$C$18/12</f>
        <v>39153.069999999992</v>
      </c>
      <c r="O565" s="25">
        <f t="shared" si="525"/>
        <v>10889.636755601023</v>
      </c>
      <c r="P565" s="25">
        <f t="shared" si="526"/>
        <v>28263.43324439897</v>
      </c>
      <c r="Q565" s="25">
        <f t="array" aca="1" ref="Q565" ca="1">INDEX('Isaac 401k'!L:L,MATCH('Retirement Calculator'!A565,'Isaac 401k'!N:N,0),0)</f>
        <v>1488814.2491209309</v>
      </c>
      <c r="R565" s="25">
        <f t="array" aca="1" ref="R565" ca="1">INDEX('Lorri 401b'!L:L,MATCH('Retirement Calculator'!A565,'Lorri 401b'!N:N,0),0)</f>
        <v>1101618.5121730675</v>
      </c>
      <c r="S565" s="25">
        <f t="shared" ca="1" si="527"/>
        <v>2590432.7612939985</v>
      </c>
    </row>
    <row r="566" spans="1:19" ht="15.75" customHeight="1" x14ac:dyDescent="0.3">
      <c r="A566" s="37">
        <v>68181</v>
      </c>
      <c r="B566" s="398">
        <f t="shared" ref="B566:C566" si="572">($A566-B$9)/365.25</f>
        <v>104.79123887748118</v>
      </c>
      <c r="C566" s="398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3254.2644699519233</v>
      </c>
      <c r="H566" s="25">
        <f>IF(B566&lt;62,0,'Combined Retirement'!$I$14)</f>
        <v>2345</v>
      </c>
      <c r="I566" s="25">
        <f>IF(C566&lt;62,0,'Combined Retirement'!$I$13)</f>
        <v>2420</v>
      </c>
      <c r="J566" s="25">
        <f t="shared" si="523"/>
        <v>7896.2379798201846</v>
      </c>
      <c r="K566" s="25">
        <f t="shared" si="524"/>
        <v>20367.195264578786</v>
      </c>
      <c r="L566" s="25"/>
      <c r="N566" s="25">
        <f>'Combined Retirement'!$C$18/12</f>
        <v>39153.069999999992</v>
      </c>
      <c r="O566" s="25">
        <f t="shared" si="525"/>
        <v>10889.636755601023</v>
      </c>
      <c r="P566" s="25">
        <f t="shared" si="526"/>
        <v>28263.43324439897</v>
      </c>
      <c r="Q566" s="25">
        <f t="array" aca="1" ref="Q566" ca="1">INDEX('Isaac 401k'!L:L,MATCH('Retirement Calculator'!A566,'Isaac 401k'!N:N,0),0)</f>
        <v>1487088.5028541987</v>
      </c>
      <c r="R566" s="25">
        <f t="array" aca="1" ref="R566" ca="1">INDEX('Lorri 401b'!L:L,MATCH('Retirement Calculator'!A566,'Lorri 401b'!N:N,0),0)</f>
        <v>1085756.5307289409</v>
      </c>
      <c r="S566" s="25">
        <f t="shared" ca="1" si="527"/>
        <v>2572845.0335831395</v>
      </c>
    </row>
    <row r="567" spans="1:19" ht="15.75" customHeight="1" x14ac:dyDescent="0.3">
      <c r="A567" s="37">
        <v>68211</v>
      </c>
      <c r="B567" s="398">
        <f t="shared" ref="B567:C567" si="573">($A567-B$9)/365.25</f>
        <v>104.87337440109513</v>
      </c>
      <c r="C567" s="398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3254.2644699519233</v>
      </c>
      <c r="H567" s="25">
        <f>IF(B567&lt;62,0,'Combined Retirement'!$I$14)</f>
        <v>2345</v>
      </c>
      <c r="I567" s="25">
        <f>IF(C567&lt;62,0,'Combined Retirement'!$I$13)</f>
        <v>2420</v>
      </c>
      <c r="J567" s="25">
        <f t="shared" si="523"/>
        <v>7896.2379798201846</v>
      </c>
      <c r="K567" s="25">
        <f t="shared" si="524"/>
        <v>20367.195264578786</v>
      </c>
      <c r="L567" s="25"/>
      <c r="N567" s="25">
        <f>'Combined Retirement'!$C$18/12</f>
        <v>39153.069999999992</v>
      </c>
      <c r="O567" s="25">
        <f t="shared" si="525"/>
        <v>10889.636755601023</v>
      </c>
      <c r="P567" s="25">
        <f t="shared" si="526"/>
        <v>28263.43324439897</v>
      </c>
      <c r="Q567" s="25">
        <f t="array" aca="1" ref="Q567" ca="1">INDEX('Isaac 401k'!L:L,MATCH('Retirement Calculator'!A567,'Isaac 401k'!N:N,0),0)</f>
        <v>1485355.5659780216</v>
      </c>
      <c r="R567" s="25">
        <f t="array" aca="1" ref="R567" ca="1">INDEX('Lorri 401b'!L:L,MATCH('Retirement Calculator'!A567,'Lorri 401b'!N:N,0),0)</f>
        <v>1069828.4576954637</v>
      </c>
      <c r="S567" s="25">
        <f t="shared" ca="1" si="527"/>
        <v>2555184.023673485</v>
      </c>
    </row>
    <row r="568" spans="1:19" ht="15.75" customHeight="1" x14ac:dyDescent="0.3">
      <c r="A568" s="37">
        <v>68242</v>
      </c>
      <c r="B568" s="398">
        <f t="shared" ref="B568:C568" si="574">($A568-B$9)/365.25</f>
        <v>104.95824777549623</v>
      </c>
      <c r="C568" s="398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3254.2644699519233</v>
      </c>
      <c r="H568" s="25">
        <f>IF(B568&lt;62,0,'Combined Retirement'!$I$14)</f>
        <v>2345</v>
      </c>
      <c r="I568" s="25">
        <f>IF(C568&lt;62,0,'Combined Retirement'!$I$13)</f>
        <v>2420</v>
      </c>
      <c r="J568" s="25">
        <f t="shared" si="523"/>
        <v>7896.2379798201846</v>
      </c>
      <c r="K568" s="25">
        <f t="shared" si="524"/>
        <v>20367.195264578786</v>
      </c>
      <c r="L568" s="25"/>
      <c r="N568" s="25">
        <f>'Combined Retirement'!$C$18/12</f>
        <v>39153.069999999992</v>
      </c>
      <c r="O568" s="25">
        <f t="shared" si="525"/>
        <v>10889.636755601023</v>
      </c>
      <c r="P568" s="25">
        <f t="shared" si="526"/>
        <v>28263.43324439897</v>
      </c>
      <c r="Q568" s="25">
        <f t="array" aca="1" ref="Q568" ca="1">INDEX('Isaac 401k'!L:L,MATCH('Retirement Calculator'!A568,'Isaac 401k'!N:N,0),0)</f>
        <v>1483615.4085315273</v>
      </c>
      <c r="R568" s="25">
        <f t="array" aca="1" ref="R568" ca="1">INDEX('Lorri 401b'!L:L,MATCH('Retirement Calculator'!A568,'Lorri 401b'!N:N,0),0)</f>
        <v>1053834.0176910136</v>
      </c>
      <c r="S568" s="25">
        <f t="shared" ca="1" si="527"/>
        <v>2537449.4262225409</v>
      </c>
    </row>
    <row r="569" spans="1:19" ht="15.75" customHeight="1" x14ac:dyDescent="0.3">
      <c r="A569" s="37">
        <v>68272</v>
      </c>
      <c r="B569" s="398">
        <f t="shared" ref="B569:C569" si="575">($A569-B$9)/365.25</f>
        <v>105.0403832991102</v>
      </c>
      <c r="C569" s="398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3254.2644699519233</v>
      </c>
      <c r="H569" s="25">
        <f>IF(B569&lt;62,0,'Combined Retirement'!$I$14)</f>
        <v>2345</v>
      </c>
      <c r="I569" s="25">
        <f>IF(C569&lt;62,0,'Combined Retirement'!$I$13)</f>
        <v>2420</v>
      </c>
      <c r="J569" s="25">
        <f t="shared" si="523"/>
        <v>7896.2379798201846</v>
      </c>
      <c r="K569" s="25">
        <f t="shared" si="524"/>
        <v>20367.195264578786</v>
      </c>
      <c r="L569" s="25"/>
      <c r="N569" s="25">
        <f>'Combined Retirement'!$C$18/12</f>
        <v>39153.069999999992</v>
      </c>
      <c r="O569" s="25">
        <f t="shared" si="525"/>
        <v>10889.636755601023</v>
      </c>
      <c r="P569" s="25">
        <f t="shared" si="526"/>
        <v>28263.43324439897</v>
      </c>
      <c r="Q569" s="25">
        <f t="array" aca="1" ref="Q569" ca="1">INDEX('Isaac 401k'!L:L,MATCH('Retirement Calculator'!A569,'Isaac 401k'!N:N,0),0)</f>
        <v>1481868.0004290058</v>
      </c>
      <c r="R569" s="25">
        <f t="array" aca="1" ref="R569" ca="1">INDEX('Lorri 401b'!L:L,MATCH('Retirement Calculator'!A569,'Lorri 401b'!N:N,0),0)</f>
        <v>1037772.934186545</v>
      </c>
      <c r="S569" s="25">
        <f t="shared" ca="1" si="527"/>
        <v>2519640.9346155506</v>
      </c>
    </row>
    <row r="570" spans="1:19" ht="15.75" customHeight="1" x14ac:dyDescent="0.3">
      <c r="A570" s="37">
        <v>68303</v>
      </c>
      <c r="B570" s="398">
        <f t="shared" ref="B570:C570" si="576">($A570-B$9)/365.25</f>
        <v>105.12525667351129</v>
      </c>
      <c r="C570" s="398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3254.2644699519233</v>
      </c>
      <c r="H570" s="25">
        <f>IF(B570&lt;62,0,'Combined Retirement'!$I$14)</f>
        <v>2345</v>
      </c>
      <c r="I570" s="25">
        <f>IF(C570&lt;62,0,'Combined Retirement'!$I$13)</f>
        <v>2420</v>
      </c>
      <c r="J570" s="25">
        <f t="shared" si="523"/>
        <v>7896.2379798201846</v>
      </c>
      <c r="K570" s="25">
        <f t="shared" si="524"/>
        <v>20367.195264578786</v>
      </c>
      <c r="L570" s="25"/>
      <c r="N570" s="25">
        <f>'Combined Retirement'!$C$18/12</f>
        <v>39153.069999999992</v>
      </c>
      <c r="O570" s="25">
        <f t="shared" si="525"/>
        <v>10889.636755601023</v>
      </c>
      <c r="P570" s="25">
        <f t="shared" si="526"/>
        <v>28263.43324439897</v>
      </c>
      <c r="Q570" s="25">
        <f t="array" aca="1" ref="Q570" ca="1">INDEX('Isaac 401k'!L:L,MATCH('Retirement Calculator'!A570,'Isaac 401k'!N:N,0),0)</f>
        <v>1480113.3114593904</v>
      </c>
      <c r="R570" s="25">
        <f t="array" aca="1" ref="R570" ca="1">INDEX('Lorri 401b'!L:L,MATCH('Retirement Calculator'!A570,'Lorri 401b'!N:N,0),0)</f>
        <v>1021644.9295008077</v>
      </c>
      <c r="S570" s="25">
        <f t="shared" ca="1" si="527"/>
        <v>2501758.240960198</v>
      </c>
    </row>
    <row r="571" spans="1:19" ht="15.75" customHeight="1" x14ac:dyDescent="0.3">
      <c r="A571" s="37">
        <v>68334</v>
      </c>
      <c r="B571" s="398">
        <f t="shared" ref="B571:C571" si="577">($A571-B$9)/365.25</f>
        <v>105.21013004791239</v>
      </c>
      <c r="C571" s="398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3254.2644699519233</v>
      </c>
      <c r="H571" s="25">
        <f>IF(B571&lt;62,0,'Combined Retirement'!$I$14)</f>
        <v>2345</v>
      </c>
      <c r="I571" s="25">
        <f>IF(C571&lt;62,0,'Combined Retirement'!$I$13)</f>
        <v>2420</v>
      </c>
      <c r="J571" s="25">
        <f t="shared" si="523"/>
        <v>7896.2379798201846</v>
      </c>
      <c r="K571" s="25">
        <f t="shared" si="524"/>
        <v>20367.195264578786</v>
      </c>
      <c r="L571" s="25"/>
      <c r="N571" s="25">
        <f>'Combined Retirement'!$C$18/12</f>
        <v>39153.069999999992</v>
      </c>
      <c r="O571" s="25">
        <f t="shared" si="525"/>
        <v>10889.636755601023</v>
      </c>
      <c r="P571" s="25">
        <f t="shared" si="526"/>
        <v>28263.43324439897</v>
      </c>
      <c r="Q571" s="25">
        <f t="array" aca="1" ref="Q571" ca="1">INDEX('Isaac 401k'!L:L,MATCH('Retirement Calculator'!A571,'Isaac 401k'!N:N,0),0)</f>
        <v>1478351.3112857351</v>
      </c>
      <c r="R571" s="25">
        <f t="array" aca="1" ref="R571" ca="1">INDEX('Lorri 401b'!L:L,MATCH('Retirement Calculator'!A571,'Lorri 401b'!N:N,0),0)</f>
        <v>1005449.7247955465</v>
      </c>
      <c r="S571" s="25">
        <f t="shared" ca="1" si="527"/>
        <v>2483801.0360812815</v>
      </c>
    </row>
    <row r="572" spans="1:19" ht="15.75" customHeight="1" x14ac:dyDescent="0.3">
      <c r="A572" s="37">
        <v>68362</v>
      </c>
      <c r="B572" s="398">
        <f t="shared" ref="B572:C572" si="578">($A572-B$9)/365.25</f>
        <v>105.28678986995209</v>
      </c>
      <c r="C572" s="398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3254.2644699519233</v>
      </c>
      <c r="H572" s="25">
        <f>IF(B572&lt;62,0,'Combined Retirement'!$I$14)</f>
        <v>2345</v>
      </c>
      <c r="I572" s="25">
        <f>IF(C572&lt;62,0,'Combined Retirement'!$I$13)</f>
        <v>2420</v>
      </c>
      <c r="J572" s="25">
        <f t="shared" si="523"/>
        <v>7896.2379798201846</v>
      </c>
      <c r="K572" s="25">
        <f t="shared" si="524"/>
        <v>20367.195264578786</v>
      </c>
      <c r="L572" s="25"/>
      <c r="N572" s="25">
        <f>'Combined Retirement'!$C$18/12</f>
        <v>39153.069999999992</v>
      </c>
      <c r="O572" s="25">
        <f t="shared" si="525"/>
        <v>10889.636755601023</v>
      </c>
      <c r="P572" s="25">
        <f t="shared" si="526"/>
        <v>28263.43324439897</v>
      </c>
      <c r="Q572" s="25">
        <f t="array" aca="1" ref="Q572" ca="1">INDEX('Isaac 401k'!L:L,MATCH('Retirement Calculator'!A572,'Isaac 401k'!N:N,0),0)</f>
        <v>1476581.9694446896</v>
      </c>
      <c r="R572" s="25">
        <f t="array" aca="1" ref="R572" ca="1">INDEX('Lorri 401b'!L:L,MATCH('Retirement Calculator'!A572,'Lorri 401b'!N:N,0),0)</f>
        <v>989187.04007068009</v>
      </c>
      <c r="S572" s="25">
        <f t="shared" ca="1" si="527"/>
        <v>2465769.0095153698</v>
      </c>
    </row>
    <row r="573" spans="1:19" ht="15.75" customHeight="1" x14ac:dyDescent="0.3">
      <c r="A573" s="37">
        <v>68393</v>
      </c>
      <c r="B573" s="398">
        <f t="shared" ref="B573:C573" si="579">($A573-B$9)/365.25</f>
        <v>105.37166324435319</v>
      </c>
      <c r="C573" s="398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3254.2644699519233</v>
      </c>
      <c r="H573" s="25">
        <f>IF(B573&lt;62,0,'Combined Retirement'!$I$14)</f>
        <v>2345</v>
      </c>
      <c r="I573" s="25">
        <f>IF(C573&lt;62,0,'Combined Retirement'!$I$13)</f>
        <v>2420</v>
      </c>
      <c r="J573" s="25">
        <f t="shared" si="523"/>
        <v>7896.2379798201846</v>
      </c>
      <c r="K573" s="25">
        <f t="shared" si="524"/>
        <v>20367.195264578786</v>
      </c>
      <c r="L573" s="25"/>
      <c r="N573" s="25">
        <f>'Combined Retirement'!$C$18/12</f>
        <v>39153.069999999992</v>
      </c>
      <c r="O573" s="25">
        <f t="shared" si="525"/>
        <v>10889.636755601023</v>
      </c>
      <c r="P573" s="25">
        <f t="shared" si="526"/>
        <v>28263.43324439897</v>
      </c>
      <c r="Q573" s="25">
        <f t="array" aca="1" ref="Q573" ca="1">INDEX('Isaac 401k'!L:L,MATCH('Retirement Calculator'!A573,'Isaac 401k'!N:N,0),0)</f>
        <v>1474805.255345973</v>
      </c>
      <c r="R573" s="25">
        <f t="array" aca="1" ref="R573" ca="1">INDEX('Lorri 401b'!L:L,MATCH('Retirement Calculator'!A573,'Lorri 401b'!N:N,0),0)</f>
        <v>972856.59415946004</v>
      </c>
      <c r="S573" s="25">
        <f t="shared" ca="1" si="527"/>
        <v>2447661.8495054329</v>
      </c>
    </row>
    <row r="574" spans="1:19" ht="15.75" customHeight="1" x14ac:dyDescent="0.3">
      <c r="A574" s="37">
        <v>68423</v>
      </c>
      <c r="B574" s="398">
        <f t="shared" ref="B574:C574" si="580">($A574-B$9)/365.25</f>
        <v>105.45379876796714</v>
      </c>
      <c r="C574" s="398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3254.2644699519233</v>
      </c>
      <c r="H574" s="25">
        <f>IF(B574&lt;62,0,'Combined Retirement'!$I$14)</f>
        <v>2345</v>
      </c>
      <c r="I574" s="25">
        <f>IF(C574&lt;62,0,'Combined Retirement'!$I$13)</f>
        <v>2420</v>
      </c>
      <c r="J574" s="25">
        <f t="shared" si="523"/>
        <v>7896.2379798201846</v>
      </c>
      <c r="K574" s="25">
        <f t="shared" si="524"/>
        <v>20367.195264578786</v>
      </c>
      <c r="L574" s="25"/>
      <c r="N574" s="25">
        <f>'Combined Retirement'!$C$18/12</f>
        <v>39153.069999999992</v>
      </c>
      <c r="O574" s="25">
        <f t="shared" si="525"/>
        <v>10889.636755601023</v>
      </c>
      <c r="P574" s="25">
        <f t="shared" si="526"/>
        <v>28263.43324439897</v>
      </c>
      <c r="Q574" s="25">
        <f t="array" aca="1" ref="Q574" ca="1">INDEX('Isaac 401k'!L:L,MATCH('Retirement Calculator'!A574,'Isaac 401k'!N:N,0),0)</f>
        <v>1473021.1382718449</v>
      </c>
      <c r="R574" s="25">
        <f t="array" aca="1" ref="R574" ca="1">INDEX('Lorri 401b'!L:L,MATCH('Retirement Calculator'!A574,'Lorri 401b'!N:N,0),0)</f>
        <v>956458.10472360987</v>
      </c>
      <c r="S574" s="25">
        <f t="shared" ca="1" si="527"/>
        <v>2429479.2429954549</v>
      </c>
    </row>
    <row r="575" spans="1:19" ht="15.75" customHeight="1" x14ac:dyDescent="0.3">
      <c r="A575" s="37">
        <v>68454</v>
      </c>
      <c r="B575" s="398">
        <f t="shared" ref="B575:C575" si="581">($A575-B$9)/365.25</f>
        <v>105.53867214236824</v>
      </c>
      <c r="C575" s="398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3254.2644699519233</v>
      </c>
      <c r="H575" s="25">
        <f>IF(B575&lt;62,0,'Combined Retirement'!$I$14)</f>
        <v>2345</v>
      </c>
      <c r="I575" s="25">
        <f>IF(C575&lt;62,0,'Combined Retirement'!$I$13)</f>
        <v>2420</v>
      </c>
      <c r="J575" s="25">
        <f t="shared" si="523"/>
        <v>7896.2379798201846</v>
      </c>
      <c r="K575" s="25">
        <f t="shared" si="524"/>
        <v>20367.195264578786</v>
      </c>
      <c r="L575" s="25"/>
      <c r="N575" s="25">
        <f>'Combined Retirement'!$C$18/12</f>
        <v>39153.069999999992</v>
      </c>
      <c r="O575" s="25">
        <f t="shared" si="525"/>
        <v>10889.636755601023</v>
      </c>
      <c r="P575" s="25">
        <f t="shared" si="526"/>
        <v>28263.43324439897</v>
      </c>
      <c r="Q575" s="25">
        <f t="array" aca="1" ref="Q575" ca="1">INDEX('Isaac 401k'!L:L,MATCH('Retirement Calculator'!A575,'Isaac 401k'!N:N,0),0)</f>
        <v>1471229.5873765748</v>
      </c>
      <c r="R575" s="25">
        <f t="array" aca="1" ref="R575" ca="1">INDEX('Lorri 401b'!L:L,MATCH('Retirement Calculator'!A575,'Lorri 401b'!N:N,0),0)</f>
        <v>939991.28824844374</v>
      </c>
      <c r="S575" s="25">
        <f t="shared" ca="1" si="527"/>
        <v>2411220.8756250185</v>
      </c>
    </row>
    <row r="576" spans="1:19" ht="15.75" customHeight="1" x14ac:dyDescent="0.3">
      <c r="A576" s="37">
        <v>68484</v>
      </c>
      <c r="B576" s="398">
        <f t="shared" ref="B576:C576" si="582">($A576-B$9)/365.25</f>
        <v>105.6208076659822</v>
      </c>
      <c r="C576" s="398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3254.2644699519233</v>
      </c>
      <c r="H576" s="25">
        <f>IF(B576&lt;62,0,'Combined Retirement'!$I$14)</f>
        <v>2345</v>
      </c>
      <c r="I576" s="25">
        <f>IF(C576&lt;62,0,'Combined Retirement'!$I$13)</f>
        <v>2420</v>
      </c>
      <c r="J576" s="25">
        <f t="shared" si="523"/>
        <v>7896.2379798201846</v>
      </c>
      <c r="K576" s="25">
        <f t="shared" si="524"/>
        <v>20367.195264578786</v>
      </c>
      <c r="L576" s="25"/>
      <c r="N576" s="25">
        <f>'Combined Retirement'!$C$18/12</f>
        <v>39153.069999999992</v>
      </c>
      <c r="O576" s="25">
        <f t="shared" si="525"/>
        <v>10889.636755601023</v>
      </c>
      <c r="P576" s="25">
        <f t="shared" si="526"/>
        <v>28263.43324439897</v>
      </c>
      <c r="Q576" s="25">
        <f t="array" aca="1" ref="Q576" ca="1">INDEX('Isaac 401k'!L:L,MATCH('Retirement Calculator'!A576,'Isaac 401k'!N:N,0),0)</f>
        <v>1469430.5716859077</v>
      </c>
      <c r="R576" s="25">
        <f t="array" aca="1" ref="R576" ca="1">INDEX('Lorri 401b'!L:L,MATCH('Retirement Calculator'!A576,'Lorri 401b'!N:N,0),0)</f>
        <v>923455.86003796442</v>
      </c>
      <c r="S576" s="25">
        <f t="shared" ca="1" si="527"/>
        <v>2392886.4317238722</v>
      </c>
    </row>
    <row r="577" spans="1:19" ht="15.75" customHeight="1" x14ac:dyDescent="0.3">
      <c r="A577" s="37">
        <v>68515</v>
      </c>
      <c r="B577" s="398">
        <f t="shared" ref="B577:C577" si="583">($A577-B$9)/365.25</f>
        <v>105.7056810403833</v>
      </c>
      <c r="C577" s="398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3254.2644699519233</v>
      </c>
      <c r="H577" s="25">
        <f>IF(B577&lt;62,0,'Combined Retirement'!$I$14)</f>
        <v>2345</v>
      </c>
      <c r="I577" s="25">
        <f>IF(C577&lt;62,0,'Combined Retirement'!$I$13)</f>
        <v>2420</v>
      </c>
      <c r="J577" s="25">
        <f t="shared" si="523"/>
        <v>7896.2379798201846</v>
      </c>
      <c r="K577" s="25">
        <f t="shared" si="524"/>
        <v>20367.195264578786</v>
      </c>
      <c r="L577" s="25"/>
      <c r="N577" s="25">
        <f>'Combined Retirement'!$C$18/12</f>
        <v>39153.069999999992</v>
      </c>
      <c r="O577" s="25">
        <f t="shared" si="525"/>
        <v>10889.636755601023</v>
      </c>
      <c r="P577" s="25">
        <f t="shared" si="526"/>
        <v>28263.43324439897</v>
      </c>
      <c r="Q577" s="25">
        <f t="array" aca="1" ref="Q577" ca="1">INDEX('Isaac 401k'!L:L,MATCH('Retirement Calculator'!A577,'Isaac 401k'!N:N,0),0)</f>
        <v>1467624.0600965295</v>
      </c>
      <c r="R577" s="25">
        <f t="array" aca="1" ref="R577" ca="1">INDEX('Lorri 401b'!L:L,MATCH('Retirement Calculator'!A577,'Lorri 401b'!N:N,0),0)</f>
        <v>906851.5342099414</v>
      </c>
      <c r="S577" s="25">
        <f t="shared" ca="1" si="527"/>
        <v>2374475.5943064708</v>
      </c>
    </row>
    <row r="578" spans="1:19" ht="15.75" customHeight="1" x14ac:dyDescent="0.3">
      <c r="A578" s="37">
        <v>68546</v>
      </c>
      <c r="B578" s="398">
        <f t="shared" ref="B578:C578" si="584">($A578-B$9)/365.25</f>
        <v>105.7905544147844</v>
      </c>
      <c r="C578" s="398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3254.2644699519233</v>
      </c>
      <c r="H578" s="25">
        <f>IF(B578&lt;62,0,'Combined Retirement'!$I$14)</f>
        <v>2345</v>
      </c>
      <c r="I578" s="25">
        <f>IF(C578&lt;62,0,'Combined Retirement'!$I$13)</f>
        <v>2420</v>
      </c>
      <c r="J578" s="25">
        <f t="shared" si="523"/>
        <v>7896.2379798201846</v>
      </c>
      <c r="K578" s="25">
        <f t="shared" si="524"/>
        <v>20367.195264578786</v>
      </c>
      <c r="L578" s="25"/>
      <c r="N578" s="25">
        <f>'Combined Retirement'!$C$18/12</f>
        <v>39153.069999999992</v>
      </c>
      <c r="O578" s="25">
        <f t="shared" si="525"/>
        <v>10889.636755601023</v>
      </c>
      <c r="P578" s="25">
        <f t="shared" si="526"/>
        <v>28263.43324439897</v>
      </c>
      <c r="Q578" s="25">
        <f t="array" aca="1" ref="Q578" ca="1">INDEX('Isaac 401k'!L:L,MATCH('Retirement Calculator'!A578,'Isaac 401k'!N:N,0),0)</f>
        <v>1465810.021375529</v>
      </c>
      <c r="R578" s="25">
        <f t="array" aca="1" ref="R578" ca="1">INDEX('Lorri 401b'!L:L,MATCH('Retirement Calculator'!A578,'Lorri 401b'!N:N,0),0)</f>
        <v>890178.02369096829</v>
      </c>
      <c r="S578" s="25">
        <f t="shared" ca="1" si="527"/>
        <v>2355988.0450664973</v>
      </c>
    </row>
    <row r="579" spans="1:19" ht="15.75" customHeight="1" x14ac:dyDescent="0.3">
      <c r="A579" s="37">
        <v>68576</v>
      </c>
      <c r="B579" s="398">
        <f t="shared" ref="B579:C579" si="585">($A579-B$9)/365.25</f>
        <v>105.87268993839835</v>
      </c>
      <c r="C579" s="398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3254.2644699519233</v>
      </c>
      <c r="H579" s="25">
        <f>IF(B579&lt;62,0,'Combined Retirement'!$I$14)</f>
        <v>2345</v>
      </c>
      <c r="I579" s="25">
        <f>IF(C579&lt;62,0,'Combined Retirement'!$I$13)</f>
        <v>2420</v>
      </c>
      <c r="J579" s="25">
        <f t="shared" si="523"/>
        <v>7896.2379798201846</v>
      </c>
      <c r="K579" s="25">
        <f t="shared" si="524"/>
        <v>20367.195264578786</v>
      </c>
      <c r="L579" s="25"/>
      <c r="N579" s="25">
        <f>'Combined Retirement'!$C$18/12</f>
        <v>39153.069999999992</v>
      </c>
      <c r="O579" s="25">
        <f t="shared" si="525"/>
        <v>10889.636755601023</v>
      </c>
      <c r="P579" s="25">
        <f t="shared" si="526"/>
        <v>28263.43324439897</v>
      </c>
      <c r="Q579" s="25">
        <f t="array" aca="1" ref="Q579" ca="1">INDEX('Isaac 401k'!L:L,MATCH('Retirement Calculator'!A579,'Isaac 401k'!N:N,0),0)</f>
        <v>1463988.4241598574</v>
      </c>
      <c r="R579" s="25">
        <f t="array" aca="1" ref="R579" ca="1">INDEX('Lorri 401b'!L:L,MATCH('Retirement Calculator'!A579,'Lorri 401b'!N:N,0),0)</f>
        <v>873435.04021149944</v>
      </c>
      <c r="S579" s="25">
        <f t="shared" ca="1" si="527"/>
        <v>2337423.4643713571</v>
      </c>
    </row>
    <row r="580" spans="1:19" ht="15.75" customHeight="1" x14ac:dyDescent="0.3">
      <c r="A580" s="37">
        <v>68607</v>
      </c>
      <c r="B580" s="398">
        <f t="shared" ref="B580:C580" si="586">($A580-B$9)/365.25</f>
        <v>105.95756331279945</v>
      </c>
      <c r="C580" s="398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3254.2644699519233</v>
      </c>
      <c r="H580" s="25">
        <f>IF(B580&lt;62,0,'Combined Retirement'!$I$14)</f>
        <v>2345</v>
      </c>
      <c r="I580" s="25">
        <f>IF(C580&lt;62,0,'Combined Retirement'!$I$13)</f>
        <v>2420</v>
      </c>
      <c r="J580" s="25">
        <f t="shared" si="523"/>
        <v>7896.2379798201846</v>
      </c>
      <c r="K580" s="25">
        <f t="shared" si="524"/>
        <v>20367.195264578786</v>
      </c>
      <c r="L580" s="25"/>
      <c r="N580" s="25">
        <f>'Combined Retirement'!$C$18/12</f>
        <v>39153.069999999992</v>
      </c>
      <c r="O580" s="25">
        <f t="shared" si="525"/>
        <v>10889.636755601023</v>
      </c>
      <c r="P580" s="25">
        <f t="shared" si="526"/>
        <v>28263.43324439897</v>
      </c>
      <c r="Q580" s="25">
        <f t="array" aca="1" ref="Q580" ca="1">INDEX('Isaac 401k'!L:L,MATCH('Retirement Calculator'!A580,'Isaac 401k'!N:N,0),0)</f>
        <v>1462159.2369557873</v>
      </c>
      <c r="R580" s="25">
        <f t="array" aca="1" ref="R580" ca="1">INDEX('Lorri 401b'!L:L,MATCH('Retirement Calculator'!A580,'Lorri 401b'!N:N,0),0)</f>
        <v>856622.2943008662</v>
      </c>
      <c r="S580" s="25">
        <f t="shared" ca="1" si="527"/>
        <v>2318781.5312566534</v>
      </c>
    </row>
    <row r="581" spans="1:19" ht="15.75" customHeight="1" x14ac:dyDescent="0.3">
      <c r="A581" s="37">
        <v>68637</v>
      </c>
      <c r="B581" s="398">
        <f t="shared" ref="B581:C581" si="587">($A581-B$9)/365.25</f>
        <v>106.03969883641342</v>
      </c>
      <c r="C581" s="398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3254.2644699519233</v>
      </c>
      <c r="H581" s="25">
        <f>IF(B581&lt;62,0,'Combined Retirement'!$I$14)</f>
        <v>2345</v>
      </c>
      <c r="I581" s="25">
        <f>IF(C581&lt;62,0,'Combined Retirement'!$I$13)</f>
        <v>2420</v>
      </c>
      <c r="J581" s="25">
        <f t="shared" si="523"/>
        <v>7896.2379798201846</v>
      </c>
      <c r="K581" s="25">
        <f t="shared" si="524"/>
        <v>20367.195264578786</v>
      </c>
      <c r="L581" s="25"/>
      <c r="N581" s="25">
        <f>'Combined Retirement'!$C$18/12</f>
        <v>39153.069999999992</v>
      </c>
      <c r="O581" s="25">
        <f t="shared" si="525"/>
        <v>10889.636755601023</v>
      </c>
      <c r="P581" s="25">
        <f t="shared" si="526"/>
        <v>28263.43324439897</v>
      </c>
      <c r="Q581" s="25">
        <f t="array" aca="1" ref="Q581" ca="1">INDEX('Isaac 401k'!L:L,MATCH('Retirement Calculator'!A581,'Isaac 401k'!N:N,0),0)</f>
        <v>1460322.4281383669</v>
      </c>
      <c r="R581" s="25">
        <f t="array" aca="1" ref="R581" ca="1">INDEX('Lorri 401b'!L:L,MATCH('Retirement Calculator'!A581,'Lorri 401b'!N:N,0),0)</f>
        <v>839739.49528227188</v>
      </c>
      <c r="S581" s="25">
        <f t="shared" ca="1" si="527"/>
        <v>2300061.9234206388</v>
      </c>
    </row>
    <row r="582" spans="1:19" ht="15.75" customHeight="1" x14ac:dyDescent="0.3">
      <c r="A582" s="37">
        <v>68668</v>
      </c>
      <c r="B582" s="398">
        <f t="shared" ref="B582:C582" si="588">($A582-B$9)/365.25</f>
        <v>106.12457221081451</v>
      </c>
      <c r="C582" s="398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3254.2644699519233</v>
      </c>
      <c r="H582" s="25">
        <f>IF(B582&lt;62,0,'Combined Retirement'!$I$14)</f>
        <v>2345</v>
      </c>
      <c r="I582" s="25">
        <f>IF(C582&lt;62,0,'Combined Retirement'!$I$13)</f>
        <v>2420</v>
      </c>
      <c r="J582" s="25">
        <f t="shared" si="523"/>
        <v>7896.2379798201846</v>
      </c>
      <c r="K582" s="25">
        <f t="shared" si="524"/>
        <v>20367.195264578786</v>
      </c>
      <c r="L582" s="25"/>
      <c r="N582" s="25">
        <f>'Combined Retirement'!$C$18/12</f>
        <v>39153.069999999992</v>
      </c>
      <c r="O582" s="25">
        <f t="shared" si="525"/>
        <v>10889.636755601023</v>
      </c>
      <c r="P582" s="25">
        <f t="shared" si="526"/>
        <v>28263.43324439897</v>
      </c>
      <c r="Q582" s="25">
        <f t="array" aca="1" ref="Q582" ca="1">INDEX('Isaac 401k'!L:L,MATCH('Retirement Calculator'!A582,'Isaac 401k'!N:N,0),0)</f>
        <v>1458477.9659508739</v>
      </c>
      <c r="R582" s="25">
        <f t="array" aca="1" ref="R582" ca="1">INDEX('Lorri 401b'!L:L,MATCH('Retirement Calculator'!A582,'Lorri 401b'!N:N,0),0)</f>
        <v>822786.35126776679</v>
      </c>
      <c r="S582" s="25">
        <f t="shared" ca="1" si="527"/>
        <v>2281264.3172186408</v>
      </c>
    </row>
    <row r="583" spans="1:19" ht="15.75" customHeight="1" x14ac:dyDescent="0.3">
      <c r="A583" s="37">
        <v>68699</v>
      </c>
      <c r="B583" s="398">
        <f t="shared" ref="B583:C583" si="589">($A583-B$9)/365.25</f>
        <v>106.2094455852156</v>
      </c>
      <c r="C583" s="398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3254.2644699519233</v>
      </c>
      <c r="H583" s="25">
        <f>IF(B583&lt;62,0,'Combined Retirement'!$I$14)</f>
        <v>2345</v>
      </c>
      <c r="I583" s="25">
        <f>IF(C583&lt;62,0,'Combined Retirement'!$I$13)</f>
        <v>2420</v>
      </c>
      <c r="J583" s="25">
        <f t="shared" si="523"/>
        <v>7896.2379798201846</v>
      </c>
      <c r="K583" s="25">
        <f t="shared" si="524"/>
        <v>20367.195264578786</v>
      </c>
      <c r="L583" s="25"/>
      <c r="N583" s="25">
        <f>'Combined Retirement'!$C$18/12</f>
        <v>39153.069999999992</v>
      </c>
      <c r="O583" s="25">
        <f t="shared" si="525"/>
        <v>10889.636755601023</v>
      </c>
      <c r="P583" s="25">
        <f t="shared" si="526"/>
        <v>28263.43324439897</v>
      </c>
      <c r="Q583" s="25">
        <f t="array" aca="1" ref="Q583" ca="1">INDEX('Isaac 401k'!L:L,MATCH('Retirement Calculator'!A583,'Isaac 401k'!N:N,0),0)</f>
        <v>1456625.8185042664</v>
      </c>
      <c r="R583" s="25">
        <f t="array" aca="1" ref="R583" ca="1">INDEX('Lorri 401b'!L:L,MATCH('Retirement Calculator'!A583,'Lorri 401b'!N:N,0),0)</f>
        <v>805762.5691532013</v>
      </c>
      <c r="S583" s="25">
        <f t="shared" ca="1" si="527"/>
        <v>2262388.3876574677</v>
      </c>
    </row>
    <row r="584" spans="1:19" ht="15.75" customHeight="1" x14ac:dyDescent="0.3">
      <c r="A584" s="37">
        <v>68728</v>
      </c>
      <c r="B584" s="398">
        <f t="shared" ref="B584:C584" si="590">($A584-B$9)/365.25</f>
        <v>106.28884325804243</v>
      </c>
      <c r="C584" s="398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3254.2644699519233</v>
      </c>
      <c r="H584" s="25">
        <f>IF(B584&lt;62,0,'Combined Retirement'!$I$14)</f>
        <v>2345</v>
      </c>
      <c r="I584" s="25">
        <f>IF(C584&lt;62,0,'Combined Retirement'!$I$13)</f>
        <v>2420</v>
      </c>
      <c r="J584" s="25">
        <f t="shared" si="523"/>
        <v>7896.2379798201846</v>
      </c>
      <c r="K584" s="25">
        <f t="shared" si="524"/>
        <v>20367.195264578786</v>
      </c>
      <c r="L584" s="25"/>
      <c r="N584" s="25">
        <f>'Combined Retirement'!$C$18/12</f>
        <v>39153.069999999992</v>
      </c>
      <c r="O584" s="25">
        <f t="shared" si="525"/>
        <v>10889.636755601023</v>
      </c>
      <c r="P584" s="25">
        <f t="shared" si="526"/>
        <v>28263.43324439897</v>
      </c>
      <c r="Q584" s="25">
        <f t="array" aca="1" ref="Q584" ca="1">INDEX('Isaac 401k'!L:L,MATCH('Retirement Calculator'!A584,'Isaac 401k'!N:N,0),0)</f>
        <v>1454765.9537766315</v>
      </c>
      <c r="R584" s="25">
        <f t="array" aca="1" ref="R584" ca="1">INDEX('Lorri 401b'!L:L,MATCH('Retirement Calculator'!A584,'Lorri 401b'!N:N,0),0)</f>
        <v>788667.85461315839</v>
      </c>
      <c r="S584" s="25">
        <f t="shared" ca="1" si="527"/>
        <v>2243433.8083897899</v>
      </c>
    </row>
    <row r="585" spans="1:19" ht="15.75" customHeight="1" x14ac:dyDescent="0.3">
      <c r="A585" s="37">
        <v>68759</v>
      </c>
      <c r="B585" s="398">
        <f t="shared" ref="B585:C585" si="591">($A585-B$9)/365.25</f>
        <v>106.37371663244353</v>
      </c>
      <c r="C585" s="398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3254.2644699519233</v>
      </c>
      <c r="H585" s="25">
        <f>IF(B585&lt;62,0,'Combined Retirement'!$I$14)</f>
        <v>2345</v>
      </c>
      <c r="I585" s="25">
        <f>IF(C585&lt;62,0,'Combined Retirement'!$I$13)</f>
        <v>2420</v>
      </c>
      <c r="J585" s="25">
        <f t="shared" si="523"/>
        <v>7896.2379798201846</v>
      </c>
      <c r="K585" s="25">
        <f t="shared" si="524"/>
        <v>20367.195264578786</v>
      </c>
      <c r="L585" s="25"/>
      <c r="N585" s="25">
        <f>'Combined Retirement'!$C$18/12</f>
        <v>39153.069999999992</v>
      </c>
      <c r="O585" s="25">
        <f t="shared" si="525"/>
        <v>10889.636755601023</v>
      </c>
      <c r="P585" s="25">
        <f t="shared" si="526"/>
        <v>28263.43324439897</v>
      </c>
      <c r="Q585" s="25">
        <f t="array" aca="1" ref="Q585" ca="1">INDEX('Isaac 401k'!L:L,MATCH('Retirement Calculator'!A585,'Isaac 401k'!N:N,0),0)</f>
        <v>1452898.3396126314</v>
      </c>
      <c r="R585" s="25">
        <f t="array" aca="1" ref="R585" ca="1">INDEX('Lorri 401b'!L:L,MATCH('Retirement Calculator'!A585,'Lorri 401b'!N:N,0),0)</f>
        <v>771501.91209586535</v>
      </c>
      <c r="S585" s="25">
        <f t="shared" ca="1" si="527"/>
        <v>2224400.2517084968</v>
      </c>
    </row>
    <row r="586" spans="1:19" ht="15.75" customHeight="1" x14ac:dyDescent="0.3">
      <c r="A586" s="37">
        <v>68789</v>
      </c>
      <c r="B586" s="398">
        <f t="shared" ref="B586:C586" si="592">($A586-B$9)/365.25</f>
        <v>106.45585215605749</v>
      </c>
      <c r="C586" s="398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3254.2644699519233</v>
      </c>
      <c r="H586" s="25">
        <f>IF(B586&lt;62,0,'Combined Retirement'!$I$14)</f>
        <v>2345</v>
      </c>
      <c r="I586" s="25">
        <f>IF(C586&lt;62,0,'Combined Retirement'!$I$13)</f>
        <v>2420</v>
      </c>
      <c r="J586" s="25">
        <f t="shared" si="523"/>
        <v>7896.2379798201846</v>
      </c>
      <c r="K586" s="25">
        <f t="shared" si="524"/>
        <v>20367.195264578786</v>
      </c>
      <c r="L586" s="25"/>
      <c r="N586" s="25">
        <f>'Combined Retirement'!$C$18/12</f>
        <v>39153.069999999992</v>
      </c>
      <c r="O586" s="25">
        <f t="shared" si="525"/>
        <v>10889.636755601023</v>
      </c>
      <c r="P586" s="25">
        <f t="shared" si="526"/>
        <v>28263.43324439897</v>
      </c>
      <c r="Q586" s="25">
        <f t="array" aca="1" ref="Q586" ca="1">INDEX('Isaac 401k'!L:L,MATCH('Retirement Calculator'!A586,'Isaac 401k'!N:N,0),0)</f>
        <v>1451022.9437229477</v>
      </c>
      <c r="R586" s="25">
        <f t="array" aca="1" ref="R586" ca="1">INDEX('Lorri 401b'!L:L,MATCH('Retirement Calculator'!A586,'Lorri 401b'!N:N,0),0)</f>
        <v>754264.44481808355</v>
      </c>
      <c r="S586" s="25">
        <f t="shared" ca="1" si="527"/>
        <v>2205287.3885410312</v>
      </c>
    </row>
    <row r="587" spans="1:19" ht="15.75" customHeight="1" x14ac:dyDescent="0.3">
      <c r="A587" s="37">
        <v>68820</v>
      </c>
      <c r="B587" s="398">
        <f t="shared" ref="B587:C587" si="593">($A587-B$9)/365.25</f>
        <v>106.54072553045859</v>
      </c>
      <c r="C587" s="398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3254.2644699519233</v>
      </c>
      <c r="H587" s="25">
        <f>IF(B587&lt;62,0,'Combined Retirement'!$I$14)</f>
        <v>2345</v>
      </c>
      <c r="I587" s="25">
        <f>IF(C587&lt;62,0,'Combined Retirement'!$I$13)</f>
        <v>2420</v>
      </c>
      <c r="J587" s="25">
        <f t="shared" si="523"/>
        <v>7896.2379798201846</v>
      </c>
      <c r="K587" s="25">
        <f t="shared" si="524"/>
        <v>20367.195264578786</v>
      </c>
      <c r="L587" s="25"/>
      <c r="N587" s="25">
        <f>'Combined Retirement'!$C$18/12</f>
        <v>39153.069999999992</v>
      </c>
      <c r="O587" s="25">
        <f t="shared" si="525"/>
        <v>10889.636755601023</v>
      </c>
      <c r="P587" s="25">
        <f t="shared" si="526"/>
        <v>28263.43324439897</v>
      </c>
      <c r="Q587" s="25">
        <f t="array" aca="1" ref="Q587" ca="1">INDEX('Isaac 401k'!L:L,MATCH('Retirement Calculator'!A587,'Isaac 401k'!N:N,0),0)</f>
        <v>1449139.733683724</v>
      </c>
      <c r="R587" s="25">
        <f t="array" aca="1" ref="R587" ca="1">INDEX('Lorri 401b'!L:L,MATCH('Retirement Calculator'!A587,'Lorri 401b'!N:N,0),0)</f>
        <v>736955.15475997771</v>
      </c>
      <c r="S587" s="25">
        <f t="shared" ca="1" si="527"/>
        <v>2186094.8884437019</v>
      </c>
    </row>
    <row r="588" spans="1:19" ht="15.75" customHeight="1" x14ac:dyDescent="0.3">
      <c r="A588" s="37">
        <v>68850</v>
      </c>
      <c r="B588" s="398">
        <f t="shared" ref="B588:C588" si="594">($A588-B$9)/365.25</f>
        <v>106.62286105407256</v>
      </c>
      <c r="C588" s="398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3254.2644699519233</v>
      </c>
      <c r="H588" s="25">
        <f>IF(B588&lt;62,0,'Combined Retirement'!$I$14)</f>
        <v>2345</v>
      </c>
      <c r="I588" s="25">
        <f>IF(C588&lt;62,0,'Combined Retirement'!$I$13)</f>
        <v>2420</v>
      </c>
      <c r="J588" s="25">
        <f t="shared" si="523"/>
        <v>7896.2379798201846</v>
      </c>
      <c r="K588" s="25">
        <f t="shared" si="524"/>
        <v>20367.195264578786</v>
      </c>
      <c r="L588" s="25"/>
      <c r="N588" s="25">
        <f>'Combined Retirement'!$C$18/12</f>
        <v>39153.069999999992</v>
      </c>
      <c r="O588" s="25">
        <f t="shared" si="525"/>
        <v>10889.636755601023</v>
      </c>
      <c r="P588" s="25">
        <f t="shared" si="526"/>
        <v>28263.43324439897</v>
      </c>
      <c r="Q588" s="25">
        <f t="array" aca="1" ref="Q588" ca="1">INDEX('Isaac 401k'!L:L,MATCH('Retirement Calculator'!A588,'Isaac 401k'!N:N,0),0)</f>
        <v>1447248.6769360034</v>
      </c>
      <c r="R588" s="25">
        <f t="array" aca="1" ref="R588" ca="1">INDEX('Lorri 401b'!L:L,MATCH('Retirement Calculator'!A588,'Lorri 401b'!N:N,0),0)</f>
        <v>719573.74265996309</v>
      </c>
      <c r="S588" s="25">
        <f t="shared" ca="1" si="527"/>
        <v>2166822.4195959666</v>
      </c>
    </row>
    <row r="589" spans="1:19" ht="15.75" customHeight="1" x14ac:dyDescent="0.3">
      <c r="A589" s="37">
        <v>68881</v>
      </c>
      <c r="B589" s="398">
        <f t="shared" ref="B589:C589" si="595">($A589-B$9)/365.25</f>
        <v>106.70773442847364</v>
      </c>
      <c r="C589" s="398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3254.2644699519233</v>
      </c>
      <c r="H589" s="25">
        <f>IF(B589&lt;62,0,'Combined Retirement'!$I$14)</f>
        <v>2345</v>
      </c>
      <c r="I589" s="25">
        <f>IF(C589&lt;62,0,'Combined Retirement'!$I$13)</f>
        <v>2420</v>
      </c>
      <c r="J589" s="25">
        <f t="shared" si="523"/>
        <v>7896.2379798201846</v>
      </c>
      <c r="K589" s="25">
        <f t="shared" si="524"/>
        <v>20367.195264578786</v>
      </c>
      <c r="L589" s="25"/>
      <c r="N589" s="25">
        <f>'Combined Retirement'!$C$18/12</f>
        <v>39153.069999999992</v>
      </c>
      <c r="O589" s="25">
        <f t="shared" si="525"/>
        <v>10889.636755601023</v>
      </c>
      <c r="P589" s="25">
        <f t="shared" si="526"/>
        <v>28263.43324439897</v>
      </c>
      <c r="Q589" s="25">
        <f t="array" aca="1" ref="Q589" ca="1">INDEX('Isaac 401k'!L:L,MATCH('Retirement Calculator'!A589,'Isaac 401k'!N:N,0),0)</f>
        <v>1445349.7407851673</v>
      </c>
      <c r="R589" s="25">
        <f t="array" aca="1" ref="R589" ca="1">INDEX('Lorri 401b'!L:L,MATCH('Retirement Calculator'!A589,'Lorri 401b'!N:N,0),0)</f>
        <v>702119.90800953167</v>
      </c>
      <c r="S589" s="25">
        <f t="shared" ca="1" si="527"/>
        <v>2147469.648794699</v>
      </c>
    </row>
    <row r="590" spans="1:19" ht="15.75" customHeight="1" x14ac:dyDescent="0.3">
      <c r="A590" s="37">
        <v>68912</v>
      </c>
      <c r="B590" s="398">
        <f t="shared" ref="B590:C590" si="596">($A590-B$9)/365.25</f>
        <v>106.79260780287474</v>
      </c>
      <c r="C590" s="398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3254.2644699519233</v>
      </c>
      <c r="H590" s="25">
        <f>IF(B590&lt;62,0,'Combined Retirement'!$I$14)</f>
        <v>2345</v>
      </c>
      <c r="I590" s="25">
        <f>IF(C590&lt;62,0,'Combined Retirement'!$I$13)</f>
        <v>2420</v>
      </c>
      <c r="J590" s="25">
        <f t="shared" si="523"/>
        <v>7896.2379798201846</v>
      </c>
      <c r="K590" s="25">
        <f t="shared" si="524"/>
        <v>20367.195264578786</v>
      </c>
      <c r="L590" s="25"/>
      <c r="N590" s="25">
        <f>'Combined Retirement'!$C$18/12</f>
        <v>39153.069999999992</v>
      </c>
      <c r="O590" s="25">
        <f t="shared" si="525"/>
        <v>10889.636755601023</v>
      </c>
      <c r="P590" s="25">
        <f t="shared" si="526"/>
        <v>28263.43324439897</v>
      </c>
      <c r="Q590" s="25">
        <f t="array" aca="1" ref="Q590" ca="1">INDEX('Isaac 401k'!L:L,MATCH('Retirement Calculator'!A590,'Isaac 401k'!N:N,0),0)</f>
        <v>1443442.8924003693</v>
      </c>
      <c r="R590" s="25">
        <f t="array" aca="1" ref="R590" ca="1">INDEX('Lorri 401b'!L:L,MATCH('Retirement Calculator'!A590,'Lorri 401b'!N:N,0),0)</f>
        <v>684593.34904805687</v>
      </c>
      <c r="S590" s="25">
        <f t="shared" ca="1" si="527"/>
        <v>2128036.2414484262</v>
      </c>
    </row>
    <row r="591" spans="1:19" ht="15.75" customHeight="1" x14ac:dyDescent="0.3">
      <c r="A591" s="37">
        <v>68942</v>
      </c>
      <c r="B591" s="398">
        <f t="shared" ref="B591:C591" si="597">($A591-B$9)/365.25</f>
        <v>106.87474332648871</v>
      </c>
      <c r="C591" s="398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3254.2644699519233</v>
      </c>
      <c r="H591" s="25">
        <f>IF(B591&lt;62,0,'Combined Retirement'!$I$14)</f>
        <v>2345</v>
      </c>
      <c r="I591" s="25">
        <f>IF(C591&lt;62,0,'Combined Retirement'!$I$13)</f>
        <v>2420</v>
      </c>
      <c r="J591" s="25">
        <f t="shared" si="523"/>
        <v>7896.2379798201846</v>
      </c>
      <c r="K591" s="25">
        <f t="shared" si="524"/>
        <v>20367.195264578786</v>
      </c>
      <c r="L591" s="25"/>
      <c r="N591" s="25">
        <f>'Combined Retirement'!$C$18/12</f>
        <v>39153.069999999992</v>
      </c>
      <c r="O591" s="25">
        <f t="shared" si="525"/>
        <v>10889.636755601023</v>
      </c>
      <c r="P591" s="25">
        <f t="shared" si="526"/>
        <v>28263.43324439897</v>
      </c>
      <c r="Q591" s="25">
        <f t="array" aca="1" ref="Q591" ca="1">INDEX('Isaac 401k'!L:L,MATCH('Retirement Calculator'!A591,'Isaac 401k'!N:N,0),0)</f>
        <v>1441528.098813968</v>
      </c>
      <c r="R591" s="25">
        <f t="array" aca="1" ref="R591" ca="1">INDEX('Lorri 401b'!L:L,MATCH('Retirement Calculator'!A591,'Lorri 401b'!N:N,0),0)</f>
        <v>666993.76275757595</v>
      </c>
      <c r="S591" s="25">
        <f t="shared" ca="1" si="527"/>
        <v>2108521.8615715439</v>
      </c>
    </row>
    <row r="592" spans="1:19" ht="15.75" customHeight="1" x14ac:dyDescent="0.3">
      <c r="A592" s="37">
        <v>68973</v>
      </c>
      <c r="B592" s="398">
        <f t="shared" ref="B592:C592" si="598">($A592-B$9)/365.25</f>
        <v>106.9596167008898</v>
      </c>
      <c r="C592" s="398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3254.2644699519233</v>
      </c>
      <c r="H592" s="25">
        <f>IF(B592&lt;62,0,'Combined Retirement'!$I$14)</f>
        <v>2345</v>
      </c>
      <c r="I592" s="25">
        <f>IF(C592&lt;62,0,'Combined Retirement'!$I$13)</f>
        <v>2420</v>
      </c>
      <c r="J592" s="25">
        <f t="shared" si="523"/>
        <v>7896.2379798201846</v>
      </c>
      <c r="K592" s="25">
        <f t="shared" si="524"/>
        <v>20367.195264578786</v>
      </c>
      <c r="L592" s="25"/>
      <c r="N592" s="25">
        <f>'Combined Retirement'!$C$18/12</f>
        <v>39153.069999999992</v>
      </c>
      <c r="O592" s="25">
        <f t="shared" si="525"/>
        <v>10889.636755601023</v>
      </c>
      <c r="P592" s="25">
        <f t="shared" si="526"/>
        <v>28263.43324439897</v>
      </c>
      <c r="Q592" s="25">
        <f t="array" aca="1" ref="Q592" ca="1">INDEX('Isaac 401k'!L:L,MATCH('Retirement Calculator'!A592,'Isaac 401k'!N:N,0),0)</f>
        <v>1439605.3269209568</v>
      </c>
      <c r="R592" s="25">
        <f t="array" aca="1" ref="R592" ca="1">INDEX('Lorri 401b'!L:L,MATCH('Retirement Calculator'!A592,'Lorri 401b'!N:N,0),0)</f>
        <v>649320.84485755127</v>
      </c>
      <c r="S592" s="25">
        <f t="shared" ca="1" si="527"/>
        <v>2088926.171778508</v>
      </c>
    </row>
    <row r="593" spans="1:19" ht="15.75" customHeight="1" x14ac:dyDescent="0.3">
      <c r="A593" s="37">
        <v>69003</v>
      </c>
      <c r="B593" s="398">
        <f t="shared" ref="B593:C593" si="599">($A593-B$9)/365.25</f>
        <v>107.04175222450377</v>
      </c>
      <c r="C593" s="398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3254.2644699519233</v>
      </c>
      <c r="H593" s="25">
        <f>IF(B593&lt;62,0,'Combined Retirement'!$I$14)</f>
        <v>2345</v>
      </c>
      <c r="I593" s="25">
        <f>IF(C593&lt;62,0,'Combined Retirement'!$I$13)</f>
        <v>2420</v>
      </c>
      <c r="J593" s="25">
        <f t="shared" si="523"/>
        <v>7896.2379798201846</v>
      </c>
      <c r="K593" s="25">
        <f t="shared" si="524"/>
        <v>20367.195264578786</v>
      </c>
      <c r="L593" s="25"/>
      <c r="N593" s="25">
        <f>'Combined Retirement'!$C$18/12</f>
        <v>39153.069999999992</v>
      </c>
      <c r="O593" s="25">
        <f t="shared" si="525"/>
        <v>10889.636755601023</v>
      </c>
      <c r="P593" s="25">
        <f t="shared" si="526"/>
        <v>28263.43324439897</v>
      </c>
      <c r="Q593" s="25">
        <f t="array" aca="1" ref="Q593" ca="1">INDEX('Isaac 401k'!L:L,MATCH('Retirement Calculator'!A593,'Isaac 401k'!N:N,0),0)</f>
        <v>1437674.5434783914</v>
      </c>
      <c r="R593" s="25">
        <f t="array" aca="1" ref="R593" ca="1">INDEX('Lorri 401b'!L:L,MATCH('Retirement Calculator'!A593,'Lorri 401b'!N:N,0),0)</f>
        <v>631574.28979960992</v>
      </c>
      <c r="S593" s="25">
        <f t="shared" ca="1" si="527"/>
        <v>2069248.8332780013</v>
      </c>
    </row>
    <row r="594" spans="1:19" ht="15.75" customHeight="1" x14ac:dyDescent="0.3">
      <c r="A594" s="37">
        <v>69034</v>
      </c>
      <c r="B594" s="398">
        <f t="shared" ref="B594:C594" si="600">($A594-B$9)/365.25</f>
        <v>107.12662559890487</v>
      </c>
      <c r="C594" s="398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3254.2644699519233</v>
      </c>
      <c r="H594" s="25">
        <f>IF(B594&lt;62,0,'Combined Retirement'!$I$14)</f>
        <v>2345</v>
      </c>
      <c r="I594" s="25">
        <f>IF(C594&lt;62,0,'Combined Retirement'!$I$13)</f>
        <v>2420</v>
      </c>
      <c r="J594" s="25">
        <f t="shared" si="523"/>
        <v>7896.2379798201846</v>
      </c>
      <c r="K594" s="25">
        <f t="shared" si="524"/>
        <v>20367.195264578786</v>
      </c>
      <c r="L594" s="25"/>
      <c r="N594" s="25">
        <f>'Combined Retirement'!$C$18/12</f>
        <v>39153.069999999992</v>
      </c>
      <c r="O594" s="25">
        <f t="shared" si="525"/>
        <v>10889.636755601023</v>
      </c>
      <c r="P594" s="25">
        <f t="shared" si="526"/>
        <v>28263.43324439897</v>
      </c>
      <c r="Q594" s="25">
        <f t="array" aca="1" ref="Q594" ca="1">INDEX('Isaac 401k'!L:L,MATCH('Retirement Calculator'!A594,'Isaac 401k'!N:N,0),0)</f>
        <v>1435735.7151048151</v>
      </c>
      <c r="R594" s="25">
        <f t="array" aca="1" ref="R594" ca="1">INDEX('Lorri 401b'!L:L,MATCH('Retirement Calculator'!A594,'Lorri 401b'!N:N,0),0)</f>
        <v>613753.79076226044</v>
      </c>
      <c r="S594" s="25">
        <f t="shared" ca="1" si="527"/>
        <v>2049489.5058670756</v>
      </c>
    </row>
    <row r="595" spans="1:19" ht="15.75" customHeight="1" x14ac:dyDescent="0.3">
      <c r="A595" s="37">
        <v>69065</v>
      </c>
      <c r="B595" s="398">
        <f t="shared" ref="B595:C595" si="601">($A595-B$9)/365.25</f>
        <v>107.21149897330595</v>
      </c>
      <c r="C595" s="398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3254.2644699519233</v>
      </c>
      <c r="H595" s="25">
        <f>IF(B595&lt;62,0,'Combined Retirement'!$I$14)</f>
        <v>2345</v>
      </c>
      <c r="I595" s="25">
        <f>IF(C595&lt;62,0,'Combined Retirement'!$I$13)</f>
        <v>2420</v>
      </c>
      <c r="J595" s="25">
        <f t="shared" si="523"/>
        <v>7896.2379798201846</v>
      </c>
      <c r="K595" s="25">
        <f t="shared" si="524"/>
        <v>20367.195264578786</v>
      </c>
      <c r="L595" s="25"/>
      <c r="N595" s="25">
        <f>'Combined Retirement'!$C$18/12</f>
        <v>39153.069999999992</v>
      </c>
      <c r="O595" s="25">
        <f t="shared" si="525"/>
        <v>10889.636755601023</v>
      </c>
      <c r="P595" s="25">
        <f t="shared" si="526"/>
        <v>28263.43324439897</v>
      </c>
      <c r="Q595" s="25">
        <f t="array" aca="1" ref="Q595" ca="1">INDEX('Isaac 401k'!L:L,MATCH('Retirement Calculator'!A595,'Isaac 401k'!N:N,0),0)</f>
        <v>1433788.8082796824</v>
      </c>
      <c r="R595" s="25">
        <f t="array" aca="1" ref="R595" ca="1">INDEX('Lorri 401b'!L:L,MATCH('Retirement Calculator'!A595,'Lorri 401b'!N:N,0),0)</f>
        <v>595859.03964558861</v>
      </c>
      <c r="S595" s="25">
        <f t="shared" ca="1" si="527"/>
        <v>2029647.8479252709</v>
      </c>
    </row>
    <row r="596" spans="1:19" ht="15.75" customHeight="1" x14ac:dyDescent="0.3">
      <c r="A596" s="37">
        <v>69093</v>
      </c>
      <c r="B596" s="398">
        <f t="shared" ref="B596:C596" si="602">($A596-B$9)/365.25</f>
        <v>107.28815879534565</v>
      </c>
      <c r="C596" s="398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3254.2644699519233</v>
      </c>
      <c r="H596" s="25">
        <f>IF(B596&lt;62,0,'Combined Retirement'!$I$14)</f>
        <v>2345</v>
      </c>
      <c r="I596" s="25">
        <f>IF(C596&lt;62,0,'Combined Retirement'!$I$13)</f>
        <v>2420</v>
      </c>
      <c r="J596" s="25">
        <f t="shared" si="523"/>
        <v>7896.2379798201846</v>
      </c>
      <c r="K596" s="25">
        <f t="shared" si="524"/>
        <v>20367.195264578786</v>
      </c>
      <c r="L596" s="25"/>
      <c r="N596" s="25">
        <f>'Combined Retirement'!$C$18/12</f>
        <v>39153.069999999992</v>
      </c>
      <c r="O596" s="25">
        <f t="shared" si="525"/>
        <v>10889.636755601023</v>
      </c>
      <c r="P596" s="25">
        <f t="shared" si="526"/>
        <v>28263.43324439897</v>
      </c>
      <c r="Q596" s="25">
        <f t="array" aca="1" ref="Q596" ca="1">INDEX('Isaac 401k'!L:L,MATCH('Retirement Calculator'!A596,'Isaac 401k'!N:N,0),0)</f>
        <v>1431833.7893427783</v>
      </c>
      <c r="R596" s="25">
        <f t="array" aca="1" ref="R596" ca="1">INDEX('Lorri 401b'!L:L,MATCH('Retirement Calculator'!A596,'Lorri 401b'!N:N,0),0)</f>
        <v>577889.72706593073</v>
      </c>
      <c r="S596" s="25">
        <f t="shared" ca="1" si="527"/>
        <v>2009723.5164087089</v>
      </c>
    </row>
    <row r="597" spans="1:19" ht="15.75" customHeight="1" x14ac:dyDescent="0.3">
      <c r="A597" s="37">
        <v>69124</v>
      </c>
      <c r="B597" s="398">
        <f t="shared" ref="B597:C597" si="603">($A597-B$9)/365.25</f>
        <v>107.37303216974675</v>
      </c>
      <c r="C597" s="398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3254.2644699519233</v>
      </c>
      <c r="H597" s="25">
        <f>IF(B597&lt;62,0,'Combined Retirement'!$I$14)</f>
        <v>2345</v>
      </c>
      <c r="I597" s="25">
        <f>IF(C597&lt;62,0,'Combined Retirement'!$I$13)</f>
        <v>2420</v>
      </c>
      <c r="J597" s="25">
        <f t="shared" si="523"/>
        <v>7896.2379798201846</v>
      </c>
      <c r="K597" s="25">
        <f t="shared" si="524"/>
        <v>20367.195264578786</v>
      </c>
      <c r="L597" s="25"/>
      <c r="N597" s="25">
        <f>'Combined Retirement'!$C$18/12</f>
        <v>39153.069999999992</v>
      </c>
      <c r="O597" s="25">
        <f t="shared" si="525"/>
        <v>10889.636755601023</v>
      </c>
      <c r="P597" s="25">
        <f t="shared" si="526"/>
        <v>28263.43324439897</v>
      </c>
      <c r="Q597" s="25">
        <f t="array" aca="1" ref="Q597" ca="1">INDEX('Isaac 401k'!L:L,MATCH('Retirement Calculator'!A597,'Isaac 401k'!N:N,0),0)</f>
        <v>1429870.6244936371</v>
      </c>
      <c r="R597" s="25">
        <f t="array" aca="1" ref="R597" ca="1">INDEX('Lorri 401b'!L:L,MATCH('Retirement Calculator'!A597,'Lorri 401b'!N:N,0),0)</f>
        <v>559845.54235052422</v>
      </c>
      <c r="S597" s="25">
        <f t="shared" ca="1" si="527"/>
        <v>1989716.1668441612</v>
      </c>
    </row>
    <row r="598" spans="1:19" ht="15.75" customHeight="1" x14ac:dyDescent="0.3">
      <c r="A598" s="37">
        <v>69154</v>
      </c>
      <c r="B598" s="398">
        <f t="shared" ref="B598:C598" si="604">($A598-B$9)/365.25</f>
        <v>107.45516769336071</v>
      </c>
      <c r="C598" s="398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3254.2644699519233</v>
      </c>
      <c r="H598" s="25">
        <f>IF(B598&lt;62,0,'Combined Retirement'!$I$14)</f>
        <v>2345</v>
      </c>
      <c r="I598" s="25">
        <f>IF(C598&lt;62,0,'Combined Retirement'!$I$13)</f>
        <v>2420</v>
      </c>
      <c r="J598" s="25">
        <f t="shared" si="523"/>
        <v>7896.2379798201846</v>
      </c>
      <c r="K598" s="25">
        <f t="shared" si="524"/>
        <v>20367.195264578786</v>
      </c>
      <c r="L598" s="25"/>
      <c r="N598" s="25">
        <f>'Combined Retirement'!$C$18/12</f>
        <v>39153.069999999992</v>
      </c>
      <c r="O598" s="25">
        <f t="shared" si="525"/>
        <v>10889.636755601023</v>
      </c>
      <c r="P598" s="25">
        <f t="shared" si="526"/>
        <v>28263.43324439897</v>
      </c>
      <c r="Q598" s="25">
        <f t="array" aca="1" ref="Q598" ca="1">INDEX('Isaac 401k'!L:L,MATCH('Retirement Calculator'!A598,'Isaac 401k'!N:N,0),0)</f>
        <v>1427899.2797909577</v>
      </c>
      <c r="R598" s="25">
        <f t="array" aca="1" ref="R598" ca="1">INDEX('Lorri 401b'!L:L,MATCH('Retirement Calculator'!A598,'Lorri 401b'!N:N,0),0)</f>
        <v>541726.17353213683</v>
      </c>
      <c r="S598" s="25">
        <f t="shared" ca="1" si="527"/>
        <v>1969625.4533230946</v>
      </c>
    </row>
    <row r="599" spans="1:19" ht="15.75" customHeight="1" x14ac:dyDescent="0.3">
      <c r="A599" s="37">
        <v>69185</v>
      </c>
      <c r="B599" s="398">
        <f t="shared" ref="B599:C599" si="605">($A599-B$9)/365.25</f>
        <v>107.54004106776181</v>
      </c>
      <c r="C599" s="398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3254.2644699519233</v>
      </c>
      <c r="H599" s="25">
        <f>IF(B599&lt;62,0,'Combined Retirement'!$I$14)</f>
        <v>2345</v>
      </c>
      <c r="I599" s="25">
        <f>IF(C599&lt;62,0,'Combined Retirement'!$I$13)</f>
        <v>2420</v>
      </c>
      <c r="J599" s="25">
        <f t="shared" si="523"/>
        <v>7896.2379798201846</v>
      </c>
      <c r="K599" s="25">
        <f t="shared" si="524"/>
        <v>20367.195264578786</v>
      </c>
      <c r="L599" s="25"/>
      <c r="N599" s="25">
        <f>'Combined Retirement'!$C$18/12</f>
        <v>39153.069999999992</v>
      </c>
      <c r="O599" s="25">
        <f t="shared" si="525"/>
        <v>10889.636755601023</v>
      </c>
      <c r="P599" s="25">
        <f t="shared" si="526"/>
        <v>28263.43324439897</v>
      </c>
      <c r="Q599" s="25">
        <f t="array" aca="1" ref="Q599" ca="1">INDEX('Isaac 401k'!L:L,MATCH('Retirement Calculator'!A599,'Isaac 401k'!N:N,0),0)</f>
        <v>1425919.7211520171</v>
      </c>
      <c r="R599" s="25">
        <f t="array" aca="1" ref="R599" ca="1">INDEX('Lorri 401b'!L:L,MATCH('Retirement Calculator'!A599,'Lorri 401b'!N:N,0),0)</f>
        <v>523531.30734367284</v>
      </c>
      <c r="S599" s="25">
        <f t="shared" ca="1" si="527"/>
        <v>1949451.0284956899</v>
      </c>
    </row>
    <row r="600" spans="1:19" ht="15.75" customHeight="1" x14ac:dyDescent="0.3">
      <c r="A600" s="37">
        <v>69215</v>
      </c>
      <c r="B600" s="398">
        <f t="shared" ref="B600:C600" si="606">($A600-B$9)/365.25</f>
        <v>107.62217659137578</v>
      </c>
      <c r="C600" s="398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3254.2644699519233</v>
      </c>
      <c r="H600" s="25">
        <f>IF(B600&lt;62,0,'Combined Retirement'!$I$14)</f>
        <v>2345</v>
      </c>
      <c r="I600" s="25">
        <f>IF(C600&lt;62,0,'Combined Retirement'!$I$13)</f>
        <v>2420</v>
      </c>
      <c r="J600" s="25">
        <f t="shared" si="523"/>
        <v>7896.2379798201846</v>
      </c>
      <c r="K600" s="25">
        <f t="shared" si="524"/>
        <v>20367.195264578786</v>
      </c>
      <c r="L600" s="25"/>
      <c r="N600" s="25">
        <f>'Combined Retirement'!$C$18/12</f>
        <v>39153.069999999992</v>
      </c>
      <c r="O600" s="25">
        <f t="shared" si="525"/>
        <v>10889.636755601023</v>
      </c>
      <c r="P600" s="25">
        <f t="shared" si="526"/>
        <v>28263.43324439897</v>
      </c>
      <c r="Q600" s="25">
        <f t="array" aca="1" ref="Q600" ca="1">INDEX('Isaac 401k'!L:L,MATCH('Retirement Calculator'!A600,'Isaac 401k'!N:N,0),0)</f>
        <v>1423931.914352081</v>
      </c>
      <c r="R600" s="25">
        <f t="array" aca="1" ref="R600" ca="1">INDEX('Lorri 401b'!L:L,MATCH('Retirement Calculator'!A600,'Lorri 401b'!N:N,0),0)</f>
        <v>505260.62921275693</v>
      </c>
      <c r="S600" s="25">
        <f t="shared" ca="1" si="527"/>
        <v>1929192.5435648379</v>
      </c>
    </row>
    <row r="601" spans="1:19" ht="15.75" customHeight="1" x14ac:dyDescent="0.3">
      <c r="A601" s="37">
        <v>69246</v>
      </c>
      <c r="B601" s="398">
        <f t="shared" ref="B601:C601" si="607">($A601-B$9)/365.25</f>
        <v>107.70704996577686</v>
      </c>
      <c r="C601" s="398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3254.2644699519233</v>
      </c>
      <c r="H601" s="25">
        <f>IF(B601&lt;62,0,'Combined Retirement'!$I$14)</f>
        <v>2345</v>
      </c>
      <c r="I601" s="25">
        <f>IF(C601&lt;62,0,'Combined Retirement'!$I$13)</f>
        <v>2420</v>
      </c>
      <c r="J601" s="25">
        <f t="shared" si="523"/>
        <v>7896.2379798201846</v>
      </c>
      <c r="K601" s="25">
        <f t="shared" si="524"/>
        <v>20367.195264578786</v>
      </c>
      <c r="L601" s="25"/>
      <c r="N601" s="25">
        <f>'Combined Retirement'!$C$18/12</f>
        <v>39153.069999999992</v>
      </c>
      <c r="O601" s="25">
        <f t="shared" si="525"/>
        <v>10889.636755601023</v>
      </c>
      <c r="P601" s="25">
        <f t="shared" si="526"/>
        <v>28263.43324439897</v>
      </c>
      <c r="Q601" s="25">
        <f t="array" aca="1" ref="Q601" ca="1">INDEX('Isaac 401k'!L:L,MATCH('Retirement Calculator'!A601,'Isaac 401k'!N:N,0),0)</f>
        <v>1421935.8250238118</v>
      </c>
      <c r="R601" s="25">
        <f t="array" aca="1" ref="R601" ca="1">INDEX('Lorri 401b'!L:L,MATCH('Retirement Calculator'!A601,'Lorri 401b'!N:N,0),0)</f>
        <v>486913.82325629552</v>
      </c>
      <c r="S601" s="25">
        <f t="shared" ca="1" si="527"/>
        <v>1908849.6482801074</v>
      </c>
    </row>
    <row r="602" spans="1:19" ht="15.75" customHeight="1" x14ac:dyDescent="0.3">
      <c r="A602" s="37">
        <v>69277</v>
      </c>
      <c r="B602" s="398">
        <f t="shared" ref="B602:C602" si="608">($A602-B$9)/365.25</f>
        <v>107.79192334017796</v>
      </c>
      <c r="C602" s="398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3254.2644699519233</v>
      </c>
      <c r="H602" s="25">
        <f>IF(B602&lt;62,0,'Combined Retirement'!$I$14)</f>
        <v>2345</v>
      </c>
      <c r="I602" s="25">
        <f>IF(C602&lt;62,0,'Combined Retirement'!$I$13)</f>
        <v>2420</v>
      </c>
      <c r="J602" s="25">
        <f t="shared" si="523"/>
        <v>7896.2379798201846</v>
      </c>
      <c r="K602" s="25">
        <f t="shared" si="524"/>
        <v>20367.195264578786</v>
      </c>
      <c r="L602" s="25"/>
      <c r="N602" s="25">
        <f>'Combined Retirement'!$C$18/12</f>
        <v>39153.069999999992</v>
      </c>
      <c r="O602" s="25">
        <f t="shared" si="525"/>
        <v>10889.636755601023</v>
      </c>
      <c r="P602" s="25">
        <f t="shared" si="526"/>
        <v>28263.43324439897</v>
      </c>
      <c r="Q602" s="25">
        <f t="array" aca="1" ref="Q602" ca="1">INDEX('Isaac 401k'!L:L,MATCH('Retirement Calculator'!A602,'Isaac 401k'!N:N,0),0)</f>
        <v>1419931.4186566749</v>
      </c>
      <c r="R602" s="25">
        <f t="array" aca="1" ref="R602" ca="1">INDEX('Lorri 401b'!L:L,MATCH('Retirement Calculator'!A602,'Lorri 401b'!N:N,0),0)</f>
        <v>468490.57227501553</v>
      </c>
      <c r="S602" s="25">
        <f t="shared" ca="1" si="527"/>
        <v>1888421.9909316904</v>
      </c>
    </row>
    <row r="603" spans="1:19" ht="15.75" customHeight="1" x14ac:dyDescent="0.3">
      <c r="A603" s="37">
        <v>69307</v>
      </c>
      <c r="B603" s="398">
        <f t="shared" ref="B603:C603" si="609">($A603-B$9)/365.25</f>
        <v>107.87405886379193</v>
      </c>
      <c r="C603" s="398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3254.2644699519233</v>
      </c>
      <c r="H603" s="25">
        <f>IF(B603&lt;62,0,'Combined Retirement'!$I$14)</f>
        <v>2345</v>
      </c>
      <c r="I603" s="25">
        <f>IF(C603&lt;62,0,'Combined Retirement'!$I$13)</f>
        <v>2420</v>
      </c>
      <c r="J603" s="25">
        <f t="shared" si="523"/>
        <v>7896.2379798201846</v>
      </c>
      <c r="K603" s="25">
        <f t="shared" si="524"/>
        <v>20367.195264578786</v>
      </c>
      <c r="L603" s="25"/>
      <c r="N603" s="25">
        <f>'Combined Retirement'!$C$18/12</f>
        <v>39153.069999999992</v>
      </c>
      <c r="O603" s="25">
        <f t="shared" si="525"/>
        <v>10889.636755601023</v>
      </c>
      <c r="P603" s="25">
        <f t="shared" si="526"/>
        <v>28263.43324439897</v>
      </c>
      <c r="Q603" s="25">
        <f t="array" aca="1" ref="Q603" ca="1">INDEX('Isaac 401k'!L:L,MATCH('Retirement Calculator'!A603,'Isaac 401k'!N:N,0),0)</f>
        <v>1417918.6605963416</v>
      </c>
      <c r="R603" s="25">
        <f t="array" aca="1" ref="R603" ca="1">INDEX('Lorri 401b'!L:L,MATCH('Retirement Calculator'!A603,'Lorri 401b'!N:N,0),0)</f>
        <v>449990.55774798023</v>
      </c>
      <c r="S603" s="25">
        <f t="shared" ca="1" si="527"/>
        <v>1867909.2183443219</v>
      </c>
    </row>
    <row r="604" spans="1:19" ht="15.75" customHeight="1" x14ac:dyDescent="0.3">
      <c r="A604" s="37">
        <v>69338</v>
      </c>
      <c r="B604" s="398">
        <f t="shared" ref="B604:C604" si="610">($A604-B$9)/365.25</f>
        <v>107.95893223819301</v>
      </c>
      <c r="C604" s="398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3254.2644699519233</v>
      </c>
      <c r="H604" s="25">
        <f>IF(B604&lt;62,0,'Combined Retirement'!$I$14)</f>
        <v>2345</v>
      </c>
      <c r="I604" s="25">
        <f>IF(C604&lt;62,0,'Combined Retirement'!$I$13)</f>
        <v>2420</v>
      </c>
      <c r="J604" s="25">
        <f t="shared" si="523"/>
        <v>7896.2379798201846</v>
      </c>
      <c r="K604" s="25">
        <f t="shared" si="524"/>
        <v>20367.195264578786</v>
      </c>
      <c r="L604" s="25"/>
      <c r="N604" s="25">
        <f>'Combined Retirement'!$C$18/12</f>
        <v>39153.069999999992</v>
      </c>
      <c r="O604" s="25">
        <f t="shared" si="525"/>
        <v>10889.636755601023</v>
      </c>
      <c r="P604" s="25">
        <f t="shared" si="526"/>
        <v>28263.43324439897</v>
      </c>
      <c r="Q604" s="25">
        <f t="array" aca="1" ref="Q604" ca="1">INDEX('Isaac 401k'!L:L,MATCH('Retirement Calculator'!A604,'Isaac 401k'!N:N,0),0)</f>
        <v>1415897.5160440903</v>
      </c>
      <c r="R604" s="25">
        <f t="array" aca="1" ref="R604" ca="1">INDEX('Lorri 401b'!L:L,MATCH('Retirement Calculator'!A604,'Lorri 401b'!N:N,0),0)</f>
        <v>431413.45982708229</v>
      </c>
      <c r="S604" s="25">
        <f t="shared" ca="1" si="527"/>
        <v>1847310.9758711725</v>
      </c>
    </row>
    <row r="605" spans="1:19" ht="15.75" customHeight="1" x14ac:dyDescent="0.3">
      <c r="A605" s="37">
        <v>69368</v>
      </c>
      <c r="B605" s="398">
        <f t="shared" ref="B605:C605" si="611">($A605-B$9)/365.25</f>
        <v>108.04106776180699</v>
      </c>
      <c r="C605" s="398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3254.2644699519233</v>
      </c>
      <c r="H605" s="25">
        <f>IF(B605&lt;62,0,'Combined Retirement'!$I$14)</f>
        <v>2345</v>
      </c>
      <c r="I605" s="25">
        <f>IF(C605&lt;62,0,'Combined Retirement'!$I$13)</f>
        <v>2420</v>
      </c>
      <c r="J605" s="25">
        <f t="shared" si="523"/>
        <v>7896.2379798201846</v>
      </c>
      <c r="K605" s="25">
        <f t="shared" si="524"/>
        <v>20367.195264578786</v>
      </c>
      <c r="L605" s="25"/>
      <c r="N605" s="25">
        <f>'Combined Retirement'!$C$18/12</f>
        <v>39153.069999999992</v>
      </c>
      <c r="O605" s="25">
        <f t="shared" si="525"/>
        <v>10889.636755601023</v>
      </c>
      <c r="P605" s="25">
        <f t="shared" si="526"/>
        <v>28263.43324439897</v>
      </c>
      <c r="Q605" s="25">
        <f t="array" aca="1" ref="Q605" ca="1">INDEX('Isaac 401k'!L:L,MATCH('Retirement Calculator'!A605,'Isaac 401k'!N:N,0),0)</f>
        <v>1413867.9500562046</v>
      </c>
      <c r="R605" s="25">
        <f t="array" aca="1" ref="R605" ca="1">INDEX('Lorri 401b'!L:L,MATCH('Retirement Calculator'!A605,'Lorri 401b'!N:N,0),0)</f>
        <v>412758.95733151393</v>
      </c>
      <c r="S605" s="25">
        <f t="shared" ca="1" si="527"/>
        <v>1826626.9073877186</v>
      </c>
    </row>
    <row r="606" spans="1:19" ht="15.75" customHeight="1" x14ac:dyDescent="0.3">
      <c r="A606" s="37">
        <v>69399</v>
      </c>
      <c r="B606" s="398">
        <f t="shared" ref="B606:C606" si="612">($A606-B$9)/365.25</f>
        <v>108.12594113620807</v>
      </c>
      <c r="C606" s="398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3254.2644699519233</v>
      </c>
      <c r="H606" s="25">
        <f>IF(B606&lt;62,0,'Combined Retirement'!$I$14)</f>
        <v>2345</v>
      </c>
      <c r="I606" s="25">
        <f>IF(C606&lt;62,0,'Combined Retirement'!$I$13)</f>
        <v>2420</v>
      </c>
      <c r="J606" s="25">
        <f t="shared" si="523"/>
        <v>7896.2379798201846</v>
      </c>
      <c r="K606" s="25">
        <f t="shared" si="524"/>
        <v>20367.195264578786</v>
      </c>
      <c r="L606" s="25"/>
      <c r="N606" s="25">
        <f>'Combined Retirement'!$C$18/12</f>
        <v>39153.069999999992</v>
      </c>
      <c r="O606" s="25">
        <f t="shared" si="525"/>
        <v>10889.636755601023</v>
      </c>
      <c r="P606" s="25">
        <f t="shared" si="526"/>
        <v>28263.43324439897</v>
      </c>
      <c r="Q606" s="25">
        <f t="array" aca="1" ref="Q606" ca="1">INDEX('Isaac 401k'!L:L,MATCH('Retirement Calculator'!A606,'Isaac 401k'!N:N,0),0)</f>
        <v>1411829.9275433694</v>
      </c>
      <c r="R606" s="25">
        <f t="array" aca="1" ref="R606" ca="1">INDEX('Lorri 401b'!L:L,MATCH('Retirement Calculator'!A606,'Lorri 401b'!N:N,0),0)</f>
        <v>394026.72774221405</v>
      </c>
      <c r="S606" s="25">
        <f t="shared" ca="1" si="527"/>
        <v>1805856.6552855833</v>
      </c>
    </row>
    <row r="607" spans="1:19" ht="15.75" customHeight="1" x14ac:dyDescent="0.3">
      <c r="A607" s="37">
        <v>69430</v>
      </c>
      <c r="B607" s="398">
        <f t="shared" ref="B607:C607" si="613">($A607-B$9)/365.25</f>
        <v>108.21081451060917</v>
      </c>
      <c r="C607" s="398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3254.2644699519233</v>
      </c>
      <c r="H607" s="25">
        <f>IF(B607&lt;62,0,'Combined Retirement'!$I$14)</f>
        <v>2345</v>
      </c>
      <c r="I607" s="25">
        <f>IF(C607&lt;62,0,'Combined Retirement'!$I$13)</f>
        <v>2420</v>
      </c>
      <c r="J607" s="25">
        <f t="shared" si="523"/>
        <v>7896.2379798201846</v>
      </c>
      <c r="K607" s="25">
        <f t="shared" si="524"/>
        <v>20367.195264578786</v>
      </c>
      <c r="L607" s="25"/>
      <c r="N607" s="25">
        <f>'Combined Retirement'!$C$18/12</f>
        <v>39153.069999999992</v>
      </c>
      <c r="O607" s="25">
        <f t="shared" si="525"/>
        <v>10889.636755601023</v>
      </c>
      <c r="P607" s="25">
        <f t="shared" si="526"/>
        <v>28263.43324439897</v>
      </c>
      <c r="Q607" s="25">
        <f t="array" aca="1" ref="Q607" ca="1">INDEX('Isaac 401k'!L:L,MATCH('Retirement Calculator'!A607,'Isaac 401k'!N:N,0),0)</f>
        <v>1409783.4132700639</v>
      </c>
      <c r="R607" s="25">
        <f t="array" aca="1" ref="R607" ca="1">INDEX('Lorri 401b'!L:L,MATCH('Retirement Calculator'!A607,'Lorri 401b'!N:N,0),0)</f>
        <v>375216.44719629205</v>
      </c>
      <c r="S607" s="25">
        <f t="shared" ca="1" si="527"/>
        <v>1784999.8604663559</v>
      </c>
    </row>
    <row r="608" spans="1:19" ht="15.75" customHeight="1" x14ac:dyDescent="0.3">
      <c r="A608" s="37">
        <v>69458</v>
      </c>
      <c r="B608" s="398">
        <f t="shared" ref="B608:C608" si="614">($A608-B$9)/365.25</f>
        <v>108.28747433264887</v>
      </c>
      <c r="C608" s="398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3254.2644699519233</v>
      </c>
      <c r="H608" s="25">
        <f>IF(B608&lt;62,0,'Combined Retirement'!$I$14)</f>
        <v>2345</v>
      </c>
      <c r="I608" s="25">
        <f>IF(C608&lt;62,0,'Combined Retirement'!$I$13)</f>
        <v>2420</v>
      </c>
      <c r="J608" s="25">
        <f t="shared" si="523"/>
        <v>7896.2379798201846</v>
      </c>
      <c r="K608" s="25">
        <f t="shared" si="524"/>
        <v>20367.195264578786</v>
      </c>
      <c r="L608" s="25"/>
      <c r="N608" s="25">
        <f>'Combined Retirement'!$C$18/12</f>
        <v>39153.069999999992</v>
      </c>
      <c r="O608" s="25">
        <f t="shared" si="525"/>
        <v>10889.636755601023</v>
      </c>
      <c r="P608" s="25">
        <f t="shared" si="526"/>
        <v>28263.43324439897</v>
      </c>
      <c r="Q608" s="25">
        <f t="array" aca="1" ref="Q608" ca="1">INDEX('Isaac 401k'!L:L,MATCH('Retirement Calculator'!A608,'Isaac 401k'!N:N,0),0)</f>
        <v>1407728.371853953</v>
      </c>
      <c r="R608" s="25">
        <f t="array" aca="1" ref="R608" ca="1">INDEX('Lorri 401b'!L:L,MATCH('Retirement Calculator'!A608,'Lorri 401b'!N:N,0),0)</f>
        <v>356327.79048142873</v>
      </c>
      <c r="S608" s="25">
        <f t="shared" ca="1" si="527"/>
        <v>1764056.1623353818</v>
      </c>
    </row>
    <row r="609" spans="1:19" ht="15.75" customHeight="1" x14ac:dyDescent="0.3">
      <c r="A609" s="37">
        <v>69489</v>
      </c>
      <c r="B609" s="398">
        <f t="shared" ref="B609:C609" si="615">($A609-B$9)/365.25</f>
        <v>108.37234770704997</v>
      </c>
      <c r="C609" s="398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3254.2644699519233</v>
      </c>
      <c r="H609" s="25">
        <f>IF(B609&lt;62,0,'Combined Retirement'!$I$14)</f>
        <v>2345</v>
      </c>
      <c r="I609" s="25">
        <f>IF(C609&lt;62,0,'Combined Retirement'!$I$13)</f>
        <v>2420</v>
      </c>
      <c r="J609" s="25">
        <f t="shared" si="523"/>
        <v>7896.2379798201846</v>
      </c>
      <c r="K609" s="25">
        <f t="shared" si="524"/>
        <v>20367.195264578786</v>
      </c>
      <c r="L609" s="25"/>
      <c r="N609" s="25">
        <f>'Combined Retirement'!$C$18/12</f>
        <v>39153.069999999992</v>
      </c>
      <c r="O609" s="25">
        <f t="shared" si="525"/>
        <v>10889.636755601023</v>
      </c>
      <c r="P609" s="25">
        <f t="shared" si="526"/>
        <v>28263.43324439897</v>
      </c>
      <c r="Q609" s="25">
        <f t="array" aca="1" ref="Q609" ca="1">INDEX('Isaac 401k'!L:L,MATCH('Retirement Calculator'!A609,'Isaac 401k'!N:N,0),0)</f>
        <v>1405664.767765275</v>
      </c>
      <c r="R609" s="25">
        <f t="array" aca="1" ref="R609" ca="1">INDEX('Lorri 401b'!L:L,MATCH('Retirement Calculator'!A609,'Lorri 401b'!N:N,0),0)</f>
        <v>337360.43103025347</v>
      </c>
      <c r="S609" s="25">
        <f t="shared" ca="1" si="527"/>
        <v>1743025.1987955284</v>
      </c>
    </row>
    <row r="610" spans="1:19" ht="15.75" customHeight="1" x14ac:dyDescent="0.3">
      <c r="A610" s="37">
        <v>69519</v>
      </c>
      <c r="B610" s="398">
        <f t="shared" ref="B610:C610" si="616">($A610-B$9)/365.25</f>
        <v>108.45448323066393</v>
      </c>
      <c r="C610" s="398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3254.2644699519233</v>
      </c>
      <c r="H610" s="25">
        <f>IF(B610&lt;62,0,'Combined Retirement'!$I$14)</f>
        <v>2345</v>
      </c>
      <c r="I610" s="25">
        <f>IF(C610&lt;62,0,'Combined Retirement'!$I$13)</f>
        <v>2420</v>
      </c>
      <c r="J610" s="25">
        <f t="shared" si="523"/>
        <v>7896.2379798201846</v>
      </c>
      <c r="K610" s="25">
        <f t="shared" si="524"/>
        <v>20367.195264578786</v>
      </c>
      <c r="L610" s="25"/>
      <c r="N610" s="25">
        <f>'Combined Retirement'!$C$18/12</f>
        <v>39153.069999999992</v>
      </c>
      <c r="O610" s="25">
        <f t="shared" si="525"/>
        <v>10889.636755601023</v>
      </c>
      <c r="P610" s="25">
        <f t="shared" si="526"/>
        <v>28263.43324439897</v>
      </c>
      <c r="Q610" s="25">
        <f t="array" aca="1" ref="Q610" ca="1">INDEX('Isaac 401k'!L:L,MATCH('Retirement Calculator'!A610,'Isaac 401k'!N:N,0),0)</f>
        <v>1403592.5653262276</v>
      </c>
      <c r="R610" s="25">
        <f t="array" aca="1" ref="R610" ca="1">INDEX('Lorri 401b'!L:L,MATCH('Retirement Calculator'!A610,'Lorri 401b'!N:N,0),0)</f>
        <v>318314.04091469833</v>
      </c>
      <c r="S610" s="25">
        <f t="shared" ca="1" si="527"/>
        <v>1721906.6062409258</v>
      </c>
    </row>
    <row r="611" spans="1:19" ht="15.75" customHeight="1" x14ac:dyDescent="0.3">
      <c r="A611" s="37">
        <v>69550</v>
      </c>
      <c r="B611" s="398">
        <f t="shared" ref="B611:C611" si="617">($A611-B$9)/365.25</f>
        <v>108.53935660506502</v>
      </c>
      <c r="C611" s="398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3254.2644699519233</v>
      </c>
      <c r="H611" s="25">
        <f>IF(B611&lt;62,0,'Combined Retirement'!$I$14)</f>
        <v>2345</v>
      </c>
      <c r="I611" s="25">
        <f>IF(C611&lt;62,0,'Combined Retirement'!$I$13)</f>
        <v>2420</v>
      </c>
      <c r="J611" s="25">
        <f t="shared" si="523"/>
        <v>7896.2379798201846</v>
      </c>
      <c r="K611" s="25">
        <f t="shared" si="524"/>
        <v>20367.195264578786</v>
      </c>
      <c r="L611" s="25"/>
      <c r="N611" s="25">
        <f>'Combined Retirement'!$C$18/12</f>
        <v>39153.069999999992</v>
      </c>
      <c r="O611" s="25">
        <f t="shared" si="525"/>
        <v>10889.636755601023</v>
      </c>
      <c r="P611" s="25">
        <f t="shared" si="526"/>
        <v>28263.43324439897</v>
      </c>
      <c r="Q611" s="25">
        <f t="array" aca="1" ref="Q611" ca="1">INDEX('Isaac 401k'!L:L,MATCH('Retirement Calculator'!A611,'Isaac 401k'!N:N,0),0)</f>
        <v>1401511.7287103508</v>
      </c>
      <c r="R611" s="25">
        <f t="array" aca="1" ref="R611" ca="1">INDEX('Lorri 401b'!L:L,MATCH('Retirement Calculator'!A611,'Lorri 401b'!N:N,0),0)</f>
        <v>299188.29084032838</v>
      </c>
      <c r="S611" s="25">
        <f t="shared" ca="1" si="527"/>
        <v>1700700.0195506793</v>
      </c>
    </row>
    <row r="612" spans="1:19" ht="15.75" customHeight="1" x14ac:dyDescent="0.3">
      <c r="A612" s="37">
        <v>69580</v>
      </c>
      <c r="B612" s="398">
        <f t="shared" ref="B612:C612" si="618">($A612-B$9)/365.25</f>
        <v>108.62149212867898</v>
      </c>
      <c r="C612" s="398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3254.2644699519233</v>
      </c>
      <c r="H612" s="25">
        <f>IF(B612&lt;62,0,'Combined Retirement'!$I$14)</f>
        <v>2345</v>
      </c>
      <c r="I612" s="25">
        <f>IF(C612&lt;62,0,'Combined Retirement'!$I$13)</f>
        <v>2420</v>
      </c>
      <c r="J612" s="25">
        <f t="shared" si="523"/>
        <v>7896.2379798201846</v>
      </c>
      <c r="K612" s="25">
        <f t="shared" si="524"/>
        <v>20367.195264578786</v>
      </c>
      <c r="L612" s="25"/>
      <c r="N612" s="25">
        <f>'Combined Retirement'!$C$18/12</f>
        <v>39153.069999999992</v>
      </c>
      <c r="O612" s="25">
        <f t="shared" si="525"/>
        <v>10889.636755601023</v>
      </c>
      <c r="P612" s="25">
        <f t="shared" si="526"/>
        <v>28263.43324439897</v>
      </c>
      <c r="Q612" s="25">
        <f t="array" aca="1" ref="Q612" ca="1">INDEX('Isaac 401k'!L:L,MATCH('Retirement Calculator'!A612,'Isaac 401k'!N:N,0),0)</f>
        <v>1399422.2219419079</v>
      </c>
      <c r="R612" s="25">
        <f t="array" aca="1" ref="R612" ca="1">INDEX('Lorri 401b'!L:L,MATCH('Retirement Calculator'!A612,'Lorri 401b'!N:N,0),0)</f>
        <v>279982.85014064854</v>
      </c>
      <c r="S612" s="25">
        <f t="shared" ca="1" si="527"/>
        <v>1679405.0720825563</v>
      </c>
    </row>
    <row r="613" spans="1:19" ht="15.75" customHeight="1" x14ac:dyDescent="0.3">
      <c r="A613" s="37">
        <v>69611</v>
      </c>
      <c r="B613" s="398">
        <f t="shared" ref="B613:C613" si="619">($A613-B$9)/365.25</f>
        <v>108.70636550308008</v>
      </c>
      <c r="C613" s="398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3254.2644699519233</v>
      </c>
      <c r="H613" s="25">
        <f>IF(B613&lt;62,0,'Combined Retirement'!$I$14)</f>
        <v>2345</v>
      </c>
      <c r="I613" s="25">
        <f>IF(C613&lt;62,0,'Combined Retirement'!$I$13)</f>
        <v>2420</v>
      </c>
      <c r="J613" s="25">
        <f t="shared" si="523"/>
        <v>7896.2379798201846</v>
      </c>
      <c r="K613" s="25">
        <f t="shared" si="524"/>
        <v>20367.195264578786</v>
      </c>
      <c r="L613" s="25"/>
      <c r="N613" s="25">
        <f>'Combined Retirement'!$C$18/12</f>
        <v>39153.069999999992</v>
      </c>
      <c r="O613" s="25">
        <f t="shared" si="525"/>
        <v>10889.636755601023</v>
      </c>
      <c r="P613" s="25">
        <f t="shared" si="526"/>
        <v>28263.43324439897</v>
      </c>
      <c r="Q613" s="25">
        <f t="array" aca="1" ref="Q613" ca="1">INDEX('Isaac 401k'!L:L,MATCH('Retirement Calculator'!A613,'Isaac 401k'!N:N,0),0)</f>
        <v>1397324.0088952631</v>
      </c>
      <c r="R613" s="25">
        <f t="array" aca="1" ref="R613" ca="1">INDEX('Lorri 401b'!L:L,MATCH('Retirement Calculator'!A613,'Lorri 401b'!N:N,0),0)</f>
        <v>260697.38677138669</v>
      </c>
      <c r="S613" s="25">
        <f t="shared" ca="1" si="527"/>
        <v>1658021.3956666498</v>
      </c>
    </row>
    <row r="614" spans="1:19" ht="15.75" customHeight="1" x14ac:dyDescent="0.3">
      <c r="A614" s="37">
        <v>69642</v>
      </c>
      <c r="B614" s="398">
        <f t="shared" ref="B614:C614" si="620">($A614-B$9)/365.25</f>
        <v>108.79123887748118</v>
      </c>
      <c r="C614" s="398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3254.2644699519233</v>
      </c>
      <c r="H614" s="25">
        <f>IF(B614&lt;62,0,'Combined Retirement'!$I$14)</f>
        <v>2345</v>
      </c>
      <c r="I614" s="25">
        <f>IF(C614&lt;62,0,'Combined Retirement'!$I$13)</f>
        <v>2420</v>
      </c>
      <c r="J614" s="25">
        <f t="shared" si="523"/>
        <v>7896.2379798201846</v>
      </c>
      <c r="K614" s="25">
        <f t="shared" si="524"/>
        <v>20367.195264578786</v>
      </c>
      <c r="L614" s="25"/>
      <c r="N614" s="25">
        <f>'Combined Retirement'!$C$18/12</f>
        <v>39153.069999999992</v>
      </c>
      <c r="O614" s="25">
        <f t="shared" si="525"/>
        <v>10889.636755601023</v>
      </c>
      <c r="P614" s="25">
        <f t="shared" si="526"/>
        <v>28263.43324439897</v>
      </c>
      <c r="Q614" s="25">
        <f t="array" aca="1" ref="Q614" ca="1">INDEX('Isaac 401k'!L:L,MATCH('Retirement Calculator'!A614,'Isaac 401k'!N:N,0),0)</f>
        <v>1395217.0532942573</v>
      </c>
      <c r="R614" s="25">
        <f t="array" aca="1" ref="R614" ca="1">INDEX('Lorri 401b'!L:L,MATCH('Retirement Calculator'!A614,'Lorri 401b'!N:N,0),0)</f>
        <v>241331.56730475294</v>
      </c>
      <c r="S614" s="25">
        <f t="shared" ca="1" si="527"/>
        <v>1636548.6205990103</v>
      </c>
    </row>
    <row r="615" spans="1:19" ht="15.75" customHeight="1" x14ac:dyDescent="0.3">
      <c r="A615" s="37">
        <v>69672</v>
      </c>
      <c r="B615" s="398">
        <f t="shared" ref="B615:C615" si="621">($A615-B$9)/365.25</f>
        <v>108.87337440109513</v>
      </c>
      <c r="C615" s="398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3254.2644699519233</v>
      </c>
      <c r="H615" s="25">
        <f>IF(B615&lt;62,0,'Combined Retirement'!$I$14)</f>
        <v>2345</v>
      </c>
      <c r="I615" s="25">
        <f>IF(C615&lt;62,0,'Combined Retirement'!$I$13)</f>
        <v>2420</v>
      </c>
      <c r="J615" s="25">
        <f t="shared" si="523"/>
        <v>7896.2379798201846</v>
      </c>
      <c r="K615" s="25">
        <f t="shared" si="524"/>
        <v>20367.195264578786</v>
      </c>
      <c r="L615" s="25"/>
      <c r="N615" s="25">
        <f>'Combined Retirement'!$C$18/12</f>
        <v>39153.069999999992</v>
      </c>
      <c r="O615" s="25">
        <f t="shared" si="525"/>
        <v>10889.636755601023</v>
      </c>
      <c r="P615" s="25">
        <f t="shared" si="526"/>
        <v>28263.43324439897</v>
      </c>
      <c r="Q615" s="25">
        <f t="array" aca="1" ref="Q615" ca="1">INDEX('Isaac 401k'!L:L,MATCH('Retirement Calculator'!A615,'Isaac 401k'!N:N,0),0)</f>
        <v>1393101.3187115805</v>
      </c>
      <c r="R615" s="25">
        <f t="array" aca="1" ref="R615" ca="1">INDEX('Lorri 401b'!L:L,MATCH('Retirement Calculator'!A615,'Lorri 401b'!N:N,0),0)</f>
        <v>221885.05692367486</v>
      </c>
      <c r="S615" s="25">
        <f t="shared" ca="1" si="527"/>
        <v>1614986.3756352554</v>
      </c>
    </row>
    <row r="616" spans="1:19" ht="15.75" customHeight="1" x14ac:dyDescent="0.3">
      <c r="A616" s="37">
        <v>69703</v>
      </c>
      <c r="B616" s="398">
        <f t="shared" ref="B616:C616" si="622">($A616-B$9)/365.25</f>
        <v>108.95824777549623</v>
      </c>
      <c r="C616" s="398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3254.2644699519233</v>
      </c>
      <c r="H616" s="25">
        <f>IF(B616&lt;62,0,'Combined Retirement'!$I$14)</f>
        <v>2345</v>
      </c>
      <c r="I616" s="25">
        <f>IF(C616&lt;62,0,'Combined Retirement'!$I$13)</f>
        <v>2420</v>
      </c>
      <c r="J616" s="25">
        <f t="shared" si="523"/>
        <v>7896.2379798201846</v>
      </c>
      <c r="K616" s="25">
        <f t="shared" si="524"/>
        <v>20367.195264578786</v>
      </c>
      <c r="L616" s="25"/>
      <c r="N616" s="25">
        <f>'Combined Retirement'!$C$18/12</f>
        <v>39153.069999999992</v>
      </c>
      <c r="O616" s="25">
        <f t="shared" si="525"/>
        <v>10889.636755601023</v>
      </c>
      <c r="P616" s="25">
        <f t="shared" si="526"/>
        <v>28263.43324439897</v>
      </c>
      <c r="Q616" s="25">
        <f t="array" aca="1" ref="Q616" ca="1">INDEX('Isaac 401k'!L:L,MATCH('Retirement Calculator'!A616,'Isaac 401k'!N:N,0),0)</f>
        <v>1390976.7685681426</v>
      </c>
      <c r="R616" s="25">
        <f t="array" aca="1" ref="R616" ca="1">INDEX('Lorri 401b'!L:L,MATCH('Retirement Calculator'!A616,'Lorri 401b'!N:N,0),0)</f>
        <v>202357.51941600896</v>
      </c>
      <c r="S616" s="25">
        <f t="shared" ca="1" si="527"/>
        <v>1593334.2879841514</v>
      </c>
    </row>
    <row r="617" spans="1:19" ht="15.75" customHeight="1" x14ac:dyDescent="0.3">
      <c r="A617" s="37">
        <v>69733</v>
      </c>
      <c r="B617" s="398">
        <f t="shared" ref="B617:C617" si="623">($A617-B$9)/365.25</f>
        <v>109.0403832991102</v>
      </c>
      <c r="C617" s="398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3254.2644699519233</v>
      </c>
      <c r="H617" s="25">
        <f>IF(B617&lt;62,0,'Combined Retirement'!$I$14)</f>
        <v>2345</v>
      </c>
      <c r="I617" s="25">
        <f>IF(C617&lt;62,0,'Combined Retirement'!$I$13)</f>
        <v>2420</v>
      </c>
      <c r="J617" s="25">
        <f t="shared" si="523"/>
        <v>7896.2379798201846</v>
      </c>
      <c r="K617" s="25">
        <f t="shared" si="524"/>
        <v>20367.195264578786</v>
      </c>
      <c r="L617" s="25"/>
      <c r="N617" s="25">
        <f>'Combined Retirement'!$C$18/12</f>
        <v>39153.069999999992</v>
      </c>
      <c r="O617" s="25">
        <f t="shared" si="525"/>
        <v>10889.636755601023</v>
      </c>
      <c r="P617" s="25">
        <f t="shared" si="526"/>
        <v>28263.43324439897</v>
      </c>
      <c r="Q617" s="25">
        <f t="array" aca="1" ref="Q617" ca="1">INDEX('Isaac 401k'!L:L,MATCH('Retirement Calculator'!A617,'Isaac 401k'!N:N,0),0)</f>
        <v>1388843.3661324403</v>
      </c>
      <c r="R617" s="25">
        <f t="array" aca="1" ref="R617" ca="1">INDEX('Lorri 401b'!L:L,MATCH('Retirement Calculator'!A617,'Lorri 401b'!N:N,0),0)</f>
        <v>182748.6171687278</v>
      </c>
      <c r="S617" s="25">
        <f t="shared" ca="1" si="527"/>
        <v>1571591.9833011681</v>
      </c>
    </row>
    <row r="618" spans="1:19" ht="15.75" customHeight="1" x14ac:dyDescent="0.3">
      <c r="A618" s="37">
        <v>69764</v>
      </c>
      <c r="B618" s="398">
        <f t="shared" ref="B618:C618" si="624">($A618-B$9)/365.25</f>
        <v>109.12525667351129</v>
      </c>
      <c r="C618" s="398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3254.2644699519233</v>
      </c>
      <c r="H618" s="25">
        <f>IF(B618&lt;62,0,'Combined Retirement'!$I$14)</f>
        <v>2345</v>
      </c>
      <c r="I618" s="25">
        <f>IF(C618&lt;62,0,'Combined Retirement'!$I$13)</f>
        <v>2420</v>
      </c>
      <c r="J618" s="25">
        <f t="shared" si="523"/>
        <v>7896.2379798201846</v>
      </c>
      <c r="K618" s="25">
        <f t="shared" si="524"/>
        <v>20367.195264578786</v>
      </c>
      <c r="L618" s="25"/>
      <c r="N618" s="25">
        <f>'Combined Retirement'!$C$18/12</f>
        <v>39153.069999999992</v>
      </c>
      <c r="O618" s="25">
        <f t="shared" si="525"/>
        <v>10889.636755601023</v>
      </c>
      <c r="P618" s="25">
        <f t="shared" si="526"/>
        <v>28263.43324439897</v>
      </c>
      <c r="Q618" s="25">
        <f t="array" aca="1" ref="Q618" ca="1">INDEX('Isaac 401k'!L:L,MATCH('Retirement Calculator'!A618,'Isaac 401k'!N:N,0),0)</f>
        <v>1386701.0745199227</v>
      </c>
      <c r="R618" s="25">
        <f t="array" aca="1" ref="R618" ca="1">INDEX('Lorri 401b'!L:L,MATCH('Retirement Calculator'!A618,'Lorri 401b'!N:N,0),0)</f>
        <v>163058.01116208296</v>
      </c>
      <c r="S618" s="25">
        <f t="shared" ca="1" si="527"/>
        <v>1549759.0856820056</v>
      </c>
    </row>
    <row r="619" spans="1:19" ht="15.75" customHeight="1" x14ac:dyDescent="0.3">
      <c r="A619" s="37">
        <v>69795</v>
      </c>
      <c r="B619" s="398">
        <f t="shared" ref="B619:C619" si="625">($A619-B$9)/365.25</f>
        <v>109.21013004791239</v>
      </c>
      <c r="C619" s="398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3254.2644699519233</v>
      </c>
      <c r="H619" s="25">
        <f>IF(B619&lt;62,0,'Combined Retirement'!$I$14)</f>
        <v>2345</v>
      </c>
      <c r="I619" s="25">
        <f>IF(C619&lt;62,0,'Combined Retirement'!$I$13)</f>
        <v>2420</v>
      </c>
      <c r="J619" s="25">
        <f t="shared" si="523"/>
        <v>7896.2379798201846</v>
      </c>
      <c r="K619" s="25">
        <f t="shared" si="524"/>
        <v>20367.195264578786</v>
      </c>
      <c r="L619" s="25"/>
      <c r="N619" s="25">
        <f>'Combined Retirement'!$C$18/12</f>
        <v>39153.069999999992</v>
      </c>
      <c r="O619" s="25">
        <f t="shared" si="525"/>
        <v>10889.636755601023</v>
      </c>
      <c r="P619" s="25">
        <f t="shared" si="526"/>
        <v>28263.43324439897</v>
      </c>
      <c r="Q619" s="25">
        <f t="array" aca="1" ref="Q619" ca="1">INDEX('Isaac 401k'!L:L,MATCH('Retirement Calculator'!A619,'Isaac 401k'!N:N,0),0)</f>
        <v>1384549.856692353</v>
      </c>
      <c r="R619" s="25">
        <f t="array" aca="1" ref="R619" ca="1">INDEX('Lorri 401b'!L:L,MATCH('Retirement Calculator'!A619,'Lorri 401b'!N:N,0),0)</f>
        <v>143285.36096374376</v>
      </c>
      <c r="S619" s="25">
        <f t="shared" ca="1" si="527"/>
        <v>1527835.2176560969</v>
      </c>
    </row>
    <row r="620" spans="1:19" ht="15.75" customHeight="1" x14ac:dyDescent="0.3">
      <c r="A620" s="37">
        <v>69823</v>
      </c>
      <c r="B620" s="398">
        <f t="shared" ref="B620:C620" si="626">($A620-B$9)/365.25</f>
        <v>109.28678986995209</v>
      </c>
      <c r="C620" s="398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3254.2644699519233</v>
      </c>
      <c r="H620" s="25">
        <f>IF(B620&lt;62,0,'Combined Retirement'!$I$14)</f>
        <v>2345</v>
      </c>
      <c r="I620" s="25">
        <f>IF(C620&lt;62,0,'Combined Retirement'!$I$13)</f>
        <v>2420</v>
      </c>
      <c r="J620" s="25">
        <f t="shared" si="523"/>
        <v>7896.2379798201846</v>
      </c>
      <c r="K620" s="25">
        <f t="shared" si="524"/>
        <v>20367.195264578786</v>
      </c>
      <c r="L620" s="25"/>
      <c r="N620" s="25">
        <f>'Combined Retirement'!$C$18/12</f>
        <v>39153.069999999992</v>
      </c>
      <c r="O620" s="25">
        <f t="shared" si="525"/>
        <v>10889.636755601023</v>
      </c>
      <c r="P620" s="25">
        <f t="shared" si="526"/>
        <v>28263.43324439897</v>
      </c>
      <c r="Q620" s="25">
        <f t="array" aca="1" ref="Q620" ca="1">INDEX('Isaac 401k'!L:L,MATCH('Retirement Calculator'!A620,'Isaac 401k'!N:N,0),0)</f>
        <v>1382389.6754571684</v>
      </c>
      <c r="R620" s="25">
        <f t="array" aca="1" ref="R620" ca="1">INDEX('Lorri 401b'!L:L,MATCH('Retirement Calculator'!A620,'Lorri 401b'!N:N,0),0)</f>
        <v>123430.32472291149</v>
      </c>
      <c r="S620" s="25">
        <f t="shared" ca="1" si="527"/>
        <v>1505820.0001800798</v>
      </c>
    </row>
    <row r="621" spans="1:19" ht="15.75" customHeight="1" x14ac:dyDescent="0.3">
      <c r="A621" s="37">
        <v>69854</v>
      </c>
      <c r="B621" s="398">
        <f t="shared" ref="B621:C621" si="627">($A621-B$9)/365.25</f>
        <v>109.37166324435319</v>
      </c>
      <c r="C621" s="398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3254.2644699519233</v>
      </c>
      <c r="H621" s="25">
        <f>IF(B621&lt;62,0,'Combined Retirement'!$I$14)</f>
        <v>2345</v>
      </c>
      <c r="I621" s="25">
        <f>IF(C621&lt;62,0,'Combined Retirement'!$I$13)</f>
        <v>2420</v>
      </c>
      <c r="J621" s="25">
        <f t="shared" si="523"/>
        <v>7896.2379798201846</v>
      </c>
      <c r="K621" s="25">
        <f t="shared" si="524"/>
        <v>20367.195264578786</v>
      </c>
      <c r="L621" s="25"/>
      <c r="N621" s="25">
        <f>'Combined Retirement'!$C$18/12</f>
        <v>39153.069999999992</v>
      </c>
      <c r="O621" s="25">
        <f t="shared" si="525"/>
        <v>10889.636755601023</v>
      </c>
      <c r="P621" s="25">
        <f t="shared" si="526"/>
        <v>28263.43324439897</v>
      </c>
      <c r="Q621" s="25">
        <f t="array" aca="1" ref="Q621" ca="1">INDEX('Isaac 401k'!L:L,MATCH('Retirement Calculator'!A621,'Isaac 401k'!N:N,0),0)</f>
        <v>1380220.4934668371</v>
      </c>
      <c r="R621" s="25">
        <f t="array" aca="1" ref="R621" ca="1">INDEX('Lorri 401b'!L:L,MATCH('Retirement Calculator'!A621,'Lorri 401b'!N:N,0),0)</f>
        <v>103492.5591644091</v>
      </c>
      <c r="S621" s="25">
        <f t="shared" ca="1" si="527"/>
        <v>1483713.0526312462</v>
      </c>
    </row>
    <row r="622" spans="1:19" ht="15.75" customHeight="1" x14ac:dyDescent="0.3">
      <c r="A622" s="37">
        <v>69884</v>
      </c>
      <c r="B622" s="398">
        <f t="shared" ref="B622:C622" si="628">($A622-B$9)/365.25</f>
        <v>109.45379876796714</v>
      </c>
      <c r="C622" s="398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3254.2644699519233</v>
      </c>
      <c r="H622" s="25">
        <f>IF(B622&lt;62,0,'Combined Retirement'!$I$14)</f>
        <v>2345</v>
      </c>
      <c r="I622" s="25">
        <f>IF(C622&lt;62,0,'Combined Retirement'!$I$13)</f>
        <v>2420</v>
      </c>
      <c r="J622" s="25">
        <f t="shared" si="523"/>
        <v>7896.2379798201846</v>
      </c>
      <c r="K622" s="25">
        <f t="shared" si="524"/>
        <v>20367.195264578786</v>
      </c>
      <c r="L622" s="25"/>
      <c r="N622" s="25">
        <f>'Combined Retirement'!$C$18/12</f>
        <v>39153.069999999992</v>
      </c>
      <c r="O622" s="25">
        <f t="shared" si="525"/>
        <v>10889.636755601023</v>
      </c>
      <c r="P622" s="25">
        <f t="shared" si="526"/>
        <v>28263.43324439897</v>
      </c>
      <c r="Q622" s="25">
        <f t="array" aca="1" ref="Q622" ca="1">INDEX('Isaac 401k'!L:L,MATCH('Retirement Calculator'!A622,'Isaac 401k'!N:N,0),0)</f>
        <v>1378042.2732182129</v>
      </c>
      <c r="R622" s="25">
        <f t="array" aca="1" ref="R622" ca="1">INDEX('Lorri 401b'!L:L,MATCH('Retirement Calculator'!A622,'Lorri 401b'!N:N,0),0)</f>
        <v>83471.719582746286</v>
      </c>
      <c r="S622" s="25">
        <f t="shared" ca="1" si="527"/>
        <v>1461513.9928009592</v>
      </c>
    </row>
    <row r="623" spans="1:19" ht="15.75" customHeight="1" x14ac:dyDescent="0.3">
      <c r="A623" s="37">
        <v>69915</v>
      </c>
      <c r="B623" s="398">
        <f t="shared" ref="B623:C623" si="629">($A623-B$9)/365.25</f>
        <v>109.53867214236824</v>
      </c>
      <c r="C623" s="398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3254.2644699519233</v>
      </c>
      <c r="H623" s="25">
        <f>IF(B623&lt;62,0,'Combined Retirement'!$I$14)</f>
        <v>2345</v>
      </c>
      <c r="I623" s="25">
        <f>IF(C623&lt;62,0,'Combined Retirement'!$I$13)</f>
        <v>2420</v>
      </c>
      <c r="J623" s="25">
        <f t="shared" si="523"/>
        <v>7896.2379798201846</v>
      </c>
      <c r="K623" s="25">
        <f t="shared" si="524"/>
        <v>20367.195264578786</v>
      </c>
      <c r="L623" s="25"/>
      <c r="N623" s="25">
        <f>'Combined Retirement'!$C$18/12</f>
        <v>39153.069999999992</v>
      </c>
      <c r="O623" s="25">
        <f t="shared" si="525"/>
        <v>10889.636755601023</v>
      </c>
      <c r="P623" s="25">
        <f t="shared" si="526"/>
        <v>28263.43324439897</v>
      </c>
      <c r="Q623" s="25">
        <f t="array" aca="1" ref="Q623" ca="1">INDEX('Isaac 401k'!L:L,MATCH('Retirement Calculator'!A623,'Isaac 401k'!N:N,0),0)</f>
        <v>1375854.977051886</v>
      </c>
      <c r="R623" s="25">
        <f t="array" aca="1" ref="R623" ca="1">INDEX('Lorri 401b'!L:L,MATCH('Retirement Calculator'!A623,'Lorri 401b'!N:N,0),0)</f>
        <v>63367.459836159869</v>
      </c>
      <c r="S623" s="25">
        <f t="shared" ca="1" si="527"/>
        <v>1439222.4368880459</v>
      </c>
    </row>
    <row r="624" spans="1:19" ht="15.75" customHeight="1" x14ac:dyDescent="0.3">
      <c r="A624" s="37">
        <v>69945</v>
      </c>
      <c r="B624" s="398">
        <f t="shared" ref="B624:C624" si="630">($A624-B$9)/365.25</f>
        <v>109.6208076659822</v>
      </c>
      <c r="C624" s="398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3254.2644699519233</v>
      </c>
      <c r="H624" s="25">
        <f>IF(B624&lt;62,0,'Combined Retirement'!$I$14)</f>
        <v>2345</v>
      </c>
      <c r="I624" s="25">
        <f>IF(C624&lt;62,0,'Combined Retirement'!$I$13)</f>
        <v>2420</v>
      </c>
      <c r="J624" s="25">
        <f t="shared" si="523"/>
        <v>7896.2379798201846</v>
      </c>
      <c r="K624" s="25">
        <f t="shared" si="524"/>
        <v>20367.195264578786</v>
      </c>
      <c r="L624" s="25"/>
      <c r="N624" s="25">
        <f>'Combined Retirement'!$C$18/12</f>
        <v>39153.069999999992</v>
      </c>
      <c r="O624" s="25">
        <f t="shared" si="525"/>
        <v>10889.636755601023</v>
      </c>
      <c r="P624" s="25">
        <f t="shared" si="526"/>
        <v>28263.43324439897</v>
      </c>
      <c r="Q624" s="25">
        <f t="array" aca="1" ref="Q624" ca="1">INDEX('Isaac 401k'!L:L,MATCH('Retirement Calculator'!A624,'Isaac 401k'!N:N,0),0)</f>
        <v>1373658.5671515327</v>
      </c>
      <c r="R624" s="25">
        <f t="array" aca="1" ref="R624" ca="1">INDEX('Lorri 401b'!L:L,MATCH('Retirement Calculator'!A624,'Lorri 401b'!N:N,0),0)</f>
        <v>43179.432340629333</v>
      </c>
      <c r="S624" s="25">
        <f t="shared" ca="1" si="527"/>
        <v>1416837.9994921621</v>
      </c>
    </row>
    <row r="625" spans="1:19" ht="15.75" customHeight="1" x14ac:dyDescent="0.3">
      <c r="A625" s="37">
        <v>69976</v>
      </c>
      <c r="B625" s="398">
        <f t="shared" ref="B625:C625" si="631">($A625-B$9)/365.25</f>
        <v>109.7056810403833</v>
      </c>
      <c r="C625" s="398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3254.2644699519233</v>
      </c>
      <c r="H625" s="25">
        <f>IF(B625&lt;62,0,'Combined Retirement'!$I$14)</f>
        <v>2345</v>
      </c>
      <c r="I625" s="25">
        <f>IF(C625&lt;62,0,'Combined Retirement'!$I$13)</f>
        <v>2420</v>
      </c>
      <c r="J625" s="25">
        <f t="shared" si="523"/>
        <v>7896.2379798201846</v>
      </c>
      <c r="K625" s="25">
        <f t="shared" si="524"/>
        <v>20367.195264578786</v>
      </c>
      <c r="L625" s="25"/>
      <c r="N625" s="25">
        <f>'Combined Retirement'!$C$18/12</f>
        <v>39153.069999999992</v>
      </c>
      <c r="O625" s="25">
        <f t="shared" si="525"/>
        <v>10889.636755601023</v>
      </c>
      <c r="P625" s="25">
        <f t="shared" si="526"/>
        <v>28263.43324439897</v>
      </c>
      <c r="Q625" s="25">
        <f t="array" aca="1" ref="Q625" ca="1">INDEX('Isaac 401k'!L:L,MATCH('Retirement Calculator'!A625,'Isaac 401k'!N:N,0),0)</f>
        <v>1371453.0055432613</v>
      </c>
      <c r="R625" s="25">
        <f t="array" aca="1" ref="R625" ca="1">INDEX('Lorri 401b'!L:L,MATCH('Retirement Calculator'!A625,'Lorri 401b'!N:N,0),0)</f>
        <v>22907.288063867425</v>
      </c>
      <c r="S625" s="25">
        <f t="shared" ca="1" si="527"/>
        <v>1394360.2936071288</v>
      </c>
    </row>
    <row r="626" spans="1:19" ht="15.75" customHeight="1" x14ac:dyDescent="0.3">
      <c r="A626" s="37">
        <v>70007</v>
      </c>
      <c r="B626" s="398">
        <f t="shared" ref="B626:C626" si="632">($A626-B$9)/365.25</f>
        <v>109.7905544147844</v>
      </c>
      <c r="C626" s="398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3254.2644699519233</v>
      </c>
      <c r="H626" s="25">
        <f>IF(B626&lt;62,0,'Combined Retirement'!$I$14)</f>
        <v>2345</v>
      </c>
      <c r="I626" s="25">
        <f>IF(C626&lt;62,0,'Combined Retirement'!$I$13)</f>
        <v>2420</v>
      </c>
      <c r="J626" s="25">
        <f t="shared" si="523"/>
        <v>7896.2379798201846</v>
      </c>
      <c r="K626" s="25">
        <f t="shared" si="524"/>
        <v>20367.195264578786</v>
      </c>
      <c r="L626" s="25"/>
      <c r="N626" s="25">
        <f>'Combined Retirement'!$C$18/12</f>
        <v>39153.069999999992</v>
      </c>
      <c r="O626" s="25">
        <f t="shared" si="525"/>
        <v>10889.636755601023</v>
      </c>
      <c r="P626" s="25">
        <f t="shared" si="526"/>
        <v>28263.43324439897</v>
      </c>
      <c r="Q626" s="25">
        <f t="array" aca="1" ref="Q626" ca="1">INDEX('Isaac 401k'!L:L,MATCH('Retirement Calculator'!A626,'Isaac 401k'!N:N,0),0)</f>
        <v>1369238.2540949555</v>
      </c>
      <c r="R626" s="25">
        <f t="array" aca="1" ref="R626" ca="1">INDEX('Lorri 401b'!L:L,MATCH('Retirement Calculator'!A626,'Lorri 401b'!N:N,0),0)</f>
        <v>2550.6765192856751</v>
      </c>
      <c r="S626" s="25">
        <f t="shared" ca="1" si="527"/>
        <v>1371788.9306142412</v>
      </c>
    </row>
    <row r="627" spans="1:19" ht="15.75" customHeight="1" x14ac:dyDescent="0.3">
      <c r="A627" s="37">
        <v>70037</v>
      </c>
      <c r="B627" s="398">
        <f t="shared" ref="B627:C627" si="633">($A627-B$9)/365.25</f>
        <v>109.87268993839835</v>
      </c>
      <c r="C627" s="398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3254.2644699519233</v>
      </c>
      <c r="H627" s="25">
        <f>IF(B627&lt;62,0,'Combined Retirement'!$I$14)</f>
        <v>2345</v>
      </c>
      <c r="I627" s="25">
        <f>IF(C627&lt;62,0,'Combined Retirement'!$I$13)</f>
        <v>2420</v>
      </c>
      <c r="J627" s="25">
        <f t="shared" si="523"/>
        <v>7896.2379798201846</v>
      </c>
      <c r="K627" s="25">
        <f t="shared" si="524"/>
        <v>20367.195264578786</v>
      </c>
      <c r="L627" s="25"/>
      <c r="N627" s="25">
        <f>'Combined Retirement'!$C$18/12</f>
        <v>39153.069999999992</v>
      </c>
      <c r="O627" s="25">
        <f t="shared" si="525"/>
        <v>10889.636755601023</v>
      </c>
      <c r="P627" s="25">
        <f t="shared" si="526"/>
        <v>28263.43324439897</v>
      </c>
      <c r="Q627" s="25">
        <f t="array" aca="1" ref="Q627" ca="1">INDEX('Isaac 401k'!L:L,MATCH('Retirement Calculator'!A627,'Isaac 401k'!N:N,0),0)</f>
        <v>1367014.2745156151</v>
      </c>
      <c r="R627" s="25">
        <f t="array" aca="1" ref="R627" ca="1">INDEX('Lorri 401b'!L:L,MATCH('Retirement Calculator'!A627,'Lorri 401b'!N:N,0),0)</f>
        <v>-17890.754240065166</v>
      </c>
      <c r="S627" s="25">
        <f t="shared" ca="1" si="527"/>
        <v>1349123.52027555</v>
      </c>
    </row>
    <row r="628" spans="1:19" ht="15.75" customHeight="1" x14ac:dyDescent="0.3">
      <c r="A628" s="37">
        <v>70068</v>
      </c>
      <c r="B628" s="398">
        <f t="shared" ref="B628:C628" si="634">($A628-B$9)/365.25</f>
        <v>109.95756331279945</v>
      </c>
      <c r="C628" s="398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3254.2644699519233</v>
      </c>
      <c r="H628" s="25">
        <f>IF(B628&lt;62,0,'Combined Retirement'!$I$14)</f>
        <v>2345</v>
      </c>
      <c r="I628" s="25">
        <f>IF(C628&lt;62,0,'Combined Retirement'!$I$13)</f>
        <v>2420</v>
      </c>
      <c r="J628" s="25">
        <f t="shared" si="523"/>
        <v>7896.2379798201846</v>
      </c>
      <c r="K628" s="25">
        <f t="shared" si="524"/>
        <v>20367.195264578786</v>
      </c>
      <c r="L628" s="25"/>
      <c r="N628" s="25">
        <f>'Combined Retirement'!$C$18/12</f>
        <v>39153.069999999992</v>
      </c>
      <c r="O628" s="25">
        <f t="shared" si="525"/>
        <v>10889.636755601023</v>
      </c>
      <c r="P628" s="25">
        <f t="shared" si="526"/>
        <v>28263.43324439897</v>
      </c>
      <c r="Q628" s="25">
        <f t="array" aca="1" ref="Q628" ca="1">INDEX('Isaac 401k'!L:L,MATCH('Retirement Calculator'!A628,'Isaac 401k'!N:N,0),0)</f>
        <v>1364781.0283546939</v>
      </c>
      <c r="R628" s="25">
        <f t="array" aca="1" ref="R628" ca="1">INDEX('Lorri 401b'!L:L,MATCH('Retirement Calculator'!A628,'Lorri 401b'!N:N,0),0)</f>
        <v>-38417.357627579971</v>
      </c>
      <c r="S628" s="25">
        <f t="shared" ca="1" si="527"/>
        <v>1326363.670727114</v>
      </c>
    </row>
    <row r="629" spans="1:19" ht="15.75" customHeight="1" x14ac:dyDescent="0.3">
      <c r="A629" s="37">
        <v>70098</v>
      </c>
      <c r="B629" s="398">
        <f t="shared" ref="B629:C629" si="635">($A629-B$9)/365.25</f>
        <v>110.03969883641342</v>
      </c>
      <c r="C629" s="398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3254.2644699519233</v>
      </c>
      <c r="H629" s="25">
        <f>IF(B629&lt;62,0,'Combined Retirement'!$I$14)</f>
        <v>2345</v>
      </c>
      <c r="I629" s="25">
        <f>IF(C629&lt;62,0,'Combined Retirement'!$I$13)</f>
        <v>2420</v>
      </c>
      <c r="J629" s="25">
        <f t="shared" si="523"/>
        <v>7896.2379798201846</v>
      </c>
      <c r="K629" s="25">
        <f t="shared" si="524"/>
        <v>20367.195264578786</v>
      </c>
      <c r="L629" s="25"/>
      <c r="N629" s="25">
        <f>'Combined Retirement'!$C$18/12</f>
        <v>39153.069999999992</v>
      </c>
      <c r="O629" s="25">
        <f t="shared" si="525"/>
        <v>10889.636755601023</v>
      </c>
      <c r="P629" s="25">
        <f t="shared" si="526"/>
        <v>28263.43324439897</v>
      </c>
      <c r="Q629" s="25">
        <f t="array" aca="1" ref="Q629" ca="1">INDEX('Isaac 401k'!L:L,MATCH('Retirement Calculator'!A629,'Isaac 401k'!N:N,0),0)</f>
        <v>1362538.4770014356</v>
      </c>
      <c r="R629" s="25">
        <f t="array" aca="1" ref="R629" ca="1">INDEX('Lorri 401b'!L:L,MATCH('Retirement Calculator'!A629,'Lorri 401b'!N:N,0),0)</f>
        <v>-59029.488529209419</v>
      </c>
      <c r="S629" s="25">
        <f t="shared" ca="1" si="527"/>
        <v>1303508.9884722261</v>
      </c>
    </row>
    <row r="630" spans="1:19" ht="15.75" customHeight="1" x14ac:dyDescent="0.3">
      <c r="A630" s="37">
        <v>70129</v>
      </c>
      <c r="B630" s="398">
        <f t="shared" ref="B630:C630" si="636">($A630-B$9)/365.25</f>
        <v>110.12457221081451</v>
      </c>
      <c r="C630" s="398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3254.2644699519233</v>
      </c>
      <c r="H630" s="25">
        <f>IF(B630&lt;62,0,'Combined Retirement'!$I$14)</f>
        <v>2345</v>
      </c>
      <c r="I630" s="25">
        <f>IF(C630&lt;62,0,'Combined Retirement'!$I$13)</f>
        <v>2420</v>
      </c>
      <c r="J630" s="25">
        <f t="shared" si="523"/>
        <v>7896.2379798201846</v>
      </c>
      <c r="K630" s="25">
        <f t="shared" si="524"/>
        <v>20367.195264578786</v>
      </c>
      <c r="L630" s="25"/>
      <c r="N630" s="25">
        <f>'Combined Retirement'!$C$18/12</f>
        <v>39153.069999999992</v>
      </c>
      <c r="O630" s="25">
        <f t="shared" si="525"/>
        <v>10889.636755601023</v>
      </c>
      <c r="P630" s="25">
        <f t="shared" si="526"/>
        <v>28263.43324439897</v>
      </c>
      <c r="Q630" s="25">
        <f t="array" aca="1" ref="Q630" ca="1">INDEX('Isaac 401k'!L:L,MATCH('Retirement Calculator'!A630,'Isaac 401k'!N:N,0),0)</f>
        <v>1360286.5816842054</v>
      </c>
      <c r="R630" s="25">
        <f t="array" aca="1" ref="R630" ca="1">INDEX('Lorri 401b'!L:L,MATCH('Retirement Calculator'!A630,'Lorri 401b'!N:N,0),0)</f>
        <v>-79727.503309595661</v>
      </c>
      <c r="S630" s="25">
        <f t="shared" ca="1" si="527"/>
        <v>1280559.0783746098</v>
      </c>
    </row>
    <row r="631" spans="1:19" ht="15.75" customHeight="1" x14ac:dyDescent="0.3">
      <c r="A631" s="37">
        <v>70160</v>
      </c>
      <c r="B631" s="398">
        <f t="shared" ref="B631:C631" si="637">($A631-B$9)/365.25</f>
        <v>110.2094455852156</v>
      </c>
      <c r="C631" s="398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3254.2644699519233</v>
      </c>
      <c r="H631" s="25">
        <f>IF(B631&lt;62,0,'Combined Retirement'!$I$14)</f>
        <v>2345</v>
      </c>
      <c r="I631" s="25">
        <f>IF(C631&lt;62,0,'Combined Retirement'!$I$13)</f>
        <v>2420</v>
      </c>
      <c r="J631" s="25">
        <f t="shared" si="523"/>
        <v>7896.2379798201846</v>
      </c>
      <c r="K631" s="25">
        <f t="shared" si="524"/>
        <v>20367.195264578786</v>
      </c>
      <c r="L631" s="25"/>
      <c r="N631" s="25">
        <f>'Combined Retirement'!$C$18/12</f>
        <v>39153.069999999992</v>
      </c>
      <c r="O631" s="25">
        <f t="shared" si="525"/>
        <v>10889.636755601023</v>
      </c>
      <c r="P631" s="25">
        <f t="shared" si="526"/>
        <v>28263.43324439897</v>
      </c>
      <c r="Q631" s="25">
        <f t="array" aca="1" ref="Q631" ca="1">INDEX('Isaac 401k'!L:L,MATCH('Retirement Calculator'!A631,'Isaac 401k'!N:N,0),0)</f>
        <v>1358025.3034698202</v>
      </c>
      <c r="R631" s="25">
        <f t="array" aca="1" ref="R631" ca="1">INDEX('Lorri 401b'!L:L,MATCH('Retirement Calculator'!A631,'Lorri 401b'!N:N,0),0)</f>
        <v>-100511.75981823351</v>
      </c>
      <c r="S631" s="25">
        <f t="shared" ca="1" si="527"/>
        <v>1257513.5436515866</v>
      </c>
    </row>
    <row r="632" spans="1:19" ht="15.75" customHeight="1" x14ac:dyDescent="0.3">
      <c r="A632" s="37">
        <v>70189</v>
      </c>
      <c r="B632" s="398">
        <f t="shared" ref="B632:C632" si="638">($A632-B$9)/365.25</f>
        <v>110.28884325804243</v>
      </c>
      <c r="C632" s="398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3254.2644699519233</v>
      </c>
      <c r="H632" s="25">
        <f>IF(B632&lt;62,0,'Combined Retirement'!$I$14)</f>
        <v>2345</v>
      </c>
      <c r="I632" s="25">
        <f>IF(C632&lt;62,0,'Combined Retirement'!$I$13)</f>
        <v>2420</v>
      </c>
      <c r="J632" s="25">
        <f t="shared" si="523"/>
        <v>7896.2379798201846</v>
      </c>
      <c r="K632" s="25">
        <f t="shared" si="524"/>
        <v>20367.195264578786</v>
      </c>
      <c r="L632" s="25"/>
      <c r="N632" s="25">
        <f>'Combined Retirement'!$C$18/12</f>
        <v>39153.069999999992</v>
      </c>
      <c r="O632" s="25">
        <f t="shared" si="525"/>
        <v>10889.636755601023</v>
      </c>
      <c r="P632" s="25">
        <f t="shared" si="526"/>
        <v>28263.43324439897</v>
      </c>
      <c r="Q632" s="25">
        <f t="array" aca="1" ref="Q632" ca="1">INDEX('Isaac 401k'!L:L,MATCH('Retirement Calculator'!A632,'Isaac 401k'!N:N,0),0)</f>
        <v>1355754.603262875</v>
      </c>
      <c r="R632" s="25">
        <f t="array" aca="1" ref="R632" ca="1">INDEX('Lorri 401b'!L:L,MATCH('Retirement Calculator'!A632,'Lorri 401b'!N:N,0),0)</f>
        <v>-121382.61739565733</v>
      </c>
      <c r="S632" s="25">
        <f t="shared" ca="1" si="527"/>
        <v>1234371.9858672176</v>
      </c>
    </row>
    <row r="633" spans="1:19" ht="15.75" customHeight="1" x14ac:dyDescent="0.3">
      <c r="A633" s="37">
        <v>70220</v>
      </c>
      <c r="B633" s="398">
        <f t="shared" ref="B633:C633" si="639">($A633-B$9)/365.25</f>
        <v>110.37371663244353</v>
      </c>
      <c r="C633" s="398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3254.2644699519233</v>
      </c>
      <c r="H633" s="25">
        <f>IF(B633&lt;62,0,'Combined Retirement'!$I$14)</f>
        <v>2345</v>
      </c>
      <c r="I633" s="25">
        <f>IF(C633&lt;62,0,'Combined Retirement'!$I$13)</f>
        <v>2420</v>
      </c>
      <c r="J633" s="25">
        <f t="shared" si="523"/>
        <v>7896.2379798201846</v>
      </c>
      <c r="K633" s="25">
        <f t="shared" si="524"/>
        <v>20367.195264578786</v>
      </c>
      <c r="L633" s="25"/>
      <c r="N633" s="25">
        <f>'Combined Retirement'!$C$18/12</f>
        <v>39153.069999999992</v>
      </c>
      <c r="O633" s="25">
        <f t="shared" si="525"/>
        <v>10889.636755601023</v>
      </c>
      <c r="P633" s="25">
        <f t="shared" si="526"/>
        <v>28263.43324439897</v>
      </c>
      <c r="Q633" s="25">
        <f t="array" aca="1" ref="Q633" ca="1">INDEX('Isaac 401k'!L:L,MATCH('Retirement Calculator'!A633,'Isaac 401k'!N:N,0),0)</f>
        <v>1353474.4418050675</v>
      </c>
      <c r="R633" s="25">
        <f t="array" aca="1" ref="R633" ca="1">INDEX('Lorri 401b'!L:L,MATCH('Retirement Calculator'!A633,'Lorri 401b'!N:N,0),0)</f>
        <v>-142340.43687965377</v>
      </c>
      <c r="S633" s="25">
        <f t="shared" ca="1" si="527"/>
        <v>1211134.0049254138</v>
      </c>
    </row>
    <row r="634" spans="1:19" ht="15.75" customHeight="1" x14ac:dyDescent="0.3">
      <c r="A634" s="37">
        <v>70250</v>
      </c>
      <c r="B634" s="398">
        <f t="shared" ref="B634:C634" si="640">($A634-B$9)/365.25</f>
        <v>110.45585215605749</v>
      </c>
      <c r="C634" s="398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3254.2644699519233</v>
      </c>
      <c r="H634" s="25">
        <f>IF(B634&lt;62,0,'Combined Retirement'!$I$14)</f>
        <v>2345</v>
      </c>
      <c r="I634" s="25">
        <f>IF(C634&lt;62,0,'Combined Retirement'!$I$13)</f>
        <v>2420</v>
      </c>
      <c r="J634" s="25">
        <f t="shared" si="523"/>
        <v>7896.2379798201846</v>
      </c>
      <c r="K634" s="25">
        <f t="shared" si="524"/>
        <v>20367.195264578786</v>
      </c>
      <c r="L634" s="25"/>
      <c r="N634" s="25">
        <f>'Combined Retirement'!$C$18/12</f>
        <v>39153.069999999992</v>
      </c>
      <c r="O634" s="25">
        <f t="shared" si="525"/>
        <v>10889.636755601023</v>
      </c>
      <c r="P634" s="25">
        <f t="shared" si="526"/>
        <v>28263.43324439897</v>
      </c>
      <c r="Q634" s="25">
        <f t="array" aca="1" ref="Q634" ca="1">INDEX('Isaac 401k'!L:L,MATCH('Retirement Calculator'!A634,'Isaac 401k'!N:N,0),0)</f>
        <v>1351184.7796745191</v>
      </c>
      <c r="R634" s="25">
        <f t="array" aca="1" ref="R634" ca="1">INDEX('Lorri 401b'!L:L,MATCH('Retirement Calculator'!A634,'Lorri 401b'!N:N,0),0)</f>
        <v>-163385.58061150022</v>
      </c>
      <c r="S634" s="25">
        <f t="shared" ca="1" si="527"/>
        <v>1187799.1990630189</v>
      </c>
    </row>
    <row r="635" spans="1:19" ht="15.75" customHeight="1" x14ac:dyDescent="0.3">
      <c r="A635" s="37">
        <v>70281</v>
      </c>
      <c r="B635" s="398">
        <f t="shared" ref="B635:C635" si="641">($A635-B$9)/365.25</f>
        <v>110.54072553045859</v>
      </c>
      <c r="C635" s="398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3254.2644699519233</v>
      </c>
      <c r="H635" s="25">
        <f>IF(B635&lt;62,0,'Combined Retirement'!$I$14)</f>
        <v>2345</v>
      </c>
      <c r="I635" s="25">
        <f>IF(C635&lt;62,0,'Combined Retirement'!$I$13)</f>
        <v>2420</v>
      </c>
      <c r="J635" s="25">
        <f t="shared" si="523"/>
        <v>7896.2379798201846</v>
      </c>
      <c r="K635" s="25">
        <f t="shared" si="524"/>
        <v>20367.195264578786</v>
      </c>
      <c r="L635" s="25"/>
      <c r="N635" s="25">
        <f>'Combined Retirement'!$C$18/12</f>
        <v>39153.069999999992</v>
      </c>
      <c r="O635" s="25">
        <f t="shared" si="525"/>
        <v>10889.636755601023</v>
      </c>
      <c r="P635" s="25">
        <f t="shared" si="526"/>
        <v>28263.43324439897</v>
      </c>
      <c r="Q635" s="25">
        <f t="array" aca="1" ref="Q635" ca="1">INDEX('Isaac 401k'!L:L,MATCH('Retirement Calculator'!A635,'Isaac 401k'!N:N,0),0)</f>
        <v>1348885.5772850935</v>
      </c>
      <c r="R635" s="25">
        <f t="array" aca="1" ref="R635" ca="1">INDEX('Lorri 401b'!L:L,MATCH('Retirement Calculator'!A635,'Lorri 401b'!N:N,0),0)</f>
        <v>-184518.41244222934</v>
      </c>
      <c r="S635" s="25">
        <f t="shared" ca="1" si="527"/>
        <v>1164367.164842864</v>
      </c>
    </row>
    <row r="636" spans="1:19" ht="15.75" customHeight="1" x14ac:dyDescent="0.3">
      <c r="A636" s="37">
        <v>70311</v>
      </c>
      <c r="B636" s="398">
        <f t="shared" ref="B636:C636" si="642">($A636-B$9)/365.25</f>
        <v>110.62286105407256</v>
      </c>
      <c r="C636" s="398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3254.2644699519233</v>
      </c>
      <c r="H636" s="25">
        <f>IF(B636&lt;62,0,'Combined Retirement'!$I$14)</f>
        <v>2345</v>
      </c>
      <c r="I636" s="25">
        <f>IF(C636&lt;62,0,'Combined Retirement'!$I$13)</f>
        <v>2420</v>
      </c>
      <c r="J636" s="25">
        <f t="shared" si="523"/>
        <v>7896.2379798201846</v>
      </c>
      <c r="K636" s="25">
        <f t="shared" si="524"/>
        <v>20367.195264578786</v>
      </c>
      <c r="L636" s="25"/>
      <c r="N636" s="25">
        <f>'Combined Retirement'!$C$18/12</f>
        <v>39153.069999999992</v>
      </c>
      <c r="O636" s="25">
        <f t="shared" si="525"/>
        <v>10889.636755601023</v>
      </c>
      <c r="P636" s="25">
        <f t="shared" si="526"/>
        <v>28263.43324439897</v>
      </c>
      <c r="Q636" s="25">
        <f t="array" aca="1" ref="Q636" ca="1">INDEX('Isaac 401k'!L:L,MATCH('Retirement Calculator'!A636,'Isaac 401k'!N:N,0),0)</f>
        <v>1346576.794885712</v>
      </c>
      <c r="R636" s="25">
        <f t="array" aca="1" ref="R636" ca="1">INDEX('Lorri 401b'!L:L,MATCH('Retirement Calculator'!A636,'Lorri 401b'!N:N,0),0)</f>
        <v>-205739.29773891985</v>
      </c>
      <c r="S636" s="25">
        <f t="shared" ca="1" si="527"/>
        <v>1140837.4971467922</v>
      </c>
    </row>
    <row r="637" spans="1:19" ht="15.75" customHeight="1" x14ac:dyDescent="0.3">
      <c r="A637" s="37">
        <v>70342</v>
      </c>
      <c r="B637" s="398">
        <f t="shared" ref="B637:C637" si="643">($A637-B$9)/365.25</f>
        <v>110.70773442847364</v>
      </c>
      <c r="C637" s="398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3254.2644699519233</v>
      </c>
      <c r="H637" s="25">
        <f>IF(B637&lt;62,0,'Combined Retirement'!$I$14)</f>
        <v>2345</v>
      </c>
      <c r="I637" s="25">
        <f>IF(C637&lt;62,0,'Combined Retirement'!$I$13)</f>
        <v>2420</v>
      </c>
      <c r="J637" s="25">
        <f t="shared" si="523"/>
        <v>7896.2379798201846</v>
      </c>
      <c r="K637" s="25">
        <f t="shared" si="524"/>
        <v>20367.195264578786</v>
      </c>
      <c r="L637" s="25"/>
      <c r="N637" s="25">
        <f>'Combined Retirement'!$C$18/12</f>
        <v>39153.069999999992</v>
      </c>
      <c r="O637" s="25">
        <f t="shared" si="525"/>
        <v>10889.636755601023</v>
      </c>
      <c r="P637" s="25">
        <f t="shared" si="526"/>
        <v>28263.43324439897</v>
      </c>
      <c r="Q637" s="25">
        <f t="array" aca="1" ref="Q637" ca="1">INDEX('Isaac 401k'!L:L,MATCH('Retirement Calculator'!A637,'Isaac 401k'!N:N,0),0)</f>
        <v>1344258.3925596662</v>
      </c>
      <c r="R637" s="25">
        <f t="array" aca="1" ref="R637" ca="1">INDEX('Lorri 401b'!L:L,MATCH('Retirement Calculator'!A637,'Lorri 401b'!N:N,0),0)</f>
        <v>-227048.60339101322</v>
      </c>
      <c r="S637" s="25">
        <f t="shared" ca="1" si="527"/>
        <v>1117209.7891686531</v>
      </c>
    </row>
    <row r="638" spans="1:19" ht="15.75" customHeight="1" x14ac:dyDescent="0.3">
      <c r="A638" s="37">
        <v>70373</v>
      </c>
      <c r="B638" s="398">
        <f t="shared" ref="B638:C638" si="644">($A638-B$9)/365.25</f>
        <v>110.79260780287474</v>
      </c>
      <c r="C638" s="398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3254.2644699519233</v>
      </c>
      <c r="H638" s="25">
        <f>IF(B638&lt;62,0,'Combined Retirement'!$I$14)</f>
        <v>2345</v>
      </c>
      <c r="I638" s="25">
        <f>IF(C638&lt;62,0,'Combined Retirement'!$I$13)</f>
        <v>2420</v>
      </c>
      <c r="J638" s="25">
        <f t="shared" si="523"/>
        <v>7896.2379798201846</v>
      </c>
      <c r="K638" s="25">
        <f t="shared" si="524"/>
        <v>20367.195264578786</v>
      </c>
      <c r="L638" s="25"/>
      <c r="N638" s="25">
        <f>'Combined Retirement'!$C$18/12</f>
        <v>39153.069999999992</v>
      </c>
      <c r="O638" s="25">
        <f t="shared" si="525"/>
        <v>10889.636755601023</v>
      </c>
      <c r="P638" s="25">
        <f t="shared" si="526"/>
        <v>28263.43324439897</v>
      </c>
      <c r="Q638" s="25">
        <f t="array" aca="1" ref="Q638" ca="1">INDEX('Isaac 401k'!L:L,MATCH('Retirement Calculator'!A638,'Isaac 401k'!N:N,0),0)</f>
        <v>1341930.3302239287</v>
      </c>
      <c r="R638" s="25">
        <f t="array" aca="1" ref="R638" ca="1">INDEX('Lorri 401b'!L:L,MATCH('Retirement Calculator'!A638,'Lorri 401b'!N:N,0),0)</f>
        <v>-248446.69781665699</v>
      </c>
      <c r="S638" s="25">
        <f t="shared" ca="1" si="527"/>
        <v>1093483.6324072718</v>
      </c>
    </row>
    <row r="639" spans="1:19" ht="15.75" customHeight="1" x14ac:dyDescent="0.3">
      <c r="A639" s="37">
        <v>70403</v>
      </c>
      <c r="B639" s="398">
        <f t="shared" ref="B639:C639" si="645">($A639-B$9)/365.25</f>
        <v>110.87474332648871</v>
      </c>
      <c r="C639" s="398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3254.2644699519233</v>
      </c>
      <c r="H639" s="25">
        <f>IF(B639&lt;62,0,'Combined Retirement'!$I$14)</f>
        <v>2345</v>
      </c>
      <c r="I639" s="25">
        <f>IF(C639&lt;62,0,'Combined Retirement'!$I$13)</f>
        <v>2420</v>
      </c>
      <c r="J639" s="25">
        <f t="shared" si="523"/>
        <v>7896.2379798201846</v>
      </c>
      <c r="K639" s="25">
        <f t="shared" si="524"/>
        <v>20367.195264578786</v>
      </c>
      <c r="L639" s="25"/>
      <c r="N639" s="25">
        <f>'Combined Retirement'!$C$18/12</f>
        <v>39153.069999999992</v>
      </c>
      <c r="O639" s="25">
        <f t="shared" si="525"/>
        <v>10889.636755601023</v>
      </c>
      <c r="P639" s="25">
        <f t="shared" si="526"/>
        <v>28263.43324439897</v>
      </c>
      <c r="Q639" s="25">
        <f t="array" aca="1" ref="Q639" ca="1">INDEX('Isaac 401k'!L:L,MATCH('Retirement Calculator'!A639,'Isaac 401k'!N:N,0),0)</f>
        <v>1339592.5676284588</v>
      </c>
      <c r="R639" s="25">
        <f t="array" aca="1" ref="R639" ca="1">INDEX('Lorri 401b'!L:L,MATCH('Retirement Calculator'!A639,'Lorri 401b'!N:N,0),0)</f>
        <v>-269933.95096907421</v>
      </c>
      <c r="S639" s="25">
        <f t="shared" ca="1" si="527"/>
        <v>1069658.6166593847</v>
      </c>
    </row>
    <row r="640" spans="1:19" ht="15.75" customHeight="1" x14ac:dyDescent="0.3">
      <c r="A640" s="37">
        <v>70434</v>
      </c>
      <c r="B640" s="398">
        <f t="shared" ref="B640:C640" si="646">($A640-B$9)/365.25</f>
        <v>110.9596167008898</v>
      </c>
      <c r="C640" s="398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3254.2644699519233</v>
      </c>
      <c r="H640" s="25">
        <f>IF(B640&lt;62,0,'Combined Retirement'!$I$14)</f>
        <v>2345</v>
      </c>
      <c r="I640" s="25">
        <f>IF(C640&lt;62,0,'Combined Retirement'!$I$13)</f>
        <v>2420</v>
      </c>
      <c r="J640" s="25">
        <f t="shared" si="523"/>
        <v>7896.2379798201846</v>
      </c>
      <c r="K640" s="25">
        <f t="shared" si="524"/>
        <v>20367.195264578786</v>
      </c>
      <c r="L640" s="25"/>
      <c r="N640" s="25">
        <f>'Combined Retirement'!$C$18/12</f>
        <v>39153.069999999992</v>
      </c>
      <c r="O640" s="25">
        <f t="shared" si="525"/>
        <v>10889.636755601023</v>
      </c>
      <c r="P640" s="25">
        <f t="shared" si="526"/>
        <v>28263.43324439897</v>
      </c>
      <c r="Q640" s="25">
        <f t="array" aca="1" ref="Q640" ca="1">INDEX('Isaac 401k'!L:L,MATCH('Retirement Calculator'!A640,'Isaac 401k'!N:N,0),0)</f>
        <v>1337245.064355508</v>
      </c>
      <c r="R640" s="25">
        <f t="array" aca="1" ref="R640" ca="1">INDEX('Lorri 401b'!L:L,MATCH('Retirement Calculator'!A640,'Lorri 401b'!N:N,0),0)</f>
        <v>-291510.73434295988</v>
      </c>
      <c r="S640" s="25">
        <f t="shared" ca="1" si="527"/>
        <v>1045734.330012548</v>
      </c>
    </row>
    <row r="641" spans="1:19" ht="15.75" customHeight="1" x14ac:dyDescent="0.3">
      <c r="A641" s="37">
        <v>70464</v>
      </c>
      <c r="B641" s="398">
        <f t="shared" ref="B641:C641" si="647">($A641-B$9)/365.25</f>
        <v>111.04175222450377</v>
      </c>
      <c r="C641" s="398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3254.2644699519233</v>
      </c>
      <c r="H641" s="25">
        <f>IF(B641&lt;62,0,'Combined Retirement'!$I$14)</f>
        <v>2345</v>
      </c>
      <c r="I641" s="25">
        <f>IF(C641&lt;62,0,'Combined Retirement'!$I$13)</f>
        <v>2420</v>
      </c>
      <c r="J641" s="25">
        <f t="shared" si="523"/>
        <v>7896.2379798201846</v>
      </c>
      <c r="K641" s="25">
        <f t="shared" si="524"/>
        <v>20367.195264578786</v>
      </c>
      <c r="L641" s="25"/>
      <c r="N641" s="25">
        <f>'Combined Retirement'!$C$18/12</f>
        <v>39153.069999999992</v>
      </c>
      <c r="O641" s="25">
        <f t="shared" si="525"/>
        <v>10889.636755601023</v>
      </c>
      <c r="P641" s="25">
        <f t="shared" si="526"/>
        <v>28263.43324439897</v>
      </c>
      <c r="Q641" s="25">
        <f t="array" aca="1" ref="Q641" ca="1">INDEX('Isaac 401k'!L:L,MATCH('Retirement Calculator'!A641,'Isaac 401k'!N:N,0),0)</f>
        <v>1334887.7798189197</v>
      </c>
      <c r="R641" s="25">
        <f t="array" aca="1" ref="R641" ca="1">INDEX('Lorri 401b'!L:L,MATCH('Retirement Calculator'!A641,'Lorri 401b'!N:N,0),0)</f>
        <v>-313177.42098090344</v>
      </c>
      <c r="S641" s="25">
        <f t="shared" ca="1" si="527"/>
        <v>1021710.3588380163</v>
      </c>
    </row>
    <row r="642" spans="1:19" ht="15.75" customHeight="1" x14ac:dyDescent="0.3">
      <c r="A642" s="37">
        <v>70495</v>
      </c>
      <c r="B642" s="398">
        <f t="shared" ref="B642:C642" si="648">($A642-B$9)/365.25</f>
        <v>111.12662559890487</v>
      </c>
      <c r="C642" s="398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3254.2644699519233</v>
      </c>
      <c r="H642" s="25">
        <f>IF(B642&lt;62,0,'Combined Retirement'!$I$14)</f>
        <v>2345</v>
      </c>
      <c r="I642" s="25">
        <f>IF(C642&lt;62,0,'Combined Retirement'!$I$13)</f>
        <v>2420</v>
      </c>
      <c r="J642" s="25">
        <f t="shared" si="523"/>
        <v>7896.2379798201846</v>
      </c>
      <c r="K642" s="25">
        <f t="shared" si="524"/>
        <v>20367.195264578786</v>
      </c>
      <c r="L642" s="25"/>
      <c r="N642" s="25">
        <f>'Combined Retirement'!$C$18/12</f>
        <v>39153.069999999992</v>
      </c>
      <c r="O642" s="25">
        <f t="shared" si="525"/>
        <v>10889.636755601023</v>
      </c>
      <c r="P642" s="25">
        <f t="shared" si="526"/>
        <v>28263.43324439897</v>
      </c>
      <c r="Q642" s="25">
        <f t="array" aca="1" ref="Q642" ca="1">INDEX('Isaac 401k'!L:L,MATCH('Retirement Calculator'!A642,'Isaac 401k'!N:N,0),0)</f>
        <v>1332520.673263429</v>
      </c>
      <c r="R642" s="25">
        <f t="array" aca="1" ref="R642" ca="1">INDEX('Lorri 401b'!L:L,MATCH('Retirement Calculator'!A642,'Lorri 401b'!N:N,0),0)</f>
        <v>-334934.38547983841</v>
      </c>
      <c r="S642" s="25">
        <f t="shared" ca="1" si="527"/>
        <v>997586.28778359061</v>
      </c>
    </row>
    <row r="643" spans="1:19" ht="15.75" customHeight="1" x14ac:dyDescent="0.3">
      <c r="A643" s="37">
        <v>70526</v>
      </c>
      <c r="B643" s="398">
        <f t="shared" ref="B643:C643" si="649">($A643-B$9)/365.25</f>
        <v>111.21149897330595</v>
      </c>
      <c r="C643" s="398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3254.2644699519233</v>
      </c>
      <c r="H643" s="25">
        <f>IF(B643&lt;62,0,'Combined Retirement'!$I$14)</f>
        <v>2345</v>
      </c>
      <c r="I643" s="25">
        <f>IF(C643&lt;62,0,'Combined Retirement'!$I$13)</f>
        <v>2420</v>
      </c>
      <c r="J643" s="25">
        <f t="shared" si="523"/>
        <v>7896.2379798201846</v>
      </c>
      <c r="K643" s="25">
        <f t="shared" si="524"/>
        <v>20367.195264578786</v>
      </c>
      <c r="L643" s="25"/>
      <c r="N643" s="25">
        <f>'Combined Retirement'!$C$18/12</f>
        <v>39153.069999999992</v>
      </c>
      <c r="O643" s="25">
        <f t="shared" si="525"/>
        <v>10889.636755601023</v>
      </c>
      <c r="P643" s="25">
        <f t="shared" si="526"/>
        <v>28263.43324439897</v>
      </c>
      <c r="Q643" s="25">
        <f t="array" aca="1" ref="Q643" ca="1">INDEX('Isaac 401k'!L:L,MATCH('Retirement Calculator'!A643,'Isaac 401k'!N:N,0),0)</f>
        <v>1330143.7037639571</v>
      </c>
      <c r="R643" s="25">
        <f t="array" aca="1" ref="R643" ca="1">INDEX('Lorri 401b'!L:L,MATCH('Retirement Calculator'!A643,'Lorri 401b'!N:N,0),0)</f>
        <v>-356782.00399751897</v>
      </c>
      <c r="S643" s="25">
        <f t="shared" ca="1" si="527"/>
        <v>973361.69976643822</v>
      </c>
    </row>
    <row r="644" spans="1:19" ht="15.75" customHeight="1" x14ac:dyDescent="0.3">
      <c r="A644" s="37">
        <v>70554</v>
      </c>
      <c r="B644" s="398">
        <f t="shared" ref="B644:C644" si="650">($A644-B$9)/365.25</f>
        <v>111.28815879534565</v>
      </c>
      <c r="C644" s="398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3254.2644699519233</v>
      </c>
      <c r="H644" s="25">
        <f>IF(B644&lt;62,0,'Combined Retirement'!$I$14)</f>
        <v>2345</v>
      </c>
      <c r="I644" s="25">
        <f>IF(C644&lt;62,0,'Combined Retirement'!$I$13)</f>
        <v>2420</v>
      </c>
      <c r="J644" s="25">
        <f t="shared" si="523"/>
        <v>7896.2379798201846</v>
      </c>
      <c r="K644" s="25">
        <f t="shared" si="524"/>
        <v>20367.195264578786</v>
      </c>
      <c r="L644" s="25"/>
      <c r="N644" s="25">
        <f>'Combined Retirement'!$C$18/12</f>
        <v>39153.069999999992</v>
      </c>
      <c r="O644" s="25">
        <f t="shared" si="525"/>
        <v>10889.636755601023</v>
      </c>
      <c r="P644" s="25">
        <f t="shared" si="526"/>
        <v>28263.43324439897</v>
      </c>
      <c r="Q644" s="25">
        <f t="array" aca="1" ref="Q644" ca="1">INDEX('Isaac 401k'!L:L,MATCH('Retirement Calculator'!A644,'Isaac 401k'!N:N,0),0)</f>
        <v>1327756.8302249042</v>
      </c>
      <c r="R644" s="25">
        <f t="array" aca="1" ref="R644" ca="1">INDEX('Lorri 401b'!L:L,MATCH('Retirement Calculator'!A644,'Lorri 401b'!N:N,0),0)</f>
        <v>-378720.6542590232</v>
      </c>
      <c r="S644" s="25">
        <f t="shared" ca="1" si="527"/>
        <v>949036.17596588098</v>
      </c>
    </row>
    <row r="645" spans="1:19" ht="15.75" customHeight="1" x14ac:dyDescent="0.3">
      <c r="A645" s="37">
        <v>70585</v>
      </c>
      <c r="B645" s="398">
        <f t="shared" ref="B645:C645" si="651">($A645-B$9)/365.25</f>
        <v>111.37303216974675</v>
      </c>
      <c r="C645" s="398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3254.2644699519233</v>
      </c>
      <c r="H645" s="25">
        <f>IF(B645&lt;62,0,'Combined Retirement'!$I$14)</f>
        <v>2345</v>
      </c>
      <c r="I645" s="25">
        <f>IF(C645&lt;62,0,'Combined Retirement'!$I$13)</f>
        <v>2420</v>
      </c>
      <c r="J645" s="25">
        <f t="shared" si="523"/>
        <v>7896.2379798201846</v>
      </c>
      <c r="K645" s="25">
        <f t="shared" si="524"/>
        <v>20367.195264578786</v>
      </c>
      <c r="L645" s="25"/>
      <c r="N645" s="25">
        <f>'Combined Retirement'!$C$18/12</f>
        <v>39153.069999999992</v>
      </c>
      <c r="O645" s="25">
        <f t="shared" si="525"/>
        <v>10889.636755601023</v>
      </c>
      <c r="P645" s="25">
        <f t="shared" si="526"/>
        <v>28263.43324439897</v>
      </c>
      <c r="Q645" s="25">
        <f t="array" aca="1" ref="Q645" ca="1">INDEX('Isaac 401k'!L:L,MATCH('Retirement Calculator'!A645,'Isaac 401k'!N:N,0),0)</f>
        <v>1325360.0113794385</v>
      </c>
      <c r="R645" s="25">
        <f t="array" aca="1" ref="R645" ca="1">INDEX('Lorri 401b'!L:L,MATCH('Retirement Calculator'!A645,'Lorri 401b'!N:N,0),0)</f>
        <v>-400750.71556328365</v>
      </c>
      <c r="S645" s="25">
        <f t="shared" ca="1" si="527"/>
        <v>924609.2958161548</v>
      </c>
    </row>
    <row r="646" spans="1:19" ht="15.75" customHeight="1" x14ac:dyDescent="0.3">
      <c r="A646" s="37">
        <v>70615</v>
      </c>
      <c r="B646" s="398">
        <f t="shared" ref="B646:C646" si="652">($A646-B$9)/365.25</f>
        <v>111.45516769336071</v>
      </c>
      <c r="C646" s="398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3254.2644699519233</v>
      </c>
      <c r="H646" s="25">
        <f>IF(B646&lt;62,0,'Combined Retirement'!$I$14)</f>
        <v>2345</v>
      </c>
      <c r="I646" s="25">
        <f>IF(C646&lt;62,0,'Combined Retirement'!$I$13)</f>
        <v>2420</v>
      </c>
      <c r="J646" s="25">
        <f t="shared" si="523"/>
        <v>7896.2379798201846</v>
      </c>
      <c r="K646" s="25">
        <f t="shared" si="524"/>
        <v>20367.195264578786</v>
      </c>
      <c r="L646" s="25"/>
      <c r="N646" s="25">
        <f>'Combined Retirement'!$C$18/12</f>
        <v>39153.069999999992</v>
      </c>
      <c r="O646" s="25">
        <f t="shared" si="525"/>
        <v>10889.636755601023</v>
      </c>
      <c r="P646" s="25">
        <f t="shared" si="526"/>
        <v>28263.43324439897</v>
      </c>
      <c r="Q646" s="25">
        <f t="array" aca="1" ref="Q646" ca="1">INDEX('Isaac 401k'!L:L,MATCH('Retirement Calculator'!A646,'Isaac 401k'!N:N,0),0)</f>
        <v>1322953.2057887833</v>
      </c>
      <c r="R646" s="25">
        <f t="array" aca="1" ref="R646" ca="1">INDEX('Lorri 401b'!L:L,MATCH('Retirement Calculator'!A646,'Lorri 401b'!N:N,0),0)</f>
        <v>-422872.56878964521</v>
      </c>
      <c r="S646" s="25">
        <f t="shared" ca="1" si="527"/>
        <v>900080.63699913805</v>
      </c>
    </row>
    <row r="647" spans="1:19" ht="15.75" customHeight="1" x14ac:dyDescent="0.3">
      <c r="A647" s="37">
        <v>70646</v>
      </c>
      <c r="B647" s="398">
        <f t="shared" ref="B647:C647" si="653">($A647-B$9)/365.25</f>
        <v>111.54004106776181</v>
      </c>
      <c r="C647" s="398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3254.2644699519233</v>
      </c>
      <c r="H647" s="25">
        <f>IF(B647&lt;62,0,'Combined Retirement'!$I$14)</f>
        <v>2345</v>
      </c>
      <c r="I647" s="25">
        <f>IF(C647&lt;62,0,'Combined Retirement'!$I$13)</f>
        <v>2420</v>
      </c>
      <c r="J647" s="25">
        <f t="shared" si="523"/>
        <v>7896.2379798201846</v>
      </c>
      <c r="K647" s="25">
        <f t="shared" si="524"/>
        <v>20367.195264578786</v>
      </c>
      <c r="L647" s="25"/>
      <c r="N647" s="25">
        <f>'Combined Retirement'!$C$18/12</f>
        <v>39153.069999999992</v>
      </c>
      <c r="O647" s="25">
        <f t="shared" si="525"/>
        <v>10889.636755601023</v>
      </c>
      <c r="P647" s="25">
        <f t="shared" si="526"/>
        <v>28263.43324439897</v>
      </c>
      <c r="Q647" s="25">
        <f t="array" aca="1" ref="Q647" ca="1">INDEX('Isaac 401k'!L:L,MATCH('Retirement Calculator'!A647,'Isaac 401k'!N:N,0),0)</f>
        <v>1320536.3718415003</v>
      </c>
      <c r="R647" s="25">
        <f t="array" aca="1" ref="R647" ca="1">INDEX('Lorri 401b'!L:L,MATCH('Retirement Calculator'!A647,'Lorri 401b'!N:N,0),0)</f>
        <v>-445086.59640444996</v>
      </c>
      <c r="S647" s="25">
        <f t="shared" ca="1" si="527"/>
        <v>875449.77543705027</v>
      </c>
    </row>
    <row r="648" spans="1:19" ht="15.75" customHeight="1" x14ac:dyDescent="0.3">
      <c r="A648" s="37">
        <v>70676</v>
      </c>
      <c r="B648" s="398">
        <f t="shared" ref="B648:C648" si="654">($A648-B$9)/365.25</f>
        <v>111.62217659137578</v>
      </c>
      <c r="C648" s="398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3254.2644699519233</v>
      </c>
      <c r="H648" s="25">
        <f>IF(B648&lt;62,0,'Combined Retirement'!$I$14)</f>
        <v>2345</v>
      </c>
      <c r="I648" s="25">
        <f>IF(C648&lt;62,0,'Combined Retirement'!$I$13)</f>
        <v>2420</v>
      </c>
      <c r="J648" s="25">
        <f t="shared" si="523"/>
        <v>7896.2379798201846</v>
      </c>
      <c r="K648" s="25">
        <f t="shared" si="524"/>
        <v>20367.195264578786</v>
      </c>
      <c r="L648" s="25"/>
      <c r="N648" s="25">
        <f>'Combined Retirement'!$C$18/12</f>
        <v>39153.069999999992</v>
      </c>
      <c r="O648" s="25">
        <f t="shared" si="525"/>
        <v>10889.636755601023</v>
      </c>
      <c r="P648" s="25">
        <f t="shared" si="526"/>
        <v>28263.43324439897</v>
      </c>
      <c r="Q648" s="25">
        <f t="array" aca="1" ref="Q648" ca="1">INDEX('Isaac 401k'!L:L,MATCH('Retirement Calculator'!A648,'Isaac 401k'!N:N,0),0)</f>
        <v>1318109.4677527703</v>
      </c>
      <c r="R648" s="25">
        <f t="array" aca="1" ref="R648" ca="1">INDEX('Lorri 401b'!L:L,MATCH('Retirement Calculator'!A648,'Lorri 401b'!N:N,0),0)</f>
        <v>-467393.18246764969</v>
      </c>
      <c r="S648" s="25">
        <f t="shared" ca="1" si="527"/>
        <v>850716.2852851206</v>
      </c>
    </row>
    <row r="649" spans="1:19" ht="15.75" customHeight="1" x14ac:dyDescent="0.3">
      <c r="A649" s="37">
        <v>70707</v>
      </c>
      <c r="B649" s="398">
        <f t="shared" ref="B649:C649" si="655">($A649-B$9)/365.25</f>
        <v>111.70704996577686</v>
      </c>
      <c r="C649" s="398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3254.2644699519233</v>
      </c>
      <c r="H649" s="25">
        <f>IF(B649&lt;62,0,'Combined Retirement'!$I$14)</f>
        <v>2345</v>
      </c>
      <c r="I649" s="25">
        <f>IF(C649&lt;62,0,'Combined Retirement'!$I$13)</f>
        <v>2420</v>
      </c>
      <c r="J649" s="25">
        <f t="shared" si="523"/>
        <v>7896.2379798201846</v>
      </c>
      <c r="K649" s="25">
        <f t="shared" si="524"/>
        <v>20367.195264578786</v>
      </c>
      <c r="L649" s="25"/>
      <c r="N649" s="25">
        <f>'Combined Retirement'!$C$18/12</f>
        <v>39153.069999999992</v>
      </c>
      <c r="O649" s="25">
        <f t="shared" si="525"/>
        <v>10889.636755601023</v>
      </c>
      <c r="P649" s="25">
        <f t="shared" si="526"/>
        <v>28263.43324439897</v>
      </c>
      <c r="Q649" s="25">
        <f t="array" aca="1" ref="Q649" ca="1">INDEX('Isaac 401k'!L:L,MATCH('Retirement Calculator'!A649,'Isaac 401k'!N:N,0),0)</f>
        <v>1315672.4515636708</v>
      </c>
      <c r="R649" s="25">
        <f t="array" aca="1" ref="R649" ca="1">INDEX('Lorri 401b'!L:L,MATCH('Retirement Calculator'!A649,'Lorri 401b'!N:N,0),0)</f>
        <v>-489792.71263944608</v>
      </c>
      <c r="S649" s="25">
        <f t="shared" ca="1" si="527"/>
        <v>825879.73892422463</v>
      </c>
    </row>
    <row r="650" spans="1:19" ht="15.75" customHeight="1" x14ac:dyDescent="0.3">
      <c r="A650" s="37">
        <v>70738</v>
      </c>
      <c r="B650" s="398">
        <f t="shared" ref="B650:C650" si="656">($A650-B$9)/365.25</f>
        <v>111.79192334017796</v>
      </c>
      <c r="C650" s="398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3254.2644699519233</v>
      </c>
      <c r="H650" s="25">
        <f>IF(B650&lt;62,0,'Combined Retirement'!$I$14)</f>
        <v>2345</v>
      </c>
      <c r="I650" s="25">
        <f>IF(C650&lt;62,0,'Combined Retirement'!$I$13)</f>
        <v>2420</v>
      </c>
      <c r="J650" s="25">
        <f t="shared" si="523"/>
        <v>7896.2379798201846</v>
      </c>
      <c r="K650" s="25">
        <f t="shared" si="524"/>
        <v>20367.195264578786</v>
      </c>
      <c r="L650" s="25"/>
      <c r="N650" s="25">
        <f>'Combined Retirement'!$C$18/12</f>
        <v>39153.069999999992</v>
      </c>
      <c r="O650" s="25">
        <f t="shared" si="525"/>
        <v>10889.636755601023</v>
      </c>
      <c r="P650" s="25">
        <f t="shared" si="526"/>
        <v>28263.43324439897</v>
      </c>
      <c r="Q650" s="25">
        <f t="array" aca="1" ref="Q650" ca="1">INDEX('Isaac 401k'!L:L,MATCH('Retirement Calculator'!A650,'Isaac 401k'!N:N,0),0)</f>
        <v>1313225.2811404499</v>
      </c>
      <c r="R650" s="25">
        <f t="array" aca="1" ref="R650" ca="1">INDEX('Lorri 401b'!L:L,MATCH('Retirement Calculator'!A650,'Lorri 401b'!N:N,0),0)</f>
        <v>-512285.57418695831</v>
      </c>
      <c r="S650" s="25">
        <f t="shared" ca="1" si="527"/>
        <v>800939.70695349155</v>
      </c>
    </row>
    <row r="651" spans="1:19" ht="15.75" customHeight="1" x14ac:dyDescent="0.3">
      <c r="A651" s="37">
        <v>70768</v>
      </c>
      <c r="B651" s="398">
        <f t="shared" ref="B651:C651" si="657">($A651-B$9)/365.25</f>
        <v>111.87405886379193</v>
      </c>
      <c r="C651" s="398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3254.2644699519233</v>
      </c>
      <c r="H651" s="25">
        <f>IF(B651&lt;62,0,'Combined Retirement'!$I$14)</f>
        <v>2345</v>
      </c>
      <c r="I651" s="25">
        <f>IF(C651&lt;62,0,'Combined Retirement'!$I$13)</f>
        <v>2420</v>
      </c>
      <c r="J651" s="25">
        <f t="shared" si="523"/>
        <v>7896.2379798201846</v>
      </c>
      <c r="K651" s="25">
        <f t="shared" si="524"/>
        <v>20367.195264578786</v>
      </c>
      <c r="L651" s="25"/>
      <c r="N651" s="25">
        <f>'Combined Retirement'!$C$18/12</f>
        <v>39153.069999999992</v>
      </c>
      <c r="O651" s="25">
        <f t="shared" si="525"/>
        <v>10889.636755601023</v>
      </c>
      <c r="P651" s="25">
        <f t="shared" si="526"/>
        <v>28263.43324439897</v>
      </c>
      <c r="Q651" s="25">
        <f t="array" aca="1" ref="Q651" ca="1">INDEX('Isaac 401k'!L:L,MATCH('Retirement Calculator'!A651,'Isaac 401k'!N:N,0),0)</f>
        <v>1310767.9141737989</v>
      </c>
      <c r="R651" s="25">
        <f t="array" aca="1" ref="R651" ca="1">INDEX('Lorri 401b'!L:L,MATCH('Retirement Calculator'!A651,'Lorri 401b'!N:N,0),0)</f>
        <v>-534872.1559909184</v>
      </c>
      <c r="S651" s="25">
        <f t="shared" ca="1" si="527"/>
        <v>775895.75818288047</v>
      </c>
    </row>
    <row r="652" spans="1:19" ht="15.75" customHeight="1" x14ac:dyDescent="0.3">
      <c r="A652" s="37">
        <v>70799</v>
      </c>
      <c r="B652" s="398">
        <f t="shared" ref="B652:C652" si="658">($A652-B$9)/365.25</f>
        <v>111.95893223819301</v>
      </c>
      <c r="C652" s="398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3254.2644699519233</v>
      </c>
      <c r="H652" s="25">
        <f>IF(B652&lt;62,0,'Combined Retirement'!$I$14)</f>
        <v>2345</v>
      </c>
      <c r="I652" s="25">
        <f>IF(C652&lt;62,0,'Combined Retirement'!$I$13)</f>
        <v>2420</v>
      </c>
      <c r="J652" s="25">
        <f t="shared" si="523"/>
        <v>7896.2379798201846</v>
      </c>
      <c r="K652" s="25">
        <f t="shared" si="524"/>
        <v>20367.195264578786</v>
      </c>
      <c r="L652" s="25"/>
      <c r="N652" s="25">
        <f>'Combined Retirement'!$C$18/12</f>
        <v>39153.069999999992</v>
      </c>
      <c r="O652" s="25">
        <f t="shared" si="525"/>
        <v>10889.636755601023</v>
      </c>
      <c r="P652" s="25">
        <f t="shared" si="526"/>
        <v>28263.43324439897</v>
      </c>
      <c r="Q652" s="25">
        <f t="array" aca="1" ref="Q652" ca="1">INDEX('Isaac 401k'!L:L,MATCH('Retirement Calculator'!A652,'Isaac 401k'!N:N,0),0)</f>
        <v>1308300.3081781203</v>
      </c>
      <c r="R652" s="25">
        <f t="array" aca="1" ref="R652" ca="1">INDEX('Lorri 401b'!L:L,MATCH('Retirement Calculator'!A652,'Lorri 401b'!N:N,0),0)</f>
        <v>-557552.84855239512</v>
      </c>
      <c r="S652" s="25">
        <f t="shared" ca="1" si="527"/>
        <v>750747.45962572517</v>
      </c>
    </row>
    <row r="653" spans="1:19" ht="15.75" customHeight="1" x14ac:dyDescent="0.3">
      <c r="A653" s="37">
        <v>70829</v>
      </c>
      <c r="B653" s="398">
        <f t="shared" ref="B653:C653" si="659">($A653-B$9)/365.25</f>
        <v>112.04106776180699</v>
      </c>
      <c r="C653" s="398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3254.2644699519233</v>
      </c>
      <c r="H653" s="25">
        <f>IF(B653&lt;62,0,'Combined Retirement'!$I$14)</f>
        <v>2345</v>
      </c>
      <c r="I653" s="25">
        <f>IF(C653&lt;62,0,'Combined Retirement'!$I$13)</f>
        <v>2420</v>
      </c>
      <c r="J653" s="25">
        <f t="shared" si="523"/>
        <v>7896.2379798201846</v>
      </c>
      <c r="K653" s="25">
        <f t="shared" si="524"/>
        <v>20367.195264578786</v>
      </c>
      <c r="L653" s="25"/>
      <c r="N653" s="25">
        <f>'Combined Retirement'!$C$18/12</f>
        <v>39153.069999999992</v>
      </c>
      <c r="O653" s="25">
        <f t="shared" si="525"/>
        <v>10889.636755601023</v>
      </c>
      <c r="P653" s="25">
        <f t="shared" si="526"/>
        <v>28263.43324439897</v>
      </c>
      <c r="Q653" s="25">
        <f t="array" aca="1" ref="Q653" ca="1">INDEX('Isaac 401k'!L:L,MATCH('Retirement Calculator'!A653,'Isaac 401k'!N:N,0),0)</f>
        <v>1305822.420490793</v>
      </c>
      <c r="R653" s="25">
        <f t="array" aca="1" ref="R653" ca="1">INDEX('Lorri 401b'!L:L,MATCH('Retirement Calculator'!A653,'Lorri 401b'!N:N,0),0)</f>
        <v>-580328.04399954469</v>
      </c>
      <c r="S653" s="25">
        <f t="shared" ca="1" si="527"/>
        <v>725494.37649124826</v>
      </c>
    </row>
    <row r="654" spans="1:19" ht="15.75" customHeight="1" x14ac:dyDescent="0.3">
      <c r="A654" s="37">
        <v>70860</v>
      </c>
      <c r="B654" s="398">
        <f t="shared" ref="B654:C654" si="660">($A654-B$9)/365.25</f>
        <v>112.12594113620807</v>
      </c>
      <c r="C654" s="398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3254.2644699519233</v>
      </c>
      <c r="H654" s="25">
        <f>IF(B654&lt;62,0,'Combined Retirement'!$I$14)</f>
        <v>2345</v>
      </c>
      <c r="I654" s="25">
        <f>IF(C654&lt;62,0,'Combined Retirement'!$I$13)</f>
        <v>2420</v>
      </c>
      <c r="J654" s="25">
        <f t="shared" si="523"/>
        <v>7896.2379798201846</v>
      </c>
      <c r="K654" s="25">
        <f t="shared" si="524"/>
        <v>20367.195264578786</v>
      </c>
      <c r="L654" s="25"/>
      <c r="N654" s="25">
        <f>'Combined Retirement'!$C$18/12</f>
        <v>39153.069999999992</v>
      </c>
      <c r="O654" s="25">
        <f t="shared" si="525"/>
        <v>10889.636755601023</v>
      </c>
      <c r="P654" s="25">
        <f t="shared" si="526"/>
        <v>28263.43324439897</v>
      </c>
      <c r="Q654" s="25">
        <f t="array" aca="1" ref="Q654" ca="1">INDEX('Isaac 401k'!L:L,MATCH('Retirement Calculator'!A654,'Isaac 401k'!N:N,0),0)</f>
        <v>1303334.208271435</v>
      </c>
      <c r="R654" s="25">
        <f t="array" aca="1" ref="R654" ca="1">INDEX('Lorri 401b'!L:L,MATCH('Retirement Calculator'!A654,'Lorri 401b'!N:N,0),0)</f>
        <v>-603198.13609439065</v>
      </c>
      <c r="S654" s="25">
        <f t="shared" ca="1" si="527"/>
        <v>700136.07217704435</v>
      </c>
    </row>
    <row r="655" spans="1:19" ht="15.75" customHeight="1" x14ac:dyDescent="0.3">
      <c r="A655" s="37">
        <v>70891</v>
      </c>
      <c r="B655" s="398">
        <f t="shared" ref="B655:C655" si="661">($A655-B$9)/365.25</f>
        <v>112.21081451060917</v>
      </c>
      <c r="C655" s="398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3254.2644699519233</v>
      </c>
      <c r="H655" s="25">
        <f>IF(B655&lt;62,0,'Combined Retirement'!$I$14)</f>
        <v>2345</v>
      </c>
      <c r="I655" s="25">
        <f>IF(C655&lt;62,0,'Combined Retirement'!$I$13)</f>
        <v>2420</v>
      </c>
      <c r="J655" s="25">
        <f t="shared" si="523"/>
        <v>7896.2379798201846</v>
      </c>
      <c r="K655" s="25">
        <f t="shared" si="524"/>
        <v>20367.195264578786</v>
      </c>
      <c r="L655" s="25"/>
      <c r="N655" s="25">
        <f>'Combined Retirement'!$C$18/12</f>
        <v>39153.069999999992</v>
      </c>
      <c r="O655" s="25">
        <f t="shared" si="525"/>
        <v>10889.636755601023</v>
      </c>
      <c r="P655" s="25">
        <f t="shared" si="526"/>
        <v>28263.43324439897</v>
      </c>
      <c r="Q655" s="25">
        <f t="array" aca="1" ref="Q655" ca="1">INDEX('Isaac 401k'!L:L,MATCH('Retirement Calculator'!A655,'Isaac 401k'!N:N,0),0)</f>
        <v>1300835.6285011631</v>
      </c>
      <c r="R655" s="25">
        <f t="array" aca="1" ref="R655" ca="1">INDEX('Lorri 401b'!L:L,MATCH('Retirement Calculator'!A655,'Lorri 401b'!N:N,0),0)</f>
        <v>-626163.52023963176</v>
      </c>
      <c r="S655" s="25">
        <f t="shared" ca="1" si="527"/>
        <v>674672.10826153134</v>
      </c>
    </row>
    <row r="656" spans="1:19" ht="15.75" customHeight="1" x14ac:dyDescent="0.3">
      <c r="A656" s="37">
        <v>70919</v>
      </c>
      <c r="B656" s="398">
        <f t="shared" ref="B656:C656" si="662">($A656-B$9)/365.25</f>
        <v>112.28747433264887</v>
      </c>
      <c r="C656" s="398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3254.2644699519233</v>
      </c>
      <c r="H656" s="25">
        <f>IF(B656&lt;62,0,'Combined Retirement'!$I$14)</f>
        <v>2345</v>
      </c>
      <c r="I656" s="25">
        <f>IF(C656&lt;62,0,'Combined Retirement'!$I$13)</f>
        <v>2420</v>
      </c>
      <c r="J656" s="25">
        <f t="shared" si="523"/>
        <v>7896.2379798201846</v>
      </c>
      <c r="K656" s="25">
        <f t="shared" si="524"/>
        <v>20367.195264578786</v>
      </c>
      <c r="L656" s="25"/>
      <c r="N656" s="25">
        <f>'Combined Retirement'!$C$18/12</f>
        <v>39153.069999999992</v>
      </c>
      <c r="O656" s="25">
        <f t="shared" si="525"/>
        <v>10889.636755601023</v>
      </c>
      <c r="P656" s="25">
        <f t="shared" si="526"/>
        <v>28263.43324439897</v>
      </c>
      <c r="Q656" s="25">
        <f t="array" aca="1" ref="Q656" ca="1">INDEX('Isaac 401k'!L:L,MATCH('Retirement Calculator'!A656,'Isaac 401k'!N:N,0),0)</f>
        <v>1298326.6379818486</v>
      </c>
      <c r="R656" s="25">
        <f t="array" aca="1" ref="R656" ca="1">INDEX('Lorri 401b'!L:L,MATCH('Retirement Calculator'!A656,'Lorri 401b'!N:N,0),0)</f>
        <v>-649224.59348547808</v>
      </c>
      <c r="S656" s="25">
        <f t="shared" ca="1" si="527"/>
        <v>649102.04449637048</v>
      </c>
    </row>
    <row r="657" spans="1:19" ht="15.75" customHeight="1" x14ac:dyDescent="0.3">
      <c r="A657" s="37">
        <v>70950</v>
      </c>
      <c r="B657" s="398">
        <f t="shared" ref="B657:C657" si="663">($A657-B$9)/365.25</f>
        <v>112.37234770704997</v>
      </c>
      <c r="C657" s="398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3254.2644699519233</v>
      </c>
      <c r="H657" s="25">
        <f>IF(B657&lt;62,0,'Combined Retirement'!$I$14)</f>
        <v>2345</v>
      </c>
      <c r="I657" s="25">
        <f>IF(C657&lt;62,0,'Combined Retirement'!$I$13)</f>
        <v>2420</v>
      </c>
      <c r="J657" s="25">
        <f t="shared" si="523"/>
        <v>7896.2379798201846</v>
      </c>
      <c r="K657" s="25">
        <f t="shared" si="524"/>
        <v>20367.195264578786</v>
      </c>
      <c r="L657" s="25"/>
      <c r="N657" s="25">
        <f>'Combined Retirement'!$C$18/12</f>
        <v>39153.069999999992</v>
      </c>
      <c r="O657" s="25">
        <f t="shared" si="525"/>
        <v>10889.636755601023</v>
      </c>
      <c r="P657" s="25">
        <f t="shared" si="526"/>
        <v>28263.43324439897</v>
      </c>
      <c r="Q657" s="25">
        <f t="array" aca="1" ref="Q657" ca="1">INDEX('Isaac 401k'!L:L,MATCH('Retirement Calculator'!A657,'Isaac 401k'!N:N,0),0)</f>
        <v>1295807.1933353702</v>
      </c>
      <c r="R657" s="25">
        <f t="array" aca="1" ref="R657" ca="1">INDEX('Lorri 401b'!L:L,MATCH('Retirement Calculator'!A657,'Lorri 401b'!N:N,0),0)</f>
        <v>-672381.75453651545</v>
      </c>
      <c r="S657" s="25">
        <f t="shared" ca="1" si="527"/>
        <v>623425.43879885471</v>
      </c>
    </row>
    <row r="658" spans="1:19" ht="15.75" customHeight="1" x14ac:dyDescent="0.3">
      <c r="A658" s="37">
        <v>70980</v>
      </c>
      <c r="B658" s="398">
        <f t="shared" ref="B658:C658" si="664">($A658-B$9)/365.25</f>
        <v>112.45448323066393</v>
      </c>
      <c r="C658" s="398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3254.2644699519233</v>
      </c>
      <c r="H658" s="25">
        <f>IF(B658&lt;62,0,'Combined Retirement'!$I$14)</f>
        <v>2345</v>
      </c>
      <c r="I658" s="25">
        <f>IF(C658&lt;62,0,'Combined Retirement'!$I$13)</f>
        <v>2420</v>
      </c>
      <c r="J658" s="25">
        <f t="shared" si="523"/>
        <v>7896.2379798201846</v>
      </c>
      <c r="K658" s="25">
        <f t="shared" si="524"/>
        <v>20367.195264578786</v>
      </c>
      <c r="L658" s="25"/>
      <c r="N658" s="25">
        <f>'Combined Retirement'!$C$18/12</f>
        <v>39153.069999999992</v>
      </c>
      <c r="O658" s="25">
        <f t="shared" si="525"/>
        <v>10889.636755601023</v>
      </c>
      <c r="P658" s="25">
        <f t="shared" si="526"/>
        <v>28263.43324439897</v>
      </c>
      <c r="Q658" s="25">
        <f t="array" aca="1" ref="Q658" ca="1">INDEX('Isaac 401k'!L:L,MATCH('Retirement Calculator'!A658,'Isaac 401k'!N:N,0),0)</f>
        <v>1293277.2510028647</v>
      </c>
      <c r="R658" s="25">
        <f t="array" aca="1" ref="R658" ca="1">INDEX('Lorri 401b'!L:L,MATCH('Retirement Calculator'!A658,'Lorri 401b'!N:N,0),0)</f>
        <v>-695635.40375859884</v>
      </c>
      <c r="S658" s="25">
        <f t="shared" ca="1" si="527"/>
        <v>597641.84724426584</v>
      </c>
    </row>
    <row r="659" spans="1:19" ht="15.75" customHeight="1" x14ac:dyDescent="0.3">
      <c r="A659" s="37">
        <v>71011</v>
      </c>
      <c r="B659" s="398">
        <f t="shared" ref="B659:C659" si="665">($A659-B$9)/365.25</f>
        <v>112.53935660506502</v>
      </c>
      <c r="C659" s="398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3254.2644699519233</v>
      </c>
      <c r="H659" s="25">
        <f>IF(B659&lt;62,0,'Combined Retirement'!$I$14)</f>
        <v>2345</v>
      </c>
      <c r="I659" s="25">
        <f>IF(C659&lt;62,0,'Combined Retirement'!$I$13)</f>
        <v>2420</v>
      </c>
      <c r="J659" s="25">
        <f t="shared" si="523"/>
        <v>7896.2379798201846</v>
      </c>
      <c r="K659" s="25">
        <f t="shared" si="524"/>
        <v>20367.195264578786</v>
      </c>
      <c r="L659" s="25"/>
      <c r="N659" s="25">
        <f>'Combined Retirement'!$C$18/12</f>
        <v>39153.069999999992</v>
      </c>
      <c r="O659" s="25">
        <f t="shared" si="525"/>
        <v>10889.636755601023</v>
      </c>
      <c r="P659" s="25">
        <f t="shared" si="526"/>
        <v>28263.43324439897</v>
      </c>
      <c r="Q659" s="25">
        <f t="array" aca="1" ref="Q659" ca="1">INDEX('Isaac 401k'!L:L,MATCH('Retirement Calculator'!A659,'Isaac 401k'!N:N,0),0)</f>
        <v>1290736.7672439739</v>
      </c>
      <c r="R659" s="25">
        <f t="array" aca="1" ref="R659" ca="1">INDEX('Lorri 401b'!L:L,MATCH('Retirement Calculator'!A659,'Lorri 401b'!N:N,0),0)</f>
        <v>-718985.94318577426</v>
      </c>
      <c r="S659" s="25">
        <f t="shared" ca="1" si="527"/>
        <v>571750.82405819965</v>
      </c>
    </row>
    <row r="660" spans="1:19" ht="15.75" customHeight="1" x14ac:dyDescent="0.3">
      <c r="A660" s="37">
        <v>71041</v>
      </c>
      <c r="B660" s="398">
        <f t="shared" ref="B660:C660" si="666">($A660-B$9)/365.25</f>
        <v>112.62149212867898</v>
      </c>
      <c r="C660" s="398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3254.2644699519233</v>
      </c>
      <c r="H660" s="25">
        <f>IF(B660&lt;62,0,'Combined Retirement'!$I$14)</f>
        <v>2345</v>
      </c>
      <c r="I660" s="25">
        <f>IF(C660&lt;62,0,'Combined Retirement'!$I$13)</f>
        <v>2420</v>
      </c>
      <c r="J660" s="25">
        <f t="shared" si="523"/>
        <v>7896.2379798201846</v>
      </c>
      <c r="K660" s="25">
        <f t="shared" si="524"/>
        <v>20367.195264578786</v>
      </c>
      <c r="L660" s="25"/>
      <c r="N660" s="25">
        <f>'Combined Retirement'!$C$18/12</f>
        <v>39153.069999999992</v>
      </c>
      <c r="O660" s="25">
        <f t="shared" si="525"/>
        <v>10889.636755601023</v>
      </c>
      <c r="P660" s="25">
        <f t="shared" si="526"/>
        <v>28263.43324439897</v>
      </c>
      <c r="Q660" s="25">
        <f t="array" aca="1" ref="Q660" ca="1">INDEX('Isaac 401k'!L:L,MATCH('Retirement Calculator'!A660,'Isaac 401k'!N:N,0),0)</f>
        <v>1288185.6981360877</v>
      </c>
      <c r="R660" s="25">
        <f t="array" aca="1" ref="R660" ca="1">INDEX('Lorri 401b'!L:L,MATCH('Retirement Calculator'!A660,'Lorri 401b'!N:N,0),0)</f>
        <v>-742433.77652722958</v>
      </c>
      <c r="S660" s="25">
        <f t="shared" ca="1" si="527"/>
        <v>545751.92160885816</v>
      </c>
    </row>
    <row r="661" spans="1:19" ht="15.75" customHeight="1" x14ac:dyDescent="0.3">
      <c r="A661" s="37">
        <v>71072</v>
      </c>
      <c r="B661" s="398">
        <f t="shared" ref="B661:C661" si="667">($A661-B$9)/365.25</f>
        <v>112.70636550308008</v>
      </c>
      <c r="C661" s="398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3254.2644699519233</v>
      </c>
      <c r="H661" s="25">
        <f>IF(B661&lt;62,0,'Combined Retirement'!$I$14)</f>
        <v>2345</v>
      </c>
      <c r="I661" s="25">
        <f>IF(C661&lt;62,0,'Combined Retirement'!$I$13)</f>
        <v>2420</v>
      </c>
      <c r="J661" s="25">
        <f t="shared" si="523"/>
        <v>7896.2379798201846</v>
      </c>
      <c r="K661" s="25">
        <f t="shared" si="524"/>
        <v>20367.195264578786</v>
      </c>
      <c r="L661" s="25"/>
      <c r="N661" s="25">
        <f>'Combined Retirement'!$C$18/12</f>
        <v>39153.069999999992</v>
      </c>
      <c r="O661" s="25">
        <f t="shared" si="525"/>
        <v>10889.636755601023</v>
      </c>
      <c r="P661" s="25">
        <f t="shared" si="526"/>
        <v>28263.43324439897</v>
      </c>
      <c r="Q661" s="25">
        <f t="array" aca="1" ref="Q661" ca="1">INDEX('Isaac 401k'!L:L,MATCH('Retirement Calculator'!A661,'Isaac 401k'!N:N,0),0)</f>
        <v>1285623.9995735853</v>
      </c>
      <c r="R661" s="25">
        <f t="array" aca="1" ref="R661" ca="1">INDEX('Lorri 401b'!L:L,MATCH('Retirement Calculator'!A661,'Lorri 401b'!N:N,0),0)</f>
        <v>-765979.30917427421</v>
      </c>
      <c r="S661" s="25">
        <f t="shared" ca="1" si="527"/>
        <v>519644.69039931113</v>
      </c>
    </row>
    <row r="662" spans="1:19" ht="15.75" customHeight="1" x14ac:dyDescent="0.3">
      <c r="A662" s="37">
        <v>71103</v>
      </c>
      <c r="B662" s="398">
        <f t="shared" ref="B662:C662" si="668">($A662-B$9)/365.25</f>
        <v>112.79123887748118</v>
      </c>
      <c r="C662" s="398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3254.2644699519233</v>
      </c>
      <c r="H662" s="25">
        <f>IF(B662&lt;62,0,'Combined Retirement'!$I$14)</f>
        <v>2345</v>
      </c>
      <c r="I662" s="25">
        <f>IF(C662&lt;62,0,'Combined Retirement'!$I$13)</f>
        <v>2420</v>
      </c>
      <c r="J662" s="25">
        <f t="shared" si="523"/>
        <v>7896.2379798201846</v>
      </c>
      <c r="K662" s="25">
        <f t="shared" si="524"/>
        <v>20367.195264578786</v>
      </c>
      <c r="L662" s="25"/>
      <c r="N662" s="25">
        <f>'Combined Retirement'!$C$18/12</f>
        <v>39153.069999999992</v>
      </c>
      <c r="O662" s="25">
        <f t="shared" si="525"/>
        <v>10889.636755601023</v>
      </c>
      <c r="P662" s="25">
        <f t="shared" si="526"/>
        <v>28263.43324439897</v>
      </c>
      <c r="Q662" s="25">
        <f t="array" aca="1" ref="Q662" ca="1">INDEX('Isaac 401k'!L:L,MATCH('Retirement Calculator'!A662,'Isaac 401k'!N:N,0),0)</f>
        <v>1283051.6272670724</v>
      </c>
      <c r="R662" s="25">
        <f t="array" aca="1" ref="R662" ca="1">INDEX('Lorri 401b'!L:L,MATCH('Retirement Calculator'!A662,'Lorri 401b'!N:N,0),0)</f>
        <v>-789622.94820734824</v>
      </c>
      <c r="S662" s="25">
        <f t="shared" ca="1" si="527"/>
        <v>493428.67905972421</v>
      </c>
    </row>
    <row r="663" spans="1:19" ht="15.75" customHeight="1" x14ac:dyDescent="0.3">
      <c r="A663" s="37">
        <v>71133</v>
      </c>
      <c r="B663" s="398">
        <f t="shared" ref="B663:C663" si="669">($A663-B$9)/365.25</f>
        <v>112.87337440109513</v>
      </c>
      <c r="C663" s="398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3254.2644699519233</v>
      </c>
      <c r="H663" s="25">
        <f>IF(B663&lt;62,0,'Combined Retirement'!$I$14)</f>
        <v>2345</v>
      </c>
      <c r="I663" s="25">
        <f>IF(C663&lt;62,0,'Combined Retirement'!$I$13)</f>
        <v>2420</v>
      </c>
      <c r="J663" s="25">
        <f t="shared" si="523"/>
        <v>7896.2379798201846</v>
      </c>
      <c r="K663" s="25">
        <f t="shared" si="524"/>
        <v>20367.195264578786</v>
      </c>
      <c r="L663" s="25"/>
      <c r="N663" s="25">
        <f>'Combined Retirement'!$C$18/12</f>
        <v>39153.069999999992</v>
      </c>
      <c r="O663" s="25">
        <f t="shared" si="525"/>
        <v>10889.636755601023</v>
      </c>
      <c r="P663" s="25">
        <f t="shared" si="526"/>
        <v>28263.43324439897</v>
      </c>
      <c r="Q663" s="25">
        <f t="array" aca="1" ref="Q663" ca="1">INDEX('Isaac 401k'!L:L,MATCH('Retirement Calculator'!A663,'Isaac 401k'!N:N,0),0)</f>
        <v>1280468.5367426157</v>
      </c>
      <c r="R663" s="25">
        <f t="array" aca="1" ref="R663" ca="1">INDEX('Lorri 401b'!L:L,MATCH('Retirement Calculator'!A663,'Lorri 401b'!N:N,0),0)</f>
        <v>-813365.10240306007</v>
      </c>
      <c r="S663" s="25">
        <f t="shared" ca="1" si="527"/>
        <v>467103.43433955568</v>
      </c>
    </row>
    <row r="664" spans="1:19" ht="15.75" customHeight="1" x14ac:dyDescent="0.3">
      <c r="A664" s="37">
        <v>71164</v>
      </c>
      <c r="B664" s="398">
        <f t="shared" ref="B664:C664" si="670">($A664-B$9)/365.25</f>
        <v>112.95824777549623</v>
      </c>
      <c r="C664" s="398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3254.2644699519233</v>
      </c>
      <c r="H664" s="25">
        <f>IF(B664&lt;62,0,'Combined Retirement'!$I$14)</f>
        <v>2345</v>
      </c>
      <c r="I664" s="25">
        <f>IF(C664&lt;62,0,'Combined Retirement'!$I$13)</f>
        <v>2420</v>
      </c>
      <c r="J664" s="25">
        <f t="shared" si="523"/>
        <v>7896.2379798201846</v>
      </c>
      <c r="K664" s="25">
        <f t="shared" si="524"/>
        <v>20367.195264578786</v>
      </c>
      <c r="L664" s="25"/>
      <c r="N664" s="25">
        <f>'Combined Retirement'!$C$18/12</f>
        <v>39153.069999999992</v>
      </c>
      <c r="O664" s="25">
        <f t="shared" si="525"/>
        <v>10889.636755601023</v>
      </c>
      <c r="P664" s="25">
        <f t="shared" si="526"/>
        <v>28263.43324439897</v>
      </c>
      <c r="Q664" s="25">
        <f t="array" aca="1" ref="Q664" ca="1">INDEX('Isaac 401k'!L:L,MATCH('Retirement Calculator'!A664,'Isaac 401k'!N:N,0),0)</f>
        <v>1277874.6833409739</v>
      </c>
      <c r="R664" s="25">
        <f t="array" aca="1" ref="R664" ca="1">INDEX('Lorri 401b'!L:L,MATCH('Retirement Calculator'!A664,'Lorri 401b'!N:N,0),0)</f>
        <v>-837206.18224125402</v>
      </c>
      <c r="S664" s="25">
        <f t="shared" ca="1" si="527"/>
        <v>440668.5010997199</v>
      </c>
    </row>
    <row r="665" spans="1:19" ht="15.75" customHeight="1" x14ac:dyDescent="0.3">
      <c r="A665" s="37">
        <v>71194</v>
      </c>
      <c r="B665" s="398">
        <f t="shared" ref="B665:C665" si="671">($A665-B$9)/365.25</f>
        <v>113.0403832991102</v>
      </c>
      <c r="C665" s="398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3254.2644699519233</v>
      </c>
      <c r="H665" s="25">
        <f>IF(B665&lt;62,0,'Combined Retirement'!$I$14)</f>
        <v>2345</v>
      </c>
      <c r="I665" s="25">
        <f>IF(C665&lt;62,0,'Combined Retirement'!$I$13)</f>
        <v>2420</v>
      </c>
      <c r="J665" s="25">
        <f t="shared" si="523"/>
        <v>7896.2379798201846</v>
      </c>
      <c r="K665" s="25">
        <f t="shared" si="524"/>
        <v>20367.195264578786</v>
      </c>
      <c r="L665" s="25"/>
      <c r="N665" s="25">
        <f>'Combined Retirement'!$C$18/12</f>
        <v>39153.069999999992</v>
      </c>
      <c r="O665" s="25">
        <f t="shared" si="525"/>
        <v>10889.636755601023</v>
      </c>
      <c r="P665" s="25">
        <f t="shared" si="526"/>
        <v>28263.43324439897</v>
      </c>
      <c r="Q665" s="25">
        <f t="array" aca="1" ref="Q665" ca="1">INDEX('Isaac 401k'!L:L,MATCH('Retirement Calculator'!A665,'Isaac 401k'!N:N,0),0)</f>
        <v>1275270.022216825</v>
      </c>
      <c r="R665" s="25">
        <f t="array" aca="1" ref="R665" ca="1">INDEX('Lorri 401b'!L:L,MATCH('Retirement Calculator'!A665,'Lorri 401b'!N:N,0),0)</f>
        <v>-861146.59991210711</v>
      </c>
      <c r="S665" s="25">
        <f t="shared" ca="1" si="527"/>
        <v>414123.42230471794</v>
      </c>
    </row>
    <row r="666" spans="1:19" ht="15.75" customHeight="1" x14ac:dyDescent="0.3">
      <c r="A666" s="37">
        <v>71225</v>
      </c>
      <c r="B666" s="398">
        <f t="shared" ref="B666:C666" si="672">($A666-B$9)/365.25</f>
        <v>113.12525667351129</v>
      </c>
      <c r="C666" s="398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3254.2644699519233</v>
      </c>
      <c r="H666" s="25">
        <f>IF(B666&lt;62,0,'Combined Retirement'!$I$14)</f>
        <v>2345</v>
      </c>
      <c r="I666" s="25">
        <f>IF(C666&lt;62,0,'Combined Retirement'!$I$13)</f>
        <v>2420</v>
      </c>
      <c r="J666" s="25">
        <f t="shared" si="523"/>
        <v>7896.2379798201846</v>
      </c>
      <c r="K666" s="25">
        <f t="shared" si="524"/>
        <v>20367.195264578786</v>
      </c>
      <c r="L666" s="25"/>
      <c r="N666" s="25">
        <f>'Combined Retirement'!$C$18/12</f>
        <v>39153.069999999992</v>
      </c>
      <c r="O666" s="25">
        <f t="shared" si="525"/>
        <v>10889.636755601023</v>
      </c>
      <c r="P666" s="25">
        <f t="shared" si="526"/>
        <v>28263.43324439897</v>
      </c>
      <c r="Q666" s="25">
        <f t="array" aca="1" ref="Q666" ca="1">INDEX('Isaac 401k'!L:L,MATCH('Retirement Calculator'!A666,'Isaac 401k'!N:N,0),0)</f>
        <v>1272654.5083379922</v>
      </c>
      <c r="R666" s="25">
        <f t="array" aca="1" ref="R666" ca="1">INDEX('Lorri 401b'!L:L,MATCH('Retirement Calculator'!A666,'Lorri 401b'!N:N,0),0)</f>
        <v>-885186.7693232554</v>
      </c>
      <c r="S666" s="25">
        <f t="shared" ca="1" si="527"/>
        <v>387467.73901473684</v>
      </c>
    </row>
    <row r="667" spans="1:19" ht="15.75" customHeight="1" x14ac:dyDescent="0.3">
      <c r="A667" s="37">
        <v>71256</v>
      </c>
      <c r="B667" s="398">
        <f t="shared" ref="B667:C667" si="673">($A667-B$9)/365.25</f>
        <v>113.21013004791239</v>
      </c>
      <c r="C667" s="398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3254.2644699519233</v>
      </c>
      <c r="H667" s="25">
        <f>IF(B667&lt;62,0,'Combined Retirement'!$I$14)</f>
        <v>2345</v>
      </c>
      <c r="I667" s="25">
        <f>IF(C667&lt;62,0,'Combined Retirement'!$I$13)</f>
        <v>2420</v>
      </c>
      <c r="J667" s="25">
        <f t="shared" si="523"/>
        <v>7896.2379798201846</v>
      </c>
      <c r="K667" s="25">
        <f t="shared" si="524"/>
        <v>20367.195264578786</v>
      </c>
      <c r="L667" s="25"/>
      <c r="N667" s="25">
        <f>'Combined Retirement'!$C$18/12</f>
        <v>39153.069999999992</v>
      </c>
      <c r="O667" s="25">
        <f t="shared" si="525"/>
        <v>10889.636755601023</v>
      </c>
      <c r="P667" s="25">
        <f t="shared" si="526"/>
        <v>28263.43324439897</v>
      </c>
      <c r="Q667" s="25">
        <f t="array" aca="1" ref="Q667" ca="1">INDEX('Isaac 401k'!L:L,MATCH('Retirement Calculator'!A667,'Isaac 401k'!N:N,0),0)</f>
        <v>1270028.0964846644</v>
      </c>
      <c r="R667" s="25">
        <f t="array" aca="1" ref="R667" ca="1">INDEX('Lorri 401b'!L:L,MATCH('Retirement Calculator'!A667,'Lorri 401b'!N:N,0),0)</f>
        <v>-909327.1061069502</v>
      </c>
      <c r="S667" s="25">
        <f t="shared" ca="1" si="527"/>
        <v>360700.99037771416</v>
      </c>
    </row>
    <row r="668" spans="1:19" ht="15.75" customHeight="1" x14ac:dyDescent="0.3">
      <c r="A668" s="37">
        <v>71284</v>
      </c>
      <c r="B668" s="398">
        <f t="shared" ref="B668:C668" si="674">($A668-B$9)/365.25</f>
        <v>113.28678986995209</v>
      </c>
      <c r="C668" s="398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3254.2644699519233</v>
      </c>
      <c r="H668" s="25">
        <f>IF(B668&lt;62,0,'Combined Retirement'!$I$14)</f>
        <v>2345</v>
      </c>
      <c r="I668" s="25">
        <f>IF(C668&lt;62,0,'Combined Retirement'!$I$13)</f>
        <v>2420</v>
      </c>
      <c r="J668" s="25">
        <f t="shared" si="523"/>
        <v>7896.2379798201846</v>
      </c>
      <c r="K668" s="25">
        <f t="shared" si="524"/>
        <v>20367.195264578786</v>
      </c>
      <c r="L668" s="25"/>
      <c r="N668" s="25">
        <f>'Combined Retirement'!$C$18/12</f>
        <v>39153.069999999992</v>
      </c>
      <c r="O668" s="25">
        <f t="shared" si="525"/>
        <v>10889.636755601023</v>
      </c>
      <c r="P668" s="25">
        <f t="shared" si="526"/>
        <v>28263.43324439897</v>
      </c>
      <c r="Q668" s="25">
        <f t="array" aca="1" ref="Q668" ca="1">INDEX('Isaac 401k'!L:L,MATCH('Retirement Calculator'!A668,'Isaac 401k'!N:N,0),0)</f>
        <v>1267390.7412486144</v>
      </c>
      <c r="R668" s="25">
        <f t="array" aca="1" ref="R668" ca="1">INDEX('Lorri 401b'!L:L,MATCH('Retirement Calculator'!A668,'Lorri 401b'!N:N,0),0)</f>
        <v>-933568.02762724366</v>
      </c>
      <c r="S668" s="25">
        <f t="shared" ca="1" si="527"/>
        <v>333822.71362137073</v>
      </c>
    </row>
    <row r="669" spans="1:19" ht="15.75" customHeight="1" x14ac:dyDescent="0.3">
      <c r="A669" s="37">
        <v>71315</v>
      </c>
      <c r="B669" s="398">
        <f t="shared" ref="B669:C669" si="675">($A669-B$9)/365.25</f>
        <v>113.37166324435319</v>
      </c>
      <c r="C669" s="398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3254.2644699519233</v>
      </c>
      <c r="H669" s="25">
        <f>IF(B669&lt;62,0,'Combined Retirement'!$I$14)</f>
        <v>2345</v>
      </c>
      <c r="I669" s="25">
        <f>IF(C669&lt;62,0,'Combined Retirement'!$I$13)</f>
        <v>2420</v>
      </c>
      <c r="J669" s="25">
        <f t="shared" si="523"/>
        <v>7896.2379798201846</v>
      </c>
      <c r="K669" s="25">
        <f t="shared" si="524"/>
        <v>20367.195264578786</v>
      </c>
      <c r="L669" s="25"/>
      <c r="N669" s="25">
        <f>'Combined Retirement'!$C$18/12</f>
        <v>39153.069999999992</v>
      </c>
      <c r="O669" s="25">
        <f t="shared" si="525"/>
        <v>10889.636755601023</v>
      </c>
      <c r="P669" s="25">
        <f t="shared" si="526"/>
        <v>28263.43324439897</v>
      </c>
      <c r="Q669" s="25">
        <f t="array" aca="1" ref="Q669" ca="1">INDEX('Isaac 401k'!L:L,MATCH('Retirement Calculator'!A669,'Isaac 401k'!N:N,0),0)</f>
        <v>1264742.3970324141</v>
      </c>
      <c r="R669" s="25">
        <f t="array" aca="1" ref="R669" ca="1">INDEX('Lorri 401b'!L:L,MATCH('Retirement Calculator'!A669,'Lorri 401b'!N:N,0),0)</f>
        <v>-957909.952987205</v>
      </c>
      <c r="S669" s="25">
        <f t="shared" ca="1" si="527"/>
        <v>306832.44404520909</v>
      </c>
    </row>
    <row r="670" spans="1:19" ht="15.75" customHeight="1" x14ac:dyDescent="0.3">
      <c r="A670" s="37">
        <v>71345</v>
      </c>
      <c r="B670" s="398">
        <f t="shared" ref="B670:C670" si="676">($A670-B$9)/365.25</f>
        <v>113.45379876796714</v>
      </c>
      <c r="C670" s="398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3254.2644699519233</v>
      </c>
      <c r="H670" s="25">
        <f>IF(B670&lt;62,0,'Combined Retirement'!$I$14)</f>
        <v>2345</v>
      </c>
      <c r="I670" s="25">
        <f>IF(C670&lt;62,0,'Combined Retirement'!$I$13)</f>
        <v>2420</v>
      </c>
      <c r="J670" s="25">
        <f t="shared" si="523"/>
        <v>7896.2379798201846</v>
      </c>
      <c r="K670" s="25">
        <f t="shared" si="524"/>
        <v>20367.195264578786</v>
      </c>
      <c r="L670" s="25"/>
      <c r="N670" s="25">
        <f>'Combined Retirement'!$C$18/12</f>
        <v>39153.069999999992</v>
      </c>
      <c r="O670" s="25">
        <f t="shared" si="525"/>
        <v>10889.636755601023</v>
      </c>
      <c r="P670" s="25">
        <f t="shared" si="526"/>
        <v>28263.43324439897</v>
      </c>
      <c r="Q670" s="25">
        <f t="array" aca="1" ref="Q670" ca="1">INDEX('Isaac 401k'!L:L,MATCH('Retirement Calculator'!A670,'Isaac 401k'!N:N,0),0)</f>
        <v>1262083.0180486464</v>
      </c>
      <c r="R670" s="25">
        <f t="array" aca="1" ref="R670" ca="1">INDEX('Lorri 401b'!L:L,MATCH('Retirement Calculator'!A670,'Lorri 401b'!N:N,0),0)</f>
        <v>-982353.30303616624</v>
      </c>
      <c r="S670" s="25">
        <f t="shared" ca="1" si="527"/>
        <v>279729.71501248016</v>
      </c>
    </row>
    <row r="671" spans="1:19" ht="15.75" customHeight="1" x14ac:dyDescent="0.3">
      <c r="A671" s="37">
        <v>71376</v>
      </c>
      <c r="B671" s="398">
        <f t="shared" ref="B671:C671" si="677">($A671-B$9)/365.25</f>
        <v>113.53867214236824</v>
      </c>
      <c r="C671" s="398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3254.2644699519233</v>
      </c>
      <c r="H671" s="25">
        <f>IF(B671&lt;62,0,'Combined Retirement'!$I$14)</f>
        <v>2345</v>
      </c>
      <c r="I671" s="25">
        <f>IF(C671&lt;62,0,'Combined Retirement'!$I$13)</f>
        <v>2420</v>
      </c>
      <c r="J671" s="25">
        <f t="shared" si="523"/>
        <v>7896.2379798201846</v>
      </c>
      <c r="K671" s="25">
        <f t="shared" si="524"/>
        <v>20367.195264578786</v>
      </c>
      <c r="L671" s="25"/>
      <c r="N671" s="25">
        <f>'Combined Retirement'!$C$18/12</f>
        <v>39153.069999999992</v>
      </c>
      <c r="O671" s="25">
        <f t="shared" si="525"/>
        <v>10889.636755601023</v>
      </c>
      <c r="P671" s="25">
        <f t="shared" si="526"/>
        <v>28263.43324439897</v>
      </c>
      <c r="Q671" s="25">
        <f t="array" aca="1" ref="Q671" ca="1">INDEX('Isaac 401k'!L:L,MATCH('Retirement Calculator'!A671,'Isaac 401k'!N:N,0),0)</f>
        <v>1259412.558319113</v>
      </c>
      <c r="R671" s="25">
        <f t="array" aca="1" ref="R671" ca="1">INDEX('Lorri 401b'!L:L,MATCH('Retirement Calculator'!A671,'Lorri 401b'!N:N,0),0)</f>
        <v>-1006898.5003769981</v>
      </c>
      <c r="S671" s="25">
        <f t="shared" ca="1" si="527"/>
        <v>252514.05794211489</v>
      </c>
    </row>
    <row r="672" spans="1:19" ht="15.75" customHeight="1" x14ac:dyDescent="0.3">
      <c r="A672" s="37">
        <v>71406</v>
      </c>
      <c r="B672" s="398">
        <f t="shared" ref="B672:C672" si="678">($A672-B$9)/365.25</f>
        <v>113.6208076659822</v>
      </c>
      <c r="C672" s="398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3254.2644699519233</v>
      </c>
      <c r="H672" s="25">
        <f>IF(B672&lt;62,0,'Combined Retirement'!$I$14)</f>
        <v>2345</v>
      </c>
      <c r="I672" s="25">
        <f>IF(C672&lt;62,0,'Combined Retirement'!$I$13)</f>
        <v>2420</v>
      </c>
      <c r="J672" s="25">
        <f t="shared" si="523"/>
        <v>7896.2379798201846</v>
      </c>
      <c r="K672" s="25">
        <f t="shared" si="524"/>
        <v>20367.195264578786</v>
      </c>
      <c r="L672" s="25"/>
      <c r="N672" s="25">
        <f>'Combined Retirement'!$C$18/12</f>
        <v>39153.069999999992</v>
      </c>
      <c r="O672" s="25">
        <f t="shared" si="525"/>
        <v>10889.636755601023</v>
      </c>
      <c r="P672" s="25">
        <f t="shared" si="526"/>
        <v>28263.43324439897</v>
      </c>
      <c r="Q672" s="25">
        <f t="array" aca="1" ref="Q672" ca="1">INDEX('Isaac 401k'!L:L,MATCH('Retirement Calculator'!A672,'Isaac 401k'!N:N,0),0)</f>
        <v>1256730.9716740397</v>
      </c>
      <c r="R672" s="25">
        <f t="array" aca="1" ref="R672" ca="1">INDEX('Lorri 401b'!L:L,MATCH('Retirement Calculator'!A672,'Lorri 401b'!N:N,0),0)</f>
        <v>-1031545.9693734169</v>
      </c>
      <c r="S672" s="25">
        <f t="shared" ca="1" si="527"/>
        <v>225185.00230062287</v>
      </c>
    </row>
    <row r="673" spans="1:19" ht="15.75" customHeight="1" x14ac:dyDescent="0.3">
      <c r="A673" s="37">
        <v>71437</v>
      </c>
      <c r="B673" s="398">
        <f t="shared" ref="B673:C673" si="679">($A673-B$9)/365.25</f>
        <v>113.7056810403833</v>
      </c>
      <c r="C673" s="398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3254.2644699519233</v>
      </c>
      <c r="H673" s="25">
        <f>IF(B673&lt;62,0,'Combined Retirement'!$I$14)</f>
        <v>2345</v>
      </c>
      <c r="I673" s="25">
        <f>IF(C673&lt;62,0,'Combined Retirement'!$I$13)</f>
        <v>2420</v>
      </c>
      <c r="J673" s="25">
        <f t="shared" si="523"/>
        <v>7896.2379798201846</v>
      </c>
      <c r="K673" s="25">
        <f t="shared" si="524"/>
        <v>20367.195264578786</v>
      </c>
      <c r="L673" s="25"/>
      <c r="N673" s="25">
        <f>'Combined Retirement'!$C$18/12</f>
        <v>39153.069999999992</v>
      </c>
      <c r="O673" s="25">
        <f t="shared" si="525"/>
        <v>10889.636755601023</v>
      </c>
      <c r="P673" s="25">
        <f t="shared" si="526"/>
        <v>28263.43324439897</v>
      </c>
      <c r="Q673" s="25">
        <f t="array" aca="1" ref="Q673" ca="1">INDEX('Isaac 401k'!L:L,MATCH('Retirement Calculator'!A673,'Isaac 401k'!N:N,0),0)</f>
        <v>1254038.2117512787</v>
      </c>
      <c r="R673" s="25">
        <f t="array" aca="1" ref="R673" ca="1">INDEX('Lorri 401b'!L:L,MATCH('Retirement Calculator'!A673,'Lorri 401b'!N:N,0),0)</f>
        <v>-1056296.1361573206</v>
      </c>
      <c r="S673" s="25">
        <f t="shared" ca="1" si="527"/>
        <v>197742.07559395814</v>
      </c>
    </row>
    <row r="674" spans="1:19" ht="15.75" customHeight="1" x14ac:dyDescent="0.3">
      <c r="A674" s="37">
        <v>71468</v>
      </c>
      <c r="B674" s="398">
        <f t="shared" ref="B674:C674" si="680">($A674-B$9)/365.25</f>
        <v>113.7905544147844</v>
      </c>
      <c r="C674" s="398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3254.2644699519233</v>
      </c>
      <c r="H674" s="25">
        <f>IF(B674&lt;62,0,'Combined Retirement'!$I$14)</f>
        <v>2345</v>
      </c>
      <c r="I674" s="25">
        <f>IF(C674&lt;62,0,'Combined Retirement'!$I$13)</f>
        <v>2420</v>
      </c>
      <c r="J674" s="25">
        <f t="shared" si="523"/>
        <v>7896.2379798201846</v>
      </c>
      <c r="K674" s="25">
        <f t="shared" si="524"/>
        <v>20367.195264578786</v>
      </c>
      <c r="L674" s="25"/>
      <c r="N674" s="25">
        <f>'Combined Retirement'!$C$18/12</f>
        <v>39153.069999999992</v>
      </c>
      <c r="O674" s="25">
        <f t="shared" si="525"/>
        <v>10889.636755601023</v>
      </c>
      <c r="P674" s="25">
        <f t="shared" si="526"/>
        <v>28263.43324439897</v>
      </c>
      <c r="Q674" s="25">
        <f t="array" aca="1" ref="Q674" ca="1">INDEX('Isaac 401k'!L:L,MATCH('Retirement Calculator'!A674,'Isaac 401k'!N:N,0),0)</f>
        <v>1251334.2319955062</v>
      </c>
      <c r="R674" s="25">
        <f t="array" aca="1" ref="R674" ca="1">INDEX('Lorri 401b'!L:L,MATCH('Retirement Calculator'!A674,'Lorri 401b'!N:N,0),0)</f>
        <v>-1081149.4286361572</v>
      </c>
      <c r="S674" s="25">
        <f t="shared" ca="1" si="527"/>
        <v>170184.80335934903</v>
      </c>
    </row>
    <row r="675" spans="1:19" ht="15.75" customHeight="1" x14ac:dyDescent="0.3">
      <c r="A675" s="37">
        <v>71498</v>
      </c>
      <c r="B675" s="398">
        <f t="shared" ref="B675:C675" si="681">($A675-B$9)/365.25</f>
        <v>113.87268993839835</v>
      </c>
      <c r="C675" s="398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3254.2644699519233</v>
      </c>
      <c r="H675" s="25">
        <f>IF(B675&lt;62,0,'Combined Retirement'!$I$14)</f>
        <v>2345</v>
      </c>
      <c r="I675" s="25">
        <f>IF(C675&lt;62,0,'Combined Retirement'!$I$13)</f>
        <v>2420</v>
      </c>
      <c r="J675" s="25">
        <f t="shared" si="523"/>
        <v>7896.2379798201846</v>
      </c>
      <c r="K675" s="25">
        <f t="shared" si="524"/>
        <v>20367.195264578786</v>
      </c>
      <c r="L675" s="25"/>
      <c r="N675" s="25">
        <f>'Combined Retirement'!$C$18/12</f>
        <v>39153.069999999992</v>
      </c>
      <c r="O675" s="25">
        <f t="shared" si="525"/>
        <v>10889.636755601023</v>
      </c>
      <c r="P675" s="25">
        <f t="shared" si="526"/>
        <v>28263.43324439897</v>
      </c>
      <c r="Q675" s="25">
        <f t="array" aca="1" ref="Q675" ca="1">INDEX('Isaac 401k'!L:L,MATCH('Retirement Calculator'!A675,'Isaac 401k'!N:N,0),0)</f>
        <v>1248618.9856574179</v>
      </c>
      <c r="R675" s="25">
        <f t="array" aca="1" ref="R675" ca="1">INDEX('Lorri 401b'!L:L,MATCH('Retirement Calculator'!A675,'Lorri 401b'!N:N,0),0)</f>
        <v>-1106106.2765003224</v>
      </c>
      <c r="S675" s="25">
        <f t="shared" ca="1" si="527"/>
        <v>142512.70915709552</v>
      </c>
    </row>
    <row r="676" spans="1:19" ht="15.75" customHeight="1" x14ac:dyDescent="0.3">
      <c r="A676" s="37">
        <v>71529</v>
      </c>
      <c r="B676" s="398">
        <f t="shared" ref="B676:C676" si="682">($A676-B$9)/365.25</f>
        <v>113.95756331279945</v>
      </c>
      <c r="C676" s="398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3254.2644699519233</v>
      </c>
      <c r="H676" s="25">
        <f>IF(B676&lt;62,0,'Combined Retirement'!$I$14)</f>
        <v>2345</v>
      </c>
      <c r="I676" s="25">
        <f>IF(C676&lt;62,0,'Combined Retirement'!$I$13)</f>
        <v>2420</v>
      </c>
      <c r="J676" s="25">
        <f t="shared" si="523"/>
        <v>7896.2379798201846</v>
      </c>
      <c r="K676" s="25">
        <f t="shared" si="524"/>
        <v>20367.195264578786</v>
      </c>
      <c r="L676" s="25"/>
      <c r="N676" s="25">
        <f>'Combined Retirement'!$C$18/12</f>
        <v>39153.069999999992</v>
      </c>
      <c r="O676" s="25">
        <f t="shared" si="525"/>
        <v>10889.636755601023</v>
      </c>
      <c r="P676" s="25">
        <f t="shared" si="526"/>
        <v>28263.43324439897</v>
      </c>
      <c r="Q676" s="25">
        <f t="array" aca="1" ref="Q676" ca="1">INDEX('Isaac 401k'!L:L,MATCH('Retirement Calculator'!A676,'Isaac 401k'!N:N,0),0)</f>
        <v>1245892.4257929211</v>
      </c>
      <c r="R676" s="25">
        <f t="array" aca="1" ref="R676" ca="1">INDEX('Lorri 401b'!L:L,MATCH('Retirement Calculator'!A676,'Lorri 401b'!N:N,0),0)</f>
        <v>-1131167.1112305883</v>
      </c>
      <c r="S676" s="25">
        <f t="shared" ca="1" si="527"/>
        <v>114725.31456233282</v>
      </c>
    </row>
    <row r="677" spans="1:19" ht="15.75" customHeight="1" x14ac:dyDescent="0.3">
      <c r="A677" s="37">
        <v>71559</v>
      </c>
      <c r="B677" s="398">
        <f t="shared" ref="B677:C677" si="683">($A677-B$9)/365.25</f>
        <v>114.03969883641342</v>
      </c>
      <c r="C677" s="398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3254.2644699519233</v>
      </c>
      <c r="H677" s="25">
        <f>IF(B677&lt;62,0,'Combined Retirement'!$I$14)</f>
        <v>2345</v>
      </c>
      <c r="I677" s="25">
        <f>IF(C677&lt;62,0,'Combined Retirement'!$I$13)</f>
        <v>2420</v>
      </c>
      <c r="J677" s="25">
        <f t="shared" si="523"/>
        <v>7896.2379798201846</v>
      </c>
      <c r="K677" s="25">
        <f t="shared" si="524"/>
        <v>20367.195264578786</v>
      </c>
      <c r="L677" s="25"/>
      <c r="N677" s="25">
        <f>'Combined Retirement'!$C$18/12</f>
        <v>39153.069999999992</v>
      </c>
      <c r="O677" s="25">
        <f t="shared" si="525"/>
        <v>10889.636755601023</v>
      </c>
      <c r="P677" s="25">
        <f t="shared" si="526"/>
        <v>28263.43324439897</v>
      </c>
      <c r="Q677" s="25">
        <f t="array" aca="1" ref="Q677" ca="1">INDEX('Isaac 401k'!L:L,MATCH('Retirement Calculator'!A677,'Isaac 401k'!N:N,0),0)</f>
        <v>1243154.505262322</v>
      </c>
      <c r="R677" s="25">
        <f t="array" aca="1" ref="R677" ca="1">INDEX('Lorri 401b'!L:L,MATCH('Retirement Calculator'!A677,'Lorri 401b'!N:N,0),0)</f>
        <v>-1156332.3661055637</v>
      </c>
      <c r="S677" s="25">
        <f t="shared" ca="1" si="527"/>
        <v>86822.13915675832</v>
      </c>
    </row>
    <row r="678" spans="1:19" ht="15.75" customHeight="1" x14ac:dyDescent="0.3">
      <c r="A678" s="37">
        <v>71590</v>
      </c>
      <c r="B678" s="398">
        <f t="shared" ref="B678:C678" si="684">($A678-B$9)/365.25</f>
        <v>114.12457221081451</v>
      </c>
      <c r="C678" s="398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3254.2644699519233</v>
      </c>
      <c r="H678" s="25">
        <f>IF(B678&lt;62,0,'Combined Retirement'!$I$14)</f>
        <v>2345</v>
      </c>
      <c r="I678" s="25">
        <f>IF(C678&lt;62,0,'Combined Retirement'!$I$13)</f>
        <v>2420</v>
      </c>
      <c r="J678" s="25">
        <f t="shared" si="523"/>
        <v>7896.2379798201846</v>
      </c>
      <c r="K678" s="25">
        <f t="shared" si="524"/>
        <v>20367.195264578786</v>
      </c>
      <c r="L678" s="25"/>
      <c r="N678" s="25">
        <f>'Combined Retirement'!$C$18/12</f>
        <v>39153.069999999992</v>
      </c>
      <c r="O678" s="25">
        <f t="shared" si="525"/>
        <v>10889.636755601023</v>
      </c>
      <c r="P678" s="25">
        <f t="shared" si="526"/>
        <v>28263.43324439897</v>
      </c>
      <c r="Q678" s="25">
        <f t="array" aca="1" ref="Q678" ca="1">INDEX('Isaac 401k'!L:L,MATCH('Retirement Calculator'!A678,'Isaac 401k'!N:N,0),0)</f>
        <v>1240405.1767295122</v>
      </c>
      <c r="R678" s="25">
        <f t="array" aca="1" ref="R678" ca="1">INDEX('Lorri 401b'!L:L,MATCH('Retirement Calculator'!A678,'Lorri 401b'!N:N,0),0)</f>
        <v>-1181602.4762091849</v>
      </c>
      <c r="S678" s="25">
        <f t="shared" ca="1" si="527"/>
        <v>58802.700520327315</v>
      </c>
    </row>
    <row r="679" spans="1:19" ht="15.75" customHeight="1" x14ac:dyDescent="0.3">
      <c r="A679" s="37">
        <v>71621</v>
      </c>
      <c r="B679" s="398">
        <f t="shared" ref="B679:C679" si="685">($A679-B$9)/365.25</f>
        <v>114.2094455852156</v>
      </c>
      <c r="C679" s="398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3254.2644699519233</v>
      </c>
      <c r="H679" s="25">
        <f>IF(B679&lt;62,0,'Combined Retirement'!$I$14)</f>
        <v>2345</v>
      </c>
      <c r="I679" s="25">
        <f>IF(C679&lt;62,0,'Combined Retirement'!$I$13)</f>
        <v>2420</v>
      </c>
      <c r="J679" s="25">
        <f t="shared" si="523"/>
        <v>7896.2379798201846</v>
      </c>
      <c r="K679" s="25">
        <f t="shared" si="524"/>
        <v>20367.195264578786</v>
      </c>
      <c r="L679" s="25"/>
      <c r="N679" s="25">
        <f>'Combined Retirement'!$C$18/12</f>
        <v>39153.069999999992</v>
      </c>
      <c r="O679" s="25">
        <f t="shared" si="525"/>
        <v>10889.636755601023</v>
      </c>
      <c r="P679" s="25">
        <f t="shared" si="526"/>
        <v>28263.43324439897</v>
      </c>
      <c r="Q679" s="25">
        <f t="array" aca="1" ref="Q679" ca="1">INDEX('Isaac 401k'!L:L,MATCH('Retirement Calculator'!A679,'Isaac 401k'!N:N,0),0)</f>
        <v>1237644.3926611489</v>
      </c>
      <c r="R679" s="25">
        <f t="array" aca="1" ref="R679" ca="1">INDEX('Lorri 401b'!L:L,MATCH('Retirement Calculator'!A679,'Lorri 401b'!N:N,0),0)</f>
        <v>-1206977.8784382376</v>
      </c>
      <c r="S679" s="25">
        <f t="shared" ca="1" si="527"/>
        <v>30666.514222911326</v>
      </c>
    </row>
    <row r="680" spans="1:19" ht="15.75" customHeight="1" x14ac:dyDescent="0.3">
      <c r="A680" s="37">
        <v>71650</v>
      </c>
      <c r="B680" s="398">
        <f t="shared" ref="B680:C680" si="686">($A680-B$9)/365.25</f>
        <v>114.28884325804243</v>
      </c>
      <c r="C680" s="398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3254.2644699519233</v>
      </c>
      <c r="H680" s="25">
        <f>IF(B680&lt;62,0,'Combined Retirement'!$I$14)</f>
        <v>2345</v>
      </c>
      <c r="I680" s="25">
        <f>IF(C680&lt;62,0,'Combined Retirement'!$I$13)</f>
        <v>2420</v>
      </c>
      <c r="J680" s="25">
        <f t="shared" si="523"/>
        <v>7896.2379798201846</v>
      </c>
      <c r="K680" s="25">
        <f t="shared" si="524"/>
        <v>20367.195264578786</v>
      </c>
      <c r="L680" s="25"/>
      <c r="N680" s="25">
        <f>'Combined Retirement'!$C$18/12</f>
        <v>39153.069999999992</v>
      </c>
      <c r="O680" s="25">
        <f t="shared" si="525"/>
        <v>10889.636755601023</v>
      </c>
      <c r="P680" s="25">
        <f t="shared" si="526"/>
        <v>28263.43324439897</v>
      </c>
      <c r="Q680" s="25">
        <f t="array" aca="1" ref="Q680" ca="1">INDEX('Isaac 401k'!L:L,MATCH('Retirement Calculator'!A680,'Isaac 401k'!N:N,0),0)</f>
        <v>1234872.1053258341</v>
      </c>
      <c r="R680" s="25">
        <f t="array" aca="1" ref="R680" ca="1">INDEX('Lorri 401b'!L:L,MATCH('Retirement Calculator'!A680,'Lorri 401b'!N:N,0),0)</f>
        <v>-1232459.0115099114</v>
      </c>
      <c r="S680" s="25">
        <f t="shared" ca="1" si="527"/>
        <v>2413.0938159227371</v>
      </c>
    </row>
    <row r="681" spans="1:19" ht="15.75" customHeight="1" x14ac:dyDescent="0.3">
      <c r="A681" s="37">
        <v>71681</v>
      </c>
      <c r="B681" s="398">
        <f t="shared" ref="B681:C681" si="687">($A681-B$9)/365.25</f>
        <v>114.37371663244353</v>
      </c>
      <c r="C681" s="398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3254.2644699519233</v>
      </c>
      <c r="H681" s="25">
        <f>IF(B681&lt;62,0,'Combined Retirement'!$I$14)</f>
        <v>2345</v>
      </c>
      <c r="I681" s="25">
        <f>IF(C681&lt;62,0,'Combined Retirement'!$I$13)</f>
        <v>2420</v>
      </c>
      <c r="J681" s="25">
        <f t="shared" si="523"/>
        <v>7896.2379798201846</v>
      </c>
      <c r="K681" s="25">
        <f t="shared" si="524"/>
        <v>20367.195264578786</v>
      </c>
      <c r="L681" s="25"/>
      <c r="N681" s="25">
        <f>'Combined Retirement'!$C$18/12</f>
        <v>39153.069999999992</v>
      </c>
      <c r="O681" s="25">
        <f t="shared" si="525"/>
        <v>10889.636755601023</v>
      </c>
      <c r="P681" s="25">
        <f t="shared" si="526"/>
        <v>28263.43324439897</v>
      </c>
      <c r="Q681" s="25">
        <f t="array" aca="1" ref="Q681" ca="1">INDEX('Isaac 401k'!L:L,MATCH('Retirement Calculator'!A681,'Isaac 401k'!N:N,0),0)</f>
        <v>1232088.266793289</v>
      </c>
      <c r="R681" s="25">
        <f t="array" aca="1" ref="R681" ca="1">INDEX('Lorri 401b'!L:L,MATCH('Retirement Calculator'!A681,'Lorri 401b'!N:N,0),0)</f>
        <v>-1258046.3159693838</v>
      </c>
      <c r="S681" s="25">
        <f t="shared" ca="1" si="527"/>
        <v>-25958.049176094821</v>
      </c>
    </row>
    <row r="682" spans="1:19" ht="15.75" customHeight="1" x14ac:dyDescent="0.3">
      <c r="A682" s="37">
        <v>71711</v>
      </c>
      <c r="B682" s="398">
        <f t="shared" ref="B682:C682" si="688">($A682-B$9)/365.25</f>
        <v>114.45585215605749</v>
      </c>
      <c r="C682" s="398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3254.2644699519233</v>
      </c>
      <c r="H682" s="25">
        <f>IF(B682&lt;62,0,'Combined Retirement'!$I$14)</f>
        <v>2345</v>
      </c>
      <c r="I682" s="25">
        <f>IF(C682&lt;62,0,'Combined Retirement'!$I$13)</f>
        <v>2420</v>
      </c>
      <c r="J682" s="25">
        <f t="shared" si="523"/>
        <v>7896.2379798201846</v>
      </c>
      <c r="K682" s="25">
        <f t="shared" si="524"/>
        <v>20367.195264578786</v>
      </c>
      <c r="L682" s="25"/>
      <c r="N682" s="25">
        <f>'Combined Retirement'!$C$18/12</f>
        <v>39153.069999999992</v>
      </c>
      <c r="O682" s="25">
        <f t="shared" si="525"/>
        <v>10889.636755601023</v>
      </c>
      <c r="P682" s="25">
        <f t="shared" si="526"/>
        <v>28263.43324439897</v>
      </c>
      <c r="Q682" s="25">
        <f t="array" aca="1" ref="Q682" ca="1">INDEX('Isaac 401k'!L:L,MATCH('Retirement Calculator'!A682,'Isaac 401k'!N:N,0),0)</f>
        <v>1229292.8289335249</v>
      </c>
      <c r="R682" s="25">
        <f t="array" aca="1" ref="R682" ca="1">INDEX('Lorri 401b'!L:L,MATCH('Retirement Calculator'!A682,'Lorri 401b'!N:N,0),0)</f>
        <v>-1283740.2341974375</v>
      </c>
      <c r="S682" s="25">
        <f t="shared" ca="1" si="527"/>
        <v>-54447.405263912631</v>
      </c>
    </row>
    <row r="683" spans="1:19" ht="15.75" customHeight="1" x14ac:dyDescent="0.3">
      <c r="A683" s="37">
        <v>71742</v>
      </c>
      <c r="B683" s="398">
        <f t="shared" ref="B683:C683" si="689">($A683-B$9)/365.25</f>
        <v>114.54072553045859</v>
      </c>
      <c r="C683" s="398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3254.2644699519233</v>
      </c>
      <c r="H683" s="25">
        <f>IF(B683&lt;62,0,'Combined Retirement'!$I$14)</f>
        <v>2345</v>
      </c>
      <c r="I683" s="25">
        <f>IF(C683&lt;62,0,'Combined Retirement'!$I$13)</f>
        <v>2420</v>
      </c>
      <c r="J683" s="25">
        <f t="shared" si="523"/>
        <v>7896.2379798201846</v>
      </c>
      <c r="K683" s="25">
        <f t="shared" si="524"/>
        <v>20367.195264578786</v>
      </c>
      <c r="L683" s="25"/>
      <c r="N683" s="25">
        <f>'Combined Retirement'!$C$18/12</f>
        <v>39153.069999999992</v>
      </c>
      <c r="O683" s="25">
        <f t="shared" si="525"/>
        <v>10889.636755601023</v>
      </c>
      <c r="P683" s="25">
        <f t="shared" si="526"/>
        <v>28263.43324439897</v>
      </c>
      <c r="Q683" s="25">
        <f t="array" aca="1" ref="Q683" ca="1">INDEX('Isaac 401k'!L:L,MATCH('Retirement Calculator'!A683,'Isaac 401k'!N:N,0),0)</f>
        <v>1226485.7434160118</v>
      </c>
      <c r="R683" s="25">
        <f t="array" aca="1" ref="R683" ca="1">INDEX('Lorri 401b'!L:L,MATCH('Retirement Calculator'!A683,'Lorri 401b'!N:N,0),0)</f>
        <v>-1309541.2104181082</v>
      </c>
      <c r="S683" s="25">
        <f t="shared" ca="1" si="527"/>
        <v>-83055.467002096353</v>
      </c>
    </row>
    <row r="684" spans="1:19" ht="15.75" customHeight="1" x14ac:dyDescent="0.3">
      <c r="A684" s="37">
        <v>71772</v>
      </c>
      <c r="B684" s="398">
        <f t="shared" ref="B684:C684" si="690">($A684-B$9)/365.25</f>
        <v>114.62286105407256</v>
      </c>
      <c r="C684" s="398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3254.2644699519233</v>
      </c>
      <c r="H684" s="25">
        <f>IF(B684&lt;62,0,'Combined Retirement'!$I$14)</f>
        <v>2345</v>
      </c>
      <c r="I684" s="25">
        <f>IF(C684&lt;62,0,'Combined Retirement'!$I$13)</f>
        <v>2420</v>
      </c>
      <c r="J684" s="25">
        <f t="shared" si="523"/>
        <v>7896.2379798201846</v>
      </c>
      <c r="K684" s="25">
        <f t="shared" si="524"/>
        <v>20367.195264578786</v>
      </c>
      <c r="L684" s="25"/>
      <c r="N684" s="25">
        <f>'Combined Retirement'!$C$18/12</f>
        <v>39153.069999999992</v>
      </c>
      <c r="O684" s="25">
        <f t="shared" si="525"/>
        <v>10889.636755601023</v>
      </c>
      <c r="P684" s="25">
        <f t="shared" si="526"/>
        <v>28263.43324439897</v>
      </c>
      <c r="Q684" s="25">
        <f t="array" aca="1" ref="Q684" ca="1">INDEX('Isaac 401k'!L:L,MATCH('Retirement Calculator'!A684,'Isaac 401k'!N:N,0),0)</f>
        <v>1223666.9617088423</v>
      </c>
      <c r="R684" s="25">
        <f t="array" aca="1" ref="R684" ca="1">INDEX('Lorri 401b'!L:L,MATCH('Retirement Calculator'!A684,'Lorri 401b'!N:N,0),0)</f>
        <v>-1335449.6907063648</v>
      </c>
      <c r="S684" s="25">
        <f t="shared" ca="1" si="527"/>
        <v>-111782.7289975225</v>
      </c>
    </row>
    <row r="685" spans="1:19" ht="15.75" customHeight="1" x14ac:dyDescent="0.3">
      <c r="A685" s="37">
        <v>71803</v>
      </c>
      <c r="B685" s="398">
        <f t="shared" ref="B685:C685" si="691">($A685-B$9)/365.25</f>
        <v>114.70773442847364</v>
      </c>
      <c r="C685" s="398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3254.2644699519233</v>
      </c>
      <c r="H685" s="25">
        <f>IF(B685&lt;62,0,'Combined Retirement'!$I$14)</f>
        <v>2345</v>
      </c>
      <c r="I685" s="25">
        <f>IF(C685&lt;62,0,'Combined Retirement'!$I$13)</f>
        <v>2420</v>
      </c>
      <c r="J685" s="25">
        <f t="shared" si="523"/>
        <v>7896.2379798201846</v>
      </c>
      <c r="K685" s="25">
        <f t="shared" si="524"/>
        <v>20367.195264578786</v>
      </c>
      <c r="L685" s="25"/>
      <c r="N685" s="25">
        <f>'Combined Retirement'!$C$18/12</f>
        <v>39153.069999999992</v>
      </c>
      <c r="O685" s="25">
        <f t="shared" si="525"/>
        <v>10889.636755601023</v>
      </c>
      <c r="P685" s="25">
        <f t="shared" si="526"/>
        <v>28263.43324439897</v>
      </c>
      <c r="Q685" s="25">
        <f t="array" aca="1" ref="Q685" ca="1">INDEX('Isaac 401k'!L:L,MATCH('Retirement Calculator'!A685,'Isaac 401k'!N:N,0),0)</f>
        <v>1220836.4350778931</v>
      </c>
      <c r="R685" s="25">
        <f t="array" aca="1" ref="R685" ca="1">INDEX('Lorri 401b'!L:L,MATCH('Retirement Calculator'!A685,'Lorri 401b'!N:N,0),0)</f>
        <v>-1361466.1229958225</v>
      </c>
      <c r="S685" s="25">
        <f t="shared" ca="1" si="527"/>
        <v>-140629.68791792938</v>
      </c>
    </row>
    <row r="686" spans="1:19" ht="15.75" customHeight="1" x14ac:dyDescent="0.3">
      <c r="A686" s="37">
        <v>71834</v>
      </c>
      <c r="B686" s="398">
        <f t="shared" ref="B686:C686" si="692">($A686-B$9)/365.25</f>
        <v>114.79260780287474</v>
      </c>
      <c r="C686" s="398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3254.2644699519233</v>
      </c>
      <c r="H686" s="25">
        <f>IF(B686&lt;62,0,'Combined Retirement'!$I$14)</f>
        <v>2345</v>
      </c>
      <c r="I686" s="25">
        <f>IF(C686&lt;62,0,'Combined Retirement'!$I$13)</f>
        <v>2420</v>
      </c>
      <c r="J686" s="25">
        <f t="shared" si="523"/>
        <v>7896.2379798201846</v>
      </c>
      <c r="K686" s="25">
        <f t="shared" si="524"/>
        <v>20367.195264578786</v>
      </c>
      <c r="L686" s="25"/>
      <c r="N686" s="25">
        <f>'Combined Retirement'!$C$18/12</f>
        <v>39153.069999999992</v>
      </c>
      <c r="O686" s="25">
        <f t="shared" si="525"/>
        <v>10889.636755601023</v>
      </c>
      <c r="P686" s="25">
        <f t="shared" si="526"/>
        <v>28263.43324439897</v>
      </c>
      <c r="Q686" s="25">
        <f t="array" aca="1" ref="Q686" ca="1">INDEX('Isaac 401k'!L:L,MATCH('Retirement Calculator'!A686,'Isaac 401k'!N:N,0),0)</f>
        <v>1217994.1145859815</v>
      </c>
      <c r="R686" s="25">
        <f t="array" aca="1" ref="R686" ca="1">INDEX('Lorri 401b'!L:L,MATCH('Retirement Calculator'!A686,'Lorri 401b'!N:N,0),0)</f>
        <v>-1387590.9570864863</v>
      </c>
      <c r="S686" s="25">
        <f t="shared" ca="1" si="527"/>
        <v>-169596.8425005048</v>
      </c>
    </row>
    <row r="687" spans="1:19" ht="15.75" customHeight="1" x14ac:dyDescent="0.3">
      <c r="A687" s="37">
        <v>71864</v>
      </c>
      <c r="B687" s="398">
        <f t="shared" ref="B687:C687" si="693">($A687-B$9)/365.25</f>
        <v>114.87474332648871</v>
      </c>
      <c r="C687" s="398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3254.2644699519233</v>
      </c>
      <c r="H687" s="25">
        <f>IF(B687&lt;62,0,'Combined Retirement'!$I$14)</f>
        <v>2345</v>
      </c>
      <c r="I687" s="25">
        <f>IF(C687&lt;62,0,'Combined Retirement'!$I$13)</f>
        <v>2420</v>
      </c>
      <c r="J687" s="25">
        <f t="shared" si="523"/>
        <v>7896.2379798201846</v>
      </c>
      <c r="K687" s="25">
        <f t="shared" si="524"/>
        <v>20367.195264578786</v>
      </c>
      <c r="L687" s="25"/>
      <c r="N687" s="25">
        <f>'Combined Retirement'!$C$18/12</f>
        <v>39153.069999999992</v>
      </c>
      <c r="O687" s="25">
        <f t="shared" si="525"/>
        <v>10889.636755601023</v>
      </c>
      <c r="P687" s="25">
        <f t="shared" si="526"/>
        <v>28263.43324439897</v>
      </c>
      <c r="Q687" s="25">
        <f t="array" aca="1" ref="Q687" ca="1">INDEX('Isaac 401k'!L:L,MATCH('Retirement Calculator'!A687,'Isaac 401k'!N:N,0),0)</f>
        <v>1215139.9510920201</v>
      </c>
      <c r="R687" s="25">
        <f t="array" aca="1" ref="R687" ca="1">INDEX('Lorri 401b'!L:L,MATCH('Retirement Calculator'!A687,'Lorri 401b'!N:N,0),0)</f>
        <v>-1413824.6446525278</v>
      </c>
      <c r="S687" s="25">
        <f t="shared" ca="1" si="527"/>
        <v>-198684.69356050761</v>
      </c>
    </row>
    <row r="688" spans="1:19" ht="15.75" customHeight="1" x14ac:dyDescent="0.3">
      <c r="A688" s="37">
        <v>71895</v>
      </c>
      <c r="B688" s="398">
        <f t="shared" ref="B688:C688" si="694">($A688-B$9)/365.25</f>
        <v>114.9596167008898</v>
      </c>
      <c r="C688" s="398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3254.2644699519233</v>
      </c>
      <c r="H688" s="25">
        <f>IF(B688&lt;62,0,'Combined Retirement'!$I$14)</f>
        <v>2345</v>
      </c>
      <c r="I688" s="25">
        <f>IF(C688&lt;62,0,'Combined Retirement'!$I$13)</f>
        <v>2420</v>
      </c>
      <c r="J688" s="25">
        <f t="shared" si="523"/>
        <v>7896.2379798201846</v>
      </c>
      <c r="K688" s="25">
        <f t="shared" si="524"/>
        <v>20367.195264578786</v>
      </c>
      <c r="L688" s="25"/>
      <c r="N688" s="25">
        <f>'Combined Retirement'!$C$18/12</f>
        <v>39153.069999999992</v>
      </c>
      <c r="O688" s="25">
        <f t="shared" si="525"/>
        <v>10889.636755601023</v>
      </c>
      <c r="P688" s="25">
        <f t="shared" si="526"/>
        <v>28263.43324439897</v>
      </c>
      <c r="Q688" s="25">
        <f t="array" aca="1" ref="Q688" ca="1">INDEX('Isaac 401k'!L:L,MATCH('Retirement Calculator'!A688,'Isaac 401k'!N:N,0),0)</f>
        <v>1212273.8952501675</v>
      </c>
      <c r="R688" s="25">
        <f t="array" aca="1" ref="R688" ca="1">INDEX('Lorri 401b'!L:L,MATCH('Retirement Calculator'!A688,'Lorri 401b'!N:N,0),0)</f>
        <v>-1440167.6392500945</v>
      </c>
      <c r="S688" s="25">
        <f t="shared" ca="1" si="527"/>
        <v>-227893.74399992707</v>
      </c>
    </row>
    <row r="689" spans="1:19" ht="15.75" customHeight="1" x14ac:dyDescent="0.3">
      <c r="A689" s="37">
        <v>71925</v>
      </c>
      <c r="B689" s="398">
        <f t="shared" ref="B689:C689" si="695">($A689-B$9)/365.25</f>
        <v>115.04175222450377</v>
      </c>
      <c r="C689" s="398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3254.2644699519233</v>
      </c>
      <c r="H689" s="25">
        <f>IF(B689&lt;62,0,'Combined Retirement'!$I$14)</f>
        <v>2345</v>
      </c>
      <c r="I689" s="25">
        <f>IF(C689&lt;62,0,'Combined Retirement'!$I$13)</f>
        <v>2420</v>
      </c>
      <c r="J689" s="25">
        <f t="shared" si="523"/>
        <v>7896.2379798201846</v>
      </c>
      <c r="K689" s="25">
        <f t="shared" si="524"/>
        <v>20367.195264578786</v>
      </c>
      <c r="L689" s="25"/>
      <c r="N689" s="25">
        <f>'Combined Retirement'!$C$18/12</f>
        <v>39153.069999999992</v>
      </c>
      <c r="O689" s="25">
        <f t="shared" si="525"/>
        <v>10889.636755601023</v>
      </c>
      <c r="P689" s="25">
        <f t="shared" si="526"/>
        <v>28263.43324439897</v>
      </c>
      <c r="Q689" s="25">
        <f t="array" aca="1" ref="Q689" ca="1">INDEX('Isaac 401k'!L:L,MATCH('Retirement Calculator'!A689,'Isaac 401k'!N:N,0),0)</f>
        <v>1209395.8975089737</v>
      </c>
      <c r="R689" s="25">
        <f t="array" aca="1" ref="R689" ca="1">INDEX('Lorri 401b'!L:L,MATCH('Retirement Calculator'!A689,'Lorri 401b'!N:N,0),0)</f>
        <v>-1466620.3963251512</v>
      </c>
      <c r="S689" s="25">
        <f t="shared" ca="1" si="527"/>
        <v>-257224.49881617748</v>
      </c>
    </row>
    <row r="690" spans="1:19" ht="15.75" customHeight="1" x14ac:dyDescent="0.3">
      <c r="A690" s="37">
        <v>71956</v>
      </c>
      <c r="B690" s="398">
        <f t="shared" ref="B690:C690" si="696">($A690-B$9)/365.25</f>
        <v>115.12662559890487</v>
      </c>
      <c r="C690" s="398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3254.2644699519233</v>
      </c>
      <c r="H690" s="25">
        <f>IF(B690&lt;62,0,'Combined Retirement'!$I$14)</f>
        <v>2345</v>
      </c>
      <c r="I690" s="25">
        <f>IF(C690&lt;62,0,'Combined Retirement'!$I$13)</f>
        <v>2420</v>
      </c>
      <c r="J690" s="25">
        <f t="shared" si="523"/>
        <v>7896.2379798201846</v>
      </c>
      <c r="K690" s="25">
        <f t="shared" si="524"/>
        <v>20367.195264578786</v>
      </c>
      <c r="L690" s="25"/>
      <c r="N690" s="25">
        <f>'Combined Retirement'!$C$18/12</f>
        <v>39153.069999999992</v>
      </c>
      <c r="O690" s="25">
        <f t="shared" si="525"/>
        <v>10889.636755601023</v>
      </c>
      <c r="P690" s="25">
        <f t="shared" si="526"/>
        <v>28263.43324439897</v>
      </c>
      <c r="Q690" s="25">
        <f t="array" aca="1" ref="Q690" ca="1">INDEX('Isaac 401k'!L:L,MATCH('Retirement Calculator'!A690,'Isaac 401k'!N:N,0),0)</f>
        <v>1206505.908110525</v>
      </c>
      <c r="R690" s="25">
        <f t="array" aca="1" ref="R690" ca="1">INDEX('Lorri 401b'!L:L,MATCH('Retirement Calculator'!A690,'Lorri 401b'!N:N,0),0)</f>
        <v>-1493183.3732213539</v>
      </c>
      <c r="S690" s="25">
        <f t="shared" ca="1" si="527"/>
        <v>-286677.46511082887</v>
      </c>
    </row>
    <row r="691" spans="1:19" ht="15.75" customHeight="1" x14ac:dyDescent="0.3">
      <c r="A691" s="37">
        <v>71987</v>
      </c>
      <c r="B691" s="398">
        <f t="shared" ref="B691:C691" si="697">($A691-B$9)/365.25</f>
        <v>115.21149897330595</v>
      </c>
      <c r="C691" s="398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3254.2644699519233</v>
      </c>
      <c r="H691" s="25">
        <f>IF(B691&lt;62,0,'Combined Retirement'!$I$14)</f>
        <v>2345</v>
      </c>
      <c r="I691" s="25">
        <f>IF(C691&lt;62,0,'Combined Retirement'!$I$13)</f>
        <v>2420</v>
      </c>
      <c r="J691" s="25">
        <f t="shared" si="523"/>
        <v>7896.2379798201846</v>
      </c>
      <c r="K691" s="25">
        <f t="shared" si="524"/>
        <v>20367.195264578786</v>
      </c>
      <c r="L691" s="25"/>
      <c r="N691" s="25">
        <f>'Combined Retirement'!$C$18/12</f>
        <v>39153.069999999992</v>
      </c>
      <c r="O691" s="25">
        <f t="shared" si="525"/>
        <v>10889.636755601023</v>
      </c>
      <c r="P691" s="25">
        <f t="shared" si="526"/>
        <v>28263.43324439897</v>
      </c>
      <c r="Q691" s="25">
        <f t="array" aca="1" ref="Q691" ca="1">INDEX('Isaac 401k'!L:L,MATCH('Retirement Calculator'!A691,'Isaac 401k'!N:N,0),0)</f>
        <v>1203603.8770895826</v>
      </c>
      <c r="R691" s="25">
        <f t="array" aca="1" ref="R691" ca="1">INDEX('Lorri 401b'!L:L,MATCH('Retirement Calculator'!A691,'Lorri 401b'!N:N,0),0)</f>
        <v>-1519857.0291879573</v>
      </c>
      <c r="S691" s="25">
        <f t="shared" ca="1" si="527"/>
        <v>-316253.15209837467</v>
      </c>
    </row>
    <row r="692" spans="1:19" ht="15.75" customHeight="1" x14ac:dyDescent="0.3">
      <c r="A692" s="37">
        <v>72015</v>
      </c>
      <c r="B692" s="398">
        <f t="shared" ref="B692:C692" si="698">($A692-B$9)/365.25</f>
        <v>115.28815879534565</v>
      </c>
      <c r="C692" s="398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3254.2644699519233</v>
      </c>
      <c r="H692" s="25">
        <f>IF(B692&lt;62,0,'Combined Retirement'!$I$14)</f>
        <v>2345</v>
      </c>
      <c r="I692" s="25">
        <f>IF(C692&lt;62,0,'Combined Retirement'!$I$13)</f>
        <v>2420</v>
      </c>
      <c r="J692" s="25">
        <f t="shared" si="523"/>
        <v>7896.2379798201846</v>
      </c>
      <c r="K692" s="25">
        <f t="shared" si="524"/>
        <v>20367.195264578786</v>
      </c>
      <c r="L692" s="25"/>
      <c r="N692" s="25">
        <f>'Combined Retirement'!$C$18/12</f>
        <v>39153.069999999992</v>
      </c>
      <c r="O692" s="25">
        <f t="shared" si="525"/>
        <v>10889.636755601023</v>
      </c>
      <c r="P692" s="25">
        <f t="shared" si="526"/>
        <v>28263.43324439897</v>
      </c>
      <c r="Q692" s="25">
        <f t="array" aca="1" ref="Q692" ca="1">INDEX('Isaac 401k'!L:L,MATCH('Retirement Calculator'!A692,'Isaac 401k'!N:N,0),0)</f>
        <v>1200689.7542727198</v>
      </c>
      <c r="R692" s="25">
        <f t="array" aca="1" ref="R692" ca="1">INDEX('Lorri 401b'!L:L,MATCH('Retirement Calculator'!A692,'Lorri 401b'!N:N,0),0)</f>
        <v>-1546641.8253877549</v>
      </c>
      <c r="S692" s="25">
        <f t="shared" ca="1" si="527"/>
        <v>-345952.0711150351</v>
      </c>
    </row>
    <row r="693" spans="1:19" ht="15.75" customHeight="1" x14ac:dyDescent="0.3">
      <c r="A693" s="37">
        <v>72046</v>
      </c>
      <c r="B693" s="398">
        <f t="shared" ref="B693:C693" si="699">($A693-B$9)/365.25</f>
        <v>115.37303216974675</v>
      </c>
      <c r="C693" s="398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3254.2644699519233</v>
      </c>
      <c r="H693" s="25">
        <f>IF(B693&lt;62,0,'Combined Retirement'!$I$14)</f>
        <v>2345</v>
      </c>
      <c r="I693" s="25">
        <f>IF(C693&lt;62,0,'Combined Retirement'!$I$13)</f>
        <v>2420</v>
      </c>
      <c r="J693" s="25">
        <f t="shared" si="523"/>
        <v>7896.2379798201846</v>
      </c>
      <c r="K693" s="25">
        <f t="shared" si="524"/>
        <v>20367.195264578786</v>
      </c>
      <c r="L693" s="25"/>
      <c r="N693" s="25">
        <f>'Combined Retirement'!$C$18/12</f>
        <v>39153.069999999992</v>
      </c>
      <c r="O693" s="25">
        <f t="shared" si="525"/>
        <v>10889.636755601023</v>
      </c>
      <c r="P693" s="25">
        <f t="shared" si="526"/>
        <v>28263.43324439897</v>
      </c>
      <c r="Q693" s="25">
        <f t="array" aca="1" ref="Q693" ca="1">INDEX('Isaac 401k'!L:L,MATCH('Retirement Calculator'!A693,'Isaac 401k'!N:N,0),0)</f>
        <v>1197763.4892774534</v>
      </c>
      <c r="R693" s="25">
        <f t="array" aca="1" ref="R693" ca="1">INDEX('Lorri 401b'!L:L,MATCH('Retirement Calculator'!A693,'Lorri 401b'!N:N,0),0)</f>
        <v>-1573538.2249050518</v>
      </c>
      <c r="S693" s="25">
        <f t="shared" ca="1" si="527"/>
        <v>-375774.73562759836</v>
      </c>
    </row>
    <row r="694" spans="1:19" ht="15.75" customHeight="1" x14ac:dyDescent="0.3">
      <c r="A694" s="37">
        <v>72076</v>
      </c>
      <c r="B694" s="398">
        <f t="shared" ref="B694:C694" si="700">($A694-B$9)/365.25</f>
        <v>115.45516769336071</v>
      </c>
      <c r="C694" s="398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3254.2644699519233</v>
      </c>
      <c r="H694" s="25">
        <f>IF(B694&lt;62,0,'Combined Retirement'!$I$14)</f>
        <v>2345</v>
      </c>
      <c r="I694" s="25">
        <f>IF(C694&lt;62,0,'Combined Retirement'!$I$13)</f>
        <v>2420</v>
      </c>
      <c r="J694" s="25">
        <f t="shared" si="523"/>
        <v>7896.2379798201846</v>
      </c>
      <c r="K694" s="25">
        <f t="shared" si="524"/>
        <v>20367.195264578786</v>
      </c>
      <c r="L694" s="25"/>
      <c r="N694" s="25">
        <f>'Combined Retirement'!$C$18/12</f>
        <v>39153.069999999992</v>
      </c>
      <c r="O694" s="25">
        <f t="shared" si="525"/>
        <v>10889.636755601023</v>
      </c>
      <c r="P694" s="25">
        <f t="shared" si="526"/>
        <v>28263.43324439897</v>
      </c>
      <c r="Q694" s="25">
        <f t="array" aca="1" ref="Q694" ca="1">INDEX('Isaac 401k'!L:L,MATCH('Retirement Calculator'!A694,'Isaac 401k'!N:N,0),0)</f>
        <v>1194825.0315113734</v>
      </c>
      <c r="R694" s="25">
        <f t="array" aca="1" ref="R694" ca="1">INDEX('Lorri 401b'!L:L,MATCH('Retirement Calculator'!A694,'Lorri 401b'!N:N,0),0)</f>
        <v>-1600546.6927536707</v>
      </c>
      <c r="S694" s="25">
        <f t="shared" ca="1" si="527"/>
        <v>-405721.66124229738</v>
      </c>
    </row>
    <row r="695" spans="1:19" ht="15.75" customHeight="1" x14ac:dyDescent="0.3">
      <c r="A695" s="37">
        <v>72107</v>
      </c>
      <c r="B695" s="398">
        <f t="shared" ref="B695:C695" si="701">($A695-B$9)/365.25</f>
        <v>115.54004106776181</v>
      </c>
      <c r="C695" s="398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3254.2644699519233</v>
      </c>
      <c r="H695" s="25">
        <f>IF(B695&lt;62,0,'Combined Retirement'!$I$14)</f>
        <v>2345</v>
      </c>
      <c r="I695" s="25">
        <f>IF(C695&lt;62,0,'Combined Retirement'!$I$13)</f>
        <v>2420</v>
      </c>
      <c r="J695" s="25">
        <f t="shared" si="523"/>
        <v>7896.2379798201846</v>
      </c>
      <c r="K695" s="25">
        <f t="shared" si="524"/>
        <v>20367.195264578786</v>
      </c>
      <c r="L695" s="25"/>
      <c r="N695" s="25">
        <f>'Combined Retirement'!$C$18/12</f>
        <v>39153.069999999992</v>
      </c>
      <c r="O695" s="25">
        <f t="shared" si="525"/>
        <v>10889.636755601023</v>
      </c>
      <c r="P695" s="25">
        <f t="shared" si="526"/>
        <v>28263.43324439897</v>
      </c>
      <c r="Q695" s="25">
        <f t="array" aca="1" ref="Q695" ca="1">INDEX('Isaac 401k'!L:L,MATCH('Retirement Calculator'!A695,'Isaac 401k'!N:N,0),0)</f>
        <v>1191874.330171268</v>
      </c>
      <c r="R695" s="25">
        <f t="array" aca="1" ref="R695" ca="1">INDEX('Lorri 401b'!L:L,MATCH('Retirement Calculator'!A695,'Lorri 401b'!N:N,0),0)</f>
        <v>-1627667.6958849921</v>
      </c>
      <c r="S695" s="25">
        <f t="shared" ca="1" si="527"/>
        <v>-435793.36571372417</v>
      </c>
    </row>
    <row r="696" spans="1:19" ht="15.75" customHeight="1" x14ac:dyDescent="0.3">
      <c r="A696" s="37">
        <v>72137</v>
      </c>
      <c r="B696" s="398">
        <f t="shared" ref="B696:C696" si="702">($A696-B$9)/365.25</f>
        <v>115.62217659137578</v>
      </c>
      <c r="C696" s="398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3254.2644699519233</v>
      </c>
      <c r="H696" s="25">
        <f>IF(B696&lt;62,0,'Combined Retirement'!$I$14)</f>
        <v>2345</v>
      </c>
      <c r="I696" s="25">
        <f>IF(C696&lt;62,0,'Combined Retirement'!$I$13)</f>
        <v>2420</v>
      </c>
      <c r="J696" s="25">
        <f t="shared" si="523"/>
        <v>7896.2379798201846</v>
      </c>
      <c r="K696" s="25">
        <f t="shared" si="524"/>
        <v>20367.195264578786</v>
      </c>
      <c r="L696" s="25"/>
      <c r="N696" s="25">
        <f>'Combined Retirement'!$C$18/12</f>
        <v>39153.069999999992</v>
      </c>
      <c r="O696" s="25">
        <f t="shared" si="525"/>
        <v>10889.636755601023</v>
      </c>
      <c r="P696" s="25">
        <f t="shared" si="526"/>
        <v>28263.43324439897</v>
      </c>
      <c r="Q696" s="25">
        <f t="array" aca="1" ref="Q696" ca="1">INDEX('Isaac 401k'!L:L,MATCH('Retirement Calculator'!A696,'Isaac 401k'!N:N,0),0)</f>
        <v>1188911.3342422454</v>
      </c>
      <c r="R696" s="25">
        <f t="array" aca="1" ref="R696" ca="1">INDEX('Lorri 401b'!L:L,MATCH('Retirement Calculator'!A696,'Lorri 401b'!N:N,0),0)</f>
        <v>-1654901.7031960275</v>
      </c>
      <c r="S696" s="25">
        <f t="shared" ca="1" si="527"/>
        <v>-465990.36895378213</v>
      </c>
    </row>
    <row r="697" spans="1:19" ht="15.75" customHeight="1" x14ac:dyDescent="0.3">
      <c r="A697" s="37">
        <v>72168</v>
      </c>
      <c r="B697" s="398">
        <f t="shared" ref="B697:C697" si="703">($A697-B$9)/365.25</f>
        <v>115.70704996577686</v>
      </c>
      <c r="C697" s="398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3254.2644699519233</v>
      </c>
      <c r="H697" s="25">
        <f>IF(B697&lt;62,0,'Combined Retirement'!$I$14)</f>
        <v>2345</v>
      </c>
      <c r="I697" s="25">
        <f>IF(C697&lt;62,0,'Combined Retirement'!$I$13)</f>
        <v>2420</v>
      </c>
      <c r="J697" s="25">
        <f t="shared" si="523"/>
        <v>7896.2379798201846</v>
      </c>
      <c r="K697" s="25">
        <f t="shared" si="524"/>
        <v>20367.195264578786</v>
      </c>
      <c r="L697" s="25"/>
      <c r="N697" s="25">
        <f>'Combined Retirement'!$C$18/12</f>
        <v>39153.069999999992</v>
      </c>
      <c r="O697" s="25">
        <f t="shared" si="525"/>
        <v>10889.636755601023</v>
      </c>
      <c r="P697" s="25">
        <f t="shared" si="526"/>
        <v>28263.43324439897</v>
      </c>
      <c r="Q697" s="25">
        <f t="array" aca="1" ref="Q697" ca="1">INDEX('Isaac 401k'!L:L,MATCH('Retirement Calculator'!A697,'Isaac 401k'!N:N,0),0)</f>
        <v>1185935.9924968521</v>
      </c>
      <c r="R697" s="25">
        <f t="array" aca="1" ref="R697" ca="1">INDEX('Lorri 401b'!L:L,MATCH('Retirement Calculator'!A697,'Lorri 401b'!N:N,0),0)</f>
        <v>-1682249.1855375255</v>
      </c>
      <c r="S697" s="25">
        <f t="shared" ca="1" si="527"/>
        <v>-496313.19304067339</v>
      </c>
    </row>
    <row r="698" spans="1:19" ht="15.75" customHeight="1" x14ac:dyDescent="0.3">
      <c r="A698" s="37">
        <v>72199</v>
      </c>
      <c r="B698" s="398">
        <f t="shared" ref="B698:C698" si="704">($A698-B$9)/365.25</f>
        <v>115.79192334017796</v>
      </c>
      <c r="C698" s="398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3254.2644699519233</v>
      </c>
      <c r="H698" s="25">
        <f>IF(B698&lt;62,0,'Combined Retirement'!$I$14)</f>
        <v>2345</v>
      </c>
      <c r="I698" s="25">
        <f>IF(C698&lt;62,0,'Combined Retirement'!$I$13)</f>
        <v>2420</v>
      </c>
      <c r="J698" s="25">
        <f t="shared" si="523"/>
        <v>7896.2379798201846</v>
      </c>
      <c r="K698" s="25">
        <f t="shared" si="524"/>
        <v>20367.195264578786</v>
      </c>
      <c r="L698" s="25"/>
      <c r="N698" s="25">
        <f>'Combined Retirement'!$C$18/12</f>
        <v>39153.069999999992</v>
      </c>
      <c r="O698" s="25">
        <f t="shared" si="525"/>
        <v>10889.636755601023</v>
      </c>
      <c r="P698" s="25">
        <f t="shared" si="526"/>
        <v>28263.43324439897</v>
      </c>
      <c r="Q698" s="25">
        <f t="array" aca="1" ref="Q698" ca="1">INDEX('Isaac 401k'!L:L,MATCH('Retirement Calculator'!A698,'Isaac 401k'!N:N,0),0)</f>
        <v>1182948.2534941861</v>
      </c>
      <c r="R698" s="25">
        <f t="array" aca="1" ref="R698" ca="1">INDEX('Lorri 401b'!L:L,MATCH('Retirement Calculator'!A698,'Lorri 401b'!N:N,0),0)</f>
        <v>-1709710.6157221131</v>
      </c>
      <c r="S698" s="25">
        <f t="shared" ca="1" si="527"/>
        <v>-526762.36222792696</v>
      </c>
    </row>
    <row r="699" spans="1:19" ht="15.75" customHeight="1" x14ac:dyDescent="0.3">
      <c r="A699" s="37">
        <v>72229</v>
      </c>
      <c r="B699" s="398">
        <f t="shared" ref="B699:C699" si="705">($A699-B$9)/365.25</f>
        <v>115.87405886379193</v>
      </c>
      <c r="C699" s="398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3254.2644699519233</v>
      </c>
      <c r="H699" s="25">
        <f>IF(B699&lt;62,0,'Combined Retirement'!$I$14)</f>
        <v>2345</v>
      </c>
      <c r="I699" s="25">
        <f>IF(C699&lt;62,0,'Combined Retirement'!$I$13)</f>
        <v>2420</v>
      </c>
      <c r="J699" s="25">
        <f t="shared" si="523"/>
        <v>7896.2379798201846</v>
      </c>
      <c r="K699" s="25">
        <f t="shared" si="524"/>
        <v>20367.195264578786</v>
      </c>
      <c r="L699" s="25"/>
      <c r="N699" s="25">
        <f>'Combined Retirement'!$C$18/12</f>
        <v>39153.069999999992</v>
      </c>
      <c r="O699" s="25">
        <f t="shared" si="525"/>
        <v>10889.636755601023</v>
      </c>
      <c r="P699" s="25">
        <f t="shared" si="526"/>
        <v>28263.43324439897</v>
      </c>
      <c r="Q699" s="25">
        <f t="array" aca="1" ref="Q699" ca="1">INDEX('Isaac 401k'!L:L,MATCH('Retirement Calculator'!A699,'Isaac 401k'!N:N,0),0)</f>
        <v>1179948.065579009</v>
      </c>
      <c r="R699" s="25">
        <f t="array" aca="1" ref="R699" ca="1">INDEX('Lorri 401b'!L:L,MATCH('Retirement Calculator'!A699,'Lorri 401b'!N:N,0),0)</f>
        <v>-1737286.4685324698</v>
      </c>
      <c r="S699" s="25">
        <f t="shared" ca="1" si="527"/>
        <v>-557338.40295346081</v>
      </c>
    </row>
    <row r="700" spans="1:19" ht="15.75" customHeight="1" x14ac:dyDescent="0.3">
      <c r="A700" s="37">
        <v>72260</v>
      </c>
      <c r="B700" s="398">
        <f t="shared" ref="B700:C700" si="706">($A700-B$9)/365.25</f>
        <v>115.95893223819301</v>
      </c>
      <c r="C700" s="398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3254.2644699519233</v>
      </c>
      <c r="H700" s="25">
        <f>IF(B700&lt;62,0,'Combined Retirement'!$I$14)</f>
        <v>2345</v>
      </c>
      <c r="I700" s="25">
        <f>IF(C700&lt;62,0,'Combined Retirement'!$I$13)</f>
        <v>2420</v>
      </c>
      <c r="J700" s="25">
        <f t="shared" si="523"/>
        <v>7896.2379798201846</v>
      </c>
      <c r="K700" s="25">
        <f t="shared" si="524"/>
        <v>20367.195264578786</v>
      </c>
      <c r="L700" s="25"/>
      <c r="N700" s="25">
        <f>'Combined Retirement'!$C$18/12</f>
        <v>39153.069999999992</v>
      </c>
      <c r="O700" s="25">
        <f t="shared" si="525"/>
        <v>10889.636755601023</v>
      </c>
      <c r="P700" s="25">
        <f t="shared" si="526"/>
        <v>28263.43324439897</v>
      </c>
      <c r="Q700" s="25">
        <f t="array" aca="1" ref="Q700" ca="1">INDEX('Isaac 401k'!L:L,MATCH('Retirement Calculator'!A700,'Isaac 401k'!N:N,0),0)</f>
        <v>1176935.376880852</v>
      </c>
      <c r="R700" s="25">
        <f t="array" aca="1" ref="R700" ca="1">INDEX('Lorri 401b'!L:L,MATCH('Retirement Calculator'!A700,'Lorri 401b'!N:N,0),0)</f>
        <v>-1764977.2207295364</v>
      </c>
      <c r="S700" s="25">
        <f t="shared" ca="1" si="527"/>
        <v>-588041.84384868434</v>
      </c>
    </row>
    <row r="701" spans="1:19" ht="15.75" customHeight="1" x14ac:dyDescent="0.3">
      <c r="A701" s="37">
        <v>72290</v>
      </c>
      <c r="B701" s="398">
        <f t="shared" ref="B701:C701" si="707">($A701-B$9)/365.25</f>
        <v>116.04106776180699</v>
      </c>
      <c r="C701" s="398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3254.2644699519233</v>
      </c>
      <c r="H701" s="25">
        <f>IF(B701&lt;62,0,'Combined Retirement'!$I$14)</f>
        <v>2345</v>
      </c>
      <c r="I701" s="25">
        <f>IF(C701&lt;62,0,'Combined Retirement'!$I$13)</f>
        <v>2420</v>
      </c>
      <c r="J701" s="25">
        <f t="shared" si="523"/>
        <v>7896.2379798201846</v>
      </c>
      <c r="K701" s="25">
        <f t="shared" si="524"/>
        <v>20367.195264578786</v>
      </c>
      <c r="L701" s="25"/>
      <c r="N701" s="25">
        <f>'Combined Retirement'!$C$18/12</f>
        <v>39153.069999999992</v>
      </c>
      <c r="O701" s="25">
        <f t="shared" si="525"/>
        <v>10889.636755601023</v>
      </c>
      <c r="P701" s="25">
        <f t="shared" si="526"/>
        <v>28263.43324439897</v>
      </c>
      <c r="Q701" s="25">
        <f t="array" aca="1" ref="Q701" ca="1">INDEX('Isaac 401k'!L:L,MATCH('Retirement Calculator'!A701,'Isaac 401k'!N:N,0),0)</f>
        <v>1173910.1353131195</v>
      </c>
      <c r="R701" s="25">
        <f t="array" aca="1" ref="R701" ca="1">INDEX('Lorri 401b'!L:L,MATCH('Retirement Calculator'!A701,'Lorri 401b'!N:N,0),0)</f>
        <v>-1792783.3510607574</v>
      </c>
      <c r="S701" s="25">
        <f t="shared" ca="1" si="527"/>
        <v>-618873.21574763791</v>
      </c>
    </row>
    <row r="702" spans="1:19" ht="15.75" customHeight="1" x14ac:dyDescent="0.3">
      <c r="A702" s="37">
        <v>72321</v>
      </c>
      <c r="B702" s="398">
        <f t="shared" ref="B702:C702" si="708">($A702-B$9)/365.25</f>
        <v>116.12594113620807</v>
      </c>
      <c r="C702" s="398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3254.2644699519233</v>
      </c>
      <c r="H702" s="25">
        <f>IF(B702&lt;62,0,'Combined Retirement'!$I$14)</f>
        <v>2345</v>
      </c>
      <c r="I702" s="25">
        <f>IF(C702&lt;62,0,'Combined Retirement'!$I$13)</f>
        <v>2420</v>
      </c>
      <c r="J702" s="25">
        <f t="shared" si="523"/>
        <v>7896.2379798201846</v>
      </c>
      <c r="K702" s="25">
        <f t="shared" si="524"/>
        <v>20367.195264578786</v>
      </c>
      <c r="L702" s="25"/>
      <c r="N702" s="25">
        <f>'Combined Retirement'!$C$18/12</f>
        <v>39153.069999999992</v>
      </c>
      <c r="O702" s="25">
        <f t="shared" si="525"/>
        <v>10889.636755601023</v>
      </c>
      <c r="P702" s="25">
        <f t="shared" si="526"/>
        <v>28263.43324439897</v>
      </c>
      <c r="Q702" s="25">
        <f t="array" aca="1" ref="Q702" ca="1">INDEX('Isaac 401k'!L:L,MATCH('Retirement Calculator'!A702,'Isaac 401k'!N:N,0),0)</f>
        <v>1170872.288572188</v>
      </c>
      <c r="R702" s="25">
        <f t="array" aca="1" ref="R702" ca="1">INDEX('Lorri 401b'!L:L,MATCH('Retirement Calculator'!A702,'Lorri 401b'!N:N,0),0)</f>
        <v>-1820705.3402683584</v>
      </c>
      <c r="S702" s="25">
        <f t="shared" ca="1" si="527"/>
        <v>-649833.05169617035</v>
      </c>
    </row>
    <row r="703" spans="1:19" ht="15.75" customHeight="1" x14ac:dyDescent="0.3">
      <c r="A703" s="37">
        <v>72352</v>
      </c>
      <c r="B703" s="398">
        <f t="shared" ref="B703:C703" si="709">($A703-B$9)/365.25</f>
        <v>116.21081451060917</v>
      </c>
      <c r="C703" s="398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3254.2644699519233</v>
      </c>
      <c r="H703" s="25">
        <f>IF(B703&lt;62,0,'Combined Retirement'!$I$14)</f>
        <v>2345</v>
      </c>
      <c r="I703" s="25">
        <f>IF(C703&lt;62,0,'Combined Retirement'!$I$13)</f>
        <v>2420</v>
      </c>
      <c r="J703" s="25">
        <f t="shared" si="523"/>
        <v>7896.2379798201846</v>
      </c>
      <c r="K703" s="25">
        <f t="shared" si="524"/>
        <v>20367.195264578786</v>
      </c>
      <c r="L703" s="25"/>
      <c r="N703" s="25">
        <f>'Combined Retirement'!$C$18/12</f>
        <v>39153.069999999992</v>
      </c>
      <c r="O703" s="25">
        <f t="shared" si="525"/>
        <v>10889.636755601023</v>
      </c>
      <c r="P703" s="25">
        <f t="shared" si="526"/>
        <v>28263.43324439897</v>
      </c>
      <c r="Q703" s="25">
        <f t="array" aca="1" ref="Q703" ca="1">INDEX('Isaac 401k'!L:L,MATCH('Retirement Calculator'!A703,'Isaac 401k'!N:N,0),0)</f>
        <v>1167821.7841365025</v>
      </c>
      <c r="R703" s="25">
        <f t="array" aca="1" ref="R703" ca="1">INDEX('Lorri 401b'!L:L,MATCH('Retirement Calculator'!A703,'Lorri 401b'!N:N,0),0)</f>
        <v>-1848743.6710976576</v>
      </c>
      <c r="S703" s="25">
        <f t="shared" ca="1" si="527"/>
        <v>-680921.88696115511</v>
      </c>
    </row>
    <row r="704" spans="1:19" ht="15.75" customHeight="1" x14ac:dyDescent="0.3">
      <c r="A704" s="37">
        <v>72380</v>
      </c>
      <c r="B704" s="398">
        <f t="shared" ref="B704:C704" si="710">($A704-B$9)/365.25</f>
        <v>116.28747433264887</v>
      </c>
      <c r="C704" s="398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3254.2644699519233</v>
      </c>
      <c r="H704" s="25">
        <f>IF(B704&lt;62,0,'Combined Retirement'!$I$14)</f>
        <v>2345</v>
      </c>
      <c r="I704" s="25">
        <f>IF(C704&lt;62,0,'Combined Retirement'!$I$13)</f>
        <v>2420</v>
      </c>
      <c r="J704" s="25">
        <f t="shared" si="523"/>
        <v>7896.2379798201846</v>
      </c>
      <c r="K704" s="25">
        <f t="shared" si="524"/>
        <v>20367.195264578786</v>
      </c>
      <c r="L704" s="25"/>
      <c r="N704" s="25">
        <f>'Combined Retirement'!$C$18/12</f>
        <v>39153.069999999992</v>
      </c>
      <c r="O704" s="25">
        <f t="shared" si="525"/>
        <v>10889.636755601023</v>
      </c>
      <c r="P704" s="25">
        <f t="shared" si="526"/>
        <v>28263.43324439897</v>
      </c>
      <c r="Q704" s="25">
        <f t="array" aca="1" ref="Q704" ca="1">INDEX('Isaac 401k'!L:L,MATCH('Retirement Calculator'!A704,'Isaac 401k'!N:N,0),0)</f>
        <v>1164758.5692656685</v>
      </c>
      <c r="R704" s="25">
        <f t="array" aca="1" ref="R704" ca="1">INDEX('Lorri 401b'!L:L,MATCH('Retirement Calculator'!A704,'Lorri 401b'!N:N,0),0)</f>
        <v>-1876898.8283054123</v>
      </c>
      <c r="S704" s="25">
        <f t="shared" ca="1" si="527"/>
        <v>-712140.2590397438</v>
      </c>
    </row>
    <row r="705" spans="1:19" ht="15.75" customHeight="1" x14ac:dyDescent="0.3">
      <c r="A705" s="37">
        <v>72411</v>
      </c>
      <c r="B705" s="398">
        <f t="shared" ref="B705:C705" si="711">($A705-B$9)/365.25</f>
        <v>116.37234770704997</v>
      </c>
      <c r="C705" s="398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3254.2644699519233</v>
      </c>
      <c r="H705" s="25">
        <f>IF(B705&lt;62,0,'Combined Retirement'!$I$14)</f>
        <v>2345</v>
      </c>
      <c r="I705" s="25">
        <f>IF(C705&lt;62,0,'Combined Retirement'!$I$13)</f>
        <v>2420</v>
      </c>
      <c r="J705" s="25">
        <f t="shared" si="523"/>
        <v>7896.2379798201846</v>
      </c>
      <c r="K705" s="25">
        <f t="shared" si="524"/>
        <v>20367.195264578786</v>
      </c>
      <c r="L705" s="25"/>
      <c r="N705" s="25">
        <f>'Combined Retirement'!$C$18/12</f>
        <v>39153.069999999992</v>
      </c>
      <c r="O705" s="25">
        <f t="shared" si="525"/>
        <v>10889.636755601023</v>
      </c>
      <c r="P705" s="25">
        <f t="shared" si="526"/>
        <v>28263.43324439897</v>
      </c>
      <c r="Q705" s="25">
        <f t="array" aca="1" ref="Q705" ca="1">INDEX('Isaac 401k'!L:L,MATCH('Retirement Calculator'!A705,'Isaac 401k'!N:N,0),0)</f>
        <v>1161682.5909995392</v>
      </c>
      <c r="R705" s="25">
        <f t="array" aca="1" ref="R705" ca="1">INDEX('Lorri 401b'!L:L,MATCH('Retirement Calculator'!A705,'Lorri 401b'!N:N,0),0)</f>
        <v>-1905171.2986681995</v>
      </c>
      <c r="S705" s="25">
        <f t="shared" ca="1" si="527"/>
        <v>-743488.70766866021</v>
      </c>
    </row>
    <row r="706" spans="1:19" ht="15.75" customHeight="1" x14ac:dyDescent="0.3">
      <c r="A706" s="37">
        <v>72441</v>
      </c>
      <c r="B706" s="398">
        <f t="shared" ref="B706:C706" si="712">($A706-B$9)/365.25</f>
        <v>116.45448323066393</v>
      </c>
      <c r="C706" s="398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3254.2644699519233</v>
      </c>
      <c r="H706" s="25">
        <f>IF(B706&lt;62,0,'Combined Retirement'!$I$14)</f>
        <v>2345</v>
      </c>
      <c r="I706" s="25">
        <f>IF(C706&lt;62,0,'Combined Retirement'!$I$13)</f>
        <v>2420</v>
      </c>
      <c r="J706" s="25">
        <f t="shared" si="523"/>
        <v>7896.2379798201846</v>
      </c>
      <c r="K706" s="25">
        <f t="shared" si="524"/>
        <v>20367.195264578786</v>
      </c>
      <c r="L706" s="25"/>
      <c r="N706" s="25">
        <f>'Combined Retirement'!$C$18/12</f>
        <v>39153.069999999992</v>
      </c>
      <c r="O706" s="25">
        <f t="shared" si="525"/>
        <v>10889.636755601023</v>
      </c>
      <c r="P706" s="25">
        <f t="shared" si="526"/>
        <v>28263.43324439897</v>
      </c>
      <c r="Q706" s="25">
        <f t="array" aca="1" ref="Q706" ca="1">INDEX('Isaac 401k'!L:L,MATCH('Retirement Calculator'!A706,'Isaac 401k'!N:N,0),0)</f>
        <v>1158593.7961573012</v>
      </c>
      <c r="R706" s="25">
        <f t="array" aca="1" ref="R706" ca="1">INDEX('Lorri 401b'!L:L,MATCH('Retirement Calculator'!A706,'Lorri 401b'!N:N,0),0)</f>
        <v>-1933561.5709908316</v>
      </c>
      <c r="S706" s="25">
        <f t="shared" ca="1" si="527"/>
        <v>-774967.77483353042</v>
      </c>
    </row>
    <row r="707" spans="1:19" ht="15.75" customHeight="1" x14ac:dyDescent="0.3">
      <c r="A707" s="37">
        <v>72472</v>
      </c>
      <c r="B707" s="398">
        <f t="shared" ref="B707:C707" si="713">($A707-B$9)/365.25</f>
        <v>116.53935660506502</v>
      </c>
      <c r="C707" s="398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3254.2644699519233</v>
      </c>
      <c r="H707" s="25">
        <f>IF(B707&lt;62,0,'Combined Retirement'!$I$14)</f>
        <v>2345</v>
      </c>
      <c r="I707" s="25">
        <f>IF(C707&lt;62,0,'Combined Retirement'!$I$13)</f>
        <v>2420</v>
      </c>
      <c r="J707" s="25">
        <f t="shared" si="523"/>
        <v>7896.2379798201846</v>
      </c>
      <c r="K707" s="25">
        <f t="shared" si="524"/>
        <v>20367.195264578786</v>
      </c>
      <c r="L707" s="25"/>
      <c r="N707" s="25">
        <f>'Combined Retirement'!$C$18/12</f>
        <v>39153.069999999992</v>
      </c>
      <c r="O707" s="25">
        <f t="shared" si="525"/>
        <v>10889.636755601023</v>
      </c>
      <c r="P707" s="25">
        <f t="shared" si="526"/>
        <v>28263.43324439897</v>
      </c>
      <c r="Q707" s="25">
        <f t="array" aca="1" ref="Q707" ca="1">INDEX('Isaac 401k'!L:L,MATCH('Retirement Calculator'!A707,'Isaac 401k'!N:N,0),0)</f>
        <v>1155492.1313365537</v>
      </c>
      <c r="R707" s="25">
        <f t="array" aca="1" ref="R707" ca="1">INDEX('Lorri 401b'!L:L,MATCH('Retirement Calculator'!A707,'Lorri 401b'!N:N,0),0)</f>
        <v>-1962070.136114808</v>
      </c>
      <c r="S707" s="25">
        <f t="shared" ca="1" si="527"/>
        <v>-806578.00477825431</v>
      </c>
    </row>
    <row r="708" spans="1:19" ht="15.75" customHeight="1" x14ac:dyDescent="0.3">
      <c r="A708" s="37">
        <v>72502</v>
      </c>
      <c r="B708" s="398">
        <f t="shared" ref="B708:C708" si="714">($A708-B$9)/365.25</f>
        <v>116.62149212867898</v>
      </c>
      <c r="C708" s="398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3254.2644699519233</v>
      </c>
      <c r="H708" s="25">
        <f>IF(B708&lt;62,0,'Combined Retirement'!$I$14)</f>
        <v>2345</v>
      </c>
      <c r="I708" s="25">
        <f>IF(C708&lt;62,0,'Combined Retirement'!$I$13)</f>
        <v>2420</v>
      </c>
      <c r="J708" s="25">
        <f t="shared" si="523"/>
        <v>7896.2379798201846</v>
      </c>
      <c r="K708" s="25">
        <f t="shared" si="524"/>
        <v>20367.195264578786</v>
      </c>
      <c r="L708" s="25"/>
      <c r="N708" s="25">
        <f>'Combined Retirement'!$C$18/12</f>
        <v>39153.069999999992</v>
      </c>
      <c r="O708" s="25">
        <f t="shared" si="525"/>
        <v>10889.636755601023</v>
      </c>
      <c r="P708" s="25">
        <f t="shared" si="526"/>
        <v>28263.43324439897</v>
      </c>
      <c r="Q708" s="25">
        <f t="array" aca="1" ref="Q708" ca="1">INDEX('Isaac 401k'!L:L,MATCH('Retirement Calculator'!A708,'Isaac 401k'!N:N,0),0)</f>
        <v>1152377.5429123866</v>
      </c>
      <c r="R708" s="25">
        <f t="array" aca="1" ref="R708" ca="1">INDEX('Lorri 401b'!L:L,MATCH('Retirement Calculator'!A708,'Lorri 401b'!N:N,0),0)</f>
        <v>-1990697.486926801</v>
      </c>
      <c r="S708" s="25">
        <f t="shared" ca="1" si="527"/>
        <v>-838319.94401441445</v>
      </c>
    </row>
    <row r="709" spans="1:19" ht="15.75" customHeight="1" x14ac:dyDescent="0.3">
      <c r="A709" s="37">
        <v>72533</v>
      </c>
      <c r="B709" s="398">
        <f t="shared" ref="B709:C709" si="715">($A709-B$9)/365.25</f>
        <v>116.70636550308008</v>
      </c>
      <c r="C709" s="398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3254.2644699519233</v>
      </c>
      <c r="H709" s="25">
        <f>IF(B709&lt;62,0,'Combined Retirement'!$I$14)</f>
        <v>2345</v>
      </c>
      <c r="I709" s="25">
        <f>IF(C709&lt;62,0,'Combined Retirement'!$I$13)</f>
        <v>2420</v>
      </c>
      <c r="J709" s="25">
        <f t="shared" si="523"/>
        <v>7896.2379798201846</v>
      </c>
      <c r="K709" s="25">
        <f t="shared" si="524"/>
        <v>20367.195264578786</v>
      </c>
      <c r="L709" s="25"/>
      <c r="N709" s="25">
        <f>'Combined Retirement'!$C$18/12</f>
        <v>39153.069999999992</v>
      </c>
      <c r="O709" s="25">
        <f t="shared" si="525"/>
        <v>10889.636755601023</v>
      </c>
      <c r="P709" s="25">
        <f t="shared" si="526"/>
        <v>28263.43324439897</v>
      </c>
      <c r="Q709" s="25">
        <f t="array" aca="1" ref="Q709" ca="1">INDEX('Isaac 401k'!L:L,MATCH('Retirement Calculator'!A709,'Isaac 401k'!N:N,0),0)</f>
        <v>1149249.9770364522</v>
      </c>
      <c r="R709" s="25">
        <f t="array" aca="1" ref="R709" ca="1">INDEX('Lorri 401b'!L:L,MATCH('Retirement Calculator'!A709,'Lorri 401b'!N:N,0),0)</f>
        <v>-2019444.1183671772</v>
      </c>
      <c r="S709" s="25">
        <f t="shared" ca="1" si="527"/>
        <v>-870194.14133072505</v>
      </c>
    </row>
    <row r="710" spans="1:19" ht="15.75" customHeight="1" x14ac:dyDescent="0.3">
      <c r="A710" s="37">
        <v>72564</v>
      </c>
      <c r="B710" s="398">
        <f t="shared" ref="B710:C710" si="716">($A710-B$9)/365.25</f>
        <v>116.79123887748118</v>
      </c>
      <c r="C710" s="398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3254.2644699519233</v>
      </c>
      <c r="H710" s="25">
        <f>IF(B710&lt;62,0,'Combined Retirement'!$I$14)</f>
        <v>2345</v>
      </c>
      <c r="I710" s="25">
        <f>IF(C710&lt;62,0,'Combined Retirement'!$I$13)</f>
        <v>2420</v>
      </c>
      <c r="J710" s="25">
        <f t="shared" si="523"/>
        <v>7896.2379798201846</v>
      </c>
      <c r="K710" s="25">
        <f t="shared" si="524"/>
        <v>20367.195264578786</v>
      </c>
      <c r="L710" s="25"/>
      <c r="N710" s="25">
        <f>'Combined Retirement'!$C$18/12</f>
        <v>39153.069999999992</v>
      </c>
      <c r="O710" s="25">
        <f t="shared" si="525"/>
        <v>10889.636755601023</v>
      </c>
      <c r="P710" s="25">
        <f t="shared" si="526"/>
        <v>28263.43324439897</v>
      </c>
      <c r="Q710" s="25">
        <f t="array" aca="1" ref="Q710" ca="1">INDEX('Isaac 401k'!L:L,MATCH('Retirement Calculator'!A710,'Isaac 401k'!N:N,0),0)</f>
        <v>1146109.3796360346</v>
      </c>
      <c r="R710" s="25">
        <f t="array" aca="1" ref="R710" ca="1">INDEX('Lorri 401b'!L:L,MATCH('Retirement Calculator'!A710,'Lorri 401b'!N:N,0),0)</f>
        <v>-2048310.5274385549</v>
      </c>
      <c r="S710" s="25">
        <f t="shared" ca="1" si="527"/>
        <v>-902201.14780252031</v>
      </c>
    </row>
    <row r="711" spans="1:19" ht="15.75" customHeight="1" x14ac:dyDescent="0.3">
      <c r="A711" s="37">
        <v>72594</v>
      </c>
      <c r="B711" s="398">
        <f t="shared" ref="B711:C711" si="717">($A711-B$9)/365.25</f>
        <v>116.87337440109513</v>
      </c>
      <c r="C711" s="398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3254.2644699519233</v>
      </c>
      <c r="H711" s="25">
        <f>IF(B711&lt;62,0,'Combined Retirement'!$I$14)</f>
        <v>2345</v>
      </c>
      <c r="I711" s="25">
        <f>IF(C711&lt;62,0,'Combined Retirement'!$I$13)</f>
        <v>2420</v>
      </c>
      <c r="J711" s="25">
        <f t="shared" si="523"/>
        <v>7896.2379798201846</v>
      </c>
      <c r="K711" s="25">
        <f t="shared" si="524"/>
        <v>20367.195264578786</v>
      </c>
      <c r="L711" s="25"/>
      <c r="N711" s="25">
        <f>'Combined Retirement'!$C$18/12</f>
        <v>39153.069999999992</v>
      </c>
      <c r="O711" s="25">
        <f t="shared" si="525"/>
        <v>10889.636755601023</v>
      </c>
      <c r="P711" s="25">
        <f t="shared" si="526"/>
        <v>28263.43324439897</v>
      </c>
      <c r="Q711" s="25">
        <f t="array" aca="1" ref="Q711" ca="1">INDEX('Isaac 401k'!L:L,MATCH('Retirement Calculator'!A711,'Isaac 401k'!N:N,0),0)</f>
        <v>1142955.6964131154</v>
      </c>
      <c r="R711" s="25">
        <f t="array" aca="1" ref="R711" ca="1">INDEX('Lorri 401b'!L:L,MATCH('Retirement Calculator'!A711,'Lorri 401b'!N:N,0),0)</f>
        <v>-2077297.2132143967</v>
      </c>
      <c r="S711" s="25">
        <f t="shared" ca="1" si="527"/>
        <v>-934341.51680128137</v>
      </c>
    </row>
    <row r="712" spans="1:19" ht="15.75" customHeight="1" x14ac:dyDescent="0.3">
      <c r="A712" s="37">
        <v>72625</v>
      </c>
      <c r="B712" s="398">
        <f t="shared" ref="B712:C712" si="718">($A712-B$9)/365.25</f>
        <v>116.95824777549623</v>
      </c>
      <c r="C712" s="398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3254.2644699519233</v>
      </c>
      <c r="H712" s="25">
        <f>IF(B712&lt;62,0,'Combined Retirement'!$I$14)</f>
        <v>2345</v>
      </c>
      <c r="I712" s="25">
        <f>IF(C712&lt;62,0,'Combined Retirement'!$I$13)</f>
        <v>2420</v>
      </c>
      <c r="J712" s="25">
        <f t="shared" si="523"/>
        <v>7896.2379798201846</v>
      </c>
      <c r="K712" s="25">
        <f t="shared" si="524"/>
        <v>20367.195264578786</v>
      </c>
      <c r="L712" s="25"/>
      <c r="N712" s="25">
        <f>'Combined Retirement'!$C$18/12</f>
        <v>39153.069999999992</v>
      </c>
      <c r="O712" s="25">
        <f t="shared" si="525"/>
        <v>10889.636755601023</v>
      </c>
      <c r="P712" s="25">
        <f t="shared" si="526"/>
        <v>28263.43324439897</v>
      </c>
      <c r="Q712" s="25">
        <f t="array" aca="1" ref="Q712" ca="1">INDEX('Isaac 401k'!L:L,MATCH('Retirement Calculator'!A712,'Isaac 401k'!N:N,0),0)</f>
        <v>1139788.8728434339</v>
      </c>
      <c r="R712" s="25">
        <f t="array" aca="1" ref="R712" ca="1">INDEX('Lorri 401b'!L:L,MATCH('Retirement Calculator'!A712,'Lorri 401b'!N:N,0),0)</f>
        <v>-2106404.6768476376</v>
      </c>
      <c r="S712" s="25">
        <f t="shared" ca="1" si="527"/>
        <v>-966615.80400420376</v>
      </c>
    </row>
    <row r="713" spans="1:19" ht="15.75" customHeight="1" x14ac:dyDescent="0.3">
      <c r="A713" s="37">
        <v>72655</v>
      </c>
      <c r="B713" s="398">
        <f t="shared" ref="B713:C713" si="719">($A713-B$9)/365.25</f>
        <v>117.0403832991102</v>
      </c>
      <c r="C713" s="398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3254.2644699519233</v>
      </c>
      <c r="H713" s="25">
        <f>IF(B713&lt;62,0,'Combined Retirement'!$I$14)</f>
        <v>2345</v>
      </c>
      <c r="I713" s="25">
        <f>IF(C713&lt;62,0,'Combined Retirement'!$I$13)</f>
        <v>2420</v>
      </c>
      <c r="J713" s="25">
        <f t="shared" si="523"/>
        <v>7896.2379798201846</v>
      </c>
      <c r="K713" s="25">
        <f t="shared" si="524"/>
        <v>20367.195264578786</v>
      </c>
      <c r="L713" s="25"/>
      <c r="N713" s="25">
        <f>'Combined Retirement'!$C$18/12</f>
        <v>39153.069999999992</v>
      </c>
      <c r="O713" s="25">
        <f t="shared" si="525"/>
        <v>10889.636755601023</v>
      </c>
      <c r="P713" s="25">
        <f t="shared" si="526"/>
        <v>28263.43324439897</v>
      </c>
      <c r="Q713" s="25">
        <f t="array" aca="1" ref="Q713" ca="1">INDEX('Isaac 401k'!L:L,MATCH('Retirement Calculator'!A713,'Isaac 401k'!N:N,0),0)</f>
        <v>1136608.8541755453</v>
      </c>
      <c r="R713" s="25">
        <f t="array" aca="1" ref="R713" ca="1">INDEX('Lorri 401b'!L:L,MATCH('Retirement Calculator'!A713,'Lorri 401b'!N:N,0),0)</f>
        <v>-2135633.4215793507</v>
      </c>
      <c r="S713" s="25">
        <f t="shared" ca="1" si="527"/>
        <v>-999024.56740380544</v>
      </c>
    </row>
    <row r="714" spans="1:19" ht="15.75" customHeight="1" x14ac:dyDescent="0.3">
      <c r="A714" s="37">
        <v>72686</v>
      </c>
      <c r="B714" s="398">
        <f t="shared" ref="B714:C714" si="720">($A714-B$9)/365.25</f>
        <v>117.12525667351129</v>
      </c>
      <c r="C714" s="398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3254.2644699519233</v>
      </c>
      <c r="H714" s="25">
        <f>IF(B714&lt;62,0,'Combined Retirement'!$I$14)</f>
        <v>2345</v>
      </c>
      <c r="I714" s="25">
        <f>IF(C714&lt;62,0,'Combined Retirement'!$I$13)</f>
        <v>2420</v>
      </c>
      <c r="J714" s="25">
        <f t="shared" si="523"/>
        <v>7896.2379798201846</v>
      </c>
      <c r="K714" s="25">
        <f t="shared" si="524"/>
        <v>20367.195264578786</v>
      </c>
      <c r="L714" s="25"/>
      <c r="N714" s="25">
        <f>'Combined Retirement'!$C$18/12</f>
        <v>39153.069999999992</v>
      </c>
      <c r="O714" s="25">
        <f t="shared" si="525"/>
        <v>10889.636755601023</v>
      </c>
      <c r="P714" s="25">
        <f t="shared" si="526"/>
        <v>28263.43324439897</v>
      </c>
      <c r="Q714" s="25">
        <f t="array" aca="1" ref="Q714" ca="1">INDEX('Isaac 401k'!L:L,MATCH('Retirement Calculator'!A714,'Isaac 401k'!N:N,0),0)</f>
        <v>1133415.5854298738</v>
      </c>
      <c r="R714" s="25">
        <f t="array" aca="1" ref="R714" ca="1">INDEX('Lorri 401b'!L:L,MATCH('Retirement Calculator'!A714,'Lorri 401b'!N:N,0),0)</f>
        <v>-2164983.952747446</v>
      </c>
      <c r="S714" s="25">
        <f t="shared" ca="1" si="527"/>
        <v>-1031568.3673175722</v>
      </c>
    </row>
    <row r="715" spans="1:19" ht="15.75" customHeight="1" x14ac:dyDescent="0.3">
      <c r="A715" s="37">
        <v>72717</v>
      </c>
      <c r="B715" s="398">
        <f t="shared" ref="B715:C715" si="721">($A715-B$9)/365.25</f>
        <v>117.21013004791239</v>
      </c>
      <c r="C715" s="398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3254.2644699519233</v>
      </c>
      <c r="H715" s="25">
        <f>IF(B715&lt;62,0,'Combined Retirement'!$I$14)</f>
        <v>2345</v>
      </c>
      <c r="I715" s="25">
        <f>IF(C715&lt;62,0,'Combined Retirement'!$I$13)</f>
        <v>2420</v>
      </c>
      <c r="J715" s="25">
        <f t="shared" si="523"/>
        <v>7896.2379798201846</v>
      </c>
      <c r="K715" s="25">
        <f t="shared" si="524"/>
        <v>20367.195264578786</v>
      </c>
      <c r="L715" s="25"/>
      <c r="N715" s="25">
        <f>'Combined Retirement'!$C$18/12</f>
        <v>39153.069999999992</v>
      </c>
      <c r="O715" s="25">
        <f t="shared" si="525"/>
        <v>10889.636755601023</v>
      </c>
      <c r="P715" s="25">
        <f t="shared" si="526"/>
        <v>28263.43324439897</v>
      </c>
      <c r="Q715" s="25">
        <f t="array" aca="1" ref="Q715" ca="1">INDEX('Isaac 401k'!L:L,MATCH('Retirement Calculator'!A715,'Isaac 401k'!N:N,0),0)</f>
        <v>1130209.0113977622</v>
      </c>
      <c r="R715" s="25">
        <f t="array" aca="1" ref="R715" ca="1">INDEX('Lorri 401b'!L:L,MATCH('Retirement Calculator'!A715,'Lorri 401b'!N:N,0),0)</f>
        <v>-2194456.7777954084</v>
      </c>
      <c r="S715" s="25">
        <f t="shared" ca="1" si="527"/>
        <v>-1064247.7663976462</v>
      </c>
    </row>
    <row r="716" spans="1:19" ht="15.75" customHeight="1" x14ac:dyDescent="0.3">
      <c r="A716" s="37">
        <v>72745</v>
      </c>
      <c r="B716" s="398">
        <f t="shared" ref="B716:C716" si="722">($A716-B$9)/365.25</f>
        <v>117.28678986995209</v>
      </c>
      <c r="C716" s="398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3254.2644699519233</v>
      </c>
      <c r="H716" s="25">
        <f>IF(B716&lt;62,0,'Combined Retirement'!$I$14)</f>
        <v>2345</v>
      </c>
      <c r="I716" s="25">
        <f>IF(C716&lt;62,0,'Combined Retirement'!$I$13)</f>
        <v>2420</v>
      </c>
      <c r="J716" s="25">
        <f t="shared" si="523"/>
        <v>7896.2379798201846</v>
      </c>
      <c r="K716" s="25">
        <f t="shared" si="524"/>
        <v>20367.195264578786</v>
      </c>
      <c r="L716" s="25"/>
      <c r="N716" s="25">
        <f>'Combined Retirement'!$C$18/12</f>
        <v>39153.069999999992</v>
      </c>
      <c r="O716" s="25">
        <f t="shared" si="525"/>
        <v>10889.636755601023</v>
      </c>
      <c r="P716" s="25">
        <f t="shared" si="526"/>
        <v>28263.43324439897</v>
      </c>
      <c r="Q716" s="25">
        <f t="array" aca="1" ref="Q716" ca="1">INDEX('Isaac 401k'!L:L,MATCH('Retirement Calculator'!A716,'Isaac 401k'!N:N,0),0)</f>
        <v>1126989.0766405168</v>
      </c>
      <c r="R716" s="25">
        <f t="array" aca="1" ref="R716" ca="1">INDEX('Lorri 401b'!L:L,MATCH('Retirement Calculator'!A716,'Lorri 401b'!N:N,0),0)</f>
        <v>-2224052.4062810703</v>
      </c>
      <c r="S716" s="25">
        <f t="shared" ca="1" si="527"/>
        <v>-1097063.3296405536</v>
      </c>
    </row>
    <row r="717" spans="1:19" ht="15.75" customHeight="1" x14ac:dyDescent="0.3">
      <c r="A717" s="37">
        <v>72776</v>
      </c>
      <c r="B717" s="398">
        <f t="shared" ref="B717:C717" si="723">($A717-B$9)/365.25</f>
        <v>117.37166324435319</v>
      </c>
      <c r="C717" s="398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3254.2644699519233</v>
      </c>
      <c r="H717" s="25">
        <f>IF(B717&lt;62,0,'Combined Retirement'!$I$14)</f>
        <v>2345</v>
      </c>
      <c r="I717" s="25">
        <f>IF(C717&lt;62,0,'Combined Retirement'!$I$13)</f>
        <v>2420</v>
      </c>
      <c r="J717" s="25">
        <f t="shared" si="523"/>
        <v>7896.2379798201846</v>
      </c>
      <c r="K717" s="25">
        <f t="shared" si="524"/>
        <v>20367.195264578786</v>
      </c>
      <c r="L717" s="25"/>
      <c r="N717" s="25">
        <f>'Combined Retirement'!$C$18/12</f>
        <v>39153.069999999992</v>
      </c>
      <c r="O717" s="25">
        <f t="shared" si="525"/>
        <v>10889.636755601023</v>
      </c>
      <c r="P717" s="25">
        <f t="shared" si="526"/>
        <v>28263.43324439897</v>
      </c>
      <c r="Q717" s="25">
        <f t="array" aca="1" ref="Q717" ca="1">INDEX('Isaac 401k'!L:L,MATCH('Retirement Calculator'!A717,'Isaac 401k'!N:N,0),0)</f>
        <v>1123755.7254884494</v>
      </c>
      <c r="R717" s="25">
        <f t="array" aca="1" ref="R717" ca="1">INDEX('Lorri 401b'!L:L,MATCH('Retirement Calculator'!A717,'Lorri 401b'!N:N,0),0)</f>
        <v>-2253771.3498854227</v>
      </c>
      <c r="S717" s="25">
        <f t="shared" ca="1" si="527"/>
        <v>-1130015.6243969733</v>
      </c>
    </row>
    <row r="718" spans="1:19" ht="15.75" customHeight="1" x14ac:dyDescent="0.3">
      <c r="A718" s="37">
        <v>72806</v>
      </c>
      <c r="B718" s="398">
        <f t="shared" ref="B718:C718" si="724">($A718-B$9)/365.25</f>
        <v>117.45379876796714</v>
      </c>
      <c r="C718" s="398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3254.2644699519233</v>
      </c>
      <c r="H718" s="25">
        <f>IF(B718&lt;62,0,'Combined Retirement'!$I$14)</f>
        <v>2345</v>
      </c>
      <c r="I718" s="25">
        <f>IF(C718&lt;62,0,'Combined Retirement'!$I$13)</f>
        <v>2420</v>
      </c>
      <c r="J718" s="25">
        <f t="shared" si="523"/>
        <v>7896.2379798201846</v>
      </c>
      <c r="K718" s="25">
        <f t="shared" si="524"/>
        <v>20367.195264578786</v>
      </c>
      <c r="L718" s="25"/>
      <c r="N718" s="25">
        <f>'Combined Retirement'!$C$18/12</f>
        <v>39153.069999999992</v>
      </c>
      <c r="O718" s="25">
        <f t="shared" si="525"/>
        <v>10889.636755601023</v>
      </c>
      <c r="P718" s="25">
        <f t="shared" si="526"/>
        <v>28263.43324439897</v>
      </c>
      <c r="Q718" s="25">
        <f t="array" aca="1" ref="Q718" ca="1">INDEX('Isaac 401k'!L:L,MATCH('Retirement Calculator'!A718,'Isaac 401k'!N:N,0),0)</f>
        <v>1120508.9020399151</v>
      </c>
      <c r="R718" s="25">
        <f t="array" aca="1" ref="R718" ca="1">INDEX('Lorri 401b'!L:L,MATCH('Retirement Calculator'!A718,'Lorri 401b'!N:N,0),0)</f>
        <v>-2283614.1224214598</v>
      </c>
      <c r="S718" s="25">
        <f t="shared" ca="1" si="527"/>
        <v>-1163105.2203815447</v>
      </c>
    </row>
    <row r="719" spans="1:19" ht="15.75" customHeight="1" x14ac:dyDescent="0.3">
      <c r="A719" s="37">
        <v>72837</v>
      </c>
      <c r="B719" s="398">
        <f t="shared" ref="B719:C719" si="725">($A719-B$9)/365.25</f>
        <v>117.53867214236824</v>
      </c>
      <c r="C719" s="398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3254.2644699519233</v>
      </c>
      <c r="H719" s="25">
        <f>IF(B719&lt;62,0,'Combined Retirement'!$I$14)</f>
        <v>2345</v>
      </c>
      <c r="I719" s="25">
        <f>IF(C719&lt;62,0,'Combined Retirement'!$I$13)</f>
        <v>2420</v>
      </c>
      <c r="J719" s="25">
        <f t="shared" si="523"/>
        <v>7896.2379798201846</v>
      </c>
      <c r="K719" s="25">
        <f t="shared" si="524"/>
        <v>20367.195264578786</v>
      </c>
      <c r="L719" s="25"/>
      <c r="N719" s="25">
        <f>'Combined Retirement'!$C$18/12</f>
        <v>39153.069999999992</v>
      </c>
      <c r="O719" s="25">
        <f t="shared" si="525"/>
        <v>10889.636755601023</v>
      </c>
      <c r="P719" s="25">
        <f t="shared" si="526"/>
        <v>28263.43324439897</v>
      </c>
      <c r="Q719" s="25">
        <f t="array" aca="1" ref="Q719" ca="1">INDEX('Isaac 401k'!L:L,MATCH('Retirement Calculator'!A719,'Isaac 401k'!N:N,0),0)</f>
        <v>1117248.5501603452</v>
      </c>
      <c r="R719" s="25">
        <f t="array" aca="1" ref="R719" ca="1">INDEX('Lorri 401b'!L:L,MATCH('Retirement Calculator'!A719,'Lorri 401b'!N:N,0),0)</f>
        <v>-2313581.2398430635</v>
      </c>
      <c r="S719" s="25">
        <f t="shared" ca="1" si="527"/>
        <v>-1196332.6896827184</v>
      </c>
    </row>
    <row r="720" spans="1:19" ht="15.75" customHeight="1" x14ac:dyDescent="0.3">
      <c r="A720" s="37">
        <v>72867</v>
      </c>
      <c r="B720" s="398">
        <f t="shared" ref="B720:C720" si="726">($A720-B$9)/365.25</f>
        <v>117.6208076659822</v>
      </c>
      <c r="C720" s="398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3254.2644699519233</v>
      </c>
      <c r="H720" s="25">
        <f>IF(B720&lt;62,0,'Combined Retirement'!$I$14)</f>
        <v>2345</v>
      </c>
      <c r="I720" s="25">
        <f>IF(C720&lt;62,0,'Combined Retirement'!$I$13)</f>
        <v>2420</v>
      </c>
      <c r="J720" s="25">
        <f t="shared" si="523"/>
        <v>7896.2379798201846</v>
      </c>
      <c r="K720" s="25">
        <f t="shared" si="524"/>
        <v>20367.195264578786</v>
      </c>
      <c r="L720" s="25"/>
      <c r="N720" s="25">
        <f>'Combined Retirement'!$C$18/12</f>
        <v>39153.069999999992</v>
      </c>
      <c r="O720" s="25">
        <f t="shared" si="525"/>
        <v>10889.636755601023</v>
      </c>
      <c r="P720" s="25">
        <f t="shared" si="526"/>
        <v>28263.43324439897</v>
      </c>
      <c r="Q720" s="25">
        <f t="array" aca="1" ref="Q720" ca="1">INDEX('Isaac 401k'!L:L,MATCH('Retirement Calculator'!A720,'Isaac 401k'!N:N,0),0)</f>
        <v>1113974.6134812771</v>
      </c>
      <c r="R720" s="25">
        <f t="array" aca="1" ref="R720" ca="1">INDEX('Lorri 401b'!L:L,MATCH('Retirement Calculator'!A720,'Lorri 401b'!N:N,0),0)</f>
        <v>-2343673.2202539244</v>
      </c>
      <c r="S720" s="25">
        <f t="shared" ca="1" si="527"/>
        <v>-1229698.6067726472</v>
      </c>
    </row>
    <row r="721" spans="1:19" ht="15.75" customHeight="1" x14ac:dyDescent="0.3">
      <c r="A721" s="37">
        <v>72898</v>
      </c>
      <c r="B721" s="398">
        <f t="shared" ref="B721:C721" si="727">($A721-B$9)/365.25</f>
        <v>117.7056810403833</v>
      </c>
      <c r="C721" s="398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3254.2644699519233</v>
      </c>
      <c r="H721" s="25">
        <f>IF(B721&lt;62,0,'Combined Retirement'!$I$14)</f>
        <v>2345</v>
      </c>
      <c r="I721" s="25">
        <f>IF(C721&lt;62,0,'Combined Retirement'!$I$13)</f>
        <v>2420</v>
      </c>
      <c r="J721" s="25">
        <f t="shared" si="523"/>
        <v>7896.2379798201846</v>
      </c>
      <c r="K721" s="25">
        <f t="shared" si="524"/>
        <v>20367.195264578786</v>
      </c>
      <c r="L721" s="25"/>
      <c r="N721" s="25">
        <f>'Combined Retirement'!$C$18/12</f>
        <v>39153.069999999992</v>
      </c>
      <c r="O721" s="25">
        <f t="shared" si="525"/>
        <v>10889.636755601023</v>
      </c>
      <c r="P721" s="25">
        <f t="shared" si="526"/>
        <v>28263.43324439897</v>
      </c>
      <c r="Q721" s="25">
        <f t="array" aca="1" ref="Q721" ca="1">INDEX('Isaac 401k'!L:L,MATCH('Retirement Calculator'!A721,'Isaac 401k'!N:N,0),0)</f>
        <v>1110687.0353993797</v>
      </c>
      <c r="R721" s="25">
        <f t="array" aca="1" ref="R721" ca="1">INDEX('Lorri 401b'!L:L,MATCH('Retirement Calculator'!A721,'Lorri 401b'!N:N,0),0)</f>
        <v>-2373890.583916497</v>
      </c>
      <c r="S721" s="25">
        <f t="shared" ca="1" si="527"/>
        <v>-1263203.5485171173</v>
      </c>
    </row>
    <row r="722" spans="1:19" ht="15.75" customHeight="1" x14ac:dyDescent="0.3">
      <c r="A722" s="37">
        <v>72929</v>
      </c>
      <c r="B722" s="398">
        <f t="shared" ref="B722:C722" si="728">($A722-B$9)/365.25</f>
        <v>117.7905544147844</v>
      </c>
      <c r="C722" s="398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3254.2644699519233</v>
      </c>
      <c r="H722" s="25">
        <f>IF(B722&lt;62,0,'Combined Retirement'!$I$14)</f>
        <v>2345</v>
      </c>
      <c r="I722" s="25">
        <f>IF(C722&lt;62,0,'Combined Retirement'!$I$13)</f>
        <v>2420</v>
      </c>
      <c r="J722" s="25">
        <f t="shared" si="523"/>
        <v>7896.2379798201846</v>
      </c>
      <c r="K722" s="25">
        <f t="shared" si="524"/>
        <v>20367.195264578786</v>
      </c>
      <c r="L722" s="25"/>
      <c r="N722" s="25">
        <f>'Combined Retirement'!$C$18/12</f>
        <v>39153.069999999992</v>
      </c>
      <c r="O722" s="25">
        <f t="shared" si="525"/>
        <v>10889.636755601023</v>
      </c>
      <c r="P722" s="25">
        <f t="shared" si="526"/>
        <v>28263.43324439897</v>
      </c>
      <c r="Q722" s="25">
        <f t="array" aca="1" ref="Q722" ca="1">INDEX('Isaac 401k'!L:L,MATCH('Retirement Calculator'!A722,'Isaac 401k'!N:N,0),0)</f>
        <v>1107385.7590754742</v>
      </c>
      <c r="R722" s="25">
        <f t="array" aca="1" ref="R722" ca="1">INDEX('Lorri 401b'!L:L,MATCH('Retirement Calculator'!A722,'Lorri 401b'!N:N,0),0)</f>
        <v>-2404233.8532609968</v>
      </c>
      <c r="S722" s="25">
        <f t="shared" ca="1" si="527"/>
        <v>-1296848.0941855225</v>
      </c>
    </row>
    <row r="723" spans="1:19" ht="15.75" customHeight="1" x14ac:dyDescent="0.3">
      <c r="A723" s="37">
        <v>72959</v>
      </c>
      <c r="B723" s="398">
        <f t="shared" ref="B723:C723" si="729">($A723-B$9)/365.25</f>
        <v>117.87268993839835</v>
      </c>
      <c r="C723" s="398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3254.2644699519233</v>
      </c>
      <c r="H723" s="25">
        <f>IF(B723&lt;62,0,'Combined Retirement'!$I$14)</f>
        <v>2345</v>
      </c>
      <c r="I723" s="25">
        <f>IF(C723&lt;62,0,'Combined Retirement'!$I$13)</f>
        <v>2420</v>
      </c>
      <c r="J723" s="25">
        <f t="shared" si="523"/>
        <v>7896.2379798201846</v>
      </c>
      <c r="K723" s="25">
        <f t="shared" si="524"/>
        <v>20367.195264578786</v>
      </c>
      <c r="L723" s="25"/>
      <c r="N723" s="25">
        <f>'Combined Retirement'!$C$18/12</f>
        <v>39153.069999999992</v>
      </c>
      <c r="O723" s="25">
        <f t="shared" si="525"/>
        <v>10889.636755601023</v>
      </c>
      <c r="P723" s="25">
        <f t="shared" si="526"/>
        <v>28263.43324439897</v>
      </c>
      <c r="Q723" s="25">
        <f t="array" aca="1" ref="Q723" ca="1">INDEX('Isaac 401k'!L:L,MATCH('Retirement Calculator'!A723,'Isaac 401k'!N:N,0),0)</f>
        <v>1104070.7274335525</v>
      </c>
      <c r="R723" s="25">
        <f t="array" aca="1" ref="R723" ca="1">INDEX('Lorri 401b'!L:L,MATCH('Retirement Calculator'!A723,'Lorri 401b'!N:N,0),0)</f>
        <v>-2434703.5528944321</v>
      </c>
      <c r="S723" s="25">
        <f t="shared" ca="1" si="527"/>
        <v>-1330632.8254608796</v>
      </c>
    </row>
    <row r="724" spans="1:19" ht="15.75" customHeight="1" x14ac:dyDescent="0.3">
      <c r="A724" s="37">
        <v>72990</v>
      </c>
      <c r="B724" s="398">
        <f t="shared" ref="B724:C724" si="730">($A724-B$9)/365.25</f>
        <v>117.95756331279945</v>
      </c>
      <c r="C724" s="398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3254.2644699519233</v>
      </c>
      <c r="H724" s="25">
        <f>IF(B724&lt;62,0,'Combined Retirement'!$I$14)</f>
        <v>2345</v>
      </c>
      <c r="I724" s="25">
        <f>IF(C724&lt;62,0,'Combined Retirement'!$I$13)</f>
        <v>2420</v>
      </c>
      <c r="J724" s="25">
        <f t="shared" si="523"/>
        <v>7896.2379798201846</v>
      </c>
      <c r="K724" s="25">
        <f t="shared" si="524"/>
        <v>20367.195264578786</v>
      </c>
      <c r="L724" s="25"/>
      <c r="N724" s="25">
        <f>'Combined Retirement'!$C$18/12</f>
        <v>39153.069999999992</v>
      </c>
      <c r="O724" s="25">
        <f t="shared" si="525"/>
        <v>10889.636755601023</v>
      </c>
      <c r="P724" s="25">
        <f t="shared" si="526"/>
        <v>28263.43324439897</v>
      </c>
      <c r="Q724" s="25">
        <f t="array" aca="1" ref="Q724" ca="1">INDEX('Isaac 401k'!L:L,MATCH('Retirement Calculator'!A724,'Isaac 401k'!N:N,0),0)</f>
        <v>1100741.8831597895</v>
      </c>
      <c r="R724" s="25">
        <f t="array" aca="1" ref="R724" ca="1">INDEX('Lorri 401b'!L:L,MATCH('Retirement Calculator'!A724,'Lorri 401b'!N:N,0),0)</f>
        <v>-2465300.2096096734</v>
      </c>
      <c r="S724" s="25">
        <f t="shared" ca="1" si="527"/>
        <v>-1364558.3264498839</v>
      </c>
    </row>
    <row r="725" spans="1:19" ht="15.75" customHeight="1" x14ac:dyDescent="0.3">
      <c r="A725" s="37">
        <v>73020</v>
      </c>
      <c r="B725" s="398">
        <f t="shared" ref="B725:C725" si="731">($A725-B$9)/365.25</f>
        <v>118.03969883641342</v>
      </c>
      <c r="C725" s="398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3254.2644699519233</v>
      </c>
      <c r="H725" s="25">
        <f>IF(B725&lt;62,0,'Combined Retirement'!$I$14)</f>
        <v>2345</v>
      </c>
      <c r="I725" s="25">
        <f>IF(C725&lt;62,0,'Combined Retirement'!$I$13)</f>
        <v>2420</v>
      </c>
      <c r="J725" s="25">
        <f t="shared" si="523"/>
        <v>7896.2379798201846</v>
      </c>
      <c r="K725" s="25">
        <f t="shared" si="524"/>
        <v>20367.195264578786</v>
      </c>
      <c r="L725" s="25"/>
      <c r="N725" s="25">
        <f>'Combined Retirement'!$C$18/12</f>
        <v>39153.069999999992</v>
      </c>
      <c r="O725" s="25">
        <f t="shared" si="525"/>
        <v>10889.636755601023</v>
      </c>
      <c r="P725" s="25">
        <f t="shared" si="526"/>
        <v>28263.43324439897</v>
      </c>
      <c r="Q725" s="25">
        <f t="array" aca="1" ref="Q725" ca="1">INDEX('Isaac 401k'!L:L,MATCH('Retirement Calculator'!A725,'Isaac 401k'!N:N,0),0)</f>
        <v>1097399.1687015526</v>
      </c>
      <c r="R725" s="25">
        <f t="array" aca="1" ref="R725" ca="1">INDEX('Lorri 401b'!L:L,MATCH('Retirement Calculator'!A725,'Lorri 401b'!N:N,0),0)</f>
        <v>-2496024.3523945617</v>
      </c>
      <c r="S725" s="25">
        <f t="shared" ca="1" si="527"/>
        <v>-1398625.1836930092</v>
      </c>
    </row>
    <row r="726" spans="1:19" ht="15.75" customHeight="1" x14ac:dyDescent="0.3">
      <c r="A726" s="37">
        <v>73051</v>
      </c>
      <c r="B726" s="398">
        <f t="shared" ref="B726:C726" si="732">($A726-B$9)/365.25</f>
        <v>118.12457221081451</v>
      </c>
      <c r="C726" s="398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3254.2644699519233</v>
      </c>
      <c r="H726" s="25">
        <f>IF(B726&lt;62,0,'Combined Retirement'!$I$14)</f>
        <v>2345</v>
      </c>
      <c r="I726" s="25">
        <f>IF(C726&lt;62,0,'Combined Retirement'!$I$13)</f>
        <v>2420</v>
      </c>
      <c r="J726" s="25">
        <f t="shared" si="523"/>
        <v>7896.2379798201846</v>
      </c>
      <c r="K726" s="25">
        <f t="shared" si="524"/>
        <v>20367.195264578786</v>
      </c>
      <c r="L726" s="25"/>
      <c r="N726" s="25">
        <f>'Combined Retirement'!$C$18/12</f>
        <v>39153.069999999992</v>
      </c>
      <c r="O726" s="25">
        <f t="shared" si="525"/>
        <v>10889.636755601023</v>
      </c>
      <c r="P726" s="25">
        <f t="shared" si="526"/>
        <v>28263.43324439897</v>
      </c>
      <c r="Q726" s="25">
        <f t="array" aca="1" ref="Q726" ca="1">INDEX('Isaac 401k'!L:L,MATCH('Retirement Calculator'!A726,'Isaac 401k'!N:N,0),0)</f>
        <v>1094042.5262664063</v>
      </c>
      <c r="R726" s="25">
        <f t="array" aca="1" ref="R726" ca="1">INDEX('Lorri 401b'!L:L,MATCH('Retirement Calculator'!A726,'Lorri 401b'!N:N,0),0)</f>
        <v>-2526876.5124410535</v>
      </c>
      <c r="S726" s="25">
        <f t="shared" ca="1" si="527"/>
        <v>-1432833.9861746472</v>
      </c>
    </row>
    <row r="727" spans="1:19" ht="15.75" customHeight="1" x14ac:dyDescent="0.3">
      <c r="A727" s="37">
        <v>73082</v>
      </c>
      <c r="B727" s="398">
        <f t="shared" ref="B727:C727" si="733">($A727-B$9)/365.25</f>
        <v>118.2094455852156</v>
      </c>
      <c r="C727" s="398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3254.2644699519233</v>
      </c>
      <c r="H727" s="25">
        <f>IF(B727&lt;62,0,'Combined Retirement'!$I$14)</f>
        <v>2345</v>
      </c>
      <c r="I727" s="25">
        <f>IF(C727&lt;62,0,'Combined Retirement'!$I$13)</f>
        <v>2420</v>
      </c>
      <c r="J727" s="25">
        <f t="shared" si="523"/>
        <v>7896.2379798201846</v>
      </c>
      <c r="K727" s="25">
        <f t="shared" si="524"/>
        <v>20367.195264578786</v>
      </c>
      <c r="L727" s="25"/>
      <c r="N727" s="25">
        <f>'Combined Retirement'!$C$18/12</f>
        <v>39153.069999999992</v>
      </c>
      <c r="O727" s="25">
        <f t="shared" si="525"/>
        <v>10889.636755601023</v>
      </c>
      <c r="P727" s="25">
        <f t="shared" si="526"/>
        <v>28263.43324439897</v>
      </c>
      <c r="Q727" s="25">
        <f t="array" aca="1" ref="Q727" ca="1">INDEX('Isaac 401k'!L:L,MATCH('Retirement Calculator'!A727,'Isaac 401k'!N:N,0),0)</f>
        <v>1090671.8978211135</v>
      </c>
      <c r="R727" s="25">
        <f t="array" aca="1" ref="R727" ca="1">INDEX('Lorri 401b'!L:L,MATCH('Retirement Calculator'!A727,'Lorri 401b'!N:N,0),0)</f>
        <v>-2557857.2231544056</v>
      </c>
      <c r="S727" s="25">
        <f t="shared" ca="1" si="527"/>
        <v>-1467185.3253332921</v>
      </c>
    </row>
    <row r="728" spans="1:19" ht="15.75" customHeight="1" x14ac:dyDescent="0.3">
      <c r="A728" s="37">
        <v>73110</v>
      </c>
      <c r="B728" s="398">
        <f t="shared" ref="B728:C728" si="734">($A728-B$9)/365.25</f>
        <v>118.28610540725531</v>
      </c>
      <c r="C728" s="398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3254.2644699519233</v>
      </c>
      <c r="H728" s="25">
        <f>IF(B728&lt;62,0,'Combined Retirement'!$I$14)</f>
        <v>2345</v>
      </c>
      <c r="I728" s="25">
        <f>IF(C728&lt;62,0,'Combined Retirement'!$I$13)</f>
        <v>2420</v>
      </c>
      <c r="J728" s="25">
        <f t="shared" si="523"/>
        <v>7896.2379798201846</v>
      </c>
      <c r="K728" s="25">
        <f t="shared" si="524"/>
        <v>20367.195264578786</v>
      </c>
      <c r="L728" s="25"/>
      <c r="N728" s="25">
        <f>'Combined Retirement'!$C$18/12</f>
        <v>39153.069999999992</v>
      </c>
      <c r="O728" s="25">
        <f t="shared" si="525"/>
        <v>10889.636755601023</v>
      </c>
      <c r="P728" s="25">
        <f t="shared" si="526"/>
        <v>28263.43324439897</v>
      </c>
      <c r="Q728" s="25">
        <f t="array" aca="1" ref="Q728" ca="1">INDEX('Isaac 401k'!L:L,MATCH('Retirement Calculator'!A728,'Isaac 401k'!N:N,0),0)</f>
        <v>1087287.225090632</v>
      </c>
      <c r="R728" s="25">
        <f t="array" aca="1" ref="R728" ca="1">INDEX('Lorri 401b'!L:L,MATCH('Retirement Calculator'!A728,'Lorri 401b'!N:N,0),0)</f>
        <v>-2588967.0201623966</v>
      </c>
      <c r="S728" s="25">
        <f t="shared" ca="1" si="527"/>
        <v>-1501679.7950717646</v>
      </c>
    </row>
    <row r="729" spans="1:19" ht="15.75" customHeight="1" x14ac:dyDescent="0.3">
      <c r="A729" s="37">
        <v>73141</v>
      </c>
      <c r="B729" s="398">
        <f t="shared" ref="B729:C729" si="735">($A729-B$9)/365.25</f>
        <v>118.3709787816564</v>
      </c>
      <c r="C729" s="398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3254.2644699519233</v>
      </c>
      <c r="H729" s="25">
        <f>IF(B729&lt;62,0,'Combined Retirement'!$I$14)</f>
        <v>2345</v>
      </c>
      <c r="I729" s="25">
        <f>IF(C729&lt;62,0,'Combined Retirement'!$I$13)</f>
        <v>2420</v>
      </c>
      <c r="J729" s="25">
        <f t="shared" si="523"/>
        <v>7896.2379798201846</v>
      </c>
      <c r="K729" s="25">
        <f t="shared" si="524"/>
        <v>20367.195264578786</v>
      </c>
      <c r="L729" s="25"/>
      <c r="N729" s="25">
        <f>'Combined Retirement'!$C$18/12</f>
        <v>39153.069999999992</v>
      </c>
      <c r="O729" s="25">
        <f t="shared" si="525"/>
        <v>10889.636755601023</v>
      </c>
      <c r="P729" s="25">
        <f t="shared" si="526"/>
        <v>28263.43324439897</v>
      </c>
      <c r="Q729" s="25">
        <f t="array" aca="1" ref="Q729" ca="1">INDEX('Isaac 401k'!L:L,MATCH('Retirement Calculator'!A729,'Isaac 401k'!N:N,0),0)</f>
        <v>1083888.4495571067</v>
      </c>
      <c r="R729" s="25">
        <f t="array" aca="1" ref="R729" ca="1">INDEX('Lorri 401b'!L:L,MATCH('Retirement Calculator'!A729,'Lorri 401b'!N:N,0),0)</f>
        <v>-2620206.4413245879</v>
      </c>
      <c r="S729" s="25">
        <f t="shared" ca="1" si="527"/>
        <v>-1536317.9917674812</v>
      </c>
    </row>
    <row r="730" spans="1:19" ht="15.75" customHeight="1" x14ac:dyDescent="0.3">
      <c r="A730" s="37">
        <v>73171</v>
      </c>
      <c r="B730" s="398">
        <f t="shared" ref="B730:C730" si="736">($A730-B$9)/365.25</f>
        <v>118.45311430527036</v>
      </c>
      <c r="C730" s="398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3254.2644699519233</v>
      </c>
      <c r="H730" s="25">
        <f>IF(B730&lt;62,0,'Combined Retirement'!$I$14)</f>
        <v>2345</v>
      </c>
      <c r="I730" s="25">
        <f>IF(C730&lt;62,0,'Combined Retirement'!$I$13)</f>
        <v>2420</v>
      </c>
      <c r="J730" s="25">
        <f t="shared" si="523"/>
        <v>7896.2379798201846</v>
      </c>
      <c r="K730" s="25">
        <f t="shared" si="524"/>
        <v>20367.195264578786</v>
      </c>
      <c r="L730" s="25"/>
      <c r="N730" s="25">
        <f>'Combined Retirement'!$C$18/12</f>
        <v>39153.069999999992</v>
      </c>
      <c r="O730" s="25">
        <f t="shared" si="525"/>
        <v>10889.636755601023</v>
      </c>
      <c r="P730" s="25">
        <f t="shared" si="526"/>
        <v>28263.43324439897</v>
      </c>
      <c r="Q730" s="25">
        <f t="array" aca="1" ref="Q730" ca="1">INDEX('Isaac 401k'!L:L,MATCH('Retirement Calculator'!A730,'Isaac 401k'!N:N,0),0)</f>
        <v>1080475.5124588585</v>
      </c>
      <c r="R730" s="25">
        <f t="array" aca="1" ref="R730" ca="1">INDEX('Lorri 401b'!L:L,MATCH('Retirement Calculator'!A730,'Lorri 401b'!N:N,0),0)</f>
        <v>-2651576.0267416216</v>
      </c>
      <c r="S730" s="25">
        <f t="shared" ca="1" si="527"/>
        <v>-1571100.514282763</v>
      </c>
    </row>
    <row r="731" spans="1:19" ht="15.75" customHeight="1" x14ac:dyDescent="0.3">
      <c r="A731" s="37">
        <v>73202</v>
      </c>
      <c r="B731" s="398">
        <f t="shared" ref="B731:C731" si="737">($A731-B$9)/365.25</f>
        <v>118.53798767967146</v>
      </c>
      <c r="C731" s="398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3254.2644699519233</v>
      </c>
      <c r="H731" s="25">
        <f>IF(B731&lt;62,0,'Combined Retirement'!$I$14)</f>
        <v>2345</v>
      </c>
      <c r="I731" s="25">
        <f>IF(C731&lt;62,0,'Combined Retirement'!$I$13)</f>
        <v>2420</v>
      </c>
      <c r="J731" s="25">
        <f t="shared" si="523"/>
        <v>7896.2379798201846</v>
      </c>
      <c r="K731" s="25">
        <f t="shared" si="524"/>
        <v>20367.195264578786</v>
      </c>
      <c r="L731" s="25"/>
      <c r="N731" s="25">
        <f>'Combined Retirement'!$C$18/12</f>
        <v>39153.069999999992</v>
      </c>
      <c r="O731" s="25">
        <f t="shared" si="525"/>
        <v>10889.636755601023</v>
      </c>
      <c r="P731" s="25">
        <f t="shared" si="526"/>
        <v>28263.43324439897</v>
      </c>
      <c r="Q731" s="25">
        <f t="array" aca="1" ref="Q731" ca="1">INDEX('Isaac 401k'!L:L,MATCH('Retirement Calculator'!A731,'Isaac 401k'!N:N,0),0)</f>
        <v>1077048.3547893676</v>
      </c>
      <c r="R731" s="25">
        <f t="array" aca="1" ref="R731" ca="1">INDEX('Lorri 401b'!L:L,MATCH('Retirement Calculator'!A731,'Lorri 401b'!N:N,0),0)</f>
        <v>-2683076.3187645595</v>
      </c>
      <c r="S731" s="25">
        <f t="shared" ca="1" si="527"/>
        <v>-1606027.9639751918</v>
      </c>
    </row>
    <row r="732" spans="1:19" ht="15.75" customHeight="1" x14ac:dyDescent="0.3">
      <c r="A732" s="37">
        <v>73232</v>
      </c>
      <c r="B732" s="398">
        <f t="shared" ref="B732:C732" si="738">($A732-B$9)/365.25</f>
        <v>118.62012320328542</v>
      </c>
      <c r="C732" s="398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3254.2644699519233</v>
      </c>
      <c r="H732" s="25">
        <f>IF(B732&lt;62,0,'Combined Retirement'!$I$14)</f>
        <v>2345</v>
      </c>
      <c r="I732" s="25">
        <f>IF(C732&lt;62,0,'Combined Retirement'!$I$13)</f>
        <v>2420</v>
      </c>
      <c r="J732" s="25">
        <f t="shared" si="523"/>
        <v>7896.2379798201846</v>
      </c>
      <c r="K732" s="25">
        <f t="shared" si="524"/>
        <v>20367.195264578786</v>
      </c>
      <c r="L732" s="25"/>
      <c r="N732" s="25">
        <f>'Combined Retirement'!$C$18/12</f>
        <v>39153.069999999992</v>
      </c>
      <c r="O732" s="25">
        <f t="shared" si="525"/>
        <v>10889.636755601023</v>
      </c>
      <c r="P732" s="25">
        <f t="shared" si="526"/>
        <v>28263.43324439897</v>
      </c>
      <c r="Q732" s="25">
        <f t="array" aca="1" ref="Q732" ca="1">INDEX('Isaac 401k'!L:L,MATCH('Retirement Calculator'!A732,'Isaac 401k'!N:N,0),0)</f>
        <v>1073606.9172962538</v>
      </c>
      <c r="R732" s="25">
        <f t="array" aca="1" ref="R732" ca="1">INDEX('Lorri 401b'!L:L,MATCH('Retirement Calculator'!A732,'Lorri 401b'!N:N,0),0)</f>
        <v>-2714707.8620042596</v>
      </c>
      <c r="S732" s="25">
        <f t="shared" ca="1" si="527"/>
        <v>-1641100.9447080058</v>
      </c>
    </row>
    <row r="733" spans="1:19" ht="15.75" customHeight="1" x14ac:dyDescent="0.3">
      <c r="A733" s="37">
        <v>73263</v>
      </c>
      <c r="B733" s="398">
        <f t="shared" ref="B733:C733" si="739">($A733-B$9)/365.25</f>
        <v>118.70499657768652</v>
      </c>
      <c r="C733" s="398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3254.2644699519233</v>
      </c>
      <c r="H733" s="25">
        <f>IF(B733&lt;62,0,'Combined Retirement'!$I$14)</f>
        <v>2345</v>
      </c>
      <c r="I733" s="25">
        <f>IF(C733&lt;62,0,'Combined Retirement'!$I$13)</f>
        <v>2420</v>
      </c>
      <c r="J733" s="25">
        <f t="shared" si="523"/>
        <v>7896.2379798201846</v>
      </c>
      <c r="K733" s="25">
        <f t="shared" si="524"/>
        <v>20367.195264578786</v>
      </c>
      <c r="L733" s="25"/>
      <c r="N733" s="25">
        <f>'Combined Retirement'!$C$18/12</f>
        <v>39153.069999999992</v>
      </c>
      <c r="O733" s="25">
        <f t="shared" si="525"/>
        <v>10889.636755601023</v>
      </c>
      <c r="P733" s="25">
        <f t="shared" si="526"/>
        <v>28263.43324439897</v>
      </c>
      <c r="Q733" s="25">
        <f t="array" aca="1" ref="Q733" ca="1">INDEX('Isaac 401k'!L:L,MATCH('Retirement Calculator'!A733,'Isaac 401k'!N:N,0),0)</f>
        <v>1070151.140480252</v>
      </c>
      <c r="R733" s="25">
        <f t="array" aca="1" ref="R733" ca="1">INDEX('Lorri 401b'!L:L,MATCH('Retirement Calculator'!A733,'Lorri 401b'!N:N,0),0)</f>
        <v>-2746471.2033407921</v>
      </c>
      <c r="S733" s="25">
        <f t="shared" ca="1" si="527"/>
        <v>-1676320.0628605401</v>
      </c>
    </row>
    <row r="734" spans="1:19" ht="15.75" customHeight="1" x14ac:dyDescent="0.3">
      <c r="A734" s="37">
        <v>73294</v>
      </c>
      <c r="B734" s="398">
        <f t="shared" ref="B734:C734" si="740">($A734-B$9)/365.25</f>
        <v>118.78986995208761</v>
      </c>
      <c r="C734" s="398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3254.2644699519233</v>
      </c>
      <c r="H734" s="25">
        <f>IF(B734&lt;62,0,'Combined Retirement'!$I$14)</f>
        <v>2345</v>
      </c>
      <c r="I734" s="25">
        <f>IF(C734&lt;62,0,'Combined Retirement'!$I$13)</f>
        <v>2420</v>
      </c>
      <c r="J734" s="25">
        <f t="shared" si="523"/>
        <v>7896.2379798201846</v>
      </c>
      <c r="K734" s="25">
        <f t="shared" si="524"/>
        <v>20367.195264578786</v>
      </c>
      <c r="L734" s="25"/>
      <c r="N734" s="25">
        <f>'Combined Retirement'!$C$18/12</f>
        <v>39153.069999999992</v>
      </c>
      <c r="O734" s="25">
        <f t="shared" si="525"/>
        <v>10889.636755601023</v>
      </c>
      <c r="P734" s="25">
        <f t="shared" si="526"/>
        <v>28263.43324439897</v>
      </c>
      <c r="Q734" s="25">
        <f t="array" aca="1" ref="Q734" ca="1">INDEX('Isaac 401k'!L:L,MATCH('Retirement Calculator'!A734,'Isaac 401k'!N:N,0),0)</f>
        <v>1066680.9645941835</v>
      </c>
      <c r="R734" s="25">
        <f t="array" aca="1" ref="R734" ca="1">INDEX('Lorri 401b'!L:L,MATCH('Retirement Calculator'!A734,'Lorri 401b'!N:N,0),0)</f>
        <v>-2778366.8919328931</v>
      </c>
      <c r="S734" s="25">
        <f t="shared" ca="1" si="527"/>
        <v>-1711685.9273387096</v>
      </c>
    </row>
    <row r="735" spans="1:19" ht="15.75" customHeight="1" x14ac:dyDescent="0.3">
      <c r="A735" s="37">
        <v>73324</v>
      </c>
      <c r="B735" s="398">
        <f t="shared" ref="B735:C735" si="741">($A735-B$9)/365.25</f>
        <v>118.87200547570157</v>
      </c>
      <c r="C735" s="398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3254.2644699519233</v>
      </c>
      <c r="H735" s="25">
        <f>IF(B735&lt;62,0,'Combined Retirement'!$I$14)</f>
        <v>2345</v>
      </c>
      <c r="I735" s="25">
        <f>IF(C735&lt;62,0,'Combined Retirement'!$I$13)</f>
        <v>2420</v>
      </c>
      <c r="J735" s="25">
        <f t="shared" si="523"/>
        <v>7896.2379798201846</v>
      </c>
      <c r="K735" s="25">
        <f t="shared" si="524"/>
        <v>20367.195264578786</v>
      </c>
      <c r="L735" s="25"/>
      <c r="N735" s="25">
        <f>'Combined Retirement'!$C$18/12</f>
        <v>39153.069999999992</v>
      </c>
      <c r="O735" s="25">
        <f t="shared" si="525"/>
        <v>10889.636755601023</v>
      </c>
      <c r="P735" s="25">
        <f t="shared" si="526"/>
        <v>28263.43324439897</v>
      </c>
      <c r="Q735" s="25">
        <f t="array" aca="1" ref="Q735" ca="1">INDEX('Isaac 401k'!L:L,MATCH('Retirement Calculator'!A735,'Isaac 401k'!N:N,0),0)</f>
        <v>1063196.3296419231</v>
      </c>
      <c r="R735" s="25">
        <f t="array" aca="1" ref="R735" ca="1">INDEX('Lorri 401b'!L:L,MATCH('Retirement Calculator'!A735,'Lorri 401b'!N:N,0),0)</f>
        <v>-2810395.4792274614</v>
      </c>
      <c r="S735" s="25">
        <f t="shared" ca="1" si="527"/>
        <v>-1747199.1495855383</v>
      </c>
    </row>
    <row r="736" spans="1:19" ht="15.75" customHeight="1" x14ac:dyDescent="0.3">
      <c r="A736" s="37">
        <v>73355</v>
      </c>
      <c r="B736" s="398">
        <f t="shared" ref="B736:C736" si="742">($A736-B$9)/365.25</f>
        <v>118.95687885010267</v>
      </c>
      <c r="C736" s="398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3254.2644699519233</v>
      </c>
      <c r="H736" s="25">
        <f>IF(B736&lt;62,0,'Combined Retirement'!$I$14)</f>
        <v>2345</v>
      </c>
      <c r="I736" s="25">
        <f>IF(C736&lt;62,0,'Combined Retirement'!$I$13)</f>
        <v>2420</v>
      </c>
      <c r="J736" s="25">
        <f t="shared" si="523"/>
        <v>7896.2379798201846</v>
      </c>
      <c r="K736" s="25">
        <f t="shared" si="524"/>
        <v>20367.195264578786</v>
      </c>
      <c r="L736" s="25"/>
      <c r="N736" s="25">
        <f>'Combined Retirement'!$C$18/12</f>
        <v>39153.069999999992</v>
      </c>
      <c r="O736" s="25">
        <f t="shared" si="525"/>
        <v>10889.636755601023</v>
      </c>
      <c r="P736" s="25">
        <f t="shared" si="526"/>
        <v>28263.43324439897</v>
      </c>
      <c r="Q736" s="25">
        <f t="array" aca="1" ref="Q736" ca="1">INDEX('Isaac 401k'!L:L,MATCH('Retirement Calculator'!A736,'Isaac 401k'!N:N,0),0)</f>
        <v>1059697.1753773617</v>
      </c>
      <c r="R736" s="25">
        <f t="array" aca="1" ref="R736" ca="1">INDEX('Lorri 401b'!L:L,MATCH('Retirement Calculator'!A736,'Lorri 401b'!N:N,0),0)</f>
        <v>-2842557.5189690902</v>
      </c>
      <c r="S736" s="25">
        <f t="shared" ca="1" si="527"/>
        <v>-1782860.3435917285</v>
      </c>
    </row>
    <row r="737" spans="1:19" ht="15.75" customHeight="1" x14ac:dyDescent="0.3">
      <c r="A737" s="37">
        <v>73385</v>
      </c>
      <c r="B737" s="398">
        <f t="shared" ref="B737:C737" si="743">($A737-B$9)/365.25</f>
        <v>119.03901437371663</v>
      </c>
      <c r="C737" s="398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3254.2644699519233</v>
      </c>
      <c r="H737" s="25">
        <f>IF(B737&lt;62,0,'Combined Retirement'!$I$14)</f>
        <v>2345</v>
      </c>
      <c r="I737" s="25">
        <f>IF(C737&lt;62,0,'Combined Retirement'!$I$13)</f>
        <v>2420</v>
      </c>
      <c r="J737" s="25">
        <f t="shared" si="523"/>
        <v>7896.2379798201846</v>
      </c>
      <c r="K737" s="25">
        <f t="shared" si="524"/>
        <v>20367.195264578786</v>
      </c>
      <c r="L737" s="25"/>
      <c r="N737" s="25">
        <f>'Combined Retirement'!$C$18/12</f>
        <v>39153.069999999992</v>
      </c>
      <c r="O737" s="25">
        <f t="shared" si="525"/>
        <v>10889.636755601023</v>
      </c>
      <c r="P737" s="25">
        <f t="shared" si="526"/>
        <v>28263.43324439897</v>
      </c>
      <c r="Q737" s="25">
        <f t="array" aca="1" ref="Q737" ca="1">INDEX('Isaac 401k'!L:L,MATCH('Retirement Calculator'!A737,'Isaac 401k'!N:N,0),0)</f>
        <v>1056183.4413033645</v>
      </c>
      <c r="R737" s="25">
        <f t="array" aca="1" ref="R737" ca="1">INDEX('Lorri 401b'!L:L,MATCH('Retirement Calculator'!A737,'Lorri 401b'!N:N,0),0)</f>
        <v>-2874853.5672096424</v>
      </c>
      <c r="S737" s="25">
        <f t="shared" ca="1" si="527"/>
        <v>-1818670.1259062779</v>
      </c>
    </row>
    <row r="738" spans="1:19" ht="15.75" customHeight="1" x14ac:dyDescent="0.3">
      <c r="A738" s="37">
        <v>73416</v>
      </c>
      <c r="B738" s="398">
        <f t="shared" ref="B738:C738" si="744">($A738-B$9)/365.25</f>
        <v>119.12388774811772</v>
      </c>
      <c r="C738" s="398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3254.2644699519233</v>
      </c>
      <c r="H738" s="25">
        <f>IF(B738&lt;62,0,'Combined Retirement'!$I$14)</f>
        <v>2345</v>
      </c>
      <c r="I738" s="25">
        <f>IF(C738&lt;62,0,'Combined Retirement'!$I$13)</f>
        <v>2420</v>
      </c>
      <c r="J738" s="25">
        <f t="shared" si="523"/>
        <v>7896.2379798201846</v>
      </c>
      <c r="K738" s="25">
        <f t="shared" si="524"/>
        <v>20367.195264578786</v>
      </c>
      <c r="L738" s="25"/>
      <c r="N738" s="25">
        <f>'Combined Retirement'!$C$18/12</f>
        <v>39153.069999999992</v>
      </c>
      <c r="O738" s="25">
        <f t="shared" si="525"/>
        <v>10889.636755601023</v>
      </c>
      <c r="P738" s="25">
        <f t="shared" si="526"/>
        <v>28263.43324439897</v>
      </c>
      <c r="Q738" s="25">
        <f t="array" aca="1" ref="Q738" ca="1">INDEX('Isaac 401k'!L:L,MATCH('Retirement Calculator'!A738,'Isaac 401k'!N:N,0),0)</f>
        <v>1052655.0666707256</v>
      </c>
      <c r="R738" s="25">
        <f t="array" aca="1" ref="R738" ca="1">INDEX('Lorri 401b'!L:L,MATCH('Retirement Calculator'!A738,'Lorri 401b'!N:N,0),0)</f>
        <v>-2907284.1823178637</v>
      </c>
      <c r="S738" s="25">
        <f t="shared" ca="1" si="527"/>
        <v>-1854629.1156471381</v>
      </c>
    </row>
    <row r="739" spans="1:19" ht="15.75" customHeight="1" x14ac:dyDescent="0.3">
      <c r="A739" s="37">
        <v>73447</v>
      </c>
      <c r="B739" s="398">
        <f t="shared" ref="B739:C739" si="745">($A739-B$9)/365.25</f>
        <v>119.20876112251882</v>
      </c>
      <c r="C739" s="398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3254.2644699519233</v>
      </c>
      <c r="H739" s="25">
        <f>IF(B739&lt;62,0,'Combined Retirement'!$I$14)</f>
        <v>2345</v>
      </c>
      <c r="I739" s="25">
        <f>IF(C739&lt;62,0,'Combined Retirement'!$I$13)</f>
        <v>2420</v>
      </c>
      <c r="J739" s="25">
        <f t="shared" si="523"/>
        <v>7896.2379798201846</v>
      </c>
      <c r="K739" s="25">
        <f t="shared" si="524"/>
        <v>20367.195264578786</v>
      </c>
      <c r="L739" s="25"/>
      <c r="N739" s="25">
        <f>'Combined Retirement'!$C$18/12</f>
        <v>39153.069999999992</v>
      </c>
      <c r="O739" s="25">
        <f t="shared" si="525"/>
        <v>10889.636755601023</v>
      </c>
      <c r="P739" s="25">
        <f t="shared" si="526"/>
        <v>28263.43324439897</v>
      </c>
      <c r="Q739" s="25">
        <f t="array" aca="1" ref="Q739" ca="1">INDEX('Isaac 401k'!L:L,MATCH('Retirement Calculator'!A739,'Isaac 401k'!N:N,0),0)</f>
        <v>1049111.9904771175</v>
      </c>
      <c r="R739" s="25">
        <f t="array" aca="1" ref="R739" ca="1">INDEX('Lorri 401b'!L:L,MATCH('Retirement Calculator'!A739,'Lorri 401b'!N:N,0),0)</f>
        <v>-2939849.9249890358</v>
      </c>
      <c r="S739" s="25">
        <f t="shared" ca="1" si="527"/>
        <v>-1890737.9345119183</v>
      </c>
    </row>
    <row r="740" spans="1:19" ht="15.75" customHeight="1" x14ac:dyDescent="0.3">
      <c r="A740" s="37">
        <v>73475</v>
      </c>
      <c r="B740" s="398">
        <f t="shared" ref="B740:C740" si="746">($A740-B$9)/365.25</f>
        <v>119.28542094455852</v>
      </c>
      <c r="C740" s="398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3254.2644699519233</v>
      </c>
      <c r="H740" s="25">
        <f>IF(B740&lt;62,0,'Combined Retirement'!$I$14)</f>
        <v>2345</v>
      </c>
      <c r="I740" s="25">
        <f>IF(C740&lt;62,0,'Combined Retirement'!$I$13)</f>
        <v>2420</v>
      </c>
      <c r="J740" s="25">
        <f t="shared" si="523"/>
        <v>7896.2379798201846</v>
      </c>
      <c r="K740" s="25">
        <f t="shared" si="524"/>
        <v>20367.195264578786</v>
      </c>
      <c r="L740" s="25"/>
      <c r="N740" s="25">
        <f>'Combined Retirement'!$C$18/12</f>
        <v>39153.069999999992</v>
      </c>
      <c r="O740" s="25">
        <f t="shared" si="525"/>
        <v>10889.636755601023</v>
      </c>
      <c r="P740" s="25">
        <f t="shared" si="526"/>
        <v>28263.43324439897</v>
      </c>
      <c r="Q740" s="25">
        <f t="array" aca="1" ref="Q740" ca="1">INDEX('Isaac 401k'!L:L,MATCH('Retirement Calculator'!A740,'Isaac 401k'!N:N,0),0)</f>
        <v>1045554.151466036</v>
      </c>
      <c r="R740" s="25">
        <f t="array" aca="1" ref="R740" ca="1">INDEX('Lorri 401b'!L:L,MATCH('Retirement Calculator'!A740,'Lorri 401b'!N:N,0),0)</f>
        <v>-2972551.3582546716</v>
      </c>
      <c r="S740" s="25">
        <f t="shared" ca="1" si="527"/>
        <v>-1926997.2067886356</v>
      </c>
    </row>
    <row r="741" spans="1:19" ht="15.75" customHeight="1" x14ac:dyDescent="0.3">
      <c r="A741" s="37">
        <v>73506</v>
      </c>
      <c r="B741" s="398">
        <f t="shared" ref="B741:C741" si="747">($A741-B$9)/365.25</f>
        <v>119.37029431895962</v>
      </c>
      <c r="C741" s="398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3254.2644699519233</v>
      </c>
      <c r="H741" s="25">
        <f>IF(B741&lt;62,0,'Combined Retirement'!$I$14)</f>
        <v>2345</v>
      </c>
      <c r="I741" s="25">
        <f>IF(C741&lt;62,0,'Combined Retirement'!$I$13)</f>
        <v>2420</v>
      </c>
      <c r="J741" s="25">
        <f t="shared" si="523"/>
        <v>7896.2379798201846</v>
      </c>
      <c r="K741" s="25">
        <f t="shared" si="524"/>
        <v>20367.195264578786</v>
      </c>
      <c r="L741" s="25"/>
      <c r="N741" s="25">
        <f>'Combined Retirement'!$C$18/12</f>
        <v>39153.069999999992</v>
      </c>
      <c r="O741" s="25">
        <f t="shared" si="525"/>
        <v>10889.636755601023</v>
      </c>
      <c r="P741" s="25">
        <f t="shared" si="526"/>
        <v>28263.43324439897</v>
      </c>
      <c r="Q741" s="25">
        <f t="array" aca="1" ref="Q741" ca="1">INDEX('Isaac 401k'!L:L,MATCH('Retirement Calculator'!A741,'Isaac 401k'!N:N,0),0)</f>
        <v>1041981.4881257416</v>
      </c>
      <c r="R741" s="25">
        <f t="array" aca="1" ref="R741" ca="1">INDEX('Lorri 401b'!L:L,MATCH('Retirement Calculator'!A741,'Lorri 401b'!N:N,0),0)</f>
        <v>-3005389.0474922471</v>
      </c>
      <c r="S741" s="25">
        <f t="shared" ca="1" si="527"/>
        <v>-1963407.5593665056</v>
      </c>
    </row>
    <row r="742" spans="1:19" ht="15.75" customHeight="1" x14ac:dyDescent="0.3">
      <c r="A742" s="37">
        <v>73536</v>
      </c>
      <c r="B742" s="398">
        <f t="shared" ref="B742:C742" si="748">($A742-B$9)/365.25</f>
        <v>119.45242984257358</v>
      </c>
      <c r="C742" s="398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3254.2644699519233</v>
      </c>
      <c r="H742" s="25">
        <f>IF(B742&lt;62,0,'Combined Retirement'!$I$14)</f>
        <v>2345</v>
      </c>
      <c r="I742" s="25">
        <f>IF(C742&lt;62,0,'Combined Retirement'!$I$13)</f>
        <v>2420</v>
      </c>
      <c r="J742" s="25">
        <f t="shared" si="523"/>
        <v>7896.2379798201846</v>
      </c>
      <c r="K742" s="25">
        <f t="shared" si="524"/>
        <v>20367.195264578786</v>
      </c>
      <c r="L742" s="25"/>
      <c r="N742" s="25">
        <f>'Combined Retirement'!$C$18/12</f>
        <v>39153.069999999992</v>
      </c>
      <c r="O742" s="25">
        <f t="shared" si="525"/>
        <v>10889.636755601023</v>
      </c>
      <c r="P742" s="25">
        <f t="shared" si="526"/>
        <v>28263.43324439897</v>
      </c>
      <c r="Q742" s="25">
        <f t="array" aca="1" ref="Q742" ca="1">INDEX('Isaac 401k'!L:L,MATCH('Retirement Calculator'!A742,'Isaac 401k'!N:N,0),0)</f>
        <v>1038393.938688196</v>
      </c>
      <c r="R742" s="25">
        <f t="array" aca="1" ref="R742" ca="1">INDEX('Lorri 401b'!L:L,MATCH('Retirement Calculator'!A742,'Lorri 401b'!N:N,0),0)</f>
        <v>-3038363.5604349794</v>
      </c>
      <c r="S742" s="25">
        <f t="shared" ca="1" si="527"/>
        <v>-1999969.6217467834</v>
      </c>
    </row>
    <row r="743" spans="1:19" ht="15.75" customHeight="1" x14ac:dyDescent="0.3">
      <c r="A743" s="37">
        <v>73567</v>
      </c>
      <c r="B743" s="398">
        <f t="shared" ref="B743:C743" si="749">($A743-B$9)/365.25</f>
        <v>119.53730321697468</v>
      </c>
      <c r="C743" s="398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3254.2644699519233</v>
      </c>
      <c r="H743" s="25">
        <f>IF(B743&lt;62,0,'Combined Retirement'!$I$14)</f>
        <v>2345</v>
      </c>
      <c r="I743" s="25">
        <f>IF(C743&lt;62,0,'Combined Retirement'!$I$13)</f>
        <v>2420</v>
      </c>
      <c r="J743" s="25">
        <f t="shared" si="523"/>
        <v>7896.2379798201846</v>
      </c>
      <c r="K743" s="25">
        <f t="shared" si="524"/>
        <v>20367.195264578786</v>
      </c>
      <c r="L743" s="25"/>
      <c r="N743" s="25">
        <f>'Combined Retirement'!$C$18/12</f>
        <v>39153.069999999992</v>
      </c>
      <c r="O743" s="25">
        <f t="shared" si="525"/>
        <v>10889.636755601023</v>
      </c>
      <c r="P743" s="25">
        <f t="shared" si="526"/>
        <v>28263.43324439897</v>
      </c>
      <c r="Q743" s="25">
        <f t="array" aca="1" ref="Q743" ca="1">INDEX('Isaac 401k'!L:L,MATCH('Retirement Calculator'!A743,'Isaac 401k'!N:N,0),0)</f>
        <v>1034791.441127994</v>
      </c>
      <c r="R743" s="25">
        <f t="array" aca="1" ref="R743" ca="1">INDEX('Lorri 401b'!L:L,MATCH('Retirement Calculator'!A743,'Lorri 401b'!N:N,0),0)</f>
        <v>-3071475.4671816397</v>
      </c>
      <c r="S743" s="25">
        <f t="shared" ca="1" si="527"/>
        <v>-2036684.0260536456</v>
      </c>
    </row>
    <row r="744" spans="1:19" ht="15.75" customHeight="1" x14ac:dyDescent="0.3">
      <c r="A744" s="37">
        <v>73597</v>
      </c>
      <c r="B744" s="398">
        <f t="shared" ref="B744:C744" si="750">($A744-B$9)/365.25</f>
        <v>119.61943874058863</v>
      </c>
      <c r="C744" s="398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3254.2644699519233</v>
      </c>
      <c r="H744" s="25">
        <f>IF(B744&lt;62,0,'Combined Retirement'!$I$14)</f>
        <v>2345</v>
      </c>
      <c r="I744" s="25">
        <f>IF(C744&lt;62,0,'Combined Retirement'!$I$13)</f>
        <v>2420</v>
      </c>
      <c r="J744" s="25">
        <f t="shared" si="523"/>
        <v>7896.2379798201846</v>
      </c>
      <c r="K744" s="25">
        <f t="shared" si="524"/>
        <v>20367.195264578786</v>
      </c>
      <c r="L744" s="25"/>
      <c r="N744" s="25">
        <f>'Combined Retirement'!$C$18/12</f>
        <v>39153.069999999992</v>
      </c>
      <c r="O744" s="25">
        <f t="shared" si="525"/>
        <v>10889.636755601023</v>
      </c>
      <c r="P744" s="25">
        <f t="shared" si="526"/>
        <v>28263.43324439897</v>
      </c>
      <c r="Q744" s="25">
        <f t="array" aca="1" ref="Q744" ca="1">INDEX('Isaac 401k'!L:L,MATCH('Retirement Calculator'!A744,'Isaac 401k'!N:N,0),0)</f>
        <v>1031173.9331612912</v>
      </c>
      <c r="R744" s="25">
        <f t="array" aca="1" ref="R744" ca="1">INDEX('Lorri 401b'!L:L,MATCH('Retirement Calculator'!A744,'Lorri 401b'!N:N,0),0)</f>
        <v>-3104725.3402064112</v>
      </c>
      <c r="S744" s="25">
        <f t="shared" ca="1" si="527"/>
        <v>-2073551.4070451199</v>
      </c>
    </row>
    <row r="745" spans="1:19" ht="15.75" customHeight="1" x14ac:dyDescent="0.3">
      <c r="A745" s="37">
        <v>73628</v>
      </c>
      <c r="B745" s="398">
        <f t="shared" ref="B745:C745" si="751">($A745-B$9)/365.25</f>
        <v>119.70431211498973</v>
      </c>
      <c r="C745" s="398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3254.2644699519233</v>
      </c>
      <c r="H745" s="25">
        <f>IF(B745&lt;62,0,'Combined Retirement'!$I$14)</f>
        <v>2345</v>
      </c>
      <c r="I745" s="25">
        <f>IF(C745&lt;62,0,'Combined Retirement'!$I$13)</f>
        <v>2420</v>
      </c>
      <c r="J745" s="25">
        <f t="shared" si="523"/>
        <v>7896.2379798201846</v>
      </c>
      <c r="K745" s="25">
        <f t="shared" si="524"/>
        <v>20367.195264578786</v>
      </c>
      <c r="L745" s="25"/>
      <c r="N745" s="25">
        <f>'Combined Retirement'!$C$18/12</f>
        <v>39153.069999999992</v>
      </c>
      <c r="O745" s="25">
        <f t="shared" si="525"/>
        <v>10889.636755601023</v>
      </c>
      <c r="P745" s="25">
        <f t="shared" si="526"/>
        <v>28263.43324439897</v>
      </c>
      <c r="Q745" s="25">
        <f t="array" aca="1" ref="Q745" ca="1">INDEX('Isaac 401k'!L:L,MATCH('Retirement Calculator'!A745,'Isaac 401k'!N:N,0),0)</f>
        <v>1027541.3522447271</v>
      </c>
      <c r="R745" s="25">
        <f t="array" aca="1" ref="R745" ca="1">INDEX('Lorri 401b'!L:L,MATCH('Retirement Calculator'!A745,'Lorri 401b'!N:N,0),0)</f>
        <v>-3138113.7543687858</v>
      </c>
      <c r="S745" s="25">
        <f t="shared" ca="1" si="527"/>
        <v>-2110572.4021240585</v>
      </c>
    </row>
    <row r="746" spans="1:19" ht="15.75" customHeight="1" x14ac:dyDescent="0.3">
      <c r="A746" s="37">
        <v>73659</v>
      </c>
      <c r="B746" s="398">
        <f t="shared" ref="B746:C746" si="752">($A746-B$9)/365.25</f>
        <v>119.78918548939083</v>
      </c>
      <c r="C746" s="398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3254.2644699519233</v>
      </c>
      <c r="H746" s="25">
        <f>IF(B746&lt;62,0,'Combined Retirement'!$I$14)</f>
        <v>2345</v>
      </c>
      <c r="I746" s="25">
        <f>IF(C746&lt;62,0,'Combined Retirement'!$I$13)</f>
        <v>2420</v>
      </c>
      <c r="J746" s="25">
        <f t="shared" si="523"/>
        <v>7896.2379798201846</v>
      </c>
      <c r="K746" s="25">
        <f t="shared" si="524"/>
        <v>20367.195264578786</v>
      </c>
      <c r="L746" s="25"/>
      <c r="N746" s="25">
        <f>'Combined Retirement'!$C$18/12</f>
        <v>39153.069999999992</v>
      </c>
      <c r="O746" s="25">
        <f t="shared" si="525"/>
        <v>10889.636755601023</v>
      </c>
      <c r="P746" s="25">
        <f t="shared" si="526"/>
        <v>28263.43324439897</v>
      </c>
      <c r="Q746" s="25">
        <f t="array" aca="1" ref="Q746" ca="1">INDEX('Isaac 401k'!L:L,MATCH('Retirement Calculator'!A746,'Isaac 401k'!N:N,0),0)</f>
        <v>1023893.635574344</v>
      </c>
      <c r="R746" s="25">
        <f t="array" aca="1" ref="R746" ca="1">INDEX('Lorri 401b'!L:L,MATCH('Retirement Calculator'!A746,'Lorri 401b'!N:N,0),0)</f>
        <v>-3171641.2869235035</v>
      </c>
      <c r="S746" s="25">
        <f t="shared" ca="1" si="527"/>
        <v>-2147747.6513491594</v>
      </c>
    </row>
    <row r="747" spans="1:19" ht="15.75" customHeight="1" x14ac:dyDescent="0.3">
      <c r="A747" s="37">
        <v>73689</v>
      </c>
      <c r="B747" s="398">
        <f t="shared" ref="B747:C747" si="753">($A747-B$9)/365.25</f>
        <v>119.87132101300479</v>
      </c>
      <c r="C747" s="398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3254.2644699519233</v>
      </c>
      <c r="H747" s="25">
        <f>IF(B747&lt;62,0,'Combined Retirement'!$I$14)</f>
        <v>2345</v>
      </c>
      <c r="I747" s="25">
        <f>IF(C747&lt;62,0,'Combined Retirement'!$I$13)</f>
        <v>2420</v>
      </c>
      <c r="J747" s="25">
        <f t="shared" si="523"/>
        <v>7896.2379798201846</v>
      </c>
      <c r="K747" s="25">
        <f t="shared" si="524"/>
        <v>20367.195264578786</v>
      </c>
      <c r="L747" s="25"/>
      <c r="N747" s="25">
        <f>'Combined Retirement'!$C$18/12</f>
        <v>39153.069999999992</v>
      </c>
      <c r="O747" s="25">
        <f t="shared" si="525"/>
        <v>10889.636755601023</v>
      </c>
      <c r="P747" s="25">
        <f t="shared" si="526"/>
        <v>28263.43324439897</v>
      </c>
      <c r="Q747" s="25">
        <f t="array" aca="1" ref="Q747" ca="1">INDEX('Isaac 401k'!L:L,MATCH('Retirement Calculator'!A747,'Isaac 401k'!N:N,0),0)</f>
        <v>1020230.720084501</v>
      </c>
      <c r="R747" s="25">
        <f t="array" aca="1" ref="R747" ca="1">INDEX('Lorri 401b'!L:L,MATCH('Retirement Calculator'!A747,'Lorri 401b'!N:N,0),0)</f>
        <v>-3205308.5175305326</v>
      </c>
      <c r="S747" s="25">
        <f t="shared" ca="1" si="527"/>
        <v>-2185077.7974460316</v>
      </c>
    </row>
    <row r="748" spans="1:19" ht="15.75" customHeight="1" x14ac:dyDescent="0.3">
      <c r="A748" s="37">
        <v>73720</v>
      </c>
      <c r="B748" s="398">
        <f t="shared" ref="B748:C748" si="754">($A748-B$9)/365.25</f>
        <v>119.95619438740589</v>
      </c>
      <c r="C748" s="398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3254.2644699519233</v>
      </c>
      <c r="H748" s="25">
        <f>IF(B748&lt;62,0,'Combined Retirement'!$I$14)</f>
        <v>2345</v>
      </c>
      <c r="I748" s="25">
        <f>IF(C748&lt;62,0,'Combined Retirement'!$I$13)</f>
        <v>2420</v>
      </c>
      <c r="J748" s="25">
        <f t="shared" si="523"/>
        <v>7896.2379798201846</v>
      </c>
      <c r="K748" s="25">
        <f t="shared" si="524"/>
        <v>20367.195264578786</v>
      </c>
      <c r="L748" s="25"/>
      <c r="N748" s="25">
        <f>'Combined Retirement'!$C$18/12</f>
        <v>39153.069999999992</v>
      </c>
      <c r="O748" s="25">
        <f t="shared" si="525"/>
        <v>10889.636755601023</v>
      </c>
      <c r="P748" s="25">
        <f t="shared" si="526"/>
        <v>28263.43324439897</v>
      </c>
      <c r="Q748" s="25">
        <f t="array" aca="1" ref="Q748" ca="1">INDEX('Isaac 401k'!L:L,MATCH('Retirement Calculator'!A748,'Isaac 401k'!N:N,0),0)</f>
        <v>1016552.5424467836</v>
      </c>
      <c r="R748" s="25">
        <f t="array" aca="1" ref="R748" ca="1">INDEX('Lorri 401b'!L:L,MATCH('Retirement Calculator'!A748,'Lorri 401b'!N:N,0),0)</f>
        <v>-3239116.0282650911</v>
      </c>
      <c r="S748" s="25">
        <f t="shared" ca="1" si="527"/>
        <v>-2222563.4858183074</v>
      </c>
    </row>
    <row r="749" spans="1:19" ht="15.75" customHeight="1" x14ac:dyDescent="0.3">
      <c r="A749" s="37">
        <v>73750</v>
      </c>
      <c r="B749" s="398">
        <f t="shared" ref="B749:C749" si="755">($A749-B$9)/365.25</f>
        <v>120.03832991101984</v>
      </c>
      <c r="C749" s="398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3254.2644699519233</v>
      </c>
      <c r="H749" s="25">
        <f>IF(B749&lt;62,0,'Combined Retirement'!$I$14)</f>
        <v>2345</v>
      </c>
      <c r="I749" s="25">
        <f>IF(C749&lt;62,0,'Combined Retirement'!$I$13)</f>
        <v>2420</v>
      </c>
      <c r="J749" s="25">
        <f t="shared" si="523"/>
        <v>7896.2379798201846</v>
      </c>
      <c r="K749" s="25">
        <f t="shared" si="524"/>
        <v>20367.195264578786</v>
      </c>
      <c r="L749" s="25"/>
      <c r="N749" s="25">
        <f>'Combined Retirement'!$C$18/12</f>
        <v>39153.069999999992</v>
      </c>
      <c r="O749" s="25">
        <f t="shared" si="525"/>
        <v>10889.636755601023</v>
      </c>
      <c r="P749" s="25">
        <f t="shared" si="526"/>
        <v>28263.43324439897</v>
      </c>
      <c r="Q749" s="25">
        <f t="array" aca="1" ref="Q749" ca="1">INDEX('Isaac 401k'!L:L,MATCH('Retirement Calculator'!A749,'Isaac 401k'!N:N,0),0)</f>
        <v>1012859.0390689091</v>
      </c>
      <c r="R749" s="25">
        <f t="array" aca="1" ref="R749" ca="1">INDEX('Lorri 401b'!L:L,MATCH('Retirement Calculator'!A749,'Lorri 401b'!N:N,0),0)</f>
        <v>-3273064.4036277104</v>
      </c>
      <c r="S749" s="25">
        <f t="shared" ca="1" si="527"/>
        <v>-2260205.3645588011</v>
      </c>
    </row>
    <row r="750" spans="1:19" ht="15.75" customHeight="1" x14ac:dyDescent="0.3">
      <c r="A750" s="37">
        <v>73781</v>
      </c>
      <c r="B750" s="398">
        <f t="shared" ref="B750:C750" si="756">($A750-B$9)/365.25</f>
        <v>120.12320328542094</v>
      </c>
      <c r="C750" s="398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3254.2644699519233</v>
      </c>
      <c r="H750" s="25">
        <f>IF(B750&lt;62,0,'Combined Retirement'!$I$14)</f>
        <v>2345</v>
      </c>
      <c r="I750" s="25">
        <f>IF(C750&lt;62,0,'Combined Retirement'!$I$13)</f>
        <v>2420</v>
      </c>
      <c r="J750" s="25">
        <f t="shared" si="523"/>
        <v>7896.2379798201846</v>
      </c>
      <c r="K750" s="25">
        <f t="shared" si="524"/>
        <v>20367.195264578786</v>
      </c>
      <c r="L750" s="25"/>
      <c r="N750" s="25">
        <f>'Combined Retirement'!$C$18/12</f>
        <v>39153.069999999992</v>
      </c>
      <c r="O750" s="25">
        <f t="shared" si="525"/>
        <v>10889.636755601023</v>
      </c>
      <c r="P750" s="25">
        <f t="shared" si="526"/>
        <v>28263.43324439897</v>
      </c>
      <c r="Q750" s="25">
        <f t="array" aca="1" ref="Q750" ca="1">INDEX('Isaac 401k'!L:L,MATCH('Retirement Calculator'!A750,'Isaac 401k'!N:N,0),0)</f>
        <v>1009150.1460936267</v>
      </c>
      <c r="R750" s="25">
        <f t="array" aca="1" ref="R750" ca="1">INDEX('Lorri 401b'!L:L,MATCH('Retirement Calculator'!A750,'Lorri 401b'!N:N,0),0)</f>
        <v>-3307154.2305543404</v>
      </c>
      <c r="S750" s="25">
        <f t="shared" ca="1" si="527"/>
        <v>-2298004.0844607139</v>
      </c>
    </row>
    <row r="751" spans="1:19" ht="15.75" customHeight="1" x14ac:dyDescent="0.3">
      <c r="A751" s="37">
        <v>73812</v>
      </c>
      <c r="B751" s="398">
        <f t="shared" ref="B751:C751" si="757">($A751-B$9)/365.25</f>
        <v>120.20807665982204</v>
      </c>
      <c r="C751" s="398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3254.2644699519233</v>
      </c>
      <c r="H751" s="25">
        <f>IF(B751&lt;62,0,'Combined Retirement'!$I$14)</f>
        <v>2345</v>
      </c>
      <c r="I751" s="25">
        <f>IF(C751&lt;62,0,'Combined Retirement'!$I$13)</f>
        <v>2420</v>
      </c>
      <c r="J751" s="25">
        <f t="shared" si="523"/>
        <v>7896.2379798201846</v>
      </c>
      <c r="K751" s="25">
        <f t="shared" si="524"/>
        <v>20367.195264578786</v>
      </c>
      <c r="L751" s="25"/>
      <c r="N751" s="25">
        <f>'Combined Retirement'!$C$18/12</f>
        <v>39153.069999999992</v>
      </c>
      <c r="O751" s="25">
        <f t="shared" si="525"/>
        <v>10889.636755601023</v>
      </c>
      <c r="P751" s="25">
        <f t="shared" si="526"/>
        <v>28263.43324439897</v>
      </c>
      <c r="Q751" s="25">
        <f t="array" aca="1" ref="Q751" ca="1">INDEX('Isaac 401k'!L:L,MATCH('Retirement Calculator'!A751,'Isaac 401k'!N:N,0),0)</f>
        <v>1005425.7993976141</v>
      </c>
      <c r="R751" s="25">
        <f t="array" aca="1" ref="R751" ca="1">INDEX('Lorri 401b'!L:L,MATCH('Retirement Calculator'!A751,'Lorri 401b'!N:N,0),0)</f>
        <v>-3341386.098426498</v>
      </c>
      <c r="S751" s="25">
        <f t="shared" ca="1" si="527"/>
        <v>-2335960.2990288837</v>
      </c>
    </row>
    <row r="752" spans="1:19" ht="15.75" customHeight="1" x14ac:dyDescent="0.3">
      <c r="A752" s="37">
        <v>73840</v>
      </c>
      <c r="B752" s="398">
        <f t="shared" ref="B752:C752" si="758">($A752-B$9)/365.25</f>
        <v>120.28473648186174</v>
      </c>
      <c r="C752" s="398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3254.2644699519233</v>
      </c>
      <c r="H752" s="25">
        <f>IF(B752&lt;62,0,'Combined Retirement'!$I$14)</f>
        <v>2345</v>
      </c>
      <c r="I752" s="25">
        <f>IF(C752&lt;62,0,'Combined Retirement'!$I$13)</f>
        <v>2420</v>
      </c>
      <c r="J752" s="25">
        <f t="shared" si="523"/>
        <v>7896.2379798201846</v>
      </c>
      <c r="K752" s="25">
        <f t="shared" si="524"/>
        <v>20367.195264578786</v>
      </c>
      <c r="L752" s="25"/>
      <c r="N752" s="25">
        <f>'Combined Retirement'!$C$18/12</f>
        <v>39153.069999999992</v>
      </c>
      <c r="O752" s="25">
        <f t="shared" si="525"/>
        <v>10889.636755601023</v>
      </c>
      <c r="P752" s="25">
        <f t="shared" si="526"/>
        <v>28263.43324439897</v>
      </c>
      <c r="Q752" s="25">
        <f t="array" aca="1" ref="Q752" ca="1">INDEX('Isaac 401k'!L:L,MATCH('Retirement Calculator'!A752,'Isaac 401k'!N:N,0),0)</f>
        <v>1001685.9345903679</v>
      </c>
      <c r="R752" s="25">
        <f t="array" aca="1" ref="R752" ca="1">INDEX('Lorri 401b'!L:L,MATCH('Retirement Calculator'!A752,'Lorri 401b'!N:N,0),0)</f>
        <v>-3375760.5990814562</v>
      </c>
      <c r="S752" s="25">
        <f t="shared" ca="1" si="527"/>
        <v>-2374074.6644910881</v>
      </c>
    </row>
    <row r="753" spans="1:19" ht="15.75" customHeight="1" x14ac:dyDescent="0.3">
      <c r="A753" s="37">
        <v>73871</v>
      </c>
      <c r="B753" s="398">
        <f t="shared" ref="B753:C753" si="759">($A753-B$9)/365.25</f>
        <v>120.36960985626284</v>
      </c>
      <c r="C753" s="398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3254.2644699519233</v>
      </c>
      <c r="H753" s="25">
        <f>IF(B753&lt;62,0,'Combined Retirement'!$I$14)</f>
        <v>2345</v>
      </c>
      <c r="I753" s="25">
        <f>IF(C753&lt;62,0,'Combined Retirement'!$I$13)</f>
        <v>2420</v>
      </c>
      <c r="J753" s="25">
        <f t="shared" si="523"/>
        <v>7896.2379798201846</v>
      </c>
      <c r="K753" s="25">
        <f t="shared" si="524"/>
        <v>20367.195264578786</v>
      </c>
      <c r="L753" s="25"/>
      <c r="N753" s="25">
        <f>'Combined Retirement'!$C$18/12</f>
        <v>39153.069999999992</v>
      </c>
      <c r="O753" s="25">
        <f t="shared" si="525"/>
        <v>10889.636755601023</v>
      </c>
      <c r="P753" s="25">
        <f t="shared" si="526"/>
        <v>28263.43324439897</v>
      </c>
      <c r="Q753" s="25">
        <f t="array" aca="1" ref="Q753" ca="1">INDEX('Isaac 401k'!L:L,MATCH('Retirement Calculator'!A753,'Isaac 401k'!N:N,0),0)</f>
        <v>997930.48701309168</v>
      </c>
      <c r="R753" s="25">
        <f t="array" aca="1" ref="R753" ca="1">INDEX('Lorri 401b'!L:L,MATCH('Retirement Calculator'!A753,'Lorri 401b'!N:N,0),0)</f>
        <v>-3410278.3268224769</v>
      </c>
      <c r="S753" s="25">
        <f t="shared" ca="1" si="527"/>
        <v>-2412347.8398093851</v>
      </c>
    </row>
    <row r="754" spans="1:19" ht="15.75" customHeight="1" x14ac:dyDescent="0.3">
      <c r="A754" s="37">
        <v>73901</v>
      </c>
      <c r="B754" s="398">
        <f t="shared" ref="B754:C754" si="760">($A754-B$9)/365.25</f>
        <v>120.4517453798768</v>
      </c>
      <c r="C754" s="398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3254.2644699519233</v>
      </c>
      <c r="H754" s="25">
        <f>IF(B754&lt;62,0,'Combined Retirement'!$I$14)</f>
        <v>2345</v>
      </c>
      <c r="I754" s="25">
        <f>IF(C754&lt;62,0,'Combined Retirement'!$I$13)</f>
        <v>2420</v>
      </c>
      <c r="J754" s="25">
        <f t="shared" si="523"/>
        <v>7896.2379798201846</v>
      </c>
      <c r="K754" s="25">
        <f t="shared" si="524"/>
        <v>20367.195264578786</v>
      </c>
      <c r="L754" s="25"/>
      <c r="N754" s="25">
        <f>'Combined Retirement'!$C$18/12</f>
        <v>39153.069999999992</v>
      </c>
      <c r="O754" s="25">
        <f t="shared" si="525"/>
        <v>10889.636755601023</v>
      </c>
      <c r="P754" s="25">
        <f t="shared" si="526"/>
        <v>28263.43324439897</v>
      </c>
      <c r="Q754" s="25">
        <f t="array" aca="1" ref="Q754" ca="1">INDEX('Isaac 401k'!L:L,MATCH('Retirement Calculator'!A754,'Isaac 401k'!N:N,0),0)</f>
        <v>994159.39173757681</v>
      </c>
      <c r="R754" s="25">
        <f t="array" aca="1" ref="R754" ca="1">INDEX('Lorri 401b'!L:L,MATCH('Retirement Calculator'!A754,'Lorri 401b'!N:N,0),0)</f>
        <v>-3444939.878429085</v>
      </c>
      <c r="S754" s="25">
        <f t="shared" ca="1" si="527"/>
        <v>-2450780.4866915084</v>
      </c>
    </row>
    <row r="755" spans="1:19" ht="15.75" customHeight="1" x14ac:dyDescent="0.3">
      <c r="A755" s="37">
        <v>73932</v>
      </c>
      <c r="B755" s="398">
        <f t="shared" ref="B755:C755" si="761">($A755-B$9)/365.25</f>
        <v>120.5366187542779</v>
      </c>
      <c r="C755" s="398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3254.2644699519233</v>
      </c>
      <c r="H755" s="25">
        <f>IF(B755&lt;62,0,'Combined Retirement'!$I$14)</f>
        <v>2345</v>
      </c>
      <c r="I755" s="25">
        <f>IF(C755&lt;62,0,'Combined Retirement'!$I$13)</f>
        <v>2420</v>
      </c>
      <c r="J755" s="25">
        <f t="shared" si="523"/>
        <v>7896.2379798201846</v>
      </c>
      <c r="K755" s="25">
        <f t="shared" si="524"/>
        <v>20367.195264578786</v>
      </c>
      <c r="L755" s="25"/>
      <c r="N755" s="25">
        <f>'Combined Retirement'!$C$18/12</f>
        <v>39153.069999999992</v>
      </c>
      <c r="O755" s="25">
        <f t="shared" si="525"/>
        <v>10889.636755601023</v>
      </c>
      <c r="P755" s="25">
        <f t="shared" si="526"/>
        <v>28263.43324439897</v>
      </c>
      <c r="Q755" s="25">
        <f t="array" aca="1" ref="Q755" ca="1">INDEX('Isaac 401k'!L:L,MATCH('Retirement Calculator'!A755,'Isaac 401k'!N:N,0),0)</f>
        <v>990372.58356508054</v>
      </c>
      <c r="R755" s="25">
        <f t="array" aca="1" ref="R755" ca="1">INDEX('Lorri 401b'!L:L,MATCH('Retirement Calculator'!A755,'Lorri 401b'!N:N,0),0)</f>
        <v>-3479745.8531673872</v>
      </c>
      <c r="S755" s="25">
        <f t="shared" ca="1" si="527"/>
        <v>-2489373.2696023067</v>
      </c>
    </row>
    <row r="756" spans="1:19" ht="15.75" customHeight="1" x14ac:dyDescent="0.3">
      <c r="A756" s="37">
        <v>73962</v>
      </c>
      <c r="B756" s="398">
        <f t="shared" ref="B756:C756" si="762">($A756-B$9)/365.25</f>
        <v>120.61875427789185</v>
      </c>
      <c r="C756" s="398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3254.2644699519233</v>
      </c>
      <c r="H756" s="25">
        <f>IF(B756&lt;62,0,'Combined Retirement'!$I$14)</f>
        <v>2345</v>
      </c>
      <c r="I756" s="25">
        <f>IF(C756&lt;62,0,'Combined Retirement'!$I$13)</f>
        <v>2420</v>
      </c>
      <c r="J756" s="25">
        <f t="shared" si="523"/>
        <v>7896.2379798201846</v>
      </c>
      <c r="K756" s="25">
        <f t="shared" si="524"/>
        <v>20367.195264578786</v>
      </c>
      <c r="L756" s="25"/>
      <c r="N756" s="25">
        <f>'Combined Retirement'!$C$18/12</f>
        <v>39153.069999999992</v>
      </c>
      <c r="O756" s="25">
        <f t="shared" si="525"/>
        <v>10889.636755601023</v>
      </c>
      <c r="P756" s="25">
        <f t="shared" si="526"/>
        <v>28263.43324439897</v>
      </c>
      <c r="Q756" s="25">
        <f t="array" aca="1" ref="Q756" ca="1">INDEX('Isaac 401k'!L:L,MATCH('Retirement Calculator'!A756,'Isaac 401k'!N:N,0),0)</f>
        <v>986569.99702519889</v>
      </c>
      <c r="R756" s="25">
        <f t="array" aca="1" ref="R756" ca="1">INDEX('Lorri 401b'!L:L,MATCH('Retirement Calculator'!A756,'Lorri 401b'!N:N,0),0)</f>
        <v>-3514696.8528004326</v>
      </c>
      <c r="S756" s="25">
        <f t="shared" ca="1" si="527"/>
        <v>-2528126.8557752338</v>
      </c>
    </row>
    <row r="757" spans="1:19" ht="15.75" customHeight="1" x14ac:dyDescent="0.3">
      <c r="A757" s="37">
        <v>73993</v>
      </c>
      <c r="B757" s="398">
        <f t="shared" ref="B757:C757" si="763">($A757-B$9)/365.25</f>
        <v>120.70362765229295</v>
      </c>
      <c r="C757" s="398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3254.2644699519233</v>
      </c>
      <c r="H757" s="25">
        <f>IF(B757&lt;62,0,'Combined Retirement'!$I$14)</f>
        <v>2345</v>
      </c>
      <c r="I757" s="25">
        <f>IF(C757&lt;62,0,'Combined Retirement'!$I$13)</f>
        <v>2420</v>
      </c>
      <c r="J757" s="25">
        <f t="shared" si="523"/>
        <v>7896.2379798201846</v>
      </c>
      <c r="K757" s="25">
        <f t="shared" si="524"/>
        <v>20367.195264578786</v>
      </c>
      <c r="L757" s="25"/>
      <c r="N757" s="25">
        <f>'Combined Retirement'!$C$18/12</f>
        <v>39153.069999999992</v>
      </c>
      <c r="O757" s="25">
        <f t="shared" si="525"/>
        <v>10889.636755601023</v>
      </c>
      <c r="P757" s="25">
        <f t="shared" si="526"/>
        <v>28263.43324439897</v>
      </c>
      <c r="Q757" s="25">
        <f t="array" aca="1" ref="Q757" ca="1">INDEX('Isaac 401k'!L:L,MATCH('Retirement Calculator'!A757,'Isaac 401k'!N:N,0),0)</f>
        <v>982751.56637473439</v>
      </c>
      <c r="R757" s="25">
        <f t="array" aca="1" ref="R757" ca="1">INDEX('Lorri 401b'!L:L,MATCH('Retirement Calculator'!A757,'Lorri 401b'!N:N,0),0)</f>
        <v>-3549793.4815986156</v>
      </c>
      <c r="S757" s="25">
        <f t="shared" ca="1" si="527"/>
        <v>-2567041.9152238811</v>
      </c>
    </row>
    <row r="758" spans="1:19" ht="15.75" customHeight="1" x14ac:dyDescent="0.3">
      <c r="A758" s="37">
        <v>74024</v>
      </c>
      <c r="B758" s="398">
        <f t="shared" ref="B758:C758" si="764">($A758-B$9)/365.25</f>
        <v>120.78850102669405</v>
      </c>
      <c r="C758" s="398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3254.2644699519233</v>
      </c>
      <c r="H758" s="25">
        <f>IF(B758&lt;62,0,'Combined Retirement'!$I$14)</f>
        <v>2345</v>
      </c>
      <c r="I758" s="25">
        <f>IF(C758&lt;62,0,'Combined Retirement'!$I$13)</f>
        <v>2420</v>
      </c>
      <c r="J758" s="25">
        <f t="shared" si="523"/>
        <v>7896.2379798201846</v>
      </c>
      <c r="K758" s="25">
        <f t="shared" si="524"/>
        <v>20367.195264578786</v>
      </c>
      <c r="L758" s="25"/>
      <c r="N758" s="25">
        <f>'Combined Retirement'!$C$18/12</f>
        <v>39153.069999999992</v>
      </c>
      <c r="O758" s="25">
        <f t="shared" si="525"/>
        <v>10889.636755601023</v>
      </c>
      <c r="P758" s="25">
        <f t="shared" si="526"/>
        <v>28263.43324439897</v>
      </c>
      <c r="Q758" s="25">
        <f t="array" aca="1" ref="Q758" ca="1">INDEX('Isaac 401k'!L:L,MATCH('Retirement Calculator'!A758,'Isaac 401k'!N:N,0),0)</f>
        <v>978917.22559655958</v>
      </c>
      <c r="R758" s="25">
        <f t="array" aca="1" ref="R758" ca="1">INDEX('Lorri 401b'!L:L,MATCH('Retirement Calculator'!A758,'Lorri 401b'!N:N,0),0)</f>
        <v>-3585036.3463501246</v>
      </c>
      <c r="S758" s="25">
        <f t="shared" ca="1" si="527"/>
        <v>-2606119.1207535649</v>
      </c>
    </row>
    <row r="759" spans="1:19" ht="15.75" customHeight="1" x14ac:dyDescent="0.3">
      <c r="A759" s="37">
        <v>74054</v>
      </c>
      <c r="B759" s="398">
        <f t="shared" ref="B759:C759" si="765">($A759-B$9)/365.25</f>
        <v>120.87063655030801</v>
      </c>
      <c r="C759" s="398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3254.2644699519233</v>
      </c>
      <c r="H759" s="25">
        <f>IF(B759&lt;62,0,'Combined Retirement'!$I$14)</f>
        <v>2345</v>
      </c>
      <c r="I759" s="25">
        <f>IF(C759&lt;62,0,'Combined Retirement'!$I$13)</f>
        <v>2420</v>
      </c>
      <c r="J759" s="25">
        <f t="shared" si="523"/>
        <v>7896.2379798201846</v>
      </c>
      <c r="K759" s="25">
        <f t="shared" si="524"/>
        <v>20367.195264578786</v>
      </c>
      <c r="L759" s="25"/>
      <c r="N759" s="25">
        <f>'Combined Retirement'!$C$18/12</f>
        <v>39153.069999999992</v>
      </c>
      <c r="O759" s="25">
        <f t="shared" si="525"/>
        <v>10889.636755601023</v>
      </c>
      <c r="P759" s="25">
        <f t="shared" si="526"/>
        <v>28263.43324439897</v>
      </c>
      <c r="Q759" s="25">
        <f t="array" aca="1" ref="Q759" ca="1">INDEX('Isaac 401k'!L:L,MATCH('Retirement Calculator'!A759,'Isaac 401k'!N:N,0),0)</f>
        <v>975066.90839847573</v>
      </c>
      <c r="R759" s="25">
        <f t="array" aca="1" ref="R759" ca="1">INDEX('Lorri 401b'!L:L,MATCH('Retirement Calculator'!A759,'Lorri 401b'!N:N,0),0)</f>
        <v>-3620426.0563714313</v>
      </c>
      <c r="S759" s="25">
        <f t="shared" ca="1" si="527"/>
        <v>-2645359.1479729554</v>
      </c>
    </row>
    <row r="760" spans="1:19" ht="15.75" customHeight="1" x14ac:dyDescent="0.3">
      <c r="A760" s="37">
        <v>74085</v>
      </c>
      <c r="B760" s="398">
        <f t="shared" ref="B760:C760" si="766">($A760-B$9)/365.25</f>
        <v>120.95550992470911</v>
      </c>
      <c r="C760" s="398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3254.2644699519233</v>
      </c>
      <c r="H760" s="25">
        <f>IF(B760&lt;62,0,'Combined Retirement'!$I$14)</f>
        <v>2345</v>
      </c>
      <c r="I760" s="25">
        <f>IF(C760&lt;62,0,'Combined Retirement'!$I$13)</f>
        <v>2420</v>
      </c>
      <c r="J760" s="25">
        <f t="shared" si="523"/>
        <v>7896.2379798201846</v>
      </c>
      <c r="K760" s="25">
        <f t="shared" si="524"/>
        <v>20367.195264578786</v>
      </c>
      <c r="L760" s="25"/>
      <c r="N760" s="25">
        <f>'Combined Retirement'!$C$18/12</f>
        <v>39153.069999999992</v>
      </c>
      <c r="O760" s="25">
        <f t="shared" si="525"/>
        <v>10889.636755601023</v>
      </c>
      <c r="P760" s="25">
        <f t="shared" si="526"/>
        <v>28263.43324439897</v>
      </c>
      <c r="Q760" s="25">
        <f t="array" aca="1" ref="Q760" ca="1">INDEX('Isaac 401k'!L:L,MATCH('Retirement Calculator'!A760,'Isaac 401k'!N:N,0),0)</f>
        <v>971200.54821206653</v>
      </c>
      <c r="R760" s="25">
        <f t="array" aca="1" ref="R760" ca="1">INDEX('Lorri 401b'!L:L,MATCH('Retirement Calculator'!A760,'Lorri 401b'!N:N,0),0)</f>
        <v>-3655963.2235178268</v>
      </c>
      <c r="S760" s="25">
        <f t="shared" ca="1" si="527"/>
        <v>-2684762.6753057605</v>
      </c>
    </row>
    <row r="761" spans="1:19" ht="15.75" customHeight="1" x14ac:dyDescent="0.3">
      <c r="A761" s="37">
        <v>74115</v>
      </c>
      <c r="B761" s="398">
        <f t="shared" ref="B761:C761" si="767">($A761-B$9)/365.25</f>
        <v>121.03764544832306</v>
      </c>
      <c r="C761" s="398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3254.2644699519233</v>
      </c>
      <c r="H761" s="25">
        <f>IF(B761&lt;62,0,'Combined Retirement'!$I$14)</f>
        <v>2345</v>
      </c>
      <c r="I761" s="25">
        <f>IF(C761&lt;62,0,'Combined Retirement'!$I$13)</f>
        <v>2420</v>
      </c>
      <c r="J761" s="25">
        <f t="shared" si="523"/>
        <v>7896.2379798201846</v>
      </c>
      <c r="K761" s="25">
        <f t="shared" si="524"/>
        <v>20367.195264578786</v>
      </c>
      <c r="L761" s="25"/>
      <c r="N761" s="25">
        <f>'Combined Retirement'!$C$18/12</f>
        <v>39153.069999999992</v>
      </c>
      <c r="O761" s="25">
        <f t="shared" si="525"/>
        <v>10889.636755601023</v>
      </c>
      <c r="P761" s="25">
        <f t="shared" si="526"/>
        <v>28263.43324439897</v>
      </c>
      <c r="Q761" s="25">
        <f t="array" aca="1" ref="Q761" ca="1">INDEX('Isaac 401k'!L:L,MATCH('Retirement Calculator'!A761,'Isaac 401k'!N:N,0),0)</f>
        <v>967318.07819154731</v>
      </c>
      <c r="R761" s="25">
        <f t="array" aca="1" ref="R761" ca="1">INDEX('Lorri 401b'!L:L,MATCH('Retirement Calculator'!A761,'Lorri 401b'!N:N,0),0)</f>
        <v>-3691648.462193999</v>
      </c>
      <c r="S761" s="25">
        <f t="shared" ca="1" si="527"/>
        <v>-2724330.3840024518</v>
      </c>
    </row>
    <row r="762" spans="1:19" ht="15.75" customHeight="1" x14ac:dyDescent="0.3">
      <c r="A762" s="37">
        <v>74146</v>
      </c>
      <c r="B762" s="398">
        <f t="shared" ref="B762:C762" si="768">($A762-B$9)/365.25</f>
        <v>121.12251882272416</v>
      </c>
      <c r="C762" s="398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3254.2644699519233</v>
      </c>
      <c r="H762" s="25">
        <f>IF(B762&lt;62,0,'Combined Retirement'!$I$14)</f>
        <v>2345</v>
      </c>
      <c r="I762" s="25">
        <f>IF(C762&lt;62,0,'Combined Retirement'!$I$13)</f>
        <v>2420</v>
      </c>
      <c r="J762" s="25">
        <f t="shared" si="523"/>
        <v>7896.2379798201846</v>
      </c>
      <c r="K762" s="25">
        <f t="shared" si="524"/>
        <v>20367.195264578786</v>
      </c>
      <c r="L762" s="25"/>
      <c r="N762" s="25">
        <f>'Combined Retirement'!$C$18/12</f>
        <v>39153.069999999992</v>
      </c>
      <c r="O762" s="25">
        <f t="shared" si="525"/>
        <v>10889.636755601023</v>
      </c>
      <c r="P762" s="25">
        <f t="shared" si="526"/>
        <v>28263.43324439897</v>
      </c>
      <c r="Q762" s="25">
        <f t="array" aca="1" ref="Q762" ca="1">INDEX('Isaac 401k'!L:L,MATCH('Retirement Calculator'!A762,'Isaac 401k'!N:N,0),0)</f>
        <v>963419.43121260928</v>
      </c>
      <c r="R762" s="25">
        <f t="array" aca="1" ref="R762" ca="1">INDEX('Lorri 401b'!L:L,MATCH('Retirement Calculator'!A762,'Lorri 401b'!N:N,0),0)</f>
        <v>-3727482.3893646551</v>
      </c>
      <c r="S762" s="25">
        <f t="shared" ca="1" si="527"/>
        <v>-2764062.958152046</v>
      </c>
    </row>
    <row r="763" spans="1:19" ht="15.75" customHeight="1" x14ac:dyDescent="0.3">
      <c r="A763" s="37">
        <v>74177</v>
      </c>
      <c r="B763" s="398">
        <f t="shared" ref="B763:C763" si="769">($A763-B$9)/365.25</f>
        <v>121.20739219712526</v>
      </c>
      <c r="C763" s="398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3254.2644699519233</v>
      </c>
      <c r="H763" s="25">
        <f>IF(B763&lt;62,0,'Combined Retirement'!$I$14)</f>
        <v>2345</v>
      </c>
      <c r="I763" s="25">
        <f>IF(C763&lt;62,0,'Combined Retirement'!$I$13)</f>
        <v>2420</v>
      </c>
      <c r="J763" s="25">
        <f t="shared" si="523"/>
        <v>7896.2379798201846</v>
      </c>
      <c r="K763" s="25">
        <f t="shared" si="524"/>
        <v>20367.195264578786</v>
      </c>
      <c r="L763" s="25"/>
      <c r="N763" s="25">
        <f>'Combined Retirement'!$C$18/12</f>
        <v>39153.069999999992</v>
      </c>
      <c r="O763" s="25">
        <f t="shared" si="525"/>
        <v>10889.636755601023</v>
      </c>
      <c r="P763" s="25">
        <f t="shared" si="526"/>
        <v>28263.43324439897</v>
      </c>
      <c r="Q763" s="25">
        <f t="array" aca="1" ref="Q763" ca="1">INDEX('Isaac 401k'!L:L,MATCH('Retirement Calculator'!A763,'Isaac 401k'!N:N,0),0)</f>
        <v>959504.53987125901</v>
      </c>
      <c r="R763" s="25">
        <f t="array" aca="1" ref="R763" ca="1">INDEX('Lorri 401b'!L:L,MATCH('Retirement Calculator'!A763,'Lorri 401b'!N:N,0),0)</f>
        <v>-3763465.6245651892</v>
      </c>
      <c r="S763" s="25">
        <f t="shared" ca="1" si="527"/>
        <v>-2803961.0846939301</v>
      </c>
    </row>
    <row r="764" spans="1:19" ht="15.75" customHeight="1" x14ac:dyDescent="0.3">
      <c r="A764" s="37">
        <v>74205</v>
      </c>
      <c r="B764" s="398">
        <f t="shared" ref="B764:C764" si="770">($A764-B$9)/365.25</f>
        <v>121.28405201916496</v>
      </c>
      <c r="C764" s="398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3254.2644699519233</v>
      </c>
      <c r="H764" s="25">
        <f>IF(B764&lt;62,0,'Combined Retirement'!$I$14)</f>
        <v>2345</v>
      </c>
      <c r="I764" s="25">
        <f>IF(C764&lt;62,0,'Combined Retirement'!$I$13)</f>
        <v>2420</v>
      </c>
      <c r="J764" s="25">
        <f t="shared" si="523"/>
        <v>7896.2379798201846</v>
      </c>
      <c r="K764" s="25">
        <f t="shared" si="524"/>
        <v>20367.195264578786</v>
      </c>
      <c r="L764" s="25"/>
      <c r="N764" s="25">
        <f>'Combined Retirement'!$C$18/12</f>
        <v>39153.069999999992</v>
      </c>
      <c r="O764" s="25">
        <f t="shared" si="525"/>
        <v>10889.636755601023</v>
      </c>
      <c r="P764" s="25">
        <f t="shared" si="526"/>
        <v>28263.43324439897</v>
      </c>
      <c r="Q764" s="25">
        <f t="array" aca="1" ref="Q764" ca="1">INDEX('Isaac 401k'!L:L,MATCH('Retirement Calculator'!A764,'Isaac 401k'!N:N,0),0)</f>
        <v>955573.33648265316</v>
      </c>
      <c r="R764" s="25">
        <f t="array" aca="1" ref="R764" ca="1">INDEX('Lorri 401b'!L:L,MATCH('Retirement Calculator'!A764,'Lorri 401b'!N:N,0),0)</f>
        <v>-3799598.7899123919</v>
      </c>
      <c r="S764" s="25">
        <f t="shared" ca="1" si="527"/>
        <v>-2844025.453429739</v>
      </c>
    </row>
    <row r="765" spans="1:19" ht="15.75" customHeight="1" x14ac:dyDescent="0.3">
      <c r="A765" s="37">
        <v>74236</v>
      </c>
      <c r="B765" s="398">
        <f t="shared" ref="B765:C765" si="771">($A765-B$9)/365.25</f>
        <v>121.36892539356604</v>
      </c>
      <c r="C765" s="398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3254.2644699519233</v>
      </c>
      <c r="H765" s="25">
        <f>IF(B765&lt;62,0,'Combined Retirement'!$I$14)</f>
        <v>2345</v>
      </c>
      <c r="I765" s="25">
        <f>IF(C765&lt;62,0,'Combined Retirement'!$I$13)</f>
        <v>2420</v>
      </c>
      <c r="J765" s="25">
        <f t="shared" si="523"/>
        <v>7896.2379798201846</v>
      </c>
      <c r="K765" s="25">
        <f t="shared" si="524"/>
        <v>20367.195264578786</v>
      </c>
      <c r="L765" s="25"/>
      <c r="N765" s="25">
        <f>'Combined Retirement'!$C$18/12</f>
        <v>39153.069999999992</v>
      </c>
      <c r="O765" s="25">
        <f t="shared" si="525"/>
        <v>10889.636755601023</v>
      </c>
      <c r="P765" s="25">
        <f t="shared" si="526"/>
        <v>28263.43324439897</v>
      </c>
      <c r="Q765" s="25">
        <f t="array" aca="1" ref="Q765" ca="1">INDEX('Isaac 401k'!L:L,MATCH('Retirement Calculator'!A765,'Isaac 401k'!N:N,0),0)</f>
        <v>951625.75307992811</v>
      </c>
      <c r="R765" s="25">
        <f t="array" aca="1" ref="R765" ca="1">INDEX('Lorri 401b'!L:L,MATCH('Retirement Calculator'!A765,'Lorri 401b'!N:N,0),0)</f>
        <v>-3835882.5101152081</v>
      </c>
      <c r="S765" s="25">
        <f t="shared" ca="1" si="527"/>
        <v>-2884256.7570352801</v>
      </c>
    </row>
    <row r="766" spans="1:19" ht="15.75" customHeight="1" x14ac:dyDescent="0.3">
      <c r="A766" s="37">
        <v>74266</v>
      </c>
      <c r="B766" s="398">
        <f t="shared" ref="B766:C766" si="772">($A766-B$9)/365.25</f>
        <v>121.45106091718002</v>
      </c>
      <c r="C766" s="398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3254.2644699519233</v>
      </c>
      <c r="H766" s="25">
        <f>IF(B766&lt;62,0,'Combined Retirement'!$I$14)</f>
        <v>2345</v>
      </c>
      <c r="I766" s="25">
        <f>IF(C766&lt;62,0,'Combined Retirement'!$I$13)</f>
        <v>2420</v>
      </c>
      <c r="J766" s="25">
        <f t="shared" si="523"/>
        <v>7896.2379798201846</v>
      </c>
      <c r="K766" s="25">
        <f t="shared" si="524"/>
        <v>20367.195264578786</v>
      </c>
      <c r="L766" s="25"/>
      <c r="N766" s="25">
        <f>'Combined Retirement'!$C$18/12</f>
        <v>39153.069999999992</v>
      </c>
      <c r="O766" s="25">
        <f t="shared" si="525"/>
        <v>10889.636755601023</v>
      </c>
      <c r="P766" s="25">
        <f t="shared" si="526"/>
        <v>28263.43324439897</v>
      </c>
      <c r="Q766" s="25">
        <f t="array" aca="1" ref="Q766" ca="1">INDEX('Isaac 401k'!L:L,MATCH('Retirement Calculator'!A766,'Isaac 401k'!N:N,0),0)</f>
        <v>947661.72141302505</v>
      </c>
      <c r="R766" s="25">
        <f t="array" aca="1" ref="R766" ca="1">INDEX('Lorri 401b'!L:L,MATCH('Retirement Calculator'!A766,'Lorri 401b'!N:N,0),0)</f>
        <v>-3872317.4124855362</v>
      </c>
      <c r="S766" s="25">
        <f t="shared" ca="1" si="527"/>
        <v>-2924655.691072511</v>
      </c>
    </row>
    <row r="767" spans="1:19" ht="15.75" customHeight="1" x14ac:dyDescent="0.3">
      <c r="A767" s="37">
        <v>74297</v>
      </c>
      <c r="B767" s="398">
        <f t="shared" ref="B767:C767" si="773">($A767-B$9)/365.25</f>
        <v>121.53593429158111</v>
      </c>
      <c r="C767" s="398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3254.2644699519233</v>
      </c>
      <c r="H767" s="25">
        <f>IF(B767&lt;62,0,'Combined Retirement'!$I$14)</f>
        <v>2345</v>
      </c>
      <c r="I767" s="25">
        <f>IF(C767&lt;62,0,'Combined Retirement'!$I$13)</f>
        <v>2420</v>
      </c>
      <c r="J767" s="25">
        <f t="shared" si="523"/>
        <v>7896.2379798201846</v>
      </c>
      <c r="K767" s="25">
        <f t="shared" si="524"/>
        <v>20367.195264578786</v>
      </c>
      <c r="L767" s="25"/>
      <c r="N767" s="25">
        <f>'Combined Retirement'!$C$18/12</f>
        <v>39153.069999999992</v>
      </c>
      <c r="O767" s="25">
        <f t="shared" si="525"/>
        <v>10889.636755601023</v>
      </c>
      <c r="P767" s="25">
        <f t="shared" si="526"/>
        <v>28263.43324439897</v>
      </c>
      <c r="Q767" s="25">
        <f t="array" aca="1" ref="Q767" ca="1">INDEX('Isaac 401k'!L:L,MATCH('Retirement Calculator'!A767,'Isaac 401k'!N:N,0),0)</f>
        <v>943681.1729475098</v>
      </c>
      <c r="R767" s="25">
        <f t="array" aca="1" ref="R767" ca="1">INDEX('Lorri 401b'!L:L,MATCH('Retirement Calculator'!A767,'Lorri 401b'!N:N,0),0)</f>
        <v>-3908904.1269490737</v>
      </c>
      <c r="S767" s="25">
        <f t="shared" ca="1" si="527"/>
        <v>-2965222.9540015641</v>
      </c>
    </row>
    <row r="768" spans="1:19" ht="15.75" customHeight="1" x14ac:dyDescent="0.3">
      <c r="A768" s="37">
        <v>74327</v>
      </c>
      <c r="B768" s="398">
        <f t="shared" ref="B768:C768" si="774">($A768-B$9)/365.25</f>
        <v>121.61806981519507</v>
      </c>
      <c r="C768" s="398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3254.2644699519233</v>
      </c>
      <c r="H768" s="25">
        <f>IF(B768&lt;62,0,'Combined Retirement'!$I$14)</f>
        <v>2345</v>
      </c>
      <c r="I768" s="25">
        <f>IF(C768&lt;62,0,'Combined Retirement'!$I$13)</f>
        <v>2420</v>
      </c>
      <c r="J768" s="25">
        <f t="shared" si="523"/>
        <v>7896.2379798201846</v>
      </c>
      <c r="K768" s="25">
        <f t="shared" si="524"/>
        <v>20367.195264578786</v>
      </c>
      <c r="L768" s="25"/>
      <c r="N768" s="25">
        <f>'Combined Retirement'!$C$18/12</f>
        <v>39153.069999999992</v>
      </c>
      <c r="O768" s="25">
        <f t="shared" si="525"/>
        <v>10889.636755601023</v>
      </c>
      <c r="P768" s="25">
        <f t="shared" si="526"/>
        <v>28263.43324439897</v>
      </c>
      <c r="Q768" s="25">
        <f t="array" aca="1" ref="Q768" ca="1">INDEX('Isaac 401k'!L:L,MATCH('Retirement Calculator'!A768,'Isaac 401k'!N:N,0),0)</f>
        <v>939684.03886338824</v>
      </c>
      <c r="R768" s="25">
        <f t="array" aca="1" ref="R768" ca="1">INDEX('Lorri 401b'!L:L,MATCH('Retirement Calculator'!A768,'Lorri 401b'!N:N,0),0)</f>
        <v>-3945643.2860562094</v>
      </c>
      <c r="S768" s="25">
        <f t="shared" ca="1" si="527"/>
        <v>-3005959.247192821</v>
      </c>
    </row>
    <row r="769" spans="1:19" ht="15.75" customHeight="1" x14ac:dyDescent="0.3">
      <c r="A769" s="37">
        <v>74358</v>
      </c>
      <c r="B769" s="398">
        <f t="shared" ref="B769:C769" si="775">($A769-B$9)/365.25</f>
        <v>121.70294318959617</v>
      </c>
      <c r="C769" s="398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3254.2644699519233</v>
      </c>
      <c r="H769" s="25">
        <f>IF(B769&lt;62,0,'Combined Retirement'!$I$14)</f>
        <v>2345</v>
      </c>
      <c r="I769" s="25">
        <f>IF(C769&lt;62,0,'Combined Retirement'!$I$13)</f>
        <v>2420</v>
      </c>
      <c r="J769" s="25">
        <f t="shared" si="523"/>
        <v>7896.2379798201846</v>
      </c>
      <c r="K769" s="25">
        <f t="shared" si="524"/>
        <v>20367.195264578786</v>
      </c>
      <c r="L769" s="25"/>
      <c r="N769" s="25">
        <f>'Combined Retirement'!$C$18/12</f>
        <v>39153.069999999992</v>
      </c>
      <c r="O769" s="25">
        <f t="shared" si="525"/>
        <v>10889.636755601023</v>
      </c>
      <c r="P769" s="25">
        <f t="shared" si="526"/>
        <v>28263.43324439897</v>
      </c>
      <c r="Q769" s="25">
        <f t="array" aca="1" ref="Q769" ca="1">INDEX('Isaac 401k'!L:L,MATCH('Retirement Calculator'!A769,'Isaac 401k'!N:N,0),0)</f>
        <v>935670.25005391624</v>
      </c>
      <c r="R769" s="25">
        <f t="array" aca="1" ref="R769" ca="1">INDEX('Lorri 401b'!L:L,MATCH('Retirement Calculator'!A769,'Lorri 401b'!N:N,0),0)</f>
        <v>-3982535.5249929582</v>
      </c>
      <c r="S769" s="25">
        <f t="shared" ca="1" si="527"/>
        <v>-3046865.2749390421</v>
      </c>
    </row>
    <row r="770" spans="1:19" ht="15.75" customHeight="1" x14ac:dyDescent="0.3">
      <c r="A770" s="37">
        <v>74389</v>
      </c>
      <c r="B770" s="398">
        <f t="shared" ref="B770:C770" si="776">($A770-B$9)/365.25</f>
        <v>121.78781656399727</v>
      </c>
      <c r="C770" s="398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3254.2644699519233</v>
      </c>
      <c r="H770" s="25">
        <f>IF(B770&lt;62,0,'Combined Retirement'!$I$14)</f>
        <v>2345</v>
      </c>
      <c r="I770" s="25">
        <f>IF(C770&lt;62,0,'Combined Retirement'!$I$13)</f>
        <v>2420</v>
      </c>
      <c r="J770" s="25">
        <f t="shared" si="523"/>
        <v>7896.2379798201846</v>
      </c>
      <c r="K770" s="25">
        <f t="shared" si="524"/>
        <v>20367.195264578786</v>
      </c>
      <c r="L770" s="25"/>
      <c r="N770" s="25">
        <f>'Combined Retirement'!$C$18/12</f>
        <v>39153.069999999992</v>
      </c>
      <c r="O770" s="25">
        <f t="shared" si="525"/>
        <v>10889.636755601023</v>
      </c>
      <c r="P770" s="25">
        <f t="shared" si="526"/>
        <v>28263.43324439897</v>
      </c>
      <c r="Q770" s="25">
        <f t="array" aca="1" ref="Q770" ca="1">INDEX('Isaac 401k'!L:L,MATCH('Retirement Calculator'!A770,'Isaac 401k'!N:N,0),0)</f>
        <v>931639.73712440475</v>
      </c>
      <c r="R770" s="25">
        <f t="array" aca="1" ref="R770" ca="1">INDEX('Lorri 401b'!L:L,MATCH('Retirement Calculator'!A770,'Lorri 401b'!N:N,0),0)</f>
        <v>-4019581.4815919432</v>
      </c>
      <c r="S770" s="25">
        <f t="shared" ca="1" si="527"/>
        <v>-3087941.7444675383</v>
      </c>
    </row>
    <row r="771" spans="1:19" ht="15.75" customHeight="1" x14ac:dyDescent="0.3">
      <c r="A771" s="37">
        <v>74419</v>
      </c>
      <c r="B771" s="398">
        <f t="shared" ref="B771:C771" si="777">($A771-B$9)/365.25</f>
        <v>121.86995208761122</v>
      </c>
      <c r="C771" s="398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3254.2644699519233</v>
      </c>
      <c r="H771" s="25">
        <f>IF(B771&lt;62,0,'Combined Retirement'!$I$14)</f>
        <v>2345</v>
      </c>
      <c r="I771" s="25">
        <f>IF(C771&lt;62,0,'Combined Retirement'!$I$13)</f>
        <v>2420</v>
      </c>
      <c r="J771" s="25">
        <f t="shared" si="523"/>
        <v>7896.2379798201846</v>
      </c>
      <c r="K771" s="25">
        <f t="shared" si="524"/>
        <v>20367.195264578786</v>
      </c>
      <c r="L771" s="25"/>
      <c r="N771" s="25">
        <f>'Combined Retirement'!$C$18/12</f>
        <v>39153.069999999992</v>
      </c>
      <c r="O771" s="25">
        <f t="shared" si="525"/>
        <v>10889.636755601023</v>
      </c>
      <c r="P771" s="25">
        <f t="shared" si="526"/>
        <v>28263.43324439897</v>
      </c>
      <c r="Q771" s="25">
        <f t="array" aca="1" ref="Q771" ca="1">INDEX('Isaac 401k'!L:L,MATCH('Retirement Calculator'!A771,'Isaac 401k'!N:N,0),0)</f>
        <v>927592.43039102026</v>
      </c>
      <c r="R771" s="25">
        <f t="array" aca="1" ref="R771" ca="1">INDEX('Lorri 401b'!L:L,MATCH('Retirement Calculator'!A771,'Lorri 401b'!N:N,0),0)</f>
        <v>-4056781.7963434244</v>
      </c>
      <c r="S771" s="25">
        <f t="shared" ca="1" si="527"/>
        <v>-3129189.3659524042</v>
      </c>
    </row>
    <row r="772" spans="1:19" ht="15.75" customHeight="1" x14ac:dyDescent="0.3">
      <c r="A772" s="37">
        <v>74450</v>
      </c>
      <c r="B772" s="398">
        <f t="shared" ref="B772:C772" si="778">($A772-B$9)/365.25</f>
        <v>121.95482546201232</v>
      </c>
      <c r="C772" s="398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3254.2644699519233</v>
      </c>
      <c r="H772" s="25">
        <f>IF(B772&lt;62,0,'Combined Retirement'!$I$14)</f>
        <v>2345</v>
      </c>
      <c r="I772" s="25">
        <f>IF(C772&lt;62,0,'Combined Retirement'!$I$13)</f>
        <v>2420</v>
      </c>
      <c r="J772" s="25">
        <f t="shared" si="523"/>
        <v>7896.2379798201846</v>
      </c>
      <c r="K772" s="25">
        <f t="shared" si="524"/>
        <v>20367.195264578786</v>
      </c>
      <c r="L772" s="25"/>
      <c r="N772" s="25">
        <f>'Combined Retirement'!$C$18/12</f>
        <v>39153.069999999992</v>
      </c>
      <c r="O772" s="25">
        <f t="shared" si="525"/>
        <v>10889.636755601023</v>
      </c>
      <c r="P772" s="25">
        <f t="shared" si="526"/>
        <v>28263.43324439897</v>
      </c>
      <c r="Q772" s="25">
        <f t="array" aca="1" ref="Q772" ca="1">INDEX('Isaac 401k'!L:L,MATCH('Retirement Calculator'!A772,'Isaac 401k'!N:N,0),0)</f>
        <v>923528.25987958</v>
      </c>
      <c r="R772" s="25">
        <f t="array" aca="1" ref="R772" ca="1">INDEX('Lorri 401b'!L:L,MATCH('Retirement Calculator'!A772,'Lorri 401b'!N:N,0),0)</f>
        <v>-4094137.1124063698</v>
      </c>
      <c r="S772" s="25">
        <f t="shared" ca="1" si="527"/>
        <v>-3170608.8525267895</v>
      </c>
    </row>
    <row r="773" spans="1:19" ht="15.75" customHeight="1" x14ac:dyDescent="0.3">
      <c r="A773" s="37">
        <v>74480</v>
      </c>
      <c r="B773" s="398">
        <f t="shared" ref="B773:C773" si="779">($A773-B$9)/365.25</f>
        <v>122.03696098562628</v>
      </c>
      <c r="C773" s="398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3254.2644699519233</v>
      </c>
      <c r="H773" s="25">
        <f>IF(B773&lt;62,0,'Combined Retirement'!$I$14)</f>
        <v>2345</v>
      </c>
      <c r="I773" s="25">
        <f>IF(C773&lt;62,0,'Combined Retirement'!$I$13)</f>
        <v>2420</v>
      </c>
      <c r="J773" s="25">
        <f t="shared" si="523"/>
        <v>7896.2379798201846</v>
      </c>
      <c r="K773" s="25">
        <f t="shared" si="524"/>
        <v>20367.195264578786</v>
      </c>
      <c r="L773" s="25"/>
      <c r="N773" s="25">
        <f>'Combined Retirement'!$C$18/12</f>
        <v>39153.069999999992</v>
      </c>
      <c r="O773" s="25">
        <f t="shared" si="525"/>
        <v>10889.636755601023</v>
      </c>
      <c r="P773" s="25">
        <f t="shared" si="526"/>
        <v>28263.43324439897</v>
      </c>
      <c r="Q773" s="25">
        <f t="array" aca="1" ref="Q773" ca="1">INDEX('Isaac 401k'!L:L,MATCH('Retirement Calculator'!A773,'Isaac 401k'!N:N,0),0)</f>
        <v>919447.15532434208</v>
      </c>
      <c r="R773" s="25">
        <f t="array" aca="1" ref="R773" ca="1">INDEX('Lorri 401b'!L:L,MATCH('Retirement Calculator'!A773,'Lorri 401b'!N:N,0),0)</f>
        <v>-4131648.0756195774</v>
      </c>
      <c r="S773" s="25">
        <f t="shared" ca="1" si="527"/>
        <v>-3212200.9202952352</v>
      </c>
    </row>
    <row r="774" spans="1:19" ht="15.75" customHeight="1" x14ac:dyDescent="0.3">
      <c r="A774" s="37">
        <v>74511</v>
      </c>
      <c r="B774" s="398">
        <f t="shared" ref="B774:C774" si="780">($A774-B$9)/365.25</f>
        <v>122.12183436002738</v>
      </c>
      <c r="C774" s="398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3254.2644699519233</v>
      </c>
      <c r="H774" s="25">
        <f>IF(B774&lt;62,0,'Combined Retirement'!$I$14)</f>
        <v>2345</v>
      </c>
      <c r="I774" s="25">
        <f>IF(C774&lt;62,0,'Combined Retirement'!$I$13)</f>
        <v>2420</v>
      </c>
      <c r="J774" s="25">
        <f t="shared" si="523"/>
        <v>7896.2379798201846</v>
      </c>
      <c r="K774" s="25">
        <f t="shared" si="524"/>
        <v>20367.195264578786</v>
      </c>
      <c r="L774" s="25"/>
      <c r="N774" s="25">
        <f>'Combined Retirement'!$C$18/12</f>
        <v>39153.069999999992</v>
      </c>
      <c r="O774" s="25">
        <f t="shared" si="525"/>
        <v>10889.636755601023</v>
      </c>
      <c r="P774" s="25">
        <f t="shared" si="526"/>
        <v>28263.43324439897</v>
      </c>
      <c r="Q774" s="25">
        <f t="array" aca="1" ref="Q774" ca="1">INDEX('Isaac 401k'!L:L,MATCH('Retirement Calculator'!A774,'Isaac 401k'!N:N,0),0)</f>
        <v>915349.04616679065</v>
      </c>
      <c r="R774" s="25">
        <f t="array" aca="1" ref="R774" ca="1">INDEX('Lorri 401b'!L:L,MATCH('Retirement Calculator'!A774,'Lorri 401b'!N:N,0),0)</f>
        <v>-4169315.33451284</v>
      </c>
      <c r="S774" s="25">
        <f t="shared" ca="1" si="527"/>
        <v>-3253966.2883460494</v>
      </c>
    </row>
    <row r="775" spans="1:19" ht="15.75" customHeight="1" x14ac:dyDescent="0.3">
      <c r="A775" s="37">
        <v>74542</v>
      </c>
      <c r="B775" s="398">
        <f t="shared" ref="B775:C775" si="781">($A775-B$9)/365.25</f>
        <v>122.20670773442848</v>
      </c>
      <c r="C775" s="398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3254.2644699519233</v>
      </c>
      <c r="H775" s="25">
        <f>IF(B775&lt;62,0,'Combined Retirement'!$I$14)</f>
        <v>2345</v>
      </c>
      <c r="I775" s="25">
        <f>IF(C775&lt;62,0,'Combined Retirement'!$I$13)</f>
        <v>2420</v>
      </c>
      <c r="J775" s="25">
        <f t="shared" si="523"/>
        <v>7896.2379798201846</v>
      </c>
      <c r="K775" s="25">
        <f t="shared" si="524"/>
        <v>20367.195264578786</v>
      </c>
      <c r="L775" s="25"/>
      <c r="N775" s="25">
        <f>'Combined Retirement'!$C$18/12</f>
        <v>39153.069999999992</v>
      </c>
      <c r="O775" s="25">
        <f t="shared" si="525"/>
        <v>10889.636755601023</v>
      </c>
      <c r="P775" s="25">
        <f t="shared" si="526"/>
        <v>28263.43324439897</v>
      </c>
      <c r="Q775" s="25">
        <f t="array" aca="1" ref="Q775" ca="1">INDEX('Isaac 401k'!L:L,MATCH('Retirement Calculator'!A775,'Isaac 401k'!N:N,0),0)</f>
        <v>911233.86155441613</v>
      </c>
      <c r="R775" s="25">
        <f t="array" aca="1" ref="R775" ca="1">INDEX('Lorri 401b'!L:L,MATCH('Retirement Calculator'!A775,'Lorri 401b'!N:N,0),0)</f>
        <v>-4207139.5403181585</v>
      </c>
      <c r="S775" s="25">
        <f t="shared" ca="1" si="527"/>
        <v>-3295905.6787637426</v>
      </c>
    </row>
    <row r="776" spans="1:19" ht="15.75" customHeight="1" x14ac:dyDescent="0.3">
      <c r="A776" s="37">
        <v>74571</v>
      </c>
      <c r="B776" s="398">
        <f t="shared" ref="B776:C776" si="782">($A776-B$9)/365.25</f>
        <v>122.28610540725531</v>
      </c>
      <c r="C776" s="398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3254.2644699519233</v>
      </c>
      <c r="H776" s="25">
        <f>IF(B776&lt;62,0,'Combined Retirement'!$I$14)</f>
        <v>2345</v>
      </c>
      <c r="I776" s="25">
        <f>IF(C776&lt;62,0,'Combined Retirement'!$I$13)</f>
        <v>2420</v>
      </c>
      <c r="J776" s="25">
        <f t="shared" ref="J776:J1030" si="783">IF(C776&lt;59.5,P776,P776*$J$7)</f>
        <v>7896.2379798201846</v>
      </c>
      <c r="K776" s="25">
        <f t="shared" ref="K776:K1030" si="784">IF(C776&lt;59.5,0,IF(C776&lt;$B$7,0,P776*$K$7))</f>
        <v>20367.195264578786</v>
      </c>
      <c r="L776" s="25"/>
      <c r="N776" s="25">
        <f>'Combined Retirement'!$C$18/12</f>
        <v>39153.069999999992</v>
      </c>
      <c r="O776" s="25">
        <f t="shared" ref="O776:O1030" si="785">SUM(E776:I776)</f>
        <v>10889.636755601023</v>
      </c>
      <c r="P776" s="25">
        <f t="shared" ref="P776:P1030" si="786">N776-O776</f>
        <v>28263.43324439897</v>
      </c>
      <c r="Q776" s="25">
        <f t="array" aca="1" ref="Q776" ca="1">INDEX('Isaac 401k'!L:L,MATCH('Retirement Calculator'!A776,'Isaac 401k'!N:N,0),0)</f>
        <v>907101.53033949004</v>
      </c>
      <c r="R776" s="25">
        <f t="array" aca="1" ref="R776" ca="1">INDEX('Lorri 401b'!L:L,MATCH('Retirement Calculator'!A776,'Lorri 401b'!N:N,0),0)</f>
        <v>-4245121.3469809983</v>
      </c>
      <c r="S776" s="25">
        <f t="shared" ref="S776:S1030" ca="1" si="787">SUM(Q776:R776)</f>
        <v>-3338019.8166415081</v>
      </c>
    </row>
    <row r="777" spans="1:19" ht="15.75" customHeight="1" x14ac:dyDescent="0.3">
      <c r="A777" s="37">
        <v>74602</v>
      </c>
      <c r="B777" s="398">
        <f t="shared" ref="B777:C777" si="788">($A777-B$9)/365.25</f>
        <v>122.3709787816564</v>
      </c>
      <c r="C777" s="398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3254.2644699519233</v>
      </c>
      <c r="H777" s="25">
        <f>IF(B777&lt;62,0,'Combined Retirement'!$I$14)</f>
        <v>2345</v>
      </c>
      <c r="I777" s="25">
        <f>IF(C777&lt;62,0,'Combined Retirement'!$I$13)</f>
        <v>2420</v>
      </c>
      <c r="J777" s="25">
        <f t="shared" si="783"/>
        <v>7896.2379798201846</v>
      </c>
      <c r="K777" s="25">
        <f t="shared" si="784"/>
        <v>20367.195264578786</v>
      </c>
      <c r="L777" s="25"/>
      <c r="N777" s="25">
        <f>'Combined Retirement'!$C$18/12</f>
        <v>39153.069999999992</v>
      </c>
      <c r="O777" s="25">
        <f t="shared" si="785"/>
        <v>10889.636755601023</v>
      </c>
      <c r="P777" s="25">
        <f t="shared" si="786"/>
        <v>28263.43324439897</v>
      </c>
      <c r="Q777" s="25">
        <f t="array" aca="1" ref="Q777" ca="1">INDEX('Isaac 401k'!L:L,MATCH('Retirement Calculator'!A777,'Isaac 401k'!N:N,0),0)</f>
        <v>902951.98107783508</v>
      </c>
      <c r="R777" s="25">
        <f t="array" aca="1" ref="R777" ca="1">INDEX('Lorri 401b'!L:L,MATCH('Retirement Calculator'!A777,'Lorri 401b'!N:N,0),0)</f>
        <v>-4283261.4111716002</v>
      </c>
      <c r="S777" s="25">
        <f t="shared" ca="1" si="787"/>
        <v>-3380309.4300937653</v>
      </c>
    </row>
    <row r="778" spans="1:19" ht="15.75" customHeight="1" x14ac:dyDescent="0.3">
      <c r="A778" s="37">
        <v>74632</v>
      </c>
      <c r="B778" s="398">
        <f t="shared" ref="B778:C778" si="789">($A778-B$9)/365.25</f>
        <v>122.45311430527036</v>
      </c>
      <c r="C778" s="398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3254.2644699519233</v>
      </c>
      <c r="H778" s="25">
        <f>IF(B778&lt;62,0,'Combined Retirement'!$I$14)</f>
        <v>2345</v>
      </c>
      <c r="I778" s="25">
        <f>IF(C778&lt;62,0,'Combined Retirement'!$I$13)</f>
        <v>2420</v>
      </c>
      <c r="J778" s="25">
        <f t="shared" si="783"/>
        <v>7896.2379798201846</v>
      </c>
      <c r="K778" s="25">
        <f t="shared" si="784"/>
        <v>20367.195264578786</v>
      </c>
      <c r="L778" s="25"/>
      <c r="N778" s="25">
        <f>'Combined Retirement'!$C$18/12</f>
        <v>39153.069999999992</v>
      </c>
      <c r="O778" s="25">
        <f t="shared" si="785"/>
        <v>10889.636755601023</v>
      </c>
      <c r="P778" s="25">
        <f t="shared" si="786"/>
        <v>28263.43324439897</v>
      </c>
      <c r="Q778" s="25">
        <f t="array" aca="1" ref="Q778" ca="1">INDEX('Isaac 401k'!L:L,MATCH('Retirement Calculator'!A778,'Isaac 401k'!N:N,0),0)</f>
        <v>898785.14202758996</v>
      </c>
      <c r="R778" s="25">
        <f t="array" aca="1" ref="R778" ca="1">INDEX('Lorri 401b'!L:L,MATCH('Retirement Calculator'!A778,'Lorri 401b'!N:N,0),0)</f>
        <v>-4321560.3922963301</v>
      </c>
      <c r="S778" s="25">
        <f t="shared" ca="1" si="787"/>
        <v>-3422775.2502687401</v>
      </c>
    </row>
    <row r="779" spans="1:19" ht="15.75" customHeight="1" x14ac:dyDescent="0.3">
      <c r="A779" s="37">
        <v>74663</v>
      </c>
      <c r="B779" s="398">
        <f t="shared" ref="B779:C779" si="790">($A779-B$9)/365.25</f>
        <v>122.53798767967146</v>
      </c>
      <c r="C779" s="398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3254.2644699519233</v>
      </c>
      <c r="H779" s="25">
        <f>IF(B779&lt;62,0,'Combined Retirement'!$I$14)</f>
        <v>2345</v>
      </c>
      <c r="I779" s="25">
        <f>IF(C779&lt;62,0,'Combined Retirement'!$I$13)</f>
        <v>2420</v>
      </c>
      <c r="J779" s="25">
        <f t="shared" si="783"/>
        <v>7896.2379798201846</v>
      </c>
      <c r="K779" s="25">
        <f t="shared" si="784"/>
        <v>20367.195264578786</v>
      </c>
      <c r="L779" s="25"/>
      <c r="N779" s="25">
        <f>'Combined Retirement'!$C$18/12</f>
        <v>39153.069999999992</v>
      </c>
      <c r="O779" s="25">
        <f t="shared" si="785"/>
        <v>10889.636755601023</v>
      </c>
      <c r="P779" s="25">
        <f t="shared" si="786"/>
        <v>28263.43324439897</v>
      </c>
      <c r="Q779" s="25">
        <f t="array" aca="1" ref="Q779" ca="1">INDEX('Isaac 401k'!L:L,MATCH('Retirement Calculator'!A779,'Isaac 401k'!N:N,0),0)</f>
        <v>894600.94114796876</v>
      </c>
      <c r="R779" s="25">
        <f t="array" aca="1" ref="R779" ca="1">INDEX('Lorri 401b'!L:L,MATCH('Retirement Calculator'!A779,'Lorri 401b'!N:N,0),0)</f>
        <v>-4360018.9525090791</v>
      </c>
      <c r="S779" s="25">
        <f t="shared" ca="1" si="787"/>
        <v>-3465418.0113611105</v>
      </c>
    </row>
    <row r="780" spans="1:19" ht="15.75" customHeight="1" x14ac:dyDescent="0.3">
      <c r="A780" s="37">
        <v>74693</v>
      </c>
      <c r="B780" s="398">
        <f t="shared" ref="B780:C780" si="791">($A780-B$9)/365.25</f>
        <v>122.62012320328542</v>
      </c>
      <c r="C780" s="398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3254.2644699519233</v>
      </c>
      <c r="H780" s="25">
        <f>IF(B780&lt;62,0,'Combined Retirement'!$I$14)</f>
        <v>2345</v>
      </c>
      <c r="I780" s="25">
        <f>IF(C780&lt;62,0,'Combined Retirement'!$I$13)</f>
        <v>2420</v>
      </c>
      <c r="J780" s="25">
        <f t="shared" si="783"/>
        <v>7896.2379798201846</v>
      </c>
      <c r="K780" s="25">
        <f t="shared" si="784"/>
        <v>20367.195264578786</v>
      </c>
      <c r="L780" s="25"/>
      <c r="N780" s="25">
        <f>'Combined Retirement'!$C$18/12</f>
        <v>39153.069999999992</v>
      </c>
      <c r="O780" s="25">
        <f t="shared" si="785"/>
        <v>10889.636755601023</v>
      </c>
      <c r="P780" s="25">
        <f t="shared" si="786"/>
        <v>28263.43324439897</v>
      </c>
      <c r="Q780" s="25">
        <f t="array" aca="1" ref="Q780" ca="1">INDEX('Isaac 401k'!L:L,MATCH('Retirement Calculator'!A780,'Isaac 401k'!N:N,0),0)</f>
        <v>890399.30609801586</v>
      </c>
      <c r="R780" s="25">
        <f t="array" aca="1" ref="R780" ca="1">INDEX('Lorri 401b'!L:L,MATCH('Retirement Calculator'!A780,'Lorri 401b'!N:N,0),0)</f>
        <v>-4398637.7567227148</v>
      </c>
      <c r="S780" s="25">
        <f t="shared" ca="1" si="787"/>
        <v>-3508238.4506246988</v>
      </c>
    </row>
    <row r="781" spans="1:19" ht="15.75" customHeight="1" x14ac:dyDescent="0.3">
      <c r="A781" s="37">
        <v>74724</v>
      </c>
      <c r="B781" s="398">
        <f t="shared" ref="B781:C781" si="792">($A781-B$9)/365.25</f>
        <v>122.70499657768652</v>
      </c>
      <c r="C781" s="398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3254.2644699519233</v>
      </c>
      <c r="H781" s="25">
        <f>IF(B781&lt;62,0,'Combined Retirement'!$I$14)</f>
        <v>2345</v>
      </c>
      <c r="I781" s="25">
        <f>IF(C781&lt;62,0,'Combined Retirement'!$I$13)</f>
        <v>2420</v>
      </c>
      <c r="J781" s="25">
        <f t="shared" si="783"/>
        <v>7896.2379798201846</v>
      </c>
      <c r="K781" s="25">
        <f t="shared" si="784"/>
        <v>20367.195264578786</v>
      </c>
      <c r="L781" s="25"/>
      <c r="N781" s="25">
        <f>'Combined Retirement'!$C$18/12</f>
        <v>39153.069999999992</v>
      </c>
      <c r="O781" s="25">
        <f t="shared" si="785"/>
        <v>10889.636755601023</v>
      </c>
      <c r="P781" s="25">
        <f t="shared" si="786"/>
        <v>28263.43324439897</v>
      </c>
      <c r="Q781" s="25">
        <f t="array" aca="1" ref="Q781" ca="1">INDEX('Isaac 401k'!L:L,MATCH('Retirement Calculator'!A781,'Isaac 401k'!N:N,0),0)</f>
        <v>886180.16423535475</v>
      </c>
      <c r="R781" s="25">
        <f t="array" aca="1" ref="R781" ca="1">INDEX('Lorri 401b'!L:L,MATCH('Retirement Calculator'!A781,'Lorri 401b'!N:N,0),0)</f>
        <v>-4437417.4726205738</v>
      </c>
      <c r="S781" s="25">
        <f t="shared" ca="1" si="787"/>
        <v>-3551237.308385219</v>
      </c>
    </row>
    <row r="782" spans="1:19" ht="15.75" customHeight="1" x14ac:dyDescent="0.3">
      <c r="A782" s="37">
        <v>74755</v>
      </c>
      <c r="B782" s="398">
        <f t="shared" ref="B782:C782" si="793">($A782-B$9)/365.25</f>
        <v>122.78986995208761</v>
      </c>
      <c r="C782" s="398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3254.2644699519233</v>
      </c>
      <c r="H782" s="25">
        <f>IF(B782&lt;62,0,'Combined Retirement'!$I$14)</f>
        <v>2345</v>
      </c>
      <c r="I782" s="25">
        <f>IF(C782&lt;62,0,'Combined Retirement'!$I$13)</f>
        <v>2420</v>
      </c>
      <c r="J782" s="25">
        <f t="shared" si="783"/>
        <v>7896.2379798201846</v>
      </c>
      <c r="K782" s="25">
        <f t="shared" si="784"/>
        <v>20367.195264578786</v>
      </c>
      <c r="L782" s="25"/>
      <c r="N782" s="25">
        <f>'Combined Retirement'!$C$18/12</f>
        <v>39153.069999999992</v>
      </c>
      <c r="O782" s="25">
        <f t="shared" si="785"/>
        <v>10889.636755601023</v>
      </c>
      <c r="P782" s="25">
        <f t="shared" si="786"/>
        <v>28263.43324439897</v>
      </c>
      <c r="Q782" s="25">
        <f t="array" aca="1" ref="Q782" ca="1">INDEX('Isaac 401k'!L:L,MATCH('Retirement Calculator'!A782,'Isaac 401k'!N:N,0),0)</f>
        <v>881943.44261493254</v>
      </c>
      <c r="R782" s="25">
        <f t="array" aca="1" ref="R782" ca="1">INDEX('Lorri 401b'!L:L,MATCH('Retirement Calculator'!A782,'Lorri 401b'!N:N,0),0)</f>
        <v>-4476358.7706680074</v>
      </c>
      <c r="S782" s="25">
        <f t="shared" ca="1" si="787"/>
        <v>-3594415.3280530749</v>
      </c>
    </row>
    <row r="783" spans="1:19" ht="15.75" customHeight="1" x14ac:dyDescent="0.3">
      <c r="A783" s="37">
        <v>74785</v>
      </c>
      <c r="B783" s="398">
        <f t="shared" ref="B783:C783" si="794">($A783-B$9)/365.25</f>
        <v>122.87200547570157</v>
      </c>
      <c r="C783" s="398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3254.2644699519233</v>
      </c>
      <c r="H783" s="25">
        <f>IF(B783&lt;62,0,'Combined Retirement'!$I$14)</f>
        <v>2345</v>
      </c>
      <c r="I783" s="25">
        <f>IF(C783&lt;62,0,'Combined Retirement'!$I$13)</f>
        <v>2420</v>
      </c>
      <c r="J783" s="25">
        <f t="shared" si="783"/>
        <v>7896.2379798201846</v>
      </c>
      <c r="K783" s="25">
        <f t="shared" si="784"/>
        <v>20367.195264578786</v>
      </c>
      <c r="L783" s="25"/>
      <c r="N783" s="25">
        <f>'Combined Retirement'!$C$18/12</f>
        <v>39153.069999999992</v>
      </c>
      <c r="O783" s="25">
        <f t="shared" si="785"/>
        <v>10889.636755601023</v>
      </c>
      <c r="P783" s="25">
        <f t="shared" si="786"/>
        <v>28263.43324439897</v>
      </c>
      <c r="Q783" s="25">
        <f t="array" aca="1" ref="Q783" ca="1">INDEX('Isaac 401k'!L:L,MATCH('Retirement Calculator'!A783,'Isaac 401k'!N:N,0),0)</f>
        <v>877689.06798775867</v>
      </c>
      <c r="R783" s="25">
        <f t="array" aca="1" ref="R783" ca="1">INDEX('Lorri 401b'!L:L,MATCH('Retirement Calculator'!A783,'Lorri 401b'!N:N,0),0)</f>
        <v>-4515462.3241239721</v>
      </c>
      <c r="S783" s="25">
        <f t="shared" ca="1" si="787"/>
        <v>-3637773.2561362134</v>
      </c>
    </row>
    <row r="784" spans="1:19" ht="15.75" customHeight="1" x14ac:dyDescent="0.3">
      <c r="A784" s="37">
        <v>74816</v>
      </c>
      <c r="B784" s="398">
        <f t="shared" ref="B784:C784" si="795">($A784-B$9)/365.25</f>
        <v>122.95687885010267</v>
      </c>
      <c r="C784" s="398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3254.2644699519233</v>
      </c>
      <c r="H784" s="25">
        <f>IF(B784&lt;62,0,'Combined Retirement'!$I$14)</f>
        <v>2345</v>
      </c>
      <c r="I784" s="25">
        <f>IF(C784&lt;62,0,'Combined Retirement'!$I$13)</f>
        <v>2420</v>
      </c>
      <c r="J784" s="25">
        <f t="shared" si="783"/>
        <v>7896.2379798201846</v>
      </c>
      <c r="K784" s="25">
        <f t="shared" si="784"/>
        <v>20367.195264578786</v>
      </c>
      <c r="L784" s="25"/>
      <c r="N784" s="25">
        <f>'Combined Retirement'!$C$18/12</f>
        <v>39153.069999999992</v>
      </c>
      <c r="O784" s="25">
        <f t="shared" si="785"/>
        <v>10889.636755601023</v>
      </c>
      <c r="P784" s="25">
        <f t="shared" si="786"/>
        <v>28263.43324439897</v>
      </c>
      <c r="Q784" s="25">
        <f t="array" aca="1" ref="Q784" ca="1">INDEX('Isaac 401k'!L:L,MATCH('Retirement Calculator'!A784,'Isaac 401k'!N:N,0),0)</f>
        <v>873416.96679963823</v>
      </c>
      <c r="R784" s="25">
        <f t="array" aca="1" ref="R784" ca="1">INDEX('Lorri 401b'!L:L,MATCH('Retirement Calculator'!A784,'Lorri 401b'!N:N,0),0)</f>
        <v>-4554728.8090526694</v>
      </c>
      <c r="S784" s="25">
        <f t="shared" ca="1" si="787"/>
        <v>-3681311.8422530312</v>
      </c>
    </row>
    <row r="785" spans="1:19" ht="15.75" customHeight="1" x14ac:dyDescent="0.3">
      <c r="A785" s="37">
        <v>74846</v>
      </c>
      <c r="B785" s="398">
        <f t="shared" ref="B785:C785" si="796">($A785-B$9)/365.25</f>
        <v>123.03901437371663</v>
      </c>
      <c r="C785" s="398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3254.2644699519233</v>
      </c>
      <c r="H785" s="25">
        <f>IF(B785&lt;62,0,'Combined Retirement'!$I$14)</f>
        <v>2345</v>
      </c>
      <c r="I785" s="25">
        <f>IF(C785&lt;62,0,'Combined Retirement'!$I$13)</f>
        <v>2420</v>
      </c>
      <c r="J785" s="25">
        <f t="shared" si="783"/>
        <v>7896.2379798201846</v>
      </c>
      <c r="K785" s="25">
        <f t="shared" si="784"/>
        <v>20367.195264578786</v>
      </c>
      <c r="L785" s="25"/>
      <c r="N785" s="25">
        <f>'Combined Retirement'!$C$18/12</f>
        <v>39153.069999999992</v>
      </c>
      <c r="O785" s="25">
        <f t="shared" si="785"/>
        <v>10889.636755601023</v>
      </c>
      <c r="P785" s="25">
        <f t="shared" si="786"/>
        <v>28263.43324439897</v>
      </c>
      <c r="Q785" s="25">
        <f t="array" aca="1" ref="Q785" ca="1">INDEX('Isaac 401k'!L:L,MATCH('Retirement Calculator'!A785,'Isaac 401k'!N:N,0),0)</f>
        <v>869127.06518990058</v>
      </c>
      <c r="R785" s="25">
        <f t="array" aca="1" ref="R785" ca="1">INDEX('Lorri 401b'!L:L,MATCH('Retirement Calculator'!A785,'Lorri 401b'!N:N,0),0)</f>
        <v>-4594158.9043352371</v>
      </c>
      <c r="S785" s="25">
        <f t="shared" ca="1" si="787"/>
        <v>-3725031.8391453363</v>
      </c>
    </row>
    <row r="786" spans="1:19" ht="15.75" customHeight="1" x14ac:dyDescent="0.3">
      <c r="A786" s="37">
        <v>74877</v>
      </c>
      <c r="B786" s="398">
        <f t="shared" ref="B786:C786" si="797">($A786-B$9)/365.25</f>
        <v>123.12388774811772</v>
      </c>
      <c r="C786" s="398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3254.2644699519233</v>
      </c>
      <c r="H786" s="25">
        <f>IF(B786&lt;62,0,'Combined Retirement'!$I$14)</f>
        <v>2345</v>
      </c>
      <c r="I786" s="25">
        <f>IF(C786&lt;62,0,'Combined Retirement'!$I$13)</f>
        <v>2420</v>
      </c>
      <c r="J786" s="25">
        <f t="shared" si="783"/>
        <v>7896.2379798201846</v>
      </c>
      <c r="K786" s="25">
        <f t="shared" si="784"/>
        <v>20367.195264578786</v>
      </c>
      <c r="L786" s="25"/>
      <c r="N786" s="25">
        <f>'Combined Retirement'!$C$18/12</f>
        <v>39153.069999999992</v>
      </c>
      <c r="O786" s="25">
        <f t="shared" si="785"/>
        <v>10889.636755601023</v>
      </c>
      <c r="P786" s="25">
        <f t="shared" si="786"/>
        <v>28263.43324439897</v>
      </c>
      <c r="Q786" s="25">
        <f t="array" aca="1" ref="Q786" ca="1">INDEX('Isaac 401k'!L:L,MATCH('Retirement Calculator'!A786,'Isaac 401k'!N:N,0),0)</f>
        <v>864819.28899012238</v>
      </c>
      <c r="R786" s="25">
        <f t="array" aca="1" ref="R786" ca="1">INDEX('Lorri 401b'!L:L,MATCH('Retirement Calculator'!A786,'Lorri 401b'!N:N,0),0)</f>
        <v>-4633753.2916814815</v>
      </c>
      <c r="S786" s="25">
        <f t="shared" ca="1" si="787"/>
        <v>-3768934.0026913593</v>
      </c>
    </row>
    <row r="787" spans="1:19" ht="15.75" customHeight="1" x14ac:dyDescent="0.3">
      <c r="A787" s="37">
        <v>74908</v>
      </c>
      <c r="B787" s="398">
        <f t="shared" ref="B787:C787" si="798">($A787-B$9)/365.25</f>
        <v>123.20876112251882</v>
      </c>
      <c r="C787" s="398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3254.2644699519233</v>
      </c>
      <c r="H787" s="25">
        <f>IF(B787&lt;62,0,'Combined Retirement'!$I$14)</f>
        <v>2345</v>
      </c>
      <c r="I787" s="25">
        <f>IF(C787&lt;62,0,'Combined Retirement'!$I$13)</f>
        <v>2420</v>
      </c>
      <c r="J787" s="25">
        <f t="shared" si="783"/>
        <v>7896.2379798201846</v>
      </c>
      <c r="K787" s="25">
        <f t="shared" si="784"/>
        <v>20367.195264578786</v>
      </c>
      <c r="L787" s="25"/>
      <c r="N787" s="25">
        <f>'Combined Retirement'!$C$18/12</f>
        <v>39153.069999999992</v>
      </c>
      <c r="O787" s="25">
        <f t="shared" si="785"/>
        <v>10889.636755601023</v>
      </c>
      <c r="P787" s="25">
        <f t="shared" si="786"/>
        <v>28263.43324439897</v>
      </c>
      <c r="Q787" s="25">
        <f t="array" aca="1" ref="Q787" ca="1">INDEX('Isaac 401k'!L:L,MATCH('Retirement Calculator'!A787,'Isaac 401k'!N:N,0),0)</f>
        <v>860493.56372284505</v>
      </c>
      <c r="R787" s="25">
        <f t="array" aca="1" ref="R787" ca="1">INDEX('Lorri 401b'!L:L,MATCH('Retirement Calculator'!A787,'Lorri 401b'!N:N,0),0)</f>
        <v>-4673512.6556416685</v>
      </c>
      <c r="S787" s="25">
        <f t="shared" ca="1" si="787"/>
        <v>-3813019.0919188233</v>
      </c>
    </row>
    <row r="788" spans="1:19" ht="15.75" customHeight="1" x14ac:dyDescent="0.3">
      <c r="A788" s="37">
        <v>74936</v>
      </c>
      <c r="B788" s="398">
        <f t="shared" ref="B788:C788" si="799">($A788-B$9)/365.25</f>
        <v>123.28542094455852</v>
      </c>
      <c r="C788" s="398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3254.2644699519233</v>
      </c>
      <c r="H788" s="25">
        <f>IF(B788&lt;62,0,'Combined Retirement'!$I$14)</f>
        <v>2345</v>
      </c>
      <c r="I788" s="25">
        <f>IF(C788&lt;62,0,'Combined Retirement'!$I$13)</f>
        <v>2420</v>
      </c>
      <c r="J788" s="25">
        <f t="shared" si="783"/>
        <v>7896.2379798201846</v>
      </c>
      <c r="K788" s="25">
        <f t="shared" si="784"/>
        <v>20367.195264578786</v>
      </c>
      <c r="L788" s="25"/>
      <c r="N788" s="25">
        <f>'Combined Retirement'!$C$18/12</f>
        <v>39153.069999999992</v>
      </c>
      <c r="O788" s="25">
        <f t="shared" si="785"/>
        <v>10889.636755601023</v>
      </c>
      <c r="P788" s="25">
        <f t="shared" si="786"/>
        <v>28263.43324439897</v>
      </c>
      <c r="Q788" s="25">
        <f t="array" aca="1" ref="Q788" ca="1">INDEX('Isaac 401k'!L:L,MATCH('Retirement Calculator'!A788,'Isaac 401k'!N:N,0),0)</f>
        <v>856149.81460028747</v>
      </c>
      <c r="R788" s="25">
        <f t="array" aca="1" ref="R788" ca="1">INDEX('Lorri 401b'!L:L,MATCH('Retirement Calculator'!A788,'Lorri 401b'!N:N,0),0)</f>
        <v>-4713437.6836183565</v>
      </c>
      <c r="S788" s="25">
        <f t="shared" ca="1" si="787"/>
        <v>-3857287.869018069</v>
      </c>
    </row>
    <row r="789" spans="1:19" ht="15.75" customHeight="1" x14ac:dyDescent="0.3">
      <c r="A789" s="37">
        <v>74967</v>
      </c>
      <c r="B789" s="398">
        <f t="shared" ref="B789:C789" si="800">($A789-B$9)/365.25</f>
        <v>123.37029431895962</v>
      </c>
      <c r="C789" s="398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3254.2644699519233</v>
      </c>
      <c r="H789" s="25">
        <f>IF(B789&lt;62,0,'Combined Retirement'!$I$14)</f>
        <v>2345</v>
      </c>
      <c r="I789" s="25">
        <f>IF(C789&lt;62,0,'Combined Retirement'!$I$13)</f>
        <v>2420</v>
      </c>
      <c r="J789" s="25">
        <f t="shared" si="783"/>
        <v>7896.2379798201846</v>
      </c>
      <c r="K789" s="25">
        <f t="shared" si="784"/>
        <v>20367.195264578786</v>
      </c>
      <c r="L789" s="25"/>
      <c r="N789" s="25">
        <f>'Combined Retirement'!$C$18/12</f>
        <v>39153.069999999992</v>
      </c>
      <c r="O789" s="25">
        <f t="shared" si="785"/>
        <v>10889.636755601023</v>
      </c>
      <c r="P789" s="25">
        <f t="shared" si="786"/>
        <v>28263.43324439897</v>
      </c>
      <c r="Q789" s="25">
        <f t="array" aca="1" ref="Q789" ca="1">INDEX('Isaac 401k'!L:L,MATCH('Retirement Calculator'!A789,'Isaac 401k'!N:N,0),0)</f>
        <v>851787.96652305254</v>
      </c>
      <c r="R789" s="25">
        <f t="array" aca="1" ref="R789" ca="1">INDEX('Lorri 401b'!L:L,MATCH('Retirement Calculator'!A789,'Lorri 401b'!N:N,0),0)</f>
        <v>-4753529.0658782804</v>
      </c>
      <c r="S789" s="25">
        <f t="shared" ca="1" si="787"/>
        <v>-3901741.0993552278</v>
      </c>
    </row>
    <row r="790" spans="1:19" ht="15.75" customHeight="1" x14ac:dyDescent="0.3">
      <c r="A790" s="37">
        <v>74997</v>
      </c>
      <c r="B790" s="398">
        <f t="shared" ref="B790:C790" si="801">($A790-B$9)/365.25</f>
        <v>123.45242984257358</v>
      </c>
      <c r="C790" s="398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3254.2644699519233</v>
      </c>
      <c r="H790" s="25">
        <f>IF(B790&lt;62,0,'Combined Retirement'!$I$14)</f>
        <v>2345</v>
      </c>
      <c r="I790" s="25">
        <f>IF(C790&lt;62,0,'Combined Retirement'!$I$13)</f>
        <v>2420</v>
      </c>
      <c r="J790" s="25">
        <f t="shared" si="783"/>
        <v>7896.2379798201846</v>
      </c>
      <c r="K790" s="25">
        <f t="shared" si="784"/>
        <v>20367.195264578786</v>
      </c>
      <c r="L790" s="25"/>
      <c r="N790" s="25">
        <f>'Combined Retirement'!$C$18/12</f>
        <v>39153.069999999992</v>
      </c>
      <c r="O790" s="25">
        <f t="shared" si="785"/>
        <v>10889.636755601023</v>
      </c>
      <c r="P790" s="25">
        <f t="shared" si="786"/>
        <v>28263.43324439897</v>
      </c>
      <c r="Q790" s="25">
        <f t="array" aca="1" ref="Q790" ca="1">INDEX('Isaac 401k'!L:L,MATCH('Retirement Calculator'!A790,'Isaac 401k'!N:N,0),0)</f>
        <v>847407.94407882914</v>
      </c>
      <c r="R790" s="25">
        <f t="array" aca="1" ref="R790" ca="1">INDEX('Lorri 401b'!L:L,MATCH('Retirement Calculator'!A790,'Lorri 401b'!N:N,0),0)</f>
        <v>-4793787.4955642875</v>
      </c>
      <c r="S790" s="25">
        <f t="shared" ca="1" si="787"/>
        <v>-3946379.5514854584</v>
      </c>
    </row>
    <row r="791" spans="1:19" ht="15.75" customHeight="1" x14ac:dyDescent="0.3">
      <c r="A791" s="37">
        <v>75028</v>
      </c>
      <c r="B791" s="398">
        <f t="shared" ref="B791:C791" si="802">($A791-B$9)/365.25</f>
        <v>123.53730321697468</v>
      </c>
      <c r="C791" s="398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3254.2644699519233</v>
      </c>
      <c r="H791" s="25">
        <f>IF(B791&lt;62,0,'Combined Retirement'!$I$14)</f>
        <v>2345</v>
      </c>
      <c r="I791" s="25">
        <f>IF(C791&lt;62,0,'Combined Retirement'!$I$13)</f>
        <v>2420</v>
      </c>
      <c r="J791" s="25">
        <f t="shared" si="783"/>
        <v>7896.2379798201846</v>
      </c>
      <c r="K791" s="25">
        <f t="shared" si="784"/>
        <v>20367.195264578786</v>
      </c>
      <c r="L791" s="25"/>
      <c r="N791" s="25">
        <f>'Combined Retirement'!$C$18/12</f>
        <v>39153.069999999992</v>
      </c>
      <c r="O791" s="25">
        <f t="shared" si="785"/>
        <v>10889.636755601023</v>
      </c>
      <c r="P791" s="25">
        <f t="shared" si="786"/>
        <v>28263.43324439897</v>
      </c>
      <c r="Q791" s="25">
        <f t="array" aca="1" ref="Q791" ca="1">INDEX('Isaac 401k'!L:L,MATCH('Retirement Calculator'!A791,'Isaac 401k'!N:N,0),0)</f>
        <v>843009.67154108814</v>
      </c>
      <c r="R791" s="25">
        <f t="array" aca="1" ref="R791" ca="1">INDEX('Lorri 401b'!L:L,MATCH('Retirement Calculator'!A791,'Lorri 401b'!N:N,0),0)</f>
        <v>-4834213.6687073195</v>
      </c>
      <c r="S791" s="25">
        <f t="shared" ca="1" si="787"/>
        <v>-3991203.9971662313</v>
      </c>
    </row>
    <row r="792" spans="1:19" ht="15.75" customHeight="1" x14ac:dyDescent="0.3">
      <c r="A792" s="37">
        <v>75058</v>
      </c>
      <c r="B792" s="398">
        <f t="shared" ref="B792:C792" si="803">($A792-B$9)/365.25</f>
        <v>123.61943874058863</v>
      </c>
      <c r="C792" s="398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3254.2644699519233</v>
      </c>
      <c r="H792" s="25">
        <f>IF(B792&lt;62,0,'Combined Retirement'!$I$14)</f>
        <v>2345</v>
      </c>
      <c r="I792" s="25">
        <f>IF(C792&lt;62,0,'Combined Retirement'!$I$13)</f>
        <v>2420</v>
      </c>
      <c r="J792" s="25">
        <f t="shared" si="783"/>
        <v>7896.2379798201846</v>
      </c>
      <c r="K792" s="25">
        <f t="shared" si="784"/>
        <v>20367.195264578786</v>
      </c>
      <c r="L792" s="25"/>
      <c r="N792" s="25">
        <f>'Combined Retirement'!$C$18/12</f>
        <v>39153.069999999992</v>
      </c>
      <c r="O792" s="25">
        <f t="shared" si="785"/>
        <v>10889.636755601023</v>
      </c>
      <c r="P792" s="25">
        <f t="shared" si="786"/>
        <v>28263.43324439897</v>
      </c>
      <c r="Q792" s="25">
        <f t="array" aca="1" ref="Q792" ca="1">INDEX('Isaac 401k'!L:L,MATCH('Retirement Calculator'!A792,'Isaac 401k'!N:N,0),0)</f>
        <v>838593.07286777324</v>
      </c>
      <c r="R792" s="25">
        <f t="array" aca="1" ref="R792" ca="1">INDEX('Lorri 401b'!L:L,MATCH('Retirement Calculator'!A792,'Lorri 401b'!N:N,0),0)</f>
        <v>-4874808.2842384484</v>
      </c>
      <c r="S792" s="25">
        <f t="shared" ca="1" si="787"/>
        <v>-4036215.2113706749</v>
      </c>
    </row>
    <row r="793" spans="1:19" ht="15.75" customHeight="1" x14ac:dyDescent="0.3">
      <c r="A793" s="37">
        <v>75089</v>
      </c>
      <c r="B793" s="398">
        <f t="shared" ref="B793:C793" si="804">($A793-B$9)/365.25</f>
        <v>123.70431211498973</v>
      </c>
      <c r="C793" s="398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3254.2644699519233</v>
      </c>
      <c r="H793" s="25">
        <f>IF(B793&lt;62,0,'Combined Retirement'!$I$14)</f>
        <v>2345</v>
      </c>
      <c r="I793" s="25">
        <f>IF(C793&lt;62,0,'Combined Retirement'!$I$13)</f>
        <v>2420</v>
      </c>
      <c r="J793" s="25">
        <f t="shared" si="783"/>
        <v>7896.2379798201846</v>
      </c>
      <c r="K793" s="25">
        <f t="shared" si="784"/>
        <v>20367.195264578786</v>
      </c>
      <c r="L793" s="25"/>
      <c r="N793" s="25">
        <f>'Combined Retirement'!$C$18/12</f>
        <v>39153.069999999992</v>
      </c>
      <c r="O793" s="25">
        <f t="shared" si="785"/>
        <v>10889.636755601023</v>
      </c>
      <c r="P793" s="25">
        <f t="shared" si="786"/>
        <v>28263.43324439897</v>
      </c>
      <c r="Q793" s="25">
        <f t="array" aca="1" ref="Q793" ca="1">INDEX('Isaac 401k'!L:L,MATCH('Retirement Calculator'!A793,'Isaac 401k'!N:N,0),0)</f>
        <v>834158.07169998612</v>
      </c>
      <c r="R793" s="25">
        <f t="array" aca="1" ref="R793" ca="1">INDEX('Lorri 401b'!L:L,MATCH('Retirement Calculator'!A793,'Lorri 401b'!N:N,0),0)</f>
        <v>-4915572.0440009562</v>
      </c>
      <c r="S793" s="25">
        <f t="shared" ca="1" si="787"/>
        <v>-4081413.97230097</v>
      </c>
    </row>
    <row r="794" spans="1:19" ht="15.75" customHeight="1" x14ac:dyDescent="0.3">
      <c r="A794" s="37">
        <v>75120</v>
      </c>
      <c r="B794" s="398">
        <f t="shared" ref="B794:C794" si="805">($A794-B$9)/365.25</f>
        <v>123.78918548939083</v>
      </c>
      <c r="C794" s="398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3254.2644699519233</v>
      </c>
      <c r="H794" s="25">
        <f>IF(B794&lt;62,0,'Combined Retirement'!$I$14)</f>
        <v>2345</v>
      </c>
      <c r="I794" s="25">
        <f>IF(C794&lt;62,0,'Combined Retirement'!$I$13)</f>
        <v>2420</v>
      </c>
      <c r="J794" s="25">
        <f t="shared" si="783"/>
        <v>7896.2379798201846</v>
      </c>
      <c r="K794" s="25">
        <f t="shared" si="784"/>
        <v>20367.195264578786</v>
      </c>
      <c r="L794" s="25"/>
      <c r="N794" s="25">
        <f>'Combined Retirement'!$C$18/12</f>
        <v>39153.069999999992</v>
      </c>
      <c r="O794" s="25">
        <f t="shared" si="785"/>
        <v>10889.636755601023</v>
      </c>
      <c r="P794" s="25">
        <f t="shared" si="786"/>
        <v>28263.43324439897</v>
      </c>
      <c r="Q794" s="25">
        <f t="array" aca="1" ref="Q794" ca="1">INDEX('Isaac 401k'!L:L,MATCH('Retirement Calculator'!A794,'Isaac 401k'!N:N,0),0)</f>
        <v>829704.59136066656</v>
      </c>
      <c r="R794" s="25">
        <f t="array" aca="1" ref="R794" ca="1">INDEX('Lorri 401b'!L:L,MATCH('Retirement Calculator'!A794,'Lorri 401b'!N:N,0),0)</f>
        <v>-4956505.6527624745</v>
      </c>
      <c r="S794" s="25">
        <f t="shared" ca="1" si="787"/>
        <v>-4126801.0614018077</v>
      </c>
    </row>
    <row r="795" spans="1:19" ht="15.75" customHeight="1" x14ac:dyDescent="0.3">
      <c r="A795" s="37">
        <v>75150</v>
      </c>
      <c r="B795" s="398">
        <f t="shared" ref="B795:C795" si="806">($A795-B$9)/365.25</f>
        <v>123.87132101300479</v>
      </c>
      <c r="C795" s="398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3254.2644699519233</v>
      </c>
      <c r="H795" s="25">
        <f>IF(B795&lt;62,0,'Combined Retirement'!$I$14)</f>
        <v>2345</v>
      </c>
      <c r="I795" s="25">
        <f>IF(C795&lt;62,0,'Combined Retirement'!$I$13)</f>
        <v>2420</v>
      </c>
      <c r="J795" s="25">
        <f t="shared" si="783"/>
        <v>7896.2379798201846</v>
      </c>
      <c r="K795" s="25">
        <f t="shared" si="784"/>
        <v>20367.195264578786</v>
      </c>
      <c r="L795" s="25"/>
      <c r="N795" s="25">
        <f>'Combined Retirement'!$C$18/12</f>
        <v>39153.069999999992</v>
      </c>
      <c r="O795" s="25">
        <f t="shared" si="785"/>
        <v>10889.636755601023</v>
      </c>
      <c r="P795" s="25">
        <f t="shared" si="786"/>
        <v>28263.43324439897</v>
      </c>
      <c r="Q795" s="25">
        <f t="array" aca="1" ref="Q795" ca="1">INDEX('Isaac 401k'!L:L,MATCH('Retirement Calculator'!A795,'Isaac 401k'!N:N,0),0)</f>
        <v>825232.55485326657</v>
      </c>
      <c r="R795" s="25">
        <f t="array" aca="1" ref="R795" ca="1">INDEX('Lorri 401b'!L:L,MATCH('Retirement Calculator'!A795,'Lorri 401b'!N:N,0),0)</f>
        <v>-4997609.8182271663</v>
      </c>
      <c r="S795" s="25">
        <f t="shared" ca="1" si="787"/>
        <v>-4172377.2633738997</v>
      </c>
    </row>
    <row r="796" spans="1:19" ht="15.75" customHeight="1" x14ac:dyDescent="0.3">
      <c r="A796" s="37">
        <v>75181</v>
      </c>
      <c r="B796" s="398">
        <f t="shared" ref="B796:C796" si="807">($A796-B$9)/365.25</f>
        <v>123.95619438740589</v>
      </c>
      <c r="C796" s="398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3254.2644699519233</v>
      </c>
      <c r="H796" s="25">
        <f>IF(B796&lt;62,0,'Combined Retirement'!$I$14)</f>
        <v>2345</v>
      </c>
      <c r="I796" s="25">
        <f>IF(C796&lt;62,0,'Combined Retirement'!$I$13)</f>
        <v>2420</v>
      </c>
      <c r="J796" s="25">
        <f t="shared" si="783"/>
        <v>7896.2379798201846</v>
      </c>
      <c r="K796" s="25">
        <f t="shared" si="784"/>
        <v>20367.195264578786</v>
      </c>
      <c r="L796" s="25"/>
      <c r="N796" s="25">
        <f>'Combined Retirement'!$C$18/12</f>
        <v>39153.069999999992</v>
      </c>
      <c r="O796" s="25">
        <f t="shared" si="785"/>
        <v>10889.636755601023</v>
      </c>
      <c r="P796" s="25">
        <f t="shared" si="786"/>
        <v>28263.43324439897</v>
      </c>
      <c r="Q796" s="25">
        <f t="array" aca="1" ref="Q796" ca="1">INDEX('Isaac 401k'!L:L,MATCH('Retirement Calculator'!A796,'Isaac 401k'!N:N,0),0)</f>
        <v>820741.88486041909</v>
      </c>
      <c r="R796" s="25">
        <f t="array" aca="1" ref="R796" ca="1">INDEX('Lorri 401b'!L:L,MATCH('Retirement Calculator'!A796,'Lorri 401b'!N:N,0),0)</f>
        <v>-5038885.2510479605</v>
      </c>
      <c r="S796" s="25">
        <f t="shared" ca="1" si="787"/>
        <v>-4218143.3661875417</v>
      </c>
    </row>
    <row r="797" spans="1:19" ht="15.75" customHeight="1" x14ac:dyDescent="0.3">
      <c r="A797" s="37">
        <v>75211</v>
      </c>
      <c r="B797" s="398">
        <f t="shared" ref="B797:C797" si="808">($A797-B$9)/365.25</f>
        <v>124.03832991101984</v>
      </c>
      <c r="C797" s="398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3254.2644699519233</v>
      </c>
      <c r="H797" s="25">
        <f>IF(B797&lt;62,0,'Combined Retirement'!$I$14)</f>
        <v>2345</v>
      </c>
      <c r="I797" s="25">
        <f>IF(C797&lt;62,0,'Combined Retirement'!$I$13)</f>
        <v>2420</v>
      </c>
      <c r="J797" s="25">
        <f t="shared" si="783"/>
        <v>7896.2379798201846</v>
      </c>
      <c r="K797" s="25">
        <f t="shared" si="784"/>
        <v>20367.195264578786</v>
      </c>
      <c r="L797" s="25"/>
      <c r="N797" s="25">
        <f>'Combined Retirement'!$C$18/12</f>
        <v>39153.069999999992</v>
      </c>
      <c r="O797" s="25">
        <f t="shared" si="785"/>
        <v>10889.636755601023</v>
      </c>
      <c r="P797" s="25">
        <f t="shared" si="786"/>
        <v>28263.43324439897</v>
      </c>
      <c r="Q797" s="25">
        <f t="array" aca="1" ref="Q797" ca="1">INDEX('Isaac 401k'!L:L,MATCH('Retirement Calculator'!A797,'Isaac 401k'!N:N,0),0)</f>
        <v>816232.50374260137</v>
      </c>
      <c r="R797" s="25">
        <f t="array" aca="1" ref="R797" ca="1">INDEX('Lorri 401b'!L:L,MATCH('Retirement Calculator'!A797,'Lorri 401b'!N:N,0),0)</f>
        <v>-5080332.6648388412</v>
      </c>
      <c r="S797" s="25">
        <f t="shared" ca="1" si="787"/>
        <v>-4264100.1610962395</v>
      </c>
    </row>
    <row r="798" spans="1:19" ht="15.75" customHeight="1" x14ac:dyDescent="0.3">
      <c r="A798" s="37">
        <v>75242</v>
      </c>
      <c r="B798" s="398">
        <f t="shared" ref="B798:C798" si="809">($A798-B$9)/365.25</f>
        <v>124.12320328542094</v>
      </c>
      <c r="C798" s="398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3254.2644699519233</v>
      </c>
      <c r="H798" s="25">
        <f>IF(B798&lt;62,0,'Combined Retirement'!$I$14)</f>
        <v>2345</v>
      </c>
      <c r="I798" s="25">
        <f>IF(C798&lt;62,0,'Combined Retirement'!$I$13)</f>
        <v>2420</v>
      </c>
      <c r="J798" s="25">
        <f t="shared" si="783"/>
        <v>7896.2379798201846</v>
      </c>
      <c r="K798" s="25">
        <f t="shared" si="784"/>
        <v>20367.195264578786</v>
      </c>
      <c r="L798" s="25"/>
      <c r="N798" s="25">
        <f>'Combined Retirement'!$C$18/12</f>
        <v>39153.069999999992</v>
      </c>
      <c r="O798" s="25">
        <f t="shared" si="785"/>
        <v>10889.636755601023</v>
      </c>
      <c r="P798" s="25">
        <f t="shared" si="786"/>
        <v>28263.43324439897</v>
      </c>
      <c r="Q798" s="25">
        <f t="array" aca="1" ref="Q798" ca="1">INDEX('Isaac 401k'!L:L,MATCH('Retirement Calculator'!A798,'Isaac 401k'!N:N,0),0)</f>
        <v>811704.33353679278</v>
      </c>
      <c r="R798" s="25">
        <f t="array" aca="1" ref="R798" ca="1">INDEX('Lorri 401b'!L:L,MATCH('Retirement Calculator'!A798,'Lorri 401b'!N:N,0),0)</f>
        <v>-5121952.7761871843</v>
      </c>
      <c r="S798" s="25">
        <f t="shared" ca="1" si="787"/>
        <v>-4310248.4426503917</v>
      </c>
    </row>
    <row r="799" spans="1:19" ht="15.75" customHeight="1" x14ac:dyDescent="0.3">
      <c r="A799" s="37">
        <v>75273</v>
      </c>
      <c r="B799" s="398">
        <f t="shared" ref="B799:C799" si="810">($A799-B$9)/365.25</f>
        <v>124.20807665982204</v>
      </c>
      <c r="C799" s="398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3254.2644699519233</v>
      </c>
      <c r="H799" s="25">
        <f>IF(B799&lt;62,0,'Combined Retirement'!$I$14)</f>
        <v>2345</v>
      </c>
      <c r="I799" s="25">
        <f>IF(C799&lt;62,0,'Combined Retirement'!$I$13)</f>
        <v>2420</v>
      </c>
      <c r="J799" s="25">
        <f t="shared" si="783"/>
        <v>7896.2379798201846</v>
      </c>
      <c r="K799" s="25">
        <f t="shared" si="784"/>
        <v>20367.195264578786</v>
      </c>
      <c r="L799" s="25"/>
      <c r="N799" s="25">
        <f>'Combined Retirement'!$C$18/12</f>
        <v>39153.069999999992</v>
      </c>
      <c r="O799" s="25">
        <f t="shared" si="785"/>
        <v>10889.636755601023</v>
      </c>
      <c r="P799" s="25">
        <f t="shared" si="786"/>
        <v>28263.43324439897</v>
      </c>
      <c r="Q799" s="25">
        <f t="array" aca="1" ref="Q799" ca="1">INDEX('Isaac 401k'!L:L,MATCH('Retirement Calculator'!A799,'Isaac 401k'!N:N,0),0)</f>
        <v>807157.29595512664</v>
      </c>
      <c r="R799" s="25">
        <f t="array" aca="1" ref="R799" ca="1">INDEX('Lorri 401b'!L:L,MATCH('Retirement Calculator'!A799,'Lorri 401b'!N:N,0),0)</f>
        <v>-5163746.3046661457</v>
      </c>
      <c r="S799" s="25">
        <f t="shared" ca="1" si="787"/>
        <v>-4356589.0087110195</v>
      </c>
    </row>
    <row r="800" spans="1:19" ht="15.75" customHeight="1" x14ac:dyDescent="0.3">
      <c r="A800" s="37">
        <v>75301</v>
      </c>
      <c r="B800" s="398">
        <f t="shared" ref="B800:C800" si="811">($A800-B$9)/365.25</f>
        <v>124.28473648186174</v>
      </c>
      <c r="C800" s="398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3254.2644699519233</v>
      </c>
      <c r="H800" s="25">
        <f>IF(B800&lt;62,0,'Combined Retirement'!$I$14)</f>
        <v>2345</v>
      </c>
      <c r="I800" s="25">
        <f>IF(C800&lt;62,0,'Combined Retirement'!$I$13)</f>
        <v>2420</v>
      </c>
      <c r="J800" s="25">
        <f t="shared" si="783"/>
        <v>7896.2379798201846</v>
      </c>
      <c r="K800" s="25">
        <f t="shared" si="784"/>
        <v>20367.195264578786</v>
      </c>
      <c r="L800" s="25"/>
      <c r="N800" s="25">
        <f>'Combined Retirement'!$C$18/12</f>
        <v>39153.069999999992</v>
      </c>
      <c r="O800" s="25">
        <f t="shared" si="785"/>
        <v>10889.636755601023</v>
      </c>
      <c r="P800" s="25">
        <f t="shared" si="786"/>
        <v>28263.43324439897</v>
      </c>
      <c r="Q800" s="25">
        <f t="array" aca="1" ref="Q800" ca="1">INDEX('Isaac 401k'!L:L,MATCH('Retirement Calculator'!A800,'Isaac 401k'!N:N,0),0)</f>
        <v>802591.31238353683</v>
      </c>
      <c r="R800" s="25">
        <f t="array" aca="1" ref="R800" ca="1">INDEX('Lorri 401b'!L:L,MATCH('Retirement Calculator'!A800,'Lorri 401b'!N:N,0),0)</f>
        <v>-5205713.9728471022</v>
      </c>
      <c r="S800" s="25">
        <f t="shared" ca="1" si="787"/>
        <v>-4403122.660463565</v>
      </c>
    </row>
    <row r="801" spans="1:19" ht="15.75" customHeight="1" x14ac:dyDescent="0.3">
      <c r="A801" s="37">
        <v>75332</v>
      </c>
      <c r="B801" s="398">
        <f t="shared" ref="B801:C801" si="812">($A801-B$9)/365.25</f>
        <v>124.36960985626284</v>
      </c>
      <c r="C801" s="398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3254.2644699519233</v>
      </c>
      <c r="H801" s="25">
        <f>IF(B801&lt;62,0,'Combined Retirement'!$I$14)</f>
        <v>2345</v>
      </c>
      <c r="I801" s="25">
        <f>IF(C801&lt;62,0,'Combined Retirement'!$I$13)</f>
        <v>2420</v>
      </c>
      <c r="J801" s="25">
        <f t="shared" si="783"/>
        <v>7896.2379798201846</v>
      </c>
      <c r="K801" s="25">
        <f t="shared" si="784"/>
        <v>20367.195264578786</v>
      </c>
      <c r="L801" s="25"/>
      <c r="N801" s="25">
        <f>'Combined Retirement'!$C$18/12</f>
        <v>39153.069999999992</v>
      </c>
      <c r="O801" s="25">
        <f t="shared" si="785"/>
        <v>10889.636755601023</v>
      </c>
      <c r="P801" s="25">
        <f t="shared" si="786"/>
        <v>28263.43324439897</v>
      </c>
      <c r="Q801" s="25">
        <f t="array" aca="1" ref="Q801" ca="1">INDEX('Isaac 401k'!L:L,MATCH('Retirement Calculator'!A801,'Isaac 401k'!N:N,0),0)</f>
        <v>798006.30388039874</v>
      </c>
      <c r="R801" s="25">
        <f t="array" aca="1" ref="R801" ca="1">INDEX('Lorri 401b'!L:L,MATCH('Retirement Calculator'!A801,'Lorri 401b'!N:N,0),0)</f>
        <v>-5247856.5063121468</v>
      </c>
      <c r="S801" s="25">
        <f t="shared" ca="1" si="787"/>
        <v>-4449850.2024317477</v>
      </c>
    </row>
    <row r="802" spans="1:19" ht="15.75" customHeight="1" x14ac:dyDescent="0.3">
      <c r="A802" s="37">
        <v>75362</v>
      </c>
      <c r="B802" s="398">
        <f t="shared" ref="B802:C802" si="813">($A802-B$9)/365.25</f>
        <v>124.4517453798768</v>
      </c>
      <c r="C802" s="398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3254.2644699519233</v>
      </c>
      <c r="H802" s="25">
        <f>IF(B802&lt;62,0,'Combined Retirement'!$I$14)</f>
        <v>2345</v>
      </c>
      <c r="I802" s="25">
        <f>IF(C802&lt;62,0,'Combined Retirement'!$I$13)</f>
        <v>2420</v>
      </c>
      <c r="J802" s="25">
        <f t="shared" si="783"/>
        <v>7896.2379798201846</v>
      </c>
      <c r="K802" s="25">
        <f t="shared" si="784"/>
        <v>20367.195264578786</v>
      </c>
      <c r="L802" s="25"/>
      <c r="N802" s="25">
        <f>'Combined Retirement'!$C$18/12</f>
        <v>39153.069999999992</v>
      </c>
      <c r="O802" s="25">
        <f t="shared" si="785"/>
        <v>10889.636755601023</v>
      </c>
      <c r="P802" s="25">
        <f t="shared" si="786"/>
        <v>28263.43324439897</v>
      </c>
      <c r="Q802" s="25">
        <f t="array" aca="1" ref="Q802" ca="1">INDEX('Isaac 401k'!L:L,MATCH('Retirement Calculator'!A802,'Isaac 401k'!N:N,0),0)</f>
        <v>793402.19117516431</v>
      </c>
      <c r="R802" s="25">
        <f t="array" aca="1" ref="R802" ca="1">INDEX('Lorri 401b'!L:L,MATCH('Retirement Calculator'!A802,'Lorri 401b'!N:N,0),0)</f>
        <v>-5290174.633666629</v>
      </c>
      <c r="S802" s="25">
        <f t="shared" ca="1" si="787"/>
        <v>-4496772.4424914643</v>
      </c>
    </row>
    <row r="803" spans="1:19" ht="15.75" customHeight="1" x14ac:dyDescent="0.3">
      <c r="A803" s="37">
        <v>75393</v>
      </c>
      <c r="B803" s="398">
        <f t="shared" ref="B803:C803" si="814">($A803-B$9)/365.25</f>
        <v>124.5366187542779</v>
      </c>
      <c r="C803" s="398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3254.2644699519233</v>
      </c>
      <c r="H803" s="25">
        <f>IF(B803&lt;62,0,'Combined Retirement'!$I$14)</f>
        <v>2345</v>
      </c>
      <c r="I803" s="25">
        <f>IF(C803&lt;62,0,'Combined Retirement'!$I$13)</f>
        <v>2420</v>
      </c>
      <c r="J803" s="25">
        <f t="shared" si="783"/>
        <v>7896.2379798201846</v>
      </c>
      <c r="K803" s="25">
        <f t="shared" si="784"/>
        <v>20367.195264578786</v>
      </c>
      <c r="L803" s="25"/>
      <c r="N803" s="25">
        <f>'Combined Retirement'!$C$18/12</f>
        <v>39153.069999999992</v>
      </c>
      <c r="O803" s="25">
        <f t="shared" si="785"/>
        <v>10889.636755601023</v>
      </c>
      <c r="P803" s="25">
        <f t="shared" si="786"/>
        <v>28263.43324439897</v>
      </c>
      <c r="Q803" s="25">
        <f t="array" aca="1" ref="Q803" ca="1">INDEX('Isaac 401k'!L:L,MATCH('Retirement Calculator'!A803,'Isaac 401k'!N:N,0),0)</f>
        <v>788778.89466699131</v>
      </c>
      <c r="R803" s="25">
        <f t="array" aca="1" ref="R803" ca="1">INDEX('Lorri 401b'!L:L,MATCH('Retirement Calculator'!A803,'Lorri 401b'!N:N,0),0)</f>
        <v>-5332669.0865517547</v>
      </c>
      <c r="S803" s="25">
        <f t="shared" ca="1" si="787"/>
        <v>-4543890.1918847635</v>
      </c>
    </row>
    <row r="804" spans="1:19" ht="15.75" customHeight="1" x14ac:dyDescent="0.3">
      <c r="A804" s="37">
        <v>75423</v>
      </c>
      <c r="B804" s="398">
        <f t="shared" ref="B804:C804" si="815">($A804-B$9)/365.25</f>
        <v>124.61875427789185</v>
      </c>
      <c r="C804" s="398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3254.2644699519233</v>
      </c>
      <c r="H804" s="25">
        <f>IF(B804&lt;62,0,'Combined Retirement'!$I$14)</f>
        <v>2345</v>
      </c>
      <c r="I804" s="25">
        <f>IF(C804&lt;62,0,'Combined Retirement'!$I$13)</f>
        <v>2420</v>
      </c>
      <c r="J804" s="25">
        <f t="shared" si="783"/>
        <v>7896.2379798201846</v>
      </c>
      <c r="K804" s="25">
        <f t="shared" si="784"/>
        <v>20367.195264578786</v>
      </c>
      <c r="L804" s="25"/>
      <c r="N804" s="25">
        <f>'Combined Retirement'!$C$18/12</f>
        <v>39153.069999999992</v>
      </c>
      <c r="O804" s="25">
        <f t="shared" si="785"/>
        <v>10889.636755601023</v>
      </c>
      <c r="P804" s="25">
        <f t="shared" si="786"/>
        <v>28263.43324439897</v>
      </c>
      <c r="Q804" s="25">
        <f t="array" aca="1" ref="Q804" ca="1">INDEX('Isaac 401k'!L:L,MATCH('Retirement Calculator'!A804,'Isaac 401k'!N:N,0),0)</f>
        <v>784136.33442336763</v>
      </c>
      <c r="R804" s="25">
        <f t="array" aca="1" ref="R804" ca="1">INDEX('Lorri 401b'!L:L,MATCH('Retirement Calculator'!A804,'Lorri 401b'!N:N,0),0)</f>
        <v>-5375340.5996572347</v>
      </c>
      <c r="S804" s="25">
        <f t="shared" ca="1" si="787"/>
        <v>-4591204.2652338669</v>
      </c>
    </row>
    <row r="805" spans="1:19" ht="15.75" customHeight="1" x14ac:dyDescent="0.3">
      <c r="A805" s="37">
        <v>75454</v>
      </c>
      <c r="B805" s="398">
        <f t="shared" ref="B805:C805" si="816">($A805-B$9)/365.25</f>
        <v>124.70362765229295</v>
      </c>
      <c r="C805" s="398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3254.2644699519233</v>
      </c>
      <c r="H805" s="25">
        <f>IF(B805&lt;62,0,'Combined Retirement'!$I$14)</f>
        <v>2345</v>
      </c>
      <c r="I805" s="25">
        <f>IF(C805&lt;62,0,'Combined Retirement'!$I$13)</f>
        <v>2420</v>
      </c>
      <c r="J805" s="25">
        <f t="shared" si="783"/>
        <v>7896.2379798201846</v>
      </c>
      <c r="K805" s="25">
        <f t="shared" si="784"/>
        <v>20367.195264578786</v>
      </c>
      <c r="L805" s="25"/>
      <c r="N805" s="25">
        <f>'Combined Retirement'!$C$18/12</f>
        <v>39153.069999999992</v>
      </c>
      <c r="O805" s="25">
        <f t="shared" si="785"/>
        <v>10889.636755601023</v>
      </c>
      <c r="P805" s="25">
        <f t="shared" si="786"/>
        <v>28263.43324439897</v>
      </c>
      <c r="Q805" s="25">
        <f t="array" aca="1" ref="Q805" ca="1">INDEX('Isaac 401k'!L:L,MATCH('Retirement Calculator'!A805,'Isaac 401k'!N:N,0),0)</f>
        <v>779474.43017872889</v>
      </c>
      <c r="R805" s="25">
        <f t="array" aca="1" ref="R805" ca="1">INDEX('Lorri 401b'!L:L,MATCH('Retirement Calculator'!A805,'Lorri 401b'!N:N,0),0)</f>
        <v>-5418189.9107339876</v>
      </c>
      <c r="S805" s="25">
        <f t="shared" ca="1" si="787"/>
        <v>-4638715.4805552587</v>
      </c>
    </row>
    <row r="806" spans="1:19" ht="15.75" customHeight="1" x14ac:dyDescent="0.3">
      <c r="A806" s="37">
        <v>75485</v>
      </c>
      <c r="B806" s="398">
        <f t="shared" ref="B806:C806" si="817">($A806-B$9)/365.25</f>
        <v>124.78850102669405</v>
      </c>
      <c r="C806" s="398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3254.2644699519233</v>
      </c>
      <c r="H806" s="25">
        <f>IF(B806&lt;62,0,'Combined Retirement'!$I$14)</f>
        <v>2345</v>
      </c>
      <c r="I806" s="25">
        <f>IF(C806&lt;62,0,'Combined Retirement'!$I$13)</f>
        <v>2420</v>
      </c>
      <c r="J806" s="25">
        <f t="shared" si="783"/>
        <v>7896.2379798201846</v>
      </c>
      <c r="K806" s="25">
        <f t="shared" si="784"/>
        <v>20367.195264578786</v>
      </c>
      <c r="L806" s="25"/>
      <c r="N806" s="25">
        <f>'Combined Retirement'!$C$18/12</f>
        <v>39153.069999999992</v>
      </c>
      <c r="O806" s="25">
        <f t="shared" si="785"/>
        <v>10889.636755601023</v>
      </c>
      <c r="P806" s="25">
        <f t="shared" si="786"/>
        <v>28263.43324439897</v>
      </c>
      <c r="Q806" s="25">
        <f t="array" aca="1" ref="Q806" ca="1">INDEX('Isaac 401k'!L:L,MATCH('Retirement Calculator'!A806,'Isaac 401k'!N:N,0),0)</f>
        <v>774793.10133307078</v>
      </c>
      <c r="R806" s="25">
        <f t="array" aca="1" ref="R806" ca="1">INDEX('Lorri 401b'!L:L,MATCH('Retirement Calculator'!A806,'Lorri 401b'!N:N,0),0)</f>
        <v>-5461217.7606068933</v>
      </c>
      <c r="S806" s="25">
        <f t="shared" ca="1" si="787"/>
        <v>-4686424.6592738228</v>
      </c>
    </row>
    <row r="807" spans="1:19" ht="15.75" customHeight="1" x14ac:dyDescent="0.3">
      <c r="A807" s="37">
        <v>75515</v>
      </c>
      <c r="B807" s="398">
        <f t="shared" ref="B807:C807" si="818">($A807-B$9)/365.25</f>
        <v>124.87063655030801</v>
      </c>
      <c r="C807" s="398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3254.2644699519233</v>
      </c>
      <c r="H807" s="25">
        <f>IF(B807&lt;62,0,'Combined Retirement'!$I$14)</f>
        <v>2345</v>
      </c>
      <c r="I807" s="25">
        <f>IF(C807&lt;62,0,'Combined Retirement'!$I$13)</f>
        <v>2420</v>
      </c>
      <c r="J807" s="25">
        <f t="shared" si="783"/>
        <v>7896.2379798201846</v>
      </c>
      <c r="K807" s="25">
        <f t="shared" si="784"/>
        <v>20367.195264578786</v>
      </c>
      <c r="L807" s="25"/>
      <c r="N807" s="25">
        <f>'Combined Retirement'!$C$18/12</f>
        <v>39153.069999999992</v>
      </c>
      <c r="O807" s="25">
        <f t="shared" si="785"/>
        <v>10889.636755601023</v>
      </c>
      <c r="P807" s="25">
        <f t="shared" si="786"/>
        <v>28263.43324439897</v>
      </c>
      <c r="Q807" s="25">
        <f t="array" aca="1" ref="Q807" ca="1">INDEX('Isaac 401k'!L:L,MATCH('Retirement Calculator'!A807,'Isaac 401k'!N:N,0),0)</f>
        <v>770092.26695055573</v>
      </c>
      <c r="R807" s="25">
        <f t="array" aca="1" ref="R807" ca="1">INDEX('Lorri 401b'!L:L,MATCH('Retirement Calculator'!A807,'Lorri 401b'!N:N,0),0)</f>
        <v>-5504424.893187603</v>
      </c>
      <c r="S807" s="25">
        <f t="shared" ca="1" si="787"/>
        <v>-4734332.6262370469</v>
      </c>
    </row>
    <row r="808" spans="1:19" ht="15.75" customHeight="1" x14ac:dyDescent="0.3">
      <c r="A808" s="37">
        <v>75546</v>
      </c>
      <c r="B808" s="398">
        <f t="shared" ref="B808:C808" si="819">($A808-B$9)/365.25</f>
        <v>124.95550992470911</v>
      </c>
      <c r="C808" s="398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3254.2644699519233</v>
      </c>
      <c r="H808" s="25">
        <f>IF(B808&lt;62,0,'Combined Retirement'!$I$14)</f>
        <v>2345</v>
      </c>
      <c r="I808" s="25">
        <f>IF(C808&lt;62,0,'Combined Retirement'!$I$13)</f>
        <v>2420</v>
      </c>
      <c r="J808" s="25">
        <f t="shared" si="783"/>
        <v>7896.2379798201846</v>
      </c>
      <c r="K808" s="25">
        <f t="shared" si="784"/>
        <v>20367.195264578786</v>
      </c>
      <c r="L808" s="25"/>
      <c r="N808" s="25">
        <f>'Combined Retirement'!$C$18/12</f>
        <v>39153.069999999992</v>
      </c>
      <c r="O808" s="25">
        <f t="shared" si="785"/>
        <v>10889.636755601023</v>
      </c>
      <c r="P808" s="25">
        <f t="shared" si="786"/>
        <v>28263.43324439897</v>
      </c>
      <c r="Q808" s="25">
        <f t="array" aca="1" ref="Q808" ca="1">INDEX('Isaac 401k'!L:L,MATCH('Retirement Calculator'!A808,'Isaac 401k'!N:N,0),0)</f>
        <v>765371.84575811354</v>
      </c>
      <c r="R808" s="25">
        <f t="array" aca="1" ref="R808" ca="1">INDEX('Lorri 401b'!L:L,MATCH('Retirement Calculator'!A808,'Lorri 401b'!N:N,0),0)</f>
        <v>-5547812.055487399</v>
      </c>
      <c r="S808" s="25">
        <f t="shared" ca="1" si="787"/>
        <v>-4782440.2097292859</v>
      </c>
    </row>
    <row r="809" spans="1:19" ht="15.75" customHeight="1" x14ac:dyDescent="0.3">
      <c r="A809" s="37">
        <v>75576</v>
      </c>
      <c r="B809" s="398">
        <f t="shared" ref="B809:C809" si="820">($A809-B$9)/365.25</f>
        <v>125.03764544832306</v>
      </c>
      <c r="C809" s="398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3254.2644699519233</v>
      </c>
      <c r="H809" s="25">
        <f>IF(B809&lt;62,0,'Combined Retirement'!$I$14)</f>
        <v>2345</v>
      </c>
      <c r="I809" s="25">
        <f>IF(C809&lt;62,0,'Combined Retirement'!$I$13)</f>
        <v>2420</v>
      </c>
      <c r="J809" s="25">
        <f t="shared" si="783"/>
        <v>7896.2379798201846</v>
      </c>
      <c r="K809" s="25">
        <f t="shared" si="784"/>
        <v>20367.195264578786</v>
      </c>
      <c r="L809" s="25"/>
      <c r="N809" s="25">
        <f>'Combined Retirement'!$C$18/12</f>
        <v>39153.069999999992</v>
      </c>
      <c r="O809" s="25">
        <f t="shared" si="785"/>
        <v>10889.636755601023</v>
      </c>
      <c r="P809" s="25">
        <f t="shared" si="786"/>
        <v>28263.43324439897</v>
      </c>
      <c r="Q809" s="25">
        <f t="array" aca="1" ref="Q809" ca="1">INDEX('Isaac 401k'!L:L,MATCH('Retirement Calculator'!A809,'Isaac 401k'!N:N,0),0)</f>
        <v>760631.75614403619</v>
      </c>
      <c r="R809" s="25">
        <f t="array" aca="1" ref="R809" ca="1">INDEX('Lorri 401b'!L:L,MATCH('Retirement Calculator'!A809,'Lorri 401b'!N:N,0),0)</f>
        <v>-5591379.9976301109</v>
      </c>
      <c r="S809" s="25">
        <f t="shared" ca="1" si="787"/>
        <v>-4830748.2414860744</v>
      </c>
    </row>
    <row r="810" spans="1:19" ht="15.75" customHeight="1" x14ac:dyDescent="0.3">
      <c r="A810" s="37">
        <v>75607</v>
      </c>
      <c r="B810" s="398">
        <f t="shared" ref="B810:C810" si="821">($A810-B$9)/365.25</f>
        <v>125.12251882272416</v>
      </c>
      <c r="C810" s="398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3254.2644699519233</v>
      </c>
      <c r="H810" s="25">
        <f>IF(B810&lt;62,0,'Combined Retirement'!$I$14)</f>
        <v>2345</v>
      </c>
      <c r="I810" s="25">
        <f>IF(C810&lt;62,0,'Combined Retirement'!$I$13)</f>
        <v>2420</v>
      </c>
      <c r="J810" s="25">
        <f t="shared" si="783"/>
        <v>7896.2379798201846</v>
      </c>
      <c r="K810" s="25">
        <f t="shared" si="784"/>
        <v>20367.195264578786</v>
      </c>
      <c r="L810" s="25"/>
      <c r="N810" s="25">
        <f>'Combined Retirement'!$C$18/12</f>
        <v>39153.069999999992</v>
      </c>
      <c r="O810" s="25">
        <f t="shared" si="785"/>
        <v>10889.636755601023</v>
      </c>
      <c r="P810" s="25">
        <f t="shared" si="786"/>
        <v>28263.43324439897</v>
      </c>
      <c r="Q810" s="25">
        <f t="array" aca="1" ref="Q810" ca="1">INDEX('Isaac 401k'!L:L,MATCH('Retirement Calculator'!A810,'Isaac 401k'!N:N,0),0)</f>
        <v>755871.91615656682</v>
      </c>
      <c r="R810" s="25">
        <f t="array" aca="1" ref="R810" ca="1">INDEX('Lorri 401b'!L:L,MATCH('Retirement Calculator'!A810,'Lorri 401b'!N:N,0),0)</f>
        <v>-5635129.4728650842</v>
      </c>
      <c r="S810" s="25">
        <f t="shared" ca="1" si="787"/>
        <v>-4879257.5567085175</v>
      </c>
    </row>
    <row r="811" spans="1:19" ht="15.75" customHeight="1" x14ac:dyDescent="0.3">
      <c r="A811" s="37">
        <v>75638</v>
      </c>
      <c r="B811" s="398">
        <f t="shared" ref="B811:C811" si="822">($A811-B$9)/365.25</f>
        <v>125.20739219712526</v>
      </c>
      <c r="C811" s="398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3254.2644699519233</v>
      </c>
      <c r="H811" s="25">
        <f>IF(B811&lt;62,0,'Combined Retirement'!$I$14)</f>
        <v>2345</v>
      </c>
      <c r="I811" s="25">
        <f>IF(C811&lt;62,0,'Combined Retirement'!$I$13)</f>
        <v>2420</v>
      </c>
      <c r="J811" s="25">
        <f t="shared" si="783"/>
        <v>7896.2379798201846</v>
      </c>
      <c r="K811" s="25">
        <f t="shared" si="784"/>
        <v>20367.195264578786</v>
      </c>
      <c r="L811" s="25"/>
      <c r="N811" s="25">
        <f>'Combined Retirement'!$C$18/12</f>
        <v>39153.069999999992</v>
      </c>
      <c r="O811" s="25">
        <f t="shared" si="785"/>
        <v>10889.636755601023</v>
      </c>
      <c r="P811" s="25">
        <f t="shared" si="786"/>
        <v>28263.43324439897</v>
      </c>
      <c r="Q811" s="25">
        <f t="array" aca="1" ref="Q811" ca="1">INDEX('Isaac 401k'!L:L,MATCH('Retirement Calculator'!A811,'Isaac 401k'!N:N,0),0)</f>
        <v>751092.243502483</v>
      </c>
      <c r="R811" s="25">
        <f t="array" aca="1" ref="R811" ca="1">INDEX('Lorri 401b'!L:L,MATCH('Retirement Calculator'!A811,'Lorri 401b'!N:N,0),0)</f>
        <v>-5679061.2375802035</v>
      </c>
      <c r="S811" s="25">
        <f t="shared" ca="1" si="787"/>
        <v>-4927968.9940777207</v>
      </c>
    </row>
    <row r="812" spans="1:19" ht="15.75" customHeight="1" x14ac:dyDescent="0.3">
      <c r="A812" s="37">
        <v>75666</v>
      </c>
      <c r="B812" s="398">
        <f t="shared" ref="B812:C812" si="823">($A812-B$9)/365.25</f>
        <v>125.28405201916496</v>
      </c>
      <c r="C812" s="398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3254.2644699519233</v>
      </c>
      <c r="H812" s="25">
        <f>IF(B812&lt;62,0,'Combined Retirement'!$I$14)</f>
        <v>2345</v>
      </c>
      <c r="I812" s="25">
        <f>IF(C812&lt;62,0,'Combined Retirement'!$I$13)</f>
        <v>2420</v>
      </c>
      <c r="J812" s="25">
        <f t="shared" si="783"/>
        <v>7896.2379798201846</v>
      </c>
      <c r="K812" s="25">
        <f t="shared" si="784"/>
        <v>20367.195264578786</v>
      </c>
      <c r="L812" s="25"/>
      <c r="N812" s="25">
        <f>'Combined Retirement'!$C$18/12</f>
        <v>39153.069999999992</v>
      </c>
      <c r="O812" s="25">
        <f t="shared" si="785"/>
        <v>10889.636755601023</v>
      </c>
      <c r="P812" s="25">
        <f t="shared" si="786"/>
        <v>28263.43324439897</v>
      </c>
      <c r="Q812" s="25">
        <f t="array" aca="1" ref="Q812" ca="1">INDEX('Isaac 401k'!L:L,MATCH('Retirement Calculator'!A812,'Isaac 401k'!N:N,0),0)</f>
        <v>746292.65554567392</v>
      </c>
      <c r="R812" s="25">
        <f t="array" aca="1" ref="R812" ca="1">INDEX('Lorri 401b'!L:L,MATCH('Retirement Calculator'!A812,'Lorri 401b'!N:N,0),0)</f>
        <v>-5723176.0513149686</v>
      </c>
      <c r="S812" s="25">
        <f t="shared" ca="1" si="787"/>
        <v>-4976883.3957692944</v>
      </c>
    </row>
    <row r="813" spans="1:19" ht="15.75" customHeight="1" x14ac:dyDescent="0.3">
      <c r="A813" s="37">
        <v>75697</v>
      </c>
      <c r="B813" s="398">
        <f t="shared" ref="B813:C813" si="824">($A813-B$9)/365.25</f>
        <v>125.36892539356604</v>
      </c>
      <c r="C813" s="398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3254.2644699519233</v>
      </c>
      <c r="H813" s="25">
        <f>IF(B813&lt;62,0,'Combined Retirement'!$I$14)</f>
        <v>2345</v>
      </c>
      <c r="I813" s="25">
        <f>IF(C813&lt;62,0,'Combined Retirement'!$I$13)</f>
        <v>2420</v>
      </c>
      <c r="J813" s="25">
        <f t="shared" si="783"/>
        <v>7896.2379798201846</v>
      </c>
      <c r="K813" s="25">
        <f t="shared" si="784"/>
        <v>20367.195264578786</v>
      </c>
      <c r="L813" s="25"/>
      <c r="N813" s="25">
        <f>'Combined Retirement'!$C$18/12</f>
        <v>39153.069999999992</v>
      </c>
      <c r="O813" s="25">
        <f t="shared" si="785"/>
        <v>10889.636755601023</v>
      </c>
      <c r="P813" s="25">
        <f t="shared" si="786"/>
        <v>28263.43324439897</v>
      </c>
      <c r="Q813" s="25">
        <f t="array" aca="1" ref="Q813" ca="1">INDEX('Isaac 401k'!L:L,MATCH('Retirement Calculator'!A813,'Isaac 401k'!N:N,0),0)</f>
        <v>741473.06930571143</v>
      </c>
      <c r="R813" s="25">
        <f t="array" aca="1" ref="R813" ca="1">INDEX('Lorri 401b'!L:L,MATCH('Retirement Calculator'!A813,'Lorri 401b'!N:N,0),0)</f>
        <v>-5767474.6767736292</v>
      </c>
      <c r="S813" s="25">
        <f t="shared" ca="1" si="787"/>
        <v>-5026001.6074679177</v>
      </c>
    </row>
    <row r="814" spans="1:19" ht="15.75" customHeight="1" x14ac:dyDescent="0.3">
      <c r="A814" s="37">
        <v>75727</v>
      </c>
      <c r="B814" s="398">
        <f t="shared" ref="B814:C814" si="825">($A814-B$9)/365.25</f>
        <v>125.45106091718002</v>
      </c>
      <c r="C814" s="398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3254.2644699519233</v>
      </c>
      <c r="H814" s="25">
        <f>IF(B814&lt;62,0,'Combined Retirement'!$I$14)</f>
        <v>2345</v>
      </c>
      <c r="I814" s="25">
        <f>IF(C814&lt;62,0,'Combined Retirement'!$I$13)</f>
        <v>2420</v>
      </c>
      <c r="J814" s="25">
        <f t="shared" si="783"/>
        <v>7896.2379798201846</v>
      </c>
      <c r="K814" s="25">
        <f t="shared" si="784"/>
        <v>20367.195264578786</v>
      </c>
      <c r="L814" s="25"/>
      <c r="N814" s="25">
        <f>'Combined Retirement'!$C$18/12</f>
        <v>39153.069999999992</v>
      </c>
      <c r="O814" s="25">
        <f t="shared" si="785"/>
        <v>10889.636755601023</v>
      </c>
      <c r="P814" s="25">
        <f t="shared" si="786"/>
        <v>28263.43324439897</v>
      </c>
      <c r="Q814" s="25">
        <f t="array" aca="1" ref="Q814" ca="1">INDEX('Isaac 401k'!L:L,MATCH('Retirement Calculator'!A814,'Isaac 401k'!N:N,0),0)</f>
        <v>736633.40145641577</v>
      </c>
      <c r="R814" s="25">
        <f t="array" aca="1" ref="R814" ca="1">INDEX('Lorri 401b'!L:L,MATCH('Retirement Calculator'!A814,'Lorri 401b'!N:N,0),0)</f>
        <v>-5811957.879838367</v>
      </c>
      <c r="S814" s="25">
        <f t="shared" ca="1" si="787"/>
        <v>-5075324.4783819513</v>
      </c>
    </row>
    <row r="815" spans="1:19" ht="15.75" customHeight="1" x14ac:dyDescent="0.3">
      <c r="A815" s="37">
        <v>75758</v>
      </c>
      <c r="B815" s="398">
        <f t="shared" ref="B815:C815" si="826">($A815-B$9)/365.25</f>
        <v>125.53593429158111</v>
      </c>
      <c r="C815" s="398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3254.2644699519233</v>
      </c>
      <c r="H815" s="25">
        <f>IF(B815&lt;62,0,'Combined Retirement'!$I$14)</f>
        <v>2345</v>
      </c>
      <c r="I815" s="25">
        <f>IF(C815&lt;62,0,'Combined Retirement'!$I$13)</f>
        <v>2420</v>
      </c>
      <c r="J815" s="25">
        <f t="shared" si="783"/>
        <v>7896.2379798201846</v>
      </c>
      <c r="K815" s="25">
        <f t="shared" si="784"/>
        <v>20367.195264578786</v>
      </c>
      <c r="L815" s="25"/>
      <c r="N815" s="25">
        <f>'Combined Retirement'!$C$18/12</f>
        <v>39153.069999999992</v>
      </c>
      <c r="O815" s="25">
        <f t="shared" si="785"/>
        <v>10889.636755601023</v>
      </c>
      <c r="P815" s="25">
        <f t="shared" si="786"/>
        <v>28263.43324439897</v>
      </c>
      <c r="Q815" s="25">
        <f t="array" aca="1" ref="Q815" ca="1">INDEX('Isaac 401k'!L:L,MATCH('Retirement Calculator'!A815,'Isaac 401k'!N:N,0),0)</f>
        <v>731773.56832441466</v>
      </c>
      <c r="R815" s="25">
        <f t="array" aca="1" ref="R815" ca="1">INDEX('Lorri 401b'!L:L,MATCH('Retirement Calculator'!A815,'Lorri 401b'!N:N,0),0)</f>
        <v>-5856626.4295825418</v>
      </c>
      <c r="S815" s="25">
        <f t="shared" ca="1" si="787"/>
        <v>-5124852.8612581268</v>
      </c>
    </row>
    <row r="816" spans="1:19" ht="15.75" customHeight="1" x14ac:dyDescent="0.3">
      <c r="A816" s="37">
        <v>75788</v>
      </c>
      <c r="B816" s="398">
        <f t="shared" ref="B816:C816" si="827">($A816-B$9)/365.25</f>
        <v>125.61806981519507</v>
      </c>
      <c r="C816" s="398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3254.2644699519233</v>
      </c>
      <c r="H816" s="25">
        <f>IF(B816&lt;62,0,'Combined Retirement'!$I$14)</f>
        <v>2345</v>
      </c>
      <c r="I816" s="25">
        <f>IF(C816&lt;62,0,'Combined Retirement'!$I$13)</f>
        <v>2420</v>
      </c>
      <c r="J816" s="25">
        <f t="shared" si="783"/>
        <v>7896.2379798201846</v>
      </c>
      <c r="K816" s="25">
        <f t="shared" si="784"/>
        <v>20367.195264578786</v>
      </c>
      <c r="L816" s="25"/>
      <c r="N816" s="25">
        <f>'Combined Retirement'!$C$18/12</f>
        <v>39153.069999999992</v>
      </c>
      <c r="O816" s="25">
        <f t="shared" si="785"/>
        <v>10889.636755601023</v>
      </c>
      <c r="P816" s="25">
        <f t="shared" si="786"/>
        <v>28263.43324439897</v>
      </c>
      <c r="Q816" s="25">
        <f t="array" aca="1" ref="Q816" ca="1">INDEX('Isaac 401k'!L:L,MATCH('Retirement Calculator'!A816,'Isaac 401k'!N:N,0),0)</f>
        <v>726893.48588769697</v>
      </c>
      <c r="R816" s="25">
        <f t="array" aca="1" ref="R816" ca="1">INDEX('Lorri 401b'!L:L,MATCH('Retirement Calculator'!A816,'Lorri 401b'!N:N,0),0)</f>
        <v>-5901481.0982839838</v>
      </c>
      <c r="S816" s="25">
        <f t="shared" ca="1" si="787"/>
        <v>-5174587.6123962868</v>
      </c>
    </row>
    <row r="817" spans="1:19" ht="15.75" customHeight="1" x14ac:dyDescent="0.3">
      <c r="A817" s="37">
        <v>75819</v>
      </c>
      <c r="B817" s="398">
        <f t="shared" ref="B817:C817" si="828">($A817-B$9)/365.25</f>
        <v>125.70294318959617</v>
      </c>
      <c r="C817" s="398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3254.2644699519233</v>
      </c>
      <c r="H817" s="25">
        <f>IF(B817&lt;62,0,'Combined Retirement'!$I$14)</f>
        <v>2345</v>
      </c>
      <c r="I817" s="25">
        <f>IF(C817&lt;62,0,'Combined Retirement'!$I$13)</f>
        <v>2420</v>
      </c>
      <c r="J817" s="25">
        <f t="shared" si="783"/>
        <v>7896.2379798201846</v>
      </c>
      <c r="K817" s="25">
        <f t="shared" si="784"/>
        <v>20367.195264578786</v>
      </c>
      <c r="L817" s="25"/>
      <c r="N817" s="25">
        <f>'Combined Retirement'!$C$18/12</f>
        <v>39153.069999999992</v>
      </c>
      <c r="O817" s="25">
        <f t="shared" si="785"/>
        <v>10889.636755601023</v>
      </c>
      <c r="P817" s="25">
        <f t="shared" si="786"/>
        <v>28263.43324439897</v>
      </c>
      <c r="Q817" s="25">
        <f t="array" aca="1" ref="Q817" ca="1">INDEX('Isaac 401k'!L:L,MATCH('Retirement Calculator'!A817,'Isaac 401k'!N:N,0),0)</f>
        <v>721993.06977415958</v>
      </c>
      <c r="R817" s="25">
        <f t="array" aca="1" ref="R817" ca="1">INDEX('Lorri 401b'!L:L,MATCH('Retirement Calculator'!A817,'Lorri 401b'!N:N,0),0)</f>
        <v>-5946522.6614383487</v>
      </c>
      <c r="S817" s="25">
        <f t="shared" ca="1" si="787"/>
        <v>-5224529.5916641895</v>
      </c>
    </row>
    <row r="818" spans="1:19" ht="15.75" customHeight="1" x14ac:dyDescent="0.3">
      <c r="A818" s="37">
        <v>75850</v>
      </c>
      <c r="B818" s="398">
        <f t="shared" ref="B818:C818" si="829">($A818-B$9)/365.25</f>
        <v>125.78781656399727</v>
      </c>
      <c r="C818" s="398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3254.2644699519233</v>
      </c>
      <c r="H818" s="25">
        <f>IF(B818&lt;62,0,'Combined Retirement'!$I$14)</f>
        <v>2345</v>
      </c>
      <c r="I818" s="25">
        <f>IF(C818&lt;62,0,'Combined Retirement'!$I$13)</f>
        <v>2420</v>
      </c>
      <c r="J818" s="25">
        <f t="shared" si="783"/>
        <v>7896.2379798201846</v>
      </c>
      <c r="K818" s="25">
        <f t="shared" si="784"/>
        <v>20367.195264578786</v>
      </c>
      <c r="L818" s="25"/>
      <c r="N818" s="25">
        <f>'Combined Retirement'!$C$18/12</f>
        <v>39153.069999999992</v>
      </c>
      <c r="O818" s="25">
        <f t="shared" si="785"/>
        <v>10889.636755601023</v>
      </c>
      <c r="P818" s="25">
        <f t="shared" si="786"/>
        <v>28263.43324439897</v>
      </c>
      <c r="Q818" s="25">
        <f t="array" aca="1" ref="Q818" ca="1">INDEX('Isaac 401k'!L:L,MATCH('Retirement Calculator'!A818,'Isaac 401k'!N:N,0),0)</f>
        <v>717072.23526014911</v>
      </c>
      <c r="R818" s="25">
        <f t="array" aca="1" ref="R818" ca="1">INDEX('Lorri 401b'!L:L,MATCH('Retirement Calculator'!A818,'Lorri 401b'!N:N,0),0)</f>
        <v>-5991751.8977725226</v>
      </c>
      <c r="S818" s="25">
        <f t="shared" ca="1" si="787"/>
        <v>-5274679.6625123732</v>
      </c>
    </row>
    <row r="819" spans="1:19" ht="15.75" customHeight="1" x14ac:dyDescent="0.3">
      <c r="A819" s="37">
        <v>75880</v>
      </c>
      <c r="B819" s="398">
        <f t="shared" ref="B819:C819" si="830">($A819-B$9)/365.25</f>
        <v>125.86995208761122</v>
      </c>
      <c r="C819" s="398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3254.2644699519233</v>
      </c>
      <c r="H819" s="25">
        <f>IF(B819&lt;62,0,'Combined Retirement'!$I$14)</f>
        <v>2345</v>
      </c>
      <c r="I819" s="25">
        <f>IF(C819&lt;62,0,'Combined Retirement'!$I$13)</f>
        <v>2420</v>
      </c>
      <c r="J819" s="25">
        <f t="shared" si="783"/>
        <v>7896.2379798201846</v>
      </c>
      <c r="K819" s="25">
        <f t="shared" si="784"/>
        <v>20367.195264578786</v>
      </c>
      <c r="L819" s="25"/>
      <c r="N819" s="25">
        <f>'Combined Retirement'!$C$18/12</f>
        <v>39153.069999999992</v>
      </c>
      <c r="O819" s="25">
        <f t="shared" si="785"/>
        <v>10889.636755601023</v>
      </c>
      <c r="P819" s="25">
        <f t="shared" si="786"/>
        <v>28263.43324439897</v>
      </c>
      <c r="Q819" s="25">
        <f t="array" aca="1" ref="Q819" ca="1">INDEX('Isaac 401k'!L:L,MATCH('Retirement Calculator'!A819,'Isaac 401k'!N:N,0),0)</f>
        <v>712130.89726899692</v>
      </c>
      <c r="R819" s="25">
        <f t="array" aca="1" ref="R819" ca="1">INDEX('Lorri 401b'!L:L,MATCH('Retirement Calculator'!A819,'Lorri 401b'!N:N,0),0)</f>
        <v>-6037169.5892580897</v>
      </c>
      <c r="S819" s="25">
        <f t="shared" ca="1" si="787"/>
        <v>-5325038.6919890931</v>
      </c>
    </row>
    <row r="820" spans="1:19" ht="15.75" customHeight="1" x14ac:dyDescent="0.3">
      <c r="A820" s="37">
        <v>75911</v>
      </c>
      <c r="B820" s="398">
        <f t="shared" ref="B820:C820" si="831">($A820-B$9)/365.25</f>
        <v>125.95482546201232</v>
      </c>
      <c r="C820" s="398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3254.2644699519233</v>
      </c>
      <c r="H820" s="25">
        <f>IF(B820&lt;62,0,'Combined Retirement'!$I$14)</f>
        <v>2345</v>
      </c>
      <c r="I820" s="25">
        <f>IF(C820&lt;62,0,'Combined Retirement'!$I$13)</f>
        <v>2420</v>
      </c>
      <c r="J820" s="25">
        <f t="shared" si="783"/>
        <v>7896.2379798201846</v>
      </c>
      <c r="K820" s="25">
        <f t="shared" si="784"/>
        <v>20367.195264578786</v>
      </c>
      <c r="L820" s="25"/>
      <c r="N820" s="25">
        <f>'Combined Retirement'!$C$18/12</f>
        <v>39153.069999999992</v>
      </c>
      <c r="O820" s="25">
        <f t="shared" si="785"/>
        <v>10889.636755601023</v>
      </c>
      <c r="P820" s="25">
        <f t="shared" si="786"/>
        <v>28263.43324439897</v>
      </c>
      <c r="Q820" s="25">
        <f t="array" aca="1" ref="Q820" ca="1">INDEX('Isaac 401k'!L:L,MATCH('Retirement Calculator'!A820,'Isaac 401k'!N:N,0),0)</f>
        <v>707168.9703695483</v>
      </c>
      <c r="R820" s="25">
        <f t="array" aca="1" ref="R820" ca="1">INDEX('Lorri 401b'!L:L,MATCH('Retirement Calculator'!A820,'Lorri 401b'!N:N,0),0)</f>
        <v>-6082776.5211248463</v>
      </c>
      <c r="S820" s="25">
        <f t="shared" ca="1" si="787"/>
        <v>-5375607.5507552978</v>
      </c>
    </row>
    <row r="821" spans="1:19" ht="15.75" customHeight="1" x14ac:dyDescent="0.3">
      <c r="A821" s="37">
        <v>75941</v>
      </c>
      <c r="B821" s="398">
        <f t="shared" ref="B821:C821" si="832">($A821-B$9)/365.25</f>
        <v>126.03696098562628</v>
      </c>
      <c r="C821" s="398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3254.2644699519233</v>
      </c>
      <c r="H821" s="25">
        <f>IF(B821&lt;62,0,'Combined Retirement'!$I$14)</f>
        <v>2345</v>
      </c>
      <c r="I821" s="25">
        <f>IF(C821&lt;62,0,'Combined Retirement'!$I$13)</f>
        <v>2420</v>
      </c>
      <c r="J821" s="25">
        <f t="shared" si="783"/>
        <v>7896.2379798201846</v>
      </c>
      <c r="K821" s="25">
        <f t="shared" si="784"/>
        <v>20367.195264578786</v>
      </c>
      <c r="L821" s="25"/>
      <c r="N821" s="25">
        <f>'Combined Retirement'!$C$18/12</f>
        <v>39153.069999999992</v>
      </c>
      <c r="O821" s="25">
        <f t="shared" si="785"/>
        <v>10889.636755601023</v>
      </c>
      <c r="P821" s="25">
        <f t="shared" si="786"/>
        <v>28263.43324439897</v>
      </c>
      <c r="Q821" s="25">
        <f t="array" aca="1" ref="Q821" ca="1">INDEX('Isaac 401k'!L:L,MATCH('Retirement Calculator'!A821,'Isaac 401k'!N:N,0),0)</f>
        <v>702186.36877468531</v>
      </c>
      <c r="R821" s="25">
        <f t="array" aca="1" ref="R821" ca="1">INDEX('Lorri 401b'!L:L,MATCH('Retirement Calculator'!A821,'Lorri 401b'!N:N,0),0)</f>
        <v>-6128573.4818743812</v>
      </c>
      <c r="S821" s="25">
        <f t="shared" ca="1" si="787"/>
        <v>-5426387.1130996961</v>
      </c>
    </row>
    <row r="822" spans="1:19" ht="15.75" customHeight="1" x14ac:dyDescent="0.3">
      <c r="A822" s="37">
        <v>75972</v>
      </c>
      <c r="B822" s="398">
        <f t="shared" ref="B822:C822" si="833">($A822-B$9)/365.25</f>
        <v>126.12183436002738</v>
      </c>
      <c r="C822" s="398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3254.2644699519233</v>
      </c>
      <c r="H822" s="25">
        <f>IF(B822&lt;62,0,'Combined Retirement'!$I$14)</f>
        <v>2345</v>
      </c>
      <c r="I822" s="25">
        <f>IF(C822&lt;62,0,'Combined Retirement'!$I$13)</f>
        <v>2420</v>
      </c>
      <c r="J822" s="25">
        <f t="shared" si="783"/>
        <v>7896.2379798201846</v>
      </c>
      <c r="K822" s="25">
        <f t="shared" si="784"/>
        <v>20367.195264578786</v>
      </c>
      <c r="L822" s="25"/>
      <c r="N822" s="25">
        <f>'Combined Retirement'!$C$18/12</f>
        <v>39153.069999999992</v>
      </c>
      <c r="O822" s="25">
        <f t="shared" si="785"/>
        <v>10889.636755601023</v>
      </c>
      <c r="P822" s="25">
        <f t="shared" si="786"/>
        <v>28263.43324439897</v>
      </c>
      <c r="Q822" s="25">
        <f t="array" aca="1" ref="Q822" ca="1">INDEX('Isaac 401k'!L:L,MATCH('Retirement Calculator'!A822,'Isaac 401k'!N:N,0),0)</f>
        <v>697183.00633984373</v>
      </c>
      <c r="R822" s="25">
        <f t="array" aca="1" ref="R822" ca="1">INDEX('Lorri 401b'!L:L,MATCH('Retirement Calculator'!A822,'Lorri 401b'!N:N,0),0)</f>
        <v>-6174561.2632937059</v>
      </c>
      <c r="S822" s="25">
        <f t="shared" ca="1" si="787"/>
        <v>-5477378.2569538625</v>
      </c>
    </row>
    <row r="823" spans="1:19" ht="15.75" customHeight="1" x14ac:dyDescent="0.3">
      <c r="A823" s="37">
        <v>76003</v>
      </c>
      <c r="B823" s="398">
        <f t="shared" ref="B823:C823" si="834">($A823-B$9)/365.25</f>
        <v>126.20670773442848</v>
      </c>
      <c r="C823" s="398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3254.2644699519233</v>
      </c>
      <c r="H823" s="25">
        <f>IF(B823&lt;62,0,'Combined Retirement'!$I$14)</f>
        <v>2345</v>
      </c>
      <c r="I823" s="25">
        <f>IF(C823&lt;62,0,'Combined Retirement'!$I$13)</f>
        <v>2420</v>
      </c>
      <c r="J823" s="25">
        <f t="shared" si="783"/>
        <v>7896.2379798201846</v>
      </c>
      <c r="K823" s="25">
        <f t="shared" si="784"/>
        <v>20367.195264578786</v>
      </c>
      <c r="L823" s="25"/>
      <c r="N823" s="25">
        <f>'Combined Retirement'!$C$18/12</f>
        <v>39153.069999999992</v>
      </c>
      <c r="O823" s="25">
        <f t="shared" si="785"/>
        <v>10889.636755601023</v>
      </c>
      <c r="P823" s="25">
        <f t="shared" si="786"/>
        <v>28263.43324439897</v>
      </c>
      <c r="Q823" s="25">
        <f t="array" aca="1" ref="Q823" ca="1">INDEX('Isaac 401k'!L:L,MATCH('Retirement Calculator'!A823,'Isaac 401k'!N:N,0),0)</f>
        <v>692158.79656152357</v>
      </c>
      <c r="R823" s="25">
        <f t="array" aca="1" ref="R823" ca="1">INDEX('Lorri 401b'!L:L,MATCH('Retirement Calculator'!A823,'Lorri 401b'!N:N,0),0)</f>
        <v>-6220740.6604689443</v>
      </c>
      <c r="S823" s="25">
        <f t="shared" ca="1" si="787"/>
        <v>-5528581.863907421</v>
      </c>
    </row>
    <row r="824" spans="1:19" ht="15.75" customHeight="1" x14ac:dyDescent="0.3">
      <c r="A824" s="37">
        <v>76032</v>
      </c>
      <c r="B824" s="398">
        <f t="shared" ref="B824:C824" si="835">($A824-B$9)/365.25</f>
        <v>126.28610540725531</v>
      </c>
      <c r="C824" s="398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3254.2644699519233</v>
      </c>
      <c r="H824" s="25">
        <f>IF(B824&lt;62,0,'Combined Retirement'!$I$14)</f>
        <v>2345</v>
      </c>
      <c r="I824" s="25">
        <f>IF(C824&lt;62,0,'Combined Retirement'!$I$13)</f>
        <v>2420</v>
      </c>
      <c r="J824" s="25">
        <f t="shared" si="783"/>
        <v>7896.2379798201846</v>
      </c>
      <c r="K824" s="25">
        <f t="shared" si="784"/>
        <v>20367.195264578786</v>
      </c>
      <c r="L824" s="25"/>
      <c r="N824" s="25">
        <f>'Combined Retirement'!$C$18/12</f>
        <v>39153.069999999992</v>
      </c>
      <c r="O824" s="25">
        <f t="shared" si="785"/>
        <v>10889.636755601023</v>
      </c>
      <c r="P824" s="25">
        <f t="shared" si="786"/>
        <v>28263.43324439897</v>
      </c>
      <c r="Q824" s="25">
        <f t="array" aca="1" ref="Q824" ca="1">INDEX('Isaac 401k'!L:L,MATCH('Retirement Calculator'!A824,'Isaac 401k'!N:N,0),0)</f>
        <v>687113.65257579379</v>
      </c>
      <c r="R824" s="25">
        <f t="array" aca="1" ref="R824" ca="1">INDEX('Lorri 401b'!L:L,MATCH('Retirement Calculator'!A824,'Lorri 401b'!N:N,0),0)</f>
        <v>-6267112.4717990793</v>
      </c>
      <c r="S824" s="25">
        <f t="shared" ca="1" si="787"/>
        <v>-5579998.8192232857</v>
      </c>
    </row>
    <row r="825" spans="1:19" ht="15.75" customHeight="1" x14ac:dyDescent="0.3">
      <c r="A825" s="37">
        <v>76063</v>
      </c>
      <c r="B825" s="398">
        <f t="shared" ref="B825:C825" si="836">($A825-B$9)/365.25</f>
        <v>126.3709787816564</v>
      </c>
      <c r="C825" s="398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3254.2644699519233</v>
      </c>
      <c r="H825" s="25">
        <f>IF(B825&lt;62,0,'Combined Retirement'!$I$14)</f>
        <v>2345</v>
      </c>
      <c r="I825" s="25">
        <f>IF(C825&lt;62,0,'Combined Retirement'!$I$13)</f>
        <v>2420</v>
      </c>
      <c r="J825" s="25">
        <f t="shared" si="783"/>
        <v>7896.2379798201846</v>
      </c>
      <c r="K825" s="25">
        <f t="shared" si="784"/>
        <v>20367.195264578786</v>
      </c>
      <c r="L825" s="25"/>
      <c r="N825" s="25">
        <f>'Combined Retirement'!$C$18/12</f>
        <v>39153.069999999992</v>
      </c>
      <c r="O825" s="25">
        <f t="shared" si="785"/>
        <v>10889.636755601023</v>
      </c>
      <c r="P825" s="25">
        <f t="shared" si="786"/>
        <v>28263.43324439897</v>
      </c>
      <c r="Q825" s="25">
        <f t="array" aca="1" ref="Q825" ca="1">INDEX('Isaac 401k'!L:L,MATCH('Retirement Calculator'!A825,'Isaac 401k'!N:N,0),0)</f>
        <v>682047.4871567901</v>
      </c>
      <c r="R825" s="25">
        <f t="array" aca="1" ref="R825" ca="1">INDEX('Lorri 401b'!L:L,MATCH('Retirement Calculator'!A825,'Lorri 401b'!N:N,0),0)</f>
        <v>-6313677.4990097564</v>
      </c>
      <c r="S825" s="25">
        <f t="shared" ca="1" si="787"/>
        <v>-5631630.0118529666</v>
      </c>
    </row>
    <row r="826" spans="1:19" ht="15.75" customHeight="1" x14ac:dyDescent="0.3">
      <c r="A826" s="37">
        <v>76093</v>
      </c>
      <c r="B826" s="398">
        <f t="shared" ref="B826:C826" si="837">($A826-B$9)/365.25</f>
        <v>126.45311430527036</v>
      </c>
      <c r="C826" s="398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3254.2644699519233</v>
      </c>
      <c r="H826" s="25">
        <f>IF(B826&lt;62,0,'Combined Retirement'!$I$14)</f>
        <v>2345</v>
      </c>
      <c r="I826" s="25">
        <f>IF(C826&lt;62,0,'Combined Retirement'!$I$13)</f>
        <v>2420</v>
      </c>
      <c r="J826" s="25">
        <f t="shared" si="783"/>
        <v>7896.2379798201846</v>
      </c>
      <c r="K826" s="25">
        <f t="shared" si="784"/>
        <v>20367.195264578786</v>
      </c>
      <c r="L826" s="25"/>
      <c r="N826" s="25">
        <f>'Combined Retirement'!$C$18/12</f>
        <v>39153.069999999992</v>
      </c>
      <c r="O826" s="25">
        <f t="shared" si="785"/>
        <v>10889.636755601023</v>
      </c>
      <c r="P826" s="25">
        <f t="shared" si="786"/>
        <v>28263.43324439897</v>
      </c>
      <c r="Q826" s="25">
        <f t="array" aca="1" ref="Q826" ca="1">INDEX('Isaac 401k'!L:L,MATCH('Retirement Calculator'!A826,'Isaac 401k'!N:N,0),0)</f>
        <v>676960.21271520725</v>
      </c>
      <c r="R826" s="25">
        <f t="array" aca="1" ref="R826" ca="1">INDEX('Lorri 401b'!L:L,MATCH('Retirement Calculator'!A826,'Lorri 401b'!N:N,0),0)</f>
        <v>-6360436.5471671447</v>
      </c>
      <c r="S826" s="25">
        <f t="shared" ca="1" si="787"/>
        <v>-5683476.3344519371</v>
      </c>
    </row>
    <row r="827" spans="1:19" ht="15.75" customHeight="1" x14ac:dyDescent="0.3">
      <c r="A827" s="37">
        <v>76124</v>
      </c>
      <c r="B827" s="398">
        <f t="shared" ref="B827:C827" si="838">($A827-B$9)/365.25</f>
        <v>126.53798767967146</v>
      </c>
      <c r="C827" s="398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3254.2644699519233</v>
      </c>
      <c r="H827" s="25">
        <f>IF(B827&lt;62,0,'Combined Retirement'!$I$14)</f>
        <v>2345</v>
      </c>
      <c r="I827" s="25">
        <f>IF(C827&lt;62,0,'Combined Retirement'!$I$13)</f>
        <v>2420</v>
      </c>
      <c r="J827" s="25">
        <f t="shared" si="783"/>
        <v>7896.2379798201846</v>
      </c>
      <c r="K827" s="25">
        <f t="shared" si="784"/>
        <v>20367.195264578786</v>
      </c>
      <c r="L827" s="25"/>
      <c r="N827" s="25">
        <f>'Combined Retirement'!$C$18/12</f>
        <v>39153.069999999992</v>
      </c>
      <c r="O827" s="25">
        <f t="shared" si="785"/>
        <v>10889.636755601023</v>
      </c>
      <c r="P827" s="25">
        <f t="shared" si="786"/>
        <v>28263.43324439897</v>
      </c>
      <c r="Q827" s="25">
        <f t="array" aca="1" ref="Q827" ca="1">INDEX('Isaac 401k'!L:L,MATCH('Retirement Calculator'!A827,'Isaac 401k'!N:N,0),0)</f>
        <v>671851.74129678449</v>
      </c>
      <c r="R827" s="25">
        <f t="array" aca="1" ref="R827" ca="1">INDEX('Lorri 401b'!L:L,MATCH('Retirement Calculator'!A827,'Lorri 401b'!N:N,0),0)</f>
        <v>-6407390.4246918559</v>
      </c>
      <c r="S827" s="25">
        <f t="shared" ca="1" si="787"/>
        <v>-5735538.683395071</v>
      </c>
    </row>
    <row r="828" spans="1:19" ht="15.75" customHeight="1" x14ac:dyDescent="0.3">
      <c r="A828" s="37">
        <v>76154</v>
      </c>
      <c r="B828" s="398">
        <f t="shared" ref="B828:C828" si="839">($A828-B$9)/365.25</f>
        <v>126.62012320328542</v>
      </c>
      <c r="C828" s="398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3254.2644699519233</v>
      </c>
      <c r="H828" s="25">
        <f>IF(B828&lt;62,0,'Combined Retirement'!$I$14)</f>
        <v>2345</v>
      </c>
      <c r="I828" s="25">
        <f>IF(C828&lt;62,0,'Combined Retirement'!$I$13)</f>
        <v>2420</v>
      </c>
      <c r="J828" s="25">
        <f t="shared" si="783"/>
        <v>7896.2379798201846</v>
      </c>
      <c r="K828" s="25">
        <f t="shared" si="784"/>
        <v>20367.195264578786</v>
      </c>
      <c r="L828" s="25"/>
      <c r="N828" s="25">
        <f>'Combined Retirement'!$C$18/12</f>
        <v>39153.069999999992</v>
      </c>
      <c r="O828" s="25">
        <f t="shared" si="785"/>
        <v>10889.636755601023</v>
      </c>
      <c r="P828" s="25">
        <f t="shared" si="786"/>
        <v>28263.43324439897</v>
      </c>
      <c r="Q828" s="25">
        <f t="array" aca="1" ref="Q828" ca="1">INDEX('Isaac 401k'!L:L,MATCH('Retirement Calculator'!A828,'Isaac 401k'!N:N,0),0)</f>
        <v>666721.98458078492</v>
      </c>
      <c r="R828" s="25">
        <f t="array" aca="1" ref="R828" ca="1">INDEX('Lorri 401b'!L:L,MATCH('Retirement Calculator'!A828,'Lorri 401b'!N:N,0),0)</f>
        <v>-6454539.9433729202</v>
      </c>
      <c r="S828" s="25">
        <f t="shared" ca="1" si="787"/>
        <v>-5787817.9587921351</v>
      </c>
    </row>
    <row r="829" spans="1:19" ht="15.75" customHeight="1" x14ac:dyDescent="0.3">
      <c r="A829" s="37">
        <v>76185</v>
      </c>
      <c r="B829" s="398">
        <f t="shared" ref="B829:C829" si="840">($A829-B$9)/365.25</f>
        <v>126.70499657768652</v>
      </c>
      <c r="C829" s="398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3254.2644699519233</v>
      </c>
      <c r="H829" s="25">
        <f>IF(B829&lt;62,0,'Combined Retirement'!$I$14)</f>
        <v>2345</v>
      </c>
      <c r="I829" s="25">
        <f>IF(C829&lt;62,0,'Combined Retirement'!$I$13)</f>
        <v>2420</v>
      </c>
      <c r="J829" s="25">
        <f t="shared" si="783"/>
        <v>7896.2379798201846</v>
      </c>
      <c r="K829" s="25">
        <f t="shared" si="784"/>
        <v>20367.195264578786</v>
      </c>
      <c r="L829" s="25"/>
      <c r="N829" s="25">
        <f>'Combined Retirement'!$C$18/12</f>
        <v>39153.069999999992</v>
      </c>
      <c r="O829" s="25">
        <f t="shared" si="785"/>
        <v>10889.636755601023</v>
      </c>
      <c r="P829" s="25">
        <f t="shared" si="786"/>
        <v>28263.43324439897</v>
      </c>
      <c r="Q829" s="25">
        <f t="array" aca="1" ref="Q829" ca="1">INDEX('Isaac 401k'!L:L,MATCH('Retirement Calculator'!A829,'Isaac 401k'!N:N,0),0)</f>
        <v>661570.85387846874</v>
      </c>
      <c r="R829" s="25">
        <f t="array" aca="1" ref="R829" ca="1">INDEX('Lorri 401b'!L:L,MATCH('Retirement Calculator'!A829,'Lorri 401b'!N:N,0),0)</f>
        <v>-6501885.9183818223</v>
      </c>
      <c r="S829" s="25">
        <f t="shared" ca="1" si="787"/>
        <v>-5840315.0645033531</v>
      </c>
    </row>
    <row r="830" spans="1:19" ht="15.75" customHeight="1" x14ac:dyDescent="0.3">
      <c r="A830" s="37">
        <v>76216</v>
      </c>
      <c r="B830" s="398">
        <f t="shared" ref="B830:C830" si="841">($A830-B$9)/365.25</f>
        <v>126.78986995208761</v>
      </c>
      <c r="C830" s="398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3254.2644699519233</v>
      </c>
      <c r="H830" s="25">
        <f>IF(B830&lt;62,0,'Combined Retirement'!$I$14)</f>
        <v>2345</v>
      </c>
      <c r="I830" s="25">
        <f>IF(C830&lt;62,0,'Combined Retirement'!$I$13)</f>
        <v>2420</v>
      </c>
      <c r="J830" s="25">
        <f t="shared" si="783"/>
        <v>7896.2379798201846</v>
      </c>
      <c r="K830" s="25">
        <f t="shared" si="784"/>
        <v>20367.195264578786</v>
      </c>
      <c r="L830" s="25"/>
      <c r="N830" s="25">
        <f>'Combined Retirement'!$C$18/12</f>
        <v>39153.069999999992</v>
      </c>
      <c r="O830" s="25">
        <f t="shared" si="785"/>
        <v>10889.636755601023</v>
      </c>
      <c r="P830" s="25">
        <f t="shared" si="786"/>
        <v>28263.43324439897</v>
      </c>
      <c r="Q830" s="25">
        <f t="array" aca="1" ref="Q830" ca="1">INDEX('Isaac 401k'!L:L,MATCH('Retirement Calculator'!A830,'Isaac 401k'!N:N,0),0)</f>
        <v>656398.26013155957</v>
      </c>
      <c r="R830" s="25">
        <f t="array" aca="1" ref="R830" ca="1">INDEX('Lorri 401b'!L:L,MATCH('Retirement Calculator'!A830,'Lorri 401b'!N:N,0),0)</f>
        <v>-6549429.1682865946</v>
      </c>
      <c r="S830" s="25">
        <f t="shared" ca="1" si="787"/>
        <v>-5893030.9081550352</v>
      </c>
    </row>
    <row r="831" spans="1:19" ht="15.75" customHeight="1" x14ac:dyDescent="0.3">
      <c r="A831" s="37">
        <v>76246</v>
      </c>
      <c r="B831" s="398">
        <f t="shared" ref="B831:C831" si="842">($A831-B$9)/365.25</f>
        <v>126.87200547570157</v>
      </c>
      <c r="C831" s="398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3254.2644699519233</v>
      </c>
      <c r="H831" s="25">
        <f>IF(B831&lt;62,0,'Combined Retirement'!$I$14)</f>
        <v>2345</v>
      </c>
      <c r="I831" s="25">
        <f>IF(C831&lt;62,0,'Combined Retirement'!$I$13)</f>
        <v>2420</v>
      </c>
      <c r="J831" s="25">
        <f t="shared" si="783"/>
        <v>7896.2379798201846</v>
      </c>
      <c r="K831" s="25">
        <f t="shared" si="784"/>
        <v>20367.195264578786</v>
      </c>
      <c r="L831" s="25"/>
      <c r="N831" s="25">
        <f>'Combined Retirement'!$C$18/12</f>
        <v>39153.069999999992</v>
      </c>
      <c r="O831" s="25">
        <f t="shared" si="785"/>
        <v>10889.636755601023</v>
      </c>
      <c r="P831" s="25">
        <f t="shared" si="786"/>
        <v>28263.43324439897</v>
      </c>
      <c r="Q831" s="25">
        <f t="array" aca="1" ref="Q831" ca="1">INDEX('Isaac 401k'!L:L,MATCH('Retirement Calculator'!A831,'Isaac 401k'!N:N,0),0)</f>
        <v>651204.11391070497</v>
      </c>
      <c r="R831" s="25">
        <f t="array" aca="1" ref="R831" ca="1">INDEX('Lorri 401b'!L:L,MATCH('Retirement Calculator'!A831,'Lorri 401b'!N:N,0),0)</f>
        <v>-6597170.5150659699</v>
      </c>
      <c r="S831" s="25">
        <f t="shared" ca="1" si="787"/>
        <v>-5945966.401155265</v>
      </c>
    </row>
    <row r="832" spans="1:19" ht="15.75" customHeight="1" x14ac:dyDescent="0.3">
      <c r="A832" s="37">
        <v>76277</v>
      </c>
      <c r="B832" s="398">
        <f t="shared" ref="B832:C832" si="843">($A832-B$9)/365.25</f>
        <v>126.95687885010267</v>
      </c>
      <c r="C832" s="398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3254.2644699519233</v>
      </c>
      <c r="H832" s="25">
        <f>IF(B832&lt;62,0,'Combined Retirement'!$I$14)</f>
        <v>2345</v>
      </c>
      <c r="I832" s="25">
        <f>IF(C832&lt;62,0,'Combined Retirement'!$I$13)</f>
        <v>2420</v>
      </c>
      <c r="J832" s="25">
        <f t="shared" si="783"/>
        <v>7896.2379798201846</v>
      </c>
      <c r="K832" s="25">
        <f t="shared" si="784"/>
        <v>20367.195264578786</v>
      </c>
      <c r="L832" s="25"/>
      <c r="N832" s="25">
        <f>'Combined Retirement'!$C$18/12</f>
        <v>39153.069999999992</v>
      </c>
      <c r="O832" s="25">
        <f t="shared" si="785"/>
        <v>10889.636755601023</v>
      </c>
      <c r="P832" s="25">
        <f t="shared" si="786"/>
        <v>28263.43324439897</v>
      </c>
      <c r="Q832" s="25">
        <f t="array" aca="1" ref="Q832" ca="1">INDEX('Isaac 401k'!L:L,MATCH('Retirement Calculator'!A832,'Isaac 401k'!N:N,0),0)</f>
        <v>645988.32541393011</v>
      </c>
      <c r="R832" s="25">
        <f t="array" aca="1" ref="R832" ca="1">INDEX('Lorri 401b'!L:L,MATCH('Retirement Calculator'!A832,'Lorri 401b'!N:N,0),0)</f>
        <v>-6645110.784123593</v>
      </c>
      <c r="S832" s="25">
        <f t="shared" ca="1" si="787"/>
        <v>-5999122.4587096628</v>
      </c>
    </row>
    <row r="833" spans="1:19" ht="15.75" customHeight="1" x14ac:dyDescent="0.3">
      <c r="A833" s="37">
        <v>76307</v>
      </c>
      <c r="B833" s="398">
        <f t="shared" ref="B833:C833" si="844">($A833-B$9)/365.25</f>
        <v>127.03901437371663</v>
      </c>
      <c r="C833" s="398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3254.2644699519233</v>
      </c>
      <c r="H833" s="25">
        <f>IF(B833&lt;62,0,'Combined Retirement'!$I$14)</f>
        <v>2345</v>
      </c>
      <c r="I833" s="25">
        <f>IF(C833&lt;62,0,'Combined Retirement'!$I$13)</f>
        <v>2420</v>
      </c>
      <c r="J833" s="25">
        <f t="shared" si="783"/>
        <v>7896.2379798201846</v>
      </c>
      <c r="K833" s="25">
        <f t="shared" si="784"/>
        <v>20367.195264578786</v>
      </c>
      <c r="L833" s="25"/>
      <c r="N833" s="25">
        <f>'Combined Retirement'!$C$18/12</f>
        <v>39153.069999999992</v>
      </c>
      <c r="O833" s="25">
        <f t="shared" si="785"/>
        <v>10889.636755601023</v>
      </c>
      <c r="P833" s="25">
        <f t="shared" si="786"/>
        <v>28263.43324439897</v>
      </c>
      <c r="Q833" s="25">
        <f t="array" aca="1" ref="Q833" ca="1">INDEX('Isaac 401k'!L:L,MATCH('Retirement Calculator'!A833,'Isaac 401k'!N:N,0),0)</f>
        <v>640750.80446508538</v>
      </c>
      <c r="R833" s="25">
        <f t="array" aca="1" ref="R833" ca="1">INDEX('Lorri 401b'!L:L,MATCH('Retirement Calculator'!A833,'Lorri 401b'!N:N,0),0)</f>
        <v>-6693250.8043022892</v>
      </c>
      <c r="S833" s="25">
        <f t="shared" ca="1" si="787"/>
        <v>-6052499.9998372039</v>
      </c>
    </row>
    <row r="834" spans="1:19" ht="15.75" customHeight="1" x14ac:dyDescent="0.3">
      <c r="A834" s="37">
        <v>76338</v>
      </c>
      <c r="B834" s="398">
        <f t="shared" ref="B834:C834" si="845">($A834-B$9)/365.25</f>
        <v>127.12388774811772</v>
      </c>
      <c r="C834" s="398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3254.2644699519233</v>
      </c>
      <c r="H834" s="25">
        <f>IF(B834&lt;62,0,'Combined Retirement'!$I$14)</f>
        <v>2345</v>
      </c>
      <c r="I834" s="25">
        <f>IF(C834&lt;62,0,'Combined Retirement'!$I$13)</f>
        <v>2420</v>
      </c>
      <c r="J834" s="25">
        <f t="shared" si="783"/>
        <v>7896.2379798201846</v>
      </c>
      <c r="K834" s="25">
        <f t="shared" si="784"/>
        <v>20367.195264578786</v>
      </c>
      <c r="L834" s="25"/>
      <c r="N834" s="25">
        <f>'Combined Retirement'!$C$18/12</f>
        <v>39153.069999999992</v>
      </c>
      <c r="O834" s="25">
        <f t="shared" si="785"/>
        <v>10889.636755601023</v>
      </c>
      <c r="P834" s="25">
        <f t="shared" si="786"/>
        <v>28263.43324439897</v>
      </c>
      <c r="Q834" s="25">
        <f t="array" aca="1" ref="Q834" ca="1">INDEX('Isaac 401k'!L:L,MATCH('Retirement Calculator'!A834,'Isaac 401k'!N:N,0),0)</f>
        <v>635491.4605122871</v>
      </c>
      <c r="R834" s="25">
        <f t="array" aca="1" ref="R834" ca="1">INDEX('Lorri 401b'!L:L,MATCH('Retirement Calculator'!A834,'Lorri 401b'!N:N,0),0)</f>
        <v>-6741591.4078983963</v>
      </c>
      <c r="S834" s="25">
        <f t="shared" ca="1" si="787"/>
        <v>-6106099.9473861093</v>
      </c>
    </row>
    <row r="835" spans="1:19" ht="15.75" customHeight="1" x14ac:dyDescent="0.3">
      <c r="A835" s="37">
        <v>76369</v>
      </c>
      <c r="B835" s="398">
        <f t="shared" ref="B835:C835" si="846">($A835-B$9)/365.25</f>
        <v>127.20876112251882</v>
      </c>
      <c r="C835" s="398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3254.2644699519233</v>
      </c>
      <c r="H835" s="25">
        <f>IF(B835&lt;62,0,'Combined Retirement'!$I$14)</f>
        <v>2345</v>
      </c>
      <c r="I835" s="25">
        <f>IF(C835&lt;62,0,'Combined Retirement'!$I$13)</f>
        <v>2420</v>
      </c>
      <c r="J835" s="25">
        <f t="shared" si="783"/>
        <v>7896.2379798201846</v>
      </c>
      <c r="K835" s="25">
        <f t="shared" si="784"/>
        <v>20367.195264578786</v>
      </c>
      <c r="L835" s="25"/>
      <c r="N835" s="25">
        <f>'Combined Retirement'!$C$18/12</f>
        <v>39153.069999999992</v>
      </c>
      <c r="O835" s="25">
        <f t="shared" si="785"/>
        <v>10889.636755601023</v>
      </c>
      <c r="P835" s="25">
        <f t="shared" si="786"/>
        <v>28263.43324439897</v>
      </c>
      <c r="Q835" s="25">
        <f t="array" aca="1" ref="Q835" ca="1">INDEX('Isaac 401k'!L:L,MATCH('Retirement Calculator'!A835,'Isaac 401k'!N:N,0),0)</f>
        <v>630210.2026263522</v>
      </c>
      <c r="R835" s="25">
        <f t="array" aca="1" ref="R835" ca="1">INDEX('Lorri 401b'!L:L,MATCH('Retirement Calculator'!A835,'Lorri 401b'!N:N,0),0)</f>
        <v>-6790133.4306761539</v>
      </c>
      <c r="S835" s="25">
        <f t="shared" ca="1" si="787"/>
        <v>-6159923.2280498017</v>
      </c>
    </row>
    <row r="836" spans="1:19" ht="15.75" customHeight="1" x14ac:dyDescent="0.3">
      <c r="A836" s="37">
        <v>76397</v>
      </c>
      <c r="B836" s="398">
        <f t="shared" ref="B836:C836" si="847">($A836-B$9)/365.25</f>
        <v>127.28542094455852</v>
      </c>
      <c r="C836" s="398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3254.2644699519233</v>
      </c>
      <c r="H836" s="25">
        <f>IF(B836&lt;62,0,'Combined Retirement'!$I$14)</f>
        <v>2345</v>
      </c>
      <c r="I836" s="25">
        <f>IF(C836&lt;62,0,'Combined Retirement'!$I$13)</f>
        <v>2420</v>
      </c>
      <c r="J836" s="25">
        <f t="shared" si="783"/>
        <v>7896.2379798201846</v>
      </c>
      <c r="K836" s="25">
        <f t="shared" si="784"/>
        <v>20367.195264578786</v>
      </c>
      <c r="L836" s="25"/>
      <c r="N836" s="25">
        <f>'Combined Retirement'!$C$18/12</f>
        <v>39153.069999999992</v>
      </c>
      <c r="O836" s="25">
        <f t="shared" si="785"/>
        <v>10889.636755601023</v>
      </c>
      <c r="P836" s="25">
        <f t="shared" si="786"/>
        <v>28263.43324439897</v>
      </c>
      <c r="Q836" s="25">
        <f t="array" aca="1" ref="Q836" ca="1">INDEX('Isaac 401k'!L:L,MATCH('Retirement Calculator'!A836,'Isaac 401k'!N:N,0),0)</f>
        <v>624906.93949922582</v>
      </c>
      <c r="R836" s="25">
        <f t="array" aca="1" ref="R836" ca="1">INDEX('Lorri 401b'!L:L,MATCH('Retirement Calculator'!A836,'Lorri 401b'!N:N,0),0)</f>
        <v>-6838877.7118821526</v>
      </c>
      <c r="S836" s="25">
        <f t="shared" ca="1" si="787"/>
        <v>-6213970.7723829271</v>
      </c>
    </row>
    <row r="837" spans="1:19" ht="15.75" customHeight="1" x14ac:dyDescent="0.3">
      <c r="A837" s="37">
        <v>76428</v>
      </c>
      <c r="B837" s="398">
        <f t="shared" ref="B837:C837" si="848">($A837-B$9)/365.25</f>
        <v>127.37029431895962</v>
      </c>
      <c r="C837" s="398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3254.2644699519233</v>
      </c>
      <c r="H837" s="25">
        <f>IF(B837&lt;62,0,'Combined Retirement'!$I$14)</f>
        <v>2345</v>
      </c>
      <c r="I837" s="25">
        <f>IF(C837&lt;62,0,'Combined Retirement'!$I$13)</f>
        <v>2420</v>
      </c>
      <c r="J837" s="25">
        <f t="shared" si="783"/>
        <v>7896.2379798201846</v>
      </c>
      <c r="K837" s="25">
        <f t="shared" si="784"/>
        <v>20367.195264578786</v>
      </c>
      <c r="L837" s="25"/>
      <c r="N837" s="25">
        <f>'Combined Retirement'!$C$18/12</f>
        <v>39153.069999999992</v>
      </c>
      <c r="O837" s="25">
        <f t="shared" si="785"/>
        <v>10889.636755601023</v>
      </c>
      <c r="P837" s="25">
        <f t="shared" si="786"/>
        <v>28263.43324439897</v>
      </c>
      <c r="Q837" s="25">
        <f t="array" aca="1" ref="Q837" ca="1">INDEX('Isaac 401k'!L:L,MATCH('Retirement Calculator'!A837,'Isaac 401k'!N:N,0),0)</f>
        <v>619581.57944240316</v>
      </c>
      <c r="R837" s="25">
        <f t="array" aca="1" ref="R837" ca="1">INDEX('Lorri 401b'!L:L,MATCH('Retirement Calculator'!A837,'Lorri 401b'!N:N,0),0)</f>
        <v>-6887825.0942598432</v>
      </c>
      <c r="S837" s="25">
        <f t="shared" ca="1" si="787"/>
        <v>-6268243.51481744</v>
      </c>
    </row>
    <row r="838" spans="1:19" ht="15.75" customHeight="1" x14ac:dyDescent="0.3">
      <c r="A838" s="37">
        <v>76458</v>
      </c>
      <c r="B838" s="398">
        <f t="shared" ref="B838:C838" si="849">($A838-B$9)/365.25</f>
        <v>127.45242984257358</v>
      </c>
      <c r="C838" s="398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3254.2644699519233</v>
      </c>
      <c r="H838" s="25">
        <f>IF(B838&lt;62,0,'Combined Retirement'!$I$14)</f>
        <v>2345</v>
      </c>
      <c r="I838" s="25">
        <f>IF(C838&lt;62,0,'Combined Retirement'!$I$13)</f>
        <v>2420</v>
      </c>
      <c r="J838" s="25">
        <f t="shared" si="783"/>
        <v>7896.2379798201846</v>
      </c>
      <c r="K838" s="25">
        <f t="shared" si="784"/>
        <v>20367.195264578786</v>
      </c>
      <c r="L838" s="25"/>
      <c r="N838" s="25">
        <f>'Combined Retirement'!$C$18/12</f>
        <v>39153.069999999992</v>
      </c>
      <c r="O838" s="25">
        <f t="shared" si="785"/>
        <v>10889.636755601023</v>
      </c>
      <c r="P838" s="25">
        <f t="shared" si="786"/>
        <v>28263.43324439897</v>
      </c>
      <c r="Q838" s="25">
        <f t="array" aca="1" ref="Q838" ca="1">INDEX('Isaac 401k'!L:L,MATCH('Retirement Calculator'!A838,'Isaac 401k'!N:N,0),0)</f>
        <v>614234.03038534371</v>
      </c>
      <c r="R838" s="25">
        <f t="array" aca="1" ref="R838" ca="1">INDEX('Lorri 401b'!L:L,MATCH('Retirement Calculator'!A838,'Lorri 401b'!N:N,0),0)</f>
        <v>-6936976.4240641072</v>
      </c>
      <c r="S838" s="25">
        <f t="shared" ca="1" si="787"/>
        <v>-6322742.3936787639</v>
      </c>
    </row>
    <row r="839" spans="1:19" ht="15.75" customHeight="1" x14ac:dyDescent="0.3">
      <c r="A839" s="37">
        <v>76489</v>
      </c>
      <c r="B839" s="398">
        <f t="shared" ref="B839:C839" si="850">($A839-B$9)/365.25</f>
        <v>127.53730321697468</v>
      </c>
      <c r="C839" s="398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3254.2644699519233</v>
      </c>
      <c r="H839" s="25">
        <f>IF(B839&lt;62,0,'Combined Retirement'!$I$14)</f>
        <v>2345</v>
      </c>
      <c r="I839" s="25">
        <f>IF(C839&lt;62,0,'Combined Retirement'!$I$13)</f>
        <v>2420</v>
      </c>
      <c r="J839" s="25">
        <f t="shared" si="783"/>
        <v>7896.2379798201846</v>
      </c>
      <c r="K839" s="25">
        <f t="shared" si="784"/>
        <v>20367.195264578786</v>
      </c>
      <c r="L839" s="25"/>
      <c r="N839" s="25">
        <f>'Combined Retirement'!$C$18/12</f>
        <v>39153.069999999992</v>
      </c>
      <c r="O839" s="25">
        <f t="shared" si="785"/>
        <v>10889.636755601023</v>
      </c>
      <c r="P839" s="25">
        <f t="shared" si="786"/>
        <v>28263.43324439897</v>
      </c>
      <c r="Q839" s="25">
        <f t="array" aca="1" ref="Q839" ca="1">INDEX('Isaac 401k'!L:L,MATCH('Retirement Calculator'!A839,'Isaac 401k'!N:N,0),0)</f>
        <v>608864.19987387978</v>
      </c>
      <c r="R839" s="25">
        <f t="array" aca="1" ref="R839" ca="1">INDEX('Lorri 401b'!L:L,MATCH('Retirement Calculator'!A839,'Lorri 401b'!N:N,0),0)</f>
        <v>-6986332.5510758888</v>
      </c>
      <c r="S839" s="25">
        <f t="shared" ca="1" si="787"/>
        <v>-6377468.3512020092</v>
      </c>
    </row>
    <row r="840" spans="1:19" ht="15.75" customHeight="1" x14ac:dyDescent="0.3">
      <c r="A840" s="37">
        <v>76519</v>
      </c>
      <c r="B840" s="398">
        <f t="shared" ref="B840:C840" si="851">($A840-B$9)/365.25</f>
        <v>127.61943874058863</v>
      </c>
      <c r="C840" s="398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3254.2644699519233</v>
      </c>
      <c r="H840" s="25">
        <f>IF(B840&lt;62,0,'Combined Retirement'!$I$14)</f>
        <v>2345</v>
      </c>
      <c r="I840" s="25">
        <f>IF(C840&lt;62,0,'Combined Retirement'!$I$13)</f>
        <v>2420</v>
      </c>
      <c r="J840" s="25">
        <f t="shared" si="783"/>
        <v>7896.2379798201846</v>
      </c>
      <c r="K840" s="25">
        <f t="shared" si="784"/>
        <v>20367.195264578786</v>
      </c>
      <c r="L840" s="25"/>
      <c r="N840" s="25">
        <f>'Combined Retirement'!$C$18/12</f>
        <v>39153.069999999992</v>
      </c>
      <c r="O840" s="25">
        <f t="shared" si="785"/>
        <v>10889.636755601023</v>
      </c>
      <c r="P840" s="25">
        <f t="shared" si="786"/>
        <v>28263.43324439897</v>
      </c>
      <c r="Q840" s="25">
        <f t="array" aca="1" ref="Q840" ca="1">INDEX('Isaac 401k'!L:L,MATCH('Retirement Calculator'!A840,'Isaac 401k'!N:N,0),0)</f>
        <v>603471.9950686181</v>
      </c>
      <c r="R840" s="25">
        <f t="array" aca="1" ref="R840" ca="1">INDEX('Lorri 401b'!L:L,MATCH('Retirement Calculator'!A840,'Lorri 401b'!N:N,0),0)</f>
        <v>-7035894.3286168864</v>
      </c>
      <c r="S840" s="25">
        <f t="shared" ca="1" si="787"/>
        <v>-6432422.3335482683</v>
      </c>
    </row>
    <row r="841" spans="1:19" ht="15.75" customHeight="1" x14ac:dyDescent="0.3">
      <c r="A841" s="37">
        <v>76550</v>
      </c>
      <c r="B841" s="398">
        <f t="shared" ref="B841:C841" si="852">($A841-B$9)/365.25</f>
        <v>127.70431211498973</v>
      </c>
      <c r="C841" s="398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3254.2644699519233</v>
      </c>
      <c r="H841" s="25">
        <f>IF(B841&lt;62,0,'Combined Retirement'!$I$14)</f>
        <v>2345</v>
      </c>
      <c r="I841" s="25">
        <f>IF(C841&lt;62,0,'Combined Retirement'!$I$13)</f>
        <v>2420</v>
      </c>
      <c r="J841" s="25">
        <f t="shared" si="783"/>
        <v>7896.2379798201846</v>
      </c>
      <c r="K841" s="25">
        <f t="shared" si="784"/>
        <v>20367.195264578786</v>
      </c>
      <c r="L841" s="25"/>
      <c r="N841" s="25">
        <f>'Combined Retirement'!$C$18/12</f>
        <v>39153.069999999992</v>
      </c>
      <c r="O841" s="25">
        <f t="shared" si="785"/>
        <v>10889.636755601023</v>
      </c>
      <c r="P841" s="25">
        <f t="shared" si="786"/>
        <v>28263.43324439897</v>
      </c>
      <c r="Q841" s="25">
        <f t="array" aca="1" ref="Q841" ca="1">INDEX('Isaac 401k'!L:L,MATCH('Retirement Calculator'!A841,'Isaac 401k'!N:N,0),0)</f>
        <v>598057.32274333457</v>
      </c>
      <c r="R841" s="25">
        <f t="array" aca="1" ref="R841" ca="1">INDEX('Lorri 401b'!L:L,MATCH('Retirement Calculator'!A841,'Lorri 401b'!N:N,0),0)</f>
        <v>-7085662.613564305</v>
      </c>
      <c r="S841" s="25">
        <f t="shared" ca="1" si="787"/>
        <v>-6487605.2908209702</v>
      </c>
    </row>
    <row r="842" spans="1:19" ht="15.75" customHeight="1" x14ac:dyDescent="0.3">
      <c r="A842" s="37">
        <v>76581</v>
      </c>
      <c r="B842" s="398">
        <f t="shared" ref="B842:C842" si="853">($A842-B$9)/365.25</f>
        <v>127.78918548939083</v>
      </c>
      <c r="C842" s="398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3254.2644699519233</v>
      </c>
      <c r="H842" s="25">
        <f>IF(B842&lt;62,0,'Combined Retirement'!$I$14)</f>
        <v>2345</v>
      </c>
      <c r="I842" s="25">
        <f>IF(C842&lt;62,0,'Combined Retirement'!$I$13)</f>
        <v>2420</v>
      </c>
      <c r="J842" s="25">
        <f t="shared" si="783"/>
        <v>7896.2379798201846</v>
      </c>
      <c r="K842" s="25">
        <f t="shared" si="784"/>
        <v>20367.195264578786</v>
      </c>
      <c r="L842" s="25"/>
      <c r="N842" s="25">
        <f>'Combined Retirement'!$C$18/12</f>
        <v>39153.069999999992</v>
      </c>
      <c r="O842" s="25">
        <f t="shared" si="785"/>
        <v>10889.636755601023</v>
      </c>
      <c r="P842" s="25">
        <f t="shared" si="786"/>
        <v>28263.43324439897</v>
      </c>
      <c r="Q842" s="25">
        <f t="array" aca="1" ref="Q842" ca="1">INDEX('Isaac 401k'!L:L,MATCH('Retirement Calculator'!A842,'Isaac 401k'!N:N,0),0)</f>
        <v>592620.08928336226</v>
      </c>
      <c r="R842" s="25">
        <f t="array" aca="1" ref="R842" ca="1">INDEX('Lorri 401b'!L:L,MATCH('Retirement Calculator'!A842,'Lorri 401b'!N:N,0),0)</f>
        <v>-7135638.2663656706</v>
      </c>
      <c r="S842" s="25">
        <f t="shared" ca="1" si="787"/>
        <v>-6543018.1770823086</v>
      </c>
    </row>
    <row r="843" spans="1:19" ht="15.75" customHeight="1" x14ac:dyDescent="0.3">
      <c r="A843" s="37">
        <v>76611</v>
      </c>
      <c r="B843" s="398">
        <f t="shared" ref="B843:C843" si="854">($A843-B$9)/365.25</f>
        <v>127.87132101300479</v>
      </c>
      <c r="C843" s="398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3254.2644699519233</v>
      </c>
      <c r="H843" s="25">
        <f>IF(B843&lt;62,0,'Combined Retirement'!$I$14)</f>
        <v>2345</v>
      </c>
      <c r="I843" s="25">
        <f>IF(C843&lt;62,0,'Combined Retirement'!$I$13)</f>
        <v>2420</v>
      </c>
      <c r="J843" s="25">
        <f t="shared" si="783"/>
        <v>7896.2379798201846</v>
      </c>
      <c r="K843" s="25">
        <f t="shared" si="784"/>
        <v>20367.195264578786</v>
      </c>
      <c r="L843" s="25"/>
      <c r="N843" s="25">
        <f>'Combined Retirement'!$C$18/12</f>
        <v>39153.069999999992</v>
      </c>
      <c r="O843" s="25">
        <f t="shared" si="785"/>
        <v>10889.636755601023</v>
      </c>
      <c r="P843" s="25">
        <f t="shared" si="786"/>
        <v>28263.43324439897</v>
      </c>
      <c r="Q843" s="25">
        <f t="array" aca="1" ref="Q843" ca="1">INDEX('Isaac 401k'!L:L,MATCH('Retirement Calculator'!A843,'Isaac 401k'!N:N,0),0)</f>
        <v>587160.2006839735</v>
      </c>
      <c r="R843" s="25">
        <f t="array" aca="1" ref="R843" ca="1">INDEX('Lorri 401b'!L:L,MATCH('Retirement Calculator'!A843,'Lorri 401b'!N:N,0),0)</f>
        <v>-7185822.151053709</v>
      </c>
      <c r="S843" s="25">
        <f t="shared" ca="1" si="787"/>
        <v>-6598661.9503697352</v>
      </c>
    </row>
    <row r="844" spans="1:19" ht="15.75" customHeight="1" x14ac:dyDescent="0.3">
      <c r="A844" s="37">
        <v>76642</v>
      </c>
      <c r="B844" s="398">
        <f t="shared" ref="B844:C844" si="855">($A844-B$9)/365.25</f>
        <v>127.95619438740589</v>
      </c>
      <c r="C844" s="398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3254.2644699519233</v>
      </c>
      <c r="H844" s="25">
        <f>IF(B844&lt;62,0,'Combined Retirement'!$I$14)</f>
        <v>2345</v>
      </c>
      <c r="I844" s="25">
        <f>IF(C844&lt;62,0,'Combined Retirement'!$I$13)</f>
        <v>2420</v>
      </c>
      <c r="J844" s="25">
        <f t="shared" si="783"/>
        <v>7896.2379798201846</v>
      </c>
      <c r="K844" s="25">
        <f t="shared" si="784"/>
        <v>20367.195264578786</v>
      </c>
      <c r="L844" s="25"/>
      <c r="N844" s="25">
        <f>'Combined Retirement'!$C$18/12</f>
        <v>39153.069999999992</v>
      </c>
      <c r="O844" s="25">
        <f t="shared" si="785"/>
        <v>10889.636755601023</v>
      </c>
      <c r="P844" s="25">
        <f t="shared" si="786"/>
        <v>28263.43324439897</v>
      </c>
      <c r="Q844" s="25">
        <f t="array" aca="1" ref="Q844" ca="1">INDEX('Isaac 401k'!L:L,MATCH('Retirement Calculator'!A844,'Isaac 401k'!N:N,0),0)</f>
        <v>581677.56254875392</v>
      </c>
      <c r="R844" s="25">
        <f t="array" aca="1" ref="R844" ca="1">INDEX('Lorri 401b'!L:L,MATCH('Retirement Calculator'!A844,'Lorri 401b'!N:N,0),0)</f>
        <v>-7236215.1352612805</v>
      </c>
      <c r="S844" s="25">
        <f t="shared" ca="1" si="787"/>
        <v>-6654537.5727125267</v>
      </c>
    </row>
    <row r="845" spans="1:19" ht="15.75" customHeight="1" x14ac:dyDescent="0.3">
      <c r="A845" s="37">
        <v>76672</v>
      </c>
      <c r="B845" s="398">
        <f t="shared" ref="B845:C845" si="856">($A845-B$9)/365.25</f>
        <v>128.03832991101984</v>
      </c>
      <c r="C845" s="398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3254.2644699519233</v>
      </c>
      <c r="H845" s="25">
        <f>IF(B845&lt;62,0,'Combined Retirement'!$I$14)</f>
        <v>2345</v>
      </c>
      <c r="I845" s="25">
        <f>IF(C845&lt;62,0,'Combined Retirement'!$I$13)</f>
        <v>2420</v>
      </c>
      <c r="J845" s="25">
        <f t="shared" si="783"/>
        <v>7896.2379798201846</v>
      </c>
      <c r="K845" s="25">
        <f t="shared" si="784"/>
        <v>20367.195264578786</v>
      </c>
      <c r="L845" s="25"/>
      <c r="N845" s="25">
        <f>'Combined Retirement'!$C$18/12</f>
        <v>39153.069999999992</v>
      </c>
      <c r="O845" s="25">
        <f t="shared" si="785"/>
        <v>10889.636755601023</v>
      </c>
      <c r="P845" s="25">
        <f t="shared" si="786"/>
        <v>28263.43324439897</v>
      </c>
      <c r="Q845" s="25">
        <f t="array" aca="1" ref="Q845" ca="1">INDEX('Isaac 401k'!L:L,MATCH('Retirement Calculator'!A845,'Isaac 401k'!N:N,0),0)</f>
        <v>576172.08008797094</v>
      </c>
      <c r="R845" s="25">
        <f t="array" aca="1" ref="R845" ca="1">INDEX('Lorri 401b'!L:L,MATCH('Retirement Calculator'!A845,'Lorri 401b'!N:N,0),0)</f>
        <v>-7286818.0902363835</v>
      </c>
      <c r="S845" s="25">
        <f t="shared" ca="1" si="787"/>
        <v>-6710646.0101484125</v>
      </c>
    </row>
    <row r="846" spans="1:19" ht="15.75" customHeight="1" x14ac:dyDescent="0.3">
      <c r="A846" s="37">
        <v>76703</v>
      </c>
      <c r="B846" s="398">
        <f t="shared" ref="B846:C846" si="857">($A846-B$9)/365.25</f>
        <v>128.12320328542094</v>
      </c>
      <c r="C846" s="398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3254.2644699519233</v>
      </c>
      <c r="H846" s="25">
        <f>IF(B846&lt;62,0,'Combined Retirement'!$I$14)</f>
        <v>2345</v>
      </c>
      <c r="I846" s="25">
        <f>IF(C846&lt;62,0,'Combined Retirement'!$I$13)</f>
        <v>2420</v>
      </c>
      <c r="J846" s="25">
        <f t="shared" si="783"/>
        <v>7896.2379798201846</v>
      </c>
      <c r="K846" s="25">
        <f t="shared" si="784"/>
        <v>20367.195264578786</v>
      </c>
      <c r="L846" s="25"/>
      <c r="N846" s="25">
        <f>'Combined Retirement'!$C$18/12</f>
        <v>39153.069999999992</v>
      </c>
      <c r="O846" s="25">
        <f t="shared" si="785"/>
        <v>10889.636755601023</v>
      </c>
      <c r="P846" s="25">
        <f t="shared" si="786"/>
        <v>28263.43324439897</v>
      </c>
      <c r="Q846" s="25">
        <f t="array" aca="1" ref="Q846" ca="1">INDEX('Isaac 401k'!L:L,MATCH('Retirement Calculator'!A846,'Isaac 401k'!N:N,0),0)</f>
        <v>570643.6581169347</v>
      </c>
      <c r="R846" s="25">
        <f t="array" aca="1" ref="R846" ca="1">INDEX('Lorri 401b'!L:L,MATCH('Retirement Calculator'!A846,'Lorri 401b'!N:N,0),0)</f>
        <v>-7337631.890857216</v>
      </c>
      <c r="S846" s="25">
        <f t="shared" ca="1" si="787"/>
        <v>-6766988.2327402811</v>
      </c>
    </row>
    <row r="847" spans="1:19" ht="15.75" customHeight="1" x14ac:dyDescent="0.3">
      <c r="A847" s="37">
        <v>76734</v>
      </c>
      <c r="B847" s="398">
        <f t="shared" ref="B847:C847" si="858">($A847-B$9)/365.25</f>
        <v>128.20807665982204</v>
      </c>
      <c r="C847" s="398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3254.2644699519233</v>
      </c>
      <c r="H847" s="25">
        <f>IF(B847&lt;62,0,'Combined Retirement'!$I$14)</f>
        <v>2345</v>
      </c>
      <c r="I847" s="25">
        <f>IF(C847&lt;62,0,'Combined Retirement'!$I$13)</f>
        <v>2420</v>
      </c>
      <c r="J847" s="25">
        <f t="shared" si="783"/>
        <v>7896.2379798201846</v>
      </c>
      <c r="K847" s="25">
        <f t="shared" si="784"/>
        <v>20367.195264578786</v>
      </c>
      <c r="L847" s="25"/>
      <c r="N847" s="25">
        <f>'Combined Retirement'!$C$18/12</f>
        <v>39153.069999999992</v>
      </c>
      <c r="O847" s="25">
        <f t="shared" si="785"/>
        <v>10889.636755601023</v>
      </c>
      <c r="P847" s="25">
        <f t="shared" si="786"/>
        <v>28263.43324439897</v>
      </c>
      <c r="Q847" s="25">
        <f t="array" aca="1" ref="Q847" ca="1">INDEX('Isaac 401k'!L:L,MATCH('Retirement Calculator'!A847,'Isaac 401k'!N:N,0),0)</f>
        <v>565092.20105435245</v>
      </c>
      <c r="R847" s="25">
        <f t="array" aca="1" ref="R847" ca="1">INDEX('Lorri 401b'!L:L,MATCH('Retirement Calculator'!A847,'Lorri 401b'!N:N,0),0)</f>
        <v>-7388657.4156473018</v>
      </c>
      <c r="S847" s="25">
        <f t="shared" ca="1" si="787"/>
        <v>-6823565.2145929495</v>
      </c>
    </row>
    <row r="848" spans="1:19" ht="15.75" customHeight="1" x14ac:dyDescent="0.3">
      <c r="A848" s="37">
        <v>76762</v>
      </c>
      <c r="B848" s="398">
        <f t="shared" ref="B848:C848" si="859">($A848-B$9)/365.25</f>
        <v>128.28473648186173</v>
      </c>
      <c r="C848" s="398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3254.2644699519233</v>
      </c>
      <c r="H848" s="25">
        <f>IF(B848&lt;62,0,'Combined Retirement'!$I$14)</f>
        <v>2345</v>
      </c>
      <c r="I848" s="25">
        <f>IF(C848&lt;62,0,'Combined Retirement'!$I$13)</f>
        <v>2420</v>
      </c>
      <c r="J848" s="25">
        <f t="shared" si="783"/>
        <v>7896.2379798201846</v>
      </c>
      <c r="K848" s="25">
        <f t="shared" si="784"/>
        <v>20367.195264578786</v>
      </c>
      <c r="L848" s="25"/>
      <c r="N848" s="25">
        <f>'Combined Retirement'!$C$18/12</f>
        <v>39153.069999999992</v>
      </c>
      <c r="O848" s="25">
        <f t="shared" si="785"/>
        <v>10889.636755601023</v>
      </c>
      <c r="P848" s="25">
        <f t="shared" si="786"/>
        <v>28263.43324439897</v>
      </c>
      <c r="Q848" s="25">
        <f t="array" aca="1" ref="Q848" ca="1">INDEX('Isaac 401k'!L:L,MATCH('Retirement Calculator'!A848,'Isaac 401k'!N:N,0),0)</f>
        <v>559517.61292067613</v>
      </c>
      <c r="R848" s="25">
        <f t="array" aca="1" ref="R848" ca="1">INDEX('Lorri 401b'!L:L,MATCH('Retirement Calculator'!A848,'Lorri 401b'!N:N,0),0)</f>
        <v>-7439895.5467906799</v>
      </c>
      <c r="S848" s="25">
        <f t="shared" ca="1" si="787"/>
        <v>-6880377.9338700036</v>
      </c>
    </row>
    <row r="849" spans="1:19" ht="15.75" customHeight="1" x14ac:dyDescent="0.3">
      <c r="A849" s="37">
        <v>76793</v>
      </c>
      <c r="B849" s="398">
        <f t="shared" ref="B849:C849" si="860">($A849-B$9)/365.25</f>
        <v>128.36960985626283</v>
      </c>
      <c r="C849" s="398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3254.2644699519233</v>
      </c>
      <c r="H849" s="25">
        <f>IF(B849&lt;62,0,'Combined Retirement'!$I$14)</f>
        <v>2345</v>
      </c>
      <c r="I849" s="25">
        <f>IF(C849&lt;62,0,'Combined Retirement'!$I$13)</f>
        <v>2420</v>
      </c>
      <c r="J849" s="25">
        <f t="shared" si="783"/>
        <v>7896.2379798201846</v>
      </c>
      <c r="K849" s="25">
        <f t="shared" si="784"/>
        <v>20367.195264578786</v>
      </c>
      <c r="L849" s="25"/>
      <c r="N849" s="25">
        <f>'Combined Retirement'!$C$18/12</f>
        <v>39153.069999999992</v>
      </c>
      <c r="O849" s="25">
        <f t="shared" si="785"/>
        <v>10889.636755601023</v>
      </c>
      <c r="P849" s="25">
        <f t="shared" si="786"/>
        <v>28263.43324439897</v>
      </c>
      <c r="Q849" s="25">
        <f t="array" aca="1" ref="Q849" ca="1">INDEX('Isaac 401k'!L:L,MATCH('Retirement Calculator'!A849,'Isaac 401k'!N:N,0),0)</f>
        <v>553919.79733644275</v>
      </c>
      <c r="R849" s="25">
        <f t="array" aca="1" ref="R849" ca="1">INDEX('Lorri 401b'!L:L,MATCH('Retirement Calculator'!A849,'Lorri 401b'!N:N,0),0)</f>
        <v>-7491347.1701471554</v>
      </c>
      <c r="S849" s="25">
        <f t="shared" ca="1" si="787"/>
        <v>-6937427.372810713</v>
      </c>
    </row>
    <row r="850" spans="1:19" ht="15.75" customHeight="1" x14ac:dyDescent="0.3">
      <c r="A850" s="37">
        <v>76823</v>
      </c>
      <c r="B850" s="398">
        <f t="shared" ref="B850:C850" si="861">($A850-B$9)/365.25</f>
        <v>128.4517453798768</v>
      </c>
      <c r="C850" s="398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3254.2644699519233</v>
      </c>
      <c r="H850" s="25">
        <f>IF(B850&lt;62,0,'Combined Retirement'!$I$14)</f>
        <v>2345</v>
      </c>
      <c r="I850" s="25">
        <f>IF(C850&lt;62,0,'Combined Retirement'!$I$13)</f>
        <v>2420</v>
      </c>
      <c r="J850" s="25">
        <f t="shared" si="783"/>
        <v>7896.2379798201846</v>
      </c>
      <c r="K850" s="25">
        <f t="shared" si="784"/>
        <v>20367.195264578786</v>
      </c>
      <c r="L850" s="25"/>
      <c r="N850" s="25">
        <f>'Combined Retirement'!$C$18/12</f>
        <v>39153.069999999992</v>
      </c>
      <c r="O850" s="25">
        <f t="shared" si="785"/>
        <v>10889.636755601023</v>
      </c>
      <c r="P850" s="25">
        <f t="shared" si="786"/>
        <v>28263.43324439897</v>
      </c>
      <c r="Q850" s="25">
        <f t="array" aca="1" ref="Q850" ca="1">INDEX('Isaac 401k'!L:L,MATCH('Retirement Calculator'!A850,'Isaac 401k'!N:N,0),0)</f>
        <v>548298.65752060839</v>
      </c>
      <c r="R850" s="25">
        <f t="array" aca="1" ref="R850" ca="1">INDEX('Lorri 401b'!L:L,MATCH('Retirement Calculator'!A850,'Lorri 401b'!N:N,0),0)</f>
        <v>-7543013.1752676163</v>
      </c>
      <c r="S850" s="25">
        <f t="shared" ca="1" si="787"/>
        <v>-6994714.5177470082</v>
      </c>
    </row>
    <row r="851" spans="1:19" ht="15.75" customHeight="1" x14ac:dyDescent="0.3">
      <c r="A851" s="37">
        <v>76854</v>
      </c>
      <c r="B851" s="398">
        <f t="shared" ref="B851:C851" si="862">($A851-B$9)/365.25</f>
        <v>128.5366187542779</v>
      </c>
      <c r="C851" s="398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3254.2644699519233</v>
      </c>
      <c r="H851" s="25">
        <f>IF(B851&lt;62,0,'Combined Retirement'!$I$14)</f>
        <v>2345</v>
      </c>
      <c r="I851" s="25">
        <f>IF(C851&lt;62,0,'Combined Retirement'!$I$13)</f>
        <v>2420</v>
      </c>
      <c r="J851" s="25">
        <f t="shared" si="783"/>
        <v>7896.2379798201846</v>
      </c>
      <c r="K851" s="25">
        <f t="shared" si="784"/>
        <v>20367.195264578786</v>
      </c>
      <c r="L851" s="25"/>
      <c r="N851" s="25">
        <f>'Combined Retirement'!$C$18/12</f>
        <v>39153.069999999992</v>
      </c>
      <c r="O851" s="25">
        <f t="shared" si="785"/>
        <v>10889.636755601023</v>
      </c>
      <c r="P851" s="25">
        <f t="shared" si="786"/>
        <v>28263.43324439897</v>
      </c>
      <c r="Q851" s="25">
        <f t="array" aca="1" ref="Q851" ca="1">INDEX('Isaac 401k'!L:L,MATCH('Retirement Calculator'!A851,'Isaac 401k'!N:N,0),0)</f>
        <v>542654.09628887475</v>
      </c>
      <c r="R851" s="25">
        <f t="array" aca="1" ref="R851" ca="1">INDEX('Lorri 401b'!L:L,MATCH('Retirement Calculator'!A851,'Lorri 401b'!N:N,0),0)</f>
        <v>-7594894.4554094123</v>
      </c>
      <c r="S851" s="25">
        <f t="shared" ca="1" si="787"/>
        <v>-7052240.3591205375</v>
      </c>
    </row>
    <row r="852" spans="1:19" ht="15.75" customHeight="1" x14ac:dyDescent="0.3">
      <c r="A852" s="37">
        <v>76884</v>
      </c>
      <c r="B852" s="398">
        <f t="shared" ref="B852:C852" si="863">($A852-B$9)/365.25</f>
        <v>128.61875427789187</v>
      </c>
      <c r="C852" s="398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3254.2644699519233</v>
      </c>
      <c r="H852" s="25">
        <f>IF(B852&lt;62,0,'Combined Retirement'!$I$14)</f>
        <v>2345</v>
      </c>
      <c r="I852" s="25">
        <f>IF(C852&lt;62,0,'Combined Retirement'!$I$13)</f>
        <v>2420</v>
      </c>
      <c r="J852" s="25">
        <f t="shared" si="783"/>
        <v>7896.2379798201846</v>
      </c>
      <c r="K852" s="25">
        <f t="shared" si="784"/>
        <v>20367.195264578786</v>
      </c>
      <c r="L852" s="25"/>
      <c r="N852" s="25">
        <f>'Combined Retirement'!$C$18/12</f>
        <v>39153.069999999992</v>
      </c>
      <c r="O852" s="25">
        <f t="shared" si="785"/>
        <v>10889.636755601023</v>
      </c>
      <c r="P852" s="25">
        <f t="shared" si="786"/>
        <v>28263.43324439897</v>
      </c>
      <c r="Q852" s="25">
        <f t="array" aca="1" ref="Q852" ca="1">INDEX('Isaac 401k'!L:L,MATCH('Retirement Calculator'!A852,'Isaac 401k'!N:N,0),0)</f>
        <v>536986.01605200896</v>
      </c>
      <c r="R852" s="25">
        <f t="array" aca="1" ref="R852" ca="1">INDEX('Lorri 401b'!L:L,MATCH('Retirement Calculator'!A852,'Lorri 401b'!N:N,0),0)</f>
        <v>-7646991.907551799</v>
      </c>
      <c r="S852" s="25">
        <f t="shared" ca="1" si="787"/>
        <v>-7110005.8914997904</v>
      </c>
    </row>
    <row r="853" spans="1:19" ht="15.75" customHeight="1" x14ac:dyDescent="0.3">
      <c r="A853" s="37">
        <v>76915</v>
      </c>
      <c r="B853" s="398">
        <f t="shared" ref="B853:C853" si="864">($A853-B$9)/365.25</f>
        <v>128.70362765229294</v>
      </c>
      <c r="C853" s="398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3254.2644699519233</v>
      </c>
      <c r="H853" s="25">
        <f>IF(B853&lt;62,0,'Combined Retirement'!$I$14)</f>
        <v>2345</v>
      </c>
      <c r="I853" s="25">
        <f>IF(C853&lt;62,0,'Combined Retirement'!$I$13)</f>
        <v>2420</v>
      </c>
      <c r="J853" s="25">
        <f t="shared" si="783"/>
        <v>7896.2379798201846</v>
      </c>
      <c r="K853" s="25">
        <f t="shared" si="784"/>
        <v>20367.195264578786</v>
      </c>
      <c r="L853" s="25"/>
      <c r="N853" s="25">
        <f>'Combined Retirement'!$C$18/12</f>
        <v>39153.069999999992</v>
      </c>
      <c r="O853" s="25">
        <f t="shared" si="785"/>
        <v>10889.636755601023</v>
      </c>
      <c r="P853" s="25">
        <f t="shared" si="786"/>
        <v>28263.43324439897</v>
      </c>
      <c r="Q853" s="25">
        <f t="array" aca="1" ref="Q853" ca="1">INDEX('Isaac 401k'!L:L,MATCH('Retirement Calculator'!A853,'Isaac 401k'!N:N,0),0)</f>
        <v>531294.31881415623</v>
      </c>
      <c r="R853" s="25">
        <f t="array" aca="1" ref="R853" ca="1">INDEX('Lorri 401b'!L:L,MATCH('Retirement Calculator'!A853,'Lorri 401b'!N:N,0),0)</f>
        <v>-7699306.4324114462</v>
      </c>
      <c r="S853" s="25">
        <f t="shared" ca="1" si="787"/>
        <v>-7168012.1135972897</v>
      </c>
    </row>
    <row r="854" spans="1:19" ht="15.75" customHeight="1" x14ac:dyDescent="0.3">
      <c r="A854" s="37">
        <v>76946</v>
      </c>
      <c r="B854" s="398">
        <f t="shared" ref="B854:C854" si="865">($A854-B$9)/365.25</f>
        <v>128.78850102669404</v>
      </c>
      <c r="C854" s="398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3254.2644699519233</v>
      </c>
      <c r="H854" s="25">
        <f>IF(B854&lt;62,0,'Combined Retirement'!$I$14)</f>
        <v>2345</v>
      </c>
      <c r="I854" s="25">
        <f>IF(C854&lt;62,0,'Combined Retirement'!$I$13)</f>
        <v>2420</v>
      </c>
      <c r="J854" s="25">
        <f t="shared" si="783"/>
        <v>7896.2379798201846</v>
      </c>
      <c r="K854" s="25">
        <f t="shared" si="784"/>
        <v>20367.195264578786</v>
      </c>
      <c r="L854" s="25"/>
      <c r="N854" s="25">
        <f>'Combined Retirement'!$C$18/12</f>
        <v>39153.069999999992</v>
      </c>
      <c r="O854" s="25">
        <f t="shared" si="785"/>
        <v>10889.636755601023</v>
      </c>
      <c r="P854" s="25">
        <f t="shared" si="786"/>
        <v>28263.43324439897</v>
      </c>
      <c r="Q854" s="25">
        <f t="array" aca="1" ref="Q854" ca="1">INDEX('Isaac 401k'!L:L,MATCH('Retirement Calculator'!A854,'Isaac 401k'!N:N,0),0)</f>
        <v>525578.90617114573</v>
      </c>
      <c r="R854" s="25">
        <f t="array" aca="1" ref="R854" ca="1">INDEX('Lorri 401b'!L:L,MATCH('Retirement Calculator'!A854,'Lorri 401b'!N:N,0),0)</f>
        <v>-7751838.934458008</v>
      </c>
      <c r="S854" s="25">
        <f t="shared" ca="1" si="787"/>
        <v>-7226260.0282868622</v>
      </c>
    </row>
    <row r="855" spans="1:19" ht="15.75" customHeight="1" x14ac:dyDescent="0.3">
      <c r="A855" s="37">
        <v>76976</v>
      </c>
      <c r="B855" s="398">
        <f t="shared" ref="B855:C855" si="866">($A855-B$9)/365.25</f>
        <v>128.87063655030801</v>
      </c>
      <c r="C855" s="398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3254.2644699519233</v>
      </c>
      <c r="H855" s="25">
        <f>IF(B855&lt;62,0,'Combined Retirement'!$I$14)</f>
        <v>2345</v>
      </c>
      <c r="I855" s="25">
        <f>IF(C855&lt;62,0,'Combined Retirement'!$I$13)</f>
        <v>2420</v>
      </c>
      <c r="J855" s="25">
        <f t="shared" si="783"/>
        <v>7896.2379798201846</v>
      </c>
      <c r="K855" s="25">
        <f t="shared" si="784"/>
        <v>20367.195264578786</v>
      </c>
      <c r="L855" s="25"/>
      <c r="N855" s="25">
        <f>'Combined Retirement'!$C$18/12</f>
        <v>39153.069999999992</v>
      </c>
      <c r="O855" s="25">
        <f t="shared" si="785"/>
        <v>10889.636755601023</v>
      </c>
      <c r="P855" s="25">
        <f t="shared" si="786"/>
        <v>28263.43324439897</v>
      </c>
      <c r="Q855" s="25">
        <f t="array" aca="1" ref="Q855" ca="1">INDEX('Isaac 401k'!L:L,MATCH('Retirement Calculator'!A855,'Isaac 401k'!N:N,0),0)</f>
        <v>519839.67930878943</v>
      </c>
      <c r="R855" s="25">
        <f t="array" aca="1" ref="R855" ca="1">INDEX('Lorri 401b'!L:L,MATCH('Retirement Calculator'!A855,'Lorri 401b'!N:N,0),0)</f>
        <v>-7804590.321929764</v>
      </c>
      <c r="S855" s="25">
        <f t="shared" ca="1" si="787"/>
        <v>-7284750.6426209742</v>
      </c>
    </row>
    <row r="856" spans="1:19" ht="15.75" customHeight="1" x14ac:dyDescent="0.3">
      <c r="A856" s="37">
        <v>77007</v>
      </c>
      <c r="B856" s="398">
        <f t="shared" ref="B856:C856" si="867">($A856-B$9)/365.25</f>
        <v>128.95550992470911</v>
      </c>
      <c r="C856" s="398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3254.2644699519233</v>
      </c>
      <c r="H856" s="25">
        <f>IF(B856&lt;62,0,'Combined Retirement'!$I$14)</f>
        <v>2345</v>
      </c>
      <c r="I856" s="25">
        <f>IF(C856&lt;62,0,'Combined Retirement'!$I$13)</f>
        <v>2420</v>
      </c>
      <c r="J856" s="25">
        <f t="shared" si="783"/>
        <v>7896.2379798201846</v>
      </c>
      <c r="K856" s="25">
        <f t="shared" si="784"/>
        <v>20367.195264578786</v>
      </c>
      <c r="L856" s="25"/>
      <c r="N856" s="25">
        <f>'Combined Retirement'!$C$18/12</f>
        <v>39153.069999999992</v>
      </c>
      <c r="O856" s="25">
        <f t="shared" si="785"/>
        <v>10889.636755601023</v>
      </c>
      <c r="P856" s="25">
        <f t="shared" si="786"/>
        <v>28263.43324439897</v>
      </c>
      <c r="Q856" s="25">
        <f t="array" aca="1" ref="Q856" ca="1">INDEX('Isaac 401k'!L:L,MATCH('Retirement Calculator'!A856,'Isaac 401k'!N:N,0),0)</f>
        <v>514076.53900117328</v>
      </c>
      <c r="R856" s="25">
        <f t="array" aca="1" ref="R856" ca="1">INDEX('Lorri 401b'!L:L,MATCH('Retirement Calculator'!A856,'Lorri 401b'!N:N,0),0)</f>
        <v>-7857561.5068493197</v>
      </c>
      <c r="S856" s="25">
        <f t="shared" ca="1" si="787"/>
        <v>-7343484.9678481463</v>
      </c>
    </row>
    <row r="857" spans="1:19" ht="15.75" customHeight="1" x14ac:dyDescent="0.3">
      <c r="A857" s="37">
        <v>77037</v>
      </c>
      <c r="B857" s="398">
        <f t="shared" ref="B857:C857" si="868">($A857-B$9)/365.25</f>
        <v>129.03764544832308</v>
      </c>
      <c r="C857" s="398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3254.2644699519233</v>
      </c>
      <c r="H857" s="25">
        <f>IF(B857&lt;62,0,'Combined Retirement'!$I$14)</f>
        <v>2345</v>
      </c>
      <c r="I857" s="25">
        <f>IF(C857&lt;62,0,'Combined Retirement'!$I$13)</f>
        <v>2420</v>
      </c>
      <c r="J857" s="25">
        <f t="shared" si="783"/>
        <v>7896.2379798201846</v>
      </c>
      <c r="K857" s="25">
        <f t="shared" si="784"/>
        <v>20367.195264578786</v>
      </c>
      <c r="L857" s="25"/>
      <c r="N857" s="25">
        <f>'Combined Retirement'!$C$18/12</f>
        <v>39153.069999999992</v>
      </c>
      <c r="O857" s="25">
        <f t="shared" si="785"/>
        <v>10889.636755601023</v>
      </c>
      <c r="P857" s="25">
        <f t="shared" si="786"/>
        <v>28263.43324439897</v>
      </c>
      <c r="Q857" s="25">
        <f t="array" aca="1" ref="Q857" ca="1">INDEX('Isaac 401k'!L:L,MATCH('Retirement Calculator'!A857,'Isaac 401k'!N:N,0),0)</f>
        <v>508289.38560894207</v>
      </c>
      <c r="R857" s="25">
        <f t="array" aca="1" ref="R857" ca="1">INDEX('Lorri 401b'!L:L,MATCH('Retirement Calculator'!A857,'Lorri 401b'!N:N,0),0)</f>
        <v>-7910753.4050393729</v>
      </c>
      <c r="S857" s="25">
        <f t="shared" ca="1" si="787"/>
        <v>-7402464.0194304306</v>
      </c>
    </row>
    <row r="858" spans="1:19" ht="15.75" customHeight="1" x14ac:dyDescent="0.3">
      <c r="A858" s="37">
        <v>77068</v>
      </c>
      <c r="B858" s="398">
        <f t="shared" ref="B858:C858" si="869">($A858-B$9)/365.25</f>
        <v>129.12251882272417</v>
      </c>
      <c r="C858" s="398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3254.2644699519233</v>
      </c>
      <c r="H858" s="25">
        <f>IF(B858&lt;62,0,'Combined Retirement'!$I$14)</f>
        <v>2345</v>
      </c>
      <c r="I858" s="25">
        <f>IF(C858&lt;62,0,'Combined Retirement'!$I$13)</f>
        <v>2420</v>
      </c>
      <c r="J858" s="25">
        <f t="shared" si="783"/>
        <v>7896.2379798201846</v>
      </c>
      <c r="K858" s="25">
        <f t="shared" si="784"/>
        <v>20367.195264578786</v>
      </c>
      <c r="L858" s="25"/>
      <c r="N858" s="25">
        <f>'Combined Retirement'!$C$18/12</f>
        <v>39153.069999999992</v>
      </c>
      <c r="O858" s="25">
        <f t="shared" si="785"/>
        <v>10889.636755601023</v>
      </c>
      <c r="P858" s="25">
        <f t="shared" si="786"/>
        <v>28263.43324439897</v>
      </c>
      <c r="Q858" s="25">
        <f t="array" aca="1" ref="Q858" ca="1">INDEX('Isaac 401k'!L:L,MATCH('Retirement Calculator'!A858,'Isaac 401k'!N:N,0),0)</f>
        <v>502478.11907757656</v>
      </c>
      <c r="R858" s="25">
        <f t="array" aca="1" ref="R858" ca="1">INDEX('Lorri 401b'!L:L,MATCH('Retirement Calculator'!A858,'Lorri 401b'!N:N,0),0)</f>
        <v>-7964166.9361385517</v>
      </c>
      <c r="S858" s="25">
        <f t="shared" ca="1" si="787"/>
        <v>-7461688.8170609754</v>
      </c>
    </row>
    <row r="859" spans="1:19" ht="15.75" customHeight="1" x14ac:dyDescent="0.3">
      <c r="A859" s="37">
        <v>77099</v>
      </c>
      <c r="B859" s="398">
        <f t="shared" ref="B859:C859" si="870">($A859-B$9)/365.25</f>
        <v>129.20739219712524</v>
      </c>
      <c r="C859" s="398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3254.2644699519233</v>
      </c>
      <c r="H859" s="25">
        <f>IF(B859&lt;62,0,'Combined Retirement'!$I$14)</f>
        <v>2345</v>
      </c>
      <c r="I859" s="25">
        <f>IF(C859&lt;62,0,'Combined Retirement'!$I$13)</f>
        <v>2420</v>
      </c>
      <c r="J859" s="25">
        <f t="shared" si="783"/>
        <v>7896.2379798201846</v>
      </c>
      <c r="K859" s="25">
        <f t="shared" si="784"/>
        <v>20367.195264578786</v>
      </c>
      <c r="L859" s="25"/>
      <c r="N859" s="25">
        <f>'Combined Retirement'!$C$18/12</f>
        <v>39153.069999999992</v>
      </c>
      <c r="O859" s="25">
        <f t="shared" si="785"/>
        <v>10889.636755601023</v>
      </c>
      <c r="P859" s="25">
        <f t="shared" si="786"/>
        <v>28263.43324439897</v>
      </c>
      <c r="Q859" s="25">
        <f t="array" aca="1" ref="Q859" ca="1">INDEX('Isaac 401k'!L:L,MATCH('Retirement Calculator'!A859,'Isaac 401k'!N:N,0),0)</f>
        <v>496642.63893566368</v>
      </c>
      <c r="R859" s="25">
        <f t="array" aca="1" ref="R859" ca="1">INDEX('Lorri 401b'!L:L,MATCH('Retirement Calculator'!A859,'Lorri 401b'!N:N,0),0)</f>
        <v>-8017803.0236173104</v>
      </c>
      <c r="S859" s="25">
        <f t="shared" ca="1" si="787"/>
        <v>-7521160.3846816467</v>
      </c>
    </row>
    <row r="860" spans="1:19" ht="15.75" customHeight="1" x14ac:dyDescent="0.3">
      <c r="A860" s="37">
        <v>77127</v>
      </c>
      <c r="B860" s="398">
        <f t="shared" ref="B860:C860" si="871">($A860-B$9)/365.25</f>
        <v>129.28405201916496</v>
      </c>
      <c r="C860" s="398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3254.2644699519233</v>
      </c>
      <c r="H860" s="25">
        <f>IF(B860&lt;62,0,'Combined Retirement'!$I$14)</f>
        <v>2345</v>
      </c>
      <c r="I860" s="25">
        <f>IF(C860&lt;62,0,'Combined Retirement'!$I$13)</f>
        <v>2420</v>
      </c>
      <c r="J860" s="25">
        <f t="shared" si="783"/>
        <v>7896.2379798201846</v>
      </c>
      <c r="K860" s="25">
        <f t="shared" si="784"/>
        <v>20367.195264578786</v>
      </c>
      <c r="L860" s="25"/>
      <c r="N860" s="25">
        <f>'Combined Retirement'!$C$18/12</f>
        <v>39153.069999999992</v>
      </c>
      <c r="O860" s="25">
        <f t="shared" si="785"/>
        <v>10889.636755601023</v>
      </c>
      <c r="P860" s="25">
        <f t="shared" si="786"/>
        <v>28263.43324439897</v>
      </c>
      <c r="Q860" s="25">
        <f t="array" aca="1" ref="Q860" ca="1">INDEX('Isaac 401k'!L:L,MATCH('Retirement Calculator'!A860,'Isaac 401k'!N:N,0),0)</f>
        <v>490782.84429315955</v>
      </c>
      <c r="R860" s="25">
        <f t="array" aca="1" ref="R860" ca="1">INDEX('Lorri 401b'!L:L,MATCH('Retirement Calculator'!A860,'Lorri 401b'!N:N,0),0)</f>
        <v>-8071662.5947938971</v>
      </c>
      <c r="S860" s="25">
        <f t="shared" ca="1" si="787"/>
        <v>-7580879.7505007377</v>
      </c>
    </row>
    <row r="861" spans="1:19" ht="15.75" customHeight="1" x14ac:dyDescent="0.3">
      <c r="A861" s="37">
        <v>77158</v>
      </c>
      <c r="B861" s="398">
        <f t="shared" ref="B861:C861" si="872">($A861-B$9)/365.25</f>
        <v>129.36892539356606</v>
      </c>
      <c r="C861" s="398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3254.2644699519233</v>
      </c>
      <c r="H861" s="25">
        <f>IF(B861&lt;62,0,'Combined Retirement'!$I$14)</f>
        <v>2345</v>
      </c>
      <c r="I861" s="25">
        <f>IF(C861&lt;62,0,'Combined Retirement'!$I$13)</f>
        <v>2420</v>
      </c>
      <c r="J861" s="25">
        <f t="shared" si="783"/>
        <v>7896.2379798201846</v>
      </c>
      <c r="K861" s="25">
        <f t="shared" si="784"/>
        <v>20367.195264578786</v>
      </c>
      <c r="L861" s="25"/>
      <c r="N861" s="25">
        <f>'Combined Retirement'!$C$18/12</f>
        <v>39153.069999999992</v>
      </c>
      <c r="O861" s="25">
        <f t="shared" si="785"/>
        <v>10889.636755601023</v>
      </c>
      <c r="P861" s="25">
        <f t="shared" si="786"/>
        <v>28263.43324439897</v>
      </c>
      <c r="Q861" s="25">
        <f t="array" aca="1" ref="Q861" ca="1">INDEX('Isaac 401k'!L:L,MATCH('Retirement Calculator'!A861,'Isaac 401k'!N:N,0),0)</f>
        <v>484898.63383964496</v>
      </c>
      <c r="R861" s="25">
        <f t="array" aca="1" ref="R861" ca="1">INDEX('Lorri 401b'!L:L,MATCH('Retirement Calculator'!A861,'Lorri 401b'!N:N,0),0)</f>
        <v>-8125746.5808503861</v>
      </c>
      <c r="S861" s="25">
        <f t="shared" ca="1" si="787"/>
        <v>-7640847.9470107406</v>
      </c>
    </row>
    <row r="862" spans="1:19" ht="15.75" customHeight="1" x14ac:dyDescent="0.3">
      <c r="A862" s="37">
        <v>77188</v>
      </c>
      <c r="B862" s="398">
        <f t="shared" ref="B862:C862" si="873">($A862-B$9)/365.25</f>
        <v>129.45106091718</v>
      </c>
      <c r="C862" s="398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3254.2644699519233</v>
      </c>
      <c r="H862" s="25">
        <f>IF(B862&lt;62,0,'Combined Retirement'!$I$14)</f>
        <v>2345</v>
      </c>
      <c r="I862" s="25">
        <f>IF(C862&lt;62,0,'Combined Retirement'!$I$13)</f>
        <v>2420</v>
      </c>
      <c r="J862" s="25">
        <f t="shared" si="783"/>
        <v>7896.2379798201846</v>
      </c>
      <c r="K862" s="25">
        <f t="shared" si="784"/>
        <v>20367.195264578786</v>
      </c>
      <c r="L862" s="25"/>
      <c r="N862" s="25">
        <f>'Combined Retirement'!$C$18/12</f>
        <v>39153.069999999992</v>
      </c>
      <c r="O862" s="25">
        <f t="shared" si="785"/>
        <v>10889.636755601023</v>
      </c>
      <c r="P862" s="25">
        <f t="shared" si="786"/>
        <v>28263.43324439897</v>
      </c>
      <c r="Q862" s="25">
        <f t="array" aca="1" ref="Q862" ca="1">INDEX('Isaac 401k'!L:L,MATCH('Retirement Calculator'!A862,'Isaac 401k'!N:N,0),0)</f>
        <v>478989.90584257408</v>
      </c>
      <c r="R862" s="25">
        <f t="array" aca="1" ref="R862" ca="1">INDEX('Lorri 401b'!L:L,MATCH('Retirement Calculator'!A862,'Lorri 401b'!N:N,0),0)</f>
        <v>-8180055.9168487769</v>
      </c>
      <c r="S862" s="25">
        <f t="shared" ca="1" si="787"/>
        <v>-7701066.0110062025</v>
      </c>
    </row>
    <row r="863" spans="1:19" ht="15.75" customHeight="1" x14ac:dyDescent="0.3">
      <c r="A863" s="37">
        <v>77219</v>
      </c>
      <c r="B863" s="398">
        <f t="shared" ref="B863:C863" si="874">($A863-B$9)/365.25</f>
        <v>129.5359342915811</v>
      </c>
      <c r="C863" s="398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3254.2644699519233</v>
      </c>
      <c r="H863" s="25">
        <f>IF(B863&lt;62,0,'Combined Retirement'!$I$14)</f>
        <v>2345</v>
      </c>
      <c r="I863" s="25">
        <f>IF(C863&lt;62,0,'Combined Retirement'!$I$13)</f>
        <v>2420</v>
      </c>
      <c r="J863" s="25">
        <f t="shared" si="783"/>
        <v>7896.2379798201846</v>
      </c>
      <c r="K863" s="25">
        <f t="shared" si="784"/>
        <v>20367.195264578786</v>
      </c>
      <c r="L863" s="25"/>
      <c r="N863" s="25">
        <f>'Combined Retirement'!$C$18/12</f>
        <v>39153.069999999992</v>
      </c>
      <c r="O863" s="25">
        <f t="shared" si="785"/>
        <v>10889.636755601023</v>
      </c>
      <c r="P863" s="25">
        <f t="shared" si="786"/>
        <v>28263.43324439897</v>
      </c>
      <c r="Q863" s="25">
        <f t="array" aca="1" ref="Q863" ca="1">INDEX('Isaac 401k'!L:L,MATCH('Retirement Calculator'!A863,'Isaac 401k'!N:N,0),0)</f>
        <v>473056.55814551539</v>
      </c>
      <c r="R863" s="25">
        <f t="array" aca="1" ref="R863" ca="1">INDEX('Lorri 401b'!L:L,MATCH('Retirement Calculator'!A863,'Lorri 401b'!N:N,0),0)</f>
        <v>-8234591.5417471612</v>
      </c>
      <c r="S863" s="25">
        <f t="shared" ca="1" si="787"/>
        <v>-7761534.9836016456</v>
      </c>
    </row>
    <row r="864" spans="1:19" ht="15.75" customHeight="1" x14ac:dyDescent="0.3">
      <c r="A864" s="37">
        <v>77249</v>
      </c>
      <c r="B864" s="398">
        <f t="shared" ref="B864:C864" si="875">($A864-B$9)/365.25</f>
        <v>129.61806981519507</v>
      </c>
      <c r="C864" s="398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3254.2644699519233</v>
      </c>
      <c r="H864" s="25">
        <f>IF(B864&lt;62,0,'Combined Retirement'!$I$14)</f>
        <v>2345</v>
      </c>
      <c r="I864" s="25">
        <f>IF(C864&lt;62,0,'Combined Retirement'!$I$13)</f>
        <v>2420</v>
      </c>
      <c r="J864" s="25">
        <f t="shared" si="783"/>
        <v>7896.2379798201846</v>
      </c>
      <c r="K864" s="25">
        <f t="shared" si="784"/>
        <v>20367.195264578786</v>
      </c>
      <c r="L864" s="25"/>
      <c r="N864" s="25">
        <f>'Combined Retirement'!$C$18/12</f>
        <v>39153.069999999992</v>
      </c>
      <c r="O864" s="25">
        <f t="shared" si="785"/>
        <v>10889.636755601023</v>
      </c>
      <c r="P864" s="25">
        <f t="shared" si="786"/>
        <v>28263.43324439897</v>
      </c>
      <c r="Q864" s="25">
        <f t="array" aca="1" ref="Q864" ca="1">INDEX('Isaac 401k'!L:L,MATCH('Retirement Calculator'!A864,'Isaac 401k'!N:N,0),0)</f>
        <v>467098.48816638562</v>
      </c>
      <c r="R864" s="25">
        <f t="array" aca="1" ref="R864" ca="1">INDEX('Lorri 401b'!L:L,MATCH('Retirement Calculator'!A864,'Lorri 401b'!N:N,0),0)</f>
        <v>-8289354.3984159557</v>
      </c>
      <c r="S864" s="25">
        <f t="shared" ca="1" si="787"/>
        <v>-7822255.9102495704</v>
      </c>
    </row>
    <row r="865" spans="1:19" ht="15.75" customHeight="1" x14ac:dyDescent="0.3">
      <c r="A865" s="37">
        <v>77280</v>
      </c>
      <c r="B865" s="398">
        <f t="shared" ref="B865:C865" si="876">($A865-B$9)/365.25</f>
        <v>129.70294318959617</v>
      </c>
      <c r="C865" s="398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3254.2644699519233</v>
      </c>
      <c r="H865" s="25">
        <f>IF(B865&lt;62,0,'Combined Retirement'!$I$14)</f>
        <v>2345</v>
      </c>
      <c r="I865" s="25">
        <f>IF(C865&lt;62,0,'Combined Retirement'!$I$13)</f>
        <v>2420</v>
      </c>
      <c r="J865" s="25">
        <f t="shared" si="783"/>
        <v>7896.2379798201846</v>
      </c>
      <c r="K865" s="25">
        <f t="shared" si="784"/>
        <v>20367.195264578786</v>
      </c>
      <c r="L865" s="25"/>
      <c r="N865" s="25">
        <f>'Combined Retirement'!$C$18/12</f>
        <v>39153.069999999992</v>
      </c>
      <c r="O865" s="25">
        <f t="shared" si="785"/>
        <v>10889.636755601023</v>
      </c>
      <c r="P865" s="25">
        <f t="shared" si="786"/>
        <v>28263.43324439897</v>
      </c>
      <c r="Q865" s="25">
        <f t="array" aca="1" ref="Q865" ca="1">INDEX('Isaac 401k'!L:L,MATCH('Retirement Calculator'!A865,'Isaac 401k'!N:N,0),0)</f>
        <v>461115.59289567615</v>
      </c>
      <c r="R865" s="25">
        <f t="array" aca="1" ref="R865" ca="1">INDEX('Lorri 401b'!L:L,MATCH('Retirement Calculator'!A865,'Lorri 401b'!N:N,0),0)</f>
        <v>-8344345.4336542031</v>
      </c>
      <c r="S865" s="25">
        <f t="shared" ca="1" si="787"/>
        <v>-7883229.8407585267</v>
      </c>
    </row>
    <row r="866" spans="1:19" ht="15.75" customHeight="1" x14ac:dyDescent="0.3">
      <c r="A866" s="37">
        <v>77311</v>
      </c>
      <c r="B866" s="398">
        <f t="shared" ref="B866:C866" si="877">($A866-B$9)/365.25</f>
        <v>129.78781656399727</v>
      </c>
      <c r="C866" s="398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3254.2644699519233</v>
      </c>
      <c r="H866" s="25">
        <f>IF(B866&lt;62,0,'Combined Retirement'!$I$14)</f>
        <v>2345</v>
      </c>
      <c r="I866" s="25">
        <f>IF(C866&lt;62,0,'Combined Retirement'!$I$13)</f>
        <v>2420</v>
      </c>
      <c r="J866" s="25">
        <f t="shared" si="783"/>
        <v>7896.2379798201846</v>
      </c>
      <c r="K866" s="25">
        <f t="shared" si="784"/>
        <v>20367.195264578786</v>
      </c>
      <c r="L866" s="25"/>
      <c r="N866" s="25">
        <f>'Combined Retirement'!$C$18/12</f>
        <v>39153.069999999992</v>
      </c>
      <c r="O866" s="25">
        <f t="shared" si="785"/>
        <v>10889.636755601023</v>
      </c>
      <c r="P866" s="25">
        <f t="shared" si="786"/>
        <v>28263.43324439897</v>
      </c>
      <c r="Q866" s="25">
        <f t="array" aca="1" ref="Q866" ca="1">INDEX('Isaac 401k'!L:L,MATCH('Retirement Calculator'!A866,'Isaac 401k'!N:N,0),0)</f>
        <v>455107.76889467204</v>
      </c>
      <c r="R866" s="25">
        <f t="array" aca="1" ref="R866" ca="1">INDEX('Lorri 401b'!L:L,MATCH('Retirement Calculator'!A866,'Lorri 401b'!N:N,0),0)</f>
        <v>-8399565.5982059427</v>
      </c>
      <c r="S866" s="25">
        <f t="shared" ca="1" si="787"/>
        <v>-7944457.8293112703</v>
      </c>
    </row>
    <row r="867" spans="1:19" ht="15.75" customHeight="1" x14ac:dyDescent="0.3">
      <c r="A867" s="37">
        <v>77341</v>
      </c>
      <c r="B867" s="398">
        <f t="shared" ref="B867:C867" si="878">($A867-B$9)/365.25</f>
        <v>129.86995208761124</v>
      </c>
      <c r="C867" s="398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3254.2644699519233</v>
      </c>
      <c r="H867" s="25">
        <f>IF(B867&lt;62,0,'Combined Retirement'!$I$14)</f>
        <v>2345</v>
      </c>
      <c r="I867" s="25">
        <f>IF(C867&lt;62,0,'Combined Retirement'!$I$13)</f>
        <v>2420</v>
      </c>
      <c r="J867" s="25">
        <f t="shared" si="783"/>
        <v>7896.2379798201846</v>
      </c>
      <c r="K867" s="25">
        <f t="shared" si="784"/>
        <v>20367.195264578786</v>
      </c>
      <c r="L867" s="25"/>
      <c r="N867" s="25">
        <f>'Combined Retirement'!$C$18/12</f>
        <v>39153.069999999992</v>
      </c>
      <c r="O867" s="25">
        <f t="shared" si="785"/>
        <v>10889.636755601023</v>
      </c>
      <c r="P867" s="25">
        <f t="shared" si="786"/>
        <v>28263.43324439897</v>
      </c>
      <c r="Q867" s="25">
        <f t="array" aca="1" ref="Q867" ca="1">INDEX('Isaac 401k'!L:L,MATCH('Retirement Calculator'!A867,'Isaac 401k'!N:N,0),0)</f>
        <v>449074.91229366377</v>
      </c>
      <c r="R867" s="25">
        <f t="array" aca="1" ref="R867" ca="1">INDEX('Lorri 401b'!L:L,MATCH('Retirement Calculator'!A867,'Lorri 401b'!N:N,0),0)</f>
        <v>-8455015.8467766475</v>
      </c>
      <c r="S867" s="25">
        <f t="shared" ca="1" si="787"/>
        <v>-8005940.9344829833</v>
      </c>
    </row>
    <row r="868" spans="1:19" ht="15.75" customHeight="1" x14ac:dyDescent="0.3">
      <c r="A868" s="37">
        <v>77372</v>
      </c>
      <c r="B868" s="398">
        <f t="shared" ref="B868:C868" si="879">($A868-B$9)/365.25</f>
        <v>129.95482546201231</v>
      </c>
      <c r="C868" s="398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3254.2644699519233</v>
      </c>
      <c r="H868" s="25">
        <f>IF(B868&lt;62,0,'Combined Retirement'!$I$14)</f>
        <v>2345</v>
      </c>
      <c r="I868" s="25">
        <f>IF(C868&lt;62,0,'Combined Retirement'!$I$13)</f>
        <v>2420</v>
      </c>
      <c r="J868" s="25">
        <f t="shared" si="783"/>
        <v>7896.2379798201846</v>
      </c>
      <c r="K868" s="25">
        <f t="shared" si="784"/>
        <v>20367.195264578786</v>
      </c>
      <c r="L868" s="25"/>
      <c r="N868" s="25">
        <f>'Combined Retirement'!$C$18/12</f>
        <v>39153.069999999992</v>
      </c>
      <c r="O868" s="25">
        <f t="shared" si="785"/>
        <v>10889.636755601023</v>
      </c>
      <c r="P868" s="25">
        <f t="shared" si="786"/>
        <v>28263.43324439897</v>
      </c>
      <c r="Q868" s="25">
        <f t="array" aca="1" ref="Q868" ca="1">INDEX('Isaac 401k'!L:L,MATCH('Retirement Calculator'!A868,'Isaac 401k'!N:N,0),0)</f>
        <v>443016.91879015131</v>
      </c>
      <c r="R868" s="25">
        <f t="array" aca="1" ref="R868" ca="1">INDEX('Lorri 401b'!L:L,MATCH('Retirement Calculator'!A868,'Lorri 401b'!N:N,0),0)</f>
        <v>-8510697.138049731</v>
      </c>
      <c r="S868" s="25">
        <f t="shared" ca="1" si="787"/>
        <v>-8067680.2192595797</v>
      </c>
    </row>
    <row r="869" spans="1:19" ht="15.75" customHeight="1" x14ac:dyDescent="0.3">
      <c r="A869" s="37">
        <v>77402</v>
      </c>
      <c r="B869" s="398">
        <f t="shared" ref="B869:C869" si="880">($A869-B$9)/365.25</f>
        <v>130.03696098562628</v>
      </c>
      <c r="C869" s="398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3254.2644699519233</v>
      </c>
      <c r="H869" s="25">
        <f>IF(B869&lt;62,0,'Combined Retirement'!$I$14)</f>
        <v>2345</v>
      </c>
      <c r="I869" s="25">
        <f>IF(C869&lt;62,0,'Combined Retirement'!$I$13)</f>
        <v>2420</v>
      </c>
      <c r="J869" s="25">
        <f t="shared" si="783"/>
        <v>7896.2379798201846</v>
      </c>
      <c r="K869" s="25">
        <f t="shared" si="784"/>
        <v>20367.195264578786</v>
      </c>
      <c r="L869" s="25"/>
      <c r="N869" s="25">
        <f>'Combined Retirement'!$C$18/12</f>
        <v>39153.069999999992</v>
      </c>
      <c r="O869" s="25">
        <f t="shared" si="785"/>
        <v>10889.636755601023</v>
      </c>
      <c r="P869" s="25">
        <f t="shared" si="786"/>
        <v>28263.43324439897</v>
      </c>
      <c r="Q869" s="25">
        <f t="array" aca="1" ref="Q869" ca="1">INDEX('Isaac 401k'!L:L,MATCH('Retirement Calculator'!A869,'Isaac 401k'!N:N,0),0)</f>
        <v>436933.68364704086</v>
      </c>
      <c r="R869" s="25">
        <f t="array" aca="1" ref="R869" ca="1">INDEX('Lorri 401b'!L:L,MATCH('Retirement Calculator'!A869,'Lorri 401b'!N:N,0),0)</f>
        <v>-8566610.4347031191</v>
      </c>
      <c r="S869" s="25">
        <f t="shared" ca="1" si="787"/>
        <v>-8129676.7510560779</v>
      </c>
    </row>
    <row r="870" spans="1:19" ht="15.75" customHeight="1" x14ac:dyDescent="0.3">
      <c r="A870" s="37">
        <v>77433</v>
      </c>
      <c r="B870" s="398">
        <f t="shared" ref="B870:C870" si="881">($A870-B$9)/365.25</f>
        <v>130.12183436002738</v>
      </c>
      <c r="C870" s="398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3254.2644699519233</v>
      </c>
      <c r="H870" s="25">
        <f>IF(B870&lt;62,0,'Combined Retirement'!$I$14)</f>
        <v>2345</v>
      </c>
      <c r="I870" s="25">
        <f>IF(C870&lt;62,0,'Combined Retirement'!$I$13)</f>
        <v>2420</v>
      </c>
      <c r="J870" s="25">
        <f t="shared" si="783"/>
        <v>7896.2379798201846</v>
      </c>
      <c r="K870" s="25">
        <f t="shared" si="784"/>
        <v>20367.195264578786</v>
      </c>
      <c r="L870" s="25"/>
      <c r="N870" s="25">
        <f>'Combined Retirement'!$C$18/12</f>
        <v>39153.069999999992</v>
      </c>
      <c r="O870" s="25">
        <f t="shared" si="785"/>
        <v>10889.636755601023</v>
      </c>
      <c r="P870" s="25">
        <f t="shared" si="786"/>
        <v>28263.43324439897</v>
      </c>
      <c r="Q870" s="25">
        <f t="array" aca="1" ref="Q870" ca="1">INDEX('Isaac 401k'!L:L,MATCH('Retirement Calculator'!A870,'Isaac 401k'!N:N,0),0)</f>
        <v>430825.1016908341</v>
      </c>
      <c r="R870" s="25">
        <f t="array" aca="1" ref="R870" ca="1">INDEX('Lorri 401b'!L:L,MATCH('Retirement Calculator'!A870,'Lorri 401b'!N:N,0),0)</f>
        <v>-8622756.7034258954</v>
      </c>
      <c r="S870" s="25">
        <f t="shared" ca="1" si="787"/>
        <v>-8191931.601735061</v>
      </c>
    </row>
    <row r="871" spans="1:19" ht="15.75" customHeight="1" x14ac:dyDescent="0.3">
      <c r="A871" s="37">
        <v>77464</v>
      </c>
      <c r="B871" s="398">
        <f t="shared" ref="B871:C871" si="882">($A871-B$9)/365.25</f>
        <v>130.20670773442848</v>
      </c>
      <c r="C871" s="398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3254.2644699519233</v>
      </c>
      <c r="H871" s="25">
        <f>IF(B871&lt;62,0,'Combined Retirement'!$I$14)</f>
        <v>2345</v>
      </c>
      <c r="I871" s="25">
        <f>IF(C871&lt;62,0,'Combined Retirement'!$I$13)</f>
        <v>2420</v>
      </c>
      <c r="J871" s="25">
        <f t="shared" si="783"/>
        <v>7896.2379798201846</v>
      </c>
      <c r="K871" s="25">
        <f t="shared" si="784"/>
        <v>20367.195264578786</v>
      </c>
      <c r="L871" s="25"/>
      <c r="N871" s="25">
        <f>'Combined Retirement'!$C$18/12</f>
        <v>39153.069999999992</v>
      </c>
      <c r="O871" s="25">
        <f t="shared" si="785"/>
        <v>10889.636755601023</v>
      </c>
      <c r="P871" s="25">
        <f t="shared" si="786"/>
        <v>28263.43324439897</v>
      </c>
      <c r="Q871" s="25">
        <f t="array" aca="1" ref="Q871" ca="1">INDEX('Isaac 401k'!L:L,MATCH('Retirement Calculator'!A871,'Isaac 401k'!N:N,0),0)</f>
        <v>424691.06730980979</v>
      </c>
      <c r="R871" s="25">
        <f t="array" aca="1" ref="R871" ca="1">INDEX('Lorri 401b'!L:L,MATCH('Retirement Calculator'!A871,'Lorri 401b'!N:N,0),0)</f>
        <v>-8679136.914935017</v>
      </c>
      <c r="S871" s="25">
        <f t="shared" ca="1" si="787"/>
        <v>-8254445.8476252072</v>
      </c>
    </row>
    <row r="872" spans="1:19" ht="15.75" customHeight="1" x14ac:dyDescent="0.3">
      <c r="A872" s="37">
        <v>77493</v>
      </c>
      <c r="B872" s="398">
        <f t="shared" ref="B872:C872" si="883">($A872-B$9)/365.25</f>
        <v>130.28610540725529</v>
      </c>
      <c r="C872" s="398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3254.2644699519233</v>
      </c>
      <c r="H872" s="25">
        <f>IF(B872&lt;62,0,'Combined Retirement'!$I$14)</f>
        <v>2345</v>
      </c>
      <c r="I872" s="25">
        <f>IF(C872&lt;62,0,'Combined Retirement'!$I$13)</f>
        <v>2420</v>
      </c>
      <c r="J872" s="25">
        <f t="shared" si="783"/>
        <v>7896.2379798201846</v>
      </c>
      <c r="K872" s="25">
        <f t="shared" si="784"/>
        <v>20367.195264578786</v>
      </c>
      <c r="L872" s="25"/>
      <c r="N872" s="25">
        <f>'Combined Retirement'!$C$18/12</f>
        <v>39153.069999999992</v>
      </c>
      <c r="O872" s="25">
        <f t="shared" si="785"/>
        <v>10889.636755601023</v>
      </c>
      <c r="P872" s="25">
        <f t="shared" si="786"/>
        <v>28263.43324439897</v>
      </c>
      <c r="Q872" s="25">
        <f t="array" aca="1" ref="Q872" ca="1">INDEX('Isaac 401k'!L:L,MATCH('Retirement Calculator'!A872,'Isaac 401k'!N:N,0),0)</f>
        <v>418531.4744521979</v>
      </c>
      <c r="R872" s="25">
        <f t="array" aca="1" ref="R872" ca="1">INDEX('Lorri 401b'!L:L,MATCH('Retirement Calculator'!A872,'Lorri 401b'!N:N,0),0)</f>
        <v>-8735752.0439920928</v>
      </c>
      <c r="S872" s="25">
        <f t="shared" ca="1" si="787"/>
        <v>-8317220.5695398953</v>
      </c>
    </row>
    <row r="873" spans="1:19" ht="15.75" customHeight="1" x14ac:dyDescent="0.3">
      <c r="A873" s="37">
        <v>77524</v>
      </c>
      <c r="B873" s="398">
        <f t="shared" ref="B873:C873" si="884">($A873-B$9)/365.25</f>
        <v>130.37097878165639</v>
      </c>
      <c r="C873" s="398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3254.2644699519233</v>
      </c>
      <c r="H873" s="25">
        <f>IF(B873&lt;62,0,'Combined Retirement'!$I$14)</f>
        <v>2345</v>
      </c>
      <c r="I873" s="25">
        <f>IF(C873&lt;62,0,'Combined Retirement'!$I$13)</f>
        <v>2420</v>
      </c>
      <c r="J873" s="25">
        <f t="shared" si="783"/>
        <v>7896.2379798201846</v>
      </c>
      <c r="K873" s="25">
        <f t="shared" si="784"/>
        <v>20367.195264578786</v>
      </c>
      <c r="L873" s="25"/>
      <c r="N873" s="25">
        <f>'Combined Retirement'!$C$18/12</f>
        <v>39153.069999999992</v>
      </c>
      <c r="O873" s="25">
        <f t="shared" si="785"/>
        <v>10889.636755601023</v>
      </c>
      <c r="P873" s="25">
        <f t="shared" si="786"/>
        <v>28263.43324439897</v>
      </c>
      <c r="Q873" s="25">
        <f t="array" aca="1" ref="Q873" ca="1">INDEX('Isaac 401k'!L:L,MATCH('Retirement Calculator'!A873,'Isaac 401k'!N:N,0),0)</f>
        <v>412346.21662434598</v>
      </c>
      <c r="R873" s="25">
        <f t="array" aca="1" ref="R873" ca="1">INDEX('Lorri 401b'!L:L,MATCH('Retirement Calculator'!A873,'Lorri 401b'!N:N,0),0)</f>
        <v>-8792603.0694202408</v>
      </c>
      <c r="S873" s="25">
        <f t="shared" ca="1" si="787"/>
        <v>-8380256.8527958952</v>
      </c>
    </row>
    <row r="874" spans="1:19" ht="15.75" customHeight="1" x14ac:dyDescent="0.3">
      <c r="A874" s="37">
        <v>77554</v>
      </c>
      <c r="B874" s="398">
        <f t="shared" ref="B874:C874" si="885">($A874-B$9)/365.25</f>
        <v>130.45311430527036</v>
      </c>
      <c r="C874" s="398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3254.2644699519233</v>
      </c>
      <c r="H874" s="25">
        <f>IF(B874&lt;62,0,'Combined Retirement'!$I$14)</f>
        <v>2345</v>
      </c>
      <c r="I874" s="25">
        <f>IF(C874&lt;62,0,'Combined Retirement'!$I$13)</f>
        <v>2420</v>
      </c>
      <c r="J874" s="25">
        <f t="shared" si="783"/>
        <v>7896.2379798201846</v>
      </c>
      <c r="K874" s="25">
        <f t="shared" si="784"/>
        <v>20367.195264578786</v>
      </c>
      <c r="L874" s="25"/>
      <c r="N874" s="25">
        <f>'Combined Retirement'!$C$18/12</f>
        <v>39153.069999999992</v>
      </c>
      <c r="O874" s="25">
        <f t="shared" si="785"/>
        <v>10889.636755601023</v>
      </c>
      <c r="P874" s="25">
        <f t="shared" si="786"/>
        <v>28263.43324439897</v>
      </c>
      <c r="Q874" s="25">
        <f t="array" aca="1" ref="Q874" ca="1">INDEX('Isaac 401k'!L:L,MATCH('Retirement Calculator'!A874,'Isaac 401k'!N:N,0),0)</f>
        <v>406135.186888878</v>
      </c>
      <c r="R874" s="25">
        <f t="array" aca="1" ref="R874" ca="1">INDEX('Lorri 401b'!L:L,MATCH('Retirement Calculator'!A874,'Lorri 401b'!N:N,0),0)</f>
        <v>-8849690.9741210062</v>
      </c>
      <c r="S874" s="25">
        <f t="shared" ca="1" si="787"/>
        <v>-8443555.7872321289</v>
      </c>
    </row>
    <row r="875" spans="1:19" ht="15.75" customHeight="1" x14ac:dyDescent="0.3">
      <c r="A875" s="37">
        <v>77585</v>
      </c>
      <c r="B875" s="398">
        <f t="shared" ref="B875:C875" si="886">($A875-B$9)/365.25</f>
        <v>130.53798767967146</v>
      </c>
      <c r="C875" s="398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3254.2644699519233</v>
      </c>
      <c r="H875" s="25">
        <f>IF(B875&lt;62,0,'Combined Retirement'!$I$14)</f>
        <v>2345</v>
      </c>
      <c r="I875" s="25">
        <f>IF(C875&lt;62,0,'Combined Retirement'!$I$13)</f>
        <v>2420</v>
      </c>
      <c r="J875" s="25">
        <f t="shared" si="783"/>
        <v>7896.2379798201846</v>
      </c>
      <c r="K875" s="25">
        <f t="shared" si="784"/>
        <v>20367.195264578786</v>
      </c>
      <c r="L875" s="25"/>
      <c r="N875" s="25">
        <f>'Combined Retirement'!$C$18/12</f>
        <v>39153.069999999992</v>
      </c>
      <c r="O875" s="25">
        <f t="shared" si="785"/>
        <v>10889.636755601023</v>
      </c>
      <c r="P875" s="25">
        <f t="shared" si="786"/>
        <v>28263.43324439897</v>
      </c>
      <c r="Q875" s="25">
        <f t="array" aca="1" ref="Q875" ca="1">INDEX('Isaac 401k'!L:L,MATCH('Retirement Calculator'!A875,'Isaac 401k'!N:N,0),0)</f>
        <v>399898.27786284557</v>
      </c>
      <c r="R875" s="25">
        <f t="array" aca="1" ref="R875" ca="1">INDEX('Lorri 401b'!L:L,MATCH('Retirement Calculator'!A875,'Lorri 401b'!N:N,0),0)</f>
        <v>-8907016.7450913582</v>
      </c>
      <c r="S875" s="25">
        <f t="shared" ca="1" si="787"/>
        <v>-8507118.4672285132</v>
      </c>
    </row>
    <row r="876" spans="1:19" ht="15.75" customHeight="1" x14ac:dyDescent="0.3">
      <c r="A876" s="37">
        <v>77615</v>
      </c>
      <c r="B876" s="398">
        <f t="shared" ref="B876:C876" si="887">($A876-B$9)/365.25</f>
        <v>130.62012320328543</v>
      </c>
      <c r="C876" s="398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3254.2644699519233</v>
      </c>
      <c r="H876" s="25">
        <f>IF(B876&lt;62,0,'Combined Retirement'!$I$14)</f>
        <v>2345</v>
      </c>
      <c r="I876" s="25">
        <f>IF(C876&lt;62,0,'Combined Retirement'!$I$13)</f>
        <v>2420</v>
      </c>
      <c r="J876" s="25">
        <f t="shared" si="783"/>
        <v>7896.2379798201846</v>
      </c>
      <c r="K876" s="25">
        <f t="shared" si="784"/>
        <v>20367.195264578786</v>
      </c>
      <c r="L876" s="25"/>
      <c r="N876" s="25">
        <f>'Combined Retirement'!$C$18/12</f>
        <v>39153.069999999992</v>
      </c>
      <c r="O876" s="25">
        <f t="shared" si="785"/>
        <v>10889.636755601023</v>
      </c>
      <c r="P876" s="25">
        <f t="shared" si="786"/>
        <v>28263.43324439897</v>
      </c>
      <c r="Q876" s="25">
        <f t="array" aca="1" ref="Q876" ca="1">INDEX('Isaac 401k'!L:L,MATCH('Retirement Calculator'!A876,'Isaac 401k'!N:N,0),0)</f>
        <v>393635.38171587134</v>
      </c>
      <c r="R876" s="25">
        <f t="array" aca="1" ref="R876" ca="1">INDEX('Lorri 401b'!L:L,MATCH('Retirement Calculator'!A876,'Lorri 401b'!N:N,0),0)</f>
        <v>-8964581.3734407518</v>
      </c>
      <c r="S876" s="25">
        <f t="shared" ca="1" si="787"/>
        <v>-8570945.9917248804</v>
      </c>
    </row>
    <row r="877" spans="1:19" ht="15.75" customHeight="1" x14ac:dyDescent="0.3">
      <c r="A877" s="37">
        <v>77646</v>
      </c>
      <c r="B877" s="398">
        <f t="shared" ref="B877:C877" si="888">($A877-B$9)/365.25</f>
        <v>130.70499657768653</v>
      </c>
      <c r="C877" s="398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3254.2644699519233</v>
      </c>
      <c r="H877" s="25">
        <f>IF(B877&lt;62,0,'Combined Retirement'!$I$14)</f>
        <v>2345</v>
      </c>
      <c r="I877" s="25">
        <f>IF(C877&lt;62,0,'Combined Retirement'!$I$13)</f>
        <v>2420</v>
      </c>
      <c r="J877" s="25">
        <f t="shared" si="783"/>
        <v>7896.2379798201846</v>
      </c>
      <c r="K877" s="25">
        <f t="shared" si="784"/>
        <v>20367.195264578786</v>
      </c>
      <c r="L877" s="25"/>
      <c r="N877" s="25">
        <f>'Combined Retirement'!$C$18/12</f>
        <v>39153.069999999992</v>
      </c>
      <c r="O877" s="25">
        <f t="shared" si="785"/>
        <v>10889.636755601023</v>
      </c>
      <c r="P877" s="25">
        <f t="shared" si="786"/>
        <v>28263.43324439897</v>
      </c>
      <c r="Q877" s="25">
        <f t="array" aca="1" ref="Q877" ca="1">INDEX('Isaac 401k'!L:L,MATCH('Retirement Calculator'!A877,'Isaac 401k'!N:N,0),0)</f>
        <v>387346.39016828471</v>
      </c>
      <c r="R877" s="25">
        <f t="array" aca="1" ref="R877" ca="1">INDEX('Lorri 401b'!L:L,MATCH('Retirement Calculator'!A877,'Lorri 401b'!N:N,0),0)</f>
        <v>-9022385.8544082679</v>
      </c>
      <c r="S877" s="25">
        <f t="shared" ca="1" si="787"/>
        <v>-8635039.4642399829</v>
      </c>
    </row>
    <row r="878" spans="1:19" ht="15.75" customHeight="1" x14ac:dyDescent="0.3">
      <c r="A878" s="37">
        <v>77677</v>
      </c>
      <c r="B878" s="398">
        <f t="shared" ref="B878:C878" si="889">($A878-B$9)/365.25</f>
        <v>130.7898699520876</v>
      </c>
      <c r="C878" s="398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3254.2644699519233</v>
      </c>
      <c r="H878" s="25">
        <f>IF(B878&lt;62,0,'Combined Retirement'!$I$14)</f>
        <v>2345</v>
      </c>
      <c r="I878" s="25">
        <f>IF(C878&lt;62,0,'Combined Retirement'!$I$13)</f>
        <v>2420</v>
      </c>
      <c r="J878" s="25">
        <f t="shared" si="783"/>
        <v>7896.2379798201846</v>
      </c>
      <c r="K878" s="25">
        <f t="shared" si="784"/>
        <v>20367.195264578786</v>
      </c>
      <c r="L878" s="25"/>
      <c r="N878" s="25">
        <f>'Combined Retirement'!$C$18/12</f>
        <v>39153.069999999992</v>
      </c>
      <c r="O878" s="25">
        <f t="shared" si="785"/>
        <v>10889.636755601023</v>
      </c>
      <c r="P878" s="25">
        <f t="shared" si="786"/>
        <v>28263.43324439897</v>
      </c>
      <c r="Q878" s="25">
        <f t="array" aca="1" ref="Q878" ca="1">INDEX('Isaac 401k'!L:L,MATCH('Retirement Calculator'!A878,'Isaac 401k'!N:N,0),0)</f>
        <v>381031.19448924978</v>
      </c>
      <c r="R878" s="25">
        <f t="array" aca="1" ref="R878" ca="1">INDEX('Lorri 401b'!L:L,MATCH('Retirement Calculator'!A878,'Lorri 401b'!N:N,0),0)</f>
        <v>-9080431.1873798165</v>
      </c>
      <c r="S878" s="25">
        <f t="shared" ca="1" si="787"/>
        <v>-8699399.9928905666</v>
      </c>
    </row>
    <row r="879" spans="1:19" ht="15.75" customHeight="1" x14ac:dyDescent="0.3">
      <c r="A879" s="37">
        <v>77707</v>
      </c>
      <c r="B879" s="398">
        <f t="shared" ref="B879:C879" si="890">($A879-B$9)/365.25</f>
        <v>130.87200547570157</v>
      </c>
      <c r="C879" s="398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3254.2644699519233</v>
      </c>
      <c r="H879" s="25">
        <f>IF(B879&lt;62,0,'Combined Retirement'!$I$14)</f>
        <v>2345</v>
      </c>
      <c r="I879" s="25">
        <f>IF(C879&lt;62,0,'Combined Retirement'!$I$13)</f>
        <v>2420</v>
      </c>
      <c r="J879" s="25">
        <f t="shared" si="783"/>
        <v>7896.2379798201846</v>
      </c>
      <c r="K879" s="25">
        <f t="shared" si="784"/>
        <v>20367.195264578786</v>
      </c>
      <c r="L879" s="25"/>
      <c r="N879" s="25">
        <f>'Combined Retirement'!$C$18/12</f>
        <v>39153.069999999992</v>
      </c>
      <c r="O879" s="25">
        <f t="shared" si="785"/>
        <v>10889.636755601023</v>
      </c>
      <c r="P879" s="25">
        <f t="shared" si="786"/>
        <v>28263.43324439897</v>
      </c>
      <c r="Q879" s="25">
        <f t="array" aca="1" ref="Q879" ca="1">INDEX('Isaac 401k'!L:L,MATCH('Retirement Calculator'!A879,'Isaac 401k'!N:N,0),0)</f>
        <v>374689.68549488555</v>
      </c>
      <c r="R879" s="25">
        <f t="array" aca="1" ref="R879" ca="1">INDEX('Lorri 401b'!L:L,MATCH('Retirement Calculator'!A879,'Lorri 401b'!N:N,0),0)</f>
        <v>-9138718.3759054132</v>
      </c>
      <c r="S879" s="25">
        <f t="shared" ca="1" si="787"/>
        <v>-8764028.6904105283</v>
      </c>
    </row>
    <row r="880" spans="1:19" ht="15.75" customHeight="1" x14ac:dyDescent="0.3">
      <c r="A880" s="37">
        <v>77738</v>
      </c>
      <c r="B880" s="398">
        <f t="shared" ref="B880:C880" si="891">($A880-B$9)/365.25</f>
        <v>130.95687885010267</v>
      </c>
      <c r="C880" s="398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3254.2644699519233</v>
      </c>
      <c r="H880" s="25">
        <f>IF(B880&lt;62,0,'Combined Retirement'!$I$14)</f>
        <v>2345</v>
      </c>
      <c r="I880" s="25">
        <f>IF(C880&lt;62,0,'Combined Retirement'!$I$13)</f>
        <v>2420</v>
      </c>
      <c r="J880" s="25">
        <f t="shared" si="783"/>
        <v>7896.2379798201846</v>
      </c>
      <c r="K880" s="25">
        <f t="shared" si="784"/>
        <v>20367.195264578786</v>
      </c>
      <c r="L880" s="25"/>
      <c r="N880" s="25">
        <f>'Combined Retirement'!$C$18/12</f>
        <v>39153.069999999992</v>
      </c>
      <c r="O880" s="25">
        <f t="shared" si="785"/>
        <v>10889.636755601023</v>
      </c>
      <c r="P880" s="25">
        <f t="shared" si="786"/>
        <v>28263.43324439897</v>
      </c>
      <c r="Q880" s="25">
        <f t="array" aca="1" ref="Q880" ca="1">INDEX('Isaac 401k'!L:L,MATCH('Retirement Calculator'!A880,'Isaac 401k'!N:N,0),0)</f>
        <v>368321.75354637817</v>
      </c>
      <c r="R880" s="25">
        <f t="array" aca="1" ref="R880" ca="1">INDEX('Lorri 401b'!L:L,MATCH('Retirement Calculator'!A880,'Lorri 401b'!N:N,0),0)</f>
        <v>-9197248.4277165327</v>
      </c>
      <c r="S880" s="25">
        <f t="shared" ca="1" si="787"/>
        <v>-8828926.6741701551</v>
      </c>
    </row>
    <row r="881" spans="1:19" ht="15.75" customHeight="1" x14ac:dyDescent="0.3">
      <c r="A881" s="37">
        <v>77768</v>
      </c>
      <c r="B881" s="398">
        <f t="shared" ref="B881:C881" si="892">($A881-B$9)/365.25</f>
        <v>131.03901437371664</v>
      </c>
      <c r="C881" s="398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3254.2644699519233</v>
      </c>
      <c r="H881" s="25">
        <f>IF(B881&lt;62,0,'Combined Retirement'!$I$14)</f>
        <v>2345</v>
      </c>
      <c r="I881" s="25">
        <f>IF(C881&lt;62,0,'Combined Retirement'!$I$13)</f>
        <v>2420</v>
      </c>
      <c r="J881" s="25">
        <f t="shared" si="783"/>
        <v>7896.2379798201846</v>
      </c>
      <c r="K881" s="25">
        <f t="shared" si="784"/>
        <v>20367.195264578786</v>
      </c>
      <c r="L881" s="25"/>
      <c r="N881" s="25">
        <f>'Combined Retirement'!$C$18/12</f>
        <v>39153.069999999992</v>
      </c>
      <c r="O881" s="25">
        <f t="shared" si="785"/>
        <v>10889.636755601023</v>
      </c>
      <c r="P881" s="25">
        <f t="shared" si="786"/>
        <v>28263.43324439897</v>
      </c>
      <c r="Q881" s="25">
        <f t="array" aca="1" ref="Q881" ca="1">INDEX('Isaac 401k'!L:L,MATCH('Retirement Calculator'!A881,'Isaac 401k'!N:N,0),0)</f>
        <v>361927.28854808531</v>
      </c>
      <c r="R881" s="25">
        <f t="array" aca="1" ref="R881" ca="1">INDEX('Lorri 401b'!L:L,MATCH('Retirement Calculator'!A881,'Lorri 401b'!N:N,0),0)</f>
        <v>-9256022.354743531</v>
      </c>
      <c r="S881" s="25">
        <f t="shared" ca="1" si="787"/>
        <v>-8894095.0661954451</v>
      </c>
    </row>
    <row r="882" spans="1:19" ht="15.75" customHeight="1" x14ac:dyDescent="0.3">
      <c r="A882" s="37">
        <v>77799</v>
      </c>
      <c r="B882" s="398">
        <f t="shared" ref="B882:C882" si="893">($A882-B$9)/365.25</f>
        <v>131.12388774811774</v>
      </c>
      <c r="C882" s="398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3254.2644699519233</v>
      </c>
      <c r="H882" s="25">
        <f>IF(B882&lt;62,0,'Combined Retirement'!$I$14)</f>
        <v>2345</v>
      </c>
      <c r="I882" s="25">
        <f>IF(C882&lt;62,0,'Combined Retirement'!$I$13)</f>
        <v>2420</v>
      </c>
      <c r="J882" s="25">
        <f t="shared" si="783"/>
        <v>7896.2379798201846</v>
      </c>
      <c r="K882" s="25">
        <f t="shared" si="784"/>
        <v>20367.195264578786</v>
      </c>
      <c r="L882" s="25"/>
      <c r="N882" s="25">
        <f>'Combined Retirement'!$C$18/12</f>
        <v>39153.069999999992</v>
      </c>
      <c r="O882" s="25">
        <f t="shared" si="785"/>
        <v>10889.636755601023</v>
      </c>
      <c r="P882" s="25">
        <f t="shared" si="786"/>
        <v>28263.43324439897</v>
      </c>
      <c r="Q882" s="25">
        <f t="array" aca="1" ref="Q882" ca="1">INDEX('Isaac 401k'!L:L,MATCH('Retirement Calculator'!A882,'Isaac 401k'!N:N,0),0)</f>
        <v>355506.17994563293</v>
      </c>
      <c r="R882" s="25">
        <f t="array" aca="1" ref="R882" ca="1">INDEX('Lorri 401b'!L:L,MATCH('Retirement Calculator'!A882,'Lorri 401b'!N:N,0),0)</f>
        <v>-9315041.1731331423</v>
      </c>
      <c r="S882" s="25">
        <f t="shared" ca="1" si="787"/>
        <v>-8959534.9931875095</v>
      </c>
    </row>
    <row r="883" spans="1:19" ht="15.75" customHeight="1" x14ac:dyDescent="0.3">
      <c r="A883" s="37">
        <v>77830</v>
      </c>
      <c r="B883" s="398">
        <f t="shared" ref="B883:C883" si="894">($A883-B$9)/365.25</f>
        <v>131.20876112251884</v>
      </c>
      <c r="C883" s="398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3254.2644699519233</v>
      </c>
      <c r="H883" s="25">
        <f>IF(B883&lt;62,0,'Combined Retirement'!$I$14)</f>
        <v>2345</v>
      </c>
      <c r="I883" s="25">
        <f>IF(C883&lt;62,0,'Combined Retirement'!$I$13)</f>
        <v>2420</v>
      </c>
      <c r="J883" s="25">
        <f t="shared" si="783"/>
        <v>7896.2379798201846</v>
      </c>
      <c r="K883" s="25">
        <f t="shared" si="784"/>
        <v>20367.195264578786</v>
      </c>
      <c r="L883" s="25"/>
      <c r="N883" s="25">
        <f>'Combined Retirement'!$C$18/12</f>
        <v>39153.069999999992</v>
      </c>
      <c r="O883" s="25">
        <f t="shared" si="785"/>
        <v>10889.636755601023</v>
      </c>
      <c r="P883" s="25">
        <f t="shared" si="786"/>
        <v>28263.43324439897</v>
      </c>
      <c r="Q883" s="25">
        <f t="array" aca="1" ref="Q883" ca="1">INDEX('Isaac 401k'!L:L,MATCH('Retirement Calculator'!A883,'Isaac 401k'!N:N,0),0)</f>
        <v>349058.31672400364</v>
      </c>
      <c r="R883" s="25">
        <f t="array" aca="1" ref="R883" ca="1">INDEX('Lorri 401b'!L:L,MATCH('Retirement Calculator'!A883,'Lorri 401b'!N:N,0),0)</f>
        <v>-9374305.9032660443</v>
      </c>
      <c r="S883" s="25">
        <f t="shared" ca="1" si="787"/>
        <v>-9025247.5865420401</v>
      </c>
    </row>
    <row r="884" spans="1:19" ht="15.75" customHeight="1" x14ac:dyDescent="0.3">
      <c r="A884" s="37">
        <v>77858</v>
      </c>
      <c r="B884" s="398">
        <f t="shared" ref="B884:C884" si="895">($A884-B$9)/365.25</f>
        <v>131.28542094455852</v>
      </c>
      <c r="C884" s="398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3254.2644699519233</v>
      </c>
      <c r="H884" s="25">
        <f>IF(B884&lt;62,0,'Combined Retirement'!$I$14)</f>
        <v>2345</v>
      </c>
      <c r="I884" s="25">
        <f>IF(C884&lt;62,0,'Combined Retirement'!$I$13)</f>
        <v>2420</v>
      </c>
      <c r="J884" s="25">
        <f t="shared" si="783"/>
        <v>7896.2379798201846</v>
      </c>
      <c r="K884" s="25">
        <f t="shared" si="784"/>
        <v>20367.195264578786</v>
      </c>
      <c r="L884" s="25"/>
      <c r="N884" s="25">
        <f>'Combined Retirement'!$C$18/12</f>
        <v>39153.069999999992</v>
      </c>
      <c r="O884" s="25">
        <f t="shared" si="785"/>
        <v>10889.636755601023</v>
      </c>
      <c r="P884" s="25">
        <f t="shared" si="786"/>
        <v>28263.43324439897</v>
      </c>
      <c r="Q884" s="25">
        <f t="array" aca="1" ref="Q884" ca="1">INDEX('Isaac 401k'!L:L,MATCH('Retirement Calculator'!A884,'Isaac 401k'!N:N,0),0)</f>
        <v>342583.58740561758</v>
      </c>
      <c r="R884" s="25">
        <f t="array" aca="1" ref="R884" ca="1">INDEX('Lorri 401b'!L:L,MATCH('Retirement Calculator'!A884,'Lorri 401b'!N:N,0),0)</f>
        <v>-9433817.5697744992</v>
      </c>
      <c r="S884" s="25">
        <f t="shared" ca="1" si="787"/>
        <v>-9091233.9823688809</v>
      </c>
    </row>
    <row r="885" spans="1:19" ht="15.75" customHeight="1" x14ac:dyDescent="0.3">
      <c r="A885" s="37">
        <v>77889</v>
      </c>
      <c r="B885" s="398">
        <f t="shared" ref="B885:C885" si="896">($A885-B$9)/365.25</f>
        <v>131.37029431895962</v>
      </c>
      <c r="C885" s="398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3254.2644699519233</v>
      </c>
      <c r="H885" s="25">
        <f>IF(B885&lt;62,0,'Combined Retirement'!$I$14)</f>
        <v>2345</v>
      </c>
      <c r="I885" s="25">
        <f>IF(C885&lt;62,0,'Combined Retirement'!$I$13)</f>
        <v>2420</v>
      </c>
      <c r="J885" s="25">
        <f t="shared" si="783"/>
        <v>7896.2379798201846</v>
      </c>
      <c r="K885" s="25">
        <f t="shared" si="784"/>
        <v>20367.195264578786</v>
      </c>
      <c r="L885" s="25"/>
      <c r="N885" s="25">
        <f>'Combined Retirement'!$C$18/12</f>
        <v>39153.069999999992</v>
      </c>
      <c r="O885" s="25">
        <f t="shared" si="785"/>
        <v>10889.636755601023</v>
      </c>
      <c r="P885" s="25">
        <f t="shared" si="786"/>
        <v>28263.43324439897</v>
      </c>
      <c r="Q885" s="25">
        <f t="array" aca="1" ref="Q885" ca="1">INDEX('Isaac 401k'!L:L,MATCH('Retirement Calculator'!A885,'Isaac 401k'!N:N,0),0)</f>
        <v>336081.88004840491</v>
      </c>
      <c r="R885" s="25">
        <f t="array" aca="1" ref="R885" ca="1">INDEX('Lorri 401b'!L:L,MATCH('Retirement Calculator'!A885,'Lorri 401b'!N:N,0),0)</f>
        <v>-9493577.2015600726</v>
      </c>
      <c r="S885" s="25">
        <f t="shared" ca="1" si="787"/>
        <v>-9157495.3215116672</v>
      </c>
    </row>
    <row r="886" spans="1:19" ht="15.75" customHeight="1" x14ac:dyDescent="0.3">
      <c r="A886" s="37">
        <v>77919</v>
      </c>
      <c r="B886" s="398">
        <f t="shared" ref="B886:C886" si="897">($A886-B$9)/365.25</f>
        <v>131.45242984257359</v>
      </c>
      <c r="C886" s="398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3254.2644699519233</v>
      </c>
      <c r="H886" s="25">
        <f>IF(B886&lt;62,0,'Combined Retirement'!$I$14)</f>
        <v>2345</v>
      </c>
      <c r="I886" s="25">
        <f>IF(C886&lt;62,0,'Combined Retirement'!$I$13)</f>
        <v>2420</v>
      </c>
      <c r="J886" s="25">
        <f t="shared" si="783"/>
        <v>7896.2379798201846</v>
      </c>
      <c r="K886" s="25">
        <f t="shared" si="784"/>
        <v>20367.195264578786</v>
      </c>
      <c r="L886" s="25"/>
      <c r="N886" s="25">
        <f>'Combined Retirement'!$C$18/12</f>
        <v>39153.069999999992</v>
      </c>
      <c r="O886" s="25">
        <f t="shared" si="785"/>
        <v>10889.636755601023</v>
      </c>
      <c r="P886" s="25">
        <f t="shared" si="786"/>
        <v>28263.43324439897</v>
      </c>
      <c r="Q886" s="25">
        <f t="array" aca="1" ref="Q886" ca="1">INDEX('Isaac 401k'!L:L,MATCH('Retirement Calculator'!A886,'Isaac 401k'!N:N,0),0)</f>
        <v>329553.08224387054</v>
      </c>
      <c r="R886" s="25">
        <f t="array" aca="1" ref="R886" ca="1">INDEX('Lorri 401b'!L:L,MATCH('Retirement Calculator'!A886,'Lorri 401b'!N:N,0),0)</f>
        <v>-9553585.8318114206</v>
      </c>
      <c r="S886" s="25">
        <f t="shared" ca="1" si="787"/>
        <v>-9224032.7495675497</v>
      </c>
    </row>
    <row r="887" spans="1:19" ht="15.75" customHeight="1" x14ac:dyDescent="0.3">
      <c r="A887" s="37">
        <v>77950</v>
      </c>
      <c r="B887" s="398">
        <f t="shared" ref="B887:C887" si="898">($A887-B$9)/365.25</f>
        <v>131.53730321697466</v>
      </c>
      <c r="C887" s="398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3254.2644699519233</v>
      </c>
      <c r="H887" s="25">
        <f>IF(B887&lt;62,0,'Combined Retirement'!$I$14)</f>
        <v>2345</v>
      </c>
      <c r="I887" s="25">
        <f>IF(C887&lt;62,0,'Combined Retirement'!$I$13)</f>
        <v>2420</v>
      </c>
      <c r="J887" s="25">
        <f t="shared" si="783"/>
        <v>7896.2379798201846</v>
      </c>
      <c r="K887" s="25">
        <f t="shared" si="784"/>
        <v>20367.195264578786</v>
      </c>
      <c r="L887" s="25"/>
      <c r="N887" s="25">
        <f>'Combined Retirement'!$C$18/12</f>
        <v>39153.069999999992</v>
      </c>
      <c r="O887" s="25">
        <f t="shared" si="785"/>
        <v>10889.636755601023</v>
      </c>
      <c r="P887" s="25">
        <f t="shared" si="786"/>
        <v>28263.43324439897</v>
      </c>
      <c r="Q887" s="25">
        <f t="array" aca="1" ref="Q887" ca="1">INDEX('Isaac 401k'!L:L,MATCH('Retirement Calculator'!A887,'Isaac 401k'!N:N,0),0)</f>
        <v>322997.08111515059</v>
      </c>
      <c r="R887" s="25">
        <f t="array" aca="1" ref="R887" ca="1">INDEX('Lorri 401b'!L:L,MATCH('Retirement Calculator'!A887,'Lorri 401b'!N:N,0),0)</f>
        <v>-9613844.4980221484</v>
      </c>
      <c r="S887" s="25">
        <f t="shared" ca="1" si="787"/>
        <v>-9290847.4169069976</v>
      </c>
    </row>
    <row r="888" spans="1:19" ht="15.75" customHeight="1" x14ac:dyDescent="0.3">
      <c r="A888" s="37">
        <v>77980</v>
      </c>
      <c r="B888" s="398">
        <f t="shared" ref="B888:C888" si="899">($A888-B$9)/365.25</f>
        <v>131.61943874058863</v>
      </c>
      <c r="C888" s="398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3254.2644699519233</v>
      </c>
      <c r="H888" s="25">
        <f>IF(B888&lt;62,0,'Combined Retirement'!$I$14)</f>
        <v>2345</v>
      </c>
      <c r="I888" s="25">
        <f>IF(C888&lt;62,0,'Combined Retirement'!$I$13)</f>
        <v>2420</v>
      </c>
      <c r="J888" s="25">
        <f t="shared" si="783"/>
        <v>7896.2379798201846</v>
      </c>
      <c r="K888" s="25">
        <f t="shared" si="784"/>
        <v>20367.195264578786</v>
      </c>
      <c r="L888" s="25"/>
      <c r="N888" s="25">
        <f>'Combined Retirement'!$C$18/12</f>
        <v>39153.069999999992</v>
      </c>
      <c r="O888" s="25">
        <f t="shared" si="785"/>
        <v>10889.636755601023</v>
      </c>
      <c r="P888" s="25">
        <f t="shared" si="786"/>
        <v>28263.43324439897</v>
      </c>
      <c r="Q888" s="25">
        <f t="array" aca="1" ref="Q888" ca="1">INDEX('Isaac 401k'!L:L,MATCH('Retirement Calculator'!A888,'Isaac 401k'!N:N,0),0)</f>
        <v>316413.76331506099</v>
      </c>
      <c r="R888" s="25">
        <f t="array" aca="1" ref="R888" ca="1">INDEX('Lorri 401b'!L:L,MATCH('Retirement Calculator'!A888,'Lorri 401b'!N:N,0),0)</f>
        <v>-9674354.242008755</v>
      </c>
      <c r="S888" s="25">
        <f t="shared" ca="1" si="787"/>
        <v>-9357940.4786936939</v>
      </c>
    </row>
    <row r="889" spans="1:19" ht="15.75" customHeight="1" x14ac:dyDescent="0.3">
      <c r="A889" s="37">
        <v>78011</v>
      </c>
      <c r="B889" s="398">
        <f t="shared" ref="B889:C889" si="900">($A889-B$9)/365.25</f>
        <v>131.70431211498973</v>
      </c>
      <c r="C889" s="398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3254.2644699519233</v>
      </c>
      <c r="H889" s="25">
        <f>IF(B889&lt;62,0,'Combined Retirement'!$I$14)</f>
        <v>2345</v>
      </c>
      <c r="I889" s="25">
        <f>IF(C889&lt;62,0,'Combined Retirement'!$I$13)</f>
        <v>2420</v>
      </c>
      <c r="J889" s="25">
        <f t="shared" si="783"/>
        <v>7896.2379798201846</v>
      </c>
      <c r="K889" s="25">
        <f t="shared" si="784"/>
        <v>20367.195264578786</v>
      </c>
      <c r="L889" s="25"/>
      <c r="N889" s="25">
        <f>'Combined Retirement'!$C$18/12</f>
        <v>39153.069999999992</v>
      </c>
      <c r="O889" s="25">
        <f t="shared" si="785"/>
        <v>10889.636755601023</v>
      </c>
      <c r="P889" s="25">
        <f t="shared" si="786"/>
        <v>28263.43324439897</v>
      </c>
      <c r="Q889" s="25">
        <f t="array" aca="1" ref="Q889" ca="1">INDEX('Isaac 401k'!L:L,MATCH('Retirement Calculator'!A889,'Isaac 401k'!N:N,0),0)</f>
        <v>309803.01502413768</v>
      </c>
      <c r="R889" s="25">
        <f t="array" aca="1" ref="R889" ca="1">INDEX('Lorri 401b'!L:L,MATCH('Retirement Calculator'!A889,'Lorri 401b'!N:N,0),0)</f>
        <v>-9735116.1099286377</v>
      </c>
      <c r="S889" s="25">
        <f t="shared" ca="1" si="787"/>
        <v>-9425313.094904501</v>
      </c>
    </row>
    <row r="890" spans="1:19" ht="15.75" customHeight="1" x14ac:dyDescent="0.3">
      <c r="A890" s="37">
        <v>78042</v>
      </c>
      <c r="B890" s="398">
        <f t="shared" ref="B890:C890" si="901">($A890-B$9)/365.25</f>
        <v>131.78918548939083</v>
      </c>
      <c r="C890" s="398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3254.2644699519233</v>
      </c>
      <c r="H890" s="25">
        <f>IF(B890&lt;62,0,'Combined Retirement'!$I$14)</f>
        <v>2345</v>
      </c>
      <c r="I890" s="25">
        <f>IF(C890&lt;62,0,'Combined Retirement'!$I$13)</f>
        <v>2420</v>
      </c>
      <c r="J890" s="25">
        <f t="shared" si="783"/>
        <v>7896.2379798201846</v>
      </c>
      <c r="K890" s="25">
        <f t="shared" si="784"/>
        <v>20367.195264578786</v>
      </c>
      <c r="L890" s="25"/>
      <c r="N890" s="25">
        <f>'Combined Retirement'!$C$18/12</f>
        <v>39153.069999999992</v>
      </c>
      <c r="O890" s="25">
        <f t="shared" si="785"/>
        <v>10889.636755601023</v>
      </c>
      <c r="P890" s="25">
        <f t="shared" si="786"/>
        <v>28263.43324439897</v>
      </c>
      <c r="Q890" s="25">
        <f t="array" aca="1" ref="Q890" ca="1">INDEX('Isaac 401k'!L:L,MATCH('Retirement Calculator'!A890,'Isaac 401k'!N:N,0),0)</f>
        <v>303164.72194866883</v>
      </c>
      <c r="R890" s="25">
        <f t="array" aca="1" ref="R890" ca="1">INDEX('Lorri 401b'!L:L,MATCH('Retirement Calculator'!A890,'Lorri 401b'!N:N,0),0)</f>
        <v>-9796131.1522981878</v>
      </c>
      <c r="S890" s="25">
        <f t="shared" ca="1" si="787"/>
        <v>-9492966.4303495195</v>
      </c>
    </row>
    <row r="891" spans="1:19" ht="15.75" customHeight="1" x14ac:dyDescent="0.3">
      <c r="A891" s="37">
        <v>78072</v>
      </c>
      <c r="B891" s="398">
        <f t="shared" ref="B891:C891" si="902">($A891-B$9)/365.25</f>
        <v>131.8713210130048</v>
      </c>
      <c r="C891" s="398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3254.2644699519233</v>
      </c>
      <c r="H891" s="25">
        <f>IF(B891&lt;62,0,'Combined Retirement'!$I$14)</f>
        <v>2345</v>
      </c>
      <c r="I891" s="25">
        <f>IF(C891&lt;62,0,'Combined Retirement'!$I$13)</f>
        <v>2420</v>
      </c>
      <c r="J891" s="25">
        <f t="shared" si="783"/>
        <v>7896.2379798201846</v>
      </c>
      <c r="K891" s="25">
        <f t="shared" si="784"/>
        <v>20367.195264578786</v>
      </c>
      <c r="L891" s="25"/>
      <c r="N891" s="25">
        <f>'Combined Retirement'!$C$18/12</f>
        <v>39153.069999999992</v>
      </c>
      <c r="O891" s="25">
        <f t="shared" si="785"/>
        <v>10889.636755601023</v>
      </c>
      <c r="P891" s="25">
        <f t="shared" si="786"/>
        <v>28263.43324439897</v>
      </c>
      <c r="Q891" s="25">
        <f t="array" aca="1" ref="Q891" ca="1">INDEX('Isaac 401k'!L:L,MATCH('Retirement Calculator'!A891,'Isaac 401k'!N:N,0),0)</f>
        <v>296498.76931871887</v>
      </c>
      <c r="R891" s="25">
        <f t="array" aca="1" ref="R891" ca="1">INDEX('Lorri 401b'!L:L,MATCH('Retirement Calculator'!A891,'Lorri 401b'!N:N,0),0)</f>
        <v>-9857400.4240109436</v>
      </c>
      <c r="S891" s="25">
        <f t="shared" ca="1" si="787"/>
        <v>-9560901.6546922252</v>
      </c>
    </row>
    <row r="892" spans="1:19" ht="15.75" customHeight="1" x14ac:dyDescent="0.3">
      <c r="A892" s="37">
        <v>78103</v>
      </c>
      <c r="B892" s="398">
        <f t="shared" ref="B892:C892" si="903">($A892-B$9)/365.25</f>
        <v>131.95619438740587</v>
      </c>
      <c r="C892" s="398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3254.2644699519233</v>
      </c>
      <c r="H892" s="25">
        <f>IF(B892&lt;62,0,'Combined Retirement'!$I$14)</f>
        <v>2345</v>
      </c>
      <c r="I892" s="25">
        <f>IF(C892&lt;62,0,'Combined Retirement'!$I$13)</f>
        <v>2420</v>
      </c>
      <c r="J892" s="25">
        <f t="shared" si="783"/>
        <v>7896.2379798201846</v>
      </c>
      <c r="K892" s="25">
        <f t="shared" si="784"/>
        <v>20367.195264578786</v>
      </c>
      <c r="L892" s="25"/>
      <c r="N892" s="25">
        <f>'Combined Retirement'!$C$18/12</f>
        <v>39153.069999999992</v>
      </c>
      <c r="O892" s="25">
        <f t="shared" si="785"/>
        <v>10889.636755601023</v>
      </c>
      <c r="P892" s="25">
        <f t="shared" si="786"/>
        <v>28263.43324439897</v>
      </c>
      <c r="Q892" s="25">
        <f t="array" aca="1" ref="Q892" ca="1">INDEX('Isaac 401k'!L:L,MATCH('Retirement Calculator'!A892,'Isaac 401k'!N:N,0),0)</f>
        <v>289805.04188614408</v>
      </c>
      <c r="R892" s="25">
        <f t="array" aca="1" ref="R892" ca="1">INDEX('Lorri 401b'!L:L,MATCH('Retirement Calculator'!A892,'Lorri 401b'!N:N,0),0)</f>
        <v>-9918924.9843558352</v>
      </c>
      <c r="S892" s="25">
        <f t="shared" ca="1" si="787"/>
        <v>-9629119.9424696919</v>
      </c>
    </row>
    <row r="893" spans="1:19" ht="15.75" customHeight="1" x14ac:dyDescent="0.3">
      <c r="A893" s="37">
        <v>78133</v>
      </c>
      <c r="B893" s="398">
        <f t="shared" ref="B893:C893" si="904">($A893-B$9)/365.25</f>
        <v>132.03832991101984</v>
      </c>
      <c r="C893" s="398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3254.2644699519233</v>
      </c>
      <c r="H893" s="25">
        <f>IF(B893&lt;62,0,'Combined Retirement'!$I$14)</f>
        <v>2345</v>
      </c>
      <c r="I893" s="25">
        <f>IF(C893&lt;62,0,'Combined Retirement'!$I$13)</f>
        <v>2420</v>
      </c>
      <c r="J893" s="25">
        <f t="shared" si="783"/>
        <v>7896.2379798201846</v>
      </c>
      <c r="K893" s="25">
        <f t="shared" si="784"/>
        <v>20367.195264578786</v>
      </c>
      <c r="L893" s="25"/>
      <c r="N893" s="25">
        <f>'Combined Retirement'!$C$18/12</f>
        <v>39153.069999999992</v>
      </c>
      <c r="O893" s="25">
        <f t="shared" si="785"/>
        <v>10889.636755601023</v>
      </c>
      <c r="P893" s="25">
        <f t="shared" si="786"/>
        <v>28263.43324439897</v>
      </c>
      <c r="Q893" s="25">
        <f t="array" aca="1" ref="Q893" ca="1">INDEX('Isaac 401k'!L:L,MATCH('Retirement Calculator'!A893,'Isaac 401k'!N:N,0),0)</f>
        <v>283083.42392260028</v>
      </c>
      <c r="R893" s="25">
        <f t="array" aca="1" ref="R893" ca="1">INDEX('Lorri 401b'!L:L,MATCH('Retirement Calculator'!A893,'Lorri 401b'!N:N,0),0)</f>
        <v>-9980705.8970354982</v>
      </c>
      <c r="S893" s="25">
        <f t="shared" ca="1" si="787"/>
        <v>-9697622.4731128979</v>
      </c>
    </row>
    <row r="894" spans="1:19" ht="15.75" customHeight="1" x14ac:dyDescent="0.3">
      <c r="A894" s="37">
        <v>78164</v>
      </c>
      <c r="B894" s="398">
        <f t="shared" ref="B894:C894" si="905">($A894-B$9)/365.25</f>
        <v>132.12320328542094</v>
      </c>
      <c r="C894" s="398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3254.2644699519233</v>
      </c>
      <c r="H894" s="25">
        <f>IF(B894&lt;62,0,'Combined Retirement'!$I$14)</f>
        <v>2345</v>
      </c>
      <c r="I894" s="25">
        <f>IF(C894&lt;62,0,'Combined Retirement'!$I$13)</f>
        <v>2420</v>
      </c>
      <c r="J894" s="25">
        <f t="shared" si="783"/>
        <v>7896.2379798201846</v>
      </c>
      <c r="K894" s="25">
        <f t="shared" si="784"/>
        <v>20367.195264578786</v>
      </c>
      <c r="L894" s="25"/>
      <c r="N894" s="25">
        <f>'Combined Retirement'!$C$18/12</f>
        <v>39153.069999999992</v>
      </c>
      <c r="O894" s="25">
        <f t="shared" si="785"/>
        <v>10889.636755601023</v>
      </c>
      <c r="P894" s="25">
        <f t="shared" si="786"/>
        <v>28263.43324439897</v>
      </c>
      <c r="Q894" s="25">
        <f t="array" aca="1" ref="Q894" ca="1">INDEX('Isaac 401k'!L:L,MATCH('Retirement Calculator'!A894,'Isaac 401k'!N:N,0),0)</f>
        <v>276333.7992175417</v>
      </c>
      <c r="R894" s="25">
        <f t="array" aca="1" ref="R894" ca="1">INDEX('Lorri 401b'!L:L,MATCH('Retirement Calculator'!A894,'Lorri 401b'!N:N,0),0)</f>
        <v>-10042744.230184659</v>
      </c>
      <c r="S894" s="25">
        <f t="shared" ca="1" si="787"/>
        <v>-9766410.4309671186</v>
      </c>
    </row>
    <row r="895" spans="1:19" ht="15.75" customHeight="1" x14ac:dyDescent="0.3">
      <c r="A895" s="37">
        <v>78195</v>
      </c>
      <c r="B895" s="398">
        <f t="shared" ref="B895:C895" si="906">($A895-B$9)/365.25</f>
        <v>132.20807665982204</v>
      </c>
      <c r="C895" s="398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3254.2644699519233</v>
      </c>
      <c r="H895" s="25">
        <f>IF(B895&lt;62,0,'Combined Retirement'!$I$14)</f>
        <v>2345</v>
      </c>
      <c r="I895" s="25">
        <f>IF(C895&lt;62,0,'Combined Retirement'!$I$13)</f>
        <v>2420</v>
      </c>
      <c r="J895" s="25">
        <f t="shared" si="783"/>
        <v>7896.2379798201846</v>
      </c>
      <c r="K895" s="25">
        <f t="shared" si="784"/>
        <v>20367.195264578786</v>
      </c>
      <c r="L895" s="25"/>
      <c r="N895" s="25">
        <f>'Combined Retirement'!$C$18/12</f>
        <v>39153.069999999992</v>
      </c>
      <c r="O895" s="25">
        <f t="shared" si="785"/>
        <v>10889.636755601023</v>
      </c>
      <c r="P895" s="25">
        <f t="shared" si="786"/>
        <v>28263.43324439897</v>
      </c>
      <c r="Q895" s="25">
        <f t="array" aca="1" ref="Q895" ca="1">INDEX('Isaac 401k'!L:L,MATCH('Retirement Calculator'!A895,'Isaac 401k'!N:N,0),0)</f>
        <v>269556.05107621202</v>
      </c>
      <c r="R895" s="25">
        <f t="array" aca="1" ref="R895" ca="1">INDEX('Lorri 401b'!L:L,MATCH('Retirement Calculator'!A895,'Lorri 401b'!N:N,0),0)</f>
        <v>-10105041.056388609</v>
      </c>
      <c r="S895" s="25">
        <f t="shared" ca="1" si="787"/>
        <v>-9835485.0053123962</v>
      </c>
    </row>
    <row r="896" spans="1:19" ht="15.75" customHeight="1" x14ac:dyDescent="0.3">
      <c r="A896" s="37">
        <v>78223</v>
      </c>
      <c r="B896" s="398">
        <f t="shared" ref="B896:C896" si="907">($A896-B$9)/365.25</f>
        <v>132.28473648186173</v>
      </c>
      <c r="C896" s="398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3254.2644699519233</v>
      </c>
      <c r="H896" s="25">
        <f>IF(B896&lt;62,0,'Combined Retirement'!$I$14)</f>
        <v>2345</v>
      </c>
      <c r="I896" s="25">
        <f>IF(C896&lt;62,0,'Combined Retirement'!$I$13)</f>
        <v>2420</v>
      </c>
      <c r="J896" s="25">
        <f t="shared" si="783"/>
        <v>7896.2379798201846</v>
      </c>
      <c r="K896" s="25">
        <f t="shared" si="784"/>
        <v>20367.195264578786</v>
      </c>
      <c r="L896" s="25"/>
      <c r="N896" s="25">
        <f>'Combined Retirement'!$C$18/12</f>
        <v>39153.069999999992</v>
      </c>
      <c r="O896" s="25">
        <f t="shared" si="785"/>
        <v>10889.636755601023</v>
      </c>
      <c r="P896" s="25">
        <f t="shared" si="786"/>
        <v>28263.43324439897</v>
      </c>
      <c r="Q896" s="25">
        <f t="array" aca="1" ref="Q896" ca="1">INDEX('Isaac 401k'!L:L,MATCH('Retirement Calculator'!A896,'Isaac 401k'!N:N,0),0)</f>
        <v>262750.06231762684</v>
      </c>
      <c r="R896" s="25">
        <f t="array" aca="1" ref="R896" ca="1">INDEX('Lorri 401b'!L:L,MATCH('Retirement Calculator'!A896,'Lorri 401b'!N:N,0),0)</f>
        <v>-10167597.452701742</v>
      </c>
      <c r="S896" s="25">
        <f t="shared" ca="1" si="787"/>
        <v>-9904847.3903841153</v>
      </c>
    </row>
    <row r="897" spans="1:19" ht="15.75" customHeight="1" x14ac:dyDescent="0.3">
      <c r="A897" s="37">
        <v>78254</v>
      </c>
      <c r="B897" s="398">
        <f t="shared" ref="B897:C897" si="908">($A897-B$9)/365.25</f>
        <v>132.36960985626283</v>
      </c>
      <c r="C897" s="398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3254.2644699519233</v>
      </c>
      <c r="H897" s="25">
        <f>IF(B897&lt;62,0,'Combined Retirement'!$I$14)</f>
        <v>2345</v>
      </c>
      <c r="I897" s="25">
        <f>IF(C897&lt;62,0,'Combined Retirement'!$I$13)</f>
        <v>2420</v>
      </c>
      <c r="J897" s="25">
        <f t="shared" si="783"/>
        <v>7896.2379798201846</v>
      </c>
      <c r="K897" s="25">
        <f t="shared" si="784"/>
        <v>20367.195264578786</v>
      </c>
      <c r="L897" s="25"/>
      <c r="N897" s="25">
        <f>'Combined Retirement'!$C$18/12</f>
        <v>39153.069999999992</v>
      </c>
      <c r="O897" s="25">
        <f t="shared" si="785"/>
        <v>10889.636755601023</v>
      </c>
      <c r="P897" s="25">
        <f t="shared" si="786"/>
        <v>28263.43324439897</v>
      </c>
      <c r="Q897" s="25">
        <f t="array" aca="1" ref="Q897" ca="1">INDEX('Isaac 401k'!L:L,MATCH('Retirement Calculator'!A897,'Isaac 401k'!N:N,0),0)</f>
        <v>255915.71527254753</v>
      </c>
      <c r="R897" s="25">
        <f t="array" aca="1" ref="R897" ca="1">INDEX('Lorri 401b'!L:L,MATCH('Retirement Calculator'!A897,'Lorri 401b'!N:N,0),0)</f>
        <v>-10230414.500666179</v>
      </c>
      <c r="S897" s="25">
        <f t="shared" ca="1" si="787"/>
        <v>-9974498.7853936311</v>
      </c>
    </row>
    <row r="898" spans="1:19" ht="15.75" customHeight="1" x14ac:dyDescent="0.3">
      <c r="A898" s="37">
        <v>78284</v>
      </c>
      <c r="B898" s="398">
        <f t="shared" ref="B898:C898" si="909">($A898-B$9)/365.25</f>
        <v>132.4517453798768</v>
      </c>
      <c r="C898" s="398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3254.2644699519233</v>
      </c>
      <c r="H898" s="25">
        <f>IF(B898&lt;62,0,'Combined Retirement'!$I$14)</f>
        <v>2345</v>
      </c>
      <c r="I898" s="25">
        <f>IF(C898&lt;62,0,'Combined Retirement'!$I$13)</f>
        <v>2420</v>
      </c>
      <c r="J898" s="25">
        <f t="shared" si="783"/>
        <v>7896.2379798201846</v>
      </c>
      <c r="K898" s="25">
        <f t="shared" si="784"/>
        <v>20367.195264578786</v>
      </c>
      <c r="L898" s="25"/>
      <c r="N898" s="25">
        <f>'Combined Retirement'!$C$18/12</f>
        <v>39153.069999999992</v>
      </c>
      <c r="O898" s="25">
        <f t="shared" si="785"/>
        <v>10889.636755601023</v>
      </c>
      <c r="P898" s="25">
        <f t="shared" si="786"/>
        <v>28263.43324439897</v>
      </c>
      <c r="Q898" s="25">
        <f t="array" aca="1" ref="Q898" ca="1">INDEX('Isaac 401k'!L:L,MATCH('Retirement Calculator'!A898,'Isaac 401k'!N:N,0),0)</f>
        <v>249052.89178144705</v>
      </c>
      <c r="R898" s="25">
        <f t="array" aca="1" ref="R898" ca="1">INDEX('Lorri 401b'!L:L,MATCH('Retirement Calculator'!A898,'Lorri 401b'!N:N,0),0)</f>
        <v>-10293493.286330469</v>
      </c>
      <c r="S898" s="25">
        <f t="shared" ca="1" si="787"/>
        <v>-10044440.394549021</v>
      </c>
    </row>
    <row r="899" spans="1:19" ht="15.75" customHeight="1" x14ac:dyDescent="0.3">
      <c r="A899" s="37">
        <v>78315</v>
      </c>
      <c r="B899" s="398">
        <f t="shared" ref="B899:C899" si="910">($A899-B$9)/365.25</f>
        <v>132.5366187542779</v>
      </c>
      <c r="C899" s="398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3254.2644699519233</v>
      </c>
      <c r="H899" s="25">
        <f>IF(B899&lt;62,0,'Combined Retirement'!$I$14)</f>
        <v>2345</v>
      </c>
      <c r="I899" s="25">
        <f>IF(C899&lt;62,0,'Combined Retirement'!$I$13)</f>
        <v>2420</v>
      </c>
      <c r="J899" s="25">
        <f t="shared" si="783"/>
        <v>7896.2379798201846</v>
      </c>
      <c r="K899" s="25">
        <f t="shared" si="784"/>
        <v>20367.195264578786</v>
      </c>
      <c r="L899" s="25"/>
      <c r="N899" s="25">
        <f>'Combined Retirement'!$C$18/12</f>
        <v>39153.069999999992</v>
      </c>
      <c r="O899" s="25">
        <f t="shared" si="785"/>
        <v>10889.636755601023</v>
      </c>
      <c r="P899" s="25">
        <f t="shared" si="786"/>
        <v>28263.43324439897</v>
      </c>
      <c r="Q899" s="25">
        <f t="array" aca="1" ref="Q899" ca="1">INDEX('Isaac 401k'!L:L,MATCH('Retirement Calculator'!A899,'Isaac 401k'!N:N,0),0)</f>
        <v>242161.47319246698</v>
      </c>
      <c r="R899" s="25">
        <f t="array" aca="1" ref="R899" ca="1">INDEX('Lorri 401b'!L:L,MATCH('Retirement Calculator'!A899,'Lorri 401b'!N:N,0),0)</f>
        <v>-10356834.900268359</v>
      </c>
      <c r="S899" s="25">
        <f t="shared" ca="1" si="787"/>
        <v>-10114673.427075893</v>
      </c>
    </row>
    <row r="900" spans="1:19" ht="15.75" customHeight="1" x14ac:dyDescent="0.3">
      <c r="A900" s="37">
        <v>78345</v>
      </c>
      <c r="B900" s="398">
        <f t="shared" ref="B900:C900" si="911">($A900-B$9)/365.25</f>
        <v>132.61875427789187</v>
      </c>
      <c r="C900" s="398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3254.2644699519233</v>
      </c>
      <c r="H900" s="25">
        <f>IF(B900&lt;62,0,'Combined Retirement'!$I$14)</f>
        <v>2345</v>
      </c>
      <c r="I900" s="25">
        <f>IF(C900&lt;62,0,'Combined Retirement'!$I$13)</f>
        <v>2420</v>
      </c>
      <c r="J900" s="25">
        <f t="shared" si="783"/>
        <v>7896.2379798201846</v>
      </c>
      <c r="K900" s="25">
        <f t="shared" si="784"/>
        <v>20367.195264578786</v>
      </c>
      <c r="L900" s="25"/>
      <c r="N900" s="25">
        <f>'Combined Retirement'!$C$18/12</f>
        <v>39153.069999999992</v>
      </c>
      <c r="O900" s="25">
        <f t="shared" si="785"/>
        <v>10889.636755601023</v>
      </c>
      <c r="P900" s="25">
        <f t="shared" si="786"/>
        <v>28263.43324439897</v>
      </c>
      <c r="Q900" s="25">
        <f t="array" aca="1" ref="Q900" ca="1">INDEX('Isaac 401k'!L:L,MATCH('Retirement Calculator'!A900,'Isaac 401k'!N:N,0),0)</f>
        <v>235241.34035936618</v>
      </c>
      <c r="R900" s="25">
        <f t="array" aca="1" ref="R900" ca="1">INDEX('Lorri 401b'!L:L,MATCH('Retirement Calculator'!A900,'Lorri 401b'!N:N,0),0)</f>
        <v>-10420440.437597657</v>
      </c>
      <c r="S900" s="25">
        <f t="shared" ca="1" si="787"/>
        <v>-10185199.097238291</v>
      </c>
    </row>
    <row r="901" spans="1:19" ht="15.75" customHeight="1" x14ac:dyDescent="0.3">
      <c r="A901" s="37">
        <v>78376</v>
      </c>
      <c r="B901" s="398">
        <f t="shared" ref="B901:C901" si="912">($A901-B$9)/365.25</f>
        <v>132.70362765229294</v>
      </c>
      <c r="C901" s="398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3254.2644699519233</v>
      </c>
      <c r="H901" s="25">
        <f>IF(B901&lt;62,0,'Combined Retirement'!$I$14)</f>
        <v>2345</v>
      </c>
      <c r="I901" s="25">
        <f>IF(C901&lt;62,0,'Combined Retirement'!$I$13)</f>
        <v>2420</v>
      </c>
      <c r="J901" s="25">
        <f t="shared" si="783"/>
        <v>7896.2379798201846</v>
      </c>
      <c r="K901" s="25">
        <f t="shared" si="784"/>
        <v>20367.195264578786</v>
      </c>
      <c r="L901" s="25"/>
      <c r="N901" s="25">
        <f>'Combined Retirement'!$C$18/12</f>
        <v>39153.069999999992</v>
      </c>
      <c r="O901" s="25">
        <f t="shared" si="785"/>
        <v>10889.636755601023</v>
      </c>
      <c r="P901" s="25">
        <f t="shared" si="786"/>
        <v>28263.43324439897</v>
      </c>
      <c r="Q901" s="25">
        <f t="array" aca="1" ref="Q901" ca="1">INDEX('Isaac 401k'!L:L,MATCH('Retirement Calculator'!A901,'Isaac 401k'!N:N,0),0)</f>
        <v>228292.37363946077</v>
      </c>
      <c r="R901" s="25">
        <f t="array" aca="1" ref="R901" ca="1">INDEX('Lorri 401b'!L:L,MATCH('Retirement Calculator'!A901,'Lorri 401b'!N:N,0),0)</f>
        <v>-10484310.99799916</v>
      </c>
      <c r="S901" s="25">
        <f t="shared" ca="1" si="787"/>
        <v>-10256018.624359699</v>
      </c>
    </row>
    <row r="902" spans="1:19" ht="15.75" customHeight="1" x14ac:dyDescent="0.3">
      <c r="A902" s="37">
        <v>78407</v>
      </c>
      <c r="B902" s="398">
        <f t="shared" ref="B902:C902" si="913">($A902-B$9)/365.25</f>
        <v>132.78850102669404</v>
      </c>
      <c r="C902" s="398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3254.2644699519233</v>
      </c>
      <c r="H902" s="25">
        <f>IF(B902&lt;62,0,'Combined Retirement'!$I$14)</f>
        <v>2345</v>
      </c>
      <c r="I902" s="25">
        <f>IF(C902&lt;62,0,'Combined Retirement'!$I$13)</f>
        <v>2420</v>
      </c>
      <c r="J902" s="25">
        <f t="shared" si="783"/>
        <v>7896.2379798201846</v>
      </c>
      <c r="K902" s="25">
        <f t="shared" si="784"/>
        <v>20367.195264578786</v>
      </c>
      <c r="L902" s="25"/>
      <c r="N902" s="25">
        <f>'Combined Retirement'!$C$18/12</f>
        <v>39153.069999999992</v>
      </c>
      <c r="O902" s="25">
        <f t="shared" si="785"/>
        <v>10889.636755601023</v>
      </c>
      <c r="P902" s="25">
        <f t="shared" si="786"/>
        <v>28263.43324439897</v>
      </c>
      <c r="Q902" s="25">
        <f t="array" aca="1" ref="Q902" ca="1">INDEX('Isaac 401k'!L:L,MATCH('Retirement Calculator'!A902,'Isaac 401k'!N:N,0),0)</f>
        <v>221314.45289155576</v>
      </c>
      <c r="R902" s="25">
        <f t="array" aca="1" ref="R902" ca="1">INDEX('Lorri 401b'!L:L,MATCH('Retirement Calculator'!A902,'Lorri 401b'!N:N,0),0)</f>
        <v>-10548447.685735669</v>
      </c>
      <c r="S902" s="25">
        <f t="shared" ca="1" si="787"/>
        <v>-10327133.232844112</v>
      </c>
    </row>
    <row r="903" spans="1:19" ht="15.75" customHeight="1" x14ac:dyDescent="0.3">
      <c r="A903" s="37">
        <v>78437</v>
      </c>
      <c r="B903" s="398">
        <f t="shared" ref="B903:C903" si="914">($A903-B$9)/365.25</f>
        <v>132.87063655030801</v>
      </c>
      <c r="C903" s="398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3254.2644699519233</v>
      </c>
      <c r="H903" s="25">
        <f>IF(B903&lt;62,0,'Combined Retirement'!$I$14)</f>
        <v>2345</v>
      </c>
      <c r="I903" s="25">
        <f>IF(C903&lt;62,0,'Combined Retirement'!$I$13)</f>
        <v>2420</v>
      </c>
      <c r="J903" s="25">
        <f t="shared" si="783"/>
        <v>7896.2379798201846</v>
      </c>
      <c r="K903" s="25">
        <f t="shared" si="784"/>
        <v>20367.195264578786</v>
      </c>
      <c r="L903" s="25"/>
      <c r="N903" s="25">
        <f>'Combined Retirement'!$C$18/12</f>
        <v>39153.069999999992</v>
      </c>
      <c r="O903" s="25">
        <f t="shared" si="785"/>
        <v>10889.636755601023</v>
      </c>
      <c r="P903" s="25">
        <f t="shared" si="786"/>
        <v>28263.43324439897</v>
      </c>
      <c r="Q903" s="25">
        <f t="array" aca="1" ref="Q903" ca="1">INDEX('Isaac 401k'!L:L,MATCH('Retirement Calculator'!A903,'Isaac 401k'!N:N,0),0)</f>
        <v>214307.45747386781</v>
      </c>
      <c r="R903" s="25">
        <f t="array" aca="1" ref="R903" ca="1">INDEX('Lorri 401b'!L:L,MATCH('Retirement Calculator'!A903,'Lorri 401b'!N:N,0),0)</f>
        <v>-10612851.60967108</v>
      </c>
      <c r="S903" s="25">
        <f t="shared" ca="1" si="787"/>
        <v>-10398544.152197212</v>
      </c>
    </row>
    <row r="904" spans="1:19" ht="15.75" customHeight="1" x14ac:dyDescent="0.3">
      <c r="A904" s="37">
        <v>78468</v>
      </c>
      <c r="B904" s="398">
        <f t="shared" ref="B904:C904" si="915">($A904-B$9)/365.25</f>
        <v>132.95550992470911</v>
      </c>
      <c r="C904" s="398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3254.2644699519233</v>
      </c>
      <c r="H904" s="25">
        <f>IF(B904&lt;62,0,'Combined Retirement'!$I$14)</f>
        <v>2345</v>
      </c>
      <c r="I904" s="25">
        <f>IF(C904&lt;62,0,'Combined Retirement'!$I$13)</f>
        <v>2420</v>
      </c>
      <c r="J904" s="25">
        <f t="shared" si="783"/>
        <v>7896.2379798201846</v>
      </c>
      <c r="K904" s="25">
        <f t="shared" si="784"/>
        <v>20367.195264578786</v>
      </c>
      <c r="L904" s="25"/>
      <c r="N904" s="25">
        <f>'Combined Retirement'!$C$18/12</f>
        <v>39153.069999999992</v>
      </c>
      <c r="O904" s="25">
        <f t="shared" si="785"/>
        <v>10889.636755601023</v>
      </c>
      <c r="P904" s="25">
        <f t="shared" si="786"/>
        <v>28263.43324439897</v>
      </c>
      <c r="Q904" s="25">
        <f t="array" aca="1" ref="Q904" ca="1">INDEX('Isaac 401k'!L:L,MATCH('Retirement Calculator'!A904,'Isaac 401k'!N:N,0),0)</f>
        <v>207271.26624193951</v>
      </c>
      <c r="R904" s="25">
        <f t="array" aca="1" ref="R904" ca="1">INDEX('Lorri 401b'!L:L,MATCH('Retirement Calculator'!A904,'Lorri 401b'!N:N,0),0)</f>
        <v>-10677523.883289557</v>
      </c>
      <c r="S904" s="25">
        <f t="shared" ca="1" si="787"/>
        <v>-10470252.617047617</v>
      </c>
    </row>
    <row r="905" spans="1:19" ht="15.75" customHeight="1" x14ac:dyDescent="0.3">
      <c r="A905" s="37">
        <v>78498</v>
      </c>
      <c r="B905" s="398">
        <f t="shared" ref="B905:C905" si="916">($A905-B$9)/365.25</f>
        <v>133.03764544832308</v>
      </c>
      <c r="C905" s="398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3254.2644699519233</v>
      </c>
      <c r="H905" s="25">
        <f>IF(B905&lt;62,0,'Combined Retirement'!$I$14)</f>
        <v>2345</v>
      </c>
      <c r="I905" s="25">
        <f>IF(C905&lt;62,0,'Combined Retirement'!$I$13)</f>
        <v>2420</v>
      </c>
      <c r="J905" s="25">
        <f t="shared" si="783"/>
        <v>7896.2379798201846</v>
      </c>
      <c r="K905" s="25">
        <f t="shared" si="784"/>
        <v>20367.195264578786</v>
      </c>
      <c r="L905" s="25"/>
      <c r="N905" s="25">
        <f>'Combined Retirement'!$C$18/12</f>
        <v>39153.069999999992</v>
      </c>
      <c r="O905" s="25">
        <f t="shared" si="785"/>
        <v>10889.636755601023</v>
      </c>
      <c r="P905" s="25">
        <f t="shared" si="786"/>
        <v>28263.43324439897</v>
      </c>
      <c r="Q905" s="25">
        <f t="array" aca="1" ref="Q905" ca="1">INDEX('Isaac 401k'!L:L,MATCH('Retirement Calculator'!A905,'Isaac 401k'!N:N,0),0)</f>
        <v>200205.75754654483</v>
      </c>
      <c r="R905" s="25">
        <f t="array" aca="1" ref="R905" ca="1">INDEX('Lorri 401b'!L:L,MATCH('Retirement Calculator'!A905,'Lorri 401b'!N:N,0),0)</f>
        <v>-10742465.624714777</v>
      </c>
      <c r="S905" s="25">
        <f t="shared" ca="1" si="787"/>
        <v>-10542259.867168233</v>
      </c>
    </row>
    <row r="906" spans="1:19" ht="15.75" customHeight="1" x14ac:dyDescent="0.3">
      <c r="A906" s="37">
        <v>78529</v>
      </c>
      <c r="B906" s="398">
        <f t="shared" ref="B906:C906" si="917">($A906-B$9)/365.25</f>
        <v>133.12251882272417</v>
      </c>
      <c r="C906" s="398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3254.2644699519233</v>
      </c>
      <c r="H906" s="25">
        <f>IF(B906&lt;62,0,'Combined Retirement'!$I$14)</f>
        <v>2345</v>
      </c>
      <c r="I906" s="25">
        <f>IF(C906&lt;62,0,'Combined Retirement'!$I$13)</f>
        <v>2420</v>
      </c>
      <c r="J906" s="25">
        <f t="shared" si="783"/>
        <v>7896.2379798201846</v>
      </c>
      <c r="K906" s="25">
        <f t="shared" si="784"/>
        <v>20367.195264578786</v>
      </c>
      <c r="L906" s="25"/>
      <c r="N906" s="25">
        <f>'Combined Retirement'!$C$18/12</f>
        <v>39153.069999999992</v>
      </c>
      <c r="O906" s="25">
        <f t="shared" si="785"/>
        <v>10889.636755601023</v>
      </c>
      <c r="P906" s="25">
        <f t="shared" si="786"/>
        <v>28263.43324439897</v>
      </c>
      <c r="Q906" s="25">
        <f t="array" aca="1" ref="Q906" ca="1">INDEX('Isaac 401k'!L:L,MATCH('Retirement Calculator'!A906,'Isaac 401k'!N:N,0),0)</f>
        <v>193110.809231586</v>
      </c>
      <c r="R906" s="25">
        <f t="array" aca="1" ref="R906" ca="1">INDEX('Lorri 401b'!L:L,MATCH('Retirement Calculator'!A906,'Lorri 401b'!N:N,0),0)</f>
        <v>-10807677.956729269</v>
      </c>
      <c r="S906" s="25">
        <f t="shared" ca="1" si="787"/>
        <v>-10614567.147497682</v>
      </c>
    </row>
    <row r="907" spans="1:19" ht="15.75" customHeight="1" x14ac:dyDescent="0.3">
      <c r="A907" s="37">
        <v>78560</v>
      </c>
      <c r="B907" s="398">
        <f t="shared" ref="B907:C907" si="918">($A907-B$9)/365.25</f>
        <v>133.20739219712524</v>
      </c>
      <c r="C907" s="398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3254.2644699519233</v>
      </c>
      <c r="H907" s="25">
        <f>IF(B907&lt;62,0,'Combined Retirement'!$I$14)</f>
        <v>2345</v>
      </c>
      <c r="I907" s="25">
        <f>IF(C907&lt;62,0,'Combined Retirement'!$I$13)</f>
        <v>2420</v>
      </c>
      <c r="J907" s="25">
        <f t="shared" si="783"/>
        <v>7896.2379798201846</v>
      </c>
      <c r="K907" s="25">
        <f t="shared" si="784"/>
        <v>20367.195264578786</v>
      </c>
      <c r="L907" s="25"/>
      <c r="N907" s="25">
        <f>'Combined Retirement'!$C$18/12</f>
        <v>39153.069999999992</v>
      </c>
      <c r="O907" s="25">
        <f t="shared" si="785"/>
        <v>10889.636755601023</v>
      </c>
      <c r="P907" s="25">
        <f t="shared" si="786"/>
        <v>28263.43324439897</v>
      </c>
      <c r="Q907" s="25">
        <f t="array" aca="1" ref="Q907" ca="1">INDEX('Isaac 401k'!L:L,MATCH('Retirement Calculator'!A907,'Isaac 401k'!N:N,0),0)</f>
        <v>185986.29863198151</v>
      </c>
      <c r="R907" s="25">
        <f t="array" aca="1" ref="R907" ca="1">INDEX('Lorri 401b'!L:L,MATCH('Retirement Calculator'!A907,'Lorri 401b'!N:N,0),0)</f>
        <v>-10873162.006793821</v>
      </c>
      <c r="S907" s="25">
        <f t="shared" ca="1" si="787"/>
        <v>-10687175.70816184</v>
      </c>
    </row>
    <row r="908" spans="1:19" ht="15.75" customHeight="1" x14ac:dyDescent="0.3">
      <c r="A908" s="37">
        <v>78588</v>
      </c>
      <c r="B908" s="398">
        <f t="shared" ref="B908:C908" si="919">($A908-B$9)/365.25</f>
        <v>133.28405201916496</v>
      </c>
      <c r="C908" s="398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3254.2644699519233</v>
      </c>
      <c r="H908" s="25">
        <f>IF(B908&lt;62,0,'Combined Retirement'!$I$14)</f>
        <v>2345</v>
      </c>
      <c r="I908" s="25">
        <f>IF(C908&lt;62,0,'Combined Retirement'!$I$13)</f>
        <v>2420</v>
      </c>
      <c r="J908" s="25">
        <f t="shared" si="783"/>
        <v>7896.2379798201846</v>
      </c>
      <c r="K908" s="25">
        <f t="shared" si="784"/>
        <v>20367.195264578786</v>
      </c>
      <c r="L908" s="25"/>
      <c r="N908" s="25">
        <f>'Combined Retirement'!$C$18/12</f>
        <v>39153.069999999992</v>
      </c>
      <c r="O908" s="25">
        <f t="shared" si="785"/>
        <v>10889.636755601023</v>
      </c>
      <c r="P908" s="25">
        <f t="shared" si="786"/>
        <v>28263.43324439897</v>
      </c>
      <c r="Q908" s="25">
        <f t="array" aca="1" ref="Q908" ca="1">INDEX('Isaac 401k'!L:L,MATCH('Retirement Calculator'!A908,'Isaac 401k'!N:N,0),0)</f>
        <v>178832.10257154534</v>
      </c>
      <c r="R908" s="25">
        <f t="array" aca="1" ref="R908" ca="1">INDEX('Lorri 401b'!L:L,MATCH('Retirement Calculator'!A908,'Lorri 401b'!N:N,0),0)</f>
        <v>-10938918.907066977</v>
      </c>
      <c r="S908" s="25">
        <f t="shared" ca="1" si="787"/>
        <v>-10760086.804495431</v>
      </c>
    </row>
    <row r="909" spans="1:19" ht="15.75" customHeight="1" x14ac:dyDescent="0.3">
      <c r="A909" s="37">
        <v>78619</v>
      </c>
      <c r="B909" s="398">
        <f t="shared" ref="B909:C909" si="920">($A909-B$9)/365.25</f>
        <v>133.36892539356606</v>
      </c>
      <c r="C909" s="398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3254.2644699519233</v>
      </c>
      <c r="H909" s="25">
        <f>IF(B909&lt;62,0,'Combined Retirement'!$I$14)</f>
        <v>2345</v>
      </c>
      <c r="I909" s="25">
        <f>IF(C909&lt;62,0,'Combined Retirement'!$I$13)</f>
        <v>2420</v>
      </c>
      <c r="J909" s="25">
        <f t="shared" si="783"/>
        <v>7896.2379798201846</v>
      </c>
      <c r="K909" s="25">
        <f t="shared" si="784"/>
        <v>20367.195264578786</v>
      </c>
      <c r="L909" s="25"/>
      <c r="N909" s="25">
        <f>'Combined Retirement'!$C$18/12</f>
        <v>39153.069999999992</v>
      </c>
      <c r="O909" s="25">
        <f t="shared" si="785"/>
        <v>10889.636755601023</v>
      </c>
      <c r="P909" s="25">
        <f t="shared" si="786"/>
        <v>28263.43324439897</v>
      </c>
      <c r="Q909" s="25">
        <f t="array" aca="1" ref="Q909" ca="1">INDEX('Isaac 401k'!L:L,MATCH('Retirement Calculator'!A909,'Isaac 401k'!N:N,0),0)</f>
        <v>171648.09736085735</v>
      </c>
      <c r="R909" s="25">
        <f t="array" aca="1" ref="R909" ca="1">INDEX('Lorri 401b'!L:L,MATCH('Retirement Calculator'!A909,'Lorri 401b'!N:N,0),0)</f>
        <v>-11004949.794424603</v>
      </c>
      <c r="S909" s="25">
        <f t="shared" ca="1" si="787"/>
        <v>-10833301.697063746</v>
      </c>
    </row>
    <row r="910" spans="1:19" ht="15.75" customHeight="1" x14ac:dyDescent="0.3">
      <c r="A910" s="37">
        <v>78649</v>
      </c>
      <c r="B910" s="398">
        <f t="shared" ref="B910:C910" si="921">($A910-B$9)/365.25</f>
        <v>133.45106091718</v>
      </c>
      <c r="C910" s="398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3254.2644699519233</v>
      </c>
      <c r="H910" s="25">
        <f>IF(B910&lt;62,0,'Combined Retirement'!$I$14)</f>
        <v>2345</v>
      </c>
      <c r="I910" s="25">
        <f>IF(C910&lt;62,0,'Combined Retirement'!$I$13)</f>
        <v>2420</v>
      </c>
      <c r="J910" s="25">
        <f t="shared" si="783"/>
        <v>7896.2379798201846</v>
      </c>
      <c r="K910" s="25">
        <f t="shared" si="784"/>
        <v>20367.195264578786</v>
      </c>
      <c r="L910" s="25"/>
      <c r="N910" s="25">
        <f>'Combined Retirement'!$C$18/12</f>
        <v>39153.069999999992</v>
      </c>
      <c r="O910" s="25">
        <f t="shared" si="785"/>
        <v>10889.636755601023</v>
      </c>
      <c r="P910" s="25">
        <f t="shared" si="786"/>
        <v>28263.43324439897</v>
      </c>
      <c r="Q910" s="25">
        <f t="array" aca="1" ref="Q910" ca="1">INDEX('Isaac 401k'!L:L,MATCH('Retirement Calculator'!A910,'Isaac 401k'!N:N,0),0)</f>
        <v>164434.15879512485</v>
      </c>
      <c r="R910" s="25">
        <f t="array" aca="1" ref="R910" ca="1">INDEX('Lorri 401b'!L:L,MATCH('Retirement Calculator'!A910,'Lorri 401b'!N:N,0),0)</f>
        <v>-11071255.810479552</v>
      </c>
      <c r="S910" s="25">
        <f t="shared" ca="1" si="787"/>
        <v>-10906821.651684426</v>
      </c>
    </row>
    <row r="911" spans="1:19" ht="15.75" customHeight="1" x14ac:dyDescent="0.3">
      <c r="A911" s="37">
        <v>78680</v>
      </c>
      <c r="B911" s="398">
        <f t="shared" ref="B911:C911" si="922">($A911-B$9)/365.25</f>
        <v>133.5359342915811</v>
      </c>
      <c r="C911" s="398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3254.2644699519233</v>
      </c>
      <c r="H911" s="25">
        <f>IF(B911&lt;62,0,'Combined Retirement'!$I$14)</f>
        <v>2345</v>
      </c>
      <c r="I911" s="25">
        <f>IF(C911&lt;62,0,'Combined Retirement'!$I$13)</f>
        <v>2420</v>
      </c>
      <c r="J911" s="25">
        <f t="shared" si="783"/>
        <v>7896.2379798201846</v>
      </c>
      <c r="K911" s="25">
        <f t="shared" si="784"/>
        <v>20367.195264578786</v>
      </c>
      <c r="L911" s="25"/>
      <c r="N911" s="25">
        <f>'Combined Retirement'!$C$18/12</f>
        <v>39153.069999999992</v>
      </c>
      <c r="O911" s="25">
        <f t="shared" si="785"/>
        <v>10889.636755601023</v>
      </c>
      <c r="P911" s="25">
        <f t="shared" si="786"/>
        <v>28263.43324439897</v>
      </c>
      <c r="Q911" s="25">
        <f t="array" aca="1" ref="Q911" ca="1">INDEX('Isaac 401k'!L:L,MATCH('Retirement Calculator'!A911,'Isaac 401k'!N:N,0),0)</f>
        <v>157190.1621520351</v>
      </c>
      <c r="R911" s="25">
        <f t="array" aca="1" ref="R911" ca="1">INDEX('Lorri 401b'!L:L,MATCH('Retirement Calculator'!A911,'Lorri 401b'!N:N,0),0)</f>
        <v>-11137838.101601396</v>
      </c>
      <c r="S911" s="25">
        <f t="shared" ca="1" si="787"/>
        <v>-10980647.939449361</v>
      </c>
    </row>
    <row r="912" spans="1:19" ht="15.75" customHeight="1" x14ac:dyDescent="0.3">
      <c r="A912" s="37">
        <v>78710</v>
      </c>
      <c r="B912" s="398">
        <f t="shared" ref="B912:C912" si="923">($A912-B$9)/365.25</f>
        <v>133.61806981519507</v>
      </c>
      <c r="C912" s="398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3254.2644699519233</v>
      </c>
      <c r="H912" s="25">
        <f>IF(B912&lt;62,0,'Combined Retirement'!$I$14)</f>
        <v>2345</v>
      </c>
      <c r="I912" s="25">
        <f>IF(C912&lt;62,0,'Combined Retirement'!$I$13)</f>
        <v>2420</v>
      </c>
      <c r="J912" s="25">
        <f t="shared" si="783"/>
        <v>7896.2379798201846</v>
      </c>
      <c r="K912" s="25">
        <f t="shared" si="784"/>
        <v>20367.195264578786</v>
      </c>
      <c r="L912" s="25"/>
      <c r="N912" s="25">
        <f>'Combined Retirement'!$C$18/12</f>
        <v>39153.069999999992</v>
      </c>
      <c r="O912" s="25">
        <f t="shared" si="785"/>
        <v>10889.636755601023</v>
      </c>
      <c r="P912" s="25">
        <f t="shared" si="786"/>
        <v>28263.43324439897</v>
      </c>
      <c r="Q912" s="25">
        <f t="array" aca="1" ref="Q912" ca="1">INDEX('Isaac 401k'!L:L,MATCH('Retirement Calculator'!A912,'Isaac 401k'!N:N,0),0)</f>
        <v>149915.98218959916</v>
      </c>
      <c r="R912" s="25">
        <f t="array" aca="1" ref="R912" ca="1">INDEX('Lorri 401b'!L:L,MATCH('Retirement Calculator'!A912,'Lorri 401b'!N:N,0),0)</f>
        <v>-11204697.818936249</v>
      </c>
      <c r="S912" s="25">
        <f t="shared" ca="1" si="787"/>
        <v>-11054781.83674665</v>
      </c>
    </row>
    <row r="913" spans="1:19" ht="15.75" customHeight="1" x14ac:dyDescent="0.3">
      <c r="A913" s="37">
        <v>78741</v>
      </c>
      <c r="B913" s="398">
        <f t="shared" ref="B913:C913" si="924">($A913-B$9)/365.25</f>
        <v>133.70294318959617</v>
      </c>
      <c r="C913" s="398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3254.2644699519233</v>
      </c>
      <c r="H913" s="25">
        <f>IF(B913&lt;62,0,'Combined Retirement'!$I$14)</f>
        <v>2345</v>
      </c>
      <c r="I913" s="25">
        <f>IF(C913&lt;62,0,'Combined Retirement'!$I$13)</f>
        <v>2420</v>
      </c>
      <c r="J913" s="25">
        <f t="shared" si="783"/>
        <v>7896.2379798201846</v>
      </c>
      <c r="K913" s="25">
        <f t="shared" si="784"/>
        <v>20367.195264578786</v>
      </c>
      <c r="L913" s="25"/>
      <c r="N913" s="25">
        <f>'Combined Retirement'!$C$18/12</f>
        <v>39153.069999999992</v>
      </c>
      <c r="O913" s="25">
        <f t="shared" si="785"/>
        <v>10889.636755601023</v>
      </c>
      <c r="P913" s="25">
        <f t="shared" si="786"/>
        <v>28263.43324439897</v>
      </c>
      <c r="Q913" s="25">
        <f t="array" aca="1" ref="Q913" ca="1">INDEX('Isaac 401k'!L:L,MATCH('Retirement Calculator'!A913,'Isaac 401k'!N:N,0),0)</f>
        <v>142611.49314398642</v>
      </c>
      <c r="R913" s="25">
        <f t="array" aca="1" ref="R913" ca="1">INDEX('Lorri 401b'!L:L,MATCH('Retirement Calculator'!A913,'Lorri 401b'!N:N,0),0)</f>
        <v>-11271836.118426664</v>
      </c>
      <c r="S913" s="25">
        <f t="shared" ca="1" si="787"/>
        <v>-11129224.625282677</v>
      </c>
    </row>
    <row r="914" spans="1:19" ht="15.75" customHeight="1" x14ac:dyDescent="0.3">
      <c r="A914" s="37">
        <v>78772</v>
      </c>
      <c r="B914" s="398">
        <f t="shared" ref="B914:C914" si="925">($A914-B$9)/365.25</f>
        <v>133.78781656399727</v>
      </c>
      <c r="C914" s="398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3254.2644699519233</v>
      </c>
      <c r="H914" s="25">
        <f>IF(B914&lt;62,0,'Combined Retirement'!$I$14)</f>
        <v>2345</v>
      </c>
      <c r="I914" s="25">
        <f>IF(C914&lt;62,0,'Combined Retirement'!$I$13)</f>
        <v>2420</v>
      </c>
      <c r="J914" s="25">
        <f t="shared" si="783"/>
        <v>7896.2379798201846</v>
      </c>
      <c r="K914" s="25">
        <f t="shared" si="784"/>
        <v>20367.195264578786</v>
      </c>
      <c r="L914" s="25"/>
      <c r="N914" s="25">
        <f>'Combined Retirement'!$C$18/12</f>
        <v>39153.069999999992</v>
      </c>
      <c r="O914" s="25">
        <f t="shared" si="785"/>
        <v>10889.636755601023</v>
      </c>
      <c r="P914" s="25">
        <f t="shared" si="786"/>
        <v>28263.43324439897</v>
      </c>
      <c r="Q914" s="25">
        <f t="array" aca="1" ref="Q914" ca="1">INDEX('Isaac 401k'!L:L,MATCH('Retirement Calculator'!A914,'Isaac 401k'!N:N,0),0)</f>
        <v>135276.56872735027</v>
      </c>
      <c r="R914" s="25">
        <f t="array" aca="1" ref="R914" ca="1">INDEX('Lorri 401b'!L:L,MATCH('Retirement Calculator'!A914,'Lorri 401b'!N:N,0),0)</f>
        <v>-11339254.160831621</v>
      </c>
      <c r="S914" s="25">
        <f t="shared" ca="1" si="787"/>
        <v>-11203977.592104271</v>
      </c>
    </row>
    <row r="915" spans="1:19" ht="15.75" customHeight="1" x14ac:dyDescent="0.3">
      <c r="A915" s="37">
        <v>78802</v>
      </c>
      <c r="B915" s="398">
        <f t="shared" ref="B915:C915" si="926">($A915-B$9)/365.25</f>
        <v>133.86995208761124</v>
      </c>
      <c r="C915" s="398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3254.2644699519233</v>
      </c>
      <c r="H915" s="25">
        <f>IF(B915&lt;62,0,'Combined Retirement'!$I$14)</f>
        <v>2345</v>
      </c>
      <c r="I915" s="25">
        <f>IF(C915&lt;62,0,'Combined Retirement'!$I$13)</f>
        <v>2420</v>
      </c>
      <c r="J915" s="25">
        <f t="shared" si="783"/>
        <v>7896.2379798201846</v>
      </c>
      <c r="K915" s="25">
        <f t="shared" si="784"/>
        <v>20367.195264578786</v>
      </c>
      <c r="L915" s="25"/>
      <c r="N915" s="25">
        <f>'Combined Retirement'!$C$18/12</f>
        <v>39153.069999999992</v>
      </c>
      <c r="O915" s="25">
        <f t="shared" si="785"/>
        <v>10889.636755601023</v>
      </c>
      <c r="P915" s="25">
        <f t="shared" si="786"/>
        <v>28263.43324439897</v>
      </c>
      <c r="Q915" s="25">
        <f t="array" aca="1" ref="Q915" ca="1">INDEX('Isaac 401k'!L:L,MATCH('Retirement Calculator'!A915,'Isaac 401k'!N:N,0),0)</f>
        <v>127911.0821256448</v>
      </c>
      <c r="R915" s="25">
        <f t="array" aca="1" ref="R915" ca="1">INDEX('Lorri 401b'!L:L,MATCH('Retirement Calculator'!A915,'Lorri 401b'!N:N,0),0)</f>
        <v>-11406953.1117466</v>
      </c>
      <c r="S915" s="25">
        <f t="shared" ca="1" si="787"/>
        <v>-11279042.029620955</v>
      </c>
    </row>
    <row r="916" spans="1:19" ht="15.75" customHeight="1" x14ac:dyDescent="0.3">
      <c r="A916" s="37">
        <v>78833</v>
      </c>
      <c r="B916" s="398">
        <f t="shared" ref="B916:C916" si="927">($A916-B$9)/365.25</f>
        <v>133.95482546201231</v>
      </c>
      <c r="C916" s="398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3254.2644699519233</v>
      </c>
      <c r="H916" s="25">
        <f>IF(B916&lt;62,0,'Combined Retirement'!$I$14)</f>
        <v>2345</v>
      </c>
      <c r="I916" s="25">
        <f>IF(C916&lt;62,0,'Combined Retirement'!$I$13)</f>
        <v>2420</v>
      </c>
      <c r="J916" s="25">
        <f t="shared" si="783"/>
        <v>7896.2379798201846</v>
      </c>
      <c r="K916" s="25">
        <f t="shared" si="784"/>
        <v>20367.195264578786</v>
      </c>
      <c r="L916" s="25"/>
      <c r="N916" s="25">
        <f>'Combined Retirement'!$C$18/12</f>
        <v>39153.069999999992</v>
      </c>
      <c r="O916" s="25">
        <f t="shared" si="785"/>
        <v>10889.636755601023</v>
      </c>
      <c r="P916" s="25">
        <f t="shared" si="786"/>
        <v>28263.43324439897</v>
      </c>
      <c r="Q916" s="25">
        <f t="array" aca="1" ref="Q916" ca="1">INDEX('Isaac 401k'!L:L,MATCH('Retirement Calculator'!A916,'Isaac 401k'!N:N,0),0)</f>
        <v>120514.90599643221</v>
      </c>
      <c r="R916" s="25">
        <f t="array" aca="1" ref="R916" ca="1">INDEX('Lorri 401b'!L:L,MATCH('Retirement Calculator'!A916,'Lorri 401b'!N:N,0),0)</f>
        <v>-11474934.141623724</v>
      </c>
      <c r="S916" s="25">
        <f t="shared" ca="1" si="787"/>
        <v>-11354419.235627292</v>
      </c>
    </row>
    <row r="917" spans="1:19" ht="15.75" customHeight="1" x14ac:dyDescent="0.3">
      <c r="A917" s="37">
        <v>78863</v>
      </c>
      <c r="B917" s="398">
        <f t="shared" ref="B917:C917" si="928">($A917-B$9)/365.25</f>
        <v>134.03696098562628</v>
      </c>
      <c r="C917" s="398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3254.2644699519233</v>
      </c>
      <c r="H917" s="25">
        <f>IF(B917&lt;62,0,'Combined Retirement'!$I$14)</f>
        <v>2345</v>
      </c>
      <c r="I917" s="25">
        <f>IF(C917&lt;62,0,'Combined Retirement'!$I$13)</f>
        <v>2420</v>
      </c>
      <c r="J917" s="25">
        <f t="shared" si="783"/>
        <v>7896.2379798201846</v>
      </c>
      <c r="K917" s="25">
        <f t="shared" si="784"/>
        <v>20367.195264578786</v>
      </c>
      <c r="L917" s="25"/>
      <c r="N917" s="25">
        <f>'Combined Retirement'!$C$18/12</f>
        <v>39153.069999999992</v>
      </c>
      <c r="O917" s="25">
        <f t="shared" si="785"/>
        <v>10889.636755601023</v>
      </c>
      <c r="P917" s="25">
        <f t="shared" si="786"/>
        <v>28263.43324439897</v>
      </c>
      <c r="Q917" s="25">
        <f t="array" aca="1" ref="Q917" ca="1">INDEX('Isaac 401k'!L:L,MATCH('Retirement Calculator'!A917,'Isaac 401k'!N:N,0),0)</f>
        <v>113087.91246668124</v>
      </c>
      <c r="R917" s="25">
        <f t="array" aca="1" ref="R917" ca="1">INDEX('Lorri 401b'!L:L,MATCH('Retirement Calculator'!A917,'Lorri 401b'!N:N,0),0)</f>
        <v>-11543198.425792003</v>
      </c>
      <c r="S917" s="25">
        <f t="shared" ca="1" si="787"/>
        <v>-11430110.513325322</v>
      </c>
    </row>
    <row r="918" spans="1:19" ht="15.75" customHeight="1" x14ac:dyDescent="0.3">
      <c r="A918" s="37">
        <v>78894</v>
      </c>
      <c r="B918" s="398">
        <f t="shared" ref="B918:C918" si="929">($A918-B$9)/365.25</f>
        <v>134.12183436002738</v>
      </c>
      <c r="C918" s="398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3254.2644699519233</v>
      </c>
      <c r="H918" s="25">
        <f>IF(B918&lt;62,0,'Combined Retirement'!$I$14)</f>
        <v>2345</v>
      </c>
      <c r="I918" s="25">
        <f>IF(C918&lt;62,0,'Combined Retirement'!$I$13)</f>
        <v>2420</v>
      </c>
      <c r="J918" s="25">
        <f t="shared" si="783"/>
        <v>7896.2379798201846</v>
      </c>
      <c r="K918" s="25">
        <f t="shared" si="784"/>
        <v>20367.195264578786</v>
      </c>
      <c r="L918" s="25"/>
      <c r="N918" s="25">
        <f>'Combined Retirement'!$C$18/12</f>
        <v>39153.069999999992</v>
      </c>
      <c r="O918" s="25">
        <f t="shared" si="785"/>
        <v>10889.636755601023</v>
      </c>
      <c r="P918" s="25">
        <f t="shared" si="786"/>
        <v>28263.43324439897</v>
      </c>
      <c r="Q918" s="25">
        <f t="array" aca="1" ref="Q918" ca="1">INDEX('Isaac 401k'!L:L,MATCH('Retirement Calculator'!A918,'Isaac 401k'!N:N,0),0)</f>
        <v>105629.9731305563</v>
      </c>
      <c r="R918" s="25">
        <f t="array" aca="1" ref="R918" ca="1">INDEX('Lorri 401b'!L:L,MATCH('Retirement Calculator'!A918,'Lorri 401b'!N:N,0),0)</f>
        <v>-11611747.144477651</v>
      </c>
      <c r="S918" s="25">
        <f t="shared" ca="1" si="787"/>
        <v>-11506117.171347095</v>
      </c>
    </row>
    <row r="919" spans="1:19" ht="15.75" customHeight="1" x14ac:dyDescent="0.3">
      <c r="A919" s="37">
        <v>78925</v>
      </c>
      <c r="B919" s="398">
        <f t="shared" ref="B919:C919" si="930">($A919-B$9)/365.25</f>
        <v>134.20670773442848</v>
      </c>
      <c r="C919" s="398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3254.2644699519233</v>
      </c>
      <c r="H919" s="25">
        <f>IF(B919&lt;62,0,'Combined Retirement'!$I$14)</f>
        <v>2345</v>
      </c>
      <c r="I919" s="25">
        <f>IF(C919&lt;62,0,'Combined Retirement'!$I$13)</f>
        <v>2420</v>
      </c>
      <c r="J919" s="25">
        <f t="shared" si="783"/>
        <v>7896.2379798201846</v>
      </c>
      <c r="K919" s="25">
        <f t="shared" si="784"/>
        <v>20367.195264578786</v>
      </c>
      <c r="L919" s="25"/>
      <c r="N919" s="25">
        <f>'Combined Retirement'!$C$18/12</f>
        <v>39153.069999999992</v>
      </c>
      <c r="O919" s="25">
        <f t="shared" si="785"/>
        <v>10889.636755601023</v>
      </c>
      <c r="P919" s="25">
        <f t="shared" si="786"/>
        <v>28263.43324439897</v>
      </c>
      <c r="Q919" s="25">
        <f t="array" aca="1" ref="Q919" ca="1">INDEX('Isaac 401k'!L:L,MATCH('Retirement Calculator'!A919,'Isaac 401k'!N:N,0),0)</f>
        <v>98140.95904719751</v>
      </c>
      <c r="R919" s="25">
        <f t="array" aca="1" ref="R919" ca="1">INDEX('Lorri 401b'!L:L,MATCH('Retirement Calculator'!A919,'Lorri 401b'!N:N,0),0)</f>
        <v>-11680581.482824488</v>
      </c>
      <c r="S919" s="25">
        <f t="shared" ca="1" si="787"/>
        <v>-11582440.523777289</v>
      </c>
    </row>
    <row r="920" spans="1:19" ht="15.75" customHeight="1" x14ac:dyDescent="0.3">
      <c r="A920" s="37">
        <v>78954</v>
      </c>
      <c r="B920" s="398">
        <f t="shared" ref="B920:C920" si="931">($A920-B$9)/365.25</f>
        <v>134.28610540725529</v>
      </c>
      <c r="C920" s="398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3254.2644699519233</v>
      </c>
      <c r="H920" s="25">
        <f>IF(B920&lt;62,0,'Combined Retirement'!$I$14)</f>
        <v>2345</v>
      </c>
      <c r="I920" s="25">
        <f>IF(C920&lt;62,0,'Combined Retirement'!$I$13)</f>
        <v>2420</v>
      </c>
      <c r="J920" s="25">
        <f t="shared" si="783"/>
        <v>7896.2379798201846</v>
      </c>
      <c r="K920" s="25">
        <f t="shared" si="784"/>
        <v>20367.195264578786</v>
      </c>
      <c r="L920" s="25"/>
      <c r="N920" s="25">
        <f>'Combined Retirement'!$C$18/12</f>
        <v>39153.069999999992</v>
      </c>
      <c r="O920" s="25">
        <f t="shared" si="785"/>
        <v>10889.636755601023</v>
      </c>
      <c r="P920" s="25">
        <f t="shared" si="786"/>
        <v>28263.43324439897</v>
      </c>
      <c r="Q920" s="25">
        <f t="array" aca="1" ref="Q920" ca="1">INDEX('Isaac 401k'!L:L,MATCH('Retirement Calculator'!A920,'Isaac 401k'!N:N,0),0)</f>
        <v>90620.740738491397</v>
      </c>
      <c r="R920" s="25">
        <f t="array" aca="1" ref="R920" ca="1">INDEX('Lorri 401b'!L:L,MATCH('Retirement Calculator'!A920,'Lorri 401b'!N:N,0),0)</f>
        <v>-11749702.630914437</v>
      </c>
      <c r="S920" s="25">
        <f t="shared" ca="1" si="787"/>
        <v>-11659081.890175946</v>
      </c>
    </row>
    <row r="921" spans="1:19" ht="15.75" customHeight="1" x14ac:dyDescent="0.3">
      <c r="A921" s="37">
        <v>78985</v>
      </c>
      <c r="B921" s="398">
        <f t="shared" ref="B921:C921" si="932">($A921-B$9)/365.25</f>
        <v>134.37097878165639</v>
      </c>
      <c r="C921" s="398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3254.2644699519233</v>
      </c>
      <c r="H921" s="25">
        <f>IF(B921&lt;62,0,'Combined Retirement'!$I$14)</f>
        <v>2345</v>
      </c>
      <c r="I921" s="25">
        <f>IF(C921&lt;62,0,'Combined Retirement'!$I$13)</f>
        <v>2420</v>
      </c>
      <c r="J921" s="25">
        <f t="shared" si="783"/>
        <v>7896.2379798201846</v>
      </c>
      <c r="K921" s="25">
        <f t="shared" si="784"/>
        <v>20367.195264578786</v>
      </c>
      <c r="L921" s="25"/>
      <c r="N921" s="25">
        <f>'Combined Retirement'!$C$18/12</f>
        <v>39153.069999999992</v>
      </c>
      <c r="O921" s="25">
        <f t="shared" si="785"/>
        <v>10889.636755601023</v>
      </c>
      <c r="P921" s="25">
        <f t="shared" si="786"/>
        <v>28263.43324439897</v>
      </c>
      <c r="Q921" s="25">
        <f t="array" aca="1" ref="Q921" ca="1">INDEX('Isaac 401k'!L:L,MATCH('Retirement Calculator'!A921,'Isaac 401k'!N:N,0),0)</f>
        <v>83069.18818683234</v>
      </c>
      <c r="R921" s="25">
        <f t="array" aca="1" ref="R921" ca="1">INDEX('Lorri 401b'!L:L,MATCH('Retirement Calculator'!A921,'Lorri 401b'!N:N,0),0)</f>
        <v>-11819111.783788094</v>
      </c>
      <c r="S921" s="25">
        <f t="shared" ca="1" si="787"/>
        <v>-11736042.595601263</v>
      </c>
    </row>
    <row r="922" spans="1:19" ht="15.75" customHeight="1" x14ac:dyDescent="0.3">
      <c r="A922" s="37">
        <v>79015</v>
      </c>
      <c r="B922" s="398">
        <f t="shared" ref="B922:C922" si="933">($A922-B$9)/365.25</f>
        <v>134.45311430527036</v>
      </c>
      <c r="C922" s="398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3254.2644699519233</v>
      </c>
      <c r="H922" s="25">
        <f>IF(B922&lt;62,0,'Combined Retirement'!$I$14)</f>
        <v>2345</v>
      </c>
      <c r="I922" s="25">
        <f>IF(C922&lt;62,0,'Combined Retirement'!$I$13)</f>
        <v>2420</v>
      </c>
      <c r="J922" s="25">
        <f t="shared" si="783"/>
        <v>7896.2379798201846</v>
      </c>
      <c r="K922" s="25">
        <f t="shared" si="784"/>
        <v>20367.195264578786</v>
      </c>
      <c r="L922" s="25"/>
      <c r="N922" s="25">
        <f>'Combined Retirement'!$C$18/12</f>
        <v>39153.069999999992</v>
      </c>
      <c r="O922" s="25">
        <f t="shared" si="785"/>
        <v>10889.636755601023</v>
      </c>
      <c r="P922" s="25">
        <f t="shared" si="786"/>
        <v>28263.43324439897</v>
      </c>
      <c r="Q922" s="25">
        <f t="array" aca="1" ref="Q922" ca="1">INDEX('Isaac 401k'!L:L,MATCH('Retirement Calculator'!A922,'Isaac 401k'!N:N,0),0)</f>
        <v>75486.170832874705</v>
      </c>
      <c r="R922" s="25">
        <f t="array" aca="1" ref="R922" ca="1">INDEX('Lorri 401b'!L:L,MATCH('Retirement Calculator'!A922,'Lorri 401b'!N:N,0),0)</f>
        <v>-11888810.141465392</v>
      </c>
      <c r="S922" s="25">
        <f t="shared" ca="1" si="787"/>
        <v>-11813323.970632518</v>
      </c>
    </row>
    <row r="923" spans="1:19" ht="15.75" customHeight="1" x14ac:dyDescent="0.3">
      <c r="A923" s="37">
        <v>79046</v>
      </c>
      <c r="B923" s="398">
        <f t="shared" ref="B923:C923" si="934">($A923-B$9)/365.25</f>
        <v>134.53798767967146</v>
      </c>
      <c r="C923" s="398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3254.2644699519233</v>
      </c>
      <c r="H923" s="25">
        <f>IF(B923&lt;62,0,'Combined Retirement'!$I$14)</f>
        <v>2345</v>
      </c>
      <c r="I923" s="25">
        <f>IF(C923&lt;62,0,'Combined Retirement'!$I$13)</f>
        <v>2420</v>
      </c>
      <c r="J923" s="25">
        <f t="shared" si="783"/>
        <v>7896.2379798201846</v>
      </c>
      <c r="K923" s="25">
        <f t="shared" si="784"/>
        <v>20367.195264578786</v>
      </c>
      <c r="L923" s="25"/>
      <c r="N923" s="25">
        <f>'Combined Retirement'!$C$18/12</f>
        <v>39153.069999999992</v>
      </c>
      <c r="O923" s="25">
        <f t="shared" si="785"/>
        <v>10889.636755601023</v>
      </c>
      <c r="P923" s="25">
        <f t="shared" si="786"/>
        <v>28263.43324439897</v>
      </c>
      <c r="Q923" s="25">
        <f t="array" aca="1" ref="Q923" ca="1">INDEX('Isaac 401k'!L:L,MATCH('Retirement Calculator'!A923,'Isaac 401k'!N:N,0),0)</f>
        <v>67871.557573275582</v>
      </c>
      <c r="R923" s="25">
        <f t="array" aca="1" ref="R923" ca="1">INDEX('Lorri 401b'!L:L,MATCH('Retirement Calculator'!A923,'Lorri 401b'!N:N,0),0)</f>
        <v>-11958798.908966344</v>
      </c>
      <c r="S923" s="25">
        <f t="shared" ca="1" si="787"/>
        <v>-11890927.351393068</v>
      </c>
    </row>
    <row r="924" spans="1:19" ht="15.75" customHeight="1" x14ac:dyDescent="0.3">
      <c r="A924" s="37">
        <v>79076</v>
      </c>
      <c r="B924" s="398">
        <f t="shared" ref="B924:C924" si="935">($A924-B$9)/365.25</f>
        <v>134.62012320328543</v>
      </c>
      <c r="C924" s="398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3254.2644699519233</v>
      </c>
      <c r="H924" s="25">
        <f>IF(B924&lt;62,0,'Combined Retirement'!$I$14)</f>
        <v>2345</v>
      </c>
      <c r="I924" s="25">
        <f>IF(C924&lt;62,0,'Combined Retirement'!$I$13)</f>
        <v>2420</v>
      </c>
      <c r="J924" s="25">
        <f t="shared" si="783"/>
        <v>7896.2379798201846</v>
      </c>
      <c r="K924" s="25">
        <f t="shared" si="784"/>
        <v>20367.195264578786</v>
      </c>
      <c r="L924" s="25"/>
      <c r="N924" s="25">
        <f>'Combined Retirement'!$C$18/12</f>
        <v>39153.069999999992</v>
      </c>
      <c r="O924" s="25">
        <f t="shared" si="785"/>
        <v>10889.636755601023</v>
      </c>
      <c r="P924" s="25">
        <f t="shared" si="786"/>
        <v>28263.43324439897</v>
      </c>
      <c r="Q924" s="25">
        <f t="array" aca="1" ref="Q924" ca="1">INDEX('Isaac 401k'!L:L,MATCH('Retirement Calculator'!A924,'Isaac 401k'!N:N,0),0)</f>
        <v>60225.216758428127</v>
      </c>
      <c r="R924" s="25">
        <f t="array" aca="1" ref="R924" ca="1">INDEX('Lorri 401b'!L:L,MATCH('Retirement Calculator'!A924,'Lorri 401b'!N:N,0),0)</f>
        <v>-12029079.296331884</v>
      </c>
      <c r="S924" s="25">
        <f t="shared" ca="1" si="787"/>
        <v>-11968854.079573456</v>
      </c>
    </row>
    <row r="925" spans="1:19" ht="15.75" customHeight="1" x14ac:dyDescent="0.3">
      <c r="A925" s="37">
        <v>79107</v>
      </c>
      <c r="B925" s="398">
        <f t="shared" ref="B925:C925" si="936">($A925-B$9)/365.25</f>
        <v>134.70499657768653</v>
      </c>
      <c r="C925" s="398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3254.2644699519233</v>
      </c>
      <c r="H925" s="25">
        <f>IF(B925&lt;62,0,'Combined Retirement'!$I$14)</f>
        <v>2345</v>
      </c>
      <c r="I925" s="25">
        <f>IF(C925&lt;62,0,'Combined Retirement'!$I$13)</f>
        <v>2420</v>
      </c>
      <c r="J925" s="25">
        <f t="shared" si="783"/>
        <v>7896.2379798201846</v>
      </c>
      <c r="K925" s="25">
        <f t="shared" si="784"/>
        <v>20367.195264578786</v>
      </c>
      <c r="L925" s="25"/>
      <c r="N925" s="25">
        <f>'Combined Retirement'!$C$18/12</f>
        <v>39153.069999999992</v>
      </c>
      <c r="O925" s="25">
        <f t="shared" si="785"/>
        <v>10889.636755601023</v>
      </c>
      <c r="P925" s="25">
        <f t="shared" si="786"/>
        <v>28263.43324439897</v>
      </c>
      <c r="Q925" s="25">
        <f t="array" aca="1" ref="Q925" ca="1">INDEX('Isaac 401k'!L:L,MATCH('Retirement Calculator'!A925,'Isaac 401k'!N:N,0),0)</f>
        <v>52547.016190185474</v>
      </c>
      <c r="R925" s="25">
        <f t="array" aca="1" ref="R925" ca="1">INDEX('Lorri 401b'!L:L,MATCH('Retirement Calculator'!A925,'Lorri 401b'!N:N,0),0)</f>
        <v>-12099652.51864478</v>
      </c>
      <c r="S925" s="25">
        <f t="shared" ca="1" si="787"/>
        <v>-12047105.502454594</v>
      </c>
    </row>
    <row r="926" spans="1:19" ht="15.75" customHeight="1" x14ac:dyDescent="0.3">
      <c r="A926" s="37">
        <v>79138</v>
      </c>
      <c r="B926" s="398">
        <f t="shared" ref="B926:C926" si="937">($A926-B$9)/365.25</f>
        <v>134.7898699520876</v>
      </c>
      <c r="C926" s="398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3254.2644699519233</v>
      </c>
      <c r="H926" s="25">
        <f>IF(B926&lt;62,0,'Combined Retirement'!$I$14)</f>
        <v>2345</v>
      </c>
      <c r="I926" s="25">
        <f>IF(C926&lt;62,0,'Combined Retirement'!$I$13)</f>
        <v>2420</v>
      </c>
      <c r="J926" s="25">
        <f t="shared" si="783"/>
        <v>7896.2379798201846</v>
      </c>
      <c r="K926" s="25">
        <f t="shared" si="784"/>
        <v>20367.195264578786</v>
      </c>
      <c r="L926" s="25"/>
      <c r="N926" s="25">
        <f>'Combined Retirement'!$C$18/12</f>
        <v>39153.069999999992</v>
      </c>
      <c r="O926" s="25">
        <f t="shared" si="785"/>
        <v>10889.636755601023</v>
      </c>
      <c r="P926" s="25">
        <f t="shared" si="786"/>
        <v>28263.43324439897</v>
      </c>
      <c r="Q926" s="25">
        <f t="array" aca="1" ref="Q926" ca="1">INDEX('Isaac 401k'!L:L,MATCH('Retirement Calculator'!A926,'Isaac 401k'!N:N,0),0)</f>
        <v>44836.823119575143</v>
      </c>
      <c r="R926" s="25">
        <f t="array" aca="1" ref="R926" ca="1">INDEX('Lorri 401b'!L:L,MATCH('Retirement Calculator'!A926,'Lorri 401b'!N:N,0),0)</f>
        <v>-12170519.796050647</v>
      </c>
      <c r="S926" s="25">
        <f t="shared" ca="1" si="787"/>
        <v>-12125682.972931072</v>
      </c>
    </row>
    <row r="927" spans="1:19" ht="15.75" customHeight="1" x14ac:dyDescent="0.3">
      <c r="A927" s="37">
        <v>79168</v>
      </c>
      <c r="B927" s="398">
        <f t="shared" ref="B927:C927" si="938">($A927-B$9)/365.25</f>
        <v>134.87200547570157</v>
      </c>
      <c r="C927" s="398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3254.2644699519233</v>
      </c>
      <c r="H927" s="25">
        <f>IF(B927&lt;62,0,'Combined Retirement'!$I$14)</f>
        <v>2345</v>
      </c>
      <c r="I927" s="25">
        <f>IF(C927&lt;62,0,'Combined Retirement'!$I$13)</f>
        <v>2420</v>
      </c>
      <c r="J927" s="25">
        <f t="shared" si="783"/>
        <v>7896.2379798201846</v>
      </c>
      <c r="K927" s="25">
        <f t="shared" si="784"/>
        <v>20367.195264578786</v>
      </c>
      <c r="L927" s="25"/>
      <c r="N927" s="25">
        <f>'Combined Retirement'!$C$18/12</f>
        <v>39153.069999999992</v>
      </c>
      <c r="O927" s="25">
        <f t="shared" si="785"/>
        <v>10889.636755601023</v>
      </c>
      <c r="P927" s="25">
        <f t="shared" si="786"/>
        <v>28263.43324439897</v>
      </c>
      <c r="Q927" s="25">
        <f t="array" aca="1" ref="Q927" ca="1">INDEX('Isaac 401k'!L:L,MATCH('Retirement Calculator'!A927,'Isaac 401k'!N:N,0),0)</f>
        <v>37094.504244503936</v>
      </c>
      <c r="R927" s="25">
        <f t="array" aca="1" ref="R927" ca="1">INDEX('Lorri 401b'!L:L,MATCH('Retirement Calculator'!A927,'Lorri 401b'!N:N,0),0)</f>
        <v>-12241682.353779038</v>
      </c>
      <c r="S927" s="25">
        <f t="shared" ca="1" si="787"/>
        <v>-12204587.849534534</v>
      </c>
    </row>
    <row r="928" spans="1:19" ht="15.75" customHeight="1" x14ac:dyDescent="0.3">
      <c r="A928" s="37">
        <v>79199</v>
      </c>
      <c r="B928" s="398">
        <f t="shared" ref="B928:C928" si="939">($A928-B$9)/365.25</f>
        <v>134.95687885010267</v>
      </c>
      <c r="C928" s="398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3254.2644699519233</v>
      </c>
      <c r="H928" s="25">
        <f>IF(B928&lt;62,0,'Combined Retirement'!$I$14)</f>
        <v>2345</v>
      </c>
      <c r="I928" s="25">
        <f>IF(C928&lt;62,0,'Combined Retirement'!$I$13)</f>
        <v>2420</v>
      </c>
      <c r="J928" s="25">
        <f t="shared" si="783"/>
        <v>7896.2379798201846</v>
      </c>
      <c r="K928" s="25">
        <f t="shared" si="784"/>
        <v>20367.195264578786</v>
      </c>
      <c r="L928" s="25"/>
      <c r="N928" s="25">
        <f>'Combined Retirement'!$C$18/12</f>
        <v>39153.069999999992</v>
      </c>
      <c r="O928" s="25">
        <f t="shared" si="785"/>
        <v>10889.636755601023</v>
      </c>
      <c r="P928" s="25">
        <f t="shared" si="786"/>
        <v>28263.43324439897</v>
      </c>
      <c r="Q928" s="25">
        <f t="array" aca="1" ref="Q928" ca="1">INDEX('Isaac 401k'!L:L,MATCH('Retirement Calculator'!A928,'Isaac 401k'!N:N,0),0)</f>
        <v>29319.925707453269</v>
      </c>
      <c r="R928" s="25">
        <f t="array" aca="1" ref="R928" ca="1">INDEX('Lorri 401b'!L:L,MATCH('Retirement Calculator'!A928,'Lorri 401b'!N:N,0),0)</f>
        <v>-12313141.422164632</v>
      </c>
      <c r="S928" s="25">
        <f t="shared" ca="1" si="787"/>
        <v>-12283821.496457178</v>
      </c>
    </row>
    <row r="929" spans="1:19" ht="15.75" customHeight="1" x14ac:dyDescent="0.3">
      <c r="A929" s="37">
        <v>79229</v>
      </c>
      <c r="B929" s="398">
        <f t="shared" ref="B929:C929" si="940">($A929-B$9)/365.25</f>
        <v>135.03901437371664</v>
      </c>
      <c r="C929" s="398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3254.2644699519233</v>
      </c>
      <c r="H929" s="25">
        <f>IF(B929&lt;62,0,'Combined Retirement'!$I$14)</f>
        <v>2345</v>
      </c>
      <c r="I929" s="25">
        <f>IF(C929&lt;62,0,'Combined Retirement'!$I$13)</f>
        <v>2420</v>
      </c>
      <c r="J929" s="25">
        <f t="shared" si="783"/>
        <v>7896.2379798201846</v>
      </c>
      <c r="K929" s="25">
        <f t="shared" si="784"/>
        <v>20367.195264578786</v>
      </c>
      <c r="L929" s="25"/>
      <c r="N929" s="25">
        <f>'Combined Retirement'!$C$18/12</f>
        <v>39153.069999999992</v>
      </c>
      <c r="O929" s="25">
        <f t="shared" si="785"/>
        <v>10889.636755601023</v>
      </c>
      <c r="P929" s="25">
        <f t="shared" si="786"/>
        <v>28263.43324439897</v>
      </c>
      <c r="Q929" s="25">
        <f t="array" aca="1" ref="Q929" ca="1">INDEX('Isaac 401k'!L:L,MATCH('Retirement Calculator'!A929,'Isaac 401k'!N:N,0),0)</f>
        <v>21512.953093164891</v>
      </c>
      <c r="R929" s="25">
        <f t="array" aca="1" ref="R929" ca="1">INDEX('Lorri 401b'!L:L,MATCH('Retirement Calculator'!A929,'Lorri 401b'!N:N,0),0)</f>
        <v>-12384898.236668497</v>
      </c>
      <c r="S929" s="25">
        <f t="shared" ca="1" si="787"/>
        <v>-12363385.283575332</v>
      </c>
    </row>
    <row r="930" spans="1:19" ht="15.75" customHeight="1" x14ac:dyDescent="0.3">
      <c r="A930" s="37">
        <v>79260</v>
      </c>
      <c r="B930" s="398">
        <f t="shared" ref="B930:C930" si="941">($A930-B$9)/365.25</f>
        <v>135.12388774811774</v>
      </c>
      <c r="C930" s="398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3254.2644699519233</v>
      </c>
      <c r="H930" s="25">
        <f>IF(B930&lt;62,0,'Combined Retirement'!$I$14)</f>
        <v>2345</v>
      </c>
      <c r="I930" s="25">
        <f>IF(C930&lt;62,0,'Combined Retirement'!$I$13)</f>
        <v>2420</v>
      </c>
      <c r="J930" s="25">
        <f t="shared" si="783"/>
        <v>7896.2379798201846</v>
      </c>
      <c r="K930" s="25">
        <f t="shared" si="784"/>
        <v>20367.195264578786</v>
      </c>
      <c r="L930" s="25"/>
      <c r="N930" s="25">
        <f>'Combined Retirement'!$C$18/12</f>
        <v>39153.069999999992</v>
      </c>
      <c r="O930" s="25">
        <f t="shared" si="785"/>
        <v>10889.636755601023</v>
      </c>
      <c r="P930" s="25">
        <f t="shared" si="786"/>
        <v>28263.43324439897</v>
      </c>
      <c r="Q930" s="25">
        <f t="array" aca="1" ref="Q930" ca="1">INDEX('Isaac 401k'!L:L,MATCH('Retirement Calculator'!A930,'Isaac 401k'!N:N,0),0)</f>
        <v>13673.451426316977</v>
      </c>
      <c r="R930" s="25">
        <f t="array" aca="1" ref="R930" ca="1">INDEX('Lorri 401b'!L:L,MATCH('Retirement Calculator'!A930,'Lorri 401b'!N:N,0),0)</f>
        <v>-12456954.037899463</v>
      </c>
      <c r="S930" s="25">
        <f t="shared" ca="1" si="787"/>
        <v>-12443280.586473146</v>
      </c>
    </row>
    <row r="931" spans="1:19" ht="15.75" customHeight="1" x14ac:dyDescent="0.3">
      <c r="A931" s="37">
        <v>79291</v>
      </c>
      <c r="B931" s="398">
        <f t="shared" ref="B931:C931" si="942">($A931-B$9)/365.25</f>
        <v>135.20876112251884</v>
      </c>
      <c r="C931" s="398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3254.2644699519233</v>
      </c>
      <c r="H931" s="25">
        <f>IF(B931&lt;62,0,'Combined Retirement'!$I$14)</f>
        <v>2345</v>
      </c>
      <c r="I931" s="25">
        <f>IF(C931&lt;62,0,'Combined Retirement'!$I$13)</f>
        <v>2420</v>
      </c>
      <c r="J931" s="25">
        <f t="shared" si="783"/>
        <v>7896.2379798201846</v>
      </c>
      <c r="K931" s="25">
        <f t="shared" si="784"/>
        <v>20367.195264578786</v>
      </c>
      <c r="L931" s="25"/>
      <c r="N931" s="25">
        <f>'Combined Retirement'!$C$18/12</f>
        <v>39153.069999999992</v>
      </c>
      <c r="O931" s="25">
        <f t="shared" si="785"/>
        <v>10889.636755601023</v>
      </c>
      <c r="P931" s="25">
        <f t="shared" si="786"/>
        <v>28263.43324439897</v>
      </c>
      <c r="Q931" s="25">
        <f t="array" aca="1" ref="Q931" ca="1">INDEX('Isaac 401k'!L:L,MATCH('Retirement Calculator'!A931,'Isaac 401k'!N:N,0),0)</f>
        <v>5801.2851691905289</v>
      </c>
      <c r="R931" s="25">
        <f t="array" aca="1" ref="R931" ca="1">INDEX('Lorri 401b'!L:L,MATCH('Retirement Calculator'!A931,'Lorri 401b'!N:N,0),0)</f>
        <v>-12529310.071635557</v>
      </c>
      <c r="S931" s="25">
        <f t="shared" ca="1" si="787"/>
        <v>-12523508.786466368</v>
      </c>
    </row>
    <row r="932" spans="1:19" ht="15.75" customHeight="1" x14ac:dyDescent="0.3">
      <c r="A932" s="37">
        <v>79319</v>
      </c>
      <c r="B932" s="398">
        <f t="shared" ref="B932:C932" si="943">($A932-B$9)/365.25</f>
        <v>135.28542094455852</v>
      </c>
      <c r="C932" s="398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3254.2644699519233</v>
      </c>
      <c r="H932" s="25">
        <f>IF(B932&lt;62,0,'Combined Retirement'!$I$14)</f>
        <v>2345</v>
      </c>
      <c r="I932" s="25">
        <f>IF(C932&lt;62,0,'Combined Retirement'!$I$13)</f>
        <v>2420</v>
      </c>
      <c r="J932" s="25">
        <f t="shared" si="783"/>
        <v>7896.2379798201846</v>
      </c>
      <c r="K932" s="25">
        <f t="shared" si="784"/>
        <v>20367.195264578786</v>
      </c>
      <c r="L932" s="25"/>
      <c r="N932" s="25">
        <f>'Combined Retirement'!$C$18/12</f>
        <v>39153.069999999992</v>
      </c>
      <c r="O932" s="25">
        <f t="shared" si="785"/>
        <v>10889.636755601023</v>
      </c>
      <c r="P932" s="25">
        <f t="shared" si="786"/>
        <v>28263.43324439897</v>
      </c>
      <c r="Q932" s="25">
        <f t="array" aca="1" ref="Q932" ca="1">INDEX('Isaac 401k'!L:L,MATCH('Retirement Calculator'!A932,'Isaac 401k'!N:N,0),0)</f>
        <v>-2103.6817806739459</v>
      </c>
      <c r="R932" s="25">
        <f t="array" aca="1" ref="R932" ca="1">INDEX('Lorri 401b'!L:L,MATCH('Retirement Calculator'!A932,'Lorri 401b'!N:N,0),0)</f>
        <v>-12601967.588845553</v>
      </c>
      <c r="S932" s="25">
        <f t="shared" ca="1" si="787"/>
        <v>-12604071.270626226</v>
      </c>
    </row>
    <row r="933" spans="1:19" ht="15.75" customHeight="1" x14ac:dyDescent="0.3">
      <c r="A933" s="37">
        <v>79350</v>
      </c>
      <c r="B933" s="398">
        <f t="shared" ref="B933:C933" si="944">($A933-B$9)/365.25</f>
        <v>135.37029431895962</v>
      </c>
      <c r="C933" s="398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3254.2644699519233</v>
      </c>
      <c r="H933" s="25">
        <f>IF(B933&lt;62,0,'Combined Retirement'!$I$14)</f>
        <v>2345</v>
      </c>
      <c r="I933" s="25">
        <f>IF(C933&lt;62,0,'Combined Retirement'!$I$13)</f>
        <v>2420</v>
      </c>
      <c r="J933" s="25">
        <f t="shared" si="783"/>
        <v>7896.2379798201846</v>
      </c>
      <c r="K933" s="25">
        <f t="shared" si="784"/>
        <v>20367.195264578786</v>
      </c>
      <c r="L933" s="25"/>
      <c r="N933" s="25">
        <f>'Combined Retirement'!$C$18/12</f>
        <v>39153.069999999992</v>
      </c>
      <c r="O933" s="25">
        <f t="shared" si="785"/>
        <v>10889.636755601023</v>
      </c>
      <c r="P933" s="25">
        <f t="shared" si="786"/>
        <v>28263.43324439897</v>
      </c>
      <c r="Q933" s="25">
        <f t="array" aca="1" ref="Q933" ca="1">INDEX('Isaac 401k'!L:L,MATCH('Retirement Calculator'!A933,'Isaac 401k'!N:N,0),0)</f>
        <v>-10041.586092829522</v>
      </c>
      <c r="R933" s="25">
        <f t="array" aca="1" ref="R933" ca="1">INDEX('Lorri 401b'!L:L,MATCH('Retirement Calculator'!A933,'Lorri 401b'!N:N,0),0)</f>
        <v>-12674927.84571059</v>
      </c>
      <c r="S933" s="25">
        <f t="shared" ca="1" si="787"/>
        <v>-12684969.43180342</v>
      </c>
    </row>
    <row r="934" spans="1:19" ht="15.75" customHeight="1" x14ac:dyDescent="0.3">
      <c r="A934" s="37">
        <v>79380</v>
      </c>
      <c r="B934" s="398">
        <f t="shared" ref="B934:C934" si="945">($A934-B$9)/365.25</f>
        <v>135.45242984257359</v>
      </c>
      <c r="C934" s="398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3254.2644699519233</v>
      </c>
      <c r="H934" s="25">
        <f>IF(B934&lt;62,0,'Combined Retirement'!$I$14)</f>
        <v>2345</v>
      </c>
      <c r="I934" s="25">
        <f>IF(C934&lt;62,0,'Combined Retirement'!$I$13)</f>
        <v>2420</v>
      </c>
      <c r="J934" s="25">
        <f t="shared" si="783"/>
        <v>7896.2379798201846</v>
      </c>
      <c r="K934" s="25">
        <f t="shared" si="784"/>
        <v>20367.195264578786</v>
      </c>
      <c r="L934" s="25"/>
      <c r="N934" s="25">
        <f>'Combined Retirement'!$C$18/12</f>
        <v>39153.069999999992</v>
      </c>
      <c r="O934" s="25">
        <f t="shared" si="785"/>
        <v>10889.636755601023</v>
      </c>
      <c r="P934" s="25">
        <f t="shared" si="786"/>
        <v>28263.43324439897</v>
      </c>
      <c r="Q934" s="25">
        <f t="array" aca="1" ref="Q934" ca="1">INDEX('Isaac 401k'!L:L,MATCH('Retirement Calculator'!A934,'Isaac 401k'!N:N,0),0)</f>
        <v>-18012.565006285746</v>
      </c>
      <c r="R934" s="25">
        <f t="array" aca="1" ref="R934" ca="1">INDEX('Lorri 401b'!L:L,MATCH('Retirement Calculator'!A934,'Lorri 401b'!N:N,0),0)</f>
        <v>-12748192.103645898</v>
      </c>
      <c r="S934" s="25">
        <f t="shared" ca="1" si="787"/>
        <v>-12766204.668652184</v>
      </c>
    </row>
    <row r="935" spans="1:19" ht="15.75" customHeight="1" x14ac:dyDescent="0.3">
      <c r="A935" s="37">
        <v>79411</v>
      </c>
      <c r="B935" s="398">
        <f t="shared" ref="B935:C935" si="946">($A935-B$9)/365.25</f>
        <v>135.53730321697466</v>
      </c>
      <c r="C935" s="398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3254.2644699519233</v>
      </c>
      <c r="H935" s="25">
        <f>IF(B935&lt;62,0,'Combined Retirement'!$I$14)</f>
        <v>2345</v>
      </c>
      <c r="I935" s="25">
        <f>IF(C935&lt;62,0,'Combined Retirement'!$I$13)</f>
        <v>2420</v>
      </c>
      <c r="J935" s="25">
        <f t="shared" si="783"/>
        <v>7896.2379798201846</v>
      </c>
      <c r="K935" s="25">
        <f t="shared" si="784"/>
        <v>20367.195264578786</v>
      </c>
      <c r="L935" s="25"/>
      <c r="N935" s="25">
        <f>'Combined Retirement'!$C$18/12</f>
        <v>39153.069999999992</v>
      </c>
      <c r="O935" s="25">
        <f t="shared" si="785"/>
        <v>10889.636755601023</v>
      </c>
      <c r="P935" s="25">
        <f t="shared" si="786"/>
        <v>28263.43324439897</v>
      </c>
      <c r="Q935" s="25">
        <f t="array" aca="1" ref="Q935" ca="1">INDEX('Isaac 401k'!L:L,MATCH('Retirement Calculator'!A935,'Isaac 401k'!N:N,0),0)</f>
        <v>-26016.75633188137</v>
      </c>
      <c r="R935" s="25">
        <f t="array" aca="1" ref="R935" ca="1">INDEX('Lorri 401b'!L:L,MATCH('Retirement Calculator'!A935,'Lorri 401b'!N:N,0),0)</f>
        <v>-12821761.629322603</v>
      </c>
      <c r="S935" s="25">
        <f t="shared" ca="1" si="787"/>
        <v>-12847778.385654485</v>
      </c>
    </row>
    <row r="936" spans="1:19" ht="15.75" customHeight="1" x14ac:dyDescent="0.3">
      <c r="A936" s="37">
        <v>79441</v>
      </c>
      <c r="B936" s="398">
        <f t="shared" ref="B936:C936" si="947">($A936-B$9)/365.25</f>
        <v>135.61943874058863</v>
      </c>
      <c r="C936" s="398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3254.2644699519233</v>
      </c>
      <c r="H936" s="25">
        <f>IF(B936&lt;62,0,'Combined Retirement'!$I$14)</f>
        <v>2345</v>
      </c>
      <c r="I936" s="25">
        <f>IF(C936&lt;62,0,'Combined Retirement'!$I$13)</f>
        <v>2420</v>
      </c>
      <c r="J936" s="25">
        <f t="shared" si="783"/>
        <v>7896.2379798201846</v>
      </c>
      <c r="K936" s="25">
        <f t="shared" si="784"/>
        <v>20367.195264578786</v>
      </c>
      <c r="L936" s="25"/>
      <c r="N936" s="25">
        <f>'Combined Retirement'!$C$18/12</f>
        <v>39153.069999999992</v>
      </c>
      <c r="O936" s="25">
        <f t="shared" si="785"/>
        <v>10889.636755601023</v>
      </c>
      <c r="P936" s="25">
        <f t="shared" si="786"/>
        <v>28263.43324439897</v>
      </c>
      <c r="Q936" s="25">
        <f t="array" aca="1" ref="Q936" ca="1">INDEX('Isaac 401k'!L:L,MATCH('Retirement Calculator'!A936,'Isaac 401k'!N:N,0),0)</f>
        <v>-34054.298454666983</v>
      </c>
      <c r="R936" s="25">
        <f t="array" aca="1" ref="R936" ca="1">INDEX('Lorri 401b'!L:L,MATCH('Retirement Calculator'!A936,'Lorri 401b'!N:N,0),0)</f>
        <v>-12895637.694689628</v>
      </c>
      <c r="S936" s="25">
        <f t="shared" ca="1" si="787"/>
        <v>-12929691.993144294</v>
      </c>
    </row>
    <row r="937" spans="1:19" ht="15.75" customHeight="1" x14ac:dyDescent="0.3">
      <c r="A937" s="37">
        <v>79472</v>
      </c>
      <c r="B937" s="398">
        <f t="shared" ref="B937:C937" si="948">($A937-B$9)/365.25</f>
        <v>135.70431211498973</v>
      </c>
      <c r="C937" s="398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3254.2644699519233</v>
      </c>
      <c r="H937" s="25">
        <f>IF(B937&lt;62,0,'Combined Retirement'!$I$14)</f>
        <v>2345</v>
      </c>
      <c r="I937" s="25">
        <f>IF(C937&lt;62,0,'Combined Retirement'!$I$13)</f>
        <v>2420</v>
      </c>
      <c r="J937" s="25">
        <f t="shared" si="783"/>
        <v>7896.2379798201846</v>
      </c>
      <c r="K937" s="25">
        <f t="shared" si="784"/>
        <v>20367.195264578786</v>
      </c>
      <c r="L937" s="25"/>
      <c r="N937" s="25">
        <f>'Combined Retirement'!$C$18/12</f>
        <v>39153.069999999992</v>
      </c>
      <c r="O937" s="25">
        <f t="shared" si="785"/>
        <v>10889.636755601023</v>
      </c>
      <c r="P937" s="25">
        <f t="shared" si="786"/>
        <v>28263.43324439897</v>
      </c>
      <c r="Q937" s="25">
        <f t="array" aca="1" ref="Q937" ca="1">INDEX('Isaac 401k'!L:L,MATCH('Retirement Calculator'!A937,'Isaac 401k'!N:N,0),0)</f>
        <v>-42125.330336297535</v>
      </c>
      <c r="R937" s="25">
        <f t="array" aca="1" ref="R937" ca="1">INDEX('Lorri 401b'!L:L,MATCH('Retirement Calculator'!A937,'Lorri 401b'!N:N,0),0)</f>
        <v>-12969821.576995682</v>
      </c>
      <c r="S937" s="25">
        <f t="shared" ca="1" si="787"/>
        <v>-13011946.907331979</v>
      </c>
    </row>
    <row r="938" spans="1:19" ht="15.75" customHeight="1" x14ac:dyDescent="0.3">
      <c r="A938" s="37">
        <v>79503</v>
      </c>
      <c r="B938" s="398">
        <f t="shared" ref="B938:C938" si="949">($A938-B$9)/365.25</f>
        <v>135.78918548939083</v>
      </c>
      <c r="C938" s="398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3254.2644699519233</v>
      </c>
      <c r="H938" s="25">
        <f>IF(B938&lt;62,0,'Combined Retirement'!$I$14)</f>
        <v>2345</v>
      </c>
      <c r="I938" s="25">
        <f>IF(C938&lt;62,0,'Combined Retirement'!$I$13)</f>
        <v>2420</v>
      </c>
      <c r="J938" s="25">
        <f t="shared" si="783"/>
        <v>7896.2379798201846</v>
      </c>
      <c r="K938" s="25">
        <f t="shared" si="784"/>
        <v>20367.195264578786</v>
      </c>
      <c r="L938" s="25"/>
      <c r="N938" s="25">
        <f>'Combined Retirement'!$C$18/12</f>
        <v>39153.069999999992</v>
      </c>
      <c r="O938" s="25">
        <f t="shared" si="785"/>
        <v>10889.636755601023</v>
      </c>
      <c r="P938" s="25">
        <f t="shared" si="786"/>
        <v>28263.43324439897</v>
      </c>
      <c r="Q938" s="25">
        <f t="array" aca="1" ref="Q938" ca="1">INDEX('Isaac 401k'!L:L,MATCH('Retirement Calculator'!A938,'Isaac 401k'!N:N,0),0)</f>
        <v>-50229.991517434879</v>
      </c>
      <c r="R938" s="25">
        <f t="array" aca="1" ref="R938" ca="1">INDEX('Lorri 401b'!L:L,MATCH('Retirement Calculator'!A938,'Lorri 401b'!N:N,0),0)</f>
        <v>-13044314.558811344</v>
      </c>
      <c r="S938" s="25">
        <f t="shared" ca="1" si="787"/>
        <v>-13094544.55032878</v>
      </c>
    </row>
    <row r="939" spans="1:19" ht="15.75" customHeight="1" x14ac:dyDescent="0.3">
      <c r="A939" s="37">
        <v>79533</v>
      </c>
      <c r="B939" s="398">
        <f t="shared" ref="B939:C939" si="950">($A939-B$9)/365.25</f>
        <v>135.8713210130048</v>
      </c>
      <c r="C939" s="398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3254.2644699519233</v>
      </c>
      <c r="H939" s="25">
        <f>IF(B939&lt;62,0,'Combined Retirement'!$I$14)</f>
        <v>2345</v>
      </c>
      <c r="I939" s="25">
        <f>IF(C939&lt;62,0,'Combined Retirement'!$I$13)</f>
        <v>2420</v>
      </c>
      <c r="J939" s="25">
        <f t="shared" si="783"/>
        <v>7896.2379798201846</v>
      </c>
      <c r="K939" s="25">
        <f t="shared" si="784"/>
        <v>20367.195264578786</v>
      </c>
      <c r="L939" s="25"/>
      <c r="N939" s="25">
        <f>'Combined Retirement'!$C$18/12</f>
        <v>39153.069999999992</v>
      </c>
      <c r="O939" s="25">
        <f t="shared" si="785"/>
        <v>10889.636755601023</v>
      </c>
      <c r="P939" s="25">
        <f t="shared" si="786"/>
        <v>28263.43324439897</v>
      </c>
      <c r="Q939" s="25">
        <f t="array" aca="1" ref="Q939" ca="1">INDEX('Isaac 401k'!L:L,MATCH('Retirement Calculator'!A939,'Isaac 401k'!N:N,0),0)</f>
        <v>-58368.422120160292</v>
      </c>
      <c r="R939" s="25">
        <f t="array" aca="1" ref="R939" ca="1">INDEX('Lorri 401b'!L:L,MATCH('Retirement Calculator'!A939,'Lorri 401b'!N:N,0),0)</f>
        <v>-13119117.928051239</v>
      </c>
      <c r="S939" s="25">
        <f t="shared" ca="1" si="787"/>
        <v>-13177486.350171398</v>
      </c>
    </row>
    <row r="940" spans="1:19" ht="15.75" customHeight="1" x14ac:dyDescent="0.3">
      <c r="A940" s="37">
        <v>79564</v>
      </c>
      <c r="B940" s="398">
        <f t="shared" ref="B940:C940" si="951">($A940-B$9)/365.25</f>
        <v>135.95619438740587</v>
      </c>
      <c r="C940" s="398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3254.2644699519233</v>
      </c>
      <c r="H940" s="25">
        <f>IF(B940&lt;62,0,'Combined Retirement'!$I$14)</f>
        <v>2345</v>
      </c>
      <c r="I940" s="25">
        <f>IF(C940&lt;62,0,'Combined Retirement'!$I$13)</f>
        <v>2420</v>
      </c>
      <c r="J940" s="25">
        <f t="shared" si="783"/>
        <v>7896.2379798201846</v>
      </c>
      <c r="K940" s="25">
        <f t="shared" si="784"/>
        <v>20367.195264578786</v>
      </c>
      <c r="L940" s="25"/>
      <c r="N940" s="25">
        <f>'Combined Retirement'!$C$18/12</f>
        <v>39153.069999999992</v>
      </c>
      <c r="O940" s="25">
        <f t="shared" si="785"/>
        <v>10889.636755601023</v>
      </c>
      <c r="P940" s="25">
        <f t="shared" si="786"/>
        <v>28263.43324439897</v>
      </c>
      <c r="Q940" s="25">
        <f t="array" aca="1" ref="Q940" ca="1">INDEX('Isaac 401k'!L:L,MATCH('Retirement Calculator'!A940,'Isaac 401k'!N:N,0),0)</f>
        <v>-66540.762850397063</v>
      </c>
      <c r="R940" s="25">
        <f t="array" aca="1" ref="R940" ca="1">INDEX('Lorri 401b'!L:L,MATCH('Retirement Calculator'!A940,'Lorri 401b'!N:N,0),0)</f>
        <v>-13194232.977996299</v>
      </c>
      <c r="S940" s="25">
        <f t="shared" ca="1" si="787"/>
        <v>-13260773.740846695</v>
      </c>
    </row>
    <row r="941" spans="1:19" ht="15.75" customHeight="1" x14ac:dyDescent="0.3">
      <c r="A941" s="37">
        <v>79594</v>
      </c>
      <c r="B941" s="398">
        <f t="shared" ref="B941:C941" si="952">($A941-B$9)/365.25</f>
        <v>136.03832991101984</v>
      </c>
      <c r="C941" s="398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3254.2644699519233</v>
      </c>
      <c r="H941" s="25">
        <f>IF(B941&lt;62,0,'Combined Retirement'!$I$14)</f>
        <v>2345</v>
      </c>
      <c r="I941" s="25">
        <f>IF(C941&lt;62,0,'Combined Retirement'!$I$13)</f>
        <v>2420</v>
      </c>
      <c r="J941" s="25">
        <f t="shared" si="783"/>
        <v>7896.2379798201846</v>
      </c>
      <c r="K941" s="25">
        <f t="shared" si="784"/>
        <v>20367.195264578786</v>
      </c>
      <c r="L941" s="25"/>
      <c r="N941" s="25">
        <f>'Combined Retirement'!$C$18/12</f>
        <v>39153.069999999992</v>
      </c>
      <c r="O941" s="25">
        <f t="shared" si="785"/>
        <v>10889.636755601023</v>
      </c>
      <c r="P941" s="25">
        <f t="shared" si="786"/>
        <v>28263.43324439897</v>
      </c>
      <c r="Q941" s="25">
        <f t="array" aca="1" ref="Q941" ca="1">INDEX('Isaac 401k'!L:L,MATCH('Retirement Calculator'!A941,'Isaac 401k'!N:N,0),0)</f>
        <v>-74747.155000343162</v>
      </c>
      <c r="R941" s="25">
        <f t="array" aca="1" ref="R941" ca="1">INDEX('Lorri 401b'!L:L,MATCH('Retirement Calculator'!A941,'Lorri 401b'!N:N,0),0)</f>
        <v>-13269661.007316131</v>
      </c>
      <c r="S941" s="25">
        <f t="shared" ca="1" si="787"/>
        <v>-13344408.162316475</v>
      </c>
    </row>
    <row r="942" spans="1:19" ht="15.75" customHeight="1" x14ac:dyDescent="0.3">
      <c r="A942" s="37">
        <v>79625</v>
      </c>
      <c r="B942" s="398">
        <f t="shared" ref="B942:C942" si="953">($A942-B$9)/365.25</f>
        <v>136.12320328542094</v>
      </c>
      <c r="C942" s="398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3254.2644699519233</v>
      </c>
      <c r="H942" s="25">
        <f>IF(B942&lt;62,0,'Combined Retirement'!$I$14)</f>
        <v>2345</v>
      </c>
      <c r="I942" s="25">
        <f>IF(C942&lt;62,0,'Combined Retirement'!$I$13)</f>
        <v>2420</v>
      </c>
      <c r="J942" s="25">
        <f t="shared" si="783"/>
        <v>7896.2379798201846</v>
      </c>
      <c r="K942" s="25">
        <f t="shared" si="784"/>
        <v>20367.195264578786</v>
      </c>
      <c r="L942" s="25"/>
      <c r="N942" s="25">
        <f>'Combined Retirement'!$C$18/12</f>
        <v>39153.069999999992</v>
      </c>
      <c r="O942" s="25">
        <f t="shared" si="785"/>
        <v>10889.636755601023</v>
      </c>
      <c r="P942" s="25">
        <f t="shared" si="786"/>
        <v>28263.43324439897</v>
      </c>
      <c r="Q942" s="25">
        <f t="array" aca="1" ref="Q942" ca="1">INDEX('Isaac 401k'!L:L,MATCH('Retirement Calculator'!A942,'Isaac 401k'!N:N,0),0)</f>
        <v>-82987.740450914032</v>
      </c>
      <c r="R942" s="25">
        <f t="array" aca="1" ref="R942" ca="1">INDEX('Lorri 401b'!L:L,MATCH('Retirement Calculator'!A942,'Lorri 401b'!N:N,0),0)</f>
        <v>-13345403.320091462</v>
      </c>
      <c r="S942" s="25">
        <f t="shared" ca="1" si="787"/>
        <v>-13428391.060542377</v>
      </c>
    </row>
    <row r="943" spans="1:19" ht="15.75" customHeight="1" x14ac:dyDescent="0.3">
      <c r="A943" s="37">
        <v>79656</v>
      </c>
      <c r="B943" s="398">
        <f t="shared" ref="B943:C943" si="954">($A943-B$9)/365.25</f>
        <v>136.20807665982204</v>
      </c>
      <c r="C943" s="398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3254.2644699519233</v>
      </c>
      <c r="H943" s="25">
        <f>IF(B943&lt;62,0,'Combined Retirement'!$I$14)</f>
        <v>2345</v>
      </c>
      <c r="I943" s="25">
        <f>IF(C943&lt;62,0,'Combined Retirement'!$I$13)</f>
        <v>2420</v>
      </c>
      <c r="J943" s="25">
        <f t="shared" si="783"/>
        <v>7896.2379798201846</v>
      </c>
      <c r="K943" s="25">
        <f t="shared" si="784"/>
        <v>20367.195264578786</v>
      </c>
      <c r="L943" s="25"/>
      <c r="N943" s="25">
        <f>'Combined Retirement'!$C$18/12</f>
        <v>39153.069999999992</v>
      </c>
      <c r="O943" s="25">
        <f t="shared" si="785"/>
        <v>10889.636755601023</v>
      </c>
      <c r="P943" s="25">
        <f t="shared" si="786"/>
        <v>28263.43324439897</v>
      </c>
      <c r="Q943" s="25">
        <f t="array" aca="1" ref="Q943" ca="1">INDEX('Isaac 401k'!L:L,MATCH('Retirement Calculator'!A943,'Isaac 401k'!N:N,0),0)</f>
        <v>-91262.66167419561</v>
      </c>
      <c r="R943" s="25">
        <f t="array" aca="1" ref="R943" ca="1">INDEX('Lorri 401b'!L:L,MATCH('Retirement Calculator'!A943,'Lorri 401b'!N:N,0),0)</f>
        <v>-13421461.225836691</v>
      </c>
      <c r="S943" s="25">
        <f t="shared" ca="1" si="787"/>
        <v>-13512723.887510886</v>
      </c>
    </row>
    <row r="944" spans="1:19" ht="15.75" customHeight="1" x14ac:dyDescent="0.3">
      <c r="A944" s="37">
        <v>79684</v>
      </c>
      <c r="B944" s="398">
        <f t="shared" ref="B944:C944" si="955">($A944-B$9)/365.25</f>
        <v>136.28473648186173</v>
      </c>
      <c r="C944" s="398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3254.2644699519233</v>
      </c>
      <c r="H944" s="25">
        <f>IF(B944&lt;62,0,'Combined Retirement'!$I$14)</f>
        <v>2345</v>
      </c>
      <c r="I944" s="25">
        <f>IF(C944&lt;62,0,'Combined Retirement'!$I$13)</f>
        <v>2420</v>
      </c>
      <c r="J944" s="25">
        <f t="shared" si="783"/>
        <v>7896.2379798201846</v>
      </c>
      <c r="K944" s="25">
        <f t="shared" si="784"/>
        <v>20367.195264578786</v>
      </c>
      <c r="L944" s="25"/>
      <c r="N944" s="25">
        <f>'Combined Retirement'!$C$18/12</f>
        <v>39153.069999999992</v>
      </c>
      <c r="O944" s="25">
        <f t="shared" si="785"/>
        <v>10889.636755601023</v>
      </c>
      <c r="P944" s="25">
        <f t="shared" si="786"/>
        <v>28263.43324439897</v>
      </c>
      <c r="Q944" s="25">
        <f t="array" aca="1" ref="Q944" ca="1">INDEX('Isaac 401k'!L:L,MATCH('Retirement Calculator'!A944,'Isaac 401k'!N:N,0),0)</f>
        <v>-99572.061735907526</v>
      </c>
      <c r="R944" s="25">
        <f t="array" aca="1" ref="R944" ca="1">INDEX('Lorri 401b'!L:L,MATCH('Retirement Calculator'!A944,'Lorri 401b'!N:N,0),0)</f>
        <v>-13497836.039522523</v>
      </c>
      <c r="S944" s="25">
        <f t="shared" ca="1" si="787"/>
        <v>-13597408.101258431</v>
      </c>
    </row>
    <row r="945" spans="1:19" ht="15.75" customHeight="1" x14ac:dyDescent="0.3">
      <c r="A945" s="37">
        <v>79715</v>
      </c>
      <c r="B945" s="398">
        <f t="shared" ref="B945:C945" si="956">($A945-B$9)/365.25</f>
        <v>136.36960985626283</v>
      </c>
      <c r="C945" s="398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3254.2644699519233</v>
      </c>
      <c r="H945" s="25">
        <f>IF(B945&lt;62,0,'Combined Retirement'!$I$14)</f>
        <v>2345</v>
      </c>
      <c r="I945" s="25">
        <f>IF(C945&lt;62,0,'Combined Retirement'!$I$13)</f>
        <v>2420</v>
      </c>
      <c r="J945" s="25">
        <f t="shared" si="783"/>
        <v>7896.2379798201846</v>
      </c>
      <c r="K945" s="25">
        <f t="shared" si="784"/>
        <v>20367.195264578786</v>
      </c>
      <c r="L945" s="25"/>
      <c r="N945" s="25">
        <f>'Combined Retirement'!$C$18/12</f>
        <v>39153.069999999992</v>
      </c>
      <c r="O945" s="25">
        <f t="shared" si="785"/>
        <v>10889.636755601023</v>
      </c>
      <c r="P945" s="25">
        <f t="shared" si="786"/>
        <v>28263.43324439897</v>
      </c>
      <c r="Q945" s="25">
        <f t="array" aca="1" ref="Q945" ca="1">INDEX('Isaac 401k'!L:L,MATCH('Retirement Calculator'!A945,'Isaac 401k'!N:N,0),0)</f>
        <v>-107916.08429787657</v>
      </c>
      <c r="R945" s="25">
        <f t="array" aca="1" ref="R945" ca="1">INDEX('Lorri 401b'!L:L,MATCH('Retirement Calculator'!A945,'Lorri 401b'!N:N,0),0)</f>
        <v>-13574529.081598714</v>
      </c>
      <c r="S945" s="25">
        <f t="shared" ca="1" si="787"/>
        <v>-13682445.165896591</v>
      </c>
    </row>
    <row r="946" spans="1:19" ht="15.75" customHeight="1" x14ac:dyDescent="0.3">
      <c r="A946" s="37">
        <v>79745</v>
      </c>
      <c r="B946" s="398">
        <f t="shared" ref="B946:C946" si="957">($A946-B$9)/365.25</f>
        <v>136.4517453798768</v>
      </c>
      <c r="C946" s="398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3254.2644699519233</v>
      </c>
      <c r="H946" s="25">
        <f>IF(B946&lt;62,0,'Combined Retirement'!$I$14)</f>
        <v>2345</v>
      </c>
      <c r="I946" s="25">
        <f>IF(C946&lt;62,0,'Combined Retirement'!$I$13)</f>
        <v>2420</v>
      </c>
      <c r="J946" s="25">
        <f t="shared" si="783"/>
        <v>7896.2379798201846</v>
      </c>
      <c r="K946" s="25">
        <f t="shared" si="784"/>
        <v>20367.195264578786</v>
      </c>
      <c r="L946" s="25"/>
      <c r="N946" s="25">
        <f>'Combined Retirement'!$C$18/12</f>
        <v>39153.069999999992</v>
      </c>
      <c r="O946" s="25">
        <f t="shared" si="785"/>
        <v>10889.636755601023</v>
      </c>
      <c r="P946" s="25">
        <f t="shared" si="786"/>
        <v>28263.43324439897</v>
      </c>
      <c r="Q946" s="25">
        <f t="array" aca="1" ref="Q946" ca="1">INDEX('Isaac 401k'!L:L,MATCH('Retirement Calculator'!A946,'Isaac 401k'!N:N,0),0)</f>
        <v>-116294.87362052049</v>
      </c>
      <c r="R946" s="25">
        <f t="array" aca="1" ref="R946" ca="1">INDEX('Lorri 401b'!L:L,MATCH('Retirement Calculator'!A946,'Lorri 401b'!N:N,0),0)</f>
        <v>-13651541.67801689</v>
      </c>
      <c r="S946" s="25">
        <f t="shared" ca="1" si="787"/>
        <v>-13767836.551637411</v>
      </c>
    </row>
    <row r="947" spans="1:19" ht="15.75" customHeight="1" x14ac:dyDescent="0.3">
      <c r="A947" s="37">
        <v>79776</v>
      </c>
      <c r="B947" s="398">
        <f t="shared" ref="B947:C947" si="958">($A947-B$9)/365.25</f>
        <v>136.5366187542779</v>
      </c>
      <c r="C947" s="398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3254.2644699519233</v>
      </c>
      <c r="H947" s="25">
        <f>IF(B947&lt;62,0,'Combined Retirement'!$I$14)</f>
        <v>2345</v>
      </c>
      <c r="I947" s="25">
        <f>IF(C947&lt;62,0,'Combined Retirement'!$I$13)</f>
        <v>2420</v>
      </c>
      <c r="J947" s="25">
        <f t="shared" si="783"/>
        <v>7896.2379798201846</v>
      </c>
      <c r="K947" s="25">
        <f t="shared" si="784"/>
        <v>20367.195264578786</v>
      </c>
      <c r="L947" s="25"/>
      <c r="N947" s="25">
        <f>'Combined Retirement'!$C$18/12</f>
        <v>39153.069999999992</v>
      </c>
      <c r="O947" s="25">
        <f t="shared" si="785"/>
        <v>10889.636755601023</v>
      </c>
      <c r="P947" s="25">
        <f t="shared" si="786"/>
        <v>28263.43324439897</v>
      </c>
      <c r="Q947" s="25">
        <f t="array" aca="1" ref="Q947" ca="1">INDEX('Isaac 401k'!L:L,MATCH('Retirement Calculator'!A947,'Isaac 401k'!N:N,0),0)</f>
        <v>-124708.5745653421</v>
      </c>
      <c r="R947" s="25">
        <f t="array" aca="1" ref="R947" ca="1">INDEX('Lorri 401b'!L:L,MATCH('Retirement Calculator'!A947,'Lorri 401b'!N:N,0),0)</f>
        <v>-13728875.160253474</v>
      </c>
      <c r="S947" s="25">
        <f t="shared" ca="1" si="787"/>
        <v>-13853583.734818816</v>
      </c>
    </row>
    <row r="948" spans="1:19" ht="15.75" customHeight="1" x14ac:dyDescent="0.3">
      <c r="A948" s="37">
        <v>79806</v>
      </c>
      <c r="B948" s="398">
        <f t="shared" ref="B948:C948" si="959">($A948-B$9)/365.25</f>
        <v>136.61875427789187</v>
      </c>
      <c r="C948" s="398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3254.2644699519233</v>
      </c>
      <c r="H948" s="25">
        <f>IF(B948&lt;62,0,'Combined Retirement'!$I$14)</f>
        <v>2345</v>
      </c>
      <c r="I948" s="25">
        <f>IF(C948&lt;62,0,'Combined Retirement'!$I$13)</f>
        <v>2420</v>
      </c>
      <c r="J948" s="25">
        <f t="shared" si="783"/>
        <v>7896.2379798201846</v>
      </c>
      <c r="K948" s="25">
        <f t="shared" si="784"/>
        <v>20367.195264578786</v>
      </c>
      <c r="L948" s="25"/>
      <c r="N948" s="25">
        <f>'Combined Retirement'!$C$18/12</f>
        <v>39153.069999999992</v>
      </c>
      <c r="O948" s="25">
        <f t="shared" si="785"/>
        <v>10889.636755601023</v>
      </c>
      <c r="P948" s="25">
        <f t="shared" si="786"/>
        <v>28263.43324439897</v>
      </c>
      <c r="Q948" s="25">
        <f t="array" aca="1" ref="Q948" ca="1">INDEX('Isaac 401k'!L:L,MATCH('Retirement Calculator'!A948,'Isaac 401k'!N:N,0),0)</f>
        <v>-133157.33259743379</v>
      </c>
      <c r="R948" s="25">
        <f t="array" aca="1" ref="R948" ca="1">INDEX('Lorri 401b'!L:L,MATCH('Retirement Calculator'!A948,'Lorri 401b'!N:N,0),0)</f>
        <v>-13806530.865332711</v>
      </c>
      <c r="S948" s="25">
        <f t="shared" ca="1" si="787"/>
        <v>-13939688.197930146</v>
      </c>
    </row>
    <row r="949" spans="1:19" ht="15.75" customHeight="1" x14ac:dyDescent="0.3">
      <c r="A949" s="37">
        <v>79837</v>
      </c>
      <c r="B949" s="398">
        <f t="shared" ref="B949:C949" si="960">($A949-B$9)/365.25</f>
        <v>136.70362765229294</v>
      </c>
      <c r="C949" s="398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3254.2644699519233</v>
      </c>
      <c r="H949" s="25">
        <f>IF(B949&lt;62,0,'Combined Retirement'!$I$14)</f>
        <v>2345</v>
      </c>
      <c r="I949" s="25">
        <f>IF(C949&lt;62,0,'Combined Retirement'!$I$13)</f>
        <v>2420</v>
      </c>
      <c r="J949" s="25">
        <f t="shared" si="783"/>
        <v>7896.2379798201846</v>
      </c>
      <c r="K949" s="25">
        <f t="shared" si="784"/>
        <v>20367.195264578786</v>
      </c>
      <c r="L949" s="25"/>
      <c r="N949" s="25">
        <f>'Combined Retirement'!$C$18/12</f>
        <v>39153.069999999992</v>
      </c>
      <c r="O949" s="25">
        <f t="shared" si="785"/>
        <v>10889.636755601023</v>
      </c>
      <c r="P949" s="25">
        <f t="shared" si="786"/>
        <v>28263.43324439897</v>
      </c>
      <c r="Q949" s="25">
        <f t="array" aca="1" ref="Q949" ca="1">INDEX('Isaac 401k'!L:L,MATCH('Retirement Calculator'!A949,'Isaac 401k'!N:N,0),0)</f>
        <v>-141641.29378799253</v>
      </c>
      <c r="R949" s="25">
        <f t="array" aca="1" ref="R949" ca="1">INDEX('Lorri 401b'!L:L,MATCH('Retirement Calculator'!A949,'Lorri 401b'!N:N,0),0)</f>
        <v>-13884510.135849778</v>
      </c>
      <c r="S949" s="25">
        <f t="shared" ca="1" si="787"/>
        <v>-14026151.429637769</v>
      </c>
    </row>
    <row r="950" spans="1:19" ht="15.75" customHeight="1" x14ac:dyDescent="0.3">
      <c r="A950" s="37">
        <v>79868</v>
      </c>
      <c r="B950" s="398">
        <f t="shared" ref="B950:C950" si="961">($A950-B$9)/365.25</f>
        <v>136.78850102669404</v>
      </c>
      <c r="C950" s="398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3254.2644699519233</v>
      </c>
      <c r="H950" s="25">
        <f>IF(B950&lt;62,0,'Combined Retirement'!$I$14)</f>
        <v>2345</v>
      </c>
      <c r="I950" s="25">
        <f>IF(C950&lt;62,0,'Combined Retirement'!$I$13)</f>
        <v>2420</v>
      </c>
      <c r="J950" s="25">
        <f t="shared" si="783"/>
        <v>7896.2379798201846</v>
      </c>
      <c r="K950" s="25">
        <f t="shared" si="784"/>
        <v>20367.195264578786</v>
      </c>
      <c r="L950" s="25"/>
      <c r="N950" s="25">
        <f>'Combined Retirement'!$C$18/12</f>
        <v>39153.069999999992</v>
      </c>
      <c r="O950" s="25">
        <f t="shared" si="785"/>
        <v>10889.636755601023</v>
      </c>
      <c r="P950" s="25">
        <f t="shared" si="786"/>
        <v>28263.43324439897</v>
      </c>
      <c r="Q950" s="25">
        <f t="array" aca="1" ref="Q950" ca="1">INDEX('Isaac 401k'!L:L,MATCH('Retirement Calculator'!A950,'Isaac 401k'!N:N,0),0)</f>
        <v>-150160.60481684527</v>
      </c>
      <c r="R950" s="25">
        <f t="array" aca="1" ref="R950" ca="1">INDEX('Lorri 401b'!L:L,MATCH('Retirement Calculator'!A950,'Lorri 401b'!N:N,0),0)</f>
        <v>-13962814.319993999</v>
      </c>
      <c r="S950" s="25">
        <f t="shared" ca="1" si="787"/>
        <v>-14112974.924810844</v>
      </c>
    </row>
    <row r="951" spans="1:19" ht="15.75" customHeight="1" x14ac:dyDescent="0.3">
      <c r="A951" s="37">
        <v>79898</v>
      </c>
      <c r="B951" s="398">
        <f t="shared" ref="B951:C951" si="962">($A951-B$9)/365.25</f>
        <v>136.87063655030801</v>
      </c>
      <c r="C951" s="398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3254.2644699519233</v>
      </c>
      <c r="H951" s="25">
        <f>IF(B951&lt;62,0,'Combined Retirement'!$I$14)</f>
        <v>2345</v>
      </c>
      <c r="I951" s="25">
        <f>IF(C951&lt;62,0,'Combined Retirement'!$I$13)</f>
        <v>2420</v>
      </c>
      <c r="J951" s="25">
        <f t="shared" si="783"/>
        <v>7896.2379798201846</v>
      </c>
      <c r="K951" s="25">
        <f t="shared" si="784"/>
        <v>20367.195264578786</v>
      </c>
      <c r="L951" s="25"/>
      <c r="N951" s="25">
        <f>'Combined Retirement'!$C$18/12</f>
        <v>39153.069999999992</v>
      </c>
      <c r="O951" s="25">
        <f t="shared" si="785"/>
        <v>10889.636755601023</v>
      </c>
      <c r="P951" s="25">
        <f t="shared" si="786"/>
        <v>28263.43324439897</v>
      </c>
      <c r="Q951" s="25">
        <f t="array" aca="1" ref="Q951" ca="1">INDEX('Isaac 401k'!L:L,MATCH('Retirement Calculator'!A951,'Isaac 401k'!N:N,0),0)</f>
        <v>-158715.41297498488</v>
      </c>
      <c r="R951" s="25">
        <f t="array" aca="1" ref="R951" ca="1">INDEX('Lorri 401b'!L:L,MATCH('Retirement Calculator'!A951,'Lorri 401b'!N:N,0),0)</f>
        <v>-14041444.771572154</v>
      </c>
      <c r="S951" s="25">
        <f t="shared" ca="1" si="787"/>
        <v>-14200160.184547139</v>
      </c>
    </row>
    <row r="952" spans="1:19" ht="15.75" customHeight="1" x14ac:dyDescent="0.3">
      <c r="A952" s="37">
        <v>79929</v>
      </c>
      <c r="B952" s="398">
        <f t="shared" ref="B952:C952" si="963">($A952-B$9)/365.25</f>
        <v>136.95550992470911</v>
      </c>
      <c r="C952" s="398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3254.2644699519233</v>
      </c>
      <c r="H952" s="25">
        <f>IF(B952&lt;62,0,'Combined Retirement'!$I$14)</f>
        <v>2345</v>
      </c>
      <c r="I952" s="25">
        <f>IF(C952&lt;62,0,'Combined Retirement'!$I$13)</f>
        <v>2420</v>
      </c>
      <c r="J952" s="25">
        <f t="shared" si="783"/>
        <v>7896.2379798201846</v>
      </c>
      <c r="K952" s="25">
        <f t="shared" si="784"/>
        <v>20367.195264578786</v>
      </c>
      <c r="L952" s="25"/>
      <c r="N952" s="25">
        <f>'Combined Retirement'!$C$18/12</f>
        <v>39153.069999999992</v>
      </c>
      <c r="O952" s="25">
        <f t="shared" si="785"/>
        <v>10889.636755601023</v>
      </c>
      <c r="P952" s="25">
        <f t="shared" si="786"/>
        <v>28263.43324439897</v>
      </c>
      <c r="Q952" s="25">
        <f t="array" aca="1" ref="Q952" ca="1">INDEX('Isaac 401k'!L:L,MATCH('Retirement Calculator'!A952,'Isaac 401k'!N:N,0),0)</f>
        <v>-167305.86616711674</v>
      </c>
      <c r="R952" s="25">
        <f t="array" aca="1" ref="R952" ca="1">INDEX('Lorri 401b'!L:L,MATCH('Retirement Calculator'!A952,'Lorri 401b'!N:N,0),0)</f>
        <v>-14120402.850031884</v>
      </c>
      <c r="S952" s="25">
        <f t="shared" ca="1" si="787"/>
        <v>-14287708.716199001</v>
      </c>
    </row>
    <row r="953" spans="1:19" ht="15.75" customHeight="1" x14ac:dyDescent="0.3">
      <c r="A953" s="37">
        <v>79959</v>
      </c>
      <c r="B953" s="398">
        <f t="shared" ref="B953:C953" si="964">($A953-B$9)/365.25</f>
        <v>137.03764544832308</v>
      </c>
      <c r="C953" s="398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3254.2644699519233</v>
      </c>
      <c r="H953" s="25">
        <f>IF(B953&lt;62,0,'Combined Retirement'!$I$14)</f>
        <v>2345</v>
      </c>
      <c r="I953" s="25">
        <f>IF(C953&lt;62,0,'Combined Retirement'!$I$13)</f>
        <v>2420</v>
      </c>
      <c r="J953" s="25">
        <f t="shared" si="783"/>
        <v>7896.2379798201846</v>
      </c>
      <c r="K953" s="25">
        <f t="shared" si="784"/>
        <v>20367.195264578786</v>
      </c>
      <c r="L953" s="25"/>
      <c r="N953" s="25">
        <f>'Combined Retirement'!$C$18/12</f>
        <v>39153.069999999992</v>
      </c>
      <c r="O953" s="25">
        <f t="shared" si="785"/>
        <v>10889.636755601023</v>
      </c>
      <c r="P953" s="25">
        <f t="shared" si="786"/>
        <v>28263.43324439897</v>
      </c>
      <c r="Q953" s="25">
        <f t="array" aca="1" ref="Q953" ca="1">INDEX('Isaac 401k'!L:L,MATCH('Retirement Calculator'!A953,'Isaac 401k'!N:N,0),0)</f>
        <v>-175932.1129142158</v>
      </c>
      <c r="R953" s="25">
        <f t="array" aca="1" ref="R953" ca="1">INDEX('Lorri 401b'!L:L,MATCH('Retirement Calculator'!A953,'Lorri 401b'!N:N,0),0)</f>
        <v>-14199689.920485197</v>
      </c>
      <c r="S953" s="25">
        <f t="shared" ca="1" si="787"/>
        <v>-14375622.033399412</v>
      </c>
    </row>
    <row r="954" spans="1:19" ht="15.75" customHeight="1" x14ac:dyDescent="0.3">
      <c r="A954" s="37">
        <v>79990</v>
      </c>
      <c r="B954" s="398">
        <f t="shared" ref="B954:C954" si="965">($A954-B$9)/365.25</f>
        <v>137.12251882272417</v>
      </c>
      <c r="C954" s="398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3254.2644699519233</v>
      </c>
      <c r="H954" s="25">
        <f>IF(B954&lt;62,0,'Combined Retirement'!$I$14)</f>
        <v>2345</v>
      </c>
      <c r="I954" s="25">
        <f>IF(C954&lt;62,0,'Combined Retirement'!$I$13)</f>
        <v>2420</v>
      </c>
      <c r="J954" s="25">
        <f t="shared" si="783"/>
        <v>7896.2379798201846</v>
      </c>
      <c r="K954" s="25">
        <f t="shared" si="784"/>
        <v>20367.195264578786</v>
      </c>
      <c r="L954" s="25"/>
      <c r="N954" s="25">
        <f>'Combined Retirement'!$C$18/12</f>
        <v>39153.069999999992</v>
      </c>
      <c r="O954" s="25">
        <f t="shared" si="785"/>
        <v>10889.636755601023</v>
      </c>
      <c r="P954" s="25">
        <f t="shared" si="786"/>
        <v>28263.43324439897</v>
      </c>
      <c r="Q954" s="25">
        <f t="array" aca="1" ref="Q954" ca="1">INDEX('Isaac 401k'!L:L,MATCH('Retirement Calculator'!A954,'Isaac 401k'!N:N,0),0)</f>
        <v>-184594.30235609447</v>
      </c>
      <c r="R954" s="25">
        <f t="array" aca="1" ref="R954" ca="1">INDEX('Lorri 401b'!L:L,MATCH('Retirement Calculator'!A954,'Lorri 401b'!N:N,0),0)</f>
        <v>-14279307.353732064</v>
      </c>
      <c r="S954" s="25">
        <f t="shared" ca="1" si="787"/>
        <v>-14463901.656088158</v>
      </c>
    </row>
    <row r="955" spans="1:19" ht="15.75" customHeight="1" x14ac:dyDescent="0.3">
      <c r="A955" s="37">
        <v>80021</v>
      </c>
      <c r="B955" s="398">
        <f t="shared" ref="B955:C955" si="966">($A955-B$9)/365.25</f>
        <v>137.20739219712524</v>
      </c>
      <c r="C955" s="398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3254.2644699519233</v>
      </c>
      <c r="H955" s="25">
        <f>IF(B955&lt;62,0,'Combined Retirement'!$I$14)</f>
        <v>2345</v>
      </c>
      <c r="I955" s="25">
        <f>IF(C955&lt;62,0,'Combined Retirement'!$I$13)</f>
        <v>2420</v>
      </c>
      <c r="J955" s="25">
        <f t="shared" si="783"/>
        <v>7896.2379798201846</v>
      </c>
      <c r="K955" s="25">
        <f t="shared" si="784"/>
        <v>20367.195264578786</v>
      </c>
      <c r="L955" s="25"/>
      <c r="N955" s="25">
        <f>'Combined Retirement'!$C$18/12</f>
        <v>39153.069999999992</v>
      </c>
      <c r="O955" s="25">
        <f t="shared" si="785"/>
        <v>10889.636755601023</v>
      </c>
      <c r="P955" s="25">
        <f t="shared" si="786"/>
        <v>28263.43324439897</v>
      </c>
      <c r="Q955" s="25">
        <f t="array" aca="1" ref="Q955" ca="1">INDEX('Isaac 401k'!L:L,MATCH('Retirement Calculator'!A955,'Isaac 401k'!N:N,0),0)</f>
        <v>-193292.58425398095</v>
      </c>
      <c r="R955" s="25">
        <f t="array" aca="1" ref="R955" ca="1">INDEX('Lorri 401b'!L:L,MATCH('Retirement Calculator'!A955,'Lorri 401b'!N:N,0),0)</f>
        <v>-14359256.526284128</v>
      </c>
      <c r="S955" s="25">
        <f t="shared" ca="1" si="787"/>
        <v>-14552549.11053811</v>
      </c>
    </row>
    <row r="956" spans="1:19" ht="15.75" customHeight="1" x14ac:dyDescent="0.3">
      <c r="A956" s="37">
        <v>80049</v>
      </c>
      <c r="B956" s="398">
        <f t="shared" ref="B956:C956" si="967">($A956-B$9)/365.25</f>
        <v>137.28405201916496</v>
      </c>
      <c r="C956" s="398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3254.2644699519233</v>
      </c>
      <c r="H956" s="25">
        <f>IF(B956&lt;62,0,'Combined Retirement'!$I$14)</f>
        <v>2345</v>
      </c>
      <c r="I956" s="25">
        <f>IF(C956&lt;62,0,'Combined Retirement'!$I$13)</f>
        <v>2420</v>
      </c>
      <c r="J956" s="25">
        <f t="shared" si="783"/>
        <v>7896.2379798201846</v>
      </c>
      <c r="K956" s="25">
        <f t="shared" si="784"/>
        <v>20367.195264578786</v>
      </c>
      <c r="L956" s="25"/>
      <c r="N956" s="25">
        <f>'Combined Retirement'!$C$18/12</f>
        <v>39153.069999999992</v>
      </c>
      <c r="O956" s="25">
        <f t="shared" si="785"/>
        <v>10889.636755601023</v>
      </c>
      <c r="P956" s="25">
        <f t="shared" si="786"/>
        <v>28263.43324439897</v>
      </c>
      <c r="Q956" s="25">
        <f t="array" aca="1" ref="Q956" ca="1">INDEX('Isaac 401k'!L:L,MATCH('Retirement Calculator'!A956,'Isaac 401k'!N:N,0),0)</f>
        <v>-202027.10899310862</v>
      </c>
      <c r="R956" s="25">
        <f t="array" aca="1" ref="R956" ca="1">INDEX('Lorri 401b'!L:L,MATCH('Retirement Calculator'!A956,'Lorri 401b'!N:N,0),0)</f>
        <v>-14439538.820388492</v>
      </c>
      <c r="S956" s="25">
        <f t="shared" ca="1" si="787"/>
        <v>-14641565.929381602</v>
      </c>
    </row>
    <row r="957" spans="1:19" ht="15.75" customHeight="1" x14ac:dyDescent="0.3">
      <c r="A957" s="37">
        <v>80080</v>
      </c>
      <c r="B957" s="398">
        <f t="shared" ref="B957:C957" si="968">($A957-B$9)/365.25</f>
        <v>137.36892539356606</v>
      </c>
      <c r="C957" s="398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3254.2644699519233</v>
      </c>
      <c r="H957" s="25">
        <f>IF(B957&lt;62,0,'Combined Retirement'!$I$14)</f>
        <v>2345</v>
      </c>
      <c r="I957" s="25">
        <f>IF(C957&lt;62,0,'Combined Retirement'!$I$13)</f>
        <v>2420</v>
      </c>
      <c r="J957" s="25">
        <f t="shared" si="783"/>
        <v>7896.2379798201846</v>
      </c>
      <c r="K957" s="25">
        <f t="shared" si="784"/>
        <v>20367.195264578786</v>
      </c>
      <c r="L957" s="25"/>
      <c r="N957" s="25">
        <f>'Combined Retirement'!$C$18/12</f>
        <v>39153.069999999992</v>
      </c>
      <c r="O957" s="25">
        <f t="shared" si="785"/>
        <v>10889.636755601023</v>
      </c>
      <c r="P957" s="25">
        <f t="shared" si="786"/>
        <v>28263.43324439897</v>
      </c>
      <c r="Q957" s="25">
        <f t="array" aca="1" ref="Q957" ca="1">INDEX('Isaac 401k'!L:L,MATCH('Retirement Calculator'!A957,'Isaac 401k'!N:N,0),0)</f>
        <v>-210798.02758531598</v>
      </c>
      <c r="R957" s="25">
        <f t="array" aca="1" ref="R957" ca="1">INDEX('Lorri 401b'!L:L,MATCH('Retirement Calculator'!A957,'Lorri 401b'!N:N,0),0)</f>
        <v>-14520155.624051625</v>
      </c>
      <c r="S957" s="25">
        <f t="shared" ca="1" si="787"/>
        <v>-14730953.651636941</v>
      </c>
    </row>
    <row r="958" spans="1:19" ht="15.75" customHeight="1" x14ac:dyDescent="0.3">
      <c r="A958" s="37">
        <v>80110</v>
      </c>
      <c r="B958" s="398">
        <f t="shared" ref="B958:C958" si="969">($A958-B$9)/365.25</f>
        <v>137.45106091718</v>
      </c>
      <c r="C958" s="398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3254.2644699519233</v>
      </c>
      <c r="H958" s="25">
        <f>IF(B958&lt;62,0,'Combined Retirement'!$I$14)</f>
        <v>2345</v>
      </c>
      <c r="I958" s="25">
        <f>IF(C958&lt;62,0,'Combined Retirement'!$I$13)</f>
        <v>2420</v>
      </c>
      <c r="J958" s="25">
        <f t="shared" si="783"/>
        <v>7896.2379798201846</v>
      </c>
      <c r="K958" s="25">
        <f t="shared" si="784"/>
        <v>20367.195264578786</v>
      </c>
      <c r="L958" s="25"/>
      <c r="N958" s="25">
        <f>'Combined Retirement'!$C$18/12</f>
        <v>39153.069999999992</v>
      </c>
      <c r="O958" s="25">
        <f t="shared" si="785"/>
        <v>10889.636755601023</v>
      </c>
      <c r="P958" s="25">
        <f t="shared" si="786"/>
        <v>28263.43324439897</v>
      </c>
      <c r="Q958" s="25">
        <f t="array" aca="1" ref="Q958" ca="1">INDEX('Isaac 401k'!L:L,MATCH('Retirement Calculator'!A958,'Isaac 401k'!N:N,0),0)</f>
        <v>-219605.49167165757</v>
      </c>
      <c r="R958" s="25">
        <f t="array" aca="1" ref="R958" ca="1">INDEX('Lorri 401b'!L:L,MATCH('Retirement Calculator'!A958,'Lorri 401b'!N:N,0),0)</f>
        <v>-14601108.331063354</v>
      </c>
      <c r="S958" s="25">
        <f t="shared" ca="1" si="787"/>
        <v>-14820713.822735012</v>
      </c>
    </row>
    <row r="959" spans="1:19" ht="15.75" customHeight="1" x14ac:dyDescent="0.3">
      <c r="A959" s="37">
        <v>80141</v>
      </c>
      <c r="B959" s="398">
        <f t="shared" ref="B959:C959" si="970">($A959-B$9)/365.25</f>
        <v>137.5359342915811</v>
      </c>
      <c r="C959" s="398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3254.2644699519233</v>
      </c>
      <c r="H959" s="25">
        <f>IF(B959&lt;62,0,'Combined Retirement'!$I$14)</f>
        <v>2345</v>
      </c>
      <c r="I959" s="25">
        <f>IF(C959&lt;62,0,'Combined Retirement'!$I$13)</f>
        <v>2420</v>
      </c>
      <c r="J959" s="25">
        <f t="shared" si="783"/>
        <v>7896.2379798201846</v>
      </c>
      <c r="K959" s="25">
        <f t="shared" si="784"/>
        <v>20367.195264578786</v>
      </c>
      <c r="L959" s="25"/>
      <c r="N959" s="25">
        <f>'Combined Retirement'!$C$18/12</f>
        <v>39153.069999999992</v>
      </c>
      <c r="O959" s="25">
        <f t="shared" si="785"/>
        <v>10889.636755601023</v>
      </c>
      <c r="P959" s="25">
        <f t="shared" si="786"/>
        <v>28263.43324439897</v>
      </c>
      <c r="Q959" s="25">
        <f t="array" aca="1" ref="Q959" ca="1">INDEX('Isaac 401k'!L:L,MATCH('Retirement Calculator'!A959,'Isaac 401k'!N:N,0),0)</f>
        <v>-228449.65352502555</v>
      </c>
      <c r="R959" s="25">
        <f t="array" aca="1" ref="R959" ca="1">INDEX('Lorri 401b'!L:L,MATCH('Retirement Calculator'!A959,'Lorri 401b'!N:N,0),0)</f>
        <v>-14682398.341020966</v>
      </c>
      <c r="S959" s="25">
        <f t="shared" ca="1" si="787"/>
        <v>-14910847.994545991</v>
      </c>
    </row>
    <row r="960" spans="1:19" ht="15.75" customHeight="1" x14ac:dyDescent="0.3">
      <c r="A960" s="37">
        <v>80171</v>
      </c>
      <c r="B960" s="398">
        <f t="shared" ref="B960:C960" si="971">($A960-B$9)/365.25</f>
        <v>137.61806981519507</v>
      </c>
      <c r="C960" s="398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3254.2644699519233</v>
      </c>
      <c r="H960" s="25">
        <f>IF(B960&lt;62,0,'Combined Retirement'!$I$14)</f>
        <v>2345</v>
      </c>
      <c r="I960" s="25">
        <f>IF(C960&lt;62,0,'Combined Retirement'!$I$13)</f>
        <v>2420</v>
      </c>
      <c r="J960" s="25">
        <f t="shared" si="783"/>
        <v>7896.2379798201846</v>
      </c>
      <c r="K960" s="25">
        <f t="shared" si="784"/>
        <v>20367.195264578786</v>
      </c>
      <c r="L960" s="25"/>
      <c r="N960" s="25">
        <f>'Combined Retirement'!$C$18/12</f>
        <v>39153.069999999992</v>
      </c>
      <c r="O960" s="25">
        <f t="shared" si="785"/>
        <v>10889.636755601023</v>
      </c>
      <c r="P960" s="25">
        <f t="shared" si="786"/>
        <v>28263.43324439897</v>
      </c>
      <c r="Q960" s="25">
        <f t="array" aca="1" ref="Q960" ca="1">INDEX('Isaac 401k'!L:L,MATCH('Retirement Calculator'!A960,'Isaac 401k'!N:N,0),0)</f>
        <v>-237330.66605278259</v>
      </c>
      <c r="R960" s="25">
        <f t="array" aca="1" ref="R960" ca="1">INDEX('Lorri 401b'!L:L,MATCH('Retirement Calculator'!A960,'Lorri 401b'!N:N,0),0)</f>
        <v>-14764027.0593534</v>
      </c>
      <c r="S960" s="25">
        <f t="shared" ca="1" si="787"/>
        <v>-15001357.725406183</v>
      </c>
    </row>
    <row r="961" spans="1:19" ht="15.75" customHeight="1" x14ac:dyDescent="0.3">
      <c r="A961" s="37">
        <v>80202</v>
      </c>
      <c r="B961" s="398">
        <f t="shared" ref="B961:C961" si="972">($A961-B$9)/365.25</f>
        <v>137.70294318959617</v>
      </c>
      <c r="C961" s="398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3254.2644699519233</v>
      </c>
      <c r="H961" s="25">
        <f>IF(B961&lt;62,0,'Combined Retirement'!$I$14)</f>
        <v>2345</v>
      </c>
      <c r="I961" s="25">
        <f>IF(C961&lt;62,0,'Combined Retirement'!$I$13)</f>
        <v>2420</v>
      </c>
      <c r="J961" s="25">
        <f t="shared" si="783"/>
        <v>7896.2379798201846</v>
      </c>
      <c r="K961" s="25">
        <f t="shared" si="784"/>
        <v>20367.195264578786</v>
      </c>
      <c r="L961" s="25"/>
      <c r="N961" s="25">
        <f>'Combined Retirement'!$C$18/12</f>
        <v>39153.069999999992</v>
      </c>
      <c r="O961" s="25">
        <f t="shared" si="785"/>
        <v>10889.636755601023</v>
      </c>
      <c r="P961" s="25">
        <f t="shared" si="786"/>
        <v>28263.43324439897</v>
      </c>
      <c r="Q961" s="25">
        <f t="array" aca="1" ref="Q961" ca="1">INDEX('Isaac 401k'!L:L,MATCH('Retirement Calculator'!A961,'Isaac 401k'!N:N,0),0)</f>
        <v>-246248.68279940527</v>
      </c>
      <c r="R961" s="25">
        <f t="array" aca="1" ref="R961" ca="1">INDEX('Lorri 401b'!L:L,MATCH('Retirement Calculator'!A961,'Lorri 401b'!N:N,0),0)</f>
        <v>-14845995.897345552</v>
      </c>
      <c r="S961" s="25">
        <f t="shared" ca="1" si="787"/>
        <v>-15092244.580144957</v>
      </c>
    </row>
    <row r="962" spans="1:19" ht="15.75" customHeight="1" x14ac:dyDescent="0.3">
      <c r="A962" s="37">
        <v>80233</v>
      </c>
      <c r="B962" s="398">
        <f t="shared" ref="B962:C962" si="973">($A962-B$9)/365.25</f>
        <v>137.78781656399727</v>
      </c>
      <c r="C962" s="398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3254.2644699519233</v>
      </c>
      <c r="H962" s="25">
        <f>IF(B962&lt;62,0,'Combined Retirement'!$I$14)</f>
        <v>2345</v>
      </c>
      <c r="I962" s="25">
        <f>IF(C962&lt;62,0,'Combined Retirement'!$I$13)</f>
        <v>2420</v>
      </c>
      <c r="J962" s="25">
        <f t="shared" si="783"/>
        <v>7896.2379798201846</v>
      </c>
      <c r="K962" s="25">
        <f t="shared" si="784"/>
        <v>20367.195264578786</v>
      </c>
      <c r="L962" s="25"/>
      <c r="N962" s="25">
        <f>'Combined Retirement'!$C$18/12</f>
        <v>39153.069999999992</v>
      </c>
      <c r="O962" s="25">
        <f t="shared" si="785"/>
        <v>10889.636755601023</v>
      </c>
      <c r="P962" s="25">
        <f t="shared" si="786"/>
        <v>28263.43324439897</v>
      </c>
      <c r="Q962" s="25">
        <f t="array" aca="1" ref="Q962" ca="1">INDEX('Isaac 401k'!L:L,MATCH('Retirement Calculator'!A962,'Isaac 401k'!N:N,0),0)</f>
        <v>-255203.85794913888</v>
      </c>
      <c r="R962" s="25">
        <f t="array" aca="1" ref="R962" ca="1">INDEX('Lorri 401b'!L:L,MATCH('Retirement Calculator'!A962,'Lorri 401b'!N:N,0),0)</f>
        <v>-14928306.272162672</v>
      </c>
      <c r="S962" s="25">
        <f t="shared" ca="1" si="787"/>
        <v>-15183510.130111812</v>
      </c>
    </row>
    <row r="963" spans="1:19" ht="15.75" customHeight="1" x14ac:dyDescent="0.3">
      <c r="A963" s="37">
        <v>80263</v>
      </c>
      <c r="B963" s="398">
        <f t="shared" ref="B963:C963" si="974">($A963-B$9)/365.25</f>
        <v>137.86995208761124</v>
      </c>
      <c r="C963" s="398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3254.2644699519233</v>
      </c>
      <c r="H963" s="25">
        <f>IF(B963&lt;62,0,'Combined Retirement'!$I$14)</f>
        <v>2345</v>
      </c>
      <c r="I963" s="25">
        <f>IF(C963&lt;62,0,'Combined Retirement'!$I$13)</f>
        <v>2420</v>
      </c>
      <c r="J963" s="25">
        <f t="shared" si="783"/>
        <v>7896.2379798201846</v>
      </c>
      <c r="K963" s="25">
        <f t="shared" si="784"/>
        <v>20367.195264578786</v>
      </c>
      <c r="L963" s="25"/>
      <c r="N963" s="25">
        <f>'Combined Retirement'!$C$18/12</f>
        <v>39153.069999999992</v>
      </c>
      <c r="O963" s="25">
        <f t="shared" si="785"/>
        <v>10889.636755601023</v>
      </c>
      <c r="P963" s="25">
        <f t="shared" si="786"/>
        <v>28263.43324439897</v>
      </c>
      <c r="Q963" s="25">
        <f t="array" aca="1" ref="Q963" ca="1">INDEX('Isaac 401k'!L:L,MATCH('Retirement Calculator'!A963,'Isaac 401k'!N:N,0),0)</f>
        <v>-264196.34632866306</v>
      </c>
      <c r="R963" s="25">
        <f t="array" aca="1" ref="R963" ca="1">INDEX('Lorri 401b'!L:L,MATCH('Retirement Calculator'!A963,'Lorri 401b'!N:N,0),0)</f>
        <v>-15010959.606874863</v>
      </c>
      <c r="S963" s="25">
        <f t="shared" ca="1" si="787"/>
        <v>-15275155.953203525</v>
      </c>
    </row>
    <row r="964" spans="1:19" ht="15.75" customHeight="1" x14ac:dyDescent="0.3">
      <c r="A964" s="37">
        <v>80294</v>
      </c>
      <c r="B964" s="398">
        <f t="shared" ref="B964:C964" si="975">($A964-B$9)/365.25</f>
        <v>137.95482546201231</v>
      </c>
      <c r="C964" s="398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3254.2644699519233</v>
      </c>
      <c r="H964" s="25">
        <f>IF(B964&lt;62,0,'Combined Retirement'!$I$14)</f>
        <v>2345</v>
      </c>
      <c r="I964" s="25">
        <f>IF(C964&lt;62,0,'Combined Retirement'!$I$13)</f>
        <v>2420</v>
      </c>
      <c r="J964" s="25">
        <f t="shared" si="783"/>
        <v>7896.2379798201846</v>
      </c>
      <c r="K964" s="25">
        <f t="shared" si="784"/>
        <v>20367.195264578786</v>
      </c>
      <c r="L964" s="25"/>
      <c r="N964" s="25">
        <f>'Combined Retirement'!$C$18/12</f>
        <v>39153.069999999992</v>
      </c>
      <c r="O964" s="25">
        <f t="shared" si="785"/>
        <v>10889.636755601023</v>
      </c>
      <c r="P964" s="25">
        <f t="shared" si="786"/>
        <v>28263.43324439897</v>
      </c>
      <c r="Q964" s="25">
        <f t="array" aca="1" ref="Q964" ca="1">INDEX('Isaac 401k'!L:L,MATCH('Retirement Calculator'!A964,'Isaac 401k'!N:N,0),0)</f>
        <v>-273226.30340976856</v>
      </c>
      <c r="R964" s="25">
        <f t="array" aca="1" ref="R964" ca="1">INDEX('Lorri 401b'!L:L,MATCH('Retirement Calculator'!A964,'Lorri 401b'!N:N,0),0)</f>
        <v>-15093957.330481688</v>
      </c>
      <c r="S964" s="25">
        <f t="shared" ca="1" si="787"/>
        <v>-15367183.633891456</v>
      </c>
    </row>
    <row r="965" spans="1:19" ht="15.75" customHeight="1" x14ac:dyDescent="0.3">
      <c r="A965" s="37">
        <v>80324</v>
      </c>
      <c r="B965" s="398">
        <f t="shared" ref="B965:C965" si="976">($A965-B$9)/365.25</f>
        <v>138.03696098562628</v>
      </c>
      <c r="C965" s="398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3254.2644699519233</v>
      </c>
      <c r="H965" s="25">
        <f>IF(B965&lt;62,0,'Combined Retirement'!$I$14)</f>
        <v>2345</v>
      </c>
      <c r="I965" s="25">
        <f>IF(C965&lt;62,0,'Combined Retirement'!$I$13)</f>
        <v>2420</v>
      </c>
      <c r="J965" s="25">
        <f t="shared" si="783"/>
        <v>7896.2379798201846</v>
      </c>
      <c r="K965" s="25">
        <f t="shared" si="784"/>
        <v>20367.195264578786</v>
      </c>
      <c r="L965" s="25"/>
      <c r="N965" s="25">
        <f>'Combined Retirement'!$C$18/12</f>
        <v>39153.069999999992</v>
      </c>
      <c r="O965" s="25">
        <f t="shared" si="785"/>
        <v>10889.636755601023</v>
      </c>
      <c r="P965" s="25">
        <f t="shared" si="786"/>
        <v>28263.43324439897</v>
      </c>
      <c r="Q965" s="25">
        <f t="array" aca="1" ref="Q965" ca="1">INDEX('Isaac 401k'!L:L,MATCH('Retirement Calculator'!A965,'Isaac 401k'!N:N,0),0)</f>
        <v>-282293.88531204534</v>
      </c>
      <c r="R965" s="25">
        <f t="array" aca="1" ref="R965" ca="1">INDEX('Lorri 401b'!L:L,MATCH('Retirement Calculator'!A965,'Lorri 401b'!N:N,0),0)</f>
        <v>-15177300.877936875</v>
      </c>
      <c r="S965" s="25">
        <f t="shared" ca="1" si="787"/>
        <v>-15459594.76324892</v>
      </c>
    </row>
    <row r="966" spans="1:19" ht="15.75" customHeight="1" x14ac:dyDescent="0.3">
      <c r="A966" s="37">
        <v>80355</v>
      </c>
      <c r="B966" s="398">
        <f t="shared" ref="B966:C966" si="977">($A966-B$9)/365.25</f>
        <v>138.12183436002738</v>
      </c>
      <c r="C966" s="398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3254.2644699519233</v>
      </c>
      <c r="H966" s="25">
        <f>IF(B966&lt;62,0,'Combined Retirement'!$I$14)</f>
        <v>2345</v>
      </c>
      <c r="I966" s="25">
        <f>IF(C966&lt;62,0,'Combined Retirement'!$I$13)</f>
        <v>2420</v>
      </c>
      <c r="J966" s="25">
        <f t="shared" si="783"/>
        <v>7896.2379798201846</v>
      </c>
      <c r="K966" s="25">
        <f t="shared" si="784"/>
        <v>20367.195264578786</v>
      </c>
      <c r="L966" s="25"/>
      <c r="N966" s="25">
        <f>'Combined Retirement'!$C$18/12</f>
        <v>39153.069999999992</v>
      </c>
      <c r="O966" s="25">
        <f t="shared" si="785"/>
        <v>10889.636755601023</v>
      </c>
      <c r="P966" s="25">
        <f t="shared" si="786"/>
        <v>28263.43324439897</v>
      </c>
      <c r="Q966" s="25">
        <f t="array" aca="1" ref="Q966" ca="1">INDEX('Isaac 401k'!L:L,MATCH('Retirement Calculator'!A966,'Isaac 401k'!N:N,0),0)</f>
        <v>-291399.24880558165</v>
      </c>
      <c r="R966" s="25">
        <f t="array" aca="1" ref="R966" ca="1">INDEX('Lorri 401b'!L:L,MATCH('Retirement Calculator'!A966,'Lorri 401b'!N:N,0),0)</f>
        <v>-15260991.690173127</v>
      </c>
      <c r="S966" s="25">
        <f t="shared" ca="1" si="787"/>
        <v>-15552390.938978709</v>
      </c>
    </row>
    <row r="967" spans="1:19" ht="15.75" customHeight="1" x14ac:dyDescent="0.3">
      <c r="A967" s="37">
        <v>80386</v>
      </c>
      <c r="B967" s="398">
        <f t="shared" ref="B967:C967" si="978">($A967-B$9)/365.25</f>
        <v>138.20670773442848</v>
      </c>
      <c r="C967" s="398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3254.2644699519233</v>
      </c>
      <c r="H967" s="25">
        <f>IF(B967&lt;62,0,'Combined Retirement'!$I$14)</f>
        <v>2345</v>
      </c>
      <c r="I967" s="25">
        <f>IF(C967&lt;62,0,'Combined Retirement'!$I$13)</f>
        <v>2420</v>
      </c>
      <c r="J967" s="25">
        <f t="shared" si="783"/>
        <v>7896.2379798201846</v>
      </c>
      <c r="K967" s="25">
        <f t="shared" si="784"/>
        <v>20367.195264578786</v>
      </c>
      <c r="L967" s="25"/>
      <c r="N967" s="25">
        <f>'Combined Retirement'!$C$18/12</f>
        <v>39153.069999999992</v>
      </c>
      <c r="O967" s="25">
        <f t="shared" si="785"/>
        <v>10889.636755601023</v>
      </c>
      <c r="P967" s="25">
        <f t="shared" si="786"/>
        <v>28263.43324439897</v>
      </c>
      <c r="Q967" s="25">
        <f t="array" aca="1" ref="Q967" ca="1">INDEX('Isaac 401k'!L:L,MATCH('Retirement Calculator'!A967,'Isaac 401k'!N:N,0),0)</f>
        <v>-300542.55131367431</v>
      </c>
      <c r="R967" s="25">
        <f t="array" aca="1" ref="R967" ca="1">INDEX('Lorri 401b'!L:L,MATCH('Retirement Calculator'!A967,'Lorri 401b'!N:N,0),0)</f>
        <v>-15345031.214127028</v>
      </c>
      <c r="S967" s="25">
        <f t="shared" ca="1" si="787"/>
        <v>-15645573.765440702</v>
      </c>
    </row>
    <row r="968" spans="1:19" ht="15.75" customHeight="1" x14ac:dyDescent="0.3">
      <c r="A968" s="37">
        <v>80415</v>
      </c>
      <c r="B968" s="398">
        <f t="shared" ref="B968:C968" si="979">($A968-B$9)/365.25</f>
        <v>138.28610540725529</v>
      </c>
      <c r="C968" s="398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3254.2644699519233</v>
      </c>
      <c r="H968" s="25">
        <f>IF(B968&lt;62,0,'Combined Retirement'!$I$14)</f>
        <v>2345</v>
      </c>
      <c r="I968" s="25">
        <f>IF(C968&lt;62,0,'Combined Retirement'!$I$13)</f>
        <v>2420</v>
      </c>
      <c r="J968" s="25">
        <f t="shared" si="783"/>
        <v>7896.2379798201846</v>
      </c>
      <c r="K968" s="25">
        <f t="shared" si="784"/>
        <v>20367.195264578786</v>
      </c>
      <c r="L968" s="25"/>
      <c r="N968" s="25">
        <f>'Combined Retirement'!$C$18/12</f>
        <v>39153.069999999992</v>
      </c>
      <c r="O968" s="25">
        <f t="shared" si="785"/>
        <v>10889.636755601023</v>
      </c>
      <c r="P968" s="25">
        <f t="shared" si="786"/>
        <v>28263.43324439897</v>
      </c>
      <c r="Q968" s="25">
        <f t="array" aca="1" ref="Q968" ca="1">INDEX('Isaac 401k'!L:L,MATCH('Retirement Calculator'!A968,'Isaac 401k'!N:N,0),0)</f>
        <v>-309723.9509155507</v>
      </c>
      <c r="R968" s="25">
        <f t="array" aca="1" ref="R968" ca="1">INDEX('Lorri 401b'!L:L,MATCH('Retirement Calculator'!A968,'Lorri 401b'!N:N,0),0)</f>
        <v>-15429420.902764071</v>
      </c>
      <c r="S968" s="25">
        <f t="shared" ca="1" si="787"/>
        <v>-15739144.853679622</v>
      </c>
    </row>
    <row r="969" spans="1:19" ht="15.75" customHeight="1" x14ac:dyDescent="0.3">
      <c r="A969" s="37">
        <v>80446</v>
      </c>
      <c r="B969" s="398">
        <f t="shared" ref="B969:C969" si="980">($A969-B$9)/365.25</f>
        <v>138.37097878165639</v>
      </c>
      <c r="C969" s="398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3254.2644699519233</v>
      </c>
      <c r="H969" s="25">
        <f>IF(B969&lt;62,0,'Combined Retirement'!$I$14)</f>
        <v>2345</v>
      </c>
      <c r="I969" s="25">
        <f>IF(C969&lt;62,0,'Combined Retirement'!$I$13)</f>
        <v>2420</v>
      </c>
      <c r="J969" s="25">
        <f t="shared" si="783"/>
        <v>7896.2379798201846</v>
      </c>
      <c r="K969" s="25">
        <f t="shared" si="784"/>
        <v>20367.195264578786</v>
      </c>
      <c r="L969" s="25"/>
      <c r="N969" s="25">
        <f>'Combined Retirement'!$C$18/12</f>
        <v>39153.069999999992</v>
      </c>
      <c r="O969" s="25">
        <f t="shared" si="785"/>
        <v>10889.636755601023</v>
      </c>
      <c r="P969" s="25">
        <f t="shared" si="786"/>
        <v>28263.43324439897</v>
      </c>
      <c r="Q969" s="25">
        <f t="array" aca="1" ref="Q969" ca="1">INDEX('Isaac 401k'!L:L,MATCH('Retirement Calculator'!A969,'Isaac 401k'!N:N,0),0)</f>
        <v>-318943.60634910158</v>
      </c>
      <c r="R969" s="25">
        <f t="array" aca="1" ref="R969" ca="1">INDEX('Lorri 401b'!L:L,MATCH('Retirement Calculator'!A969,'Lorri 401b'!N:N,0),0)</f>
        <v>-15514162.215103768</v>
      </c>
      <c r="S969" s="25">
        <f t="shared" ca="1" si="787"/>
        <v>-15833105.821452869</v>
      </c>
    </row>
    <row r="970" spans="1:19" ht="15.75" customHeight="1" x14ac:dyDescent="0.3">
      <c r="A970" s="37">
        <v>80476</v>
      </c>
      <c r="B970" s="398">
        <f t="shared" ref="B970:C970" si="981">($A970-B$9)/365.25</f>
        <v>138.45311430527036</v>
      </c>
      <c r="C970" s="398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3254.2644699519233</v>
      </c>
      <c r="H970" s="25">
        <f>IF(B970&lt;62,0,'Combined Retirement'!$I$14)</f>
        <v>2345</v>
      </c>
      <c r="I970" s="25">
        <f>IF(C970&lt;62,0,'Combined Retirement'!$I$13)</f>
        <v>2420</v>
      </c>
      <c r="J970" s="25">
        <f t="shared" si="783"/>
        <v>7896.2379798201846</v>
      </c>
      <c r="K970" s="25">
        <f t="shared" si="784"/>
        <v>20367.195264578786</v>
      </c>
      <c r="L970" s="25"/>
      <c r="N970" s="25">
        <f>'Combined Retirement'!$C$18/12</f>
        <v>39153.069999999992</v>
      </c>
      <c r="O970" s="25">
        <f t="shared" si="785"/>
        <v>10889.636755601023</v>
      </c>
      <c r="P970" s="25">
        <f t="shared" si="786"/>
        <v>28263.43324439897</v>
      </c>
      <c r="Q970" s="25">
        <f t="array" aca="1" ref="Q970" ca="1">INDEX('Isaac 401k'!L:L,MATCH('Retirement Calculator'!A970,'Isaac 401k'!N:N,0),0)</f>
        <v>-328201.67701362562</v>
      </c>
      <c r="R970" s="25">
        <f t="array" aca="1" ref="R970" ca="1">INDEX('Lorri 401b'!L:L,MATCH('Retirement Calculator'!A970,'Lorri 401b'!N:N,0),0)</f>
        <v>-15599256.61624488</v>
      </c>
      <c r="S970" s="25">
        <f t="shared" ca="1" si="787"/>
        <v>-15927458.293258507</v>
      </c>
    </row>
    <row r="971" spans="1:19" ht="15.75" customHeight="1" x14ac:dyDescent="0.3">
      <c r="A971" s="37">
        <v>80507</v>
      </c>
      <c r="B971" s="398">
        <f t="shared" ref="B971:C971" si="982">($A971-B$9)/365.25</f>
        <v>138.53798767967146</v>
      </c>
      <c r="C971" s="398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3254.2644699519233</v>
      </c>
      <c r="H971" s="25">
        <f>IF(B971&lt;62,0,'Combined Retirement'!$I$14)</f>
        <v>2345</v>
      </c>
      <c r="I971" s="25">
        <f>IF(C971&lt;62,0,'Combined Retirement'!$I$13)</f>
        <v>2420</v>
      </c>
      <c r="J971" s="25">
        <f t="shared" si="783"/>
        <v>7896.2379798201846</v>
      </c>
      <c r="K971" s="25">
        <f t="shared" si="784"/>
        <v>20367.195264578786</v>
      </c>
      <c r="L971" s="25"/>
      <c r="N971" s="25">
        <f>'Combined Retirement'!$C$18/12</f>
        <v>39153.069999999992</v>
      </c>
      <c r="O971" s="25">
        <f t="shared" si="785"/>
        <v>10889.636755601023</v>
      </c>
      <c r="P971" s="25">
        <f t="shared" si="786"/>
        <v>28263.43324439897</v>
      </c>
      <c r="Q971" s="25">
        <f t="array" aca="1" ref="Q971" ca="1">INDEX('Isaac 401k'!L:L,MATCH('Retirement Calculator'!A971,'Isaac 401k'!N:N,0),0)</f>
        <v>-337498.32297258516</v>
      </c>
      <c r="R971" s="25">
        <f t="array" aca="1" ref="R971" ca="1">INDEX('Lorri 401b'!L:L,MATCH('Retirement Calculator'!A971,'Lorri 401b'!N:N,0),0)</f>
        <v>-15684705.577390747</v>
      </c>
      <c r="S971" s="25">
        <f t="shared" ca="1" si="787"/>
        <v>-16022203.900363332</v>
      </c>
    </row>
    <row r="972" spans="1:19" ht="15.75" customHeight="1" x14ac:dyDescent="0.3">
      <c r="A972" s="37">
        <v>80537</v>
      </c>
      <c r="B972" s="398">
        <f t="shared" ref="B972:C972" si="983">($A972-B$9)/365.25</f>
        <v>138.62012320328543</v>
      </c>
      <c r="C972" s="398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3254.2644699519233</v>
      </c>
      <c r="H972" s="25">
        <f>IF(B972&lt;62,0,'Combined Retirement'!$I$14)</f>
        <v>2345</v>
      </c>
      <c r="I972" s="25">
        <f>IF(C972&lt;62,0,'Combined Retirement'!$I$13)</f>
        <v>2420</v>
      </c>
      <c r="J972" s="25">
        <f t="shared" si="783"/>
        <v>7896.2379798201846</v>
      </c>
      <c r="K972" s="25">
        <f t="shared" si="784"/>
        <v>20367.195264578786</v>
      </c>
      <c r="L972" s="25"/>
      <c r="N972" s="25">
        <f>'Combined Retirement'!$C$18/12</f>
        <v>39153.069999999992</v>
      </c>
      <c r="O972" s="25">
        <f t="shared" si="785"/>
        <v>10889.636755601023</v>
      </c>
      <c r="P972" s="25">
        <f t="shared" si="786"/>
        <v>28263.43324439897</v>
      </c>
      <c r="Q972" s="25">
        <f t="array" aca="1" ref="Q972" ca="1">INDEX('Isaac 401k'!L:L,MATCH('Retirement Calculator'!A972,'Isaac 401k'!N:N,0),0)</f>
        <v>-346833.70495637367</v>
      </c>
      <c r="R972" s="25">
        <f t="array" aca="1" ref="R972" ca="1">INDEX('Lorri 401b'!L:L,MATCH('Retirement Calculator'!A972,'Lorri 401b'!N:N,0),0)</f>
        <v>-15770510.575874722</v>
      </c>
      <c r="S972" s="25">
        <f t="shared" ca="1" si="787"/>
        <v>-16117344.280831095</v>
      </c>
    </row>
    <row r="973" spans="1:19" ht="15.75" customHeight="1" x14ac:dyDescent="0.3">
      <c r="A973" s="37">
        <v>80568</v>
      </c>
      <c r="B973" s="398">
        <f t="shared" ref="B973:C973" si="984">($A973-B$9)/365.25</f>
        <v>138.70499657768653</v>
      </c>
      <c r="C973" s="398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3254.2644699519233</v>
      </c>
      <c r="H973" s="25">
        <f>IF(B973&lt;62,0,'Combined Retirement'!$I$14)</f>
        <v>2345</v>
      </c>
      <c r="I973" s="25">
        <f>IF(C973&lt;62,0,'Combined Retirement'!$I$13)</f>
        <v>2420</v>
      </c>
      <c r="J973" s="25">
        <f t="shared" si="783"/>
        <v>7896.2379798201846</v>
      </c>
      <c r="K973" s="25">
        <f t="shared" si="784"/>
        <v>20367.195264578786</v>
      </c>
      <c r="L973" s="25"/>
      <c r="N973" s="25">
        <f>'Combined Retirement'!$C$18/12</f>
        <v>39153.069999999992</v>
      </c>
      <c r="O973" s="25">
        <f t="shared" si="785"/>
        <v>10889.636755601023</v>
      </c>
      <c r="P973" s="25">
        <f t="shared" si="786"/>
        <v>28263.43324439897</v>
      </c>
      <c r="Q973" s="25">
        <f t="array" aca="1" ref="Q973" ca="1">INDEX('Isaac 401k'!L:L,MATCH('Retirement Calculator'!A973,'Isaac 401k'!N:N,0),0)</f>
        <v>-356207.98436509463</v>
      </c>
      <c r="R973" s="25">
        <f t="array" aca="1" ref="R973" ca="1">INDEX('Lorri 401b'!L:L,MATCH('Retirement Calculator'!A973,'Lorri 401b'!N:N,0),0)</f>
        <v>-15856673.095185714</v>
      </c>
      <c r="S973" s="25">
        <f t="shared" ca="1" si="787"/>
        <v>-16212881.079550808</v>
      </c>
    </row>
    <row r="974" spans="1:19" ht="15.75" customHeight="1" x14ac:dyDescent="0.3">
      <c r="A974" s="37">
        <v>80599</v>
      </c>
      <c r="B974" s="398">
        <f t="shared" ref="B974:C974" si="985">($A974-B$9)/365.25</f>
        <v>138.7898699520876</v>
      </c>
      <c r="C974" s="398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3254.2644699519233</v>
      </c>
      <c r="H974" s="25">
        <f>IF(B974&lt;62,0,'Combined Retirement'!$I$14)</f>
        <v>2345</v>
      </c>
      <c r="I974" s="25">
        <f>IF(C974&lt;62,0,'Combined Retirement'!$I$13)</f>
        <v>2420</v>
      </c>
      <c r="J974" s="25">
        <f t="shared" si="783"/>
        <v>7896.2379798201846</v>
      </c>
      <c r="K974" s="25">
        <f t="shared" si="784"/>
        <v>20367.195264578786</v>
      </c>
      <c r="L974" s="25"/>
      <c r="N974" s="25">
        <f>'Combined Retirement'!$C$18/12</f>
        <v>39153.069999999992</v>
      </c>
      <c r="O974" s="25">
        <f t="shared" si="785"/>
        <v>10889.636755601023</v>
      </c>
      <c r="P974" s="25">
        <f t="shared" si="786"/>
        <v>28263.43324439897</v>
      </c>
      <c r="Q974" s="25">
        <f t="array" aca="1" ref="Q974" ca="1">INDEX('Isaac 401k'!L:L,MATCH('Retirement Calculator'!A974,'Isaac 401k'!N:N,0),0)</f>
        <v>-365621.32327135192</v>
      </c>
      <c r="R974" s="25">
        <f t="array" aca="1" ref="R974" ca="1">INDEX('Lorri 401b'!L:L,MATCH('Retirement Calculator'!A974,'Lorri 401b'!N:N,0),0)</f>
        <v>-15943194.624993835</v>
      </c>
      <c r="S974" s="25">
        <f t="shared" ca="1" si="787"/>
        <v>-16308815.948265187</v>
      </c>
    </row>
    <row r="975" spans="1:19" ht="15.75" customHeight="1" x14ac:dyDescent="0.3">
      <c r="A975" s="37">
        <v>80629</v>
      </c>
      <c r="B975" s="398">
        <f t="shared" ref="B975:C975" si="986">($A975-B$9)/365.25</f>
        <v>138.87200547570157</v>
      </c>
      <c r="C975" s="398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3254.2644699519233</v>
      </c>
      <c r="H975" s="25">
        <f>IF(B975&lt;62,0,'Combined Retirement'!$I$14)</f>
        <v>2345</v>
      </c>
      <c r="I975" s="25">
        <f>IF(C975&lt;62,0,'Combined Retirement'!$I$13)</f>
        <v>2420</v>
      </c>
      <c r="J975" s="25">
        <f t="shared" si="783"/>
        <v>7896.2379798201846</v>
      </c>
      <c r="K975" s="25">
        <f t="shared" si="784"/>
        <v>20367.195264578786</v>
      </c>
      <c r="L975" s="25"/>
      <c r="N975" s="25">
        <f>'Combined Retirement'!$C$18/12</f>
        <v>39153.069999999992</v>
      </c>
      <c r="O975" s="25">
        <f t="shared" si="785"/>
        <v>10889.636755601023</v>
      </c>
      <c r="P975" s="25">
        <f t="shared" si="786"/>
        <v>28263.43324439897</v>
      </c>
      <c r="Q975" s="25">
        <f t="array" aca="1" ref="Q975" ca="1">INDEX('Isaac 401k'!L:L,MATCH('Retirement Calculator'!A975,'Isaac 401k'!N:N,0),0)</f>
        <v>-375073.88442305196</v>
      </c>
      <c r="R975" s="25">
        <f t="array" aca="1" ref="R975" ca="1">INDEX('Lorri 401b'!L:L,MATCH('Retirement Calculator'!A975,'Lorri 401b'!N:N,0),0)</f>
        <v>-16030076.661176156</v>
      </c>
      <c r="S975" s="25">
        <f t="shared" ca="1" si="787"/>
        <v>-16405150.545599207</v>
      </c>
    </row>
    <row r="976" spans="1:19" ht="15.75" customHeight="1" x14ac:dyDescent="0.3">
      <c r="A976" s="37">
        <v>80660</v>
      </c>
      <c r="B976" s="398">
        <f t="shared" ref="B976:C976" si="987">($A976-B$9)/365.25</f>
        <v>138.95687885010267</v>
      </c>
      <c r="C976" s="398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3254.2644699519233</v>
      </c>
      <c r="H976" s="25">
        <f>IF(B976&lt;62,0,'Combined Retirement'!$I$14)</f>
        <v>2345</v>
      </c>
      <c r="I976" s="25">
        <f>IF(C976&lt;62,0,'Combined Retirement'!$I$13)</f>
        <v>2420</v>
      </c>
      <c r="J976" s="25">
        <f t="shared" si="783"/>
        <v>7896.2379798201846</v>
      </c>
      <c r="K976" s="25">
        <f t="shared" si="784"/>
        <v>20367.195264578786</v>
      </c>
      <c r="L976" s="25"/>
      <c r="N976" s="25">
        <f>'Combined Retirement'!$C$18/12</f>
        <v>39153.069999999992</v>
      </c>
      <c r="O976" s="25">
        <f t="shared" si="785"/>
        <v>10889.636755601023</v>
      </c>
      <c r="P976" s="25">
        <f t="shared" si="786"/>
        <v>28263.43324439897</v>
      </c>
      <c r="Q976" s="25">
        <f t="array" aca="1" ref="Q976" ca="1">INDEX('Isaac 401k'!L:L,MATCH('Retirement Calculator'!A976,'Isaac 401k'!N:N,0),0)</f>
        <v>-384565.83124621742</v>
      </c>
      <c r="R976" s="25">
        <f t="array" aca="1" ref="R976" ca="1">INDEX('Lorri 401b'!L:L,MATCH('Retirement Calculator'!A976,'Lorri 401b'!N:N,0),0)</f>
        <v>-16117320.705842571</v>
      </c>
      <c r="S976" s="25">
        <f t="shared" ca="1" si="787"/>
        <v>-16501886.537088789</v>
      </c>
    </row>
    <row r="977" spans="1:19" ht="15.75" customHeight="1" x14ac:dyDescent="0.3">
      <c r="A977" s="37">
        <v>80690</v>
      </c>
      <c r="B977" s="398">
        <f t="shared" ref="B977:C977" si="988">($A977-B$9)/365.25</f>
        <v>139.03901437371664</v>
      </c>
      <c r="C977" s="398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3254.2644699519233</v>
      </c>
      <c r="H977" s="25">
        <f>IF(B977&lt;62,0,'Combined Retirement'!$I$14)</f>
        <v>2345</v>
      </c>
      <c r="I977" s="25">
        <f>IF(C977&lt;62,0,'Combined Retirement'!$I$13)</f>
        <v>2420</v>
      </c>
      <c r="J977" s="25">
        <f t="shared" si="783"/>
        <v>7896.2379798201846</v>
      </c>
      <c r="K977" s="25">
        <f t="shared" si="784"/>
        <v>20367.195264578786</v>
      </c>
      <c r="L977" s="25"/>
      <c r="N977" s="25">
        <f>'Combined Retirement'!$C$18/12</f>
        <v>39153.069999999992</v>
      </c>
      <c r="O977" s="25">
        <f t="shared" si="785"/>
        <v>10889.636755601023</v>
      </c>
      <c r="P977" s="25">
        <f t="shared" si="786"/>
        <v>28263.43324439897</v>
      </c>
      <c r="Q977" s="25">
        <f t="array" aca="1" ref="Q977" ca="1">INDEX('Isaac 401k'!L:L,MATCH('Retirement Calculator'!A977,'Isaac 401k'!N:N,0),0)</f>
        <v>-394097.32784781273</v>
      </c>
      <c r="R977" s="25">
        <f t="array" aca="1" ref="R977" ca="1">INDEX('Lorri 401b'!L:L,MATCH('Retirement Calculator'!A977,'Lorri 401b'!N:N,0),0)</f>
        <v>-16204928.267361762</v>
      </c>
      <c r="S977" s="25">
        <f t="shared" ca="1" si="787"/>
        <v>-16599025.595209574</v>
      </c>
    </row>
    <row r="978" spans="1:19" ht="15.75" customHeight="1" x14ac:dyDescent="0.3">
      <c r="A978" s="37">
        <v>80721</v>
      </c>
      <c r="B978" s="398">
        <f t="shared" ref="B978:C978" si="989">($A978-B$9)/365.25</f>
        <v>139.12388774811774</v>
      </c>
      <c r="C978" s="398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3254.2644699519233</v>
      </c>
      <c r="H978" s="25">
        <f>IF(B978&lt;62,0,'Combined Retirement'!$I$14)</f>
        <v>2345</v>
      </c>
      <c r="I978" s="25">
        <f>IF(C978&lt;62,0,'Combined Retirement'!$I$13)</f>
        <v>2420</v>
      </c>
      <c r="J978" s="25">
        <f t="shared" si="783"/>
        <v>7896.2379798201846</v>
      </c>
      <c r="K978" s="25">
        <f t="shared" si="784"/>
        <v>20367.195264578786</v>
      </c>
      <c r="L978" s="25"/>
      <c r="N978" s="25">
        <f>'Combined Retirement'!$C$18/12</f>
        <v>39153.069999999992</v>
      </c>
      <c r="O978" s="25">
        <f t="shared" si="785"/>
        <v>10889.636755601023</v>
      </c>
      <c r="P978" s="25">
        <f t="shared" si="786"/>
        <v>28263.43324439897</v>
      </c>
      <c r="Q978" s="25">
        <f t="array" aca="1" ref="Q978" ca="1">INDEX('Isaac 401k'!L:L,MATCH('Retirement Calculator'!A978,'Isaac 401k'!N:N,0),0)</f>
        <v>-403668.53901858139</v>
      </c>
      <c r="R978" s="25">
        <f t="array" aca="1" ref="R978" ca="1">INDEX('Lorri 401b'!L:L,MATCH('Retirement Calculator'!A978,'Lorri 401b'!N:N,0),0)</f>
        <v>-16292900.860387282</v>
      </c>
      <c r="S978" s="25">
        <f t="shared" ca="1" si="787"/>
        <v>-16696569.399405863</v>
      </c>
    </row>
    <row r="979" spans="1:19" ht="15.75" customHeight="1" x14ac:dyDescent="0.3">
      <c r="A979" s="37">
        <v>80752</v>
      </c>
      <c r="B979" s="398">
        <f t="shared" ref="B979:C979" si="990">($A979-B$9)/365.25</f>
        <v>139.20876112251884</v>
      </c>
      <c r="C979" s="398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3254.2644699519233</v>
      </c>
      <c r="H979" s="25">
        <f>IF(B979&lt;62,0,'Combined Retirement'!$I$14)</f>
        <v>2345</v>
      </c>
      <c r="I979" s="25">
        <f>IF(C979&lt;62,0,'Combined Retirement'!$I$13)</f>
        <v>2420</v>
      </c>
      <c r="J979" s="25">
        <f t="shared" si="783"/>
        <v>7896.2379798201846</v>
      </c>
      <c r="K979" s="25">
        <f t="shared" si="784"/>
        <v>20367.195264578786</v>
      </c>
      <c r="L979" s="25"/>
      <c r="N979" s="25">
        <f>'Combined Retirement'!$C$18/12</f>
        <v>39153.069999999992</v>
      </c>
      <c r="O979" s="25">
        <f t="shared" si="785"/>
        <v>10889.636755601023</v>
      </c>
      <c r="P979" s="25">
        <f t="shared" si="786"/>
        <v>28263.43324439897</v>
      </c>
      <c r="Q979" s="25">
        <f t="array" aca="1" ref="Q979" ca="1">INDEX('Isaac 401k'!L:L,MATCH('Retirement Calculator'!A979,'Isaac 401k'!N:N,0),0)</f>
        <v>-413279.63023589487</v>
      </c>
      <c r="R979" s="25">
        <f t="array" aca="1" ref="R979" ca="1">INDEX('Lorri 401b'!L:L,MATCH('Retirement Calculator'!A979,'Lorri 401b'!N:N,0),0)</f>
        <v>-16381240.005883744</v>
      </c>
      <c r="S979" s="25">
        <f t="shared" ca="1" si="787"/>
        <v>-16794519.636119638</v>
      </c>
    </row>
    <row r="980" spans="1:19" ht="15.75" customHeight="1" x14ac:dyDescent="0.3">
      <c r="A980" s="37">
        <v>80780</v>
      </c>
      <c r="B980" s="398">
        <f t="shared" ref="B980:C980" si="991">($A980-B$9)/365.25</f>
        <v>139.28542094455852</v>
      </c>
      <c r="C980" s="398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3254.2644699519233</v>
      </c>
      <c r="H980" s="25">
        <f>IF(B980&lt;62,0,'Combined Retirement'!$I$14)</f>
        <v>2345</v>
      </c>
      <c r="I980" s="25">
        <f>IF(C980&lt;62,0,'Combined Retirement'!$I$13)</f>
        <v>2420</v>
      </c>
      <c r="J980" s="25">
        <f t="shared" si="783"/>
        <v>7896.2379798201846</v>
      </c>
      <c r="K980" s="25">
        <f t="shared" si="784"/>
        <v>20367.195264578786</v>
      </c>
      <c r="L980" s="25"/>
      <c r="N980" s="25">
        <f>'Combined Retirement'!$C$18/12</f>
        <v>39153.069999999992</v>
      </c>
      <c r="O980" s="25">
        <f t="shared" si="785"/>
        <v>10889.636755601023</v>
      </c>
      <c r="P980" s="25">
        <f t="shared" si="786"/>
        <v>28263.43324439897</v>
      </c>
      <c r="Q980" s="25">
        <f t="array" aca="1" ref="Q980" ca="1">INDEX('Isaac 401k'!L:L,MATCH('Retirement Calculator'!A980,'Isaac 401k'!N:N,0),0)</f>
        <v>-422930.76766661386</v>
      </c>
      <c r="R980" s="25">
        <f t="array" aca="1" ref="R980" ca="1">INDEX('Lorri 401b'!L:L,MATCH('Retirement Calculator'!A980,'Lorri 401b'!N:N,0),0)</f>
        <v>-16469947.231153106</v>
      </c>
      <c r="S980" s="25">
        <f t="shared" ca="1" si="787"/>
        <v>-16892877.99881972</v>
      </c>
    </row>
    <row r="981" spans="1:19" ht="15.75" customHeight="1" x14ac:dyDescent="0.3">
      <c r="A981" s="37">
        <v>80811</v>
      </c>
      <c r="B981" s="398">
        <f t="shared" ref="B981:C981" si="992">($A981-B$9)/365.25</f>
        <v>139.37029431895962</v>
      </c>
      <c r="C981" s="398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3254.2644699519233</v>
      </c>
      <c r="H981" s="25">
        <f>IF(B981&lt;62,0,'Combined Retirement'!$I$14)</f>
        <v>2345</v>
      </c>
      <c r="I981" s="25">
        <f>IF(C981&lt;62,0,'Combined Retirement'!$I$13)</f>
        <v>2420</v>
      </c>
      <c r="J981" s="25">
        <f t="shared" si="783"/>
        <v>7896.2379798201846</v>
      </c>
      <c r="K981" s="25">
        <f t="shared" si="784"/>
        <v>20367.195264578786</v>
      </c>
      <c r="L981" s="25"/>
      <c r="N981" s="25">
        <f>'Combined Retirement'!$C$18/12</f>
        <v>39153.069999999992</v>
      </c>
      <c r="O981" s="25">
        <f t="shared" si="785"/>
        <v>10889.636755601023</v>
      </c>
      <c r="P981" s="25">
        <f t="shared" si="786"/>
        <v>28263.43324439897</v>
      </c>
      <c r="Q981" s="25">
        <f t="array" aca="1" ref="Q981" ca="1">INDEX('Isaac 401k'!L:L,MATCH('Retirement Calculator'!A981,'Isaac 401k'!N:N,0),0)</f>
        <v>-432622.11816996086</v>
      </c>
      <c r="R981" s="25">
        <f t="array" aca="1" ref="R981" ca="1">INDEX('Lorri 401b'!L:L,MATCH('Retirement Calculator'!A981,'Lorri 401b'!N:N,0),0)</f>
        <v>-16559024.069861092</v>
      </c>
      <c r="S981" s="25">
        <f t="shared" ca="1" si="787"/>
        <v>-16991646.188031051</v>
      </c>
    </row>
    <row r="982" spans="1:19" ht="15.75" customHeight="1" x14ac:dyDescent="0.3">
      <c r="A982" s="37">
        <v>80841</v>
      </c>
      <c r="B982" s="398">
        <f t="shared" ref="B982:C982" si="993">($A982-B$9)/365.25</f>
        <v>139.45242984257359</v>
      </c>
      <c r="C982" s="398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3254.2644699519233</v>
      </c>
      <c r="H982" s="25">
        <f>IF(B982&lt;62,0,'Combined Retirement'!$I$14)</f>
        <v>2345</v>
      </c>
      <c r="I982" s="25">
        <f>IF(C982&lt;62,0,'Combined Retirement'!$I$13)</f>
        <v>2420</v>
      </c>
      <c r="J982" s="25">
        <f t="shared" si="783"/>
        <v>7896.2379798201846</v>
      </c>
      <c r="K982" s="25">
        <f t="shared" si="784"/>
        <v>20367.195264578786</v>
      </c>
      <c r="L982" s="25"/>
      <c r="N982" s="25">
        <f>'Combined Retirement'!$C$18/12</f>
        <v>39153.069999999992</v>
      </c>
      <c r="O982" s="25">
        <f t="shared" si="785"/>
        <v>10889.636755601023</v>
      </c>
      <c r="P982" s="25">
        <f t="shared" si="786"/>
        <v>28263.43324439897</v>
      </c>
      <c r="Q982" s="25">
        <f t="array" aca="1" ref="Q982" ca="1">INDEX('Isaac 401k'!L:L,MATCH('Retirement Calculator'!A982,'Isaac 401k'!N:N,0),0)</f>
        <v>-442353.84930040513</v>
      </c>
      <c r="R982" s="25">
        <f t="array" aca="1" ref="R982" ca="1">INDEX('Lorri 401b'!L:L,MATCH('Retirement Calculator'!A982,'Lorri 401b'!N:N,0),0)</f>
        <v>-16648472.062063694</v>
      </c>
      <c r="S982" s="25">
        <f t="shared" ca="1" si="787"/>
        <v>-17090825.911364101</v>
      </c>
    </row>
    <row r="983" spans="1:19" ht="15.75" customHeight="1" x14ac:dyDescent="0.3">
      <c r="A983" s="37">
        <v>80872</v>
      </c>
      <c r="B983" s="398">
        <f t="shared" ref="B983:C983" si="994">($A983-B$9)/365.25</f>
        <v>139.53730321697466</v>
      </c>
      <c r="C983" s="398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3254.2644699519233</v>
      </c>
      <c r="H983" s="25">
        <f>IF(B983&lt;62,0,'Combined Retirement'!$I$14)</f>
        <v>2345</v>
      </c>
      <c r="I983" s="25">
        <f>IF(C983&lt;62,0,'Combined Retirement'!$I$13)</f>
        <v>2420</v>
      </c>
      <c r="J983" s="25">
        <f t="shared" si="783"/>
        <v>7896.2379798201846</v>
      </c>
      <c r="K983" s="25">
        <f t="shared" si="784"/>
        <v>20367.195264578786</v>
      </c>
      <c r="L983" s="25"/>
      <c r="N983" s="25">
        <f>'Combined Retirement'!$C$18/12</f>
        <v>39153.069999999992</v>
      </c>
      <c r="O983" s="25">
        <f t="shared" si="785"/>
        <v>10889.636755601023</v>
      </c>
      <c r="P983" s="25">
        <f t="shared" si="786"/>
        <v>28263.43324439897</v>
      </c>
      <c r="Q983" s="25">
        <f t="array" aca="1" ref="Q983" ca="1">INDEX('Isaac 401k'!L:L,MATCH('Retirement Calculator'!A983,'Isaac 401k'!N:N,0),0)</f>
        <v>-452126.1293105596</v>
      </c>
      <c r="R983" s="25">
        <f t="array" aca="1" ref="R983" ca="1">INDEX('Lorri 401b'!L:L,MATCH('Retirement Calculator'!A983,'Lorri 401b'!N:N,0),0)</f>
        <v>-16738292.754233805</v>
      </c>
      <c r="S983" s="25">
        <f t="shared" ca="1" si="787"/>
        <v>-17190418.883544367</v>
      </c>
    </row>
    <row r="984" spans="1:19" ht="15.75" customHeight="1" x14ac:dyDescent="0.3">
      <c r="A984" s="37">
        <v>80902</v>
      </c>
      <c r="B984" s="398">
        <f t="shared" ref="B984:C984" si="995">($A984-B$9)/365.25</f>
        <v>139.61943874058863</v>
      </c>
      <c r="C984" s="398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3254.2644699519233</v>
      </c>
      <c r="H984" s="25">
        <f>IF(B984&lt;62,0,'Combined Retirement'!$I$14)</f>
        <v>2345</v>
      </c>
      <c r="I984" s="25">
        <f>IF(C984&lt;62,0,'Combined Retirement'!$I$13)</f>
        <v>2420</v>
      </c>
      <c r="J984" s="25">
        <f t="shared" si="783"/>
        <v>7896.2379798201846</v>
      </c>
      <c r="K984" s="25">
        <f t="shared" si="784"/>
        <v>20367.195264578786</v>
      </c>
      <c r="L984" s="25"/>
      <c r="N984" s="25">
        <f>'Combined Retirement'!$C$18/12</f>
        <v>39153.069999999992</v>
      </c>
      <c r="O984" s="25">
        <f t="shared" si="785"/>
        <v>10889.636755601023</v>
      </c>
      <c r="P984" s="25">
        <f t="shared" si="786"/>
        <v>28263.43324439897</v>
      </c>
      <c r="Q984" s="25">
        <f t="array" aca="1" ref="Q984" ca="1">INDEX('Isaac 401k'!L:L,MATCH('Retirement Calculator'!A984,'Isaac 401k'!N:N,0),0)</f>
        <v>-461939.12715408969</v>
      </c>
      <c r="R984" s="25">
        <f t="array" aca="1" ref="R984" ca="1">INDEX('Lorri 401b'!L:L,MATCH('Retirement Calculator'!A984,'Lorri 401b'!N:N,0),0)</f>
        <v>-16828487.699287958</v>
      </c>
      <c r="S984" s="25">
        <f t="shared" ca="1" si="787"/>
        <v>-17290426.826442048</v>
      </c>
    </row>
    <row r="985" spans="1:19" ht="15.75" customHeight="1" x14ac:dyDescent="0.3">
      <c r="A985" s="37">
        <v>80933</v>
      </c>
      <c r="B985" s="398">
        <f t="shared" ref="B985:C985" si="996">($A985-B$9)/365.25</f>
        <v>139.70431211498973</v>
      </c>
      <c r="C985" s="398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3254.2644699519233</v>
      </c>
      <c r="H985" s="25">
        <f>IF(B985&lt;62,0,'Combined Retirement'!$I$14)</f>
        <v>2345</v>
      </c>
      <c r="I985" s="25">
        <f>IF(C985&lt;62,0,'Combined Retirement'!$I$13)</f>
        <v>2420</v>
      </c>
      <c r="J985" s="25">
        <f t="shared" si="783"/>
        <v>7896.2379798201846</v>
      </c>
      <c r="K985" s="25">
        <f t="shared" si="784"/>
        <v>20367.195264578786</v>
      </c>
      <c r="L985" s="25"/>
      <c r="N985" s="25">
        <f>'Combined Retirement'!$C$18/12</f>
        <v>39153.069999999992</v>
      </c>
      <c r="O985" s="25">
        <f t="shared" si="785"/>
        <v>10889.636755601023</v>
      </c>
      <c r="P985" s="25">
        <f t="shared" si="786"/>
        <v>28263.43324439897</v>
      </c>
      <c r="Q985" s="25">
        <f t="array" aca="1" ref="Q985" ca="1">INDEX('Isaac 401k'!L:L,MATCH('Retirement Calculator'!A985,'Isaac 401k'!N:N,0),0)</f>
        <v>-471793.0124886345</v>
      </c>
      <c r="R985" s="25">
        <f t="array" aca="1" ref="R985" ca="1">INDEX('Lorri 401b'!L:L,MATCH('Retirement Calculator'!A985,'Lorri 401b'!N:N,0),0)</f>
        <v>-16919058.456613172</v>
      </c>
      <c r="S985" s="25">
        <f t="shared" ca="1" si="787"/>
        <v>-17390851.469101805</v>
      </c>
    </row>
    <row r="986" spans="1:19" ht="15.75" customHeight="1" x14ac:dyDescent="0.3">
      <c r="A986" s="37">
        <v>80964</v>
      </c>
      <c r="B986" s="398">
        <f t="shared" ref="B986:C986" si="997">($A986-B$9)/365.25</f>
        <v>139.78918548939083</v>
      </c>
      <c r="C986" s="398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3254.2644699519233</v>
      </c>
      <c r="H986" s="25">
        <f>IF(B986&lt;62,0,'Combined Retirement'!$I$14)</f>
        <v>2345</v>
      </c>
      <c r="I986" s="25">
        <f>IF(C986&lt;62,0,'Combined Retirement'!$I$13)</f>
        <v>2420</v>
      </c>
      <c r="J986" s="25">
        <f t="shared" si="783"/>
        <v>7896.2379798201846</v>
      </c>
      <c r="K986" s="25">
        <f t="shared" si="784"/>
        <v>20367.195264578786</v>
      </c>
      <c r="L986" s="25"/>
      <c r="N986" s="25">
        <f>'Combined Retirement'!$C$18/12</f>
        <v>39153.069999999992</v>
      </c>
      <c r="O986" s="25">
        <f t="shared" si="785"/>
        <v>10889.636755601023</v>
      </c>
      <c r="P986" s="25">
        <f t="shared" si="786"/>
        <v>28263.43324439897</v>
      </c>
      <c r="Q986" s="25">
        <f t="array" aca="1" ref="Q986" ca="1">INDEX('Isaac 401k'!L:L,MATCH('Retirement Calculator'!A986,'Isaac 401k'!N:N,0),0)</f>
        <v>-481687.95567873988</v>
      </c>
      <c r="R986" s="25">
        <f t="array" aca="1" ref="R986" ca="1">INDEX('Lorri 401b'!L:L,MATCH('Retirement Calculator'!A986,'Lorri 401b'!N:N,0),0)</f>
        <v>-17010006.592093907</v>
      </c>
      <c r="S986" s="25">
        <f t="shared" ca="1" si="787"/>
        <v>-17491694.547772646</v>
      </c>
    </row>
    <row r="987" spans="1:19" ht="15.75" customHeight="1" x14ac:dyDescent="0.3">
      <c r="A987" s="37">
        <v>80994</v>
      </c>
      <c r="B987" s="398">
        <f t="shared" ref="B987:C987" si="998">($A987-B$9)/365.25</f>
        <v>139.8713210130048</v>
      </c>
      <c r="C987" s="398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3254.2644699519233</v>
      </c>
      <c r="H987" s="25">
        <f>IF(B987&lt;62,0,'Combined Retirement'!$I$14)</f>
        <v>2345</v>
      </c>
      <c r="I987" s="25">
        <f>IF(C987&lt;62,0,'Combined Retirement'!$I$13)</f>
        <v>2420</v>
      </c>
      <c r="J987" s="25">
        <f t="shared" si="783"/>
        <v>7896.2379798201846</v>
      </c>
      <c r="K987" s="25">
        <f t="shared" si="784"/>
        <v>20367.195264578786</v>
      </c>
      <c r="L987" s="25"/>
      <c r="N987" s="25">
        <f>'Combined Retirement'!$C$18/12</f>
        <v>39153.069999999992</v>
      </c>
      <c r="O987" s="25">
        <f t="shared" si="785"/>
        <v>10889.636755601023</v>
      </c>
      <c r="P987" s="25">
        <f t="shared" si="786"/>
        <v>28263.43324439897</v>
      </c>
      <c r="Q987" s="25">
        <f t="array" aca="1" ref="Q987" ca="1">INDEX('Isaac 401k'!L:L,MATCH('Retirement Calculator'!A987,'Isaac 401k'!N:N,0),0)</f>
        <v>-491624.12779880402</v>
      </c>
      <c r="R987" s="25">
        <f t="array" aca="1" ref="R987" ca="1">INDEX('Lorri 401b'!L:L,MATCH('Retirement Calculator'!A987,'Lorri 401b'!N:N,0),0)</f>
        <v>-17101333.678139146</v>
      </c>
      <c r="S987" s="25">
        <f t="shared" ca="1" si="787"/>
        <v>-17592957.80593795</v>
      </c>
    </row>
    <row r="988" spans="1:19" ht="15.75" customHeight="1" x14ac:dyDescent="0.3">
      <c r="A988" s="37">
        <v>81025</v>
      </c>
      <c r="B988" s="398">
        <f t="shared" ref="B988:C988" si="999">($A988-B$9)/365.25</f>
        <v>139.95619438740587</v>
      </c>
      <c r="C988" s="398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3254.2644699519233</v>
      </c>
      <c r="H988" s="25">
        <f>IF(B988&lt;62,0,'Combined Retirement'!$I$14)</f>
        <v>2345</v>
      </c>
      <c r="I988" s="25">
        <f>IF(C988&lt;62,0,'Combined Retirement'!$I$13)</f>
        <v>2420</v>
      </c>
      <c r="J988" s="25">
        <f t="shared" si="783"/>
        <v>7896.2379798201846</v>
      </c>
      <c r="K988" s="25">
        <f t="shared" si="784"/>
        <v>20367.195264578786</v>
      </c>
      <c r="L988" s="25"/>
      <c r="N988" s="25">
        <f>'Combined Retirement'!$C$18/12</f>
        <v>39153.069999999992</v>
      </c>
      <c r="O988" s="25">
        <f t="shared" si="785"/>
        <v>10889.636755601023</v>
      </c>
      <c r="P988" s="25">
        <f t="shared" si="786"/>
        <v>28263.43324439897</v>
      </c>
      <c r="Q988" s="25">
        <f t="array" aca="1" ref="Q988" ca="1">INDEX('Isaac 401k'!L:L,MATCH('Retirement Calculator'!A988,'Isaac 401k'!N:N,0),0)</f>
        <v>-501601.70063603512</v>
      </c>
      <c r="R988" s="25">
        <f t="array" aca="1" ref="R988" ca="1">INDEX('Lorri 401b'!L:L,MATCH('Retirement Calculator'!A988,'Lorri 401b'!N:N,0),0)</f>
        <v>-17193041.293709572</v>
      </c>
      <c r="S988" s="25">
        <f t="shared" ca="1" si="787"/>
        <v>-17694642.994345609</v>
      </c>
    </row>
    <row r="989" spans="1:19" ht="15.75" customHeight="1" x14ac:dyDescent="0.3">
      <c r="A989" s="37">
        <v>81055</v>
      </c>
      <c r="B989" s="398">
        <f t="shared" ref="B989:C989" si="1000">($A989-B$9)/365.25</f>
        <v>140.03832991101984</v>
      </c>
      <c r="C989" s="398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3254.2644699519233</v>
      </c>
      <c r="H989" s="25">
        <f>IF(B989&lt;62,0,'Combined Retirement'!$I$14)</f>
        <v>2345</v>
      </c>
      <c r="I989" s="25">
        <f>IF(C989&lt;62,0,'Combined Retirement'!$I$13)</f>
        <v>2420</v>
      </c>
      <c r="J989" s="25">
        <f t="shared" si="783"/>
        <v>7896.2379798201846</v>
      </c>
      <c r="K989" s="25">
        <f t="shared" si="784"/>
        <v>20367.195264578786</v>
      </c>
      <c r="L989" s="25"/>
      <c r="N989" s="25">
        <f>'Combined Retirement'!$C$18/12</f>
        <v>39153.069999999992</v>
      </c>
      <c r="O989" s="25">
        <f t="shared" si="785"/>
        <v>10889.636755601023</v>
      </c>
      <c r="P989" s="25">
        <f t="shared" si="786"/>
        <v>28263.43324439897</v>
      </c>
      <c r="Q989" s="25">
        <f t="array" aca="1" ref="Q989" ca="1">INDEX('Isaac 401k'!L:L,MATCH('Retirement Calculator'!A989,'Isaac 401k'!N:N,0),0)</f>
        <v>-511620.84669342136</v>
      </c>
      <c r="R989" s="25">
        <f t="array" aca="1" ref="R989" ca="1">INDEX('Lorri 401b'!L:L,MATCH('Retirement Calculator'!A989,'Lorri 401b'!N:N,0),0)</f>
        <v>-17285131.024344876</v>
      </c>
      <c r="S989" s="25">
        <f t="shared" ca="1" si="787"/>
        <v>-17796751.871038299</v>
      </c>
    </row>
    <row r="990" spans="1:19" ht="15.75" customHeight="1" x14ac:dyDescent="0.3">
      <c r="A990" s="37">
        <v>81086</v>
      </c>
      <c r="B990" s="398">
        <f t="shared" ref="B990:C990" si="1001">($A990-B$9)/365.25</f>
        <v>140.12320328542094</v>
      </c>
      <c r="C990" s="398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3254.2644699519233</v>
      </c>
      <c r="H990" s="25">
        <f>IF(B990&lt;62,0,'Combined Retirement'!$I$14)</f>
        <v>2345</v>
      </c>
      <c r="I990" s="25">
        <f>IF(C990&lt;62,0,'Combined Retirement'!$I$13)</f>
        <v>2420</v>
      </c>
      <c r="J990" s="25">
        <f t="shared" si="783"/>
        <v>7896.2379798201846</v>
      </c>
      <c r="K990" s="25">
        <f t="shared" si="784"/>
        <v>20367.195264578786</v>
      </c>
      <c r="L990" s="25"/>
      <c r="N990" s="25">
        <f>'Combined Retirement'!$C$18/12</f>
        <v>39153.069999999992</v>
      </c>
      <c r="O990" s="25">
        <f t="shared" si="785"/>
        <v>10889.636755601023</v>
      </c>
      <c r="P990" s="25">
        <f t="shared" si="786"/>
        <v>28263.43324439897</v>
      </c>
      <c r="Q990" s="25">
        <f t="array" aca="1" ref="Q990" ca="1">INDEX('Isaac 401k'!L:L,MATCH('Retirement Calculator'!A990,'Isaac 401k'!N:N,0),0)</f>
        <v>-521681.7391927134</v>
      </c>
      <c r="R990" s="25">
        <f t="array" aca="1" ref="R990" ca="1">INDEX('Lorri 401b'!L:L,MATCH('Retirement Calculator'!A990,'Lorri 401b'!N:N,0),0)</f>
        <v>-17377604.462191161</v>
      </c>
      <c r="S990" s="25">
        <f t="shared" ca="1" si="787"/>
        <v>-17899286.201383874</v>
      </c>
    </row>
    <row r="991" spans="1:19" ht="15.75" customHeight="1" x14ac:dyDescent="0.3">
      <c r="A991" s="37">
        <v>81117</v>
      </c>
      <c r="B991" s="398">
        <f t="shared" ref="B991:C991" si="1002">($A991-B$9)/365.25</f>
        <v>140.20807665982204</v>
      </c>
      <c r="C991" s="398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3254.2644699519233</v>
      </c>
      <c r="H991" s="25">
        <f>IF(B991&lt;62,0,'Combined Retirement'!$I$14)</f>
        <v>2345</v>
      </c>
      <c r="I991" s="25">
        <f>IF(C991&lt;62,0,'Combined Retirement'!$I$13)</f>
        <v>2420</v>
      </c>
      <c r="J991" s="25">
        <f t="shared" si="783"/>
        <v>7896.2379798201846</v>
      </c>
      <c r="K991" s="25">
        <f t="shared" si="784"/>
        <v>20367.195264578786</v>
      </c>
      <c r="L991" s="25"/>
      <c r="N991" s="25">
        <f>'Combined Retirement'!$C$18/12</f>
        <v>39153.069999999992</v>
      </c>
      <c r="O991" s="25">
        <f t="shared" si="785"/>
        <v>10889.636755601023</v>
      </c>
      <c r="P991" s="25">
        <f t="shared" si="786"/>
        <v>28263.43324439897</v>
      </c>
      <c r="Q991" s="25">
        <f t="array" aca="1" ref="Q991" ca="1">INDEX('Isaac 401k'!L:L,MATCH('Retirement Calculator'!A991,'Isaac 401k'!N:N,0),0)</f>
        <v>-531784.55207741924</v>
      </c>
      <c r="R991" s="25">
        <f t="array" aca="1" ref="R991" ca="1">INDEX('Lorri 401b'!L:L,MATCH('Retirement Calculator'!A991,'Lorri 401b'!N:N,0),0)</f>
        <v>-17470463.206028473</v>
      </c>
      <c r="S991" s="25">
        <f t="shared" ca="1" si="787"/>
        <v>-18002247.758105893</v>
      </c>
    </row>
    <row r="992" spans="1:19" ht="15.75" customHeight="1" x14ac:dyDescent="0.3">
      <c r="A992" s="37">
        <v>81145</v>
      </c>
      <c r="B992" s="398">
        <f t="shared" ref="B992:C992" si="1003">($A992-B$9)/365.25</f>
        <v>140.28473648186173</v>
      </c>
      <c r="C992" s="398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3254.2644699519233</v>
      </c>
      <c r="H992" s="25">
        <f>IF(B992&lt;62,0,'Combined Retirement'!$I$14)</f>
        <v>2345</v>
      </c>
      <c r="I992" s="25">
        <f>IF(C992&lt;62,0,'Combined Retirement'!$I$13)</f>
        <v>2420</v>
      </c>
      <c r="J992" s="25">
        <f t="shared" si="783"/>
        <v>7896.2379798201846</v>
      </c>
      <c r="K992" s="25">
        <f t="shared" si="784"/>
        <v>20367.195264578786</v>
      </c>
      <c r="L992" s="25"/>
      <c r="N992" s="25">
        <f>'Combined Retirement'!$C$18/12</f>
        <v>39153.069999999992</v>
      </c>
      <c r="O992" s="25">
        <f t="shared" si="785"/>
        <v>10889.636755601023</v>
      </c>
      <c r="P992" s="25">
        <f t="shared" si="786"/>
        <v>28263.43324439897</v>
      </c>
      <c r="Q992" s="25">
        <f t="array" aca="1" ref="Q992" ca="1">INDEX('Isaac 401k'!L:L,MATCH('Retirement Calculator'!A992,'Isaac 401k'!N:N,0),0)</f>
        <v>-541929.46001581126</v>
      </c>
      <c r="R992" s="25">
        <f t="array" aca="1" ref="R992" ca="1">INDEX('Lorri 401b'!L:L,MATCH('Retirement Calculator'!A992,'Lorri 401b'!N:N,0),0)</f>
        <v>-17563708.861298438</v>
      </c>
      <c r="S992" s="25">
        <f t="shared" ca="1" si="787"/>
        <v>-18105638.321314249</v>
      </c>
    </row>
    <row r="993" spans="1:19" ht="15.75" customHeight="1" x14ac:dyDescent="0.3">
      <c r="A993" s="37">
        <v>81176</v>
      </c>
      <c r="B993" s="398">
        <f t="shared" ref="B993:C993" si="1004">($A993-B$9)/365.25</f>
        <v>140.36960985626283</v>
      </c>
      <c r="C993" s="398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3254.2644699519233</v>
      </c>
      <c r="H993" s="25">
        <f>IF(B993&lt;62,0,'Combined Retirement'!$I$14)</f>
        <v>2345</v>
      </c>
      <c r="I993" s="25">
        <f>IF(C993&lt;62,0,'Combined Retirement'!$I$13)</f>
        <v>2420</v>
      </c>
      <c r="J993" s="25">
        <f t="shared" si="783"/>
        <v>7896.2379798201846</v>
      </c>
      <c r="K993" s="25">
        <f t="shared" si="784"/>
        <v>20367.195264578786</v>
      </c>
      <c r="L993" s="25"/>
      <c r="N993" s="25">
        <f>'Combined Retirement'!$C$18/12</f>
        <v>39153.069999999992</v>
      </c>
      <c r="O993" s="25">
        <f t="shared" si="785"/>
        <v>10889.636755601023</v>
      </c>
      <c r="P993" s="25">
        <f t="shared" si="786"/>
        <v>28263.43324439897</v>
      </c>
      <c r="Q993" s="25">
        <f t="array" aca="1" ref="Q993" ca="1">INDEX('Isaac 401k'!L:L,MATCH('Retirement Calculator'!A993,'Isaac 401k'!N:N,0),0)</f>
        <v>-552116.63840394665</v>
      </c>
      <c r="R993" s="25">
        <f t="array" aca="1" ref="R993" ca="1">INDEX('Lorri 401b'!L:L,MATCH('Retirement Calculator'!A993,'Lorri 401b'!N:N,0),0)</f>
        <v>-17657343.040132027</v>
      </c>
      <c r="S993" s="25">
        <f t="shared" ca="1" si="787"/>
        <v>-18209459.678535976</v>
      </c>
    </row>
    <row r="994" spans="1:19" ht="15.75" customHeight="1" x14ac:dyDescent="0.3">
      <c r="A994" s="37">
        <v>81206</v>
      </c>
      <c r="B994" s="398">
        <f t="shared" ref="B994:C994" si="1005">($A994-B$9)/365.25</f>
        <v>140.4517453798768</v>
      </c>
      <c r="C994" s="398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3254.2644699519233</v>
      </c>
      <c r="H994" s="25">
        <f>IF(B994&lt;62,0,'Combined Retirement'!$I$14)</f>
        <v>2345</v>
      </c>
      <c r="I994" s="25">
        <f>IF(C994&lt;62,0,'Combined Retirement'!$I$13)</f>
        <v>2420</v>
      </c>
      <c r="J994" s="25">
        <f t="shared" si="783"/>
        <v>7896.2379798201846</v>
      </c>
      <c r="K994" s="25">
        <f t="shared" si="784"/>
        <v>20367.195264578786</v>
      </c>
      <c r="L994" s="25"/>
      <c r="N994" s="25">
        <f>'Combined Retirement'!$C$18/12</f>
        <v>39153.069999999992</v>
      </c>
      <c r="O994" s="25">
        <f t="shared" si="785"/>
        <v>10889.636755601023</v>
      </c>
      <c r="P994" s="25">
        <f t="shared" si="786"/>
        <v>28263.43324439897</v>
      </c>
      <c r="Q994" s="25">
        <f t="array" aca="1" ref="Q994" ca="1">INDEX('Isaac 401k'!L:L,MATCH('Retirement Calculator'!A994,'Isaac 401k'!N:N,0),0)</f>
        <v>-562346.26336869923</v>
      </c>
      <c r="R994" s="25">
        <f t="array" aca="1" ref="R994" ca="1">INDEX('Lorri 401b'!L:L,MATCH('Retirement Calculator'!A994,'Lorri 401b'!N:N,0),0)</f>
        <v>-17751367.361377425</v>
      </c>
      <c r="S994" s="25">
        <f t="shared" ca="1" si="787"/>
        <v>-18313713.624746125</v>
      </c>
    </row>
    <row r="995" spans="1:19" ht="15.75" customHeight="1" x14ac:dyDescent="0.3">
      <c r="A995" s="37">
        <v>81237</v>
      </c>
      <c r="B995" s="398">
        <f t="shared" ref="B995:C995" si="1006">($A995-B$9)/365.25</f>
        <v>140.5366187542779</v>
      </c>
      <c r="C995" s="398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3254.2644699519233</v>
      </c>
      <c r="H995" s="25">
        <f>IF(B995&lt;62,0,'Combined Retirement'!$I$14)</f>
        <v>2345</v>
      </c>
      <c r="I995" s="25">
        <f>IF(C995&lt;62,0,'Combined Retirement'!$I$13)</f>
        <v>2420</v>
      </c>
      <c r="J995" s="25">
        <f t="shared" si="783"/>
        <v>7896.2379798201846</v>
      </c>
      <c r="K995" s="25">
        <f t="shared" si="784"/>
        <v>20367.195264578786</v>
      </c>
      <c r="L995" s="25"/>
      <c r="N995" s="25">
        <f>'Combined Retirement'!$C$18/12</f>
        <v>39153.069999999992</v>
      </c>
      <c r="O995" s="25">
        <f t="shared" si="785"/>
        <v>10889.636755601023</v>
      </c>
      <c r="P995" s="25">
        <f t="shared" si="786"/>
        <v>28263.43324439897</v>
      </c>
      <c r="Q995" s="25">
        <f t="array" aca="1" ref="Q995" ca="1">INDEX('Isaac 401k'!L:L,MATCH('Retirement Calculator'!A995,'Isaac 401k'!N:N,0),0)</f>
        <v>-572618.51177080499</v>
      </c>
      <c r="R995" s="25">
        <f t="array" aca="1" ref="R995" ca="1">INDEX('Lorri 401b'!L:L,MATCH('Retirement Calculator'!A995,'Lorri 401b'!N:N,0),0)</f>
        <v>-17845783.450628012</v>
      </c>
      <c r="S995" s="25">
        <f t="shared" ca="1" si="787"/>
        <v>-18418401.962398816</v>
      </c>
    </row>
    <row r="996" spans="1:19" ht="15.75" customHeight="1" x14ac:dyDescent="0.3">
      <c r="A996" s="37">
        <v>81267</v>
      </c>
      <c r="B996" s="398">
        <f t="shared" ref="B996:C996" si="1007">($A996-B$9)/365.25</f>
        <v>140.61875427789187</v>
      </c>
      <c r="C996" s="398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3254.2644699519233</v>
      </c>
      <c r="H996" s="25">
        <f>IF(B996&lt;62,0,'Combined Retirement'!$I$14)</f>
        <v>2345</v>
      </c>
      <c r="I996" s="25">
        <f>IF(C996&lt;62,0,'Combined Retirement'!$I$13)</f>
        <v>2420</v>
      </c>
      <c r="J996" s="25">
        <f t="shared" si="783"/>
        <v>7896.2379798201846</v>
      </c>
      <c r="K996" s="25">
        <f t="shared" si="784"/>
        <v>20367.195264578786</v>
      </c>
      <c r="L996" s="25"/>
      <c r="N996" s="25">
        <f>'Combined Retirement'!$C$18/12</f>
        <v>39153.069999999992</v>
      </c>
      <c r="O996" s="25">
        <f t="shared" si="785"/>
        <v>10889.636755601023</v>
      </c>
      <c r="P996" s="25">
        <f t="shared" si="786"/>
        <v>28263.43324439897</v>
      </c>
      <c r="Q996" s="25">
        <f t="array" aca="1" ref="Q996" ca="1">INDEX('Isaac 401k'!L:L,MATCH('Retirement Calculator'!A996,'Isaac 401k'!N:N,0),0)</f>
        <v>-582933.5612079195</v>
      </c>
      <c r="R996" s="25">
        <f t="array" aca="1" ref="R996" ca="1">INDEX('Lorri 401b'!L:L,MATCH('Retirement Calculator'!A996,'Lorri 401b'!N:N,0),0)</f>
        <v>-17940592.940250475</v>
      </c>
      <c r="S996" s="25">
        <f t="shared" ca="1" si="787"/>
        <v>-18523526.501458395</v>
      </c>
    </row>
    <row r="997" spans="1:19" ht="15.75" customHeight="1" x14ac:dyDescent="0.3">
      <c r="A997" s="37">
        <v>81298</v>
      </c>
      <c r="B997" s="398">
        <f t="shared" ref="B997:C997" si="1008">($A997-B$9)/365.25</f>
        <v>140.70362765229294</v>
      </c>
      <c r="C997" s="398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3254.2644699519233</v>
      </c>
      <c r="H997" s="25">
        <f>IF(B997&lt;62,0,'Combined Retirement'!$I$14)</f>
        <v>2345</v>
      </c>
      <c r="I997" s="25">
        <f>IF(C997&lt;62,0,'Combined Retirement'!$I$13)</f>
        <v>2420</v>
      </c>
      <c r="J997" s="25">
        <f t="shared" si="783"/>
        <v>7896.2379798201846</v>
      </c>
      <c r="K997" s="25">
        <f t="shared" si="784"/>
        <v>20367.195264578786</v>
      </c>
      <c r="L997" s="25"/>
      <c r="N997" s="25">
        <f>'Combined Retirement'!$C$18/12</f>
        <v>39153.069999999992</v>
      </c>
      <c r="O997" s="25">
        <f t="shared" si="785"/>
        <v>10889.636755601023</v>
      </c>
      <c r="P997" s="25">
        <f t="shared" si="786"/>
        <v>28263.43324439897</v>
      </c>
      <c r="Q997" s="25">
        <f t="array" aca="1" ref="Q997" ca="1">INDEX('Isaac 401k'!L:L,MATCH('Retirement Calculator'!A997,'Isaac 401k'!N:N,0),0)</f>
        <v>-593291.59001768869</v>
      </c>
      <c r="R997" s="25">
        <f t="array" aca="1" ref="R997" ca="1">INDEX('Lorri 401b'!L:L,MATCH('Retirement Calculator'!A997,'Lorri 401b'!N:N,0),0)</f>
        <v>-18035797.469413031</v>
      </c>
      <c r="S997" s="25">
        <f t="shared" ca="1" si="787"/>
        <v>-18629089.059430718</v>
      </c>
    </row>
    <row r="998" spans="1:19" ht="15.75" customHeight="1" x14ac:dyDescent="0.3">
      <c r="A998" s="37">
        <v>81329</v>
      </c>
      <c r="B998" s="398">
        <f t="shared" ref="B998:C998" si="1009">($A998-B$9)/365.25</f>
        <v>140.78850102669404</v>
      </c>
      <c r="C998" s="398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3254.2644699519233</v>
      </c>
      <c r="H998" s="25">
        <f>IF(B998&lt;62,0,'Combined Retirement'!$I$14)</f>
        <v>2345</v>
      </c>
      <c r="I998" s="25">
        <f>IF(C998&lt;62,0,'Combined Retirement'!$I$13)</f>
        <v>2420</v>
      </c>
      <c r="J998" s="25">
        <f t="shared" si="783"/>
        <v>7896.2379798201846</v>
      </c>
      <c r="K998" s="25">
        <f t="shared" si="784"/>
        <v>20367.195264578786</v>
      </c>
      <c r="L998" s="25"/>
      <c r="N998" s="25">
        <f>'Combined Retirement'!$C$18/12</f>
        <v>39153.069999999992</v>
      </c>
      <c r="O998" s="25">
        <f t="shared" si="785"/>
        <v>10889.636755601023</v>
      </c>
      <c r="P998" s="25">
        <f t="shared" si="786"/>
        <v>28263.43324439897</v>
      </c>
      <c r="Q998" s="25">
        <f t="array" aca="1" ref="Q998" ca="1">INDEX('Isaac 401k'!L:L,MATCH('Retirement Calculator'!A998,'Isaac 401k'!N:N,0),0)</f>
        <v>-603692.77728083183</v>
      </c>
      <c r="R998" s="25">
        <f t="array" aca="1" ref="R998" ca="1">INDEX('Lorri 401b'!L:L,MATCH('Retirement Calculator'!A998,'Lorri 401b'!N:N,0),0)</f>
        <v>-18131398.684113767</v>
      </c>
      <c r="S998" s="25">
        <f t="shared" ca="1" si="787"/>
        <v>-18735091.461394601</v>
      </c>
    </row>
    <row r="999" spans="1:19" ht="15.75" customHeight="1" x14ac:dyDescent="0.3">
      <c r="A999" s="37">
        <v>81359</v>
      </c>
      <c r="B999" s="398">
        <f t="shared" ref="B999:C999" si="1010">($A999-B$9)/365.25</f>
        <v>140.87063655030801</v>
      </c>
      <c r="C999" s="398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3254.2644699519233</v>
      </c>
      <c r="H999" s="25">
        <f>IF(B999&lt;62,0,'Combined Retirement'!$I$14)</f>
        <v>2345</v>
      </c>
      <c r="I999" s="25">
        <f>IF(C999&lt;62,0,'Combined Retirement'!$I$13)</f>
        <v>2420</v>
      </c>
      <c r="J999" s="25">
        <f t="shared" si="783"/>
        <v>7896.2379798201846</v>
      </c>
      <c r="K999" s="25">
        <f t="shared" si="784"/>
        <v>20367.195264578786</v>
      </c>
      <c r="L999" s="25"/>
      <c r="N999" s="25">
        <f>'Combined Retirement'!$C$18/12</f>
        <v>39153.069999999992</v>
      </c>
      <c r="O999" s="25">
        <f t="shared" si="785"/>
        <v>10889.636755601023</v>
      </c>
      <c r="P999" s="25">
        <f t="shared" si="786"/>
        <v>28263.43324439897</v>
      </c>
      <c r="Q999" s="25">
        <f t="array" aca="1" ref="Q999" ca="1">INDEX('Isaac 401k'!L:L,MATCH('Retirement Calculator'!A999,'Isaac 401k'!N:N,0),0)</f>
        <v>-614137.30282423808</v>
      </c>
      <c r="R999" s="25">
        <f t="array" aca="1" ref="R999" ca="1">INDEX('Lorri 401b'!L:L,MATCH('Retirement Calculator'!A999,'Lorri 401b'!N:N,0),0)</f>
        <v>-18227398.237209089</v>
      </c>
      <c r="S999" s="25">
        <f t="shared" ca="1" si="787"/>
        <v>-18841535.540033326</v>
      </c>
    </row>
    <row r="1000" spans="1:19" ht="15.75" customHeight="1" x14ac:dyDescent="0.3">
      <c r="A1000" s="37">
        <v>81390</v>
      </c>
      <c r="B1000" s="398">
        <f t="shared" ref="B1000:C1000" si="1011">($A1000-B$9)/365.25</f>
        <v>140.95550992470911</v>
      </c>
      <c r="C1000" s="398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3254.2644699519233</v>
      </c>
      <c r="H1000" s="25">
        <f>IF(B1000&lt;62,0,'Combined Retirement'!$I$14)</f>
        <v>2345</v>
      </c>
      <c r="I1000" s="25">
        <f>IF(C1000&lt;62,0,'Combined Retirement'!$I$13)</f>
        <v>2420</v>
      </c>
      <c r="J1000" s="25">
        <f t="shared" si="783"/>
        <v>7896.2379798201846</v>
      </c>
      <c r="K1000" s="25">
        <f t="shared" si="784"/>
        <v>20367.195264578786</v>
      </c>
      <c r="L1000" s="25"/>
      <c r="N1000" s="25">
        <f>'Combined Retirement'!$C$18/12</f>
        <v>39153.069999999992</v>
      </c>
      <c r="O1000" s="25">
        <f t="shared" si="785"/>
        <v>10889.636755601023</v>
      </c>
      <c r="P1000" s="25">
        <f t="shared" si="786"/>
        <v>28263.43324439897</v>
      </c>
      <c r="Q1000" s="25">
        <f t="array" aca="1" ref="Q1000" ca="1">INDEX('Isaac 401k'!L:L,MATCH('Retirement Calculator'!A1000,'Isaac 401k'!N:N,0),0)</f>
        <v>-624625.34722407523</v>
      </c>
      <c r="R1000" s="25">
        <f t="array" aca="1" ref="R1000" ca="1">INDEX('Lorri 401b'!L:L,MATCH('Retirement Calculator'!A1000,'Lorri 401b'!N:N,0),0)</f>
        <v>-18323797.788442306</v>
      </c>
      <c r="S1000" s="25">
        <f t="shared" ca="1" si="787"/>
        <v>-18948423.135666382</v>
      </c>
    </row>
    <row r="1001" spans="1:19" ht="15.75" customHeight="1" x14ac:dyDescent="0.3">
      <c r="A1001" s="37">
        <v>81420</v>
      </c>
      <c r="B1001" s="398">
        <f t="shared" ref="B1001:C1001" si="1012">($A1001-B$9)/365.25</f>
        <v>141.03764544832308</v>
      </c>
      <c r="C1001" s="398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3254.2644699519233</v>
      </c>
      <c r="H1001" s="25">
        <f>IF(B1001&lt;62,0,'Combined Retirement'!$I$14)</f>
        <v>2345</v>
      </c>
      <c r="I1001" s="25">
        <f>IF(C1001&lt;62,0,'Combined Retirement'!$I$13)</f>
        <v>2420</v>
      </c>
      <c r="J1001" s="25">
        <f t="shared" si="783"/>
        <v>7896.2379798201846</v>
      </c>
      <c r="K1001" s="25">
        <f t="shared" si="784"/>
        <v>20367.195264578786</v>
      </c>
      <c r="L1001" s="25"/>
      <c r="N1001" s="25">
        <f>'Combined Retirement'!$C$18/12</f>
        <v>39153.069999999992</v>
      </c>
      <c r="O1001" s="25">
        <f t="shared" si="785"/>
        <v>10889.636755601023</v>
      </c>
      <c r="P1001" s="25">
        <f t="shared" si="786"/>
        <v>28263.43324439897</v>
      </c>
      <c r="Q1001" s="25">
        <f t="array" aca="1" ref="Q1001" ca="1">INDEX('Isaac 401k'!L:L,MATCH('Retirement Calculator'!A1001,'Isaac 401k'!N:N,0),0)</f>
        <v>-635157.09180891165</v>
      </c>
      <c r="R1001" s="25">
        <f t="array" aca="1" ref="R1001" ca="1">INDEX('Lorri 401b'!L:L,MATCH('Retirement Calculator'!A1001,'Lorri 401b'!N:N,0),0)</f>
        <v>-18420599.00447233</v>
      </c>
      <c r="S1001" s="25">
        <f t="shared" ca="1" si="787"/>
        <v>-19055756.096281242</v>
      </c>
    </row>
    <row r="1002" spans="1:19" ht="15.75" customHeight="1" x14ac:dyDescent="0.3">
      <c r="A1002" s="37">
        <v>81451</v>
      </c>
      <c r="B1002" s="398">
        <f t="shared" ref="B1002:C1002" si="1013">($A1002-B$9)/365.25</f>
        <v>141.12251882272417</v>
      </c>
      <c r="C1002" s="398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3254.2644699519233</v>
      </c>
      <c r="H1002" s="25">
        <f>IF(B1002&lt;62,0,'Combined Retirement'!$I$14)</f>
        <v>2345</v>
      </c>
      <c r="I1002" s="25">
        <f>IF(C1002&lt;62,0,'Combined Retirement'!$I$13)</f>
        <v>2420</v>
      </c>
      <c r="J1002" s="25">
        <f t="shared" si="783"/>
        <v>7896.2379798201846</v>
      </c>
      <c r="K1002" s="25">
        <f t="shared" si="784"/>
        <v>20367.195264578786</v>
      </c>
      <c r="L1002" s="25"/>
      <c r="N1002" s="25">
        <f>'Combined Retirement'!$C$18/12</f>
        <v>39153.069999999992</v>
      </c>
      <c r="O1002" s="25">
        <f t="shared" si="785"/>
        <v>10889.636755601023</v>
      </c>
      <c r="P1002" s="25">
        <f t="shared" si="786"/>
        <v>28263.43324439897</v>
      </c>
      <c r="Q1002" s="25">
        <f t="array" aca="1" ref="Q1002" ca="1">INDEX('Isaac 401k'!L:L,MATCH('Retirement Calculator'!A1002,'Isaac 401k'!N:N,0),0)</f>
        <v>-645732.71866285161</v>
      </c>
      <c r="R1002" s="25">
        <f t="array" aca="1" ref="R1002" ca="1">INDEX('Lorri 401b'!L:L,MATCH('Retirement Calculator'!A1002,'Lorri 401b'!N:N,0),0)</f>
        <v>-18517803.55890248</v>
      </c>
      <c r="S1002" s="25">
        <f t="shared" ca="1" si="787"/>
        <v>-19163536.27756533</v>
      </c>
    </row>
    <row r="1003" spans="1:19" ht="15.75" customHeight="1" x14ac:dyDescent="0.3">
      <c r="A1003" s="37">
        <v>81482</v>
      </c>
      <c r="B1003" s="398">
        <f t="shared" ref="B1003:C1003" si="1014">($A1003-B$9)/365.25</f>
        <v>141.20739219712524</v>
      </c>
      <c r="C1003" s="398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3254.2644699519233</v>
      </c>
      <c r="H1003" s="25">
        <f>IF(B1003&lt;62,0,'Combined Retirement'!$I$14)</f>
        <v>2345</v>
      </c>
      <c r="I1003" s="25">
        <f>IF(C1003&lt;62,0,'Combined Retirement'!$I$13)</f>
        <v>2420</v>
      </c>
      <c r="J1003" s="25">
        <f t="shared" si="783"/>
        <v>7896.2379798201846</v>
      </c>
      <c r="K1003" s="25">
        <f t="shared" si="784"/>
        <v>20367.195264578786</v>
      </c>
      <c r="L1003" s="25"/>
      <c r="N1003" s="25">
        <f>'Combined Retirement'!$C$18/12</f>
        <v>39153.069999999992</v>
      </c>
      <c r="O1003" s="25">
        <f t="shared" si="785"/>
        <v>10889.636755601023</v>
      </c>
      <c r="P1003" s="25">
        <f t="shared" si="786"/>
        <v>28263.43324439897</v>
      </c>
      <c r="Q1003" s="25">
        <f t="array" aca="1" ref="Q1003" ca="1">INDEX('Isaac 401k'!L:L,MATCH('Retirement Calculator'!A1003,'Isaac 401k'!N:N,0),0)</f>
        <v>-656352.41062868293</v>
      </c>
      <c r="R1003" s="25">
        <f t="array" aca="1" ref="R1003" ca="1">INDEX('Lorri 401b'!L:L,MATCH('Retirement Calculator'!A1003,'Lorri 401b'!N:N,0),0)</f>
        <v>-18615413.132309422</v>
      </c>
      <c r="S1003" s="25">
        <f t="shared" ca="1" si="787"/>
        <v>-19271765.542938106</v>
      </c>
    </row>
    <row r="1004" spans="1:19" ht="15.75" customHeight="1" x14ac:dyDescent="0.3">
      <c r="A1004" s="37">
        <v>81510</v>
      </c>
      <c r="B1004" s="398">
        <f t="shared" ref="B1004:C1004" si="1015">($A1004-B$9)/365.25</f>
        <v>141.28405201916496</v>
      </c>
      <c r="C1004" s="398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3254.2644699519233</v>
      </c>
      <c r="H1004" s="25">
        <f>IF(B1004&lt;62,0,'Combined Retirement'!$I$14)</f>
        <v>2345</v>
      </c>
      <c r="I1004" s="25">
        <f>IF(C1004&lt;62,0,'Combined Retirement'!$I$13)</f>
        <v>2420</v>
      </c>
      <c r="J1004" s="25">
        <f t="shared" si="783"/>
        <v>7896.2379798201846</v>
      </c>
      <c r="K1004" s="25">
        <f t="shared" si="784"/>
        <v>20367.195264578786</v>
      </c>
      <c r="L1004" s="25"/>
      <c r="N1004" s="25">
        <f>'Combined Retirement'!$C$18/12</f>
        <v>39153.069999999992</v>
      </c>
      <c r="O1004" s="25">
        <f t="shared" si="785"/>
        <v>10889.636755601023</v>
      </c>
      <c r="P1004" s="25">
        <f t="shared" si="786"/>
        <v>28263.43324439897</v>
      </c>
      <c r="Q1004" s="25">
        <f t="array" aca="1" ref="Q1004" ca="1">INDEX('Isaac 401k'!L:L,MATCH('Retirement Calculator'!A1004,'Isaac 401k'!N:N,0),0)</f>
        <v>-667016.3513110386</v>
      </c>
      <c r="R1004" s="25">
        <f t="array" aca="1" ref="R1004" ca="1">INDEX('Lorri 401b'!L:L,MATCH('Retirement Calculator'!A1004,'Lorri 401b'!N:N,0),0)</f>
        <v>-18713429.412272226</v>
      </c>
      <c r="S1004" s="25">
        <f t="shared" ca="1" si="787"/>
        <v>-19380445.763583265</v>
      </c>
    </row>
    <row r="1005" spans="1:19" ht="15.75" customHeight="1" x14ac:dyDescent="0.3">
      <c r="A1005" s="37">
        <v>81541</v>
      </c>
      <c r="B1005" s="398">
        <f t="shared" ref="B1005:C1005" si="1016">($A1005-B$9)/365.25</f>
        <v>141.36892539356606</v>
      </c>
      <c r="C1005" s="398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3254.2644699519233</v>
      </c>
      <c r="H1005" s="25">
        <f>IF(B1005&lt;62,0,'Combined Retirement'!$I$14)</f>
        <v>2345</v>
      </c>
      <c r="I1005" s="25">
        <f>IF(C1005&lt;62,0,'Combined Retirement'!$I$13)</f>
        <v>2420</v>
      </c>
      <c r="J1005" s="25">
        <f t="shared" si="783"/>
        <v>7896.2379798201846</v>
      </c>
      <c r="K1005" s="25">
        <f t="shared" si="784"/>
        <v>20367.195264578786</v>
      </c>
      <c r="L1005" s="25"/>
      <c r="N1005" s="25">
        <f>'Combined Retirement'!$C$18/12</f>
        <v>39153.069999999992</v>
      </c>
      <c r="O1005" s="25">
        <f t="shared" si="785"/>
        <v>10889.636755601023</v>
      </c>
      <c r="P1005" s="25">
        <f t="shared" si="786"/>
        <v>28263.43324439897</v>
      </c>
      <c r="Q1005" s="25">
        <f t="array" aca="1" ref="Q1005" ca="1">INDEX('Isaac 401k'!L:L,MATCH('Retirement Calculator'!A1005,'Isaac 401k'!N:N,0),0)</f>
        <v>-677724.72507957078</v>
      </c>
      <c r="R1005" s="25">
        <f t="array" aca="1" ref="R1005" ca="1">INDEX('Lorri 401b'!L:L,MATCH('Retirement Calculator'!A1005,'Lorri 401b'!N:N,0),0)</f>
        <v>-18811854.09340154</v>
      </c>
      <c r="S1005" s="25">
        <f t="shared" ca="1" si="787"/>
        <v>-19489578.81848111</v>
      </c>
    </row>
    <row r="1006" spans="1:19" ht="15.75" customHeight="1" x14ac:dyDescent="0.3">
      <c r="A1006" s="37">
        <v>81571</v>
      </c>
      <c r="B1006" s="398">
        <f t="shared" ref="B1006:C1006" si="1017">($A1006-B$9)/365.25</f>
        <v>141.45106091718</v>
      </c>
      <c r="C1006" s="398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3254.2644699519233</v>
      </c>
      <c r="H1006" s="25">
        <f>IF(B1006&lt;62,0,'Combined Retirement'!$I$14)</f>
        <v>2345</v>
      </c>
      <c r="I1006" s="25">
        <f>IF(C1006&lt;62,0,'Combined Retirement'!$I$13)</f>
        <v>2420</v>
      </c>
      <c r="J1006" s="25">
        <f t="shared" si="783"/>
        <v>7896.2379798201846</v>
      </c>
      <c r="K1006" s="25">
        <f t="shared" si="784"/>
        <v>20367.195264578786</v>
      </c>
      <c r="L1006" s="25"/>
      <c r="N1006" s="25">
        <f>'Combined Retirement'!$C$18/12</f>
        <v>39153.069999999992</v>
      </c>
      <c r="O1006" s="25">
        <f t="shared" si="785"/>
        <v>10889.636755601023</v>
      </c>
      <c r="P1006" s="25">
        <f t="shared" si="786"/>
        <v>28263.43324439897</v>
      </c>
      <c r="Q1006" s="25">
        <f t="array" aca="1" ref="Q1006" ca="1">INDEX('Isaac 401k'!L:L,MATCH('Retirement Calculator'!A1006,'Isaac 401k'!N:N,0),0)</f>
        <v>-688477.71707213845</v>
      </c>
      <c r="R1006" s="25">
        <f t="array" aca="1" ref="R1006" ca="1">INDEX('Lorri 401b'!L:L,MATCH('Retirement Calculator'!A1006,'Lorri 401b'!N:N,0),0)</f>
        <v>-18910688.877368893</v>
      </c>
      <c r="S1006" s="25">
        <f t="shared" ca="1" si="787"/>
        <v>-19599166.59444103</v>
      </c>
    </row>
    <row r="1007" spans="1:19" ht="15.75" customHeight="1" x14ac:dyDescent="0.3">
      <c r="A1007" s="37">
        <v>81602</v>
      </c>
      <c r="B1007" s="398">
        <f t="shared" ref="B1007:C1007" si="1018">($A1007-B$9)/365.25</f>
        <v>141.5359342915811</v>
      </c>
      <c r="C1007" s="398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3254.2644699519233</v>
      </c>
      <c r="H1007" s="25">
        <f>IF(B1007&lt;62,0,'Combined Retirement'!$I$14)</f>
        <v>2345</v>
      </c>
      <c r="I1007" s="25">
        <f>IF(C1007&lt;62,0,'Combined Retirement'!$I$13)</f>
        <v>2420</v>
      </c>
      <c r="J1007" s="25">
        <f t="shared" si="783"/>
        <v>7896.2379798201846</v>
      </c>
      <c r="K1007" s="25">
        <f t="shared" si="784"/>
        <v>20367.195264578786</v>
      </c>
      <c r="L1007" s="25"/>
      <c r="N1007" s="25">
        <f>'Combined Retirement'!$C$18/12</f>
        <v>39153.069999999992</v>
      </c>
      <c r="O1007" s="25">
        <f t="shared" si="785"/>
        <v>10889.636755601023</v>
      </c>
      <c r="P1007" s="25">
        <f t="shared" si="786"/>
        <v>28263.43324439897</v>
      </c>
      <c r="Q1007" s="25">
        <f t="array" aca="1" ref="Q1007" ca="1">INDEX('Isaac 401k'!L:L,MATCH('Retirement Calculator'!A1007,'Isaac 401k'!N:N,0),0)</f>
        <v>-699275.51319800853</v>
      </c>
      <c r="R1007" s="25">
        <f t="array" aca="1" ref="R1007" ca="1">INDEX('Lorri 401b'!L:L,MATCH('Retirement Calculator'!A1007,'Lorri 401b'!N:N,0),0)</f>
        <v>-19009935.472936112</v>
      </c>
      <c r="S1007" s="25">
        <f t="shared" ca="1" si="787"/>
        <v>-19709210.986134119</v>
      </c>
    </row>
    <row r="1008" spans="1:19" ht="15.75" customHeight="1" x14ac:dyDescent="0.3">
      <c r="A1008" s="37">
        <v>81632</v>
      </c>
      <c r="B1008" s="398">
        <f t="shared" ref="B1008:C1008" si="1019">($A1008-B$9)/365.25</f>
        <v>141.61806981519507</v>
      </c>
      <c r="C1008" s="398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3254.2644699519233</v>
      </c>
      <c r="H1008" s="25">
        <f>IF(B1008&lt;62,0,'Combined Retirement'!$I$14)</f>
        <v>2345</v>
      </c>
      <c r="I1008" s="25">
        <f>IF(C1008&lt;62,0,'Combined Retirement'!$I$13)</f>
        <v>2420</v>
      </c>
      <c r="J1008" s="25">
        <f t="shared" si="783"/>
        <v>7896.2379798201846</v>
      </c>
      <c r="K1008" s="25">
        <f t="shared" si="784"/>
        <v>20367.195264578786</v>
      </c>
      <c r="L1008" s="25"/>
      <c r="N1008" s="25">
        <f>'Combined Retirement'!$C$18/12</f>
        <v>39153.069999999992</v>
      </c>
      <c r="O1008" s="25">
        <f t="shared" si="785"/>
        <v>10889.636755601023</v>
      </c>
      <c r="P1008" s="25">
        <f t="shared" si="786"/>
        <v>28263.43324439897</v>
      </c>
      <c r="Q1008" s="25">
        <f t="array" aca="1" ref="Q1008" ca="1">INDEX('Isaac 401k'!L:L,MATCH('Retirement Calculator'!A1008,'Isaac 401k'!N:N,0),0)</f>
        <v>-710118.30014106969</v>
      </c>
      <c r="R1008" s="25">
        <f t="array" aca="1" ref="R1008" ca="1">INDEX('Lorri 401b'!L:L,MATCH('Retirement Calculator'!A1008,'Lorri 401b'!N:N,0),0)</f>
        <v>-19109595.595984861</v>
      </c>
      <c r="S1008" s="25">
        <f t="shared" ca="1" si="787"/>
        <v>-19819713.896125931</v>
      </c>
    </row>
    <row r="1009" spans="1:19" ht="15.75" customHeight="1" x14ac:dyDescent="0.3">
      <c r="A1009" s="37">
        <v>81663</v>
      </c>
      <c r="B1009" s="398">
        <f t="shared" ref="B1009:C1009" si="1020">($A1009-B$9)/365.25</f>
        <v>141.70294318959617</v>
      </c>
      <c r="C1009" s="398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3254.2644699519233</v>
      </c>
      <c r="H1009" s="25">
        <f>IF(B1009&lt;62,0,'Combined Retirement'!$I$14)</f>
        <v>2345</v>
      </c>
      <c r="I1009" s="25">
        <f>IF(C1009&lt;62,0,'Combined Retirement'!$I$13)</f>
        <v>2420</v>
      </c>
      <c r="J1009" s="25">
        <f t="shared" si="783"/>
        <v>7896.2379798201846</v>
      </c>
      <c r="K1009" s="25">
        <f t="shared" si="784"/>
        <v>20367.195264578786</v>
      </c>
      <c r="L1009" s="25"/>
      <c r="N1009" s="25">
        <f>'Combined Retirement'!$C$18/12</f>
        <v>39153.069999999992</v>
      </c>
      <c r="O1009" s="25">
        <f t="shared" si="785"/>
        <v>10889.636755601023</v>
      </c>
      <c r="P1009" s="25">
        <f t="shared" si="786"/>
        <v>28263.43324439897</v>
      </c>
      <c r="Q1009" s="25">
        <f t="array" aca="1" ref="Q1009" ca="1">INDEX('Isaac 401k'!L:L,MATCH('Retirement Calculator'!A1009,'Isaac 401k'!N:N,0),0)</f>
        <v>-721006.26536306029</v>
      </c>
      <c r="R1009" s="25">
        <f t="array" aca="1" ref="R1009" ca="1">INDEX('Lorri 401b'!L:L,MATCH('Retirement Calculator'!A1009,'Lorri 401b'!N:N,0),0)</f>
        <v>-19209670.969546311</v>
      </c>
      <c r="S1009" s="25">
        <f t="shared" ca="1" si="787"/>
        <v>-19930677.234909371</v>
      </c>
    </row>
    <row r="1010" spans="1:19" ht="15.75" customHeight="1" x14ac:dyDescent="0.3">
      <c r="A1010" s="37">
        <v>81694</v>
      </c>
      <c r="B1010" s="398">
        <f t="shared" ref="B1010:C1010" si="1021">($A1010-B$9)/365.25</f>
        <v>141.78781656399727</v>
      </c>
      <c r="C1010" s="398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3254.2644699519233</v>
      </c>
      <c r="H1010" s="25">
        <f>IF(B1010&lt;62,0,'Combined Retirement'!$I$14)</f>
        <v>2345</v>
      </c>
      <c r="I1010" s="25">
        <f>IF(C1010&lt;62,0,'Combined Retirement'!$I$13)</f>
        <v>2420</v>
      </c>
      <c r="J1010" s="25">
        <f t="shared" si="783"/>
        <v>7896.2379798201846</v>
      </c>
      <c r="K1010" s="25">
        <f t="shared" si="784"/>
        <v>20367.195264578786</v>
      </c>
      <c r="L1010" s="25"/>
      <c r="N1010" s="25">
        <f>'Combined Retirement'!$C$18/12</f>
        <v>39153.069999999992</v>
      </c>
      <c r="O1010" s="25">
        <f t="shared" si="785"/>
        <v>10889.636755601023</v>
      </c>
      <c r="P1010" s="25">
        <f t="shared" si="786"/>
        <v>28263.43324439897</v>
      </c>
      <c r="Q1010" s="25">
        <f t="array" aca="1" ref="Q1010" ca="1">INDEX('Isaac 401k'!L:L,MATCH('Retirement Calculator'!A1010,'Isaac 401k'!N:N,0),0)</f>
        <v>-731939.59710680915</v>
      </c>
      <c r="R1010" s="25">
        <f t="array" aca="1" ref="R1010" ca="1">INDEX('Lorri 401b'!L:L,MATCH('Retirement Calculator'!A1010,'Lorri 401b'!N:N,0),0)</f>
        <v>-19310163.323830932</v>
      </c>
      <c r="S1010" s="25">
        <f t="shared" ca="1" si="787"/>
        <v>-20042102.920937743</v>
      </c>
    </row>
    <row r="1011" spans="1:19" ht="15.75" customHeight="1" x14ac:dyDescent="0.3">
      <c r="A1011" s="37">
        <v>81724</v>
      </c>
      <c r="B1011" s="398">
        <f t="shared" ref="B1011:C1011" si="1022">($A1011-B$9)/365.25</f>
        <v>141.86995208761124</v>
      </c>
      <c r="C1011" s="398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3254.2644699519233</v>
      </c>
      <c r="H1011" s="25">
        <f>IF(B1011&lt;62,0,'Combined Retirement'!$I$14)</f>
        <v>2345</v>
      </c>
      <c r="I1011" s="25">
        <f>IF(C1011&lt;62,0,'Combined Retirement'!$I$13)</f>
        <v>2420</v>
      </c>
      <c r="J1011" s="25">
        <f t="shared" si="783"/>
        <v>7896.2379798201846</v>
      </c>
      <c r="K1011" s="25">
        <f t="shared" si="784"/>
        <v>20367.195264578786</v>
      </c>
      <c r="L1011" s="25"/>
      <c r="N1011" s="25">
        <f>'Combined Retirement'!$C$18/12</f>
        <v>39153.069999999992</v>
      </c>
      <c r="O1011" s="25">
        <f t="shared" si="785"/>
        <v>10889.636755601023</v>
      </c>
      <c r="P1011" s="25">
        <f t="shared" si="786"/>
        <v>28263.43324439897</v>
      </c>
      <c r="Q1011" s="25">
        <f t="array" aca="1" ref="Q1011" ca="1">INDEX('Isaac 401k'!L:L,MATCH('Retirement Calculator'!A1011,'Isaac 401k'!N:N,0),0)</f>
        <v>-742918.48439949029</v>
      </c>
      <c r="R1011" s="25">
        <f t="array" aca="1" ref="R1011" ca="1">INDEX('Lorri 401b'!L:L,MATCH('Retirement Calculator'!A1011,'Lorri 401b'!N:N,0),0)</f>
        <v>-19411074.396258406</v>
      </c>
      <c r="S1011" s="25">
        <f t="shared" ca="1" si="787"/>
        <v>-20153992.880657896</v>
      </c>
    </row>
    <row r="1012" spans="1:19" ht="15.75" customHeight="1" x14ac:dyDescent="0.3">
      <c r="A1012" s="37">
        <v>81755</v>
      </c>
      <c r="B1012" s="398">
        <f t="shared" ref="B1012:C1012" si="1023">($A1012-B$9)/365.25</f>
        <v>141.95482546201231</v>
      </c>
      <c r="C1012" s="398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3254.2644699519233</v>
      </c>
      <c r="H1012" s="25">
        <f>IF(B1012&lt;62,0,'Combined Retirement'!$I$14)</f>
        <v>2345</v>
      </c>
      <c r="I1012" s="25">
        <f>IF(C1012&lt;62,0,'Combined Retirement'!$I$13)</f>
        <v>2420</v>
      </c>
      <c r="J1012" s="25">
        <f t="shared" si="783"/>
        <v>7896.2379798201846</v>
      </c>
      <c r="K1012" s="25">
        <f t="shared" si="784"/>
        <v>20367.195264578786</v>
      </c>
      <c r="L1012" s="25"/>
      <c r="N1012" s="25">
        <f>'Combined Retirement'!$C$18/12</f>
        <v>39153.069999999992</v>
      </c>
      <c r="O1012" s="25">
        <f t="shared" si="785"/>
        <v>10889.636755601023</v>
      </c>
      <c r="P1012" s="25">
        <f t="shared" si="786"/>
        <v>28263.43324439897</v>
      </c>
      <c r="Q1012" s="25">
        <f t="array" aca="1" ref="Q1012" ca="1">INDEX('Isaac 401k'!L:L,MATCH('Retirement Calculator'!A1012,'Isaac 401k'!N:N,0),0)</f>
        <v>-753943.11705589097</v>
      </c>
      <c r="R1012" s="25">
        <f t="array" aca="1" ref="R1012" ca="1">INDEX('Lorri 401b'!L:L,MATCH('Retirement Calculator'!A1012,'Lorri 401b'!N:N,0),0)</f>
        <v>-19512405.931487665</v>
      </c>
      <c r="S1012" s="25">
        <f t="shared" ca="1" si="787"/>
        <v>-20266349.048543554</v>
      </c>
    </row>
    <row r="1013" spans="1:19" ht="15.75" customHeight="1" x14ac:dyDescent="0.3">
      <c r="A1013" s="37">
        <v>81785</v>
      </c>
      <c r="B1013" s="398">
        <f t="shared" ref="B1013:C1013" si="1024">($A1013-B$9)/365.25</f>
        <v>142.03696098562628</v>
      </c>
      <c r="C1013" s="398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3254.2644699519233</v>
      </c>
      <c r="H1013" s="25">
        <f>IF(B1013&lt;62,0,'Combined Retirement'!$I$14)</f>
        <v>2345</v>
      </c>
      <c r="I1013" s="25">
        <f>IF(C1013&lt;62,0,'Combined Retirement'!$I$13)</f>
        <v>2420</v>
      </c>
      <c r="J1013" s="25">
        <f t="shared" si="783"/>
        <v>7896.2379798201846</v>
      </c>
      <c r="K1013" s="25">
        <f t="shared" si="784"/>
        <v>20367.195264578786</v>
      </c>
      <c r="L1013" s="25"/>
      <c r="N1013" s="25">
        <f>'Combined Retirement'!$C$18/12</f>
        <v>39153.069999999992</v>
      </c>
      <c r="O1013" s="25">
        <f t="shared" si="785"/>
        <v>10889.636755601023</v>
      </c>
      <c r="P1013" s="25">
        <f t="shared" si="786"/>
        <v>28263.43324439897</v>
      </c>
      <c r="Q1013" s="25">
        <f t="array" aca="1" ref="Q1013" ca="1">INDEX('Isaac 401k'!L:L,MATCH('Retirement Calculator'!A1013,'Isaac 401k'!N:N,0),0)</f>
        <v>-765013.68568169337</v>
      </c>
      <c r="R1013" s="25">
        <f t="array" aca="1" ref="R1013" ca="1">INDEX('Lorri 401b'!L:L,MATCH('Retirement Calculator'!A1013,'Lorri 401b'!N:N,0),0)</f>
        <v>-19614159.681447044</v>
      </c>
      <c r="S1013" s="25">
        <f t="shared" ca="1" si="787"/>
        <v>-20379173.367128737</v>
      </c>
    </row>
    <row r="1014" spans="1:19" ht="15.75" customHeight="1" x14ac:dyDescent="0.3">
      <c r="A1014" s="37">
        <v>81816</v>
      </c>
      <c r="B1014" s="398">
        <f t="shared" ref="B1014:C1014" si="1025">($A1014-B$9)/365.25</f>
        <v>142.12183436002738</v>
      </c>
      <c r="C1014" s="398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3254.2644699519233</v>
      </c>
      <c r="H1014" s="25">
        <f>IF(B1014&lt;62,0,'Combined Retirement'!$I$14)</f>
        <v>2345</v>
      </c>
      <c r="I1014" s="25">
        <f>IF(C1014&lt;62,0,'Combined Retirement'!$I$13)</f>
        <v>2420</v>
      </c>
      <c r="J1014" s="25">
        <f t="shared" si="783"/>
        <v>7896.2379798201846</v>
      </c>
      <c r="K1014" s="25">
        <f t="shared" si="784"/>
        <v>20367.195264578786</v>
      </c>
      <c r="L1014" s="25"/>
      <c r="N1014" s="25">
        <f>'Combined Retirement'!$C$18/12</f>
        <v>39153.069999999992</v>
      </c>
      <c r="O1014" s="25">
        <f t="shared" si="785"/>
        <v>10889.636755601023</v>
      </c>
      <c r="P1014" s="25">
        <f t="shared" si="786"/>
        <v>28263.43324439897</v>
      </c>
      <c r="Q1014" s="25">
        <f t="array" aca="1" ref="Q1014" ca="1">INDEX('Isaac 401k'!L:L,MATCH('Retirement Calculator'!A1014,'Isaac 401k'!N:N,0),0)</f>
        <v>-776130.38167676993</v>
      </c>
      <c r="R1014" s="25">
        <f t="array" aca="1" ref="R1014" ca="1">INDEX('Lorri 401b'!L:L,MATCH('Retirement Calculator'!A1014,'Lorri 401b'!N:N,0),0)</f>
        <v>-19716337.405364588</v>
      </c>
      <c r="S1014" s="25">
        <f t="shared" ca="1" si="787"/>
        <v>-20492467.787041359</v>
      </c>
    </row>
    <row r="1015" spans="1:19" ht="15.75" customHeight="1" x14ac:dyDescent="0.3">
      <c r="A1015" s="37">
        <v>81847</v>
      </c>
      <c r="B1015" s="398">
        <f t="shared" ref="B1015:C1015" si="1026">($A1015-B$9)/365.25</f>
        <v>142.20670773442848</v>
      </c>
      <c r="C1015" s="398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3254.2644699519233</v>
      </c>
      <c r="H1015" s="25">
        <f>IF(B1015&lt;62,0,'Combined Retirement'!$I$14)</f>
        <v>2345</v>
      </c>
      <c r="I1015" s="25">
        <f>IF(C1015&lt;62,0,'Combined Retirement'!$I$13)</f>
        <v>2420</v>
      </c>
      <c r="J1015" s="25">
        <f t="shared" si="783"/>
        <v>7896.2379798201846</v>
      </c>
      <c r="K1015" s="25">
        <f t="shared" si="784"/>
        <v>20367.195264578786</v>
      </c>
      <c r="L1015" s="25"/>
      <c r="N1015" s="25">
        <f>'Combined Retirement'!$C$18/12</f>
        <v>39153.069999999992</v>
      </c>
      <c r="O1015" s="25">
        <f t="shared" si="785"/>
        <v>10889.636755601023</v>
      </c>
      <c r="P1015" s="25">
        <f t="shared" si="786"/>
        <v>28263.43324439897</v>
      </c>
      <c r="Q1015" s="25">
        <f t="array" aca="1" ref="Q1015" ca="1">INDEX('Isaac 401k'!L:L,MATCH('Retirement Calculator'!A1015,'Isaac 401k'!N:N,0),0)</f>
        <v>-787293.39723849262</v>
      </c>
      <c r="R1015" s="25">
        <f t="array" aca="1" ref="R1015" ca="1">INDEX('Lorri 401b'!L:L,MATCH('Retirement Calculator'!A1015,'Lorri 401b'!N:N,0),0)</f>
        <v>-19818940.869798455</v>
      </c>
      <c r="S1015" s="25">
        <f t="shared" ca="1" si="787"/>
        <v>-20606234.267036948</v>
      </c>
    </row>
    <row r="1016" spans="1:19" ht="15.75" customHeight="1" x14ac:dyDescent="0.3">
      <c r="A1016" s="37">
        <v>81876</v>
      </c>
      <c r="B1016" s="398">
        <f t="shared" ref="B1016:C1016" si="1027">($A1016-B$9)/365.25</f>
        <v>142.28610540725529</v>
      </c>
      <c r="C1016" s="398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3254.2644699519233</v>
      </c>
      <c r="H1016" s="25">
        <f>IF(B1016&lt;62,0,'Combined Retirement'!$I$14)</f>
        <v>2345</v>
      </c>
      <c r="I1016" s="25">
        <f>IF(C1016&lt;62,0,'Combined Retirement'!$I$13)</f>
        <v>2420</v>
      </c>
      <c r="J1016" s="25">
        <f t="shared" si="783"/>
        <v>7896.2379798201846</v>
      </c>
      <c r="K1016" s="25">
        <f t="shared" si="784"/>
        <v>20367.195264578786</v>
      </c>
      <c r="L1016" s="25"/>
      <c r="N1016" s="25">
        <f>'Combined Retirement'!$C$18/12</f>
        <v>39153.069999999992</v>
      </c>
      <c r="O1016" s="25">
        <f t="shared" si="785"/>
        <v>10889.636755601023</v>
      </c>
      <c r="P1016" s="25">
        <f t="shared" si="786"/>
        <v>28263.43324439897</v>
      </c>
      <c r="Q1016" s="25">
        <f t="array" aca="1" ref="Q1016" ca="1">INDEX('Isaac 401k'!L:L,MATCH('Retirement Calculator'!A1016,'Isaac 401k'!N:N,0),0)</f>
        <v>-798502.92536505579</v>
      </c>
      <c r="R1016" s="25">
        <f t="array" aca="1" ref="R1016" ca="1">INDEX('Lorri 401b'!L:L,MATCH('Retirement Calculator'!A1016,'Lorri 401b'!N:N,0),0)</f>
        <v>-19921971.848667461</v>
      </c>
      <c r="S1016" s="25">
        <f t="shared" ca="1" si="787"/>
        <v>-20720474.774032518</v>
      </c>
    </row>
    <row r="1017" spans="1:19" ht="15.75" customHeight="1" x14ac:dyDescent="0.3">
      <c r="A1017" s="37">
        <v>81907</v>
      </c>
      <c r="B1017" s="398">
        <f t="shared" ref="B1017:C1017" si="1028">($A1017-B$9)/365.25</f>
        <v>142.37097878165639</v>
      </c>
      <c r="C1017" s="398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3254.2644699519233</v>
      </c>
      <c r="H1017" s="25">
        <f>IF(B1017&lt;62,0,'Combined Retirement'!$I$14)</f>
        <v>2345</v>
      </c>
      <c r="I1017" s="25">
        <f>IF(C1017&lt;62,0,'Combined Retirement'!$I$13)</f>
        <v>2420</v>
      </c>
      <c r="J1017" s="25">
        <f t="shared" si="783"/>
        <v>7896.2379798201846</v>
      </c>
      <c r="K1017" s="25">
        <f t="shared" si="784"/>
        <v>20367.195264578786</v>
      </c>
      <c r="L1017" s="25"/>
      <c r="N1017" s="25">
        <f>'Combined Retirement'!$C$18/12</f>
        <v>39153.069999999992</v>
      </c>
      <c r="O1017" s="25">
        <f t="shared" si="785"/>
        <v>10889.636755601023</v>
      </c>
      <c r="P1017" s="25">
        <f t="shared" si="786"/>
        <v>28263.43324439897</v>
      </c>
      <c r="Q1017" s="25">
        <f t="array" aca="1" ref="Q1017" ca="1">INDEX('Isaac 401k'!L:L,MATCH('Retirement Calculator'!A1017,'Isaac 401k'!N:N,0),0)</f>
        <v>-809759.15985881304</v>
      </c>
      <c r="R1017" s="25">
        <f t="array" aca="1" ref="R1017" ca="1">INDEX('Lorri 401b'!L:L,MATCH('Retirement Calculator'!A1017,'Lorri 401b'!N:N,0),0)</f>
        <v>-20025432.123281755</v>
      </c>
      <c r="S1017" s="25">
        <f t="shared" ca="1" si="787"/>
        <v>-20835191.283140566</v>
      </c>
    </row>
    <row r="1018" spans="1:19" ht="15.75" customHeight="1" x14ac:dyDescent="0.3">
      <c r="A1018" s="37">
        <v>81937</v>
      </c>
      <c r="B1018" s="398">
        <f t="shared" ref="B1018:C1018" si="1029">($A1018-B$9)/365.25</f>
        <v>142.45311430527036</v>
      </c>
      <c r="C1018" s="398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3254.2644699519233</v>
      </c>
      <c r="H1018" s="25">
        <f>IF(B1018&lt;62,0,'Combined Retirement'!$I$14)</f>
        <v>2345</v>
      </c>
      <c r="I1018" s="25">
        <f>IF(C1018&lt;62,0,'Combined Retirement'!$I$13)</f>
        <v>2420</v>
      </c>
      <c r="J1018" s="25">
        <f t="shared" si="783"/>
        <v>7896.2379798201846</v>
      </c>
      <c r="K1018" s="25">
        <f t="shared" si="784"/>
        <v>20367.195264578786</v>
      </c>
      <c r="L1018" s="25"/>
      <c r="N1018" s="25">
        <f>'Combined Retirement'!$C$18/12</f>
        <v>39153.069999999992</v>
      </c>
      <c r="O1018" s="25">
        <f t="shared" si="785"/>
        <v>10889.636755601023</v>
      </c>
      <c r="P1018" s="25">
        <f t="shared" si="786"/>
        <v>28263.43324439897</v>
      </c>
      <c r="Q1018" s="25">
        <f t="array" aca="1" ref="Q1018" ca="1">INDEX('Isaac 401k'!L:L,MATCH('Retirement Calculator'!A1018,'Isaac 401k'!N:N,0),0)</f>
        <v>-821062.29532962758</v>
      </c>
      <c r="R1018" s="25">
        <f t="array" aca="1" ref="R1018" ca="1">INDEX('Lorri 401b'!L:L,MATCH('Retirement Calculator'!A1018,'Lorri 401b'!N:N,0),0)</f>
        <v>-20129323.48237361</v>
      </c>
      <c r="S1018" s="25">
        <f t="shared" ca="1" si="787"/>
        <v>-20950385.777703237</v>
      </c>
    </row>
    <row r="1019" spans="1:19" ht="15.75" customHeight="1" x14ac:dyDescent="0.3">
      <c r="A1019" s="37">
        <v>81968</v>
      </c>
      <c r="B1019" s="398">
        <f t="shared" ref="B1019:C1019" si="1030">($A1019-B$9)/365.25</f>
        <v>142.53798767967146</v>
      </c>
      <c r="C1019" s="398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3254.2644699519233</v>
      </c>
      <c r="H1019" s="25">
        <f>IF(B1019&lt;62,0,'Combined Retirement'!$I$14)</f>
        <v>2345</v>
      </c>
      <c r="I1019" s="25">
        <f>IF(C1019&lt;62,0,'Combined Retirement'!$I$13)</f>
        <v>2420</v>
      </c>
      <c r="J1019" s="25">
        <f t="shared" si="783"/>
        <v>7896.2379798201846</v>
      </c>
      <c r="K1019" s="25">
        <f t="shared" si="784"/>
        <v>20367.195264578786</v>
      </c>
      <c r="L1019" s="25"/>
      <c r="N1019" s="25">
        <f>'Combined Retirement'!$C$18/12</f>
        <v>39153.069999999992</v>
      </c>
      <c r="O1019" s="25">
        <f t="shared" si="785"/>
        <v>10889.636755601023</v>
      </c>
      <c r="P1019" s="25">
        <f t="shared" si="786"/>
        <v>28263.43324439897</v>
      </c>
      <c r="Q1019" s="25">
        <f t="array" aca="1" ref="Q1019" ca="1">INDEX('Isaac 401k'!L:L,MATCH('Retirement Calculator'!A1019,'Isaac 401k'!N:N,0),0)</f>
        <v>-832412.52719823713</v>
      </c>
      <c r="R1019" s="25">
        <f t="array" aca="1" ref="R1019" ca="1">INDEX('Lorri 401b'!L:L,MATCH('Retirement Calculator'!A1019,'Lorri 401b'!N:N,0),0)</f>
        <v>-20233647.722128347</v>
      </c>
      <c r="S1019" s="25">
        <f t="shared" ca="1" si="787"/>
        <v>-21066060.249326583</v>
      </c>
    </row>
    <row r="1020" spans="1:19" ht="15.75" customHeight="1" x14ac:dyDescent="0.3">
      <c r="A1020" s="37">
        <v>81998</v>
      </c>
      <c r="B1020" s="398">
        <f t="shared" ref="B1020:C1020" si="1031">($A1020-B$9)/365.25</f>
        <v>142.62012320328543</v>
      </c>
      <c r="C1020" s="398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3254.2644699519233</v>
      </c>
      <c r="H1020" s="25">
        <f>IF(B1020&lt;62,0,'Combined Retirement'!$I$14)</f>
        <v>2345</v>
      </c>
      <c r="I1020" s="25">
        <f>IF(C1020&lt;62,0,'Combined Retirement'!$I$13)</f>
        <v>2420</v>
      </c>
      <c r="J1020" s="25">
        <f t="shared" si="783"/>
        <v>7896.2379798201846</v>
      </c>
      <c r="K1020" s="25">
        <f t="shared" si="784"/>
        <v>20367.195264578786</v>
      </c>
      <c r="L1020" s="25"/>
      <c r="N1020" s="25">
        <f>'Combined Retirement'!$C$18/12</f>
        <v>39153.069999999992</v>
      </c>
      <c r="O1020" s="25">
        <f t="shared" si="785"/>
        <v>10889.636755601023</v>
      </c>
      <c r="P1020" s="25">
        <f t="shared" si="786"/>
        <v>28263.43324439897</v>
      </c>
      <c r="Q1020" s="25">
        <f t="array" aca="1" ref="Q1020" ca="1">INDEX('Isaac 401k'!L:L,MATCH('Retirement Calculator'!A1020,'Isaac 401k'!N:N,0),0)</f>
        <v>-843810.05169963266</v>
      </c>
      <c r="R1020" s="25">
        <f t="array" aca="1" ref="R1020" ca="1">INDEX('Lorri 401b'!L:L,MATCH('Retirement Calculator'!A1020,'Lorri 401b'!N:N,0),0)</f>
        <v>-20338406.646215394</v>
      </c>
      <c r="S1020" s="25">
        <f t="shared" ca="1" si="787"/>
        <v>-21182216.697915025</v>
      </c>
    </row>
    <row r="1021" spans="1:19" ht="15.75" customHeight="1" x14ac:dyDescent="0.3">
      <c r="A1021" s="37">
        <v>82029</v>
      </c>
      <c r="B1021" s="398">
        <f t="shared" ref="B1021:C1021" si="1032">($A1021-B$9)/365.25</f>
        <v>142.70499657768653</v>
      </c>
      <c r="C1021" s="398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3254.2644699519233</v>
      </c>
      <c r="H1021" s="25">
        <f>IF(B1021&lt;62,0,'Combined Retirement'!$I$14)</f>
        <v>2345</v>
      </c>
      <c r="I1021" s="25">
        <f>IF(C1021&lt;62,0,'Combined Retirement'!$I$13)</f>
        <v>2420</v>
      </c>
      <c r="J1021" s="25">
        <f t="shared" si="783"/>
        <v>7896.2379798201846</v>
      </c>
      <c r="K1021" s="25">
        <f t="shared" si="784"/>
        <v>20367.195264578786</v>
      </c>
      <c r="L1021" s="25"/>
      <c r="N1021" s="25">
        <f>'Combined Retirement'!$C$18/12</f>
        <v>39153.069999999992</v>
      </c>
      <c r="O1021" s="25">
        <f t="shared" si="785"/>
        <v>10889.636755601023</v>
      </c>
      <c r="P1021" s="25">
        <f t="shared" si="786"/>
        <v>28263.43324439897</v>
      </c>
      <c r="Q1021" s="25">
        <f t="array" aca="1" ref="Q1021" ca="1">INDEX('Isaac 401k'!L:L,MATCH('Retirement Calculator'!A1021,'Isaac 401k'!N:N,0),0)</f>
        <v>-855255.06588645058</v>
      </c>
      <c r="R1021" s="25">
        <f t="array" aca="1" ref="R1021" ca="1">INDEX('Lorri 401b'!L:L,MATCH('Retirement Calculator'!A1021,'Lorri 401b'!N:N,0),0)</f>
        <v>-20443602.065819472</v>
      </c>
      <c r="S1021" s="25">
        <f t="shared" ca="1" si="787"/>
        <v>-21298857.131705921</v>
      </c>
    </row>
    <row r="1022" spans="1:19" ht="15.75" customHeight="1" x14ac:dyDescent="0.3">
      <c r="A1022" s="37">
        <v>82060</v>
      </c>
      <c r="B1022" s="398">
        <f t="shared" ref="B1022:C1022" si="1033">($A1022-B$9)/365.25</f>
        <v>142.7898699520876</v>
      </c>
      <c r="C1022" s="398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3254.2644699519233</v>
      </c>
      <c r="H1022" s="25">
        <f>IF(B1022&lt;62,0,'Combined Retirement'!$I$14)</f>
        <v>2345</v>
      </c>
      <c r="I1022" s="25">
        <f>IF(C1022&lt;62,0,'Combined Retirement'!$I$13)</f>
        <v>2420</v>
      </c>
      <c r="J1022" s="25">
        <f t="shared" si="783"/>
        <v>7896.2379798201846</v>
      </c>
      <c r="K1022" s="25">
        <f t="shared" si="784"/>
        <v>20367.195264578786</v>
      </c>
      <c r="L1022" s="25"/>
      <c r="N1022" s="25">
        <f>'Combined Retirement'!$C$18/12</f>
        <v>39153.069999999992</v>
      </c>
      <c r="O1022" s="25">
        <f t="shared" si="785"/>
        <v>10889.636755601023</v>
      </c>
      <c r="P1022" s="25">
        <f t="shared" si="786"/>
        <v>28263.43324439897</v>
      </c>
      <c r="Q1022" s="25">
        <f t="array" aca="1" ref="Q1022" ca="1">INDEX('Isaac 401k'!L:L,MATCH('Retirement Calculator'!A1022,'Isaac 401k'!N:N,0),0)</f>
        <v>-866747.76763238024</v>
      </c>
      <c r="R1022" s="25">
        <f t="array" aca="1" ref="R1022" ca="1">INDEX('Lorri 401b'!L:L,MATCH('Retirement Calculator'!A1022,'Lorri 401b'!N:N,0),0)</f>
        <v>-20549235.7996719</v>
      </c>
      <c r="S1022" s="25">
        <f t="shared" ca="1" si="787"/>
        <v>-21415983.56730428</v>
      </c>
    </row>
    <row r="1023" spans="1:19" ht="15.75" customHeight="1" x14ac:dyDescent="0.3">
      <c r="A1023" s="37">
        <v>82090</v>
      </c>
      <c r="B1023" s="398">
        <f t="shared" ref="B1023:C1023" si="1034">($A1023-B$9)/365.25</f>
        <v>142.87200547570157</v>
      </c>
      <c r="C1023" s="398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3254.2644699519233</v>
      </c>
      <c r="H1023" s="25">
        <f>IF(B1023&lt;62,0,'Combined Retirement'!$I$14)</f>
        <v>2345</v>
      </c>
      <c r="I1023" s="25">
        <f>IF(C1023&lt;62,0,'Combined Retirement'!$I$13)</f>
        <v>2420</v>
      </c>
      <c r="J1023" s="25">
        <f t="shared" si="783"/>
        <v>7896.2379798201846</v>
      </c>
      <c r="K1023" s="25">
        <f t="shared" si="784"/>
        <v>20367.195264578786</v>
      </c>
      <c r="L1023" s="25"/>
      <c r="N1023" s="25">
        <f>'Combined Retirement'!$C$18/12</f>
        <v>39153.069999999992</v>
      </c>
      <c r="O1023" s="25">
        <f t="shared" si="785"/>
        <v>10889.636755601023</v>
      </c>
      <c r="P1023" s="25">
        <f t="shared" si="786"/>
        <v>28263.43324439897</v>
      </c>
      <c r="Q1023" s="25">
        <f t="array" aca="1" ref="Q1023" ca="1">INDEX('Isaac 401k'!L:L,MATCH('Retirement Calculator'!A1023,'Isaac 401k'!N:N,0),0)</f>
        <v>-878288.35563558468</v>
      </c>
      <c r="R1023" s="25">
        <f t="array" aca="1" ref="R1023" ca="1">INDEX('Lorri 401b'!L:L,MATCH('Retirement Calculator'!A1023,'Lorri 401b'!N:N,0),0)</f>
        <v>-20655309.674082045</v>
      </c>
      <c r="S1023" s="25">
        <f t="shared" ca="1" si="787"/>
        <v>-21533598.029717628</v>
      </c>
    </row>
    <row r="1024" spans="1:19" ht="15.75" customHeight="1" x14ac:dyDescent="0.3">
      <c r="A1024" s="37">
        <v>82121</v>
      </c>
      <c r="B1024" s="398">
        <f t="shared" ref="B1024:C1024" si="1035">($A1024-B$9)/365.25</f>
        <v>142.95687885010267</v>
      </c>
      <c r="C1024" s="398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3254.2644699519233</v>
      </c>
      <c r="H1024" s="25">
        <f>IF(B1024&lt;62,0,'Combined Retirement'!$I$14)</f>
        <v>2345</v>
      </c>
      <c r="I1024" s="25">
        <f>IF(C1024&lt;62,0,'Combined Retirement'!$I$13)</f>
        <v>2420</v>
      </c>
      <c r="J1024" s="25">
        <f t="shared" si="783"/>
        <v>7896.2379798201846</v>
      </c>
      <c r="K1024" s="25">
        <f t="shared" si="784"/>
        <v>20367.195264578786</v>
      </c>
      <c r="L1024" s="25"/>
      <c r="N1024" s="25">
        <f>'Combined Retirement'!$C$18/12</f>
        <v>39153.069999999992</v>
      </c>
      <c r="O1024" s="25">
        <f t="shared" si="785"/>
        <v>10889.636755601023</v>
      </c>
      <c r="P1024" s="25">
        <f t="shared" si="786"/>
        <v>28263.43324439897</v>
      </c>
      <c r="Q1024" s="25">
        <f t="array" aca="1" ref="Q1024" ca="1">INDEX('Isaac 401k'!L:L,MATCH('Retirement Calculator'!A1024,'Isaac 401k'!N:N,0),0)</f>
        <v>-889877.02942213579</v>
      </c>
      <c r="R1024" s="25">
        <f t="array" aca="1" ref="R1024" ca="1">INDEX('Lorri 401b'!L:L,MATCH('Retirement Calculator'!A1024,'Lorri 401b'!N:N,0),0)</f>
        <v>-20761825.522968899</v>
      </c>
      <c r="S1024" s="25">
        <f t="shared" ca="1" si="787"/>
        <v>-21651702.552391034</v>
      </c>
    </row>
    <row r="1025" spans="1:19" ht="15.75" customHeight="1" x14ac:dyDescent="0.3">
      <c r="A1025" s="37">
        <v>82151</v>
      </c>
      <c r="B1025" s="398">
        <f t="shared" ref="B1025:C1025" si="1036">($A1025-B$9)/365.25</f>
        <v>143.03901437371664</v>
      </c>
      <c r="C1025" s="398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3254.2644699519233</v>
      </c>
      <c r="H1025" s="25">
        <f>IF(B1025&lt;62,0,'Combined Retirement'!$I$14)</f>
        <v>2345</v>
      </c>
      <c r="I1025" s="25">
        <f>IF(C1025&lt;62,0,'Combined Retirement'!$I$13)</f>
        <v>2420</v>
      </c>
      <c r="J1025" s="25">
        <f t="shared" si="783"/>
        <v>7896.2379798201846</v>
      </c>
      <c r="K1025" s="25">
        <f t="shared" si="784"/>
        <v>20367.195264578786</v>
      </c>
      <c r="L1025" s="25"/>
      <c r="N1025" s="25">
        <f>'Combined Retirement'!$C$18/12</f>
        <v>39153.069999999992</v>
      </c>
      <c r="O1025" s="25">
        <f t="shared" si="785"/>
        <v>10889.636755601023</v>
      </c>
      <c r="P1025" s="25">
        <f t="shared" si="786"/>
        <v>28263.43324439897</v>
      </c>
      <c r="Q1025" s="25">
        <f t="array" aca="1" ref="Q1025" ca="1">INDEX('Isaac 401k'!L:L,MATCH('Retirement Calculator'!A1025,'Isaac 401k'!N:N,0),0)</f>
        <v>-901513.98934946419</v>
      </c>
      <c r="R1025" s="25">
        <f t="array" aca="1" ref="R1025" ca="1">INDEX('Lorri 401b'!L:L,MATCH('Retirement Calculator'!A1025,'Lorri 401b'!N:N,0),0)</f>
        <v>-20868785.187892783</v>
      </c>
      <c r="S1025" s="25">
        <f t="shared" ca="1" si="787"/>
        <v>-21770299.177242249</v>
      </c>
    </row>
    <row r="1026" spans="1:19" ht="15.75" customHeight="1" x14ac:dyDescent="0.3">
      <c r="A1026" s="37">
        <v>82182</v>
      </c>
      <c r="B1026" s="398">
        <f t="shared" ref="B1026:C1026" si="1037">($A1026-B$9)/365.25</f>
        <v>143.12388774811774</v>
      </c>
      <c r="C1026" s="398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3254.2644699519233</v>
      </c>
      <c r="H1026" s="25">
        <f>IF(B1026&lt;62,0,'Combined Retirement'!$I$14)</f>
        <v>2345</v>
      </c>
      <c r="I1026" s="25">
        <f>IF(C1026&lt;62,0,'Combined Retirement'!$I$13)</f>
        <v>2420</v>
      </c>
      <c r="J1026" s="25">
        <f t="shared" si="783"/>
        <v>7896.2379798201846</v>
      </c>
      <c r="K1026" s="25">
        <f t="shared" si="784"/>
        <v>20367.195264578786</v>
      </c>
      <c r="L1026" s="25"/>
      <c r="N1026" s="25">
        <f>'Combined Retirement'!$C$18/12</f>
        <v>39153.069999999992</v>
      </c>
      <c r="O1026" s="25">
        <f t="shared" si="785"/>
        <v>10889.636755601023</v>
      </c>
      <c r="P1026" s="25">
        <f t="shared" si="786"/>
        <v>28263.43324439897</v>
      </c>
      <c r="Q1026" s="25">
        <f t="array" aca="1" ref="Q1026" ca="1">INDEX('Isaac 401k'!L:L,MATCH('Retirement Calculator'!A1026,'Isaac 401k'!N:N,0),0)</f>
        <v>-913199.43660982314</v>
      </c>
      <c r="R1026" s="25">
        <f t="array" aca="1" ref="R1026" ca="1">INDEX('Lorri 401b'!L:L,MATCH('Retirement Calculator'!A1026,'Lorri 401b'!N:N,0),0)</f>
        <v>-20976190.518087182</v>
      </c>
      <c r="S1026" s="25">
        <f t="shared" ca="1" si="787"/>
        <v>-21889389.954697005</v>
      </c>
    </row>
    <row r="1027" spans="1:19" ht="15.75" customHeight="1" x14ac:dyDescent="0.3">
      <c r="A1027" s="37">
        <v>82213</v>
      </c>
      <c r="B1027" s="398">
        <f t="shared" ref="B1027:C1027" si="1038">($A1027-B$9)/365.25</f>
        <v>143.20876112251884</v>
      </c>
      <c r="C1027" s="398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3254.2644699519233</v>
      </c>
      <c r="H1027" s="25">
        <f>IF(B1027&lt;62,0,'Combined Retirement'!$I$14)</f>
        <v>2345</v>
      </c>
      <c r="I1027" s="25">
        <f>IF(C1027&lt;62,0,'Combined Retirement'!$I$13)</f>
        <v>2420</v>
      </c>
      <c r="J1027" s="25">
        <f t="shared" si="783"/>
        <v>7896.2379798201846</v>
      </c>
      <c r="K1027" s="25">
        <f t="shared" si="784"/>
        <v>20367.195264578786</v>
      </c>
      <c r="L1027" s="25"/>
      <c r="N1027" s="25">
        <f>'Combined Retirement'!$C$18/12</f>
        <v>39153.069999999992</v>
      </c>
      <c r="O1027" s="25">
        <f t="shared" si="785"/>
        <v>10889.636755601023</v>
      </c>
      <c r="P1027" s="25">
        <f t="shared" si="786"/>
        <v>28263.43324439897</v>
      </c>
      <c r="Q1027" s="25">
        <f t="array" aca="1" ref="Q1027" ca="1">INDEX('Isaac 401k'!L:L,MATCH('Retirement Calculator'!A1027,'Isaac 401k'!N:N,0),0)</f>
        <v>-924933.57323376683</v>
      </c>
      <c r="R1027" s="25">
        <f t="array" aca="1" ref="R1027" ca="1">INDEX('Lorri 401b'!L:L,MATCH('Retirement Calculator'!A1027,'Lorri 401b'!N:N,0),0)</f>
        <v>-21084043.370490726</v>
      </c>
      <c r="S1027" s="25">
        <f t="shared" ca="1" si="787"/>
        <v>-22008976.943724494</v>
      </c>
    </row>
    <row r="1028" spans="1:19" ht="15.75" customHeight="1" x14ac:dyDescent="0.3">
      <c r="A1028" s="37">
        <v>82241</v>
      </c>
      <c r="B1028" s="398">
        <f t="shared" ref="B1028:C1028" si="1039">($A1028-B$9)/365.25</f>
        <v>143.28542094455852</v>
      </c>
      <c r="C1028" s="398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3254.2644699519233</v>
      </c>
      <c r="H1028" s="25">
        <f>IF(B1028&lt;62,0,'Combined Retirement'!$I$14)</f>
        <v>2345</v>
      </c>
      <c r="I1028" s="25">
        <f>IF(C1028&lt;62,0,'Combined Retirement'!$I$13)</f>
        <v>2420</v>
      </c>
      <c r="J1028" s="25">
        <f t="shared" si="783"/>
        <v>7896.2379798201846</v>
      </c>
      <c r="K1028" s="25">
        <f t="shared" si="784"/>
        <v>20367.195264578786</v>
      </c>
      <c r="L1028" s="25"/>
      <c r="N1028" s="25">
        <f>'Combined Retirement'!$C$18/12</f>
        <v>39153.069999999992</v>
      </c>
      <c r="O1028" s="25">
        <f t="shared" si="785"/>
        <v>10889.636755601023</v>
      </c>
      <c r="P1028" s="25">
        <f t="shared" si="786"/>
        <v>28263.43324439897</v>
      </c>
      <c r="Q1028" s="25">
        <f t="array" aca="1" ref="Q1028" ca="1">INDEX('Isaac 401k'!L:L,MATCH('Retirement Calculator'!A1028,'Isaac 401k'!N:N,0),0)</f>
        <v>-936716.60209364363</v>
      </c>
      <c r="R1028" s="25">
        <f t="array" aca="1" ref="R1028" ca="1">INDEX('Lorri 401b'!L:L,MATCH('Retirement Calculator'!A1028,'Lorri 401b'!N:N,0),0)</f>
        <v>-21192345.609779283</v>
      </c>
      <c r="S1028" s="25">
        <f t="shared" ca="1" si="787"/>
        <v>-22129062.211872928</v>
      </c>
    </row>
    <row r="1029" spans="1:19" ht="15.75" customHeight="1" x14ac:dyDescent="0.3">
      <c r="A1029" s="37">
        <v>82272</v>
      </c>
      <c r="B1029" s="398">
        <f t="shared" ref="B1029:C1029" si="1040">($A1029-B$9)/365.25</f>
        <v>143.37029431895962</v>
      </c>
      <c r="C1029" s="398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3254.2644699519233</v>
      </c>
      <c r="H1029" s="25">
        <f>IF(B1029&lt;62,0,'Combined Retirement'!$I$14)</f>
        <v>2345</v>
      </c>
      <c r="I1029" s="25">
        <f>IF(C1029&lt;62,0,'Combined Retirement'!$I$13)</f>
        <v>2420</v>
      </c>
      <c r="J1029" s="25">
        <f t="shared" si="783"/>
        <v>7896.2379798201846</v>
      </c>
      <c r="K1029" s="25">
        <f t="shared" si="784"/>
        <v>20367.195264578786</v>
      </c>
      <c r="L1029" s="25"/>
      <c r="N1029" s="25">
        <f>'Combined Retirement'!$C$18/12</f>
        <v>39153.069999999992</v>
      </c>
      <c r="O1029" s="25">
        <f t="shared" si="785"/>
        <v>10889.636755601023</v>
      </c>
      <c r="P1029" s="25">
        <f t="shared" si="786"/>
        <v>28263.43324439897</v>
      </c>
      <c r="Q1029" s="25">
        <f t="array" aca="1" ref="Q1029" ca="1">INDEX('Isaac 401k'!L:L,MATCH('Retirement Calculator'!A1029,'Isaac 401k'!N:N,0),0)</f>
        <v>-948548.72690710332</v>
      </c>
      <c r="R1029" s="25">
        <f t="array" aca="1" ref="R1029" ca="1">INDEX('Lorri 401b'!L:L,MATCH('Retirement Calculator'!A1029,'Lorri 401b'!N:N,0),0)</f>
        <v>-21301099.10839821</v>
      </c>
      <c r="S1029" s="25">
        <f t="shared" ca="1" si="787"/>
        <v>-22249647.835305315</v>
      </c>
    </row>
    <row r="1030" spans="1:19" ht="15.75" customHeight="1" x14ac:dyDescent="0.3">
      <c r="A1030" s="37">
        <v>82302</v>
      </c>
      <c r="B1030" s="398">
        <f t="shared" ref="B1030:C1030" si="1041">($A1030-B$9)/365.25</f>
        <v>143.45242984257359</v>
      </c>
      <c r="C1030" s="398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3254.2644699519233</v>
      </c>
      <c r="H1030" s="25">
        <f>IF(B1030&lt;62,0,'Combined Retirement'!$I$14)</f>
        <v>2345</v>
      </c>
      <c r="I1030" s="25">
        <f>IF(C1030&lt;62,0,'Combined Retirement'!$I$13)</f>
        <v>2420</v>
      </c>
      <c r="J1030" s="25">
        <f t="shared" si="783"/>
        <v>7896.2379798201846</v>
      </c>
      <c r="K1030" s="25">
        <f t="shared" si="784"/>
        <v>20367.195264578786</v>
      </c>
      <c r="L1030" s="25"/>
      <c r="N1030" s="25">
        <f>'Combined Retirement'!$C$18/12</f>
        <v>39153.069999999992</v>
      </c>
      <c r="O1030" s="25">
        <f t="shared" si="785"/>
        <v>10889.636755601023</v>
      </c>
      <c r="P1030" s="25">
        <f t="shared" si="786"/>
        <v>28263.43324439897</v>
      </c>
      <c r="Q1030" s="25">
        <f t="array" aca="1" ref="Q1030" ca="1">INDEX('Isaac 401k'!L:L,MATCH('Retirement Calculator'!A1030,'Isaac 401k'!N:N,0),0)</f>
        <v>-960430.15224061906</v>
      </c>
      <c r="R1030" s="25">
        <f t="array" aca="1" ref="R1030" ca="1">INDEX('Lorri 401b'!L:L,MATCH('Retirement Calculator'!A1030,'Lorri 401b'!N:N,0),0)</f>
        <v>-21410305.746594716</v>
      </c>
      <c r="S1030" s="25">
        <f t="shared" ca="1" si="787"/>
        <v>-22370735.898835335</v>
      </c>
    </row>
    <row r="1031" spans="1:19" ht="15.75" customHeight="1" x14ac:dyDescent="0.3">
      <c r="A1031" s="37">
        <v>82333</v>
      </c>
      <c r="B1031" s="398">
        <f t="shared" ref="B1031:C1031" si="1042">($A1031-B$9)/365.25</f>
        <v>143.53730321697466</v>
      </c>
      <c r="C1031" s="398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3254.2644699519233</v>
      </c>
      <c r="H1031" s="25">
        <f>IF(B1031&lt;62,0,'Combined Retirement'!$I$14)</f>
        <v>2345</v>
      </c>
      <c r="I1031" s="25">
        <f>IF(C1031&lt;62,0,'Combined Retirement'!$I$13)</f>
        <v>2420</v>
      </c>
      <c r="J1031" s="25">
        <f t="shared" ref="J1031:J1171" si="1043">IF(C1031&lt;59.5,P1031,P1031*$J$7)</f>
        <v>7896.2379798201846</v>
      </c>
      <c r="K1031" s="25">
        <f t="shared" ref="K1031:K1171" si="1044">IF(C1031&lt;59.5,0,IF(C1031&lt;$B$7,0,P1031*$K$7))</f>
        <v>20367.195264578786</v>
      </c>
      <c r="L1031" s="25"/>
      <c r="N1031" s="25">
        <f>'Combined Retirement'!$C$18/12</f>
        <v>39153.069999999992</v>
      </c>
      <c r="O1031" s="25">
        <f t="shared" ref="O1031:O1171" si="1045">SUM(E1031:I1031)</f>
        <v>10889.636755601023</v>
      </c>
      <c r="P1031" s="25">
        <f t="shared" ref="P1031:P1171" si="1046">N1031-O1031</f>
        <v>28263.43324439897</v>
      </c>
      <c r="Q1031" s="25">
        <f t="array" aca="1" ref="Q1031" ca="1">INDEX('Isaac 401k'!L:L,MATCH('Retirement Calculator'!A1031,'Isaac 401k'!N:N,0),0)</f>
        <v>-972361.0835130245</v>
      </c>
      <c r="R1031" s="25">
        <f t="array" aca="1" ref="R1031" ca="1">INDEX('Lorri 401b'!L:L,MATCH('Retirement Calculator'!A1031,'Lorri 401b'!N:N,0),0)</f>
        <v>-21519967.412450373</v>
      </c>
      <c r="S1031" s="25">
        <f t="shared" ref="S1031:S1171" ca="1" si="1047">SUM(Q1031:R1031)</f>
        <v>-22492328.495963398</v>
      </c>
    </row>
    <row r="1032" spans="1:19" ht="15.75" customHeight="1" x14ac:dyDescent="0.3">
      <c r="A1032" s="37">
        <v>82363</v>
      </c>
      <c r="B1032" s="398">
        <f t="shared" ref="B1032:C1032" si="1048">($A1032-B$9)/365.25</f>
        <v>143.61943874058863</v>
      </c>
      <c r="C1032" s="398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3254.2644699519233</v>
      </c>
      <c r="H1032" s="25">
        <f>IF(B1032&lt;62,0,'Combined Retirement'!$I$14)</f>
        <v>2345</v>
      </c>
      <c r="I1032" s="25">
        <f>IF(C1032&lt;62,0,'Combined Retirement'!$I$13)</f>
        <v>2420</v>
      </c>
      <c r="J1032" s="25">
        <f t="shared" si="1043"/>
        <v>7896.2379798201846</v>
      </c>
      <c r="K1032" s="25">
        <f t="shared" si="1044"/>
        <v>20367.195264578786</v>
      </c>
      <c r="L1032" s="25"/>
      <c r="N1032" s="25">
        <f>'Combined Retirement'!$C$18/12</f>
        <v>39153.069999999992</v>
      </c>
      <c r="O1032" s="25">
        <f t="shared" si="1045"/>
        <v>10889.636755601023</v>
      </c>
      <c r="P1032" s="25">
        <f t="shared" si="1046"/>
        <v>28263.43324439897</v>
      </c>
      <c r="Q1032" s="25">
        <f t="array" aca="1" ref="Q1032" ca="1">INDEX('Isaac 401k'!L:L,MATCH('Retirement Calculator'!A1032,'Isaac 401k'!N:N,0),0)</f>
        <v>-984341.72699906491</v>
      </c>
      <c r="R1032" s="25">
        <f t="array" aca="1" ref="R1032" ca="1">INDEX('Lorri 401b'!L:L,MATCH('Retirement Calculator'!A1032,'Lorri 401b'!N:N,0),0)</f>
        <v>-21630086.001913764</v>
      </c>
      <c r="S1032" s="25">
        <f t="shared" ca="1" si="1047"/>
        <v>-22614427.72891283</v>
      </c>
    </row>
    <row r="1033" spans="1:19" ht="15.75" customHeight="1" x14ac:dyDescent="0.3">
      <c r="A1033" s="37">
        <v>82394</v>
      </c>
      <c r="B1033" s="398">
        <f t="shared" ref="B1033:C1033" si="1049">($A1033-B$9)/365.25</f>
        <v>143.70431211498973</v>
      </c>
      <c r="C1033" s="398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3254.2644699519233</v>
      </c>
      <c r="H1033" s="25">
        <f>IF(B1033&lt;62,0,'Combined Retirement'!$I$14)</f>
        <v>2345</v>
      </c>
      <c r="I1033" s="25">
        <f>IF(C1033&lt;62,0,'Combined Retirement'!$I$13)</f>
        <v>2420</v>
      </c>
      <c r="J1033" s="25">
        <f t="shared" si="1043"/>
        <v>7896.2379798201846</v>
      </c>
      <c r="K1033" s="25">
        <f t="shared" si="1044"/>
        <v>20367.195264578786</v>
      </c>
      <c r="L1033" s="25"/>
      <c r="N1033" s="25">
        <f>'Combined Retirement'!$C$18/12</f>
        <v>39153.069999999992</v>
      </c>
      <c r="O1033" s="25">
        <f t="shared" si="1045"/>
        <v>10889.636755601023</v>
      </c>
      <c r="P1033" s="25">
        <f t="shared" si="1046"/>
        <v>28263.43324439897</v>
      </c>
      <c r="Q1033" s="25">
        <f t="array" aca="1" ref="Q1033" ca="1">INDEX('Isaac 401k'!L:L,MATCH('Retirement Calculator'!A1033,'Isaac 401k'!N:N,0),0)</f>
        <v>-996372.28983296384</v>
      </c>
      <c r="R1033" s="25">
        <f t="array" aca="1" ref="R1033" ca="1">INDEX('Lorri 401b'!L:L,MATCH('Retirement Calculator'!A1033,'Lorri 401b'!N:N,0),0)</f>
        <v>-21740663.418833252</v>
      </c>
      <c r="S1033" s="25">
        <f t="shared" ca="1" si="1047"/>
        <v>-22737035.708666217</v>
      </c>
    </row>
    <row r="1034" spans="1:19" ht="15.75" customHeight="1" x14ac:dyDescent="0.3">
      <c r="A1034" s="37">
        <v>82425</v>
      </c>
      <c r="B1034" s="398">
        <f t="shared" ref="B1034:C1034" si="1050">($A1034-B$9)/365.25</f>
        <v>143.78918548939083</v>
      </c>
      <c r="C1034" s="398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3254.2644699519233</v>
      </c>
      <c r="H1034" s="25">
        <f>IF(B1034&lt;62,0,'Combined Retirement'!$I$14)</f>
        <v>2345</v>
      </c>
      <c r="I1034" s="25">
        <f>IF(C1034&lt;62,0,'Combined Retirement'!$I$13)</f>
        <v>2420</v>
      </c>
      <c r="J1034" s="25">
        <f t="shared" si="1043"/>
        <v>7896.2379798201846</v>
      </c>
      <c r="K1034" s="25">
        <f t="shared" si="1044"/>
        <v>20367.195264578786</v>
      </c>
      <c r="L1034" s="25"/>
      <c r="N1034" s="25">
        <f>'Combined Retirement'!$C$18/12</f>
        <v>39153.069999999992</v>
      </c>
      <c r="O1034" s="25">
        <f t="shared" si="1045"/>
        <v>10889.636755601023</v>
      </c>
      <c r="P1034" s="25">
        <f t="shared" si="1046"/>
        <v>28263.43324439897</v>
      </c>
      <c r="Q1034" s="25">
        <f t="array" aca="1" ref="Q1034" ca="1">INDEX('Isaac 401k'!L:L,MATCH('Retirement Calculator'!A1034,'Isaac 401k'!N:N,0),0)</f>
        <v>-1008452.980012004</v>
      </c>
      <c r="R1034" s="25">
        <f t="array" aca="1" ref="R1034" ca="1">INDEX('Lorri 401b'!L:L,MATCH('Retirement Calculator'!A1034,'Lorri 401b'!N:N,0),0)</f>
        <v>-21851701.574989904</v>
      </c>
      <c r="S1034" s="25">
        <f t="shared" ca="1" si="1047"/>
        <v>-22860154.555001907</v>
      </c>
    </row>
    <row r="1035" spans="1:19" ht="15.75" customHeight="1" x14ac:dyDescent="0.3">
      <c r="A1035" s="37">
        <v>82455</v>
      </c>
      <c r="B1035" s="398">
        <f t="shared" ref="B1035:C1035" si="1051">($A1035-B$9)/365.25</f>
        <v>143.8713210130048</v>
      </c>
      <c r="C1035" s="398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3254.2644699519233</v>
      </c>
      <c r="H1035" s="25">
        <f>IF(B1035&lt;62,0,'Combined Retirement'!$I$14)</f>
        <v>2345</v>
      </c>
      <c r="I1035" s="25">
        <f>IF(C1035&lt;62,0,'Combined Retirement'!$I$13)</f>
        <v>2420</v>
      </c>
      <c r="J1035" s="25">
        <f t="shared" si="1043"/>
        <v>7896.2379798201846</v>
      </c>
      <c r="K1035" s="25">
        <f t="shared" si="1044"/>
        <v>20367.195264578786</v>
      </c>
      <c r="L1035" s="25"/>
      <c r="N1035" s="25">
        <f>'Combined Retirement'!$C$18/12</f>
        <v>39153.069999999992</v>
      </c>
      <c r="O1035" s="25">
        <f t="shared" si="1045"/>
        <v>10889.636755601023</v>
      </c>
      <c r="P1035" s="25">
        <f t="shared" si="1046"/>
        <v>28263.43324439897</v>
      </c>
      <c r="Q1035" s="25">
        <f t="array" aca="1" ref="Q1035" ca="1">INDEX('Isaac 401k'!L:L,MATCH('Retirement Calculator'!A1035,'Isaac 401k'!N:N,0),0)</f>
        <v>-1020584.0064001235</v>
      </c>
      <c r="R1035" s="25">
        <f t="array" aca="1" ref="R1035" ca="1">INDEX('Lorri 401b'!L:L,MATCH('Retirement Calculator'!A1035,'Lorri 401b'!N:N,0),0)</f>
        <v>-21963202.390130542</v>
      </c>
      <c r="S1035" s="25">
        <f t="shared" ca="1" si="1047"/>
        <v>-22983786.396530665</v>
      </c>
    </row>
    <row r="1036" spans="1:19" ht="15.75" customHeight="1" x14ac:dyDescent="0.3">
      <c r="A1036" s="37">
        <v>82486</v>
      </c>
      <c r="B1036" s="398">
        <f t="shared" ref="B1036:C1036" si="1052">($A1036-B$9)/365.25</f>
        <v>143.95619438740587</v>
      </c>
      <c r="C1036" s="398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3254.2644699519233</v>
      </c>
      <c r="H1036" s="25">
        <f>IF(B1036&lt;62,0,'Combined Retirement'!$I$14)</f>
        <v>2345</v>
      </c>
      <c r="I1036" s="25">
        <f>IF(C1036&lt;62,0,'Combined Retirement'!$I$13)</f>
        <v>2420</v>
      </c>
      <c r="J1036" s="25">
        <f t="shared" si="1043"/>
        <v>7896.2379798201846</v>
      </c>
      <c r="K1036" s="25">
        <f t="shared" si="1044"/>
        <v>20367.195264578786</v>
      </c>
      <c r="L1036" s="25"/>
      <c r="N1036" s="25">
        <f>'Combined Retirement'!$C$18/12</f>
        <v>39153.069999999992</v>
      </c>
      <c r="O1036" s="25">
        <f t="shared" si="1045"/>
        <v>10889.636755601023</v>
      </c>
      <c r="P1036" s="25">
        <f t="shared" si="1046"/>
        <v>28263.43324439897</v>
      </c>
      <c r="Q1036" s="25">
        <f t="array" aca="1" ref="Q1036" ca="1">INDEX('Isaac 401k'!L:L,MATCH('Retirement Calculator'!A1036,'Isaac 401k'!N:N,0),0)</f>
        <v>-1032765.5787315269</v>
      </c>
      <c r="R1036" s="25">
        <f t="array" aca="1" ref="R1036" ca="1">INDEX('Lorri 401b'!L:L,MATCH('Retirement Calculator'!A1036,'Lorri 401b'!N:N,0),0)</f>
        <v>-22075167.792000934</v>
      </c>
      <c r="S1036" s="25">
        <f t="shared" ca="1" si="1047"/>
        <v>-23107933.37073246</v>
      </c>
    </row>
    <row r="1037" spans="1:19" ht="15.75" customHeight="1" x14ac:dyDescent="0.3">
      <c r="A1037" s="37">
        <v>82516</v>
      </c>
      <c r="B1037" s="398">
        <f t="shared" ref="B1037:C1037" si="1053">($A1037-B$9)/365.25</f>
        <v>144.03832991101984</v>
      </c>
      <c r="C1037" s="398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3254.2644699519233</v>
      </c>
      <c r="H1037" s="25">
        <f>IF(B1037&lt;62,0,'Combined Retirement'!$I$14)</f>
        <v>2345</v>
      </c>
      <c r="I1037" s="25">
        <f>IF(C1037&lt;62,0,'Combined Retirement'!$I$13)</f>
        <v>2420</v>
      </c>
      <c r="J1037" s="25">
        <f t="shared" si="1043"/>
        <v>7896.2379798201846</v>
      </c>
      <c r="K1037" s="25">
        <f t="shared" si="1044"/>
        <v>20367.195264578786</v>
      </c>
      <c r="L1037" s="25"/>
      <c r="N1037" s="25">
        <f>'Combined Retirement'!$C$18/12</f>
        <v>39153.069999999992</v>
      </c>
      <c r="O1037" s="25">
        <f t="shared" si="1045"/>
        <v>10889.636755601023</v>
      </c>
      <c r="P1037" s="25">
        <f t="shared" si="1046"/>
        <v>28263.43324439897</v>
      </c>
      <c r="Q1037" s="25">
        <f t="array" aca="1" ref="Q1037" ca="1">INDEX('Isaac 401k'!L:L,MATCH('Retirement Calculator'!A1037,'Isaac 401k'!N:N,0),0)</f>
        <v>-1044997.9076143111</v>
      </c>
      <c r="R1037" s="25">
        <f t="array" aca="1" ref="R1037" ca="1">INDEX('Lorri 401b'!L:L,MATCH('Retirement Calculator'!A1037,'Lorri 401b'!N:N,0),0)</f>
        <v>-22187599.716379117</v>
      </c>
      <c r="S1037" s="25">
        <f t="shared" ca="1" si="1047"/>
        <v>-23232597.623993427</v>
      </c>
    </row>
    <row r="1038" spans="1:19" ht="15.75" customHeight="1" x14ac:dyDescent="0.3">
      <c r="A1038" s="37">
        <v>82547</v>
      </c>
      <c r="B1038" s="398">
        <f t="shared" ref="B1038:C1038" si="1054">($A1038-B$9)/365.25</f>
        <v>144.12320328542094</v>
      </c>
      <c r="C1038" s="398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3254.2644699519233</v>
      </c>
      <c r="H1038" s="25">
        <f>IF(B1038&lt;62,0,'Combined Retirement'!$I$14)</f>
        <v>2345</v>
      </c>
      <c r="I1038" s="25">
        <f>IF(C1038&lt;62,0,'Combined Retirement'!$I$13)</f>
        <v>2420</v>
      </c>
      <c r="J1038" s="25">
        <f t="shared" si="1043"/>
        <v>7896.2379798201846</v>
      </c>
      <c r="K1038" s="25">
        <f t="shared" si="1044"/>
        <v>20367.195264578786</v>
      </c>
      <c r="L1038" s="25"/>
      <c r="N1038" s="25">
        <f>'Combined Retirement'!$C$18/12</f>
        <v>39153.069999999992</v>
      </c>
      <c r="O1038" s="25">
        <f t="shared" si="1045"/>
        <v>10889.636755601023</v>
      </c>
      <c r="P1038" s="25">
        <f t="shared" si="1046"/>
        <v>28263.43324439897</v>
      </c>
      <c r="Q1038" s="25">
        <f t="array" aca="1" ref="Q1038" ca="1">INDEX('Isaac 401k'!L:L,MATCH('Retirement Calculator'!A1038,'Isaac 401k'!N:N,0),0)</f>
        <v>-1057281.2045341067</v>
      </c>
      <c r="R1038" s="25">
        <f t="array" aca="1" ref="R1038" ca="1">INDEX('Lorri 401b'!L:L,MATCH('Retirement Calculator'!A1038,'Lorri 401b'!N:N,0),0)</f>
        <v>-22300500.107108876</v>
      </c>
      <c r="S1038" s="25">
        <f t="shared" ca="1" si="1047"/>
        <v>-23357781.311642982</v>
      </c>
    </row>
    <row r="1039" spans="1:19" ht="15.75" customHeight="1" x14ac:dyDescent="0.3">
      <c r="A1039" s="37">
        <v>82578</v>
      </c>
      <c r="B1039" s="398">
        <f t="shared" ref="B1039:C1039" si="1055">($A1039-B$9)/365.25</f>
        <v>144.20807665982204</v>
      </c>
      <c r="C1039" s="398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3254.2644699519233</v>
      </c>
      <c r="H1039" s="25">
        <f>IF(B1039&lt;62,0,'Combined Retirement'!$I$14)</f>
        <v>2345</v>
      </c>
      <c r="I1039" s="25">
        <f>IF(C1039&lt;62,0,'Combined Retirement'!$I$13)</f>
        <v>2420</v>
      </c>
      <c r="J1039" s="25">
        <f t="shared" si="1043"/>
        <v>7896.2379798201846</v>
      </c>
      <c r="K1039" s="25">
        <f t="shared" si="1044"/>
        <v>20367.195264578786</v>
      </c>
      <c r="L1039" s="25"/>
      <c r="N1039" s="25">
        <f>'Combined Retirement'!$C$18/12</f>
        <v>39153.069999999992</v>
      </c>
      <c r="O1039" s="25">
        <f t="shared" si="1045"/>
        <v>10889.636755601023</v>
      </c>
      <c r="P1039" s="25">
        <f t="shared" si="1046"/>
        <v>28263.43324439897</v>
      </c>
      <c r="Q1039" s="25">
        <f t="array" aca="1" ref="Q1039" ca="1">INDEX('Isaac 401k'!L:L,MATCH('Retirement Calculator'!A1039,'Isaac 401k'!N:N,0),0)</f>
        <v>-1069615.6818577349</v>
      </c>
      <c r="R1039" s="25">
        <f t="array" aca="1" ref="R1039" ca="1">INDEX('Lorri 401b'!L:L,MATCH('Retirement Calculator'!A1039,'Lorri 401b'!N:N,0),0)</f>
        <v>-22413870.916133344</v>
      </c>
      <c r="S1039" s="25">
        <f t="shared" ca="1" si="1047"/>
        <v>-23483486.597991079</v>
      </c>
    </row>
    <row r="1040" spans="1:19" ht="15.75" customHeight="1" x14ac:dyDescent="0.3">
      <c r="A1040" s="37">
        <v>82606</v>
      </c>
      <c r="B1040" s="398">
        <f t="shared" ref="B1040:C1040" si="1056">($A1040-B$9)/365.25</f>
        <v>144.28473648186173</v>
      </c>
      <c r="C1040" s="398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3254.2644699519233</v>
      </c>
      <c r="H1040" s="25">
        <f>IF(B1040&lt;62,0,'Combined Retirement'!$I$14)</f>
        <v>2345</v>
      </c>
      <c r="I1040" s="25">
        <f>IF(C1040&lt;62,0,'Combined Retirement'!$I$13)</f>
        <v>2420</v>
      </c>
      <c r="J1040" s="25">
        <f t="shared" si="1043"/>
        <v>7896.2379798201846</v>
      </c>
      <c r="K1040" s="25">
        <f t="shared" si="1044"/>
        <v>20367.195264578786</v>
      </c>
      <c r="L1040" s="25"/>
      <c r="N1040" s="25">
        <f>'Combined Retirement'!$C$18/12</f>
        <v>39153.069999999992</v>
      </c>
      <c r="O1040" s="25">
        <f t="shared" si="1045"/>
        <v>10889.636755601023</v>
      </c>
      <c r="P1040" s="25">
        <f t="shared" si="1046"/>
        <v>28263.43324439897</v>
      </c>
      <c r="Q1040" s="25">
        <f t="array" aca="1" ref="Q1040" ca="1">INDEX('Isaac 401k'!L:L,MATCH('Retirement Calculator'!A1040,'Isaac 401k'!N:N,0),0)</f>
        <v>-1082001.5528368782</v>
      </c>
      <c r="R1040" s="25">
        <f t="array" aca="1" ref="R1040" ca="1">INDEX('Lorri 401b'!L:L,MATCH('Retirement Calculator'!A1040,'Lorri 401b'!N:N,0),0)</f>
        <v>-22527714.103528745</v>
      </c>
      <c r="S1040" s="25">
        <f t="shared" ca="1" si="1047"/>
        <v>-23609715.656365626</v>
      </c>
    </row>
    <row r="1041" spans="1:19" ht="15.75" customHeight="1" x14ac:dyDescent="0.3">
      <c r="A1041" s="37">
        <v>82637</v>
      </c>
      <c r="B1041" s="398">
        <f t="shared" ref="B1041:C1041" si="1057">($A1041-B$9)/365.25</f>
        <v>144.36960985626283</v>
      </c>
      <c r="C1041" s="398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3254.2644699519233</v>
      </c>
      <c r="H1041" s="25">
        <f>IF(B1041&lt;62,0,'Combined Retirement'!$I$14)</f>
        <v>2345</v>
      </c>
      <c r="I1041" s="25">
        <f>IF(C1041&lt;62,0,'Combined Retirement'!$I$13)</f>
        <v>2420</v>
      </c>
      <c r="J1041" s="25">
        <f t="shared" si="1043"/>
        <v>7896.2379798201846</v>
      </c>
      <c r="K1041" s="25">
        <f t="shared" si="1044"/>
        <v>20367.195264578786</v>
      </c>
      <c r="L1041" s="25"/>
      <c r="N1041" s="25">
        <f>'Combined Retirement'!$C$18/12</f>
        <v>39153.069999999992</v>
      </c>
      <c r="O1041" s="25">
        <f t="shared" si="1045"/>
        <v>10889.636755601023</v>
      </c>
      <c r="P1041" s="25">
        <f t="shared" si="1046"/>
        <v>28263.43324439897</v>
      </c>
      <c r="Q1041" s="25">
        <f t="array" aca="1" ref="Q1041" ca="1">INDEX('Isaac 401k'!L:L,MATCH('Retirement Calculator'!A1041,'Isaac 401k'!N:N,0),0)</f>
        <v>-1094439.0316117681</v>
      </c>
      <c r="R1041" s="25">
        <f t="array" aca="1" ref="R1041" ca="1">INDEX('Lorri 401b'!L:L,MATCH('Retirement Calculator'!A1041,'Lorri 401b'!N:N,0),0)</f>
        <v>-22642031.637538295</v>
      </c>
      <c r="S1041" s="25">
        <f t="shared" ca="1" si="1047"/>
        <v>-23736470.669150062</v>
      </c>
    </row>
    <row r="1042" spans="1:19" ht="15.75" customHeight="1" x14ac:dyDescent="0.3">
      <c r="A1042" s="37">
        <v>82667</v>
      </c>
      <c r="B1042" s="398">
        <f t="shared" ref="B1042:C1042" si="1058">($A1042-B$9)/365.25</f>
        <v>144.4517453798768</v>
      </c>
      <c r="C1042" s="398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3254.2644699519233</v>
      </c>
      <c r="H1042" s="25">
        <f>IF(B1042&lt;62,0,'Combined Retirement'!$I$14)</f>
        <v>2345</v>
      </c>
      <c r="I1042" s="25">
        <f>IF(C1042&lt;62,0,'Combined Retirement'!$I$13)</f>
        <v>2420</v>
      </c>
      <c r="J1042" s="25">
        <f t="shared" si="1043"/>
        <v>7896.2379798201846</v>
      </c>
      <c r="K1042" s="25">
        <f t="shared" si="1044"/>
        <v>20367.195264578786</v>
      </c>
      <c r="L1042" s="25"/>
      <c r="N1042" s="25">
        <f>'Combined Retirement'!$C$18/12</f>
        <v>39153.069999999992</v>
      </c>
      <c r="O1042" s="25">
        <f t="shared" si="1045"/>
        <v>10889.636755601023</v>
      </c>
      <c r="P1042" s="25">
        <f t="shared" si="1046"/>
        <v>28263.43324439897</v>
      </c>
      <c r="Q1042" s="25">
        <f t="array" aca="1" ref="Q1042" ca="1">INDEX('Isaac 401k'!L:L,MATCH('Retirement Calculator'!A1042,'Isaac 401k'!N:N,0),0)</f>
        <v>-1106928.3332148865</v>
      </c>
      <c r="R1042" s="25">
        <f t="array" aca="1" ref="R1042" ca="1">INDEX('Lorri 401b'!L:L,MATCH('Retirement Calculator'!A1042,'Lorri 401b'!N:N,0),0)</f>
        <v>-22756825.494606219</v>
      </c>
      <c r="S1042" s="25">
        <f t="shared" ca="1" si="1047"/>
        <v>-23863753.827821106</v>
      </c>
    </row>
    <row r="1043" spans="1:19" ht="15.75" customHeight="1" x14ac:dyDescent="0.3">
      <c r="A1043" s="37">
        <v>82698</v>
      </c>
      <c r="B1043" s="398">
        <f t="shared" ref="B1043:C1043" si="1059">($A1043-B$9)/365.25</f>
        <v>144.5366187542779</v>
      </c>
      <c r="C1043" s="398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3254.2644699519233</v>
      </c>
      <c r="H1043" s="25">
        <f>IF(B1043&lt;62,0,'Combined Retirement'!$I$14)</f>
        <v>2345</v>
      </c>
      <c r="I1043" s="25">
        <f>IF(C1043&lt;62,0,'Combined Retirement'!$I$13)</f>
        <v>2420</v>
      </c>
      <c r="J1043" s="25">
        <f t="shared" si="1043"/>
        <v>7896.2379798201846</v>
      </c>
      <c r="K1043" s="25">
        <f t="shared" si="1044"/>
        <v>20367.195264578786</v>
      </c>
      <c r="L1043" s="25"/>
      <c r="N1043" s="25">
        <f>'Combined Retirement'!$C$18/12</f>
        <v>39153.069999999992</v>
      </c>
      <c r="O1043" s="25">
        <f t="shared" si="1045"/>
        <v>10889.636755601023</v>
      </c>
      <c r="P1043" s="25">
        <f t="shared" si="1046"/>
        <v>28263.43324439897</v>
      </c>
      <c r="Q1043" s="25">
        <f t="array" aca="1" ref="Q1043" ca="1">INDEX('Isaac 401k'!L:L,MATCH('Retirement Calculator'!A1043,'Isaac 401k'!N:N,0),0)</f>
        <v>-1119469.6735746847</v>
      </c>
      <c r="R1043" s="25">
        <f t="array" aca="1" ref="R1043" ca="1">INDEX('Lorri 401b'!L:L,MATCH('Retirement Calculator'!A1043,'Lorri 401b'!N:N,0),0)</f>
        <v>-22872097.659411926</v>
      </c>
      <c r="S1043" s="25">
        <f t="shared" ca="1" si="1047"/>
        <v>-23991567.332986612</v>
      </c>
    </row>
    <row r="1044" spans="1:19" ht="15.75" customHeight="1" x14ac:dyDescent="0.3">
      <c r="A1044" s="37">
        <v>82728</v>
      </c>
      <c r="B1044" s="398">
        <f t="shared" ref="B1044:C1044" si="1060">($A1044-B$9)/365.25</f>
        <v>144.61875427789187</v>
      </c>
      <c r="C1044" s="398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3254.2644699519233</v>
      </c>
      <c r="H1044" s="25">
        <f>IF(B1044&lt;62,0,'Combined Retirement'!$I$14)</f>
        <v>2345</v>
      </c>
      <c r="I1044" s="25">
        <f>IF(C1044&lt;62,0,'Combined Retirement'!$I$13)</f>
        <v>2420</v>
      </c>
      <c r="J1044" s="25">
        <f t="shared" si="1043"/>
        <v>7896.2379798201846</v>
      </c>
      <c r="K1044" s="25">
        <f t="shared" si="1044"/>
        <v>20367.195264578786</v>
      </c>
      <c r="L1044" s="25"/>
      <c r="N1044" s="25">
        <f>'Combined Retirement'!$C$18/12</f>
        <v>39153.069999999992</v>
      </c>
      <c r="O1044" s="25">
        <f t="shared" si="1045"/>
        <v>10889.636755601023</v>
      </c>
      <c r="P1044" s="25">
        <f t="shared" si="1046"/>
        <v>28263.43324439897</v>
      </c>
      <c r="Q1044" s="25">
        <f t="array" aca="1" ref="Q1044" ca="1">INDEX('Isaac 401k'!L:L,MATCH('Retirement Calculator'!A1044,'Isaac 401k'!N:N,0),0)</f>
        <v>-1132063.2695193153</v>
      </c>
      <c r="R1044" s="25">
        <f t="array" aca="1" ref="R1044" ca="1">INDEX('Lorri 401b'!L:L,MATCH('Retirement Calculator'!A1044,'Lorri 401b'!N:N,0),0)</f>
        <v>-22987850.124904323</v>
      </c>
      <c r="S1044" s="25">
        <f t="shared" ca="1" si="1047"/>
        <v>-24119913.394423638</v>
      </c>
    </row>
    <row r="1045" spans="1:19" ht="15.75" customHeight="1" x14ac:dyDescent="0.3">
      <c r="A1045" s="37">
        <v>82759</v>
      </c>
      <c r="B1045" s="398">
        <f t="shared" ref="B1045:C1045" si="1061">($A1045-B$9)/365.25</f>
        <v>144.70362765229294</v>
      </c>
      <c r="C1045" s="398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3254.2644699519233</v>
      </c>
      <c r="H1045" s="25">
        <f>IF(B1045&lt;62,0,'Combined Retirement'!$I$14)</f>
        <v>2345</v>
      </c>
      <c r="I1045" s="25">
        <f>IF(C1045&lt;62,0,'Combined Retirement'!$I$13)</f>
        <v>2420</v>
      </c>
      <c r="J1045" s="25">
        <f t="shared" si="1043"/>
        <v>7896.2379798201846</v>
      </c>
      <c r="K1045" s="25">
        <f t="shared" si="1044"/>
        <v>20367.195264578786</v>
      </c>
      <c r="L1045" s="25"/>
      <c r="N1045" s="25">
        <f>'Combined Retirement'!$C$18/12</f>
        <v>39153.069999999992</v>
      </c>
      <c r="O1045" s="25">
        <f t="shared" si="1045"/>
        <v>10889.636755601023</v>
      </c>
      <c r="P1045" s="25">
        <f t="shared" si="1046"/>
        <v>28263.43324439897</v>
      </c>
      <c r="Q1045" s="25">
        <f t="array" aca="1" ref="Q1045" ca="1">INDEX('Isaac 401k'!L:L,MATCH('Retirement Calculator'!A1045,'Isaac 401k'!N:N,0),0)</f>
        <v>-1144709.3387803819</v>
      </c>
      <c r="R1045" s="25">
        <f t="array" aca="1" ref="R1045" ca="1">INDEX('Lorri 401b'!L:L,MATCH('Retirement Calculator'!A1045,'Lorri 401b'!N:N,0),0)</f>
        <v>-23104084.892336272</v>
      </c>
      <c r="S1045" s="25">
        <f t="shared" ca="1" si="1047"/>
        <v>-24248794.231116652</v>
      </c>
    </row>
    <row r="1046" spans="1:19" ht="15.75" customHeight="1" x14ac:dyDescent="0.3">
      <c r="A1046" s="37">
        <v>82790</v>
      </c>
      <c r="B1046" s="398">
        <f t="shared" ref="B1046:C1046" si="1062">($A1046-B$9)/365.25</f>
        <v>144.78850102669404</v>
      </c>
      <c r="C1046" s="398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3254.2644699519233</v>
      </c>
      <c r="H1046" s="25">
        <f>IF(B1046&lt;62,0,'Combined Retirement'!$I$14)</f>
        <v>2345</v>
      </c>
      <c r="I1046" s="25">
        <f>IF(C1046&lt;62,0,'Combined Retirement'!$I$13)</f>
        <v>2420</v>
      </c>
      <c r="J1046" s="25">
        <f t="shared" si="1043"/>
        <v>7896.2379798201846</v>
      </c>
      <c r="K1046" s="25">
        <f t="shared" si="1044"/>
        <v>20367.195264578786</v>
      </c>
      <c r="L1046" s="25"/>
      <c r="N1046" s="25">
        <f>'Combined Retirement'!$C$18/12</f>
        <v>39153.069999999992</v>
      </c>
      <c r="O1046" s="25">
        <f t="shared" si="1045"/>
        <v>10889.636755601023</v>
      </c>
      <c r="P1046" s="25">
        <f t="shared" si="1046"/>
        <v>28263.43324439897</v>
      </c>
      <c r="Q1046" s="25">
        <f t="array" aca="1" ref="Q1046" ca="1">INDEX('Isaac 401k'!L:L,MATCH('Retirement Calculator'!A1046,'Isaac 401k'!N:N,0),0)</f>
        <v>-1157408.099996703</v>
      </c>
      <c r="R1046" s="25">
        <f t="array" aca="1" ref="R1046" ca="1">INDEX('Lorri 401b'!L:L,MATCH('Retirement Calculator'!A1046,'Lorri 401b'!N:N,0),0)</f>
        <v>-23220803.971299186</v>
      </c>
      <c r="S1046" s="25">
        <f t="shared" ca="1" si="1047"/>
        <v>-24378212.071295891</v>
      </c>
    </row>
    <row r="1047" spans="1:19" ht="15.75" customHeight="1" x14ac:dyDescent="0.3">
      <c r="A1047" s="37">
        <v>82820</v>
      </c>
      <c r="B1047" s="398">
        <f t="shared" ref="B1047:C1047" si="1063">($A1047-B$9)/365.25</f>
        <v>144.87063655030801</v>
      </c>
      <c r="C1047" s="398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3254.2644699519233</v>
      </c>
      <c r="H1047" s="25">
        <f>IF(B1047&lt;62,0,'Combined Retirement'!$I$14)</f>
        <v>2345</v>
      </c>
      <c r="I1047" s="25">
        <f>IF(C1047&lt;62,0,'Combined Retirement'!$I$13)</f>
        <v>2420</v>
      </c>
      <c r="J1047" s="25">
        <f t="shared" si="1043"/>
        <v>7896.2379798201846</v>
      </c>
      <c r="K1047" s="25">
        <f t="shared" si="1044"/>
        <v>20367.195264578786</v>
      </c>
      <c r="L1047" s="25"/>
      <c r="N1047" s="25">
        <f>'Combined Retirement'!$C$18/12</f>
        <v>39153.069999999992</v>
      </c>
      <c r="O1047" s="25">
        <f t="shared" si="1045"/>
        <v>10889.636755601023</v>
      </c>
      <c r="P1047" s="25">
        <f t="shared" si="1046"/>
        <v>28263.43324439897</v>
      </c>
      <c r="Q1047" s="25">
        <f t="array" aca="1" ref="Q1047" ca="1">INDEX('Isaac 401k'!L:L,MATCH('Retirement Calculator'!A1047,'Isaac 401k'!N:N,0),0)</f>
        <v>-1170159.772718092</v>
      </c>
      <c r="R1047" s="25">
        <f t="array" aca="1" ref="R1047" ca="1">INDEX('Lorri 401b'!L:L,MATCH('Retirement Calculator'!A1047,'Lorri 401b'!N:N,0),0)</f>
        <v>-23338009.379757781</v>
      </c>
      <c r="S1047" s="25">
        <f t="shared" ca="1" si="1047"/>
        <v>-24508169.152475871</v>
      </c>
    </row>
    <row r="1048" spans="1:19" ht="15.75" customHeight="1" x14ac:dyDescent="0.3">
      <c r="A1048" s="37">
        <v>82851</v>
      </c>
      <c r="B1048" s="398">
        <f t="shared" ref="B1048:C1048" si="1064">($A1048-B$9)/365.25</f>
        <v>144.95550992470911</v>
      </c>
      <c r="C1048" s="398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3254.2644699519233</v>
      </c>
      <c r="H1048" s="25">
        <f>IF(B1048&lt;62,0,'Combined Retirement'!$I$14)</f>
        <v>2345</v>
      </c>
      <c r="I1048" s="25">
        <f>IF(C1048&lt;62,0,'Combined Retirement'!$I$13)</f>
        <v>2420</v>
      </c>
      <c r="J1048" s="25">
        <f t="shared" si="1043"/>
        <v>7896.2379798201846</v>
      </c>
      <c r="K1048" s="25">
        <f t="shared" si="1044"/>
        <v>20367.195264578786</v>
      </c>
      <c r="L1048" s="25"/>
      <c r="N1048" s="25">
        <f>'Combined Retirement'!$C$18/12</f>
        <v>39153.069999999992</v>
      </c>
      <c r="O1048" s="25">
        <f t="shared" si="1045"/>
        <v>10889.636755601023</v>
      </c>
      <c r="P1048" s="25">
        <f t="shared" si="1046"/>
        <v>28263.43324439897</v>
      </c>
      <c r="Q1048" s="25">
        <f t="array" aca="1" ref="Q1048" ca="1">INDEX('Isaac 401k'!L:L,MATCH('Retirement Calculator'!A1048,'Isaac 401k'!N:N,0),0)</f>
        <v>-1182964.5774091536</v>
      </c>
      <c r="R1048" s="25">
        <f t="array" aca="1" ref="R1048" ca="1">INDEX('Lorri 401b'!L:L,MATCH('Retirement Calculator'!A1048,'Lorri 401b'!N:N,0),0)</f>
        <v>-23455703.144084953</v>
      </c>
      <c r="S1048" s="25">
        <f t="shared" ca="1" si="1047"/>
        <v>-24638667.721494105</v>
      </c>
    </row>
    <row r="1049" spans="1:19" ht="15.75" customHeight="1" x14ac:dyDescent="0.3">
      <c r="A1049" s="37">
        <v>82881</v>
      </c>
      <c r="B1049" s="398">
        <f t="shared" ref="B1049:C1049" si="1065">($A1049-B$9)/365.25</f>
        <v>145.03764544832308</v>
      </c>
      <c r="C1049" s="398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3254.2644699519233</v>
      </c>
      <c r="H1049" s="25">
        <f>IF(B1049&lt;62,0,'Combined Retirement'!$I$14)</f>
        <v>2345</v>
      </c>
      <c r="I1049" s="25">
        <f>IF(C1049&lt;62,0,'Combined Retirement'!$I$13)</f>
        <v>2420</v>
      </c>
      <c r="J1049" s="25">
        <f t="shared" si="1043"/>
        <v>7896.2379798201846</v>
      </c>
      <c r="K1049" s="25">
        <f t="shared" si="1044"/>
        <v>20367.195264578786</v>
      </c>
      <c r="L1049" s="25"/>
      <c r="N1049" s="25">
        <f>'Combined Retirement'!$C$18/12</f>
        <v>39153.069999999992</v>
      </c>
      <c r="O1049" s="25">
        <f t="shared" si="1045"/>
        <v>10889.636755601023</v>
      </c>
      <c r="P1049" s="25">
        <f t="shared" si="1046"/>
        <v>28263.43324439897</v>
      </c>
      <c r="Q1049" s="25">
        <f t="array" aca="1" ref="Q1049" ca="1">INDEX('Isaac 401k'!L:L,MATCH('Retirement Calculator'!A1049,'Isaac 401k'!N:N,0),0)</f>
        <v>-1195822.7354530946</v>
      </c>
      <c r="R1049" s="25">
        <f t="array" aca="1" ref="R1049" ca="1">INDEX('Lorri 401b'!L:L,MATCH('Retirement Calculator'!A1049,'Lorri 401b'!N:N,0),0)</f>
        <v>-23573887.299096819</v>
      </c>
      <c r="S1049" s="25">
        <f t="shared" ca="1" si="1047"/>
        <v>-24769710.034549914</v>
      </c>
    </row>
    <row r="1050" spans="1:19" ht="15.75" customHeight="1" x14ac:dyDescent="0.3">
      <c r="A1050" s="37">
        <v>82912</v>
      </c>
      <c r="B1050" s="398">
        <f t="shared" ref="B1050:C1050" si="1066">($A1050-B$9)/365.25</f>
        <v>145.12251882272417</v>
      </c>
      <c r="C1050" s="398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3254.2644699519233</v>
      </c>
      <c r="H1050" s="25">
        <f>IF(B1050&lt;62,0,'Combined Retirement'!$I$14)</f>
        <v>2345</v>
      </c>
      <c r="I1050" s="25">
        <f>IF(C1050&lt;62,0,'Combined Retirement'!$I$13)</f>
        <v>2420</v>
      </c>
      <c r="J1050" s="25">
        <f t="shared" si="1043"/>
        <v>7896.2379798201846</v>
      </c>
      <c r="K1050" s="25">
        <f t="shared" si="1044"/>
        <v>20367.195264578786</v>
      </c>
      <c r="L1050" s="25"/>
      <c r="N1050" s="25">
        <f>'Combined Retirement'!$C$18/12</f>
        <v>39153.069999999992</v>
      </c>
      <c r="O1050" s="25">
        <f t="shared" si="1045"/>
        <v>10889.636755601023</v>
      </c>
      <c r="P1050" s="25">
        <f t="shared" si="1046"/>
        <v>28263.43324439897</v>
      </c>
      <c r="Q1050" s="25">
        <f t="array" aca="1" ref="Q1050" ca="1">INDEX('Isaac 401k'!L:L,MATCH('Retirement Calculator'!A1050,'Isaac 401k'!N:N,0),0)</f>
        <v>-1208734.4691555519</v>
      </c>
      <c r="R1050" s="25">
        <f t="array" aca="1" ref="R1050" ca="1">INDEX('Lorri 401b'!L:L,MATCH('Retirement Calculator'!A1050,'Lorri 401b'!N:N,0),0)</f>
        <v>-23692563.888087902</v>
      </c>
      <c r="S1050" s="25">
        <f t="shared" ca="1" si="1047"/>
        <v>-24901298.357243456</v>
      </c>
    </row>
    <row r="1051" spans="1:19" ht="15.75" customHeight="1" x14ac:dyDescent="0.3">
      <c r="A1051" s="37">
        <v>82943</v>
      </c>
      <c r="B1051" s="398">
        <f t="shared" ref="B1051:C1051" si="1067">($A1051-B$9)/365.25</f>
        <v>145.20739219712524</v>
      </c>
      <c r="C1051" s="398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3254.2644699519233</v>
      </c>
      <c r="H1051" s="25">
        <f>IF(B1051&lt;62,0,'Combined Retirement'!$I$14)</f>
        <v>2345</v>
      </c>
      <c r="I1051" s="25">
        <f>IF(C1051&lt;62,0,'Combined Retirement'!$I$13)</f>
        <v>2420</v>
      </c>
      <c r="J1051" s="25">
        <f t="shared" si="1043"/>
        <v>7896.2379798201846</v>
      </c>
      <c r="K1051" s="25">
        <f t="shared" si="1044"/>
        <v>20367.195264578786</v>
      </c>
      <c r="L1051" s="25"/>
      <c r="N1051" s="25">
        <f>'Combined Retirement'!$C$18/12</f>
        <v>39153.069999999992</v>
      </c>
      <c r="O1051" s="25">
        <f t="shared" si="1045"/>
        <v>10889.636755601023</v>
      </c>
      <c r="P1051" s="25">
        <f t="shared" si="1046"/>
        <v>28263.43324439897</v>
      </c>
      <c r="Q1051" s="25">
        <f t="array" aca="1" ref="Q1051" ca="1">INDEX('Isaac 401k'!L:L,MATCH('Retirement Calculator'!A1051,'Isaac 401k'!N:N,0),0)</f>
        <v>-1221700.0017484361</v>
      </c>
      <c r="R1051" s="25">
        <f t="array" aca="1" ref="R1051" ca="1">INDEX('Lorri 401b'!L:L,MATCH('Retirement Calculator'!A1051,'Lorri 401b'!N:N,0),0)</f>
        <v>-23811734.962866448</v>
      </c>
      <c r="S1051" s="25">
        <f t="shared" ca="1" si="1047"/>
        <v>-25033434.964614883</v>
      </c>
    </row>
    <row r="1052" spans="1:19" ht="15.75" customHeight="1" x14ac:dyDescent="0.3">
      <c r="A1052" s="37">
        <v>82971</v>
      </c>
      <c r="B1052" s="398">
        <f t="shared" ref="B1052:C1052" si="1068">($A1052-B$9)/365.25</f>
        <v>145.28405201916496</v>
      </c>
      <c r="C1052" s="398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3254.2644699519233</v>
      </c>
      <c r="H1052" s="25">
        <f>IF(B1052&lt;62,0,'Combined Retirement'!$I$14)</f>
        <v>2345</v>
      </c>
      <c r="I1052" s="25">
        <f>IF(C1052&lt;62,0,'Combined Retirement'!$I$13)</f>
        <v>2420</v>
      </c>
      <c r="J1052" s="25">
        <f t="shared" si="1043"/>
        <v>7896.2379798201846</v>
      </c>
      <c r="K1052" s="25">
        <f t="shared" si="1044"/>
        <v>20367.195264578786</v>
      </c>
      <c r="L1052" s="25"/>
      <c r="N1052" s="25">
        <f>'Combined Retirement'!$C$18/12</f>
        <v>39153.069999999992</v>
      </c>
      <c r="O1052" s="25">
        <f t="shared" si="1045"/>
        <v>10889.636755601023</v>
      </c>
      <c r="P1052" s="25">
        <f t="shared" si="1046"/>
        <v>28263.43324439897</v>
      </c>
      <c r="Q1052" s="25">
        <f t="array" aca="1" ref="Q1052" ca="1">INDEX('Isaac 401k'!L:L,MATCH('Retirement Calculator'!A1052,'Isaac 401k'!N:N,0),0)</f>
        <v>-1234719.5573937907</v>
      </c>
      <c r="R1052" s="25">
        <f t="array" aca="1" ref="R1052" ca="1">INDEX('Lorri 401b'!L:L,MATCH('Retirement Calculator'!A1052,'Lorri 401b'!N:N,0),0)</f>
        <v>-23931402.583789904</v>
      </c>
      <c r="S1052" s="25">
        <f t="shared" ca="1" si="1047"/>
        <v>-25166122.141183693</v>
      </c>
    </row>
    <row r="1053" spans="1:19" ht="15.75" customHeight="1" x14ac:dyDescent="0.3">
      <c r="A1053" s="37">
        <v>83002</v>
      </c>
      <c r="B1053" s="398">
        <f t="shared" ref="B1053:C1053" si="1069">($A1053-B$9)/365.25</f>
        <v>145.36892539356606</v>
      </c>
      <c r="C1053" s="398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3254.2644699519233</v>
      </c>
      <c r="H1053" s="25">
        <f>IF(B1053&lt;62,0,'Combined Retirement'!$I$14)</f>
        <v>2345</v>
      </c>
      <c r="I1053" s="25">
        <f>IF(C1053&lt;62,0,'Combined Retirement'!$I$13)</f>
        <v>2420</v>
      </c>
      <c r="J1053" s="25">
        <f t="shared" si="1043"/>
        <v>7896.2379798201846</v>
      </c>
      <c r="K1053" s="25">
        <f t="shared" si="1044"/>
        <v>20367.195264578786</v>
      </c>
      <c r="L1053" s="25"/>
      <c r="N1053" s="25">
        <f>'Combined Retirement'!$C$18/12</f>
        <v>39153.069999999992</v>
      </c>
      <c r="O1053" s="25">
        <f t="shared" si="1045"/>
        <v>10889.636755601023</v>
      </c>
      <c r="P1053" s="25">
        <f t="shared" si="1046"/>
        <v>28263.43324439897</v>
      </c>
      <c r="Q1053" s="25">
        <f t="array" aca="1" ref="Q1053" ca="1">INDEX('Isaac 401k'!L:L,MATCH('Retirement Calculator'!A1053,'Isaac 401k'!N:N,0),0)</f>
        <v>-1247793.3611876676</v>
      </c>
      <c r="R1053" s="25">
        <f t="array" aca="1" ref="R1053" ca="1">INDEX('Lorri 401b'!L:L,MATCH('Retirement Calculator'!A1053,'Lorri 401b'!N:N,0),0)</f>
        <v>-24051568.819800541</v>
      </c>
      <c r="S1053" s="25">
        <f t="shared" ca="1" si="1047"/>
        <v>-25299362.180988207</v>
      </c>
    </row>
    <row r="1054" spans="1:19" ht="15.75" customHeight="1" x14ac:dyDescent="0.3">
      <c r="A1054" s="37">
        <v>83032</v>
      </c>
      <c r="B1054" s="398">
        <f t="shared" ref="B1054:C1054" si="1070">($A1054-B$9)/365.25</f>
        <v>145.45106091718</v>
      </c>
      <c r="C1054" s="398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3254.2644699519233</v>
      </c>
      <c r="H1054" s="25">
        <f>IF(B1054&lt;62,0,'Combined Retirement'!$I$14)</f>
        <v>2345</v>
      </c>
      <c r="I1054" s="25">
        <f>IF(C1054&lt;62,0,'Combined Retirement'!$I$13)</f>
        <v>2420</v>
      </c>
      <c r="J1054" s="25">
        <f t="shared" si="1043"/>
        <v>7896.2379798201846</v>
      </c>
      <c r="K1054" s="25">
        <f t="shared" si="1044"/>
        <v>20367.195264578786</v>
      </c>
      <c r="L1054" s="25"/>
      <c r="N1054" s="25">
        <f>'Combined Retirement'!$C$18/12</f>
        <v>39153.069999999992</v>
      </c>
      <c r="O1054" s="25">
        <f t="shared" si="1045"/>
        <v>10889.636755601023</v>
      </c>
      <c r="P1054" s="25">
        <f t="shared" si="1046"/>
        <v>28263.43324439897</v>
      </c>
      <c r="Q1054" s="25">
        <f t="array" aca="1" ref="Q1054" ca="1">INDEX('Isaac 401k'!L:L,MATCH('Retirement Calculator'!A1054,'Isaac 401k'!N:N,0),0)</f>
        <v>-1260921.6391640189</v>
      </c>
      <c r="R1054" s="25">
        <f t="array" aca="1" ref="R1054" ca="1">INDEX('Lorri 401b'!L:L,MATCH('Retirement Calculator'!A1054,'Lorri 401b'!N:N,0),0)</f>
        <v>-24172235.748461224</v>
      </c>
      <c r="S1054" s="25">
        <f t="shared" ca="1" si="1047"/>
        <v>-25433157.387625244</v>
      </c>
    </row>
    <row r="1055" spans="1:19" ht="15.75" customHeight="1" x14ac:dyDescent="0.3">
      <c r="A1055" s="37">
        <v>83063</v>
      </c>
      <c r="B1055" s="398">
        <f t="shared" ref="B1055:C1055" si="1071">($A1055-B$9)/365.25</f>
        <v>145.5359342915811</v>
      </c>
      <c r="C1055" s="398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3254.2644699519233</v>
      </c>
      <c r="H1055" s="25">
        <f>IF(B1055&lt;62,0,'Combined Retirement'!$I$14)</f>
        <v>2345</v>
      </c>
      <c r="I1055" s="25">
        <f>IF(C1055&lt;62,0,'Combined Retirement'!$I$13)</f>
        <v>2420</v>
      </c>
      <c r="J1055" s="25">
        <f t="shared" si="1043"/>
        <v>7896.2379798201846</v>
      </c>
      <c r="K1055" s="25">
        <f t="shared" si="1044"/>
        <v>20367.195264578786</v>
      </c>
      <c r="L1055" s="25"/>
      <c r="N1055" s="25">
        <f>'Combined Retirement'!$C$18/12</f>
        <v>39153.069999999992</v>
      </c>
      <c r="O1055" s="25">
        <f t="shared" si="1045"/>
        <v>10889.636755601023</v>
      </c>
      <c r="P1055" s="25">
        <f t="shared" si="1046"/>
        <v>28263.43324439897</v>
      </c>
      <c r="Q1055" s="25">
        <f t="array" aca="1" ref="Q1055" ca="1">INDEX('Isaac 401k'!L:L,MATCH('Retirement Calculator'!A1055,'Isaac 401k'!N:N,0),0)</f>
        <v>-1274104.6182986051</v>
      </c>
      <c r="R1055" s="25">
        <f t="array" aca="1" ref="R1055" ca="1">INDEX('Lorri 401b'!L:L,MATCH('Retirement Calculator'!A1055,'Lorri 401b'!N:N,0),0)</f>
        <v>-24293405.455991328</v>
      </c>
      <c r="S1055" s="25">
        <f t="shared" ca="1" si="1047"/>
        <v>-25567510.074289933</v>
      </c>
    </row>
    <row r="1056" spans="1:19" ht="15.75" customHeight="1" x14ac:dyDescent="0.3">
      <c r="A1056" s="37">
        <v>83093</v>
      </c>
      <c r="B1056" s="398">
        <f t="shared" ref="B1056:C1056" si="1072">($A1056-B$9)/365.25</f>
        <v>145.61806981519507</v>
      </c>
      <c r="C1056" s="398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3254.2644699519233</v>
      </c>
      <c r="H1056" s="25">
        <f>IF(B1056&lt;62,0,'Combined Retirement'!$I$14)</f>
        <v>2345</v>
      </c>
      <c r="I1056" s="25">
        <f>IF(C1056&lt;62,0,'Combined Retirement'!$I$13)</f>
        <v>2420</v>
      </c>
      <c r="J1056" s="25">
        <f t="shared" si="1043"/>
        <v>7896.2379798201846</v>
      </c>
      <c r="K1056" s="25">
        <f t="shared" si="1044"/>
        <v>20367.195264578786</v>
      </c>
      <c r="L1056" s="25"/>
      <c r="N1056" s="25">
        <f>'Combined Retirement'!$C$18/12</f>
        <v>39153.069999999992</v>
      </c>
      <c r="O1056" s="25">
        <f t="shared" si="1045"/>
        <v>10889.636755601023</v>
      </c>
      <c r="P1056" s="25">
        <f t="shared" si="1046"/>
        <v>28263.43324439897</v>
      </c>
      <c r="Q1056" s="25">
        <f t="array" aca="1" ref="Q1056" ca="1">INDEX('Isaac 401k'!L:L,MATCH('Retirement Calculator'!A1056,'Isaac 401k'!N:N,0),0)</f>
        <v>-1287342.5265129188</v>
      </c>
      <c r="R1056" s="25">
        <f t="array" aca="1" ref="R1056" ca="1">INDEX('Lorri 401b'!L:L,MATCH('Retirement Calculator'!A1056,'Lorri 401b'!N:N,0),0)</f>
        <v>-24415080.037302807</v>
      </c>
      <c r="S1056" s="25">
        <f t="shared" ca="1" si="1047"/>
        <v>-25702422.563815724</v>
      </c>
    </row>
    <row r="1057" spans="1:19" ht="15.75" customHeight="1" x14ac:dyDescent="0.3">
      <c r="A1057" s="37">
        <v>83124</v>
      </c>
      <c r="B1057" s="398">
        <f t="shared" ref="B1057:C1057" si="1073">($A1057-B$9)/365.25</f>
        <v>145.70294318959617</v>
      </c>
      <c r="C1057" s="398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3254.2644699519233</v>
      </c>
      <c r="H1057" s="25">
        <f>IF(B1057&lt;62,0,'Combined Retirement'!$I$14)</f>
        <v>2345</v>
      </c>
      <c r="I1057" s="25">
        <f>IF(C1057&lt;62,0,'Combined Retirement'!$I$13)</f>
        <v>2420</v>
      </c>
      <c r="J1057" s="25">
        <f t="shared" si="1043"/>
        <v>7896.2379798201846</v>
      </c>
      <c r="K1057" s="25">
        <f t="shared" si="1044"/>
        <v>20367.195264578786</v>
      </c>
      <c r="L1057" s="25"/>
      <c r="N1057" s="25">
        <f>'Combined Retirement'!$C$18/12</f>
        <v>39153.069999999992</v>
      </c>
      <c r="O1057" s="25">
        <f t="shared" si="1045"/>
        <v>10889.636755601023</v>
      </c>
      <c r="P1057" s="25">
        <f t="shared" si="1046"/>
        <v>28263.43324439897</v>
      </c>
      <c r="Q1057" s="25">
        <f t="array" aca="1" ref="Q1057" ca="1">INDEX('Isaac 401k'!L:L,MATCH('Retirement Calculator'!A1057,'Isaac 401k'!N:N,0),0)</f>
        <v>-1300635.5926781255</v>
      </c>
      <c r="R1057" s="25">
        <f t="array" aca="1" ref="R1057" ca="1">INDEX('Lorri 401b'!L:L,MATCH('Retirement Calculator'!A1057,'Lorri 401b'!N:N,0),0)</f>
        <v>-24537261.596036416</v>
      </c>
      <c r="S1057" s="25">
        <f t="shared" ca="1" si="1047"/>
        <v>-25837897.188714541</v>
      </c>
    </row>
    <row r="1058" spans="1:19" ht="15.75" customHeight="1" x14ac:dyDescent="0.3">
      <c r="A1058" s="37">
        <v>83155</v>
      </c>
      <c r="B1058" s="398">
        <f t="shared" ref="B1058:C1058" si="1074">($A1058-B$9)/365.25</f>
        <v>145.78781656399727</v>
      </c>
      <c r="C1058" s="398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3254.2644699519233</v>
      </c>
      <c r="H1058" s="25">
        <f>IF(B1058&lt;62,0,'Combined Retirement'!$I$14)</f>
        <v>2345</v>
      </c>
      <c r="I1058" s="25">
        <f>IF(C1058&lt;62,0,'Combined Retirement'!$I$13)</f>
        <v>2420</v>
      </c>
      <c r="J1058" s="25">
        <f t="shared" si="1043"/>
        <v>7896.2379798201846</v>
      </c>
      <c r="K1058" s="25">
        <f t="shared" si="1044"/>
        <v>20367.195264578786</v>
      </c>
      <c r="L1058" s="25"/>
      <c r="N1058" s="25">
        <f>'Combined Retirement'!$C$18/12</f>
        <v>39153.069999999992</v>
      </c>
      <c r="O1058" s="25">
        <f t="shared" si="1045"/>
        <v>10889.636755601023</v>
      </c>
      <c r="P1058" s="25">
        <f t="shared" si="1046"/>
        <v>28263.43324439897</v>
      </c>
      <c r="Q1058" s="25">
        <f t="array" aca="1" ref="Q1058" ca="1">INDEX('Isaac 401k'!L:L,MATCH('Retirement Calculator'!A1058,'Isaac 401k'!N:N,0),0)</f>
        <v>-1313984.0466190204</v>
      </c>
      <c r="R1058" s="25">
        <f t="array" aca="1" ref="R1058" ca="1">INDEX('Lorri 401b'!L:L,MATCH('Retirement Calculator'!A1058,'Lorri 401b'!N:N,0),0)</f>
        <v>-24659952.244598079</v>
      </c>
      <c r="S1058" s="25">
        <f t="shared" ca="1" si="1047"/>
        <v>-25973936.2912171</v>
      </c>
    </row>
    <row r="1059" spans="1:19" ht="15.75" customHeight="1" x14ac:dyDescent="0.3">
      <c r="A1059" s="37">
        <v>83185</v>
      </c>
      <c r="B1059" s="398">
        <f t="shared" ref="B1059:C1059" si="1075">($A1059-B$9)/365.25</f>
        <v>145.86995208761124</v>
      </c>
      <c r="C1059" s="398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3254.2644699519233</v>
      </c>
      <c r="H1059" s="25">
        <f>IF(B1059&lt;62,0,'Combined Retirement'!$I$14)</f>
        <v>2345</v>
      </c>
      <c r="I1059" s="25">
        <f>IF(C1059&lt;62,0,'Combined Retirement'!$I$13)</f>
        <v>2420</v>
      </c>
      <c r="J1059" s="25">
        <f t="shared" si="1043"/>
        <v>7896.2379798201846</v>
      </c>
      <c r="K1059" s="25">
        <f t="shared" si="1044"/>
        <v>20367.195264578786</v>
      </c>
      <c r="L1059" s="25"/>
      <c r="N1059" s="25">
        <f>'Combined Retirement'!$C$18/12</f>
        <v>39153.069999999992</v>
      </c>
      <c r="O1059" s="25">
        <f t="shared" si="1045"/>
        <v>10889.636755601023</v>
      </c>
      <c r="P1059" s="25">
        <f t="shared" si="1046"/>
        <v>28263.43324439897</v>
      </c>
      <c r="Q1059" s="25">
        <f t="array" aca="1" ref="Q1059" ca="1">INDEX('Isaac 401k'!L:L,MATCH('Retirement Calculator'!A1059,'Isaac 401k'!N:N,0),0)</f>
        <v>-1327388.1191180025</v>
      </c>
      <c r="R1059" s="25">
        <f t="array" aca="1" ref="R1059" ca="1">INDEX('Lorri 401b'!L:L,MATCH('Retirement Calculator'!A1059,'Lorri 401b'!N:N,0),0)</f>
        <v>-24783154.10419542</v>
      </c>
      <c r="S1059" s="25">
        <f t="shared" ca="1" si="1047"/>
        <v>-26110542.223313421</v>
      </c>
    </row>
    <row r="1060" spans="1:19" ht="15.75" customHeight="1" x14ac:dyDescent="0.3">
      <c r="A1060" s="37">
        <v>83216</v>
      </c>
      <c r="B1060" s="398">
        <f t="shared" ref="B1060:C1060" si="1076">($A1060-B$9)/365.25</f>
        <v>145.95482546201231</v>
      </c>
      <c r="C1060" s="398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3254.2644699519233</v>
      </c>
      <c r="H1060" s="25">
        <f>IF(B1060&lt;62,0,'Combined Retirement'!$I$14)</f>
        <v>2345</v>
      </c>
      <c r="I1060" s="25">
        <f>IF(C1060&lt;62,0,'Combined Retirement'!$I$13)</f>
        <v>2420</v>
      </c>
      <c r="J1060" s="25">
        <f t="shared" si="1043"/>
        <v>7896.2379798201846</v>
      </c>
      <c r="K1060" s="25">
        <f t="shared" si="1044"/>
        <v>20367.195264578786</v>
      </c>
      <c r="L1060" s="25"/>
      <c r="N1060" s="25">
        <f>'Combined Retirement'!$C$18/12</f>
        <v>39153.069999999992</v>
      </c>
      <c r="O1060" s="25">
        <f t="shared" si="1045"/>
        <v>10889.636755601023</v>
      </c>
      <c r="P1060" s="25">
        <f t="shared" si="1046"/>
        <v>28263.43324439897</v>
      </c>
      <c r="Q1060" s="25">
        <f t="array" aca="1" ref="Q1060" ca="1">INDEX('Isaac 401k'!L:L,MATCH('Retirement Calculator'!A1060,'Isaac 401k'!N:N,0),0)</f>
        <v>-1340848.0419190635</v>
      </c>
      <c r="R1060" s="25">
        <f t="array" aca="1" ref="R1060" ca="1">INDEX('Lorri 401b'!L:L,MATCH('Retirement Calculator'!A1060,'Lorri 401b'!N:N,0),0)</f>
        <v>-24906869.304874413</v>
      </c>
      <c r="S1060" s="25">
        <f t="shared" ca="1" si="1047"/>
        <v>-26247717.346793476</v>
      </c>
    </row>
    <row r="1061" spans="1:19" ht="15.75" customHeight="1" x14ac:dyDescent="0.3">
      <c r="A1061" s="37">
        <v>83246</v>
      </c>
      <c r="B1061" s="398">
        <f t="shared" ref="B1061:C1061" si="1077">($A1061-B$9)/365.25</f>
        <v>146.03696098562628</v>
      </c>
      <c r="C1061" s="398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3254.2644699519233</v>
      </c>
      <c r="H1061" s="25">
        <f>IF(B1061&lt;62,0,'Combined Retirement'!$I$14)</f>
        <v>2345</v>
      </c>
      <c r="I1061" s="25">
        <f>IF(C1061&lt;62,0,'Combined Retirement'!$I$13)</f>
        <v>2420</v>
      </c>
      <c r="J1061" s="25">
        <f t="shared" si="1043"/>
        <v>7896.2379798201846</v>
      </c>
      <c r="K1061" s="25">
        <f t="shared" si="1044"/>
        <v>20367.195264578786</v>
      </c>
      <c r="L1061" s="25"/>
      <c r="N1061" s="25">
        <f>'Combined Retirement'!$C$18/12</f>
        <v>39153.069999999992</v>
      </c>
      <c r="O1061" s="25">
        <f t="shared" si="1045"/>
        <v>10889.636755601023</v>
      </c>
      <c r="P1061" s="25">
        <f t="shared" si="1046"/>
        <v>28263.43324439897</v>
      </c>
      <c r="Q1061" s="25">
        <f t="array" aca="1" ref="Q1061" ca="1">INDEX('Isaac 401k'!L:L,MATCH('Retirement Calculator'!A1061,'Isaac 401k'!N:N,0),0)</f>
        <v>-1354364.0477317958</v>
      </c>
      <c r="R1061" s="25">
        <f t="array" aca="1" ref="R1061" ca="1">INDEX('Lorri 401b'!L:L,MATCH('Retirement Calculator'!A1061,'Lorri 401b'!N:N,0),0)</f>
        <v>-25031099.985556237</v>
      </c>
      <c r="S1061" s="25">
        <f t="shared" ca="1" si="1047"/>
        <v>-26385464.033288032</v>
      </c>
    </row>
    <row r="1062" spans="1:19" ht="15.75" customHeight="1" x14ac:dyDescent="0.3">
      <c r="A1062" s="37">
        <v>83277</v>
      </c>
      <c r="B1062" s="398">
        <f t="shared" ref="B1062:C1062" si="1078">($A1062-B$9)/365.25</f>
        <v>146.12183436002738</v>
      </c>
      <c r="C1062" s="398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3254.2644699519233</v>
      </c>
      <c r="H1062" s="25">
        <f>IF(B1062&lt;62,0,'Combined Retirement'!$I$14)</f>
        <v>2345</v>
      </c>
      <c r="I1062" s="25">
        <f>IF(C1062&lt;62,0,'Combined Retirement'!$I$13)</f>
        <v>2420</v>
      </c>
      <c r="J1062" s="25">
        <f t="shared" si="1043"/>
        <v>7896.2379798201846</v>
      </c>
      <c r="K1062" s="25">
        <f t="shared" si="1044"/>
        <v>20367.195264578786</v>
      </c>
      <c r="L1062" s="25"/>
      <c r="N1062" s="25">
        <f>'Combined Retirement'!$C$18/12</f>
        <v>39153.069999999992</v>
      </c>
      <c r="O1062" s="25">
        <f t="shared" si="1045"/>
        <v>10889.636755601023</v>
      </c>
      <c r="P1062" s="25">
        <f t="shared" si="1046"/>
        <v>28263.43324439897</v>
      </c>
      <c r="Q1062" s="25">
        <f t="array" aca="1" ref="Q1062" ca="1">INDEX('Isaac 401k'!L:L,MATCH('Retirement Calculator'!A1062,'Isaac 401k'!N:N,0),0)</f>
        <v>-1367936.3702354145</v>
      </c>
      <c r="R1062" s="25">
        <f t="array" aca="1" ref="R1062" ca="1">INDEX('Lorri 401b'!L:L,MATCH('Retirement Calculator'!A1062,'Lorri 401b'!N:N,0),0)</f>
        <v>-25155848.294074234</v>
      </c>
      <c r="S1062" s="25">
        <f t="shared" ca="1" si="1047"/>
        <v>-26523784.664309647</v>
      </c>
    </row>
    <row r="1063" spans="1:19" ht="15.75" customHeight="1" x14ac:dyDescent="0.3">
      <c r="A1063" s="37">
        <v>83308</v>
      </c>
      <c r="B1063" s="398">
        <f t="shared" ref="B1063:C1063" si="1079">($A1063-B$9)/365.25</f>
        <v>146.20670773442848</v>
      </c>
      <c r="C1063" s="398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3254.2644699519233</v>
      </c>
      <c r="H1063" s="25">
        <f>IF(B1063&lt;62,0,'Combined Retirement'!$I$14)</f>
        <v>2345</v>
      </c>
      <c r="I1063" s="25">
        <f>IF(C1063&lt;62,0,'Combined Retirement'!$I$13)</f>
        <v>2420</v>
      </c>
      <c r="J1063" s="25">
        <f t="shared" si="1043"/>
        <v>7896.2379798201846</v>
      </c>
      <c r="K1063" s="25">
        <f t="shared" si="1044"/>
        <v>20367.195264578786</v>
      </c>
      <c r="L1063" s="25"/>
      <c r="N1063" s="25">
        <f>'Combined Retirement'!$C$18/12</f>
        <v>39153.069999999992</v>
      </c>
      <c r="O1063" s="25">
        <f t="shared" si="1045"/>
        <v>10889.636755601023</v>
      </c>
      <c r="P1063" s="25">
        <f t="shared" si="1046"/>
        <v>28263.43324439897</v>
      </c>
      <c r="Q1063" s="25">
        <f t="array" aca="1" ref="Q1063" ca="1">INDEX('Isaac 401k'!L:L,MATCH('Retirement Calculator'!A1063,'Isaac 401k'!N:N,0),0)</f>
        <v>-1381565.2440827983</v>
      </c>
      <c r="R1063" s="25">
        <f t="array" aca="1" ref="R1063" ca="1">INDEX('Lorri 401b'!L:L,MATCH('Retirement Calculator'!A1063,'Lorri 401b'!N:N,0),0)</f>
        <v>-25281116.387211058</v>
      </c>
      <c r="S1063" s="25">
        <f t="shared" ca="1" si="1047"/>
        <v>-26662681.631293856</v>
      </c>
    </row>
    <row r="1064" spans="1:19" ht="15.75" customHeight="1" x14ac:dyDescent="0.3">
      <c r="A1064" s="37">
        <v>83337</v>
      </c>
      <c r="B1064" s="398">
        <f t="shared" ref="B1064:C1064" si="1080">($A1064-B$9)/365.25</f>
        <v>146.28610540725529</v>
      </c>
      <c r="C1064" s="398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3254.2644699519233</v>
      </c>
      <c r="H1064" s="25">
        <f>IF(B1064&lt;62,0,'Combined Retirement'!$I$14)</f>
        <v>2345</v>
      </c>
      <c r="I1064" s="25">
        <f>IF(C1064&lt;62,0,'Combined Retirement'!$I$13)</f>
        <v>2420</v>
      </c>
      <c r="J1064" s="25">
        <f t="shared" si="1043"/>
        <v>7896.2379798201846</v>
      </c>
      <c r="K1064" s="25">
        <f t="shared" si="1044"/>
        <v>20367.195264578786</v>
      </c>
      <c r="L1064" s="25"/>
      <c r="N1064" s="25">
        <f>'Combined Retirement'!$C$18/12</f>
        <v>39153.069999999992</v>
      </c>
      <c r="O1064" s="25">
        <f t="shared" si="1045"/>
        <v>10889.636755601023</v>
      </c>
      <c r="P1064" s="25">
        <f t="shared" si="1046"/>
        <v>28263.43324439897</v>
      </c>
      <c r="Q1064" s="25">
        <f t="array" aca="1" ref="Q1064" ca="1">INDEX('Isaac 401k'!L:L,MATCH('Retirement Calculator'!A1064,'Isaac 401k'!N:N,0),0)</f>
        <v>-1395250.904904546</v>
      </c>
      <c r="R1064" s="25">
        <f t="array" aca="1" ref="R1064" ca="1">INDEX('Lorri 401b'!L:L,MATCH('Retirement Calculator'!A1064,'Lorri 401b'!N:N,0),0)</f>
        <v>-25406906.430735953</v>
      </c>
      <c r="S1064" s="25">
        <f t="shared" ca="1" si="1047"/>
        <v>-26802157.335640498</v>
      </c>
    </row>
    <row r="1065" spans="1:19" ht="15.75" customHeight="1" x14ac:dyDescent="0.3">
      <c r="A1065" s="37">
        <v>83368</v>
      </c>
      <c r="B1065" s="398">
        <f t="shared" ref="B1065:C1065" si="1081">($A1065-B$9)/365.25</f>
        <v>146.37097878165639</v>
      </c>
      <c r="C1065" s="398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3254.2644699519233</v>
      </c>
      <c r="H1065" s="25">
        <f>IF(B1065&lt;62,0,'Combined Retirement'!$I$14)</f>
        <v>2345</v>
      </c>
      <c r="I1065" s="25">
        <f>IF(C1065&lt;62,0,'Combined Retirement'!$I$13)</f>
        <v>2420</v>
      </c>
      <c r="J1065" s="25">
        <f t="shared" si="1043"/>
        <v>7896.2379798201846</v>
      </c>
      <c r="K1065" s="25">
        <f t="shared" si="1044"/>
        <v>20367.195264578786</v>
      </c>
      <c r="L1065" s="25"/>
      <c r="N1065" s="25">
        <f>'Combined Retirement'!$C$18/12</f>
        <v>39153.069999999992</v>
      </c>
      <c r="O1065" s="25">
        <f t="shared" si="1045"/>
        <v>10889.636755601023</v>
      </c>
      <c r="P1065" s="25">
        <f t="shared" si="1046"/>
        <v>28263.43324439897</v>
      </c>
      <c r="Q1065" s="25">
        <f t="array" aca="1" ref="Q1065" ca="1">INDEX('Isaac 401k'!L:L,MATCH('Retirement Calculator'!A1065,'Isaac 401k'!N:N,0),0)</f>
        <v>-1408993.589313051</v>
      </c>
      <c r="R1065" s="25">
        <f t="array" aca="1" ref="R1065" ca="1">INDEX('Lorri 401b'!L:L,MATCH('Retirement Calculator'!A1065,'Lorri 401b'!N:N,0),0)</f>
        <v>-25533220.599442199</v>
      </c>
      <c r="S1065" s="25">
        <f t="shared" ca="1" si="1047"/>
        <v>-26942214.188755251</v>
      </c>
    </row>
    <row r="1066" spans="1:19" ht="15.75" customHeight="1" x14ac:dyDescent="0.3">
      <c r="A1066" s="37">
        <v>83398</v>
      </c>
      <c r="B1066" s="398">
        <f t="shared" ref="B1066:C1066" si="1082">($A1066-B$9)/365.25</f>
        <v>146.45311430527036</v>
      </c>
      <c r="C1066" s="398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3254.2644699519233</v>
      </c>
      <c r="H1066" s="25">
        <f>IF(B1066&lt;62,0,'Combined Retirement'!$I$14)</f>
        <v>2345</v>
      </c>
      <c r="I1066" s="25">
        <f>IF(C1066&lt;62,0,'Combined Retirement'!$I$13)</f>
        <v>2420</v>
      </c>
      <c r="J1066" s="25">
        <f t="shared" si="1043"/>
        <v>7896.2379798201846</v>
      </c>
      <c r="K1066" s="25">
        <f t="shared" si="1044"/>
        <v>20367.195264578786</v>
      </c>
      <c r="L1066" s="25"/>
      <c r="N1066" s="25">
        <f>'Combined Retirement'!$C$18/12</f>
        <v>39153.069999999992</v>
      </c>
      <c r="O1066" s="25">
        <f t="shared" si="1045"/>
        <v>10889.636755601023</v>
      </c>
      <c r="P1066" s="25">
        <f t="shared" si="1046"/>
        <v>28263.43324439897</v>
      </c>
      <c r="Q1066" s="25">
        <f t="array" aca="1" ref="Q1066" ca="1">INDEX('Isaac 401k'!L:L,MATCH('Retirement Calculator'!A1066,'Isaac 401k'!N:N,0),0)</f>
        <v>-1422793.5349065915</v>
      </c>
      <c r="R1066" s="25">
        <f t="array" aca="1" ref="R1066" ca="1">INDEX('Lorri 401b'!L:L,MATCH('Retirement Calculator'!A1066,'Lorri 401b'!N:N,0),0)</f>
        <v>-25660061.077184722</v>
      </c>
      <c r="S1066" s="25">
        <f t="shared" ca="1" si="1047"/>
        <v>-27082854.612091314</v>
      </c>
    </row>
    <row r="1067" spans="1:19" ht="15.75" customHeight="1" x14ac:dyDescent="0.3">
      <c r="A1067" s="37">
        <v>83429</v>
      </c>
      <c r="B1067" s="398">
        <f t="shared" ref="B1067:C1067" si="1083">($A1067-B$9)/365.25</f>
        <v>146.53798767967146</v>
      </c>
      <c r="C1067" s="398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3254.2644699519233</v>
      </c>
      <c r="H1067" s="25">
        <f>IF(B1067&lt;62,0,'Combined Retirement'!$I$14)</f>
        <v>2345</v>
      </c>
      <c r="I1067" s="25">
        <f>IF(C1067&lt;62,0,'Combined Retirement'!$I$13)</f>
        <v>2420</v>
      </c>
      <c r="J1067" s="25">
        <f t="shared" si="1043"/>
        <v>7896.2379798201846</v>
      </c>
      <c r="K1067" s="25">
        <f t="shared" si="1044"/>
        <v>20367.195264578786</v>
      </c>
      <c r="L1067" s="25"/>
      <c r="N1067" s="25">
        <f>'Combined Retirement'!$C$18/12</f>
        <v>39153.069999999992</v>
      </c>
      <c r="O1067" s="25">
        <f t="shared" si="1045"/>
        <v>10889.636755601023</v>
      </c>
      <c r="P1067" s="25">
        <f t="shared" si="1046"/>
        <v>28263.43324439897</v>
      </c>
      <c r="Q1067" s="25">
        <f t="array" aca="1" ref="Q1067" ca="1">INDEX('Isaac 401k'!L:L,MATCH('Retirement Calculator'!A1067,'Isaac 401k'!N:N,0),0)</f>
        <v>-1436650.9802734384</v>
      </c>
      <c r="R1067" s="25">
        <f t="array" aca="1" ref="R1067" ca="1">INDEX('Lorri 401b'!L:L,MATCH('Retirement Calculator'!A1067,'Lorri 401b'!N:N,0),0)</f>
        <v>-25787430.056917839</v>
      </c>
      <c r="S1067" s="25">
        <f t="shared" ca="1" si="1047"/>
        <v>-27224081.037191276</v>
      </c>
    </row>
    <row r="1068" spans="1:19" ht="15.75" customHeight="1" x14ac:dyDescent="0.3">
      <c r="A1068" s="37">
        <v>83459</v>
      </c>
      <c r="B1068" s="398">
        <f t="shared" ref="B1068:C1068" si="1084">($A1068-B$9)/365.25</f>
        <v>146.62012320328543</v>
      </c>
      <c r="C1068" s="398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3254.2644699519233</v>
      </c>
      <c r="H1068" s="25">
        <f>IF(B1068&lt;62,0,'Combined Retirement'!$I$14)</f>
        <v>2345</v>
      </c>
      <c r="I1068" s="25">
        <f>IF(C1068&lt;62,0,'Combined Retirement'!$I$13)</f>
        <v>2420</v>
      </c>
      <c r="J1068" s="25">
        <f t="shared" si="1043"/>
        <v>7896.2379798201846</v>
      </c>
      <c r="K1068" s="25">
        <f t="shared" si="1044"/>
        <v>20367.195264578786</v>
      </c>
      <c r="L1068" s="25"/>
      <c r="N1068" s="25">
        <f>'Combined Retirement'!$C$18/12</f>
        <v>39153.069999999992</v>
      </c>
      <c r="O1068" s="25">
        <f t="shared" si="1045"/>
        <v>10889.636755601023</v>
      </c>
      <c r="P1068" s="25">
        <f t="shared" si="1046"/>
        <v>28263.43324439897</v>
      </c>
      <c r="Q1068" s="25">
        <f t="array" aca="1" ref="Q1068" ca="1">INDEX('Isaac 401k'!L:L,MATCH('Retirement Calculator'!A1068,'Isaac 401k'!N:N,0),0)</f>
        <v>-1450566.1649959804</v>
      </c>
      <c r="R1068" s="25">
        <f t="array" aca="1" ref="R1068" ca="1">INDEX('Lorri 401b'!L:L,MATCH('Retirement Calculator'!A1068,'Lorri 401b'!N:N,0),0)</f>
        <v>-25915329.740733176</v>
      </c>
      <c r="S1068" s="25">
        <f t="shared" ca="1" si="1047"/>
        <v>-27365895.905729156</v>
      </c>
    </row>
    <row r="1069" spans="1:19" ht="15.75" customHeight="1" x14ac:dyDescent="0.3">
      <c r="A1069" s="37">
        <v>83490</v>
      </c>
      <c r="B1069" s="398">
        <f t="shared" ref="B1069:C1069" si="1085">($A1069-B$9)/365.25</f>
        <v>146.70499657768653</v>
      </c>
      <c r="C1069" s="398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3254.2644699519233</v>
      </c>
      <c r="H1069" s="25">
        <f>IF(B1069&lt;62,0,'Combined Retirement'!$I$14)</f>
        <v>2345</v>
      </c>
      <c r="I1069" s="25">
        <f>IF(C1069&lt;62,0,'Combined Retirement'!$I$13)</f>
        <v>2420</v>
      </c>
      <c r="J1069" s="25">
        <f t="shared" si="1043"/>
        <v>7896.2379798201846</v>
      </c>
      <c r="K1069" s="25">
        <f t="shared" si="1044"/>
        <v>20367.195264578786</v>
      </c>
      <c r="L1069" s="25"/>
      <c r="N1069" s="25">
        <f>'Combined Retirement'!$C$18/12</f>
        <v>39153.069999999992</v>
      </c>
      <c r="O1069" s="25">
        <f t="shared" si="1045"/>
        <v>10889.636755601023</v>
      </c>
      <c r="P1069" s="25">
        <f t="shared" si="1046"/>
        <v>28263.43324439897</v>
      </c>
      <c r="Q1069" s="25">
        <f t="array" aca="1" ref="Q1069" ca="1">INDEX('Isaac 401k'!L:L,MATCH('Retirement Calculator'!A1069,'Isaac 401k'!N:N,0),0)</f>
        <v>-1464539.3296548666</v>
      </c>
      <c r="R1069" s="25">
        <f t="array" aca="1" ref="R1069" ca="1">INDEX('Lorri 401b'!L:L,MATCH('Retirement Calculator'!A1069,'Lorri 401b'!N:N,0),0)</f>
        <v>-26043762.339897744</v>
      </c>
      <c r="S1069" s="25">
        <f t="shared" ca="1" si="1047"/>
        <v>-27508301.669552609</v>
      </c>
    </row>
    <row r="1070" spans="1:19" ht="15.75" customHeight="1" x14ac:dyDescent="0.3">
      <c r="A1070" s="37">
        <v>83521</v>
      </c>
      <c r="B1070" s="398">
        <f t="shared" ref="B1070:C1070" si="1086">($A1070-B$9)/365.25</f>
        <v>146.7898699520876</v>
      </c>
      <c r="C1070" s="398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3254.2644699519233</v>
      </c>
      <c r="H1070" s="25">
        <f>IF(B1070&lt;62,0,'Combined Retirement'!$I$14)</f>
        <v>2345</v>
      </c>
      <c r="I1070" s="25">
        <f>IF(C1070&lt;62,0,'Combined Retirement'!$I$13)</f>
        <v>2420</v>
      </c>
      <c r="J1070" s="25">
        <f t="shared" si="1043"/>
        <v>7896.2379798201846</v>
      </c>
      <c r="K1070" s="25">
        <f t="shared" si="1044"/>
        <v>20367.195264578786</v>
      </c>
      <c r="L1070" s="25"/>
      <c r="N1070" s="25">
        <f>'Combined Retirement'!$C$18/12</f>
        <v>39153.069999999992</v>
      </c>
      <c r="O1070" s="25">
        <f t="shared" si="1045"/>
        <v>10889.636755601023</v>
      </c>
      <c r="P1070" s="25">
        <f t="shared" si="1046"/>
        <v>28263.43324439897</v>
      </c>
      <c r="Q1070" s="25">
        <f t="array" aca="1" ref="Q1070" ca="1">INDEX('Isaac 401k'!L:L,MATCH('Retirement Calculator'!A1070,'Isaac 401k'!N:N,0),0)</f>
        <v>-1478570.7158331648</v>
      </c>
      <c r="R1070" s="25">
        <f t="array" aca="1" ref="R1070" ca="1">INDEX('Lorri 401b'!L:L,MATCH('Retirement Calculator'!A1070,'Lorri 401b'!N:N,0),0)</f>
        <v>-26172730.074892167</v>
      </c>
      <c r="S1070" s="25">
        <f t="shared" ca="1" si="1047"/>
        <v>-27651300.790725332</v>
      </c>
    </row>
    <row r="1071" spans="1:19" ht="15.75" customHeight="1" x14ac:dyDescent="0.3">
      <c r="A1071" s="37">
        <v>83551</v>
      </c>
      <c r="B1071" s="398">
        <f t="shared" ref="B1071:C1071" si="1087">($A1071-B$9)/365.25</f>
        <v>146.87200547570157</v>
      </c>
      <c r="C1071" s="398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3254.2644699519233</v>
      </c>
      <c r="H1071" s="25">
        <f>IF(B1071&lt;62,0,'Combined Retirement'!$I$14)</f>
        <v>2345</v>
      </c>
      <c r="I1071" s="25">
        <f>IF(C1071&lt;62,0,'Combined Retirement'!$I$13)</f>
        <v>2420</v>
      </c>
      <c r="J1071" s="25">
        <f t="shared" si="1043"/>
        <v>7896.2379798201846</v>
      </c>
      <c r="K1071" s="25">
        <f t="shared" si="1044"/>
        <v>20367.195264578786</v>
      </c>
      <c r="L1071" s="25"/>
      <c r="N1071" s="25">
        <f>'Combined Retirement'!$C$18/12</f>
        <v>39153.069999999992</v>
      </c>
      <c r="O1071" s="25">
        <f t="shared" si="1045"/>
        <v>10889.636755601023</v>
      </c>
      <c r="P1071" s="25">
        <f t="shared" si="1046"/>
        <v>28263.43324439897</v>
      </c>
      <c r="Q1071" s="25">
        <f t="array" aca="1" ref="Q1071" ca="1">INDEX('Isaac 401k'!L:L,MATCH('Retirement Calculator'!A1071,'Isaac 401k'!N:N,0),0)</f>
        <v>-1492660.5661205391</v>
      </c>
      <c r="R1071" s="25">
        <f t="array" aca="1" ref="R1071" ca="1">INDEX('Lorri 401b'!L:L,MATCH('Retirement Calculator'!A1071,'Lorri 401b'!N:N,0),0)</f>
        <v>-26302235.175449066</v>
      </c>
      <c r="S1071" s="25">
        <f t="shared" ca="1" si="1047"/>
        <v>-27794895.741569605</v>
      </c>
    </row>
    <row r="1072" spans="1:19" ht="15.75" customHeight="1" x14ac:dyDescent="0.3">
      <c r="A1072" s="37">
        <v>83582</v>
      </c>
      <c r="B1072" s="398">
        <f t="shared" ref="B1072:C1072" si="1088">($A1072-B$9)/365.25</f>
        <v>146.95687885010267</v>
      </c>
      <c r="C1072" s="398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3254.2644699519233</v>
      </c>
      <c r="H1072" s="25">
        <f>IF(B1072&lt;62,0,'Combined Retirement'!$I$14)</f>
        <v>2345</v>
      </c>
      <c r="I1072" s="25">
        <f>IF(C1072&lt;62,0,'Combined Retirement'!$I$13)</f>
        <v>2420</v>
      </c>
      <c r="J1072" s="25">
        <f t="shared" si="1043"/>
        <v>7896.2379798201846</v>
      </c>
      <c r="K1072" s="25">
        <f t="shared" si="1044"/>
        <v>20367.195264578786</v>
      </c>
      <c r="L1072" s="25"/>
      <c r="N1072" s="25">
        <f>'Combined Retirement'!$C$18/12</f>
        <v>39153.069999999992</v>
      </c>
      <c r="O1072" s="25">
        <f t="shared" si="1045"/>
        <v>10889.636755601023</v>
      </c>
      <c r="P1072" s="25">
        <f t="shared" si="1046"/>
        <v>28263.43324439897</v>
      </c>
      <c r="Q1072" s="25">
        <f t="array" aca="1" ref="Q1072" ca="1">INDEX('Isaac 401k'!L:L,MATCH('Retirement Calculator'!A1072,'Isaac 401k'!N:N,0),0)</f>
        <v>-1506809.1241174443</v>
      </c>
      <c r="R1072" s="25">
        <f t="array" aca="1" ref="R1072" ca="1">INDEX('Lorri 401b'!L:L,MATCH('Retirement Calculator'!A1072,'Lorri 401b'!N:N,0),0)</f>
        <v>-26432279.880591616</v>
      </c>
      <c r="S1072" s="25">
        <f t="shared" ca="1" si="1047"/>
        <v>-27939089.004709061</v>
      </c>
    </row>
    <row r="1073" spans="1:19" ht="15.75" customHeight="1" x14ac:dyDescent="0.3">
      <c r="A1073" s="37">
        <v>83612</v>
      </c>
      <c r="B1073" s="398">
        <f t="shared" ref="B1073:C1073" si="1089">($A1073-B$9)/365.25</f>
        <v>147.03901437371664</v>
      </c>
      <c r="C1073" s="398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3254.2644699519233</v>
      </c>
      <c r="H1073" s="25">
        <f>IF(B1073&lt;62,0,'Combined Retirement'!$I$14)</f>
        <v>2345</v>
      </c>
      <c r="I1073" s="25">
        <f>IF(C1073&lt;62,0,'Combined Retirement'!$I$13)</f>
        <v>2420</v>
      </c>
      <c r="J1073" s="25">
        <f t="shared" si="1043"/>
        <v>7896.2379798201846</v>
      </c>
      <c r="K1073" s="25">
        <f t="shared" si="1044"/>
        <v>20367.195264578786</v>
      </c>
      <c r="L1073" s="25"/>
      <c r="N1073" s="25">
        <f>'Combined Retirement'!$C$18/12</f>
        <v>39153.069999999992</v>
      </c>
      <c r="O1073" s="25">
        <f t="shared" si="1045"/>
        <v>10889.636755601023</v>
      </c>
      <c r="P1073" s="25">
        <f t="shared" si="1046"/>
        <v>28263.43324439897</v>
      </c>
      <c r="Q1073" s="25">
        <f t="array" aca="1" ref="Q1073" ca="1">INDEX('Isaac 401k'!L:L,MATCH('Retirement Calculator'!A1073,'Isaac 401k'!N:N,0),0)</f>
        <v>-1521016.6344393364</v>
      </c>
      <c r="R1073" s="25">
        <f t="array" aca="1" ref="R1073" ca="1">INDEX('Lorri 401b'!L:L,MATCH('Retirement Calculator'!A1073,'Lorri 401b'!N:N,0),0)</f>
        <v>-26562866.438672263</v>
      </c>
      <c r="S1073" s="25">
        <f t="shared" ca="1" si="1047"/>
        <v>-28083883.073111601</v>
      </c>
    </row>
    <row r="1074" spans="1:19" ht="15.75" customHeight="1" x14ac:dyDescent="0.3">
      <c r="A1074" s="37">
        <v>83643</v>
      </c>
      <c r="B1074" s="398">
        <f t="shared" ref="B1074:C1074" si="1090">($A1074-B$9)/365.25</f>
        <v>147.12388774811774</v>
      </c>
      <c r="C1074" s="398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3254.2644699519233</v>
      </c>
      <c r="H1074" s="25">
        <f>IF(B1074&lt;62,0,'Combined Retirement'!$I$14)</f>
        <v>2345</v>
      </c>
      <c r="I1074" s="25">
        <f>IF(C1074&lt;62,0,'Combined Retirement'!$I$13)</f>
        <v>2420</v>
      </c>
      <c r="J1074" s="25">
        <f t="shared" si="1043"/>
        <v>7896.2379798201846</v>
      </c>
      <c r="K1074" s="25">
        <f t="shared" si="1044"/>
        <v>20367.195264578786</v>
      </c>
      <c r="L1074" s="25"/>
      <c r="N1074" s="25">
        <f>'Combined Retirement'!$C$18/12</f>
        <v>39153.069999999992</v>
      </c>
      <c r="O1074" s="25">
        <f t="shared" si="1045"/>
        <v>10889.636755601023</v>
      </c>
      <c r="P1074" s="25">
        <f t="shared" si="1046"/>
        <v>28263.43324439897</v>
      </c>
      <c r="Q1074" s="25">
        <f t="array" aca="1" ref="Q1074" ca="1">INDEX('Isaac 401k'!L:L,MATCH('Retirement Calculator'!A1074,'Isaac 401k'!N:N,0),0)</f>
        <v>-1535283.342720903</v>
      </c>
      <c r="R1074" s="25">
        <f t="array" aca="1" ref="R1074" ca="1">INDEX('Lorri 401b'!L:L,MATCH('Retirement Calculator'!A1074,'Lorri 401b'!N:N,0),0)</f>
        <v>-26693997.107411578</v>
      </c>
      <c r="S1074" s="25">
        <f t="shared" ca="1" si="1047"/>
        <v>-28229280.450132482</v>
      </c>
    </row>
    <row r="1075" spans="1:19" ht="15.75" customHeight="1" x14ac:dyDescent="0.3">
      <c r="A1075" s="37">
        <v>83674</v>
      </c>
      <c r="B1075" s="398">
        <f t="shared" ref="B1075:C1075" si="1091">($A1075-B$9)/365.25</f>
        <v>147.20876112251884</v>
      </c>
      <c r="C1075" s="398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3254.2644699519233</v>
      </c>
      <c r="H1075" s="25">
        <f>IF(B1075&lt;62,0,'Combined Retirement'!$I$14)</f>
        <v>2345</v>
      </c>
      <c r="I1075" s="25">
        <f>IF(C1075&lt;62,0,'Combined Retirement'!$I$13)</f>
        <v>2420</v>
      </c>
      <c r="J1075" s="25">
        <f t="shared" si="1043"/>
        <v>7896.2379798201846</v>
      </c>
      <c r="K1075" s="25">
        <f t="shared" si="1044"/>
        <v>20367.195264578786</v>
      </c>
      <c r="L1075" s="25"/>
      <c r="N1075" s="25">
        <f>'Combined Retirement'!$C$18/12</f>
        <v>39153.069999999992</v>
      </c>
      <c r="O1075" s="25">
        <f t="shared" si="1045"/>
        <v>10889.636755601023</v>
      </c>
      <c r="P1075" s="25">
        <f t="shared" si="1046"/>
        <v>28263.43324439897</v>
      </c>
      <c r="Q1075" s="25">
        <f t="array" aca="1" ref="Q1075" ca="1">INDEX('Isaac 401k'!L:L,MATCH('Retirement Calculator'!A1075,'Isaac 401k'!N:N,0),0)</f>
        <v>-1549609.4956203096</v>
      </c>
      <c r="R1075" s="25">
        <f t="array" aca="1" ref="R1075" ca="1">INDEX('Lorri 401b'!L:L,MATCH('Retirement Calculator'!A1075,'Lorri 401b'!N:N,0),0)</f>
        <v>-26825674.153937306</v>
      </c>
      <c r="S1075" s="25">
        <f t="shared" ca="1" si="1047"/>
        <v>-28375283.649557617</v>
      </c>
    </row>
    <row r="1076" spans="1:19" ht="15.75" customHeight="1" x14ac:dyDescent="0.3">
      <c r="A1076" s="37">
        <v>83702</v>
      </c>
      <c r="B1076" s="398">
        <f t="shared" ref="B1076:C1076" si="1092">($A1076-B$9)/365.25</f>
        <v>147.28542094455852</v>
      </c>
      <c r="C1076" s="398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3254.2644699519233</v>
      </c>
      <c r="H1076" s="25">
        <f>IF(B1076&lt;62,0,'Combined Retirement'!$I$14)</f>
        <v>2345</v>
      </c>
      <c r="I1076" s="25">
        <f>IF(C1076&lt;62,0,'Combined Retirement'!$I$13)</f>
        <v>2420</v>
      </c>
      <c r="J1076" s="25">
        <f t="shared" si="1043"/>
        <v>7896.2379798201846</v>
      </c>
      <c r="K1076" s="25">
        <f t="shared" si="1044"/>
        <v>20367.195264578786</v>
      </c>
      <c r="L1076" s="25"/>
      <c r="N1076" s="25">
        <f>'Combined Retirement'!$C$18/12</f>
        <v>39153.069999999992</v>
      </c>
      <c r="O1076" s="25">
        <f t="shared" si="1045"/>
        <v>10889.636755601023</v>
      </c>
      <c r="P1076" s="25">
        <f t="shared" si="1046"/>
        <v>28263.43324439897</v>
      </c>
      <c r="Q1076" s="25">
        <f t="array" aca="1" ref="Q1076" ca="1">INDEX('Isaac 401k'!L:L,MATCH('Retirement Calculator'!A1076,'Isaac 401k'!N:N,0),0)</f>
        <v>-1563995.3408234636</v>
      </c>
      <c r="R1076" s="25">
        <f t="array" aca="1" ref="R1076" ca="1">INDEX('Lorri 401b'!L:L,MATCH('Retirement Calculator'!A1076,'Lorri 401b'!N:N,0),0)</f>
        <v>-26957899.85482356</v>
      </c>
      <c r="S1076" s="25">
        <f t="shared" ca="1" si="1047"/>
        <v>-28521895.195647024</v>
      </c>
    </row>
    <row r="1077" spans="1:19" ht="15.75" customHeight="1" x14ac:dyDescent="0.3">
      <c r="A1077" s="37">
        <v>83733</v>
      </c>
      <c r="B1077" s="398">
        <f t="shared" ref="B1077:C1077" si="1093">($A1077-B$9)/365.25</f>
        <v>147.37029431895962</v>
      </c>
      <c r="C1077" s="398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3254.2644699519233</v>
      </c>
      <c r="H1077" s="25">
        <f>IF(B1077&lt;62,0,'Combined Retirement'!$I$14)</f>
        <v>2345</v>
      </c>
      <c r="I1077" s="25">
        <f>IF(C1077&lt;62,0,'Combined Retirement'!$I$13)</f>
        <v>2420</v>
      </c>
      <c r="J1077" s="25">
        <f t="shared" si="1043"/>
        <v>7896.2379798201846</v>
      </c>
      <c r="K1077" s="25">
        <f t="shared" si="1044"/>
        <v>20367.195264578786</v>
      </c>
      <c r="L1077" s="25"/>
      <c r="N1077" s="25">
        <f>'Combined Retirement'!$C$18/12</f>
        <v>39153.069999999992</v>
      </c>
      <c r="O1077" s="25">
        <f t="shared" si="1045"/>
        <v>10889.636755601023</v>
      </c>
      <c r="P1077" s="25">
        <f t="shared" si="1046"/>
        <v>28263.43324439897</v>
      </c>
      <c r="Q1077" s="25">
        <f t="array" aca="1" ref="Q1077" ca="1">INDEX('Isaac 401k'!L:L,MATCH('Retirement Calculator'!A1077,'Isaac 401k'!N:N,0),0)</f>
        <v>-1578441.1270482976</v>
      </c>
      <c r="R1077" s="25">
        <f t="array" aca="1" ref="R1077" ca="1">INDEX('Lorri 401b'!L:L,MATCH('Retirement Calculator'!A1077,'Lorri 401b'!N:N,0),0)</f>
        <v>-27090676.496130172</v>
      </c>
      <c r="S1077" s="25">
        <f t="shared" ca="1" si="1047"/>
        <v>-28669117.623178471</v>
      </c>
    </row>
    <row r="1078" spans="1:19" ht="15.75" customHeight="1" x14ac:dyDescent="0.3">
      <c r="A1078" s="37">
        <v>83763</v>
      </c>
      <c r="B1078" s="398">
        <f t="shared" ref="B1078:C1078" si="1094">($A1078-B$9)/365.25</f>
        <v>147.45242984257359</v>
      </c>
      <c r="C1078" s="398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3254.2644699519233</v>
      </c>
      <c r="H1078" s="25">
        <f>IF(B1078&lt;62,0,'Combined Retirement'!$I$14)</f>
        <v>2345</v>
      </c>
      <c r="I1078" s="25">
        <f>IF(C1078&lt;62,0,'Combined Retirement'!$I$13)</f>
        <v>2420</v>
      </c>
      <c r="J1078" s="25">
        <f t="shared" si="1043"/>
        <v>7896.2379798201846</v>
      </c>
      <c r="K1078" s="25">
        <f t="shared" si="1044"/>
        <v>20367.195264578786</v>
      </c>
      <c r="L1078" s="25"/>
      <c r="N1078" s="25">
        <f>'Combined Retirement'!$C$18/12</f>
        <v>39153.069999999992</v>
      </c>
      <c r="O1078" s="25">
        <f t="shared" si="1045"/>
        <v>10889.636755601023</v>
      </c>
      <c r="P1078" s="25">
        <f t="shared" si="1046"/>
        <v>28263.43324439897</v>
      </c>
      <c r="Q1078" s="25">
        <f t="array" aca="1" ref="Q1078" ca="1">INDEX('Isaac 401k'!L:L,MATCH('Retirement Calculator'!A1078,'Isaac 401k'!N:N,0),0)</f>
        <v>-1592947.1040490682</v>
      </c>
      <c r="R1078" s="25">
        <f t="array" aca="1" ref="R1078" ca="1">INDEX('Lorri 401b'!L:L,MATCH('Retirement Calculator'!A1078,'Lorri 401b'!N:N,0),0)</f>
        <v>-27224006.373442229</v>
      </c>
      <c r="S1078" s="25">
        <f t="shared" ca="1" si="1047"/>
        <v>-28816953.477491297</v>
      </c>
    </row>
    <row r="1079" spans="1:19" ht="15.75" customHeight="1" x14ac:dyDescent="0.3">
      <c r="A1079" s="37">
        <v>83794</v>
      </c>
      <c r="B1079" s="398">
        <f t="shared" ref="B1079:C1079" si="1095">($A1079-B$9)/365.25</f>
        <v>147.53730321697466</v>
      </c>
      <c r="C1079" s="398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3254.2644699519233</v>
      </c>
      <c r="H1079" s="25">
        <f>IF(B1079&lt;62,0,'Combined Retirement'!$I$14)</f>
        <v>2345</v>
      </c>
      <c r="I1079" s="25">
        <f>IF(C1079&lt;62,0,'Combined Retirement'!$I$13)</f>
        <v>2420</v>
      </c>
      <c r="J1079" s="25">
        <f t="shared" si="1043"/>
        <v>7896.2379798201846</v>
      </c>
      <c r="K1079" s="25">
        <f t="shared" si="1044"/>
        <v>20367.195264578786</v>
      </c>
      <c r="L1079" s="25"/>
      <c r="N1079" s="25">
        <f>'Combined Retirement'!$C$18/12</f>
        <v>39153.069999999992</v>
      </c>
      <c r="O1079" s="25">
        <f t="shared" si="1045"/>
        <v>10889.636755601023</v>
      </c>
      <c r="P1079" s="25">
        <f t="shared" si="1046"/>
        <v>28263.43324439897</v>
      </c>
      <c r="Q1079" s="25">
        <f t="array" aca="1" ref="Q1079" ca="1">INDEX('Isaac 401k'!L:L,MATCH('Retirement Calculator'!A1079,'Isaac 401k'!N:N,0),0)</f>
        <v>-1607513.5226206754</v>
      </c>
      <c r="R1079" s="25">
        <f t="array" aca="1" ref="R1079" ca="1">INDEX('Lorri 401b'!L:L,MATCH('Retirement Calculator'!A1079,'Lorri 401b'!N:N,0),0)</f>
        <v>-27357891.791909751</v>
      </c>
      <c r="S1079" s="25">
        <f t="shared" ca="1" si="1047"/>
        <v>-28965405.314530425</v>
      </c>
    </row>
    <row r="1080" spans="1:19" ht="15.75" customHeight="1" x14ac:dyDescent="0.3">
      <c r="A1080" s="37">
        <v>83824</v>
      </c>
      <c r="B1080" s="398">
        <f t="shared" ref="B1080:C1080" si="1096">($A1080-B$9)/365.25</f>
        <v>147.61943874058863</v>
      </c>
      <c r="C1080" s="398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3254.2644699519233</v>
      </c>
      <c r="H1080" s="25">
        <f>IF(B1080&lt;62,0,'Combined Retirement'!$I$14)</f>
        <v>2345</v>
      </c>
      <c r="I1080" s="25">
        <f>IF(C1080&lt;62,0,'Combined Retirement'!$I$13)</f>
        <v>2420</v>
      </c>
      <c r="J1080" s="25">
        <f t="shared" si="1043"/>
        <v>7896.2379798201846</v>
      </c>
      <c r="K1080" s="25">
        <f t="shared" si="1044"/>
        <v>20367.195264578786</v>
      </c>
      <c r="L1080" s="25"/>
      <c r="N1080" s="25">
        <f>'Combined Retirement'!$C$18/12</f>
        <v>39153.069999999992</v>
      </c>
      <c r="O1080" s="25">
        <f t="shared" si="1045"/>
        <v>10889.636755601023</v>
      </c>
      <c r="P1080" s="25">
        <f t="shared" si="1046"/>
        <v>28263.43324439897</v>
      </c>
      <c r="Q1080" s="25">
        <f t="array" aca="1" ref="Q1080" ca="1">INDEX('Isaac 401k'!L:L,MATCH('Retirement Calculator'!A1080,'Isaac 401k'!N:N,0),0)</f>
        <v>-1622140.6346029977</v>
      </c>
      <c r="R1080" s="25">
        <f t="array" aca="1" ref="R1080" ca="1">INDEX('Lorri 401b'!L:L,MATCH('Retirement Calculator'!A1080,'Lorri 401b'!N:N,0),0)</f>
        <v>-27492335.066287555</v>
      </c>
      <c r="S1080" s="25">
        <f t="shared" ca="1" si="1047"/>
        <v>-29114475.700890552</v>
      </c>
    </row>
    <row r="1081" spans="1:19" ht="15.75" customHeight="1" x14ac:dyDescent="0.3">
      <c r="A1081" s="37">
        <v>83855</v>
      </c>
      <c r="B1081" s="398">
        <f t="shared" ref="B1081:C1081" si="1097">($A1081-B$9)/365.25</f>
        <v>147.70431211498973</v>
      </c>
      <c r="C1081" s="398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3254.2644699519233</v>
      </c>
      <c r="H1081" s="25">
        <f>IF(B1081&lt;62,0,'Combined Retirement'!$I$14)</f>
        <v>2345</v>
      </c>
      <c r="I1081" s="25">
        <f>IF(C1081&lt;62,0,'Combined Retirement'!$I$13)</f>
        <v>2420</v>
      </c>
      <c r="J1081" s="25">
        <f t="shared" si="1043"/>
        <v>7896.2379798201846</v>
      </c>
      <c r="K1081" s="25">
        <f t="shared" si="1044"/>
        <v>20367.195264578786</v>
      </c>
      <c r="L1081" s="25"/>
      <c r="N1081" s="25">
        <f>'Combined Retirement'!$C$18/12</f>
        <v>39153.069999999992</v>
      </c>
      <c r="O1081" s="25">
        <f t="shared" si="1045"/>
        <v>10889.636755601023</v>
      </c>
      <c r="P1081" s="25">
        <f t="shared" si="1046"/>
        <v>28263.43324439897</v>
      </c>
      <c r="Q1081" s="25">
        <f t="array" aca="1" ref="Q1081" ca="1">INDEX('Isaac 401k'!L:L,MATCH('Retirement Calculator'!A1081,'Isaac 401k'!N:N,0),0)</f>
        <v>-1636828.6928852464</v>
      </c>
      <c r="R1081" s="25">
        <f t="array" aca="1" ref="R1081" ca="1">INDEX('Lorri 401b'!L:L,MATCH('Retirement Calculator'!A1081,'Lorri 401b'!N:N,0),0)</f>
        <v>-27627338.520975266</v>
      </c>
      <c r="S1081" s="25">
        <f t="shared" ca="1" si="1047"/>
        <v>-29264167.213860512</v>
      </c>
    </row>
    <row r="1082" spans="1:19" ht="15.75" customHeight="1" x14ac:dyDescent="0.3">
      <c r="A1082" s="37">
        <v>83886</v>
      </c>
      <c r="B1082" s="398">
        <f t="shared" ref="B1082:C1082" si="1098">($A1082-B$9)/365.25</f>
        <v>147.78918548939083</v>
      </c>
      <c r="C1082" s="398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3254.2644699519233</v>
      </c>
      <c r="H1082" s="25">
        <f>IF(B1082&lt;62,0,'Combined Retirement'!$I$14)</f>
        <v>2345</v>
      </c>
      <c r="I1082" s="25">
        <f>IF(C1082&lt;62,0,'Combined Retirement'!$I$13)</f>
        <v>2420</v>
      </c>
      <c r="J1082" s="25">
        <f t="shared" si="1043"/>
        <v>7896.2379798201846</v>
      </c>
      <c r="K1082" s="25">
        <f t="shared" si="1044"/>
        <v>20367.195264578786</v>
      </c>
      <c r="L1082" s="25"/>
      <c r="N1082" s="25">
        <f>'Combined Retirement'!$C$18/12</f>
        <v>39153.069999999992</v>
      </c>
      <c r="O1082" s="25">
        <f t="shared" si="1045"/>
        <v>10889.636755601023</v>
      </c>
      <c r="P1082" s="25">
        <f t="shared" si="1046"/>
        <v>28263.43324439897</v>
      </c>
      <c r="Q1082" s="25">
        <f t="array" aca="1" ref="Q1082" ca="1">INDEX('Isaac 401k'!L:L,MATCH('Retirement Calculator'!A1082,'Isaac 401k'!N:N,0),0)</f>
        <v>-1651577.9514103378</v>
      </c>
      <c r="R1082" s="25">
        <f t="array" aca="1" ref="R1082" ca="1">INDEX('Lorri 401b'!L:L,MATCH('Retirement Calculator'!A1082,'Lorri 401b'!N:N,0),0)</f>
        <v>-27762904.490057509</v>
      </c>
      <c r="S1082" s="25">
        <f t="shared" ca="1" si="1047"/>
        <v>-29414482.441467848</v>
      </c>
    </row>
    <row r="1083" spans="1:19" ht="15.75" customHeight="1" x14ac:dyDescent="0.3">
      <c r="A1083" s="37">
        <v>83916</v>
      </c>
      <c r="B1083" s="398">
        <f t="shared" ref="B1083:C1083" si="1099">($A1083-B$9)/365.25</f>
        <v>147.8713210130048</v>
      </c>
      <c r="C1083" s="398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3254.2644699519233</v>
      </c>
      <c r="H1083" s="25">
        <f>IF(B1083&lt;62,0,'Combined Retirement'!$I$14)</f>
        <v>2345</v>
      </c>
      <c r="I1083" s="25">
        <f>IF(C1083&lt;62,0,'Combined Retirement'!$I$13)</f>
        <v>2420</v>
      </c>
      <c r="J1083" s="25">
        <f t="shared" si="1043"/>
        <v>7896.2379798201846</v>
      </c>
      <c r="K1083" s="25">
        <f t="shared" si="1044"/>
        <v>20367.195264578786</v>
      </c>
      <c r="L1083" s="25"/>
      <c r="N1083" s="25">
        <f>'Combined Retirement'!$C$18/12</f>
        <v>39153.069999999992</v>
      </c>
      <c r="O1083" s="25">
        <f t="shared" si="1045"/>
        <v>10889.636755601023</v>
      </c>
      <c r="P1083" s="25">
        <f t="shared" si="1046"/>
        <v>28263.43324439897</v>
      </c>
      <c r="Q1083" s="25">
        <f t="array" aca="1" ref="Q1083" ca="1">INDEX('Isaac 401k'!L:L,MATCH('Retirement Calculator'!A1083,'Isaac 401k'!N:N,0),0)</f>
        <v>-1666388.6651792836</v>
      </c>
      <c r="R1083" s="25">
        <f t="array" aca="1" ref="R1083" ca="1">INDEX('Lorri 401b'!L:L,MATCH('Retirement Calculator'!A1083,'Lorri 401b'!N:N,0),0)</f>
        <v>-27899035.317344263</v>
      </c>
      <c r="S1083" s="25">
        <f t="shared" ca="1" si="1047"/>
        <v>-29565423.982523546</v>
      </c>
    </row>
    <row r="1084" spans="1:19" ht="15.75" customHeight="1" x14ac:dyDescent="0.3">
      <c r="A1084" s="37">
        <v>83947</v>
      </c>
      <c r="B1084" s="398">
        <f t="shared" ref="B1084:C1084" si="1100">($A1084-B$9)/365.25</f>
        <v>147.95619438740587</v>
      </c>
      <c r="C1084" s="398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3254.2644699519233</v>
      </c>
      <c r="H1084" s="25">
        <f>IF(B1084&lt;62,0,'Combined Retirement'!$I$14)</f>
        <v>2345</v>
      </c>
      <c r="I1084" s="25">
        <f>IF(C1084&lt;62,0,'Combined Retirement'!$I$13)</f>
        <v>2420</v>
      </c>
      <c r="J1084" s="25">
        <f t="shared" si="1043"/>
        <v>7896.2379798201846</v>
      </c>
      <c r="K1084" s="25">
        <f t="shared" si="1044"/>
        <v>20367.195264578786</v>
      </c>
      <c r="L1084" s="25"/>
      <c r="N1084" s="25">
        <f>'Combined Retirement'!$C$18/12</f>
        <v>39153.069999999992</v>
      </c>
      <c r="O1084" s="25">
        <f t="shared" si="1045"/>
        <v>10889.636755601023</v>
      </c>
      <c r="P1084" s="25">
        <f t="shared" si="1046"/>
        <v>28263.43324439897</v>
      </c>
      <c r="Q1084" s="25">
        <f t="array" aca="1" ref="Q1084" ca="1">INDEX('Isaac 401k'!L:L,MATCH('Retirement Calculator'!A1084,'Isaac 401k'!N:N,0),0)</f>
        <v>-1681261.0902556002</v>
      </c>
      <c r="R1084" s="25">
        <f t="array" aca="1" ref="R1084" ca="1">INDEX('Lorri 401b'!L:L,MATCH('Retirement Calculator'!A1084,'Lorri 401b'!N:N,0),0)</f>
        <v>-28035733.356411379</v>
      </c>
      <c r="S1084" s="25">
        <f t="shared" ca="1" si="1047"/>
        <v>-29716994.446666978</v>
      </c>
    </row>
    <row r="1085" spans="1:19" ht="15.75" customHeight="1" x14ac:dyDescent="0.3">
      <c r="A1085" s="37">
        <v>83977</v>
      </c>
      <c r="B1085" s="398">
        <f t="shared" ref="B1085:C1085" si="1101">($A1085-B$9)/365.25</f>
        <v>148.03832991101984</v>
      </c>
      <c r="C1085" s="398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3254.2644699519233</v>
      </c>
      <c r="H1085" s="25">
        <f>IF(B1085&lt;62,0,'Combined Retirement'!$I$14)</f>
        <v>2345</v>
      </c>
      <c r="I1085" s="25">
        <f>IF(C1085&lt;62,0,'Combined Retirement'!$I$13)</f>
        <v>2420</v>
      </c>
      <c r="J1085" s="25">
        <f t="shared" si="1043"/>
        <v>7896.2379798201846</v>
      </c>
      <c r="K1085" s="25">
        <f t="shared" si="1044"/>
        <v>20367.195264578786</v>
      </c>
      <c r="L1085" s="25"/>
      <c r="N1085" s="25">
        <f>'Combined Retirement'!$C$18/12</f>
        <v>39153.069999999992</v>
      </c>
      <c r="O1085" s="25">
        <f t="shared" si="1045"/>
        <v>10889.636755601023</v>
      </c>
      <c r="P1085" s="25">
        <f t="shared" si="1046"/>
        <v>28263.43324439897</v>
      </c>
      <c r="Q1085" s="25">
        <f t="array" aca="1" ref="Q1085" ca="1">INDEX('Isaac 401k'!L:L,MATCH('Retirement Calculator'!A1085,'Isaac 401k'!N:N,0),0)</f>
        <v>-1696195.4837697346</v>
      </c>
      <c r="R1085" s="25">
        <f t="array" aca="1" ref="R1085" ca="1">INDEX('Lorri 401b'!L:L,MATCH('Retirement Calculator'!A1085,'Lorri 401b'!N:N,0),0)</f>
        <v>-28173000.970641274</v>
      </c>
      <c r="S1085" s="25">
        <f t="shared" ca="1" si="1047"/>
        <v>-29869196.454411007</v>
      </c>
    </row>
    <row r="1086" spans="1:19" ht="15.75" customHeight="1" x14ac:dyDescent="0.3">
      <c r="A1086" s="37">
        <v>84008</v>
      </c>
      <c r="B1086" s="398">
        <f t="shared" ref="B1086:C1086" si="1102">($A1086-B$9)/365.25</f>
        <v>148.12320328542094</v>
      </c>
      <c r="C1086" s="398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3254.2644699519233</v>
      </c>
      <c r="H1086" s="25">
        <f>IF(B1086&lt;62,0,'Combined Retirement'!$I$14)</f>
        <v>2345</v>
      </c>
      <c r="I1086" s="25">
        <f>IF(C1086&lt;62,0,'Combined Retirement'!$I$13)</f>
        <v>2420</v>
      </c>
      <c r="J1086" s="25">
        <f t="shared" si="1043"/>
        <v>7896.2379798201846</v>
      </c>
      <c r="K1086" s="25">
        <f t="shared" si="1044"/>
        <v>20367.195264578786</v>
      </c>
      <c r="L1086" s="25"/>
      <c r="N1086" s="25">
        <f>'Combined Retirement'!$C$18/12</f>
        <v>39153.069999999992</v>
      </c>
      <c r="O1086" s="25">
        <f t="shared" si="1045"/>
        <v>10889.636755601023</v>
      </c>
      <c r="P1086" s="25">
        <f t="shared" si="1046"/>
        <v>28263.43324439897</v>
      </c>
      <c r="Q1086" s="25">
        <f t="array" aca="1" ref="Q1086" ca="1">INDEX('Isaac 401k'!L:L,MATCH('Retirement Calculator'!A1086,'Isaac 401k'!N:N,0),0)</f>
        <v>-1711192.1039235112</v>
      </c>
      <c r="R1086" s="25">
        <f t="array" aca="1" ref="R1086" ca="1">INDEX('Lorri 401b'!L:L,MATCH('Retirement Calculator'!A1086,'Lorri 401b'!N:N,0),0)</f>
        <v>-28310840.533263791</v>
      </c>
      <c r="S1086" s="25">
        <f t="shared" ca="1" si="1047"/>
        <v>-30022032.637187302</v>
      </c>
    </row>
    <row r="1087" spans="1:19" ht="15.75" customHeight="1" x14ac:dyDescent="0.3">
      <c r="A1087" s="37">
        <v>84039</v>
      </c>
      <c r="B1087" s="398">
        <f t="shared" ref="B1087:C1087" si="1103">($A1087-B$9)/365.25</f>
        <v>148.20807665982204</v>
      </c>
      <c r="C1087" s="398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3254.2644699519233</v>
      </c>
      <c r="H1087" s="25">
        <f>IF(B1087&lt;62,0,'Combined Retirement'!$I$14)</f>
        <v>2345</v>
      </c>
      <c r="I1087" s="25">
        <f>IF(C1087&lt;62,0,'Combined Retirement'!$I$13)</f>
        <v>2420</v>
      </c>
      <c r="J1087" s="25">
        <f t="shared" si="1043"/>
        <v>7896.2379798201846</v>
      </c>
      <c r="K1087" s="25">
        <f t="shared" si="1044"/>
        <v>20367.195264578786</v>
      </c>
      <c r="L1087" s="25"/>
      <c r="N1087" s="25">
        <f>'Combined Retirement'!$C$18/12</f>
        <v>39153.069999999992</v>
      </c>
      <c r="O1087" s="25">
        <f t="shared" si="1045"/>
        <v>10889.636755601023</v>
      </c>
      <c r="P1087" s="25">
        <f t="shared" si="1046"/>
        <v>28263.43324439897</v>
      </c>
      <c r="Q1087" s="25">
        <f t="array" aca="1" ref="Q1087" ca="1">INDEX('Isaac 401k'!L:L,MATCH('Retirement Calculator'!A1087,'Isaac 401k'!N:N,0),0)</f>
        <v>-1726251.2099945953</v>
      </c>
      <c r="R1087" s="25">
        <f t="array" aca="1" ref="R1087" ca="1">INDEX('Lorri 401b'!L:L,MATCH('Retirement Calculator'!A1087,'Lorri 401b'!N:N,0),0)</f>
        <v>-28449254.427397236</v>
      </c>
      <c r="S1087" s="25">
        <f t="shared" ca="1" si="1047"/>
        <v>-30175505.637391832</v>
      </c>
    </row>
    <row r="1088" spans="1:19" ht="15.75" customHeight="1" x14ac:dyDescent="0.3">
      <c r="A1088" s="37">
        <v>84067</v>
      </c>
      <c r="B1088" s="398">
        <f t="shared" ref="B1088:C1088" si="1104">($A1088-B$9)/365.25</f>
        <v>148.28473648186173</v>
      </c>
      <c r="C1088" s="398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3254.2644699519233</v>
      </c>
      <c r="H1088" s="25">
        <f>IF(B1088&lt;62,0,'Combined Retirement'!$I$14)</f>
        <v>2345</v>
      </c>
      <c r="I1088" s="25">
        <f>IF(C1088&lt;62,0,'Combined Retirement'!$I$13)</f>
        <v>2420</v>
      </c>
      <c r="J1088" s="25">
        <f t="shared" si="1043"/>
        <v>7896.2379798201846</v>
      </c>
      <c r="K1088" s="25">
        <f t="shared" si="1044"/>
        <v>20367.195264578786</v>
      </c>
      <c r="L1088" s="25"/>
      <c r="N1088" s="25">
        <f>'Combined Retirement'!$C$18/12</f>
        <v>39153.069999999992</v>
      </c>
      <c r="O1088" s="25">
        <f t="shared" si="1045"/>
        <v>10889.636755601023</v>
      </c>
      <c r="P1088" s="25">
        <f t="shared" si="1046"/>
        <v>28263.43324439897</v>
      </c>
      <c r="Q1088" s="25">
        <f t="array" aca="1" ref="Q1088" ca="1">INDEX('Isaac 401k'!L:L,MATCH('Retirement Calculator'!A1088,'Isaac 401k'!N:N,0),0)</f>
        <v>-1741373.0623409755</v>
      </c>
      <c r="R1088" s="25">
        <f t="array" aca="1" ref="R1088" ca="1">INDEX('Lorri 401b'!L:L,MATCH('Retirement Calculator'!A1088,'Lorri 401b'!N:N,0),0)</f>
        <v>-28588245.046089571</v>
      </c>
      <c r="S1088" s="25">
        <f t="shared" ca="1" si="1047"/>
        <v>-30329618.108430546</v>
      </c>
    </row>
    <row r="1089" spans="1:19" ht="15.75" customHeight="1" x14ac:dyDescent="0.3">
      <c r="A1089" s="37">
        <v>84098</v>
      </c>
      <c r="B1089" s="398">
        <f t="shared" ref="B1089:C1089" si="1105">($A1089-B$9)/365.25</f>
        <v>148.36960985626283</v>
      </c>
      <c r="C1089" s="398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3254.2644699519233</v>
      </c>
      <c r="H1089" s="25">
        <f>IF(B1089&lt;62,0,'Combined Retirement'!$I$14)</f>
        <v>2345</v>
      </c>
      <c r="I1089" s="25">
        <f>IF(C1089&lt;62,0,'Combined Retirement'!$I$13)</f>
        <v>2420</v>
      </c>
      <c r="J1089" s="25">
        <f t="shared" si="1043"/>
        <v>7896.2379798201846</v>
      </c>
      <c r="K1089" s="25">
        <f t="shared" si="1044"/>
        <v>20367.195264578786</v>
      </c>
      <c r="L1089" s="25"/>
      <c r="N1089" s="25">
        <f>'Combined Retirement'!$C$18/12</f>
        <v>39153.069999999992</v>
      </c>
      <c r="O1089" s="25">
        <f t="shared" si="1045"/>
        <v>10889.636755601023</v>
      </c>
      <c r="P1089" s="25">
        <f t="shared" si="1046"/>
        <v>28263.43324439897</v>
      </c>
      <c r="Q1089" s="25">
        <f t="array" aca="1" ref="Q1089" ca="1">INDEX('Isaac 401k'!L:L,MATCH('Retirement Calculator'!A1089,'Isaac 401k'!N:N,0),0)</f>
        <v>-1756557.9224054657</v>
      </c>
      <c r="R1089" s="25">
        <f t="array" aca="1" ref="R1089" ca="1">INDEX('Lorri 401b'!L:L,MATCH('Retirement Calculator'!A1089,'Lorri 401b'!N:N,0),0)</f>
        <v>-28727814.792359792</v>
      </c>
      <c r="S1089" s="25">
        <f t="shared" ca="1" si="1047"/>
        <v>-30484372.714765258</v>
      </c>
    </row>
    <row r="1090" spans="1:19" ht="15.75" customHeight="1" x14ac:dyDescent="0.3">
      <c r="A1090" s="37">
        <v>84128</v>
      </c>
      <c r="B1090" s="398">
        <f t="shared" ref="B1090:C1090" si="1106">($A1090-B$9)/365.25</f>
        <v>148.4517453798768</v>
      </c>
      <c r="C1090" s="398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3254.2644699519233</v>
      </c>
      <c r="H1090" s="25">
        <f>IF(B1090&lt;62,0,'Combined Retirement'!$I$14)</f>
        <v>2345</v>
      </c>
      <c r="I1090" s="25">
        <f>IF(C1090&lt;62,0,'Combined Retirement'!$I$13)</f>
        <v>2420</v>
      </c>
      <c r="J1090" s="25">
        <f t="shared" si="1043"/>
        <v>7896.2379798201846</v>
      </c>
      <c r="K1090" s="25">
        <f t="shared" si="1044"/>
        <v>20367.195264578786</v>
      </c>
      <c r="L1090" s="25"/>
      <c r="N1090" s="25">
        <f>'Combined Retirement'!$C$18/12</f>
        <v>39153.069999999992</v>
      </c>
      <c r="O1090" s="25">
        <f t="shared" si="1045"/>
        <v>10889.636755601023</v>
      </c>
      <c r="P1090" s="25">
        <f t="shared" si="1046"/>
        <v>28263.43324439897</v>
      </c>
      <c r="Q1090" s="25">
        <f t="array" aca="1" ref="Q1090" ca="1">INDEX('Isaac 401k'!L:L,MATCH('Retirement Calculator'!A1090,'Isaac 401k'!N:N,0),0)</f>
        <v>-1771806.0527202247</v>
      </c>
      <c r="R1090" s="25">
        <f t="array" aca="1" ref="R1090" ca="1">INDEX('Lorri 401b'!L:L,MATCH('Retirement Calculator'!A1090,'Lorri 401b'!N:N,0),0)</f>
        <v>-28867966.079239473</v>
      </c>
      <c r="S1090" s="25">
        <f t="shared" ca="1" si="1047"/>
        <v>-30639772.131959699</v>
      </c>
    </row>
    <row r="1091" spans="1:19" ht="15.75" customHeight="1" x14ac:dyDescent="0.3">
      <c r="A1091" s="37">
        <v>84159</v>
      </c>
      <c r="B1091" s="398">
        <f t="shared" ref="B1091:C1091" si="1107">($A1091-B$9)/365.25</f>
        <v>148.5366187542779</v>
      </c>
      <c r="C1091" s="398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3254.2644699519233</v>
      </c>
      <c r="H1091" s="25">
        <f>IF(B1091&lt;62,0,'Combined Retirement'!$I$14)</f>
        <v>2345</v>
      </c>
      <c r="I1091" s="25">
        <f>IF(C1091&lt;62,0,'Combined Retirement'!$I$13)</f>
        <v>2420</v>
      </c>
      <c r="J1091" s="25">
        <f t="shared" si="1043"/>
        <v>7896.2379798201846</v>
      </c>
      <c r="K1091" s="25">
        <f t="shared" si="1044"/>
        <v>20367.195264578786</v>
      </c>
      <c r="L1091" s="25"/>
      <c r="N1091" s="25">
        <f>'Combined Retirement'!$C$18/12</f>
        <v>39153.069999999992</v>
      </c>
      <c r="O1091" s="25">
        <f t="shared" si="1045"/>
        <v>10889.636755601023</v>
      </c>
      <c r="P1091" s="25">
        <f t="shared" si="1046"/>
        <v>28263.43324439897</v>
      </c>
      <c r="Q1091" s="25">
        <f t="array" aca="1" ref="Q1091" ca="1">INDEX('Isaac 401k'!L:L,MATCH('Retirement Calculator'!A1091,'Isaac 401k'!N:N,0),0)</f>
        <v>-1787117.7169112952</v>
      </c>
      <c r="R1091" s="25">
        <f t="array" aca="1" ref="R1091" ca="1">INDEX('Lorri 401b'!L:L,MATCH('Retirement Calculator'!A1091,'Lorri 401b'!N:N,0),0)</f>
        <v>-29008701.329814482</v>
      </c>
      <c r="S1091" s="25">
        <f t="shared" ca="1" si="1047"/>
        <v>-30795819.046725776</v>
      </c>
    </row>
    <row r="1092" spans="1:19" ht="15.75" customHeight="1" x14ac:dyDescent="0.3">
      <c r="A1092" s="37">
        <v>84189</v>
      </c>
      <c r="B1092" s="398">
        <f t="shared" ref="B1092:C1092" si="1108">($A1092-B$9)/365.25</f>
        <v>148.61875427789187</v>
      </c>
      <c r="C1092" s="398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3254.2644699519233</v>
      </c>
      <c r="H1092" s="25">
        <f>IF(B1092&lt;62,0,'Combined Retirement'!$I$14)</f>
        <v>2345</v>
      </c>
      <c r="I1092" s="25">
        <f>IF(C1092&lt;62,0,'Combined Retirement'!$I$13)</f>
        <v>2420</v>
      </c>
      <c r="J1092" s="25">
        <f t="shared" si="1043"/>
        <v>7896.2379798201846</v>
      </c>
      <c r="K1092" s="25">
        <f t="shared" si="1044"/>
        <v>20367.195264578786</v>
      </c>
      <c r="L1092" s="25"/>
      <c r="N1092" s="25">
        <f>'Combined Retirement'!$C$18/12</f>
        <v>39153.069999999992</v>
      </c>
      <c r="O1092" s="25">
        <f t="shared" si="1045"/>
        <v>10889.636755601023</v>
      </c>
      <c r="P1092" s="25">
        <f t="shared" si="1046"/>
        <v>28263.43324439897</v>
      </c>
      <c r="Q1092" s="25">
        <f t="array" aca="1" ref="Q1092" ca="1">INDEX('Isaac 401k'!L:L,MATCH('Retirement Calculator'!A1092,'Isaac 401k'!N:N,0),0)</f>
        <v>-1802493.1797031618</v>
      </c>
      <c r="R1092" s="25">
        <f t="array" aca="1" ref="R1092" ca="1">INDEX('Lorri 401b'!L:L,MATCH('Retirement Calculator'!A1092,'Lorri 401b'!N:N,0),0)</f>
        <v>-29150022.977266889</v>
      </c>
      <c r="S1092" s="25">
        <f t="shared" ca="1" si="1047"/>
        <v>-30952516.15697005</v>
      </c>
    </row>
    <row r="1093" spans="1:19" ht="15.75" customHeight="1" x14ac:dyDescent="0.3">
      <c r="A1093" s="37">
        <v>84220</v>
      </c>
      <c r="B1093" s="398">
        <f t="shared" ref="B1093:C1093" si="1109">($A1093-B$9)/365.25</f>
        <v>148.70362765229294</v>
      </c>
      <c r="C1093" s="398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3254.2644699519233</v>
      </c>
      <c r="H1093" s="25">
        <f>IF(B1093&lt;62,0,'Combined Retirement'!$I$14)</f>
        <v>2345</v>
      </c>
      <c r="I1093" s="25">
        <f>IF(C1093&lt;62,0,'Combined Retirement'!$I$13)</f>
        <v>2420</v>
      </c>
      <c r="J1093" s="25">
        <f t="shared" si="1043"/>
        <v>7896.2379798201846</v>
      </c>
      <c r="K1093" s="25">
        <f t="shared" si="1044"/>
        <v>20367.195264578786</v>
      </c>
      <c r="L1093" s="25"/>
      <c r="N1093" s="25">
        <f>'Combined Retirement'!$C$18/12</f>
        <v>39153.069999999992</v>
      </c>
      <c r="O1093" s="25">
        <f t="shared" si="1045"/>
        <v>10889.636755601023</v>
      </c>
      <c r="P1093" s="25">
        <f t="shared" si="1046"/>
        <v>28263.43324439897</v>
      </c>
      <c r="Q1093" s="25">
        <f t="array" aca="1" ref="Q1093" ca="1">INDEX('Isaac 401k'!L:L,MATCH('Retirement Calculator'!A1093,'Isaac 401k'!N:N,0),0)</f>
        <v>-1817932.7069233279</v>
      </c>
      <c r="R1093" s="25">
        <f t="array" aca="1" ref="R1093" ca="1">INDEX('Lorri 401b'!L:L,MATCH('Retirement Calculator'!A1093,'Lorri 401b'!N:N,0),0)</f>
        <v>-29291933.464917015</v>
      </c>
      <c r="S1093" s="25">
        <f t="shared" ca="1" si="1047"/>
        <v>-31109866.171840344</v>
      </c>
    </row>
    <row r="1094" spans="1:19" ht="15.75" customHeight="1" x14ac:dyDescent="0.3">
      <c r="A1094" s="37">
        <v>84251</v>
      </c>
      <c r="B1094" s="398">
        <f t="shared" ref="B1094:C1094" si="1110">($A1094-B$9)/365.25</f>
        <v>148.78850102669404</v>
      </c>
      <c r="C1094" s="398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3254.2644699519233</v>
      </c>
      <c r="H1094" s="25">
        <f>IF(B1094&lt;62,0,'Combined Retirement'!$I$14)</f>
        <v>2345</v>
      </c>
      <c r="I1094" s="25">
        <f>IF(C1094&lt;62,0,'Combined Retirement'!$I$13)</f>
        <v>2420</v>
      </c>
      <c r="J1094" s="25">
        <f t="shared" si="1043"/>
        <v>7896.2379798201846</v>
      </c>
      <c r="K1094" s="25">
        <f t="shared" si="1044"/>
        <v>20367.195264578786</v>
      </c>
      <c r="L1094" s="25"/>
      <c r="N1094" s="25">
        <f>'Combined Retirement'!$C$18/12</f>
        <v>39153.069999999992</v>
      </c>
      <c r="O1094" s="25">
        <f t="shared" si="1045"/>
        <v>10889.636755601023</v>
      </c>
      <c r="P1094" s="25">
        <f t="shared" si="1046"/>
        <v>28263.43324439897</v>
      </c>
      <c r="Q1094" s="25">
        <f t="array" aca="1" ref="Q1094" ca="1">INDEX('Isaac 401k'!L:L,MATCH('Retirement Calculator'!A1094,'Isaac 401k'!N:N,0),0)</f>
        <v>-1833436.5655069111</v>
      </c>
      <c r="R1094" s="25">
        <f t="array" aca="1" ref="R1094" ca="1">INDEX('Lorri 401b'!L:L,MATCH('Retirement Calculator'!A1094,'Lorri 401b'!N:N,0),0)</f>
        <v>-29434435.246265683</v>
      </c>
      <c r="S1094" s="25">
        <f t="shared" ca="1" si="1047"/>
        <v>-31267871.811772596</v>
      </c>
    </row>
    <row r="1095" spans="1:19" ht="15.75" customHeight="1" x14ac:dyDescent="0.3">
      <c r="A1095" s="37">
        <v>84281</v>
      </c>
      <c r="B1095" s="398">
        <f t="shared" ref="B1095:C1095" si="1111">($A1095-B$9)/365.25</f>
        <v>148.87063655030801</v>
      </c>
      <c r="C1095" s="398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3254.2644699519233</v>
      </c>
      <c r="H1095" s="25">
        <f>IF(B1095&lt;62,0,'Combined Retirement'!$I$14)</f>
        <v>2345</v>
      </c>
      <c r="I1095" s="25">
        <f>IF(C1095&lt;62,0,'Combined Retirement'!$I$13)</f>
        <v>2420</v>
      </c>
      <c r="J1095" s="25">
        <f t="shared" si="1043"/>
        <v>7896.2379798201846</v>
      </c>
      <c r="K1095" s="25">
        <f t="shared" si="1044"/>
        <v>20367.195264578786</v>
      </c>
      <c r="L1095" s="25"/>
      <c r="N1095" s="25">
        <f>'Combined Retirement'!$C$18/12</f>
        <v>39153.069999999992</v>
      </c>
      <c r="O1095" s="25">
        <f t="shared" si="1045"/>
        <v>10889.636755601023</v>
      </c>
      <c r="P1095" s="25">
        <f t="shared" si="1046"/>
        <v>28263.43324439897</v>
      </c>
      <c r="Q1095" s="25">
        <f t="array" aca="1" ref="Q1095" ca="1">INDEX('Isaac 401k'!L:L,MATCH('Retirement Calculator'!A1095,'Isaac 401k'!N:N,0),0)</f>
        <v>-1849005.0235012595</v>
      </c>
      <c r="R1095" s="25">
        <f t="array" aca="1" ref="R1095" ca="1">INDEX('Lorri 401b'!L:L,MATCH('Retirement Calculator'!A1095,'Lorri 401b'!N:N,0),0)</f>
        <v>-29577530.785036638</v>
      </c>
      <c r="S1095" s="25">
        <f t="shared" ca="1" si="1047"/>
        <v>-31426535.808537897</v>
      </c>
    </row>
    <row r="1096" spans="1:19" ht="15.75" customHeight="1" x14ac:dyDescent="0.3">
      <c r="A1096" s="37">
        <v>84312</v>
      </c>
      <c r="B1096" s="398">
        <f t="shared" ref="B1096:C1096" si="1112">($A1096-B$9)/365.25</f>
        <v>148.95550992470911</v>
      </c>
      <c r="C1096" s="398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3254.2644699519233</v>
      </c>
      <c r="H1096" s="25">
        <f>IF(B1096&lt;62,0,'Combined Retirement'!$I$14)</f>
        <v>2345</v>
      </c>
      <c r="I1096" s="25">
        <f>IF(C1096&lt;62,0,'Combined Retirement'!$I$13)</f>
        <v>2420</v>
      </c>
      <c r="J1096" s="25">
        <f t="shared" si="1043"/>
        <v>7896.2379798201846</v>
      </c>
      <c r="K1096" s="25">
        <f t="shared" si="1044"/>
        <v>20367.195264578786</v>
      </c>
      <c r="L1096" s="25"/>
      <c r="N1096" s="25">
        <f>'Combined Retirement'!$C$18/12</f>
        <v>39153.069999999992</v>
      </c>
      <c r="O1096" s="25">
        <f t="shared" si="1045"/>
        <v>10889.636755601023</v>
      </c>
      <c r="P1096" s="25">
        <f t="shared" si="1046"/>
        <v>28263.43324439897</v>
      </c>
      <c r="Q1096" s="25">
        <f t="array" aca="1" ref="Q1096" ca="1">INDEX('Isaac 401k'!L:L,MATCH('Retirement Calculator'!A1096,'Isaac 401k'!N:N,0),0)</f>
        <v>-1864638.3500705843</v>
      </c>
      <c r="R1096" s="25">
        <f t="array" aca="1" ref="R1096" ca="1">INDEX('Lorri 401b'!L:L,MATCH('Retirement Calculator'!A1096,'Lorri 401b'!N:N,0),0)</f>
        <v>-29721222.555219136</v>
      </c>
      <c r="S1096" s="25">
        <f t="shared" ca="1" si="1047"/>
        <v>-31585860.905289721</v>
      </c>
    </row>
    <row r="1097" spans="1:19" ht="15.75" customHeight="1" x14ac:dyDescent="0.3">
      <c r="A1097" s="37">
        <v>84342</v>
      </c>
      <c r="B1097" s="398">
        <f t="shared" ref="B1097:C1097" si="1113">($A1097-B$9)/365.25</f>
        <v>149.03764544832308</v>
      </c>
      <c r="C1097" s="398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3254.2644699519233</v>
      </c>
      <c r="H1097" s="25">
        <f>IF(B1097&lt;62,0,'Combined Retirement'!$I$14)</f>
        <v>2345</v>
      </c>
      <c r="I1097" s="25">
        <f>IF(C1097&lt;62,0,'Combined Retirement'!$I$13)</f>
        <v>2420</v>
      </c>
      <c r="J1097" s="25">
        <f t="shared" si="1043"/>
        <v>7896.2379798201846</v>
      </c>
      <c r="K1097" s="25">
        <f t="shared" si="1044"/>
        <v>20367.195264578786</v>
      </c>
      <c r="L1097" s="25"/>
      <c r="N1097" s="25">
        <f>'Combined Retirement'!$C$18/12</f>
        <v>39153.069999999992</v>
      </c>
      <c r="O1097" s="25">
        <f t="shared" si="1045"/>
        <v>10889.636755601023</v>
      </c>
      <c r="P1097" s="25">
        <f t="shared" si="1046"/>
        <v>28263.43324439897</v>
      </c>
      <c r="Q1097" s="25">
        <f t="array" aca="1" ref="Q1097" ca="1">INDEX('Isaac 401k'!L:L,MATCH('Retirement Calculator'!A1097,'Isaac 401k'!N:N,0),0)</f>
        <v>-1880336.8155006147</v>
      </c>
      <c r="R1097" s="25">
        <f t="array" aca="1" ref="R1097" ca="1">INDEX('Lorri 401b'!L:L,MATCH('Retirement Calculator'!A1097,'Lorri 401b'!N:N,0),0)</f>
        <v>-29865513.041110728</v>
      </c>
      <c r="S1097" s="25">
        <f t="shared" ca="1" si="1047"/>
        <v>-31745849.856611341</v>
      </c>
    </row>
    <row r="1098" spans="1:19" ht="15.75" customHeight="1" x14ac:dyDescent="0.3">
      <c r="A1098" s="37">
        <v>84373</v>
      </c>
      <c r="B1098" s="398">
        <f t="shared" ref="B1098:C1098" si="1114">($A1098-B$9)/365.25</f>
        <v>149.12251882272417</v>
      </c>
      <c r="C1098" s="398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3254.2644699519233</v>
      </c>
      <c r="H1098" s="25">
        <f>IF(B1098&lt;62,0,'Combined Retirement'!$I$14)</f>
        <v>2345</v>
      </c>
      <c r="I1098" s="25">
        <f>IF(C1098&lt;62,0,'Combined Retirement'!$I$13)</f>
        <v>2420</v>
      </c>
      <c r="J1098" s="25">
        <f t="shared" si="1043"/>
        <v>7896.2379798201846</v>
      </c>
      <c r="K1098" s="25">
        <f t="shared" si="1044"/>
        <v>20367.195264578786</v>
      </c>
      <c r="L1098" s="25"/>
      <c r="N1098" s="25">
        <f>'Combined Retirement'!$C$18/12</f>
        <v>39153.069999999992</v>
      </c>
      <c r="O1098" s="25">
        <f t="shared" si="1045"/>
        <v>10889.636755601023</v>
      </c>
      <c r="P1098" s="25">
        <f t="shared" si="1046"/>
        <v>28263.43324439897</v>
      </c>
      <c r="Q1098" s="25">
        <f t="array" aca="1" ref="Q1098" ca="1">INDEX('Isaac 401k'!L:L,MATCH('Retirement Calculator'!A1098,'Isaac 401k'!N:N,0),0)</f>
        <v>-1896100.6912032701</v>
      </c>
      <c r="R1098" s="25">
        <f t="array" aca="1" ref="R1098" ca="1">INDEX('Lorri 401b'!L:L,MATCH('Retirement Calculator'!A1098,'Lorri 401b'!N:N,0),0)</f>
        <v>-30010404.737360202</v>
      </c>
      <c r="S1098" s="25">
        <f t="shared" ca="1" si="1047"/>
        <v>-31906505.428563472</v>
      </c>
    </row>
    <row r="1099" spans="1:19" ht="15.75" customHeight="1" x14ac:dyDescent="0.3">
      <c r="A1099" s="37">
        <v>84404</v>
      </c>
      <c r="B1099" s="398">
        <f t="shared" ref="B1099:C1099" si="1115">($A1099-B$9)/365.25</f>
        <v>149.20739219712524</v>
      </c>
      <c r="C1099" s="398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3254.2644699519233</v>
      </c>
      <c r="H1099" s="25">
        <f>IF(B1099&lt;62,0,'Combined Retirement'!$I$14)</f>
        <v>2345</v>
      </c>
      <c r="I1099" s="25">
        <f>IF(C1099&lt;62,0,'Combined Retirement'!$I$13)</f>
        <v>2420</v>
      </c>
      <c r="J1099" s="25">
        <f t="shared" si="1043"/>
        <v>7896.2379798201846</v>
      </c>
      <c r="K1099" s="25">
        <f t="shared" si="1044"/>
        <v>20367.195264578786</v>
      </c>
      <c r="L1099" s="25"/>
      <c r="N1099" s="25">
        <f>'Combined Retirement'!$C$18/12</f>
        <v>39153.069999999992</v>
      </c>
      <c r="O1099" s="25">
        <f t="shared" si="1045"/>
        <v>10889.636755601023</v>
      </c>
      <c r="P1099" s="25">
        <f t="shared" si="1046"/>
        <v>28263.43324439897</v>
      </c>
      <c r="Q1099" s="25">
        <f t="array" aca="1" ref="Q1099" ca="1">INDEX('Isaac 401k'!L:L,MATCH('Retirement Calculator'!A1099,'Isaac 401k'!N:N,0),0)</f>
        <v>-1911930.2497213532</v>
      </c>
      <c r="R1099" s="25">
        <f t="array" aca="1" ref="R1099" ca="1">INDEX('Lorri 401b'!L:L,MATCH('Retirement Calculator'!A1099,'Lorri 401b'!N:N,0),0)</f>
        <v>-30155900.149010718</v>
      </c>
      <c r="S1099" s="25">
        <f t="shared" ca="1" si="1047"/>
        <v>-32067830.39873207</v>
      </c>
    </row>
    <row r="1100" spans="1:19" ht="15.75" customHeight="1" x14ac:dyDescent="0.3">
      <c r="A1100" s="37">
        <v>84432</v>
      </c>
      <c r="B1100" s="398">
        <f t="shared" ref="B1100:C1100" si="1116">($A1100-B$9)/365.25</f>
        <v>149.28405201916496</v>
      </c>
      <c r="C1100" s="398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3254.2644699519233</v>
      </c>
      <c r="H1100" s="25">
        <f>IF(B1100&lt;62,0,'Combined Retirement'!$I$14)</f>
        <v>2345</v>
      </c>
      <c r="I1100" s="25">
        <f>IF(C1100&lt;62,0,'Combined Retirement'!$I$13)</f>
        <v>2420</v>
      </c>
      <c r="J1100" s="25">
        <f t="shared" si="1043"/>
        <v>7896.2379798201846</v>
      </c>
      <c r="K1100" s="25">
        <f t="shared" si="1044"/>
        <v>20367.195264578786</v>
      </c>
      <c r="L1100" s="25"/>
      <c r="N1100" s="25">
        <f>'Combined Retirement'!$C$18/12</f>
        <v>39153.069999999992</v>
      </c>
      <c r="O1100" s="25">
        <f t="shared" si="1045"/>
        <v>10889.636755601023</v>
      </c>
      <c r="P1100" s="25">
        <f t="shared" si="1046"/>
        <v>28263.43324439897</v>
      </c>
      <c r="Q1100" s="25">
        <f t="array" aca="1" ref="Q1100" ca="1">INDEX('Isaac 401k'!L:L,MATCH('Retirement Calculator'!A1100,'Isaac 401k'!N:N,0),0)</f>
        <v>-1927825.7647332617</v>
      </c>
      <c r="R1100" s="25">
        <f t="array" aca="1" ref="R1100" ca="1">INDEX('Lorri 401b'!L:L,MATCH('Retirement Calculator'!A1100,'Lorri 401b'!N:N,0),0)</f>
        <v>-30302001.791543111</v>
      </c>
      <c r="S1100" s="25">
        <f t="shared" ca="1" si="1047"/>
        <v>-32229827.556276374</v>
      </c>
    </row>
    <row r="1101" spans="1:19" ht="15.75" customHeight="1" x14ac:dyDescent="0.3">
      <c r="A1101" s="37">
        <v>84463</v>
      </c>
      <c r="B1101" s="398">
        <f t="shared" ref="B1101:C1101" si="1117">($A1101-B$9)/365.25</f>
        <v>149.36892539356606</v>
      </c>
      <c r="C1101" s="398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3254.2644699519233</v>
      </c>
      <c r="H1101" s="25">
        <f>IF(B1101&lt;62,0,'Combined Retirement'!$I$14)</f>
        <v>2345</v>
      </c>
      <c r="I1101" s="25">
        <f>IF(C1101&lt;62,0,'Combined Retirement'!$I$13)</f>
        <v>2420</v>
      </c>
      <c r="J1101" s="25">
        <f t="shared" si="1043"/>
        <v>7896.2379798201846</v>
      </c>
      <c r="K1101" s="25">
        <f t="shared" si="1044"/>
        <v>20367.195264578786</v>
      </c>
      <c r="L1101" s="25"/>
      <c r="N1101" s="25">
        <f>'Combined Retirement'!$C$18/12</f>
        <v>39153.069999999992</v>
      </c>
      <c r="O1101" s="25">
        <f t="shared" si="1045"/>
        <v>10889.636755601023</v>
      </c>
      <c r="P1101" s="25">
        <f t="shared" si="1046"/>
        <v>28263.43324439897</v>
      </c>
      <c r="Q1101" s="25">
        <f t="array" aca="1" ref="Q1101" ca="1">INDEX('Isaac 401k'!L:L,MATCH('Retirement Calculator'!A1101,'Isaac 401k'!N:N,0),0)</f>
        <v>-1943787.5110577198</v>
      </c>
      <c r="R1101" s="25">
        <f t="array" aca="1" ref="R1101" ca="1">INDEX('Lorri 401b'!L:L,MATCH('Retirement Calculator'!A1101,'Lorri 401b'!N:N,0),0)</f>
        <v>-30448712.190919388</v>
      </c>
      <c r="S1101" s="25">
        <f t="shared" ca="1" si="1047"/>
        <v>-32392499.701977108</v>
      </c>
    </row>
    <row r="1102" spans="1:19" ht="15.75" customHeight="1" x14ac:dyDescent="0.3">
      <c r="A1102" s="37">
        <v>84493</v>
      </c>
      <c r="B1102" s="398">
        <f t="shared" ref="B1102:C1102" si="1118">($A1102-B$9)/365.25</f>
        <v>149.45106091718</v>
      </c>
      <c r="C1102" s="398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3254.2644699519233</v>
      </c>
      <c r="H1102" s="25">
        <f>IF(B1102&lt;62,0,'Combined Retirement'!$I$14)</f>
        <v>2345</v>
      </c>
      <c r="I1102" s="25">
        <f>IF(C1102&lt;62,0,'Combined Retirement'!$I$13)</f>
        <v>2420</v>
      </c>
      <c r="J1102" s="25">
        <f t="shared" si="1043"/>
        <v>7896.2379798201846</v>
      </c>
      <c r="K1102" s="25">
        <f t="shared" si="1044"/>
        <v>20367.195264578786</v>
      </c>
      <c r="L1102" s="25"/>
      <c r="N1102" s="25">
        <f>'Combined Retirement'!$C$18/12</f>
        <v>39153.069999999992</v>
      </c>
      <c r="O1102" s="25">
        <f t="shared" si="1045"/>
        <v>10889.636755601023</v>
      </c>
      <c r="P1102" s="25">
        <f t="shared" si="1046"/>
        <v>28263.43324439897</v>
      </c>
      <c r="Q1102" s="25">
        <f t="array" aca="1" ref="Q1102" ca="1">INDEX('Isaac 401k'!L:L,MATCH('Retirement Calculator'!A1102,'Isaac 401k'!N:N,0),0)</f>
        <v>-1959815.7646585298</v>
      </c>
      <c r="R1102" s="25">
        <f t="array" aca="1" ref="R1102" ca="1">INDEX('Lorri 401b'!L:L,MATCH('Retirement Calculator'!A1102,'Lorri 401b'!N:N,0),0)</f>
        <v>-30596033.883626398</v>
      </c>
      <c r="S1102" s="25">
        <f t="shared" ca="1" si="1047"/>
        <v>-32555849.648284927</v>
      </c>
    </row>
    <row r="1103" spans="1:19" ht="15.75" customHeight="1" x14ac:dyDescent="0.3">
      <c r="A1103" s="37">
        <v>84524</v>
      </c>
      <c r="B1103" s="398">
        <f t="shared" ref="B1103:C1103" si="1119">($A1103-B$9)/365.25</f>
        <v>149.5359342915811</v>
      </c>
      <c r="C1103" s="398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3254.2644699519233</v>
      </c>
      <c r="H1103" s="25">
        <f>IF(B1103&lt;62,0,'Combined Retirement'!$I$14)</f>
        <v>2345</v>
      </c>
      <c r="I1103" s="25">
        <f>IF(C1103&lt;62,0,'Combined Retirement'!$I$13)</f>
        <v>2420</v>
      </c>
      <c r="J1103" s="25">
        <f t="shared" si="1043"/>
        <v>7896.2379798201846</v>
      </c>
      <c r="K1103" s="25">
        <f t="shared" si="1044"/>
        <v>20367.195264578786</v>
      </c>
      <c r="L1103" s="25"/>
      <c r="N1103" s="25">
        <f>'Combined Retirement'!$C$18/12</f>
        <v>39153.069999999992</v>
      </c>
      <c r="O1103" s="25">
        <f t="shared" si="1045"/>
        <v>10889.636755601023</v>
      </c>
      <c r="P1103" s="25">
        <f t="shared" si="1046"/>
        <v>28263.43324439897</v>
      </c>
      <c r="Q1103" s="25">
        <f t="array" aca="1" ref="Q1103" ca="1">INDEX('Isaac 401k'!L:L,MATCH('Retirement Calculator'!A1103,'Isaac 401k'!N:N,0),0)</f>
        <v>-1975910.8026493432</v>
      </c>
      <c r="R1103" s="25">
        <f t="array" aca="1" ref="R1103" ca="1">INDEX('Lorri 401b'!L:L,MATCH('Retirement Calculator'!A1103,'Lorri 401b'!N:N,0),0)</f>
        <v>-30743969.416719686</v>
      </c>
      <c r="S1103" s="25">
        <f t="shared" ca="1" si="1047"/>
        <v>-32719880.219369028</v>
      </c>
    </row>
    <row r="1104" spans="1:19" ht="15.75" customHeight="1" x14ac:dyDescent="0.3">
      <c r="A1104" s="37">
        <v>84554</v>
      </c>
      <c r="B1104" s="398">
        <f t="shared" ref="B1104:C1104" si="1120">($A1104-B$9)/365.25</f>
        <v>149.61806981519507</v>
      </c>
      <c r="C1104" s="398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3254.2644699519233</v>
      </c>
      <c r="H1104" s="25">
        <f>IF(B1104&lt;62,0,'Combined Retirement'!$I$14)</f>
        <v>2345</v>
      </c>
      <c r="I1104" s="25">
        <f>IF(C1104&lt;62,0,'Combined Retirement'!$I$13)</f>
        <v>2420</v>
      </c>
      <c r="J1104" s="25">
        <f t="shared" si="1043"/>
        <v>7896.2379798201846</v>
      </c>
      <c r="K1104" s="25">
        <f t="shared" si="1044"/>
        <v>20367.195264578786</v>
      </c>
      <c r="L1104" s="25"/>
      <c r="N1104" s="25">
        <f>'Combined Retirement'!$C$18/12</f>
        <v>39153.069999999992</v>
      </c>
      <c r="O1104" s="25">
        <f t="shared" si="1045"/>
        <v>10889.636755601023</v>
      </c>
      <c r="P1104" s="25">
        <f t="shared" si="1046"/>
        <v>28263.43324439897</v>
      </c>
      <c r="Q1104" s="25">
        <f t="array" aca="1" ref="Q1104" ca="1">INDEX('Isaac 401k'!L:L,MATCH('Retirement Calculator'!A1104,'Isaac 401k'!N:N,0),0)</f>
        <v>-1992072.9032984516</v>
      </c>
      <c r="R1104" s="25">
        <f t="array" aca="1" ref="R1104" ca="1">INDEX('Lorri 401b'!L:L,MATCH('Retirement Calculator'!A1104,'Lorri 401b'!N:N,0),0)</f>
        <v>-30892521.347867534</v>
      </c>
      <c r="S1104" s="25">
        <f t="shared" ca="1" si="1047"/>
        <v>-32884594.251165986</v>
      </c>
    </row>
    <row r="1105" spans="1:19" ht="15.75" customHeight="1" x14ac:dyDescent="0.3">
      <c r="A1105" s="37">
        <v>84585</v>
      </c>
      <c r="B1105" s="398">
        <f t="shared" ref="B1105:C1105" si="1121">($A1105-B$9)/365.25</f>
        <v>149.70294318959617</v>
      </c>
      <c r="C1105" s="398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3254.2644699519233</v>
      </c>
      <c r="H1105" s="25">
        <f>IF(B1105&lt;62,0,'Combined Retirement'!$I$14)</f>
        <v>2345</v>
      </c>
      <c r="I1105" s="25">
        <f>IF(C1105&lt;62,0,'Combined Retirement'!$I$13)</f>
        <v>2420</v>
      </c>
      <c r="J1105" s="25">
        <f t="shared" si="1043"/>
        <v>7896.2379798201846</v>
      </c>
      <c r="K1105" s="25">
        <f t="shared" si="1044"/>
        <v>20367.195264578786</v>
      </c>
      <c r="L1105" s="25"/>
      <c r="N1105" s="25">
        <f>'Combined Retirement'!$C$18/12</f>
        <v>39153.069999999992</v>
      </c>
      <c r="O1105" s="25">
        <f t="shared" si="1045"/>
        <v>10889.636755601023</v>
      </c>
      <c r="P1105" s="25">
        <f t="shared" si="1046"/>
        <v>28263.43324439897</v>
      </c>
      <c r="Q1105" s="25">
        <f t="array" aca="1" ref="Q1105" ca="1">INDEX('Isaac 401k'!L:L,MATCH('Retirement Calculator'!A1105,'Isaac 401k'!N:N,0),0)</f>
        <v>-2008302.3460335978</v>
      </c>
      <c r="R1105" s="25">
        <f t="array" aca="1" ref="R1105" ca="1">INDEX('Lorri 401b'!L:L,MATCH('Retirement Calculator'!A1105,'Lorri 401b'!N:N,0),0)</f>
        <v>-31041692.245395161</v>
      </c>
      <c r="S1105" s="25">
        <f t="shared" ca="1" si="1047"/>
        <v>-33049994.59142876</v>
      </c>
    </row>
    <row r="1106" spans="1:19" ht="15.75" customHeight="1" x14ac:dyDescent="0.3">
      <c r="A1106" s="37">
        <v>84616</v>
      </c>
      <c r="B1106" s="398">
        <f t="shared" ref="B1106:C1106" si="1122">($A1106-B$9)/365.25</f>
        <v>149.78781656399727</v>
      </c>
      <c r="C1106" s="398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3254.2644699519233</v>
      </c>
      <c r="H1106" s="25">
        <f>IF(B1106&lt;62,0,'Combined Retirement'!$I$14)</f>
        <v>2345</v>
      </c>
      <c r="I1106" s="25">
        <f>IF(C1106&lt;62,0,'Combined Retirement'!$I$13)</f>
        <v>2420</v>
      </c>
      <c r="J1106" s="25">
        <f t="shared" si="1043"/>
        <v>7896.2379798201846</v>
      </c>
      <c r="K1106" s="25">
        <f t="shared" si="1044"/>
        <v>20367.195264578786</v>
      </c>
      <c r="L1106" s="25"/>
      <c r="N1106" s="25">
        <f>'Combined Retirement'!$C$18/12</f>
        <v>39153.069999999992</v>
      </c>
      <c r="O1106" s="25">
        <f t="shared" si="1045"/>
        <v>10889.636755601023</v>
      </c>
      <c r="P1106" s="25">
        <f t="shared" si="1046"/>
        <v>28263.43324439897</v>
      </c>
      <c r="Q1106" s="25">
        <f t="array" aca="1" ref="Q1106" ca="1">INDEX('Isaac 401k'!L:L,MATCH('Retirement Calculator'!A1106,'Isaac 401k'!N:N,0),0)</f>
        <v>-2024599.4114468072</v>
      </c>
      <c r="R1106" s="25">
        <f t="array" aca="1" ref="R1106" ca="1">INDEX('Lorri 401b'!L:L,MATCH('Retirement Calculator'!A1106,'Lorri 401b'!N:N,0),0)</f>
        <v>-31191484.688329156</v>
      </c>
      <c r="S1106" s="25">
        <f t="shared" ca="1" si="1047"/>
        <v>-33216084.099775963</v>
      </c>
    </row>
    <row r="1107" spans="1:19" ht="15.75" customHeight="1" x14ac:dyDescent="0.3">
      <c r="A1107" s="37">
        <v>84646</v>
      </c>
      <c r="B1107" s="398">
        <f t="shared" ref="B1107:C1107" si="1123">($A1107-B$9)/365.25</f>
        <v>149.86995208761124</v>
      </c>
      <c r="C1107" s="398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3254.2644699519233</v>
      </c>
      <c r="H1107" s="25">
        <f>IF(B1107&lt;62,0,'Combined Retirement'!$I$14)</f>
        <v>2345</v>
      </c>
      <c r="I1107" s="25">
        <f>IF(C1107&lt;62,0,'Combined Retirement'!$I$13)</f>
        <v>2420</v>
      </c>
      <c r="J1107" s="25">
        <f t="shared" si="1043"/>
        <v>7896.2379798201846</v>
      </c>
      <c r="K1107" s="25">
        <f t="shared" si="1044"/>
        <v>20367.195264578786</v>
      </c>
      <c r="L1107" s="25"/>
      <c r="N1107" s="25">
        <f>'Combined Retirement'!$C$18/12</f>
        <v>39153.069999999992</v>
      </c>
      <c r="O1107" s="25">
        <f t="shared" si="1045"/>
        <v>10889.636755601023</v>
      </c>
      <c r="P1107" s="25">
        <f t="shared" si="1046"/>
        <v>28263.43324439897</v>
      </c>
      <c r="Q1107" s="25">
        <f t="array" aca="1" ref="Q1107" ca="1">INDEX('Isaac 401k'!L:L,MATCH('Retirement Calculator'!A1107,'Isaac 401k'!N:N,0),0)</f>
        <v>-2040964.3812992384</v>
      </c>
      <c r="R1107" s="25">
        <f t="array" aca="1" ref="R1107" ca="1">INDEX('Lorri 401b'!L:L,MATCH('Retirement Calculator'!A1107,'Lorri 401b'!N:N,0),0)</f>
        <v>-31341901.266442042</v>
      </c>
      <c r="S1107" s="25">
        <f t="shared" ca="1" si="1047"/>
        <v>-33382865.64774128</v>
      </c>
    </row>
    <row r="1108" spans="1:19" ht="15.75" customHeight="1" x14ac:dyDescent="0.3">
      <c r="A1108" s="37">
        <v>84677</v>
      </c>
      <c r="B1108" s="398">
        <f t="shared" ref="B1108:C1108" si="1124">($A1108-B$9)/365.25</f>
        <v>149.95482546201231</v>
      </c>
      <c r="C1108" s="398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3254.2644699519233</v>
      </c>
      <c r="H1108" s="25">
        <f>IF(B1108&lt;62,0,'Combined Retirement'!$I$14)</f>
        <v>2345</v>
      </c>
      <c r="I1108" s="25">
        <f>IF(C1108&lt;62,0,'Combined Retirement'!$I$13)</f>
        <v>2420</v>
      </c>
      <c r="J1108" s="25">
        <f t="shared" si="1043"/>
        <v>7896.2379798201846</v>
      </c>
      <c r="K1108" s="25">
        <f t="shared" si="1044"/>
        <v>20367.195264578786</v>
      </c>
      <c r="L1108" s="25"/>
      <c r="N1108" s="25">
        <f>'Combined Retirement'!$C$18/12</f>
        <v>39153.069999999992</v>
      </c>
      <c r="O1108" s="25">
        <f t="shared" si="1045"/>
        <v>10889.636755601023</v>
      </c>
      <c r="P1108" s="25">
        <f t="shared" si="1046"/>
        <v>28263.43324439897</v>
      </c>
      <c r="Q1108" s="25">
        <f t="array" aca="1" ref="Q1108" ca="1">INDEX('Isaac 401k'!L:L,MATCH('Retirement Calculator'!A1108,'Isaac 401k'!N:N,0),0)</f>
        <v>-2057397.5385260547</v>
      </c>
      <c r="R1108" s="25">
        <f t="array" aca="1" ref="R1108" ca="1">INDEX('Lorri 401b'!L:L,MATCH('Retirement Calculator'!A1108,'Lorri 401b'!N:N,0),0)</f>
        <v>-31492944.580297064</v>
      </c>
      <c r="S1108" s="25">
        <f t="shared" ca="1" si="1047"/>
        <v>-33550342.118823119</v>
      </c>
    </row>
    <row r="1109" spans="1:19" ht="15.75" customHeight="1" x14ac:dyDescent="0.3">
      <c r="A1109" s="37">
        <v>84707</v>
      </c>
      <c r="B1109" s="398">
        <f t="shared" ref="B1109:C1109" si="1125">($A1109-B$9)/365.25</f>
        <v>150.03696098562628</v>
      </c>
      <c r="C1109" s="398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3254.2644699519233</v>
      </c>
      <c r="H1109" s="25">
        <f>IF(B1109&lt;62,0,'Combined Retirement'!$I$14)</f>
        <v>2345</v>
      </c>
      <c r="I1109" s="25">
        <f>IF(C1109&lt;62,0,'Combined Retirement'!$I$13)</f>
        <v>2420</v>
      </c>
      <c r="J1109" s="25">
        <f t="shared" si="1043"/>
        <v>7896.2379798201846</v>
      </c>
      <c r="K1109" s="25">
        <f t="shared" si="1044"/>
        <v>20367.195264578786</v>
      </c>
      <c r="L1109" s="25"/>
      <c r="N1109" s="25">
        <f>'Combined Retirement'!$C$18/12</f>
        <v>39153.069999999992</v>
      </c>
      <c r="O1109" s="25">
        <f t="shared" si="1045"/>
        <v>10889.636755601023</v>
      </c>
      <c r="P1109" s="25">
        <f t="shared" si="1046"/>
        <v>28263.43324439897</v>
      </c>
      <c r="Q1109" s="25">
        <f t="array" aca="1" ref="Q1109" ca="1">INDEX('Isaac 401k'!L:L,MATCH('Retirement Calculator'!A1109,'Isaac 401k'!N:N,0),0)</f>
        <v>-2073899.1672413161</v>
      </c>
      <c r="R1109" s="25">
        <f t="array" aca="1" ref="R1109" ca="1">INDEX('Lorri 401b'!L:L,MATCH('Retirement Calculator'!A1109,'Lorri 401b'!N:N,0),0)</f>
        <v>-31644617.241293147</v>
      </c>
      <c r="S1109" s="25">
        <f t="shared" ca="1" si="1047"/>
        <v>-33718516.40853446</v>
      </c>
    </row>
    <row r="1110" spans="1:19" ht="15.75" customHeight="1" x14ac:dyDescent="0.3">
      <c r="A1110" s="37">
        <v>84738</v>
      </c>
      <c r="B1110" s="398">
        <f t="shared" ref="B1110:C1110" si="1126">($A1110-B$9)/365.25</f>
        <v>150.12183436002738</v>
      </c>
      <c r="C1110" s="398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3254.2644699519233</v>
      </c>
      <c r="H1110" s="25">
        <f>IF(B1110&lt;62,0,'Combined Retirement'!$I$14)</f>
        <v>2345</v>
      </c>
      <c r="I1110" s="25">
        <f>IF(C1110&lt;62,0,'Combined Retirement'!$I$13)</f>
        <v>2420</v>
      </c>
      <c r="J1110" s="25">
        <f t="shared" si="1043"/>
        <v>7896.2379798201846</v>
      </c>
      <c r="K1110" s="25">
        <f t="shared" si="1044"/>
        <v>20367.195264578786</v>
      </c>
      <c r="L1110" s="25"/>
      <c r="N1110" s="25">
        <f>'Combined Retirement'!$C$18/12</f>
        <v>39153.069999999992</v>
      </c>
      <c r="O1110" s="25">
        <f t="shared" si="1045"/>
        <v>10889.636755601023</v>
      </c>
      <c r="P1110" s="25">
        <f t="shared" si="1046"/>
        <v>28263.43324439897</v>
      </c>
      <c r="Q1110" s="25">
        <f t="array" aca="1" ref="Q1110" ca="1">INDEX('Isaac 401k'!L:L,MATCH('Retirement Calculator'!A1110,'Isaac 401k'!N:N,0),0)</f>
        <v>-2090469.552742891</v>
      </c>
      <c r="R1110" s="25">
        <f t="array" aca="1" ref="R1110" ca="1">INDEX('Lorri 401b'!L:L,MATCH('Retirement Calculator'!A1110,'Lorri 401b'!N:N,0),0)</f>
        <v>-31796921.871710047</v>
      </c>
      <c r="S1110" s="25">
        <f t="shared" ca="1" si="1047"/>
        <v>-33887391.424452938</v>
      </c>
    </row>
    <row r="1111" spans="1:19" ht="15.75" customHeight="1" x14ac:dyDescent="0.3">
      <c r="A1111" s="37">
        <v>84769</v>
      </c>
      <c r="B1111" s="398">
        <f t="shared" ref="B1111:C1111" si="1127">($A1111-B$9)/365.25</f>
        <v>150.20670773442848</v>
      </c>
      <c r="C1111" s="398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3254.2644699519233</v>
      </c>
      <c r="H1111" s="25">
        <f>IF(B1111&lt;62,0,'Combined Retirement'!$I$14)</f>
        <v>2345</v>
      </c>
      <c r="I1111" s="25">
        <f>IF(C1111&lt;62,0,'Combined Retirement'!$I$13)</f>
        <v>2420</v>
      </c>
      <c r="J1111" s="25">
        <f t="shared" si="1043"/>
        <v>7896.2379798201846</v>
      </c>
      <c r="K1111" s="25">
        <f t="shared" si="1044"/>
        <v>20367.195264578786</v>
      </c>
      <c r="L1111" s="25"/>
      <c r="N1111" s="25">
        <f>'Combined Retirement'!$C$18/12</f>
        <v>39153.069999999992</v>
      </c>
      <c r="O1111" s="25">
        <f t="shared" si="1045"/>
        <v>10889.636755601023</v>
      </c>
      <c r="P1111" s="25">
        <f t="shared" si="1046"/>
        <v>28263.43324439897</v>
      </c>
      <c r="Q1111" s="25">
        <f t="array" aca="1" ref="Q1111" ca="1">INDEX('Isaac 401k'!L:L,MATCH('Retirement Calculator'!A1111,'Isaac 401k'!N:N,0),0)</f>
        <v>-2107108.981517389</v>
      </c>
      <c r="R1111" s="25">
        <f t="array" aca="1" ref="R1111" ca="1">INDEX('Lorri 401b'!L:L,MATCH('Retirement Calculator'!A1111,'Lorri 401b'!N:N,0),0)</f>
        <v>-31949861.104753684</v>
      </c>
      <c r="S1111" s="25">
        <f t="shared" ca="1" si="1047"/>
        <v>-34056970.08627107</v>
      </c>
    </row>
    <row r="1112" spans="1:19" ht="15.75" customHeight="1" x14ac:dyDescent="0.3">
      <c r="A1112" s="37">
        <v>84798</v>
      </c>
      <c r="B1112" s="398">
        <f t="shared" ref="B1112:C1112" si="1128">($A1112-B$9)/365.25</f>
        <v>150.28610540725529</v>
      </c>
      <c r="C1112" s="398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3254.2644699519233</v>
      </c>
      <c r="H1112" s="25">
        <f>IF(B1112&lt;62,0,'Combined Retirement'!$I$14)</f>
        <v>2345</v>
      </c>
      <c r="I1112" s="25">
        <f>IF(C1112&lt;62,0,'Combined Retirement'!$I$13)</f>
        <v>2420</v>
      </c>
      <c r="J1112" s="25">
        <f t="shared" si="1043"/>
        <v>7896.2379798201846</v>
      </c>
      <c r="K1112" s="25">
        <f t="shared" si="1044"/>
        <v>20367.195264578786</v>
      </c>
      <c r="L1112" s="25"/>
      <c r="N1112" s="25">
        <f>'Combined Retirement'!$C$18/12</f>
        <v>39153.069999999992</v>
      </c>
      <c r="O1112" s="25">
        <f t="shared" si="1045"/>
        <v>10889.636755601023</v>
      </c>
      <c r="P1112" s="25">
        <f t="shared" si="1046"/>
        <v>28263.43324439897</v>
      </c>
      <c r="Q1112" s="25">
        <f t="array" aca="1" ref="Q1112" ca="1">INDEX('Isaac 401k'!L:L,MATCH('Retirement Calculator'!A1112,'Isaac 401k'!N:N,0),0)</f>
        <v>-2123817.7412451138</v>
      </c>
      <c r="R1112" s="25">
        <f t="array" aca="1" ref="R1112" ca="1">INDEX('Lorri 401b'!L:L,MATCH('Retirement Calculator'!A1112,'Lorri 401b'!N:N,0),0)</f>
        <v>-32103437.584601671</v>
      </c>
      <c r="S1112" s="25">
        <f t="shared" ca="1" si="1047"/>
        <v>-34227255.325846784</v>
      </c>
    </row>
    <row r="1113" spans="1:19" ht="15.75" customHeight="1" x14ac:dyDescent="0.3">
      <c r="A1113" s="37">
        <v>84829</v>
      </c>
      <c r="B1113" s="398">
        <f t="shared" ref="B1113:C1113" si="1129">($A1113-B$9)/365.25</f>
        <v>150.37097878165639</v>
      </c>
      <c r="C1113" s="398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3254.2644699519233</v>
      </c>
      <c r="H1113" s="25">
        <f>IF(B1113&lt;62,0,'Combined Retirement'!$I$14)</f>
        <v>2345</v>
      </c>
      <c r="I1113" s="25">
        <f>IF(C1113&lt;62,0,'Combined Retirement'!$I$13)</f>
        <v>2420</v>
      </c>
      <c r="J1113" s="25">
        <f t="shared" si="1043"/>
        <v>7896.2379798201846</v>
      </c>
      <c r="K1113" s="25">
        <f t="shared" si="1044"/>
        <v>20367.195264578786</v>
      </c>
      <c r="L1113" s="25"/>
      <c r="N1113" s="25">
        <f>'Combined Retirement'!$C$18/12</f>
        <v>39153.069999999992</v>
      </c>
      <c r="O1113" s="25">
        <f t="shared" si="1045"/>
        <v>10889.636755601023</v>
      </c>
      <c r="P1113" s="25">
        <f t="shared" si="1046"/>
        <v>28263.43324439897</v>
      </c>
      <c r="Q1113" s="25">
        <f t="array" aca="1" ref="Q1113" ca="1">INDEX('Isaac 401k'!L:L,MATCH('Retirement Calculator'!A1113,'Isaac 401k'!N:N,0),0)</f>
        <v>-2140596.1208050377</v>
      </c>
      <c r="R1113" s="25">
        <f t="array" aca="1" ref="R1113" ca="1">INDEX('Lorri 401b'!L:L,MATCH('Retirement Calculator'!A1113,'Lorri 401b'!N:N,0),0)</f>
        <v>-32257653.966449026</v>
      </c>
      <c r="S1113" s="25">
        <f t="shared" ca="1" si="1047"/>
        <v>-34398250.087254062</v>
      </c>
    </row>
    <row r="1114" spans="1:19" ht="15.75" customHeight="1" x14ac:dyDescent="0.3">
      <c r="A1114" s="37">
        <v>84859</v>
      </c>
      <c r="B1114" s="398">
        <f t="shared" ref="B1114:C1114" si="1130">($A1114-B$9)/365.25</f>
        <v>150.45311430527036</v>
      </c>
      <c r="C1114" s="398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3254.2644699519233</v>
      </c>
      <c r="H1114" s="25">
        <f>IF(B1114&lt;62,0,'Combined Retirement'!$I$14)</f>
        <v>2345</v>
      </c>
      <c r="I1114" s="25">
        <f>IF(C1114&lt;62,0,'Combined Retirement'!$I$13)</f>
        <v>2420</v>
      </c>
      <c r="J1114" s="25">
        <f t="shared" si="1043"/>
        <v>7896.2379798201846</v>
      </c>
      <c r="K1114" s="25">
        <f t="shared" si="1044"/>
        <v>20367.195264578786</v>
      </c>
      <c r="L1114" s="25"/>
      <c r="N1114" s="25">
        <f>'Combined Retirement'!$C$18/12</f>
        <v>39153.069999999992</v>
      </c>
      <c r="O1114" s="25">
        <f t="shared" si="1045"/>
        <v>10889.636755601023</v>
      </c>
      <c r="P1114" s="25">
        <f t="shared" si="1046"/>
        <v>28263.43324439897</v>
      </c>
      <c r="Q1114" s="25">
        <f t="array" aca="1" ref="Q1114" ca="1">INDEX('Isaac 401k'!L:L,MATCH('Retirement Calculator'!A1114,'Isaac 401k'!N:N,0),0)</f>
        <v>-2157444.4102797946</v>
      </c>
      <c r="R1114" s="25">
        <f t="array" aca="1" ref="R1114" ca="1">INDEX('Lorri 401b'!L:L,MATCH('Retirement Calculator'!A1114,'Lorri 401b'!N:N,0),0)</f>
        <v>-32412512.916554078</v>
      </c>
      <c r="S1114" s="25">
        <f t="shared" ca="1" si="1047"/>
        <v>-34569957.326833874</v>
      </c>
    </row>
    <row r="1115" spans="1:19" ht="15.75" customHeight="1" x14ac:dyDescent="0.3">
      <c r="A1115" s="37">
        <v>84890</v>
      </c>
      <c r="B1115" s="398">
        <f t="shared" ref="B1115:C1115" si="1131">($A1115-B$9)/365.25</f>
        <v>150.53798767967146</v>
      </c>
      <c r="C1115" s="398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3254.2644699519233</v>
      </c>
      <c r="H1115" s="25">
        <f>IF(B1115&lt;62,0,'Combined Retirement'!$I$14)</f>
        <v>2345</v>
      </c>
      <c r="I1115" s="25">
        <f>IF(C1115&lt;62,0,'Combined Retirement'!$I$13)</f>
        <v>2420</v>
      </c>
      <c r="J1115" s="25">
        <f t="shared" si="1043"/>
        <v>7896.2379798201846</v>
      </c>
      <c r="K1115" s="25">
        <f t="shared" si="1044"/>
        <v>20367.195264578786</v>
      </c>
      <c r="L1115" s="25"/>
      <c r="N1115" s="25">
        <f>'Combined Retirement'!$C$18/12</f>
        <v>39153.069999999992</v>
      </c>
      <c r="O1115" s="25">
        <f t="shared" si="1045"/>
        <v>10889.636755601023</v>
      </c>
      <c r="P1115" s="25">
        <f t="shared" si="1046"/>
        <v>28263.43324439897</v>
      </c>
      <c r="Q1115" s="25">
        <f t="array" aca="1" ref="Q1115" ca="1">INDEX('Isaac 401k'!L:L,MATCH('Retirement Calculator'!A1115,'Isaac 401k'!N:N,0),0)</f>
        <v>-2174362.9009606964</v>
      </c>
      <c r="R1115" s="25">
        <f t="array" aca="1" ref="R1115" ca="1">INDEX('Lorri 401b'!L:L,MATCH('Retirement Calculator'!A1115,'Lorri 401b'!N:N,0),0)</f>
        <v>-32568017.112284567</v>
      </c>
      <c r="S1115" s="25">
        <f t="shared" ca="1" si="1047"/>
        <v>-34742380.013245262</v>
      </c>
    </row>
    <row r="1116" spans="1:19" ht="15.75" customHeight="1" x14ac:dyDescent="0.3">
      <c r="A1116" s="37">
        <v>84920</v>
      </c>
      <c r="B1116" s="398">
        <f t="shared" ref="B1116:C1116" si="1132">($A1116-B$9)/365.25</f>
        <v>150.62012320328543</v>
      </c>
      <c r="C1116" s="398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3254.2644699519233</v>
      </c>
      <c r="H1116" s="25">
        <f>IF(B1116&lt;62,0,'Combined Retirement'!$I$14)</f>
        <v>2345</v>
      </c>
      <c r="I1116" s="25">
        <f>IF(C1116&lt;62,0,'Combined Retirement'!$I$13)</f>
        <v>2420</v>
      </c>
      <c r="J1116" s="25">
        <f t="shared" si="1043"/>
        <v>7896.2379798201846</v>
      </c>
      <c r="K1116" s="25">
        <f t="shared" si="1044"/>
        <v>20367.195264578786</v>
      </c>
      <c r="L1116" s="25"/>
      <c r="N1116" s="25">
        <f>'Combined Retirement'!$C$18/12</f>
        <v>39153.069999999992</v>
      </c>
      <c r="O1116" s="25">
        <f t="shared" si="1045"/>
        <v>10889.636755601023</v>
      </c>
      <c r="P1116" s="25">
        <f t="shared" si="1046"/>
        <v>28263.43324439897</v>
      </c>
      <c r="Q1116" s="25">
        <f t="array" aca="1" ref="Q1116" ca="1">INDEX('Isaac 401k'!L:L,MATCH('Retirement Calculator'!A1116,'Isaac 401k'!N:N,0),0)</f>
        <v>-2191351.8853527685</v>
      </c>
      <c r="R1116" s="25">
        <f t="array" aca="1" ref="R1116" ca="1">INDEX('Lorri 401b'!L:L,MATCH('Retirement Calculator'!A1116,'Lorri 401b'!N:N,0),0)</f>
        <v>-32724169.242163934</v>
      </c>
      <c r="S1116" s="25">
        <f t="shared" ca="1" si="1047"/>
        <v>-34915521.127516702</v>
      </c>
    </row>
    <row r="1117" spans="1:19" ht="15.75" customHeight="1" x14ac:dyDescent="0.3">
      <c r="A1117" s="37">
        <v>84951</v>
      </c>
      <c r="B1117" s="398">
        <f t="shared" ref="B1117:C1117" si="1133">($A1117-B$9)/365.25</f>
        <v>150.70499657768653</v>
      </c>
      <c r="C1117" s="398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3254.2644699519233</v>
      </c>
      <c r="H1117" s="25">
        <f>IF(B1117&lt;62,0,'Combined Retirement'!$I$14)</f>
        <v>2345</v>
      </c>
      <c r="I1117" s="25">
        <f>IF(C1117&lt;62,0,'Combined Retirement'!$I$13)</f>
        <v>2420</v>
      </c>
      <c r="J1117" s="25">
        <f t="shared" si="1043"/>
        <v>7896.2379798201846</v>
      </c>
      <c r="K1117" s="25">
        <f t="shared" si="1044"/>
        <v>20367.195264578786</v>
      </c>
      <c r="L1117" s="25"/>
      <c r="N1117" s="25">
        <f>'Combined Retirement'!$C$18/12</f>
        <v>39153.069999999992</v>
      </c>
      <c r="O1117" s="25">
        <f t="shared" si="1045"/>
        <v>10889.636755601023</v>
      </c>
      <c r="P1117" s="25">
        <f t="shared" si="1046"/>
        <v>28263.43324439897</v>
      </c>
      <c r="Q1117" s="25">
        <f t="array" aca="1" ref="Q1117" ca="1">INDEX('Isaac 401k'!L:L,MATCH('Retirement Calculator'!A1117,'Isaac 401k'!N:N,0),0)</f>
        <v>-2208411.6571798078</v>
      </c>
      <c r="R1117" s="25">
        <f t="array" aca="1" ref="R1117" ca="1">INDEX('Lorri 401b'!L:L,MATCH('Retirement Calculator'!A1117,'Lorri 401b'!N:N,0),0)</f>
        <v>-32880972.005917799</v>
      </c>
      <c r="S1117" s="25">
        <f t="shared" ca="1" si="1047"/>
        <v>-35089383.663097605</v>
      </c>
    </row>
    <row r="1118" spans="1:19" ht="15.75" customHeight="1" x14ac:dyDescent="0.3">
      <c r="A1118" s="37">
        <v>84982</v>
      </c>
      <c r="B1118" s="398">
        <f t="shared" ref="B1118:C1118" si="1134">($A1118-B$9)/365.25</f>
        <v>150.7898699520876</v>
      </c>
      <c r="C1118" s="398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3254.2644699519233</v>
      </c>
      <c r="H1118" s="25">
        <f>IF(B1118&lt;62,0,'Combined Retirement'!$I$14)</f>
        <v>2345</v>
      </c>
      <c r="I1118" s="25">
        <f>IF(C1118&lt;62,0,'Combined Retirement'!$I$13)</f>
        <v>2420</v>
      </c>
      <c r="J1118" s="25">
        <f t="shared" si="1043"/>
        <v>7896.2379798201846</v>
      </c>
      <c r="K1118" s="25">
        <f t="shared" si="1044"/>
        <v>20367.195264578786</v>
      </c>
      <c r="L1118" s="25"/>
      <c r="N1118" s="25">
        <f>'Combined Retirement'!$C$18/12</f>
        <v>39153.069999999992</v>
      </c>
      <c r="O1118" s="25">
        <f t="shared" si="1045"/>
        <v>10889.636755601023</v>
      </c>
      <c r="P1118" s="25">
        <f t="shared" si="1046"/>
        <v>28263.43324439897</v>
      </c>
      <c r="Q1118" s="25">
        <f t="array" aca="1" ref="Q1118" ca="1">INDEX('Isaac 401k'!L:L,MATCH('Retirement Calculator'!A1118,'Isaac 401k'!N:N,0),0)</f>
        <v>-2225542.5113894595</v>
      </c>
      <c r="R1118" s="25">
        <f t="array" aca="1" ref="R1118" ca="1">INDEX('Lorri 401b'!L:L,MATCH('Retirement Calculator'!A1118,'Lorri 401b'!N:N,0),0)</f>
        <v>-33038428.114520635</v>
      </c>
      <c r="S1118" s="25">
        <f t="shared" ca="1" si="1047"/>
        <v>-35263970.625910096</v>
      </c>
    </row>
    <row r="1119" spans="1:19" ht="15.75" customHeight="1" x14ac:dyDescent="0.3">
      <c r="A1119" s="37">
        <v>85012</v>
      </c>
      <c r="B1119" s="398">
        <f t="shared" ref="B1119:C1119" si="1135">($A1119-B$9)/365.25</f>
        <v>150.87200547570157</v>
      </c>
      <c r="C1119" s="398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3254.2644699519233</v>
      </c>
      <c r="H1119" s="25">
        <f>IF(B1119&lt;62,0,'Combined Retirement'!$I$14)</f>
        <v>2345</v>
      </c>
      <c r="I1119" s="25">
        <f>IF(C1119&lt;62,0,'Combined Retirement'!$I$13)</f>
        <v>2420</v>
      </c>
      <c r="J1119" s="25">
        <f t="shared" si="1043"/>
        <v>7896.2379798201846</v>
      </c>
      <c r="K1119" s="25">
        <f t="shared" si="1044"/>
        <v>20367.195264578786</v>
      </c>
      <c r="L1119" s="25"/>
      <c r="N1119" s="25">
        <f>'Combined Retirement'!$C$18/12</f>
        <v>39153.069999999992</v>
      </c>
      <c r="O1119" s="25">
        <f t="shared" si="1045"/>
        <v>10889.636755601023</v>
      </c>
      <c r="P1119" s="25">
        <f t="shared" si="1046"/>
        <v>28263.43324439897</v>
      </c>
      <c r="Q1119" s="25">
        <f t="array" aca="1" ref="Q1119" ca="1">INDEX('Isaac 401k'!L:L,MATCH('Retirement Calculator'!A1119,'Isaac 401k'!N:N,0),0)</f>
        <v>-2242744.7441583183</v>
      </c>
      <c r="R1119" s="25">
        <f t="array" aca="1" ref="R1119" ca="1">INDEX('Lorri 401b'!L:L,MATCH('Retirement Calculator'!A1119,'Lorri 401b'!N:N,0),0)</f>
        <v>-33196540.290242653</v>
      </c>
      <c r="S1119" s="25">
        <f t="shared" ca="1" si="1047"/>
        <v>-35439285.03440097</v>
      </c>
    </row>
    <row r="1120" spans="1:19" ht="15.75" customHeight="1" x14ac:dyDescent="0.3">
      <c r="A1120" s="37">
        <v>85043</v>
      </c>
      <c r="B1120" s="398">
        <f t="shared" ref="B1120:C1120" si="1136">($A1120-B$9)/365.25</f>
        <v>150.95687885010267</v>
      </c>
      <c r="C1120" s="398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3254.2644699519233</v>
      </c>
      <c r="H1120" s="25">
        <f>IF(B1120&lt;62,0,'Combined Retirement'!$I$14)</f>
        <v>2345</v>
      </c>
      <c r="I1120" s="25">
        <f>IF(C1120&lt;62,0,'Combined Retirement'!$I$13)</f>
        <v>2420</v>
      </c>
      <c r="J1120" s="25">
        <f t="shared" si="1043"/>
        <v>7896.2379798201846</v>
      </c>
      <c r="K1120" s="25">
        <f t="shared" si="1044"/>
        <v>20367.195264578786</v>
      </c>
      <c r="L1120" s="25"/>
      <c r="N1120" s="25">
        <f>'Combined Retirement'!$C$18/12</f>
        <v>39153.069999999992</v>
      </c>
      <c r="O1120" s="25">
        <f t="shared" si="1045"/>
        <v>10889.636755601023</v>
      </c>
      <c r="P1120" s="25">
        <f t="shared" si="1046"/>
        <v>28263.43324439897</v>
      </c>
      <c r="Q1120" s="25">
        <f t="array" aca="1" ref="Q1120" ca="1">INDEX('Isaac 401k'!L:L,MATCH('Retirement Calculator'!A1120,'Isaac 401k'!N:N,0),0)</f>
        <v>-2260018.6528970473</v>
      </c>
      <c r="R1120" s="25">
        <f t="array" aca="1" ref="R1120" ca="1">INDEX('Lorri 401b'!L:L,MATCH('Retirement Calculator'!A1120,'Lorri 401b'!N:N,0),0)</f>
        <v>-33355311.266696844</v>
      </c>
      <c r="S1120" s="25">
        <f t="shared" ca="1" si="1047"/>
        <v>-35615329.919593893</v>
      </c>
    </row>
    <row r="1121" spans="1:19" ht="15.75" customHeight="1" x14ac:dyDescent="0.3">
      <c r="A1121" s="37">
        <v>85073</v>
      </c>
      <c r="B1121" s="398">
        <f t="shared" ref="B1121:C1121" si="1137">($A1121-B$9)/365.25</f>
        <v>151.03901437371664</v>
      </c>
      <c r="C1121" s="398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3254.2644699519233</v>
      </c>
      <c r="H1121" s="25">
        <f>IF(B1121&lt;62,0,'Combined Retirement'!$I$14)</f>
        <v>2345</v>
      </c>
      <c r="I1121" s="25">
        <f>IF(C1121&lt;62,0,'Combined Retirement'!$I$13)</f>
        <v>2420</v>
      </c>
      <c r="J1121" s="25">
        <f t="shared" si="1043"/>
        <v>7896.2379798201846</v>
      </c>
      <c r="K1121" s="25">
        <f t="shared" si="1044"/>
        <v>20367.195264578786</v>
      </c>
      <c r="L1121" s="25"/>
      <c r="N1121" s="25">
        <f>'Combined Retirement'!$C$18/12</f>
        <v>39153.069999999992</v>
      </c>
      <c r="O1121" s="25">
        <f t="shared" si="1045"/>
        <v>10889.636755601023</v>
      </c>
      <c r="P1121" s="25">
        <f t="shared" si="1046"/>
        <v>28263.43324439897</v>
      </c>
      <c r="Q1121" s="25">
        <f t="array" aca="1" ref="Q1121" ca="1">INDEX('Isaac 401k'!L:L,MATCH('Retirement Calculator'!A1121,'Isaac 401k'!N:N,0),0)</f>
        <v>-2277364.5362555208</v>
      </c>
      <c r="R1121" s="25">
        <f t="array" aca="1" ref="R1121" ca="1">INDEX('Lorri 401b'!L:L,MATCH('Retirement Calculator'!A1121,'Lorri 401b'!N:N,0),0)</f>
        <v>-33514743.78888626</v>
      </c>
      <c r="S1121" s="25">
        <f t="shared" ca="1" si="1047"/>
        <v>-35792108.32514178</v>
      </c>
    </row>
    <row r="1122" spans="1:19" ht="15.75" customHeight="1" x14ac:dyDescent="0.3">
      <c r="A1122" s="37">
        <v>85104</v>
      </c>
      <c r="B1122" s="398">
        <f t="shared" ref="B1122:C1122" si="1138">($A1122-B$9)/365.25</f>
        <v>151.12388774811774</v>
      </c>
      <c r="C1122" s="398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3254.2644699519233</v>
      </c>
      <c r="H1122" s="25">
        <f>IF(B1122&lt;62,0,'Combined Retirement'!$I$14)</f>
        <v>2345</v>
      </c>
      <c r="I1122" s="25">
        <f>IF(C1122&lt;62,0,'Combined Retirement'!$I$13)</f>
        <v>2420</v>
      </c>
      <c r="J1122" s="25">
        <f t="shared" si="1043"/>
        <v>7896.2379798201846</v>
      </c>
      <c r="K1122" s="25">
        <f t="shared" si="1044"/>
        <v>20367.195264578786</v>
      </c>
      <c r="L1122" s="25"/>
      <c r="N1122" s="25">
        <f>'Combined Retirement'!$C$18/12</f>
        <v>39153.069999999992</v>
      </c>
      <c r="O1122" s="25">
        <f t="shared" si="1045"/>
        <v>10889.636755601023</v>
      </c>
      <c r="P1122" s="25">
        <f t="shared" si="1046"/>
        <v>28263.43324439897</v>
      </c>
      <c r="Q1122" s="25">
        <f t="array" aca="1" ref="Q1122" ca="1">INDEX('Isaac 401k'!L:L,MATCH('Retirement Calculator'!A1122,'Isaac 401k'!N:N,0),0)</f>
        <v>-2294782.6941279881</v>
      </c>
      <c r="R1122" s="25">
        <f t="array" aca="1" ref="R1122" ca="1">INDEX('Lorri 401b'!L:L,MATCH('Retirement Calculator'!A1122,'Lorri 401b'!N:N,0),0)</f>
        <v>-33674840.61325147</v>
      </c>
      <c r="S1122" s="25">
        <f t="shared" ca="1" si="1047"/>
        <v>-35969623.307379454</v>
      </c>
    </row>
    <row r="1123" spans="1:19" ht="15.75" customHeight="1" x14ac:dyDescent="0.3">
      <c r="A1123" s="37">
        <v>85135</v>
      </c>
      <c r="B1123" s="398">
        <f t="shared" ref="B1123:C1123" si="1139">($A1123-B$9)/365.25</f>
        <v>151.20876112251884</v>
      </c>
      <c r="C1123" s="398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3254.2644699519233</v>
      </c>
      <c r="H1123" s="25">
        <f>IF(B1123&lt;62,0,'Combined Retirement'!$I$14)</f>
        <v>2345</v>
      </c>
      <c r="I1123" s="25">
        <f>IF(C1123&lt;62,0,'Combined Retirement'!$I$13)</f>
        <v>2420</v>
      </c>
      <c r="J1123" s="25">
        <f t="shared" si="1043"/>
        <v>7896.2379798201846</v>
      </c>
      <c r="K1123" s="25">
        <f t="shared" si="1044"/>
        <v>20367.195264578786</v>
      </c>
      <c r="L1123" s="25"/>
      <c r="N1123" s="25">
        <f>'Combined Retirement'!$C$18/12</f>
        <v>39153.069999999992</v>
      </c>
      <c r="O1123" s="25">
        <f t="shared" si="1045"/>
        <v>10889.636755601023</v>
      </c>
      <c r="P1123" s="25">
        <f t="shared" si="1046"/>
        <v>28263.43324439897</v>
      </c>
      <c r="Q1123" s="25">
        <f t="array" aca="1" ref="Q1123" ca="1">INDEX('Isaac 401k'!L:L,MATCH('Retirement Calculator'!A1123,'Isaac 401k'!N:N,0),0)</f>
        <v>-2312273.4276582571</v>
      </c>
      <c r="R1123" s="25">
        <f t="array" aca="1" ref="R1123" ca="1">INDEX('Lorri 401b'!L:L,MATCH('Retirement Calculator'!A1123,'Lorri 401b'!N:N,0),0)</f>
        <v>-33835604.507718198</v>
      </c>
      <c r="S1123" s="25">
        <f t="shared" ca="1" si="1047"/>
        <v>-36147877.935376458</v>
      </c>
    </row>
    <row r="1124" spans="1:19" ht="15.75" customHeight="1" x14ac:dyDescent="0.3">
      <c r="A1124" s="37">
        <v>85163</v>
      </c>
      <c r="B1124" s="398">
        <f t="shared" ref="B1124:C1124" si="1140">($A1124-B$9)/365.25</f>
        <v>151.28542094455852</v>
      </c>
      <c r="C1124" s="398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3254.2644699519233</v>
      </c>
      <c r="H1124" s="25">
        <f>IF(B1124&lt;62,0,'Combined Retirement'!$I$14)</f>
        <v>2345</v>
      </c>
      <c r="I1124" s="25">
        <f>IF(C1124&lt;62,0,'Combined Retirement'!$I$13)</f>
        <v>2420</v>
      </c>
      <c r="J1124" s="25">
        <f t="shared" si="1043"/>
        <v>7896.2379798201846</v>
      </c>
      <c r="K1124" s="25">
        <f t="shared" si="1044"/>
        <v>20367.195264578786</v>
      </c>
      <c r="L1124" s="25"/>
      <c r="N1124" s="25">
        <f>'Combined Retirement'!$C$18/12</f>
        <v>39153.069999999992</v>
      </c>
      <c r="O1124" s="25">
        <f t="shared" si="1045"/>
        <v>10889.636755601023</v>
      </c>
      <c r="P1124" s="25">
        <f t="shared" si="1046"/>
        <v>28263.43324439897</v>
      </c>
      <c r="Q1124" s="25">
        <f t="array" aca="1" ref="Q1124" ca="1">INDEX('Isaac 401k'!L:L,MATCH('Retirement Calculator'!A1124,'Isaac 401k'!N:N,0),0)</f>
        <v>-2329837.0392449023</v>
      </c>
      <c r="R1124" s="25">
        <f t="array" aca="1" ref="R1124" ca="1">INDEX('Lorri 401b'!L:L,MATCH('Retirement Calculator'!A1124,'Lorri 401b'!N:N,0),0)</f>
        <v>-33997038.251745202</v>
      </c>
      <c r="S1124" s="25">
        <f t="shared" ca="1" si="1047"/>
        <v>-36326875.290990107</v>
      </c>
    </row>
    <row r="1125" spans="1:19" ht="15.75" customHeight="1" x14ac:dyDescent="0.3">
      <c r="A1125" s="37">
        <v>85194</v>
      </c>
      <c r="B1125" s="398">
        <f t="shared" ref="B1125:C1125" si="1141">($A1125-B$9)/365.25</f>
        <v>151.37029431895962</v>
      </c>
      <c r="C1125" s="398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3254.2644699519233</v>
      </c>
      <c r="H1125" s="25">
        <f>IF(B1125&lt;62,0,'Combined Retirement'!$I$14)</f>
        <v>2345</v>
      </c>
      <c r="I1125" s="25">
        <f>IF(C1125&lt;62,0,'Combined Retirement'!$I$13)</f>
        <v>2420</v>
      </c>
      <c r="J1125" s="25">
        <f t="shared" si="1043"/>
        <v>7896.2379798201846</v>
      </c>
      <c r="K1125" s="25">
        <f t="shared" si="1044"/>
        <v>20367.195264578786</v>
      </c>
      <c r="L1125" s="25"/>
      <c r="N1125" s="25">
        <f>'Combined Retirement'!$C$18/12</f>
        <v>39153.069999999992</v>
      </c>
      <c r="O1125" s="25">
        <f t="shared" si="1045"/>
        <v>10889.636755601023</v>
      </c>
      <c r="P1125" s="25">
        <f t="shared" si="1046"/>
        <v>28263.43324439897</v>
      </c>
      <c r="Q1125" s="25">
        <f t="array" aca="1" ref="Q1125" ca="1">INDEX('Isaac 401k'!L:L,MATCH('Retirement Calculator'!A1125,'Isaac 401k'!N:N,0),0)</f>
        <v>-2347473.8325464921</v>
      </c>
      <c r="R1125" s="25">
        <f t="array" aca="1" ref="R1125" ca="1">INDEX('Lorri 401b'!L:L,MATCH('Retirement Calculator'!A1125,'Lorri 401b'!N:N,0),0)</f>
        <v>-34159144.63637232</v>
      </c>
      <c r="S1125" s="25">
        <f t="shared" ca="1" si="1047"/>
        <v>-36506618.468918815</v>
      </c>
    </row>
    <row r="1126" spans="1:19" ht="15.75" customHeight="1" x14ac:dyDescent="0.3">
      <c r="A1126" s="37">
        <v>85224</v>
      </c>
      <c r="B1126" s="398">
        <f t="shared" ref="B1126:C1126" si="1142">($A1126-B$9)/365.25</f>
        <v>151.45242984257359</v>
      </c>
      <c r="C1126" s="398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3254.2644699519233</v>
      </c>
      <c r="H1126" s="25">
        <f>IF(B1126&lt;62,0,'Combined Retirement'!$I$14)</f>
        <v>2345</v>
      </c>
      <c r="I1126" s="25">
        <f>IF(C1126&lt;62,0,'Combined Retirement'!$I$13)</f>
        <v>2420</v>
      </c>
      <c r="J1126" s="25">
        <f t="shared" si="1043"/>
        <v>7896.2379798201846</v>
      </c>
      <c r="K1126" s="25">
        <f t="shared" si="1044"/>
        <v>20367.195264578786</v>
      </c>
      <c r="L1126" s="25"/>
      <c r="N1126" s="25">
        <f>'Combined Retirement'!$C$18/12</f>
        <v>39153.069999999992</v>
      </c>
      <c r="O1126" s="25">
        <f t="shared" si="1045"/>
        <v>10889.636755601023</v>
      </c>
      <c r="P1126" s="25">
        <f t="shared" si="1046"/>
        <v>28263.43324439897</v>
      </c>
      <c r="Q1126" s="25">
        <f t="array" aca="1" ref="Q1126" ca="1">INDEX('Isaac 401k'!L:L,MATCH('Retirement Calculator'!A1126,'Isaac 401k'!N:N,0),0)</f>
        <v>-2365184.1124868384</v>
      </c>
      <c r="R1126" s="25">
        <f t="array" aca="1" ref="R1126" ca="1">INDEX('Lorri 401b'!L:L,MATCH('Retirement Calculator'!A1126,'Lorri 401b'!N:N,0),0)</f>
        <v>-34321926.464268722</v>
      </c>
      <c r="S1126" s="25">
        <f t="shared" ca="1" si="1047"/>
        <v>-36687110.576755561</v>
      </c>
    </row>
    <row r="1127" spans="1:19" ht="15.75" customHeight="1" x14ac:dyDescent="0.3">
      <c r="A1127" s="37">
        <v>85255</v>
      </c>
      <c r="B1127" s="398">
        <f t="shared" ref="B1127:C1127" si="1143">($A1127-B$9)/365.25</f>
        <v>151.53730321697466</v>
      </c>
      <c r="C1127" s="398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3254.2644699519233</v>
      </c>
      <c r="H1127" s="25">
        <f>IF(B1127&lt;62,0,'Combined Retirement'!$I$14)</f>
        <v>2345</v>
      </c>
      <c r="I1127" s="25">
        <f>IF(C1127&lt;62,0,'Combined Retirement'!$I$13)</f>
        <v>2420</v>
      </c>
      <c r="J1127" s="25">
        <f t="shared" si="1043"/>
        <v>7896.2379798201846</v>
      </c>
      <c r="K1127" s="25">
        <f t="shared" si="1044"/>
        <v>20367.195264578786</v>
      </c>
      <c r="L1127" s="25"/>
      <c r="N1127" s="25">
        <f>'Combined Retirement'!$C$18/12</f>
        <v>39153.069999999992</v>
      </c>
      <c r="O1127" s="25">
        <f t="shared" si="1045"/>
        <v>10889.636755601023</v>
      </c>
      <c r="P1127" s="25">
        <f t="shared" si="1046"/>
        <v>28263.43324439897</v>
      </c>
      <c r="Q1127" s="25">
        <f t="array" aca="1" ref="Q1127" ca="1">INDEX('Isaac 401k'!L:L,MATCH('Retirement Calculator'!A1127,'Isaac 401k'!N:N,0),0)</f>
        <v>-2382968.1852602693</v>
      </c>
      <c r="R1127" s="25">
        <f t="array" aca="1" ref="R1127" ca="1">INDEX('Lorri 401b'!L:L,MATCH('Retirement Calculator'!A1127,'Lorri 401b'!N:N,0),0)</f>
        <v>-34485386.549781352</v>
      </c>
      <c r="S1127" s="25">
        <f t="shared" ca="1" si="1047"/>
        <v>-36868354.735041618</v>
      </c>
    </row>
    <row r="1128" spans="1:19" ht="15.75" customHeight="1" x14ac:dyDescent="0.3">
      <c r="A1128" s="37">
        <v>85285</v>
      </c>
      <c r="B1128" s="398">
        <f t="shared" ref="B1128:C1128" si="1144">($A1128-B$9)/365.25</f>
        <v>151.61943874058863</v>
      </c>
      <c r="C1128" s="398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3254.2644699519233</v>
      </c>
      <c r="H1128" s="25">
        <f>IF(B1128&lt;62,0,'Combined Retirement'!$I$14)</f>
        <v>2345</v>
      </c>
      <c r="I1128" s="25">
        <f>IF(C1128&lt;62,0,'Combined Retirement'!$I$13)</f>
        <v>2420</v>
      </c>
      <c r="J1128" s="25">
        <f t="shared" si="1043"/>
        <v>7896.2379798201846</v>
      </c>
      <c r="K1128" s="25">
        <f t="shared" si="1044"/>
        <v>20367.195264578786</v>
      </c>
      <c r="L1128" s="25"/>
      <c r="N1128" s="25">
        <f>'Combined Retirement'!$C$18/12</f>
        <v>39153.069999999992</v>
      </c>
      <c r="O1128" s="25">
        <f t="shared" si="1045"/>
        <v>10889.636755601023</v>
      </c>
      <c r="P1128" s="25">
        <f t="shared" si="1046"/>
        <v>28263.43324439897</v>
      </c>
      <c r="Q1128" s="25">
        <f t="array" aca="1" ref="Q1128" ca="1">INDEX('Isaac 401k'!L:L,MATCH('Retirement Calculator'!A1128,'Isaac 401k'!N:N,0),0)</f>
        <v>-2400826.3583369232</v>
      </c>
      <c r="R1128" s="25">
        <f t="array" aca="1" ref="R1128" ca="1">INDEX('Lorri 401b'!L:L,MATCH('Retirement Calculator'!A1128,'Lorri 401b'!N:N,0),0)</f>
        <v>-34649527.71898362</v>
      </c>
      <c r="S1128" s="25">
        <f t="shared" ca="1" si="1047"/>
        <v>-37050354.077320546</v>
      </c>
    </row>
    <row r="1129" spans="1:19" ht="15.75" customHeight="1" x14ac:dyDescent="0.3">
      <c r="A1129" s="37">
        <v>85316</v>
      </c>
      <c r="B1129" s="398">
        <f t="shared" ref="B1129:C1129" si="1145">($A1129-B$9)/365.25</f>
        <v>151.70431211498973</v>
      </c>
      <c r="C1129" s="398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3254.2644699519233</v>
      </c>
      <c r="H1129" s="25">
        <f>IF(B1129&lt;62,0,'Combined Retirement'!$I$14)</f>
        <v>2345</v>
      </c>
      <c r="I1129" s="25">
        <f>IF(C1129&lt;62,0,'Combined Retirement'!$I$13)</f>
        <v>2420</v>
      </c>
      <c r="J1129" s="25">
        <f t="shared" si="1043"/>
        <v>7896.2379798201846</v>
      </c>
      <c r="K1129" s="25">
        <f t="shared" si="1044"/>
        <v>20367.195264578786</v>
      </c>
      <c r="L1129" s="25"/>
      <c r="N1129" s="25">
        <f>'Combined Retirement'!$C$18/12</f>
        <v>39153.069999999992</v>
      </c>
      <c r="O1129" s="25">
        <f t="shared" si="1045"/>
        <v>10889.636755601023</v>
      </c>
      <c r="P1129" s="25">
        <f t="shared" si="1046"/>
        <v>28263.43324439897</v>
      </c>
      <c r="Q1129" s="25">
        <f t="array" aca="1" ref="Q1129" ca="1">INDEX('Isaac 401k'!L:L,MATCH('Retirement Calculator'!A1129,'Isaac 401k'!N:N,0),0)</f>
        <v>-2418758.9404680631</v>
      </c>
      <c r="R1129" s="25">
        <f t="array" aca="1" ref="R1129" ca="1">INDEX('Lorri 401b'!L:L,MATCH('Retirement Calculator'!A1129,'Lorri 401b'!N:N,0),0)</f>
        <v>-34814352.809724234</v>
      </c>
      <c r="S1129" s="25">
        <f t="shared" ca="1" si="1047"/>
        <v>-37233111.750192299</v>
      </c>
    </row>
    <row r="1130" spans="1:19" ht="15.75" customHeight="1" x14ac:dyDescent="0.3">
      <c r="A1130" s="37">
        <v>85347</v>
      </c>
      <c r="B1130" s="398">
        <f t="shared" ref="B1130:C1130" si="1146">($A1130-B$9)/365.25</f>
        <v>151.78918548939083</v>
      </c>
      <c r="C1130" s="398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3254.2644699519233</v>
      </c>
      <c r="H1130" s="25">
        <f>IF(B1130&lt;62,0,'Combined Retirement'!$I$14)</f>
        <v>2345</v>
      </c>
      <c r="I1130" s="25">
        <f>IF(C1130&lt;62,0,'Combined Retirement'!$I$13)</f>
        <v>2420</v>
      </c>
      <c r="J1130" s="25">
        <f t="shared" si="1043"/>
        <v>7896.2379798201846</v>
      </c>
      <c r="K1130" s="25">
        <f t="shared" si="1044"/>
        <v>20367.195264578786</v>
      </c>
      <c r="L1130" s="25"/>
      <c r="N1130" s="25">
        <f>'Combined Retirement'!$C$18/12</f>
        <v>39153.069999999992</v>
      </c>
      <c r="O1130" s="25">
        <f t="shared" si="1045"/>
        <v>10889.636755601023</v>
      </c>
      <c r="P1130" s="25">
        <f t="shared" si="1046"/>
        <v>28263.43324439897</v>
      </c>
      <c r="Q1130" s="25">
        <f t="array" aca="1" ref="Q1130" ca="1">INDEX('Isaac 401k'!L:L,MATCH('Retirement Calculator'!A1130,'Isaac 401k'!N:N,0),0)</f>
        <v>-2436766.2416914161</v>
      </c>
      <c r="R1130" s="25">
        <f t="array" aca="1" ref="R1130" ca="1">INDEX('Lorri 401b'!L:L,MATCH('Retirement Calculator'!A1130,'Lorri 401b'!N:N,0),0)</f>
        <v>-34979864.671676263</v>
      </c>
      <c r="S1130" s="25">
        <f t="shared" ca="1" si="1047"/>
        <v>-37416630.913367681</v>
      </c>
    </row>
    <row r="1131" spans="1:19" ht="15.75" customHeight="1" x14ac:dyDescent="0.3">
      <c r="A1131" s="37">
        <v>85377</v>
      </c>
      <c r="B1131" s="398">
        <f t="shared" ref="B1131:C1131" si="1147">($A1131-B$9)/365.25</f>
        <v>151.8713210130048</v>
      </c>
      <c r="C1131" s="398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3254.2644699519233</v>
      </c>
      <c r="H1131" s="25">
        <f>IF(B1131&lt;62,0,'Combined Retirement'!$I$14)</f>
        <v>2345</v>
      </c>
      <c r="I1131" s="25">
        <f>IF(C1131&lt;62,0,'Combined Retirement'!$I$13)</f>
        <v>2420</v>
      </c>
      <c r="J1131" s="25">
        <f t="shared" si="1043"/>
        <v>7896.2379798201846</v>
      </c>
      <c r="K1131" s="25">
        <f t="shared" si="1044"/>
        <v>20367.195264578786</v>
      </c>
      <c r="L1131" s="25"/>
      <c r="N1131" s="25">
        <f>'Combined Retirement'!$C$18/12</f>
        <v>39153.069999999992</v>
      </c>
      <c r="O1131" s="25">
        <f t="shared" si="1045"/>
        <v>10889.636755601023</v>
      </c>
      <c r="P1131" s="25">
        <f t="shared" si="1046"/>
        <v>28263.43324439897</v>
      </c>
      <c r="Q1131" s="25">
        <f t="array" aca="1" ref="Q1131" ca="1">INDEX('Isaac 401k'!L:L,MATCH('Retirement Calculator'!A1131,'Isaac 401k'!N:N,0),0)</f>
        <v>-2454848.5733365328</v>
      </c>
      <c r="R1131" s="25">
        <f t="array" aca="1" ref="R1131" ca="1">INDEX('Lorri 401b'!L:L,MATCH('Retirement Calculator'!A1131,'Lorri 401b'!N:N,0),0)</f>
        <v>-35146066.166386425</v>
      </c>
      <c r="S1131" s="25">
        <f t="shared" ca="1" si="1047"/>
        <v>-37600914.73972296</v>
      </c>
    </row>
    <row r="1132" spans="1:19" ht="15.75" customHeight="1" x14ac:dyDescent="0.3">
      <c r="A1132" s="37">
        <v>85408</v>
      </c>
      <c r="B1132" s="398">
        <f t="shared" ref="B1132:C1132" si="1148">($A1132-B$9)/365.25</f>
        <v>151.95619438740587</v>
      </c>
      <c r="C1132" s="398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3254.2644699519233</v>
      </c>
      <c r="H1132" s="25">
        <f>IF(B1132&lt;62,0,'Combined Retirement'!$I$14)</f>
        <v>2345</v>
      </c>
      <c r="I1132" s="25">
        <f>IF(C1132&lt;62,0,'Combined Retirement'!$I$13)</f>
        <v>2420</v>
      </c>
      <c r="J1132" s="25">
        <f t="shared" si="1043"/>
        <v>7896.2379798201846</v>
      </c>
      <c r="K1132" s="25">
        <f t="shared" si="1044"/>
        <v>20367.195264578786</v>
      </c>
      <c r="L1132" s="25"/>
      <c r="N1132" s="25">
        <f>'Combined Retirement'!$C$18/12</f>
        <v>39153.069999999992</v>
      </c>
      <c r="O1132" s="25">
        <f t="shared" si="1045"/>
        <v>10889.636755601023</v>
      </c>
      <c r="P1132" s="25">
        <f t="shared" si="1046"/>
        <v>28263.43324439897</v>
      </c>
      <c r="Q1132" s="25">
        <f t="array" aca="1" ref="Q1132" ca="1">INDEX('Isaac 401k'!L:L,MATCH('Retirement Calculator'!A1132,'Isaac 401k'!N:N,0),0)</f>
        <v>-2473006.2480301708</v>
      </c>
      <c r="R1132" s="25">
        <f t="array" aca="1" ref="R1132" ca="1">INDEX('Lorri 401b'!L:L,MATCH('Retirement Calculator'!A1132,'Lorri 401b'!N:N,0),0)</f>
        <v>-35312960.16732455</v>
      </c>
      <c r="S1132" s="25">
        <f t="shared" ca="1" si="1047"/>
        <v>-37785966.415354721</v>
      </c>
    </row>
    <row r="1133" spans="1:19" ht="15.75" customHeight="1" x14ac:dyDescent="0.3">
      <c r="A1133" s="37">
        <v>85438</v>
      </c>
      <c r="B1133" s="398">
        <f t="shared" ref="B1133:C1133" si="1149">($A1133-B$9)/365.25</f>
        <v>152.03832991101984</v>
      </c>
      <c r="C1133" s="398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3254.2644699519233</v>
      </c>
      <c r="H1133" s="25">
        <f>IF(B1133&lt;62,0,'Combined Retirement'!$I$14)</f>
        <v>2345</v>
      </c>
      <c r="I1133" s="25">
        <f>IF(C1133&lt;62,0,'Combined Retirement'!$I$13)</f>
        <v>2420</v>
      </c>
      <c r="J1133" s="25">
        <f t="shared" si="1043"/>
        <v>7896.2379798201846</v>
      </c>
      <c r="K1133" s="25">
        <f t="shared" si="1044"/>
        <v>20367.195264578786</v>
      </c>
      <c r="L1133" s="25"/>
      <c r="N1133" s="25">
        <f>'Combined Retirement'!$C$18/12</f>
        <v>39153.069999999992</v>
      </c>
      <c r="O1133" s="25">
        <f t="shared" si="1045"/>
        <v>10889.636755601023</v>
      </c>
      <c r="P1133" s="25">
        <f t="shared" si="1046"/>
        <v>28263.43324439897</v>
      </c>
      <c r="Q1133" s="25">
        <f t="array" aca="1" ref="Q1133" ca="1">INDEX('Isaac 401k'!L:L,MATCH('Retirement Calculator'!A1133,'Isaac 401k'!N:N,0),0)</f>
        <v>-2491239.5797016993</v>
      </c>
      <c r="R1133" s="25">
        <f t="array" aca="1" ref="R1133" ca="1">INDEX('Lorri 401b'!L:L,MATCH('Retirement Calculator'!A1133,'Lorri 401b'!N:N,0),0)</f>
        <v>-35480549.559933253</v>
      </c>
      <c r="S1133" s="25">
        <f t="shared" ca="1" si="1047"/>
        <v>-37971789.139634952</v>
      </c>
    </row>
    <row r="1134" spans="1:19" ht="15.75" customHeight="1" x14ac:dyDescent="0.3">
      <c r="A1134" s="37">
        <v>85469</v>
      </c>
      <c r="B1134" s="398">
        <f t="shared" ref="B1134:C1134" si="1150">($A1134-B$9)/365.25</f>
        <v>152.12320328542094</v>
      </c>
      <c r="C1134" s="398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3254.2644699519233</v>
      </c>
      <c r="H1134" s="25">
        <f>IF(B1134&lt;62,0,'Combined Retirement'!$I$14)</f>
        <v>2345</v>
      </c>
      <c r="I1134" s="25">
        <f>IF(C1134&lt;62,0,'Combined Retirement'!$I$13)</f>
        <v>2420</v>
      </c>
      <c r="J1134" s="25">
        <f t="shared" si="1043"/>
        <v>7896.2379798201846</v>
      </c>
      <c r="K1134" s="25">
        <f t="shared" si="1044"/>
        <v>20367.195264578786</v>
      </c>
      <c r="L1134" s="25"/>
      <c r="N1134" s="25">
        <f>'Combined Retirement'!$C$18/12</f>
        <v>39153.069999999992</v>
      </c>
      <c r="O1134" s="25">
        <f t="shared" si="1045"/>
        <v>10889.636755601023</v>
      </c>
      <c r="P1134" s="25">
        <f t="shared" si="1046"/>
        <v>28263.43324439897</v>
      </c>
      <c r="Q1134" s="25">
        <f t="array" aca="1" ref="Q1134" ca="1">INDEX('Isaac 401k'!L:L,MATCH('Retirement Calculator'!A1134,'Isaac 401k'!N:N,0),0)</f>
        <v>-2509548.8835885255</v>
      </c>
      <c r="R1134" s="25">
        <f t="array" aca="1" ref="R1134" ca="1">INDEX('Lorri 401b'!L:L,MATCH('Retirement Calculator'!A1134,'Lorri 401b'!N:N,0),0)</f>
        <v>-35648837.241677821</v>
      </c>
      <c r="S1134" s="25">
        <f t="shared" ca="1" si="1047"/>
        <v>-38158386.125266343</v>
      </c>
    </row>
    <row r="1135" spans="1:19" ht="15.75" customHeight="1" x14ac:dyDescent="0.3">
      <c r="A1135" s="37">
        <v>85500</v>
      </c>
      <c r="B1135" s="398">
        <f t="shared" ref="B1135:C1135" si="1151">($A1135-B$9)/365.25</f>
        <v>152.20807665982204</v>
      </c>
      <c r="C1135" s="398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3254.2644699519233</v>
      </c>
      <c r="H1135" s="25">
        <f>IF(B1135&lt;62,0,'Combined Retirement'!$I$14)</f>
        <v>2345</v>
      </c>
      <c r="I1135" s="25">
        <f>IF(C1135&lt;62,0,'Combined Retirement'!$I$13)</f>
        <v>2420</v>
      </c>
      <c r="J1135" s="25">
        <f t="shared" si="1043"/>
        <v>7896.2379798201846</v>
      </c>
      <c r="K1135" s="25">
        <f t="shared" si="1044"/>
        <v>20367.195264578786</v>
      </c>
      <c r="L1135" s="25"/>
      <c r="N1135" s="25">
        <f>'Combined Retirement'!$C$18/12</f>
        <v>39153.069999999992</v>
      </c>
      <c r="O1135" s="25">
        <f t="shared" si="1045"/>
        <v>10889.636755601023</v>
      </c>
      <c r="P1135" s="25">
        <f t="shared" si="1046"/>
        <v>28263.43324439897</v>
      </c>
      <c r="Q1135" s="25">
        <f t="array" aca="1" ref="Q1135" ca="1">INDEX('Isaac 401k'!L:L,MATCH('Retirement Calculator'!A1135,'Isaac 401k'!N:N,0),0)</f>
        <v>-2527934.4762415467</v>
      </c>
      <c r="R1135" s="25">
        <f t="array" aca="1" ref="R1135" ca="1">INDEX('Lorri 401b'!L:L,MATCH('Retirement Calculator'!A1135,'Lorri 401b'!N:N,0),0)</f>
        <v>-35817826.122096322</v>
      </c>
      <c r="S1135" s="25">
        <f t="shared" ca="1" si="1047"/>
        <v>-38345760.598337866</v>
      </c>
    </row>
    <row r="1136" spans="1:19" ht="15.75" customHeight="1" x14ac:dyDescent="0.3">
      <c r="A1136" s="37">
        <v>85528</v>
      </c>
      <c r="B1136" s="398">
        <f t="shared" ref="B1136:C1136" si="1152">($A1136-B$9)/365.25</f>
        <v>152.28473648186173</v>
      </c>
      <c r="C1136" s="398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3254.2644699519233</v>
      </c>
      <c r="H1136" s="25">
        <f>IF(B1136&lt;62,0,'Combined Retirement'!$I$14)</f>
        <v>2345</v>
      </c>
      <c r="I1136" s="25">
        <f>IF(C1136&lt;62,0,'Combined Retirement'!$I$13)</f>
        <v>2420</v>
      </c>
      <c r="J1136" s="25">
        <f t="shared" si="1043"/>
        <v>7896.2379798201846</v>
      </c>
      <c r="K1136" s="25">
        <f t="shared" si="1044"/>
        <v>20367.195264578786</v>
      </c>
      <c r="L1136" s="25"/>
      <c r="N1136" s="25">
        <f>'Combined Retirement'!$C$18/12</f>
        <v>39153.069999999992</v>
      </c>
      <c r="O1136" s="25">
        <f t="shared" si="1045"/>
        <v>10889.636755601023</v>
      </c>
      <c r="P1136" s="25">
        <f t="shared" si="1046"/>
        <v>28263.43324439897</v>
      </c>
      <c r="Q1136" s="25">
        <f t="array" aca="1" ref="Q1136" ca="1">INDEX('Isaac 401k'!L:L,MATCH('Retirement Calculator'!A1136,'Isaac 401k'!N:N,0),0)</f>
        <v>-2546396.6755306222</v>
      </c>
      <c r="R1136" s="25">
        <f t="array" aca="1" ref="R1136" ca="1">INDEX('Lorri 401b'!L:L,MATCH('Retirement Calculator'!A1136,'Lorri 401b'!N:N,0),0)</f>
        <v>-35987519.122849904</v>
      </c>
      <c r="S1136" s="25">
        <f t="shared" ca="1" si="1047"/>
        <v>-38533915.798380524</v>
      </c>
    </row>
    <row r="1137" spans="1:19" ht="15.75" customHeight="1" x14ac:dyDescent="0.3">
      <c r="A1137" s="37">
        <v>85559</v>
      </c>
      <c r="B1137" s="398">
        <f t="shared" ref="B1137:C1137" si="1153">($A1137-B$9)/365.25</f>
        <v>152.36960985626283</v>
      </c>
      <c r="C1137" s="398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3254.2644699519233</v>
      </c>
      <c r="H1137" s="25">
        <f>IF(B1137&lt;62,0,'Combined Retirement'!$I$14)</f>
        <v>2345</v>
      </c>
      <c r="I1137" s="25">
        <f>IF(C1137&lt;62,0,'Combined Retirement'!$I$13)</f>
        <v>2420</v>
      </c>
      <c r="J1137" s="25">
        <f t="shared" si="1043"/>
        <v>7896.2379798201846</v>
      </c>
      <c r="K1137" s="25">
        <f t="shared" si="1044"/>
        <v>20367.195264578786</v>
      </c>
      <c r="L1137" s="25"/>
      <c r="N1137" s="25">
        <f>'Combined Retirement'!$C$18/12</f>
        <v>39153.069999999992</v>
      </c>
      <c r="O1137" s="25">
        <f t="shared" si="1045"/>
        <v>10889.636755601023</v>
      </c>
      <c r="P1137" s="25">
        <f t="shared" si="1046"/>
        <v>28263.43324439897</v>
      </c>
      <c r="Q1137" s="25">
        <f t="array" aca="1" ref="Q1137" ca="1">INDEX('Isaac 401k'!L:L,MATCH('Retirement Calculator'!A1137,'Isaac 401k'!N:N,0),0)</f>
        <v>-2564935.800650069</v>
      </c>
      <c r="R1137" s="25">
        <f t="array" aca="1" ref="R1137" ca="1">INDEX('Lorri 401b'!L:L,MATCH('Retirement Calculator'!A1137,'Lorri 401b'!N:N,0),0)</f>
        <v>-36157919.177773289</v>
      </c>
      <c r="S1137" s="25">
        <f t="shared" ca="1" si="1047"/>
        <v>-38722854.978423357</v>
      </c>
    </row>
    <row r="1138" spans="1:19" ht="15.75" customHeight="1" x14ac:dyDescent="0.3">
      <c r="A1138" s="37">
        <v>85589</v>
      </c>
      <c r="B1138" s="398">
        <f t="shared" ref="B1138:C1138" si="1154">($A1138-B$9)/365.25</f>
        <v>152.4517453798768</v>
      </c>
      <c r="C1138" s="398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3254.2644699519233</v>
      </c>
      <c r="H1138" s="25">
        <f>IF(B1138&lt;62,0,'Combined Retirement'!$I$14)</f>
        <v>2345</v>
      </c>
      <c r="I1138" s="25">
        <f>IF(C1138&lt;62,0,'Combined Retirement'!$I$13)</f>
        <v>2420</v>
      </c>
      <c r="J1138" s="25">
        <f t="shared" si="1043"/>
        <v>7896.2379798201846</v>
      </c>
      <c r="K1138" s="25">
        <f t="shared" si="1044"/>
        <v>20367.195264578786</v>
      </c>
      <c r="L1138" s="25"/>
      <c r="N1138" s="25">
        <f>'Combined Retirement'!$C$18/12</f>
        <v>39153.069999999992</v>
      </c>
      <c r="O1138" s="25">
        <f t="shared" si="1045"/>
        <v>10889.636755601023</v>
      </c>
      <c r="P1138" s="25">
        <f t="shared" si="1046"/>
        <v>28263.43324439897</v>
      </c>
      <c r="Q1138" s="25">
        <f t="array" aca="1" ref="Q1138" ca="1">INDEX('Isaac 401k'!L:L,MATCH('Retirement Calculator'!A1138,'Isaac 401k'!N:N,0),0)</f>
        <v>-2583552.17212418</v>
      </c>
      <c r="R1138" s="25">
        <f t="array" aca="1" ref="R1138" ca="1">INDEX('Lorri 401b'!L:L,MATCH('Retirement Calculator'!A1138,'Lorri 401b'!N:N,0),0)</f>
        <v>-36329029.232925527</v>
      </c>
      <c r="S1138" s="25">
        <f t="shared" ca="1" si="1047"/>
        <v>-38912581.405049704</v>
      </c>
    </row>
    <row r="1139" spans="1:19" ht="15.75" customHeight="1" x14ac:dyDescent="0.3">
      <c r="A1139" s="37">
        <v>85620</v>
      </c>
      <c r="B1139" s="398">
        <f t="shared" ref="B1139:C1139" si="1155">($A1139-B$9)/365.25</f>
        <v>152.5366187542779</v>
      </c>
      <c r="C1139" s="398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3254.2644699519233</v>
      </c>
      <c r="H1139" s="25">
        <f>IF(B1139&lt;62,0,'Combined Retirement'!$I$14)</f>
        <v>2345</v>
      </c>
      <c r="I1139" s="25">
        <f>IF(C1139&lt;62,0,'Combined Retirement'!$I$13)</f>
        <v>2420</v>
      </c>
      <c r="J1139" s="25">
        <f t="shared" si="1043"/>
        <v>7896.2379798201846</v>
      </c>
      <c r="K1139" s="25">
        <f t="shared" si="1044"/>
        <v>20367.195264578786</v>
      </c>
      <c r="L1139" s="25"/>
      <c r="N1139" s="25">
        <f>'Combined Retirement'!$C$18/12</f>
        <v>39153.069999999992</v>
      </c>
      <c r="O1139" s="25">
        <f t="shared" si="1045"/>
        <v>10889.636755601023</v>
      </c>
      <c r="P1139" s="25">
        <f t="shared" si="1046"/>
        <v>28263.43324439897</v>
      </c>
      <c r="Q1139" s="25">
        <f t="array" aca="1" ref="Q1139" ca="1">INDEX('Isaac 401k'!L:L,MATCH('Retirement Calculator'!A1139,'Isaac 401k'!N:N,0),0)</f>
        <v>-2602246.1118127666</v>
      </c>
      <c r="R1139" s="25">
        <f t="array" aca="1" ref="R1139" ca="1">INDEX('Lorri 401b'!L:L,MATCH('Retirement Calculator'!A1139,'Lorri 401b'!N:N,0),0)</f>
        <v>-36500852.246640898</v>
      </c>
      <c r="S1139" s="25">
        <f t="shared" ca="1" si="1047"/>
        <v>-39103098.358453661</v>
      </c>
    </row>
    <row r="1140" spans="1:19" ht="15.75" customHeight="1" x14ac:dyDescent="0.3">
      <c r="A1140" s="37">
        <v>85650</v>
      </c>
      <c r="B1140" s="398">
        <f t="shared" ref="B1140:C1140" si="1156">($A1140-B$9)/365.25</f>
        <v>152.61875427789187</v>
      </c>
      <c r="C1140" s="398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3254.2644699519233</v>
      </c>
      <c r="H1140" s="25">
        <f>IF(B1140&lt;62,0,'Combined Retirement'!$I$14)</f>
        <v>2345</v>
      </c>
      <c r="I1140" s="25">
        <f>IF(C1140&lt;62,0,'Combined Retirement'!$I$13)</f>
        <v>2420</v>
      </c>
      <c r="J1140" s="25">
        <f t="shared" si="1043"/>
        <v>7896.2379798201846</v>
      </c>
      <c r="K1140" s="25">
        <f t="shared" si="1044"/>
        <v>20367.195264578786</v>
      </c>
      <c r="L1140" s="25"/>
      <c r="N1140" s="25">
        <f>'Combined Retirement'!$C$18/12</f>
        <v>39153.069999999992</v>
      </c>
      <c r="O1140" s="25">
        <f t="shared" si="1045"/>
        <v>10889.636755601023</v>
      </c>
      <c r="P1140" s="25">
        <f t="shared" si="1046"/>
        <v>28263.43324439897</v>
      </c>
      <c r="Q1140" s="25">
        <f t="array" aca="1" ref="Q1140" ca="1">INDEX('Isaac 401k'!L:L,MATCH('Retirement Calculator'!A1140,'Isaac 401k'!N:N,0),0)</f>
        <v>-2621017.9429167225</v>
      </c>
      <c r="R1140" s="25">
        <f t="array" aca="1" ref="R1140" ca="1">INDEX('Lorri 401b'!L:L,MATCH('Retirement Calculator'!A1140,'Lorri 401b'!N:N,0),0)</f>
        <v>-36673391.189580083</v>
      </c>
      <c r="S1140" s="25">
        <f t="shared" ca="1" si="1047"/>
        <v>-39294409.132496804</v>
      </c>
    </row>
    <row r="1141" spans="1:19" ht="15.75" customHeight="1" x14ac:dyDescent="0.3">
      <c r="A1141" s="37">
        <v>85681</v>
      </c>
      <c r="B1141" s="398">
        <f t="shared" ref="B1141:C1141" si="1157">($A1141-B$9)/365.25</f>
        <v>152.70362765229294</v>
      </c>
      <c r="C1141" s="398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3254.2644699519233</v>
      </c>
      <c r="H1141" s="25">
        <f>IF(B1141&lt;62,0,'Combined Retirement'!$I$14)</f>
        <v>2345</v>
      </c>
      <c r="I1141" s="25">
        <f>IF(C1141&lt;62,0,'Combined Retirement'!$I$13)</f>
        <v>2420</v>
      </c>
      <c r="J1141" s="25">
        <f t="shared" si="1043"/>
        <v>7896.2379798201846</v>
      </c>
      <c r="K1141" s="25">
        <f t="shared" si="1044"/>
        <v>20367.195264578786</v>
      </c>
      <c r="L1141" s="25"/>
      <c r="N1141" s="25">
        <f>'Combined Retirement'!$C$18/12</f>
        <v>39153.069999999992</v>
      </c>
      <c r="O1141" s="25">
        <f t="shared" si="1045"/>
        <v>10889.636755601023</v>
      </c>
      <c r="P1141" s="25">
        <f t="shared" si="1046"/>
        <v>28263.43324439897</v>
      </c>
      <c r="Q1141" s="25">
        <f t="array" aca="1" ref="Q1141" ca="1">INDEX('Isaac 401k'!L:L,MATCH('Retirement Calculator'!A1141,'Isaac 401k'!N:N,0),0)</f>
        <v>-2639867.9899836113</v>
      </c>
      <c r="R1141" s="25">
        <f t="array" aca="1" ref="R1141" ca="1">INDEX('Lorri 401b'!L:L,MATCH('Retirement Calculator'!A1141,'Lorri 401b'!N:N,0),0)</f>
        <v>-36846649.044781514</v>
      </c>
      <c r="S1141" s="25">
        <f t="shared" ca="1" si="1047"/>
        <v>-39486517.034765124</v>
      </c>
    </row>
    <row r="1142" spans="1:19" ht="15.75" customHeight="1" x14ac:dyDescent="0.3">
      <c r="A1142" s="37">
        <v>85712</v>
      </c>
      <c r="B1142" s="398">
        <f t="shared" ref="B1142:C1142" si="1158">($A1142-B$9)/365.25</f>
        <v>152.78850102669404</v>
      </c>
      <c r="C1142" s="398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3254.2644699519233</v>
      </c>
      <c r="H1142" s="25">
        <f>IF(B1142&lt;62,0,'Combined Retirement'!$I$14)</f>
        <v>2345</v>
      </c>
      <c r="I1142" s="25">
        <f>IF(C1142&lt;62,0,'Combined Retirement'!$I$13)</f>
        <v>2420</v>
      </c>
      <c r="J1142" s="25">
        <f t="shared" si="1043"/>
        <v>7896.2379798201846</v>
      </c>
      <c r="K1142" s="25">
        <f t="shared" si="1044"/>
        <v>20367.195264578786</v>
      </c>
      <c r="L1142" s="25"/>
      <c r="N1142" s="25">
        <f>'Combined Retirement'!$C$18/12</f>
        <v>39153.069999999992</v>
      </c>
      <c r="O1142" s="25">
        <f t="shared" si="1045"/>
        <v>10889.636755601023</v>
      </c>
      <c r="P1142" s="25">
        <f t="shared" si="1046"/>
        <v>28263.43324439897</v>
      </c>
      <c r="Q1142" s="25">
        <f t="array" aca="1" ref="Q1142" ca="1">INDEX('Isaac 401k'!L:L,MATCH('Retirement Calculator'!A1142,'Isaac 401k'!N:N,0),0)</f>
        <v>-2658796.5789132789</v>
      </c>
      <c r="R1142" s="25">
        <f t="array" aca="1" ref="R1142" ca="1">INDEX('Lorri 401b'!L:L,MATCH('Retirement Calculator'!A1142,'Lorri 401b'!N:N,0),0)</f>
        <v>-37020628.80771295</v>
      </c>
      <c r="S1142" s="25">
        <f t="shared" ca="1" si="1047"/>
        <v>-39679425.386626229</v>
      </c>
    </row>
    <row r="1143" spans="1:19" ht="15.75" customHeight="1" x14ac:dyDescent="0.3">
      <c r="A1143" s="37">
        <v>85742</v>
      </c>
      <c r="B1143" s="398">
        <f t="shared" ref="B1143:C1143" si="1159">($A1143-B$9)/365.25</f>
        <v>152.87063655030801</v>
      </c>
      <c r="C1143" s="398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3254.2644699519233</v>
      </c>
      <c r="H1143" s="25">
        <f>IF(B1143&lt;62,0,'Combined Retirement'!$I$14)</f>
        <v>2345</v>
      </c>
      <c r="I1143" s="25">
        <f>IF(C1143&lt;62,0,'Combined Retirement'!$I$13)</f>
        <v>2420</v>
      </c>
      <c r="J1143" s="25">
        <f t="shared" si="1043"/>
        <v>7896.2379798201846</v>
      </c>
      <c r="K1143" s="25">
        <f t="shared" si="1044"/>
        <v>20367.195264578786</v>
      </c>
      <c r="L1143" s="25"/>
      <c r="N1143" s="25">
        <f>'Combined Retirement'!$C$18/12</f>
        <v>39153.069999999992</v>
      </c>
      <c r="O1143" s="25">
        <f t="shared" si="1045"/>
        <v>10889.636755601023</v>
      </c>
      <c r="P1143" s="25">
        <f t="shared" si="1046"/>
        <v>28263.43324439897</v>
      </c>
      <c r="Q1143" s="25">
        <f t="array" aca="1" ref="Q1143" ca="1">INDEX('Isaac 401k'!L:L,MATCH('Retirement Calculator'!A1143,'Isaac 401k'!N:N,0),0)</f>
        <v>-2677804.0369634866</v>
      </c>
      <c r="R1143" s="25">
        <f t="array" aca="1" ref="R1143" ca="1">INDEX('Lorri 401b'!L:L,MATCH('Retirement Calculator'!A1143,'Lorri 401b'!N:N,0),0)</f>
        <v>-37195333.486323267</v>
      </c>
      <c r="S1143" s="25">
        <f t="shared" ca="1" si="1047"/>
        <v>-39873137.523286752</v>
      </c>
    </row>
    <row r="1144" spans="1:19" ht="15.75" customHeight="1" x14ac:dyDescent="0.3">
      <c r="A1144" s="37">
        <v>85773</v>
      </c>
      <c r="B1144" s="398">
        <f t="shared" ref="B1144:C1144" si="1160">($A1144-B$9)/365.25</f>
        <v>152.95550992470911</v>
      </c>
      <c r="C1144" s="398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3254.2644699519233</v>
      </c>
      <c r="H1144" s="25">
        <f>IF(B1144&lt;62,0,'Combined Retirement'!$I$14)</f>
        <v>2345</v>
      </c>
      <c r="I1144" s="25">
        <f>IF(C1144&lt;62,0,'Combined Retirement'!$I$13)</f>
        <v>2420</v>
      </c>
      <c r="J1144" s="25">
        <f t="shared" si="1043"/>
        <v>7896.2379798201846</v>
      </c>
      <c r="K1144" s="25">
        <f t="shared" si="1044"/>
        <v>20367.195264578786</v>
      </c>
      <c r="L1144" s="25"/>
      <c r="N1144" s="25">
        <f>'Combined Retirement'!$C$18/12</f>
        <v>39153.069999999992</v>
      </c>
      <c r="O1144" s="25">
        <f t="shared" si="1045"/>
        <v>10889.636755601023</v>
      </c>
      <c r="P1144" s="25">
        <f t="shared" si="1046"/>
        <v>28263.43324439897</v>
      </c>
      <c r="Q1144" s="25">
        <f t="array" aca="1" ref="Q1144" ca="1">INDEX('Isaac 401k'!L:L,MATCH('Retirement Calculator'!A1144,'Isaac 401k'!N:N,0),0)</f>
        <v>-2696890.6927555702</v>
      </c>
      <c r="R1144" s="25">
        <f t="array" aca="1" ref="R1144" ca="1">INDEX('Lorri 401b'!L:L,MATCH('Retirement Calculator'!A1144,'Lorri 401b'!N:N,0),0)</f>
        <v>-37370766.101094462</v>
      </c>
      <c r="S1144" s="25">
        <f t="shared" ca="1" si="1047"/>
        <v>-40067656.793850034</v>
      </c>
    </row>
    <row r="1145" spans="1:19" ht="15.75" customHeight="1" x14ac:dyDescent="0.3">
      <c r="A1145" s="37">
        <v>85803</v>
      </c>
      <c r="B1145" s="398">
        <f t="shared" ref="B1145:C1145" si="1161">($A1145-B$9)/365.25</f>
        <v>153.03764544832308</v>
      </c>
      <c r="C1145" s="398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3254.2644699519233</v>
      </c>
      <c r="H1145" s="25">
        <f>IF(B1145&lt;62,0,'Combined Retirement'!$I$14)</f>
        <v>2345</v>
      </c>
      <c r="I1145" s="25">
        <f>IF(C1145&lt;62,0,'Combined Retirement'!$I$13)</f>
        <v>2420</v>
      </c>
      <c r="J1145" s="25">
        <f t="shared" si="1043"/>
        <v>7896.2379798201846</v>
      </c>
      <c r="K1145" s="25">
        <f t="shared" si="1044"/>
        <v>20367.195264578786</v>
      </c>
      <c r="L1145" s="25"/>
      <c r="N1145" s="25">
        <f>'Combined Retirement'!$C$18/12</f>
        <v>39153.069999999992</v>
      </c>
      <c r="O1145" s="25">
        <f t="shared" si="1045"/>
        <v>10889.636755601023</v>
      </c>
      <c r="P1145" s="25">
        <f t="shared" si="1046"/>
        <v>28263.43324439897</v>
      </c>
      <c r="Q1145" s="25">
        <f t="array" aca="1" ref="Q1145" ca="1">INDEX('Isaac 401k'!L:L,MATCH('Retirement Calculator'!A1145,'Isaac 401k'!N:N,0),0)</f>
        <v>-2716056.876280121</v>
      </c>
      <c r="R1145" s="25">
        <f t="array" aca="1" ref="R1145" ca="1">INDEX('Lorri 401b'!L:L,MATCH('Retirement Calculator'!A1145,'Lorri 401b'!N:N,0),0)</f>
        <v>-37546929.685093872</v>
      </c>
      <c r="S1145" s="25">
        <f t="shared" ca="1" si="1047"/>
        <v>-40262986.561373994</v>
      </c>
    </row>
    <row r="1146" spans="1:19" ht="15.75" customHeight="1" x14ac:dyDescent="0.3">
      <c r="A1146" s="37">
        <v>85834</v>
      </c>
      <c r="B1146" s="398">
        <f t="shared" ref="B1146:C1146" si="1162">($A1146-B$9)/365.25</f>
        <v>153.12251882272417</v>
      </c>
      <c r="C1146" s="398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3254.2644699519233</v>
      </c>
      <c r="H1146" s="25">
        <f>IF(B1146&lt;62,0,'Combined Retirement'!$I$14)</f>
        <v>2345</v>
      </c>
      <c r="I1146" s="25">
        <f>IF(C1146&lt;62,0,'Combined Retirement'!$I$13)</f>
        <v>2420</v>
      </c>
      <c r="J1146" s="25">
        <f t="shared" si="1043"/>
        <v>7896.2379798201846</v>
      </c>
      <c r="K1146" s="25">
        <f t="shared" si="1044"/>
        <v>20367.195264578786</v>
      </c>
      <c r="L1146" s="25"/>
      <c r="N1146" s="25">
        <f>'Combined Retirement'!$C$18/12</f>
        <v>39153.069999999992</v>
      </c>
      <c r="O1146" s="25">
        <f t="shared" si="1045"/>
        <v>10889.636755601023</v>
      </c>
      <c r="P1146" s="25">
        <f t="shared" si="1046"/>
        <v>28263.43324439897</v>
      </c>
      <c r="Q1146" s="25">
        <f t="array" aca="1" ref="Q1146" ca="1">INDEX('Isaac 401k'!L:L,MATCH('Retirement Calculator'!A1146,'Isaac 401k'!N:N,0),0)</f>
        <v>-2735302.918902691</v>
      </c>
      <c r="R1146" s="25">
        <f t="array" aca="1" ref="R1146" ca="1">INDEX('Lorri 401b'!L:L,MATCH('Retirement Calculator'!A1146,'Lorri 401b'!N:N,0),0)</f>
        <v>-37723827.284026608</v>
      </c>
      <c r="S1146" s="25">
        <f t="shared" ca="1" si="1047"/>
        <v>-40459130.202929296</v>
      </c>
    </row>
    <row r="1147" spans="1:19" ht="15.75" customHeight="1" x14ac:dyDescent="0.3">
      <c r="A1147" s="37">
        <v>85865</v>
      </c>
      <c r="B1147" s="398">
        <f t="shared" ref="B1147:C1147" si="1163">($A1147-B$9)/365.25</f>
        <v>153.20739219712524</v>
      </c>
      <c r="C1147" s="398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3254.2644699519233</v>
      </c>
      <c r="H1147" s="25">
        <f>IF(B1147&lt;62,0,'Combined Retirement'!$I$14)</f>
        <v>2345</v>
      </c>
      <c r="I1147" s="25">
        <f>IF(C1147&lt;62,0,'Combined Retirement'!$I$13)</f>
        <v>2420</v>
      </c>
      <c r="J1147" s="25">
        <f t="shared" si="1043"/>
        <v>7896.2379798201846</v>
      </c>
      <c r="K1147" s="25">
        <f t="shared" si="1044"/>
        <v>20367.195264578786</v>
      </c>
      <c r="L1147" s="25"/>
      <c r="N1147" s="25">
        <f>'Combined Retirement'!$C$18/12</f>
        <v>39153.069999999992</v>
      </c>
      <c r="O1147" s="25">
        <f t="shared" si="1045"/>
        <v>10889.636755601023</v>
      </c>
      <c r="P1147" s="25">
        <f t="shared" si="1046"/>
        <v>28263.43324439897</v>
      </c>
      <c r="Q1147" s="25">
        <f t="array" aca="1" ref="Q1147" ca="1">INDEX('Isaac 401k'!L:L,MATCH('Retirement Calculator'!A1147,'Isaac 401k'!N:N,0),0)</f>
        <v>-2754629.1533695213</v>
      </c>
      <c r="R1147" s="25">
        <f t="array" aca="1" ref="R1147" ca="1">INDEX('Lorri 401b'!L:L,MATCH('Retirement Calculator'!A1147,'Lorri 401b'!N:N,0),0)</f>
        <v>-37901461.956288233</v>
      </c>
      <c r="S1147" s="25">
        <f t="shared" ca="1" si="1047"/>
        <v>-40656091.109657757</v>
      </c>
    </row>
    <row r="1148" spans="1:19" ht="15.75" customHeight="1" x14ac:dyDescent="0.3">
      <c r="A1148" s="37">
        <v>85893</v>
      </c>
      <c r="B1148" s="398">
        <f t="shared" ref="B1148:C1148" si="1164">($A1148-B$9)/365.25</f>
        <v>153.28405201916496</v>
      </c>
      <c r="C1148" s="398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3254.2644699519233</v>
      </c>
      <c r="H1148" s="25">
        <f>IF(B1148&lt;62,0,'Combined Retirement'!$I$14)</f>
        <v>2345</v>
      </c>
      <c r="I1148" s="25">
        <f>IF(C1148&lt;62,0,'Combined Retirement'!$I$13)</f>
        <v>2420</v>
      </c>
      <c r="J1148" s="25">
        <f t="shared" si="1043"/>
        <v>7896.2379798201846</v>
      </c>
      <c r="K1148" s="25">
        <f t="shared" si="1044"/>
        <v>20367.195264578786</v>
      </c>
      <c r="L1148" s="25"/>
      <c r="N1148" s="25">
        <f>'Combined Retirement'!$C$18/12</f>
        <v>39153.069999999992</v>
      </c>
      <c r="O1148" s="25">
        <f t="shared" si="1045"/>
        <v>10889.636755601023</v>
      </c>
      <c r="P1148" s="25">
        <f t="shared" si="1046"/>
        <v>28263.43324439897</v>
      </c>
      <c r="Q1148" s="25">
        <f t="array" aca="1" ref="Q1148" ca="1">INDEX('Isaac 401k'!L:L,MATCH('Retirement Calculator'!A1148,'Isaac 401k'!N:N,0),0)</f>
        <v>-2774035.9138132967</v>
      </c>
      <c r="R1148" s="25">
        <f t="array" aca="1" ref="R1148" ca="1">INDEX('Lorri 401b'!L:L,MATCH('Retirement Calculator'!A1148,'Lorri 401b'!N:N,0),0)</f>
        <v>-38079836.773017615</v>
      </c>
      <c r="S1148" s="25">
        <f t="shared" ca="1" si="1047"/>
        <v>-40853872.686830908</v>
      </c>
    </row>
    <row r="1149" spans="1:19" ht="15.75" customHeight="1" x14ac:dyDescent="0.3">
      <c r="A1149" s="37">
        <v>85924</v>
      </c>
      <c r="B1149" s="398">
        <f t="shared" ref="B1149:C1149" si="1165">($A1149-B$9)/365.25</f>
        <v>153.36892539356606</v>
      </c>
      <c r="C1149" s="398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3254.2644699519233</v>
      </c>
      <c r="H1149" s="25">
        <f>IF(B1149&lt;62,0,'Combined Retirement'!$I$14)</f>
        <v>2345</v>
      </c>
      <c r="I1149" s="25">
        <f>IF(C1149&lt;62,0,'Combined Retirement'!$I$13)</f>
        <v>2420</v>
      </c>
      <c r="J1149" s="25">
        <f t="shared" si="1043"/>
        <v>7896.2379798201846</v>
      </c>
      <c r="K1149" s="25">
        <f t="shared" si="1044"/>
        <v>20367.195264578786</v>
      </c>
      <c r="L1149" s="25"/>
      <c r="N1149" s="25">
        <f>'Combined Retirement'!$C$18/12</f>
        <v>39153.069999999992</v>
      </c>
      <c r="O1149" s="25">
        <f t="shared" si="1045"/>
        <v>10889.636755601023</v>
      </c>
      <c r="P1149" s="25">
        <f t="shared" si="1046"/>
        <v>28263.43324439897</v>
      </c>
      <c r="Q1149" s="25">
        <f t="array" aca="1" ref="Q1149" ca="1">INDEX('Isaac 401k'!L:L,MATCH('Retirement Calculator'!A1149,'Isaac 401k'!N:N,0),0)</f>
        <v>-2793523.5357589214</v>
      </c>
      <c r="R1149" s="25">
        <f t="array" aca="1" ref="R1149" ca="1">INDEX('Lorri 401b'!L:L,MATCH('Retirement Calculator'!A1149,'Lorri 401b'!N:N,0),0)</f>
        <v>-38258954.818150036</v>
      </c>
      <c r="S1149" s="25">
        <f t="shared" ca="1" si="1047"/>
        <v>-41052478.353908956</v>
      </c>
    </row>
    <row r="1150" spans="1:19" ht="15.75" customHeight="1" x14ac:dyDescent="0.3">
      <c r="A1150" s="37">
        <v>85954</v>
      </c>
      <c r="B1150" s="398">
        <f t="shared" ref="B1150:C1150" si="1166">($A1150-B$9)/365.25</f>
        <v>153.45106091718</v>
      </c>
      <c r="C1150" s="398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3254.2644699519233</v>
      </c>
      <c r="H1150" s="25">
        <f>IF(B1150&lt;62,0,'Combined Retirement'!$I$14)</f>
        <v>2345</v>
      </c>
      <c r="I1150" s="25">
        <f>IF(C1150&lt;62,0,'Combined Retirement'!$I$13)</f>
        <v>2420</v>
      </c>
      <c r="J1150" s="25">
        <f t="shared" si="1043"/>
        <v>7896.2379798201846</v>
      </c>
      <c r="K1150" s="25">
        <f t="shared" si="1044"/>
        <v>20367.195264578786</v>
      </c>
      <c r="L1150" s="25"/>
      <c r="N1150" s="25">
        <f>'Combined Retirement'!$C$18/12</f>
        <v>39153.069999999992</v>
      </c>
      <c r="O1150" s="25">
        <f t="shared" si="1045"/>
        <v>10889.636755601023</v>
      </c>
      <c r="P1150" s="25">
        <f t="shared" si="1046"/>
        <v>28263.43324439897</v>
      </c>
      <c r="Q1150" s="25">
        <f t="array" aca="1" ref="Q1150" ca="1">INDEX('Isaac 401k'!L:L,MATCH('Retirement Calculator'!A1150,'Isaac 401k'!N:N,0),0)</f>
        <v>-2813092.3561293194</v>
      </c>
      <c r="R1150" s="25">
        <f t="array" aca="1" ref="R1150" ca="1">INDEX('Lorri 401b'!L:L,MATCH('Retirement Calculator'!A1150,'Lorri 401b'!N:N,0),0)</f>
        <v>-38438819.188470505</v>
      </c>
      <c r="S1150" s="25">
        <f t="shared" ca="1" si="1047"/>
        <v>-41251911.544599824</v>
      </c>
    </row>
    <row r="1151" spans="1:19" ht="15.75" customHeight="1" x14ac:dyDescent="0.3">
      <c r="A1151" s="37">
        <v>85985</v>
      </c>
      <c r="B1151" s="398">
        <f t="shared" ref="B1151:C1151" si="1167">($A1151-B$9)/365.25</f>
        <v>153.5359342915811</v>
      </c>
      <c r="C1151" s="398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3254.2644699519233</v>
      </c>
      <c r="H1151" s="25">
        <f>IF(B1151&lt;62,0,'Combined Retirement'!$I$14)</f>
        <v>2345</v>
      </c>
      <c r="I1151" s="25">
        <f>IF(C1151&lt;62,0,'Combined Retirement'!$I$13)</f>
        <v>2420</v>
      </c>
      <c r="J1151" s="25">
        <f t="shared" si="1043"/>
        <v>7896.2379798201846</v>
      </c>
      <c r="K1151" s="25">
        <f t="shared" si="1044"/>
        <v>20367.195264578786</v>
      </c>
      <c r="L1151" s="25"/>
      <c r="N1151" s="25">
        <f>'Combined Retirement'!$C$18/12</f>
        <v>39153.069999999992</v>
      </c>
      <c r="O1151" s="25">
        <f t="shared" si="1045"/>
        <v>10889.636755601023</v>
      </c>
      <c r="P1151" s="25">
        <f t="shared" si="1046"/>
        <v>28263.43324439897</v>
      </c>
      <c r="Q1151" s="25">
        <f t="array" aca="1" ref="Q1151" ca="1">INDEX('Isaac 401k'!L:L,MATCH('Retirement Calculator'!A1151,'Isaac 401k'!N:N,0),0)</f>
        <v>-2832742.713251261</v>
      </c>
      <c r="R1151" s="25">
        <f t="array" aca="1" ref="R1151" ca="1">INDEX('Lorri 401b'!L:L,MATCH('Retirement Calculator'!A1151,'Lorri 401b'!N:N,0),0)</f>
        <v>-38619432.993667312</v>
      </c>
      <c r="S1151" s="25">
        <f t="shared" ca="1" si="1047"/>
        <v>-41452175.706918575</v>
      </c>
    </row>
    <row r="1152" spans="1:19" ht="15.75" customHeight="1" x14ac:dyDescent="0.3">
      <c r="A1152" s="37">
        <v>86015</v>
      </c>
      <c r="B1152" s="398">
        <f t="shared" ref="B1152:C1152" si="1168">($A1152-B$9)/365.25</f>
        <v>153.61806981519507</v>
      </c>
      <c r="C1152" s="398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3254.2644699519233</v>
      </c>
      <c r="H1152" s="25">
        <f>IF(B1152&lt;62,0,'Combined Retirement'!$I$14)</f>
        <v>2345</v>
      </c>
      <c r="I1152" s="25">
        <f>IF(C1152&lt;62,0,'Combined Retirement'!$I$13)</f>
        <v>2420</v>
      </c>
      <c r="J1152" s="25">
        <f t="shared" si="1043"/>
        <v>7896.2379798201846</v>
      </c>
      <c r="K1152" s="25">
        <f t="shared" si="1044"/>
        <v>20367.195264578786</v>
      </c>
      <c r="L1152" s="25"/>
      <c r="N1152" s="25">
        <f>'Combined Retirement'!$C$18/12</f>
        <v>39153.069999999992</v>
      </c>
      <c r="O1152" s="25">
        <f t="shared" si="1045"/>
        <v>10889.636755601023</v>
      </c>
      <c r="P1152" s="25">
        <f t="shared" si="1046"/>
        <v>28263.43324439897</v>
      </c>
      <c r="Q1152" s="25">
        <f t="array" aca="1" ref="Q1152" ca="1">INDEX('Isaac 401k'!L:L,MATCH('Retirement Calculator'!A1152,'Isaac 401k'!N:N,0),0)</f>
        <v>-2852474.9468612107</v>
      </c>
      <c r="R1152" s="25">
        <f t="array" aca="1" ref="R1152" ca="1">INDEX('Lorri 401b'!L:L,MATCH('Retirement Calculator'!A1152,'Lorri 401b'!N:N,0),0)</f>
        <v>-38800799.356385775</v>
      </c>
      <c r="S1152" s="25">
        <f t="shared" ca="1" si="1047"/>
        <v>-41653274.303246982</v>
      </c>
    </row>
    <row r="1153" spans="1:19" ht="15.75" customHeight="1" x14ac:dyDescent="0.3">
      <c r="A1153" s="37">
        <v>86046</v>
      </c>
      <c r="B1153" s="398">
        <f t="shared" ref="B1153:C1153" si="1169">($A1153-B$9)/365.25</f>
        <v>153.70294318959617</v>
      </c>
      <c r="C1153" s="398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3254.2644699519233</v>
      </c>
      <c r="H1153" s="25">
        <f>IF(B1153&lt;62,0,'Combined Retirement'!$I$14)</f>
        <v>2345</v>
      </c>
      <c r="I1153" s="25">
        <f>IF(C1153&lt;62,0,'Combined Retirement'!$I$13)</f>
        <v>2420</v>
      </c>
      <c r="J1153" s="25">
        <f t="shared" si="1043"/>
        <v>7896.2379798201846</v>
      </c>
      <c r="K1153" s="25">
        <f t="shared" si="1044"/>
        <v>20367.195264578786</v>
      </c>
      <c r="L1153" s="25"/>
      <c r="N1153" s="25">
        <f>'Combined Retirement'!$C$18/12</f>
        <v>39153.069999999992</v>
      </c>
      <c r="O1153" s="25">
        <f t="shared" si="1045"/>
        <v>10889.636755601023</v>
      </c>
      <c r="P1153" s="25">
        <f t="shared" si="1046"/>
        <v>28263.43324439897</v>
      </c>
      <c r="Q1153" s="25">
        <f t="array" aca="1" ref="Q1153" ca="1">INDEX('Isaac 401k'!L:L,MATCH('Retirement Calculator'!A1153,'Isaac 401k'!N:N,0),0)</f>
        <v>-2872289.3981112018</v>
      </c>
      <c r="R1153" s="25">
        <f t="array" aca="1" ref="R1153" ca="1">INDEX('Lorri 401b'!L:L,MATCH('Retirement Calculator'!A1153,'Lorri 401b'!N:N,0),0)</f>
        <v>-38982921.412282228</v>
      </c>
      <c r="S1153" s="25">
        <f t="shared" ca="1" si="1047"/>
        <v>-41855210.81039343</v>
      </c>
    </row>
    <row r="1154" spans="1:19" ht="15.75" customHeight="1" x14ac:dyDescent="0.3">
      <c r="A1154" s="37">
        <v>86077</v>
      </c>
      <c r="B1154" s="398">
        <f t="shared" ref="B1154:C1154" si="1170">($A1154-B$9)/365.25</f>
        <v>153.78781656399727</v>
      </c>
      <c r="C1154" s="398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3254.2644699519233</v>
      </c>
      <c r="H1154" s="25">
        <f>IF(B1154&lt;62,0,'Combined Retirement'!$I$14)</f>
        <v>2345</v>
      </c>
      <c r="I1154" s="25">
        <f>IF(C1154&lt;62,0,'Combined Retirement'!$I$13)</f>
        <v>2420</v>
      </c>
      <c r="J1154" s="25">
        <f t="shared" si="1043"/>
        <v>7896.2379798201846</v>
      </c>
      <c r="K1154" s="25">
        <f t="shared" si="1044"/>
        <v>20367.195264578786</v>
      </c>
      <c r="L1154" s="25"/>
      <c r="N1154" s="25">
        <f>'Combined Retirement'!$C$18/12</f>
        <v>39153.069999999992</v>
      </c>
      <c r="O1154" s="25">
        <f t="shared" si="1045"/>
        <v>10889.636755601023</v>
      </c>
      <c r="P1154" s="25">
        <f t="shared" si="1046"/>
        <v>28263.43324439897</v>
      </c>
      <c r="Q1154" s="25">
        <f t="array" aca="1" ref="Q1154" ca="1">INDEX('Isaac 401k'!L:L,MATCH('Retirement Calculator'!A1154,'Isaac 401k'!N:N,0),0)</f>
        <v>-2892186.4095747345</v>
      </c>
      <c r="R1154" s="25">
        <f t="array" aca="1" ref="R1154" ca="1">INDEX('Lorri 401b'!L:L,MATCH('Retirement Calculator'!A1154,'Lorri 401b'!N:N,0),0)</f>
        <v>-39165802.310078248</v>
      </c>
      <c r="S1154" s="25">
        <f t="shared" ca="1" si="1047"/>
        <v>-42057988.719652981</v>
      </c>
    </row>
    <row r="1155" spans="1:19" ht="15.75" customHeight="1" x14ac:dyDescent="0.3">
      <c r="A1155" s="37">
        <v>86107</v>
      </c>
      <c r="B1155" s="398">
        <f t="shared" ref="B1155:C1155" si="1171">($A1155-B$9)/365.25</f>
        <v>153.86995208761124</v>
      </c>
      <c r="C1155" s="398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3254.2644699519233</v>
      </c>
      <c r="H1155" s="25">
        <f>IF(B1155&lt;62,0,'Combined Retirement'!$I$14)</f>
        <v>2345</v>
      </c>
      <c r="I1155" s="25">
        <f>IF(C1155&lt;62,0,'Combined Retirement'!$I$13)</f>
        <v>2420</v>
      </c>
      <c r="J1155" s="25">
        <f t="shared" si="1043"/>
        <v>7896.2379798201846</v>
      </c>
      <c r="K1155" s="25">
        <f t="shared" si="1044"/>
        <v>20367.195264578786</v>
      </c>
      <c r="L1155" s="25"/>
      <c r="N1155" s="25">
        <f>'Combined Retirement'!$C$18/12</f>
        <v>39153.069999999992</v>
      </c>
      <c r="O1155" s="25">
        <f t="shared" si="1045"/>
        <v>10889.636755601023</v>
      </c>
      <c r="P1155" s="25">
        <f t="shared" si="1046"/>
        <v>28263.43324439897</v>
      </c>
      <c r="Q1155" s="25">
        <f t="array" aca="1" ref="Q1155" ca="1">INDEX('Isaac 401k'!L:L,MATCH('Retirement Calculator'!A1155,'Isaac 401k'!N:N,0),0)</f>
        <v>-2912166.3252526983</v>
      </c>
      <c r="R1155" s="25">
        <f t="array" aca="1" ref="R1155" ca="1">INDEX('Lorri 401b'!L:L,MATCH('Retirement Calculator'!A1155,'Lorri 401b'!N:N,0),0)</f>
        <v>-39349445.211615086</v>
      </c>
      <c r="S1155" s="25">
        <f t="shared" ca="1" si="1047"/>
        <v>-42261611.536867782</v>
      </c>
    </row>
    <row r="1156" spans="1:19" ht="15.75" customHeight="1" x14ac:dyDescent="0.3">
      <c r="A1156" s="37">
        <v>86138</v>
      </c>
      <c r="B1156" s="398">
        <f t="shared" ref="B1156:C1156" si="1172">($A1156-B$9)/365.25</f>
        <v>153.95482546201231</v>
      </c>
      <c r="C1156" s="398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3254.2644699519233</v>
      </c>
      <c r="H1156" s="25">
        <f>IF(B1156&lt;62,0,'Combined Retirement'!$I$14)</f>
        <v>2345</v>
      </c>
      <c r="I1156" s="25">
        <f>IF(C1156&lt;62,0,'Combined Retirement'!$I$13)</f>
        <v>2420</v>
      </c>
      <c r="J1156" s="25">
        <f t="shared" si="1043"/>
        <v>7896.2379798201846</v>
      </c>
      <c r="K1156" s="25">
        <f t="shared" si="1044"/>
        <v>20367.195264578786</v>
      </c>
      <c r="L1156" s="25"/>
      <c r="N1156" s="25">
        <f>'Combined Retirement'!$C$18/12</f>
        <v>39153.069999999992</v>
      </c>
      <c r="O1156" s="25">
        <f t="shared" si="1045"/>
        <v>10889.636755601023</v>
      </c>
      <c r="P1156" s="25">
        <f t="shared" si="1046"/>
        <v>28263.43324439897</v>
      </c>
      <c r="Q1156" s="25">
        <f t="array" aca="1" ref="Q1156" ca="1">INDEX('Isaac 401k'!L:L,MATCH('Retirement Calculator'!A1156,'Isaac 401k'!N:N,0),0)</f>
        <v>-2932229.4905793206</v>
      </c>
      <c r="R1156" s="25">
        <f t="array" aca="1" ref="R1156" ca="1">INDEX('Lorri 401b'!L:L,MATCH('Retirement Calculator'!A1156,'Lorri 401b'!N:N,0),0)</f>
        <v>-39533853.291908331</v>
      </c>
      <c r="S1156" s="25">
        <f t="shared" ca="1" si="1047"/>
        <v>-42466082.782487653</v>
      </c>
    </row>
    <row r="1157" spans="1:19" ht="15.75" customHeight="1" x14ac:dyDescent="0.3">
      <c r="A1157" s="37">
        <v>86168</v>
      </c>
      <c r="B1157" s="398">
        <f t="shared" ref="B1157:C1157" si="1173">($A1157-B$9)/365.25</f>
        <v>154.03696098562628</v>
      </c>
      <c r="C1157" s="398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3254.2644699519233</v>
      </c>
      <c r="H1157" s="25">
        <f>IF(B1157&lt;62,0,'Combined Retirement'!$I$14)</f>
        <v>2345</v>
      </c>
      <c r="I1157" s="25">
        <f>IF(C1157&lt;62,0,'Combined Retirement'!$I$13)</f>
        <v>2420</v>
      </c>
      <c r="J1157" s="25">
        <f t="shared" si="1043"/>
        <v>7896.2379798201846</v>
      </c>
      <c r="K1157" s="25">
        <f t="shared" si="1044"/>
        <v>20367.195264578786</v>
      </c>
      <c r="L1157" s="25"/>
      <c r="N1157" s="25">
        <f>'Combined Retirement'!$C$18/12</f>
        <v>39153.069999999992</v>
      </c>
      <c r="O1157" s="25">
        <f t="shared" si="1045"/>
        <v>10889.636755601023</v>
      </c>
      <c r="P1157" s="25">
        <f t="shared" si="1046"/>
        <v>28263.43324439897</v>
      </c>
      <c r="Q1157" s="25">
        <f t="array" aca="1" ref="Q1157" ca="1">INDEX('Isaac 401k'!L:L,MATCH('Retirement Calculator'!A1157,'Isaac 401k'!N:N,0),0)</f>
        <v>-2952376.2524281372</v>
      </c>
      <c r="R1157" s="25">
        <f t="array" aca="1" ref="R1157" ca="1">INDEX('Lorri 401b'!L:L,MATCH('Retirement Calculator'!A1157,'Lorri 401b'!N:N,0),0)</f>
        <v>-39719029.739202797</v>
      </c>
      <c r="S1157" s="25">
        <f t="shared" ca="1" si="1047"/>
        <v>-42671405.991630934</v>
      </c>
    </row>
    <row r="1158" spans="1:19" ht="15.75" customHeight="1" x14ac:dyDescent="0.3">
      <c r="A1158" s="37">
        <v>86199</v>
      </c>
      <c r="B1158" s="398">
        <f t="shared" ref="B1158:C1158" si="1174">($A1158-B$9)/365.25</f>
        <v>154.12183436002738</v>
      </c>
      <c r="C1158" s="398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3254.2644699519233</v>
      </c>
      <c r="H1158" s="25">
        <f>IF(B1158&lt;62,0,'Combined Retirement'!$I$14)</f>
        <v>2345</v>
      </c>
      <c r="I1158" s="25">
        <f>IF(C1158&lt;62,0,'Combined Retirement'!$I$13)</f>
        <v>2420</v>
      </c>
      <c r="J1158" s="25">
        <f t="shared" si="1043"/>
        <v>7896.2379798201846</v>
      </c>
      <c r="K1158" s="25">
        <f t="shared" si="1044"/>
        <v>20367.195264578786</v>
      </c>
      <c r="L1158" s="25"/>
      <c r="N1158" s="25">
        <f>'Combined Retirement'!$C$18/12</f>
        <v>39153.069999999992</v>
      </c>
      <c r="O1158" s="25">
        <f t="shared" si="1045"/>
        <v>10889.636755601023</v>
      </c>
      <c r="P1158" s="25">
        <f t="shared" si="1046"/>
        <v>28263.43324439897</v>
      </c>
      <c r="Q1158" s="25">
        <f t="array" aca="1" ref="Q1158" ca="1">INDEX('Isaac 401k'!L:L,MATCH('Retirement Calculator'!A1158,'Isaac 401k'!N:N,0),0)</f>
        <v>-2972606.9591179905</v>
      </c>
      <c r="R1158" s="25">
        <f t="array" aca="1" ref="R1158" ca="1">INDEX('Lorri 401b'!L:L,MATCH('Retirement Calculator'!A1158,'Lorri 401b'!N:N,0),0)</f>
        <v>-39904977.755027659</v>
      </c>
      <c r="S1158" s="25">
        <f t="shared" ca="1" si="1047"/>
        <v>-42877584.714145653</v>
      </c>
    </row>
    <row r="1159" spans="1:19" ht="15.75" customHeight="1" x14ac:dyDescent="0.3">
      <c r="A1159" s="37">
        <v>86230</v>
      </c>
      <c r="B1159" s="398">
        <f t="shared" ref="B1159:C1159" si="1175">($A1159-B$9)/365.25</f>
        <v>154.20670773442848</v>
      </c>
      <c r="C1159" s="398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3254.2644699519233</v>
      </c>
      <c r="H1159" s="25">
        <f>IF(B1159&lt;62,0,'Combined Retirement'!$I$14)</f>
        <v>2345</v>
      </c>
      <c r="I1159" s="25">
        <f>IF(C1159&lt;62,0,'Combined Retirement'!$I$13)</f>
        <v>2420</v>
      </c>
      <c r="J1159" s="25">
        <f t="shared" si="1043"/>
        <v>7896.2379798201846</v>
      </c>
      <c r="K1159" s="25">
        <f t="shared" si="1044"/>
        <v>20367.195264578786</v>
      </c>
      <c r="L1159" s="25"/>
      <c r="N1159" s="25">
        <f>'Combined Retirement'!$C$18/12</f>
        <v>39153.069999999992</v>
      </c>
      <c r="O1159" s="25">
        <f t="shared" si="1045"/>
        <v>10889.636755601023</v>
      </c>
      <c r="P1159" s="25">
        <f t="shared" si="1046"/>
        <v>28263.43324439897</v>
      </c>
      <c r="Q1159" s="25">
        <f t="array" aca="1" ref="Q1159" ca="1">INDEX('Isaac 401k'!L:L,MATCH('Retirement Calculator'!A1159,'Isaac 401k'!N:N,0),0)</f>
        <v>-2992921.9604190513</v>
      </c>
      <c r="R1159" s="25">
        <f t="array" aca="1" ref="R1159" ca="1">INDEX('Lorri 401b'!L:L,MATCH('Retirement Calculator'!A1159,'Lorri 401b'!N:N,0),0)</f>
        <v>-40091700.55425179</v>
      </c>
      <c r="S1159" s="25">
        <f t="shared" ca="1" si="1047"/>
        <v>-43084622.514670841</v>
      </c>
    </row>
    <row r="1160" spans="1:19" ht="15.75" customHeight="1" x14ac:dyDescent="0.3">
      <c r="A1160" s="37">
        <v>86259</v>
      </c>
      <c r="B1160" s="398">
        <f t="shared" ref="B1160:C1160" si="1176">($A1160-B$9)/365.25</f>
        <v>154.28610540725529</v>
      </c>
      <c r="C1160" s="398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3254.2644699519233</v>
      </c>
      <c r="H1160" s="25">
        <f>IF(B1160&lt;62,0,'Combined Retirement'!$I$14)</f>
        <v>2345</v>
      </c>
      <c r="I1160" s="25">
        <f>IF(C1160&lt;62,0,'Combined Retirement'!$I$13)</f>
        <v>2420</v>
      </c>
      <c r="J1160" s="25">
        <f t="shared" si="1043"/>
        <v>7896.2379798201846</v>
      </c>
      <c r="K1160" s="25">
        <f t="shared" si="1044"/>
        <v>20367.195264578786</v>
      </c>
      <c r="L1160" s="25"/>
      <c r="N1160" s="25">
        <f>'Combined Retirement'!$C$18/12</f>
        <v>39153.069999999992</v>
      </c>
      <c r="O1160" s="25">
        <f t="shared" si="1045"/>
        <v>10889.636755601023</v>
      </c>
      <c r="P1160" s="25">
        <f t="shared" si="1046"/>
        <v>28263.43324439897</v>
      </c>
      <c r="Q1160" s="25">
        <f t="array" aca="1" ref="Q1160" ca="1">INDEX('Isaac 401k'!L:L,MATCH('Retirement Calculator'!A1160,'Isaac 401k'!N:N,0),0)</f>
        <v>-3013321.6075588665</v>
      </c>
      <c r="R1160" s="25">
        <f t="array" aca="1" ref="R1160" ca="1">INDEX('Lorri 401b'!L:L,MATCH('Retirement Calculator'!A1160,'Lorri 401b'!N:N,0),0)</f>
        <v>-40279201.36513935</v>
      </c>
      <c r="S1160" s="25">
        <f t="shared" ca="1" si="1047"/>
        <v>-43292522.972698219</v>
      </c>
    </row>
    <row r="1161" spans="1:19" ht="15.75" customHeight="1" x14ac:dyDescent="0.3">
      <c r="A1161" s="37">
        <v>86290</v>
      </c>
      <c r="B1161" s="398">
        <f t="shared" ref="B1161:C1161" si="1177">($A1161-B$9)/365.25</f>
        <v>154.37097878165639</v>
      </c>
      <c r="C1161" s="398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3254.2644699519233</v>
      </c>
      <c r="H1161" s="25">
        <f>IF(B1161&lt;62,0,'Combined Retirement'!$I$14)</f>
        <v>2345</v>
      </c>
      <c r="I1161" s="25">
        <f>IF(C1161&lt;62,0,'Combined Retirement'!$I$13)</f>
        <v>2420</v>
      </c>
      <c r="J1161" s="25">
        <f t="shared" si="1043"/>
        <v>7896.2379798201846</v>
      </c>
      <c r="K1161" s="25">
        <f t="shared" si="1044"/>
        <v>20367.195264578786</v>
      </c>
      <c r="L1161" s="25"/>
      <c r="N1161" s="25">
        <f>'Combined Retirement'!$C$18/12</f>
        <v>39153.069999999992</v>
      </c>
      <c r="O1161" s="25">
        <f t="shared" si="1045"/>
        <v>10889.636755601023</v>
      </c>
      <c r="P1161" s="25">
        <f t="shared" si="1046"/>
        <v>28263.43324439897</v>
      </c>
      <c r="Q1161" s="25">
        <f t="array" aca="1" ref="Q1161" ca="1">INDEX('Isaac 401k'!L:L,MATCH('Retirement Calculator'!A1161,'Isaac 401k'!N:N,0),0)</f>
        <v>-3033806.2532284311</v>
      </c>
      <c r="R1161" s="25">
        <f t="array" aca="1" ref="R1161" ca="1">INDEX('Lorri 401b'!L:L,MATCH('Retirement Calculator'!A1161,'Lorri 401b'!N:N,0),0)</f>
        <v>-40467483.429405615</v>
      </c>
      <c r="S1161" s="25">
        <f t="shared" ca="1" si="1047"/>
        <v>-43501289.682634048</v>
      </c>
    </row>
    <row r="1162" spans="1:19" ht="15.75" customHeight="1" x14ac:dyDescent="0.3">
      <c r="A1162" s="37">
        <v>86320</v>
      </c>
      <c r="B1162" s="398">
        <f t="shared" ref="B1162:C1162" si="1178">($A1162-B$9)/365.25</f>
        <v>154.45311430527036</v>
      </c>
      <c r="C1162" s="398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3254.2644699519233</v>
      </c>
      <c r="H1162" s="25">
        <f>IF(B1162&lt;62,0,'Combined Retirement'!$I$14)</f>
        <v>2345</v>
      </c>
      <c r="I1162" s="25">
        <f>IF(C1162&lt;62,0,'Combined Retirement'!$I$13)</f>
        <v>2420</v>
      </c>
      <c r="J1162" s="25">
        <f t="shared" si="1043"/>
        <v>7896.2379798201846</v>
      </c>
      <c r="K1162" s="25">
        <f t="shared" si="1044"/>
        <v>20367.195264578786</v>
      </c>
      <c r="L1162" s="25"/>
      <c r="N1162" s="25">
        <f>'Combined Retirement'!$C$18/12</f>
        <v>39153.069999999992</v>
      </c>
      <c r="O1162" s="25">
        <f t="shared" si="1045"/>
        <v>10889.636755601023</v>
      </c>
      <c r="P1162" s="25">
        <f t="shared" si="1046"/>
        <v>28263.43324439897</v>
      </c>
      <c r="Q1162" s="25">
        <f t="array" aca="1" ref="Q1162" ca="1">INDEX('Isaac 401k'!L:L,MATCH('Retirement Calculator'!A1162,'Isaac 401k'!N:N,0),0)</f>
        <v>-3054376.2515882854</v>
      </c>
      <c r="R1162" s="25">
        <f t="array" aca="1" ref="R1162" ca="1">INDEX('Lorri 401b'!L:L,MATCH('Retirement Calculator'!A1162,'Lorri 401b'!N:N,0),0)</f>
        <v>-40656550.002272986</v>
      </c>
      <c r="S1162" s="25">
        <f t="shared" ca="1" si="1047"/>
        <v>-43710926.253861271</v>
      </c>
    </row>
    <row r="1163" spans="1:19" ht="15.75" customHeight="1" x14ac:dyDescent="0.3">
      <c r="A1163" s="37">
        <v>86351</v>
      </c>
      <c r="B1163" s="398">
        <f t="shared" ref="B1163:C1163" si="1179">($A1163-B$9)/365.25</f>
        <v>154.53798767967146</v>
      </c>
      <c r="C1163" s="398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3254.2644699519233</v>
      </c>
      <c r="H1163" s="25">
        <f>IF(B1163&lt;62,0,'Combined Retirement'!$I$14)</f>
        <v>2345</v>
      </c>
      <c r="I1163" s="25">
        <f>IF(C1163&lt;62,0,'Combined Retirement'!$I$13)</f>
        <v>2420</v>
      </c>
      <c r="J1163" s="25">
        <f t="shared" si="1043"/>
        <v>7896.2379798201846</v>
      </c>
      <c r="K1163" s="25">
        <f t="shared" si="1044"/>
        <v>20367.195264578786</v>
      </c>
      <c r="L1163" s="25"/>
      <c r="N1163" s="25">
        <f>'Combined Retirement'!$C$18/12</f>
        <v>39153.069999999992</v>
      </c>
      <c r="O1163" s="25">
        <f t="shared" si="1045"/>
        <v>10889.636755601023</v>
      </c>
      <c r="P1163" s="25">
        <f t="shared" si="1046"/>
        <v>28263.43324439897</v>
      </c>
      <c r="Q1163" s="25">
        <f t="array" aca="1" ref="Q1163" ca="1">INDEX('Isaac 401k'!L:L,MATCH('Retirement Calculator'!A1163,'Isaac 401k'!N:N,0),0)</f>
        <v>-3075031.9582746392</v>
      </c>
      <c r="R1163" s="25">
        <f t="array" aca="1" ref="R1163" ca="1">INDEX('Lorri 401b'!L:L,MATCH('Retirement Calculator'!A1163,'Lorri 401b'!N:N,0),0)</f>
        <v>-40846404.352527305</v>
      </c>
      <c r="S1163" s="25">
        <f t="shared" ca="1" si="1047"/>
        <v>-43921436.310801946</v>
      </c>
    </row>
    <row r="1164" spans="1:19" ht="15.75" customHeight="1" x14ac:dyDescent="0.3">
      <c r="A1164" s="37">
        <v>86381</v>
      </c>
      <c r="B1164" s="398">
        <f t="shared" ref="B1164:C1164" si="1180">($A1164-B$9)/365.25</f>
        <v>154.62012320328543</v>
      </c>
      <c r="C1164" s="398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3254.2644699519233</v>
      </c>
      <c r="H1164" s="25">
        <f>IF(B1164&lt;62,0,'Combined Retirement'!$I$14)</f>
        <v>2345</v>
      </c>
      <c r="I1164" s="25">
        <f>IF(C1164&lt;62,0,'Combined Retirement'!$I$13)</f>
        <v>2420</v>
      </c>
      <c r="J1164" s="25">
        <f t="shared" si="1043"/>
        <v>7896.2379798201846</v>
      </c>
      <c r="K1164" s="25">
        <f t="shared" si="1044"/>
        <v>20367.195264578786</v>
      </c>
      <c r="L1164" s="25"/>
      <c r="N1164" s="25">
        <f>'Combined Retirement'!$C$18/12</f>
        <v>39153.069999999992</v>
      </c>
      <c r="O1164" s="25">
        <f t="shared" si="1045"/>
        <v>10889.636755601023</v>
      </c>
      <c r="P1164" s="25">
        <f t="shared" si="1046"/>
        <v>28263.43324439897</v>
      </c>
      <c r="Q1164" s="25">
        <f t="array" aca="1" ref="Q1164" ca="1">INDEX('Isaac 401k'!L:L,MATCH('Retirement Calculator'!A1164,'Isaac 401k'!N:N,0),0)</f>
        <v>-3095773.7304055193</v>
      </c>
      <c r="R1164" s="25">
        <f t="array" aca="1" ref="R1164" ca="1">INDEX('Lorri 401b'!L:L,MATCH('Retirement Calculator'!A1164,'Lorri 401b'!N:N,0),0)</f>
        <v>-41037049.762574352</v>
      </c>
      <c r="S1164" s="25">
        <f t="shared" ca="1" si="1047"/>
        <v>-44132823.492979869</v>
      </c>
    </row>
    <row r="1165" spans="1:19" ht="15.75" customHeight="1" x14ac:dyDescent="0.3">
      <c r="A1165" s="37">
        <v>86412</v>
      </c>
      <c r="B1165" s="398">
        <f t="shared" ref="B1165:C1165" si="1181">($A1165-B$9)/365.25</f>
        <v>154.70499657768653</v>
      </c>
      <c r="C1165" s="398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3254.2644699519233</v>
      </c>
      <c r="H1165" s="25">
        <f>IF(B1165&lt;62,0,'Combined Retirement'!$I$14)</f>
        <v>2345</v>
      </c>
      <c r="I1165" s="25">
        <f>IF(C1165&lt;62,0,'Combined Retirement'!$I$13)</f>
        <v>2420</v>
      </c>
      <c r="J1165" s="25">
        <f t="shared" si="1043"/>
        <v>7896.2379798201846</v>
      </c>
      <c r="K1165" s="25">
        <f t="shared" si="1044"/>
        <v>20367.195264578786</v>
      </c>
      <c r="L1165" s="25"/>
      <c r="N1165" s="25">
        <f>'Combined Retirement'!$C$18/12</f>
        <v>39153.069999999992</v>
      </c>
      <c r="O1165" s="25">
        <f t="shared" si="1045"/>
        <v>10889.636755601023</v>
      </c>
      <c r="P1165" s="25">
        <f t="shared" si="1046"/>
        <v>28263.43324439897</v>
      </c>
      <c r="Q1165" s="25">
        <f t="array" aca="1" ref="Q1165" ca="1">INDEX('Isaac 401k'!L:L,MATCH('Retirement Calculator'!A1165,'Isaac 401k'!N:N,0),0)</f>
        <v>-3116601.9265869446</v>
      </c>
      <c r="R1165" s="25">
        <f t="array" aca="1" ref="R1165" ca="1">INDEX('Lorri 401b'!L:L,MATCH('Retirement Calculator'!A1165,'Lorri 401b'!N:N,0),0)</f>
        <v>-41228489.528496593</v>
      </c>
      <c r="S1165" s="25">
        <f t="shared" ca="1" si="1047"/>
        <v>-44345091.455083534</v>
      </c>
    </row>
    <row r="1166" spans="1:19" ht="15.75" customHeight="1" x14ac:dyDescent="0.3">
      <c r="A1166" s="37">
        <v>86443</v>
      </c>
      <c r="B1166" s="398">
        <f t="shared" ref="B1166:C1166" si="1182">($A1166-B$9)/365.25</f>
        <v>154.7898699520876</v>
      </c>
      <c r="C1166" s="398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3254.2644699519233</v>
      </c>
      <c r="H1166" s="25">
        <f>IF(B1166&lt;62,0,'Combined Retirement'!$I$14)</f>
        <v>2345</v>
      </c>
      <c r="I1166" s="25">
        <f>IF(C1166&lt;62,0,'Combined Retirement'!$I$13)</f>
        <v>2420</v>
      </c>
      <c r="J1166" s="25">
        <f t="shared" si="1043"/>
        <v>7896.2379798201846</v>
      </c>
      <c r="K1166" s="25">
        <f t="shared" si="1044"/>
        <v>20367.195264578786</v>
      </c>
      <c r="L1166" s="25"/>
      <c r="N1166" s="25">
        <f>'Combined Retirement'!$C$18/12</f>
        <v>39153.069999999992</v>
      </c>
      <c r="O1166" s="25">
        <f t="shared" si="1045"/>
        <v>10889.636755601023</v>
      </c>
      <c r="P1166" s="25">
        <f t="shared" si="1046"/>
        <v>28263.43324439897</v>
      </c>
      <c r="Q1166" s="25">
        <f t="array" aca="1" ref="Q1166" ca="1">INDEX('Isaac 401k'!L:L,MATCH('Retirement Calculator'!A1166,'Isaac 401k'!N:N,0),0)</f>
        <v>-3137516.9069191259</v>
      </c>
      <c r="R1166" s="25">
        <f t="array" aca="1" ref="R1166" ca="1">INDEX('Lorri 401b'!L:L,MATCH('Retirement Calculator'!A1166,'Lorri 401b'!N:N,0),0)</f>
        <v>-41420726.960110173</v>
      </c>
      <c r="S1166" s="25">
        <f t="shared" ca="1" si="1047"/>
        <v>-44558243.867029302</v>
      </c>
    </row>
    <row r="1167" spans="1:19" ht="15.75" customHeight="1" x14ac:dyDescent="0.3">
      <c r="A1167" s="37">
        <v>86473</v>
      </c>
      <c r="B1167" s="398">
        <f t="shared" ref="B1167:C1167" si="1183">($A1167-B$9)/365.25</f>
        <v>154.87200547570157</v>
      </c>
      <c r="C1167" s="398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3254.2644699519233</v>
      </c>
      <c r="H1167" s="25">
        <f>IF(B1167&lt;62,0,'Combined Retirement'!$I$14)</f>
        <v>2345</v>
      </c>
      <c r="I1167" s="25">
        <f>IF(C1167&lt;62,0,'Combined Retirement'!$I$13)</f>
        <v>2420</v>
      </c>
      <c r="J1167" s="25">
        <f t="shared" si="1043"/>
        <v>7896.2379798201846</v>
      </c>
      <c r="K1167" s="25">
        <f t="shared" si="1044"/>
        <v>20367.195264578786</v>
      </c>
      <c r="L1167" s="25"/>
      <c r="N1167" s="25">
        <f>'Combined Retirement'!$C$18/12</f>
        <v>39153.069999999992</v>
      </c>
      <c r="O1167" s="25">
        <f t="shared" si="1045"/>
        <v>10889.636755601023</v>
      </c>
      <c r="P1167" s="25">
        <f t="shared" si="1046"/>
        <v>28263.43324439897</v>
      </c>
      <c r="Q1167" s="25">
        <f t="array" aca="1" ref="Q1167" ca="1">INDEX('Isaac 401k'!L:L,MATCH('Retirement Calculator'!A1167,'Isaac 401k'!N:N,0),0)</f>
        <v>-3158519.0330026913</v>
      </c>
      <c r="R1167" s="25">
        <f t="array" aca="1" ref="R1167" ca="1">INDEX('Lorri 401b'!L:L,MATCH('Retirement Calculator'!A1167,'Lorri 401b'!N:N,0),0)</f>
        <v>-41613765.381022148</v>
      </c>
      <c r="S1167" s="25">
        <f t="shared" ca="1" si="1047"/>
        <v>-44772284.414024837</v>
      </c>
    </row>
    <row r="1168" spans="1:19" ht="15.75" customHeight="1" x14ac:dyDescent="0.3">
      <c r="A1168" s="37">
        <v>86504</v>
      </c>
      <c r="B1168" s="398">
        <f t="shared" ref="B1168:C1168" si="1184">($A1168-B$9)/365.25</f>
        <v>154.95687885010267</v>
      </c>
      <c r="C1168" s="398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3254.2644699519233</v>
      </c>
      <c r="H1168" s="25">
        <f>IF(B1168&lt;62,0,'Combined Retirement'!$I$14)</f>
        <v>2345</v>
      </c>
      <c r="I1168" s="25">
        <f>IF(C1168&lt;62,0,'Combined Retirement'!$I$13)</f>
        <v>2420</v>
      </c>
      <c r="J1168" s="25">
        <f t="shared" si="1043"/>
        <v>7896.2379798201846</v>
      </c>
      <c r="K1168" s="25">
        <f t="shared" si="1044"/>
        <v>20367.195264578786</v>
      </c>
      <c r="L1168" s="25"/>
      <c r="N1168" s="25">
        <f>'Combined Retirement'!$C$18/12</f>
        <v>39153.069999999992</v>
      </c>
      <c r="O1168" s="25">
        <f t="shared" si="1045"/>
        <v>10889.636755601023</v>
      </c>
      <c r="P1168" s="25">
        <f t="shared" si="1046"/>
        <v>28263.43324439897</v>
      </c>
      <c r="Q1168" s="25">
        <f t="array" aca="1" ref="Q1168" ca="1">INDEX('Isaac 401k'!L:L,MATCH('Retirement Calculator'!A1168,'Isaac 401k'!N:N,0),0)</f>
        <v>-3179608.6679449384</v>
      </c>
      <c r="R1168" s="25">
        <f t="array" aca="1" ref="R1168" ca="1">INDEX('Lorri 401b'!L:L,MATCH('Retirement Calculator'!A1168,'Lorri 401b'!N:N,0),0)</f>
        <v>-41807608.128687918</v>
      </c>
      <c r="S1168" s="25">
        <f t="shared" ca="1" si="1047"/>
        <v>-44987216.796632856</v>
      </c>
    </row>
    <row r="1169" spans="1:19" ht="15.75" customHeight="1" x14ac:dyDescent="0.3">
      <c r="A1169" s="37">
        <v>86534</v>
      </c>
      <c r="B1169" s="398">
        <f t="shared" ref="B1169:C1169" si="1185">($A1169-B$9)/365.25</f>
        <v>155.03901437371664</v>
      </c>
      <c r="C1169" s="398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3254.2644699519233</v>
      </c>
      <c r="H1169" s="25">
        <f>IF(B1169&lt;62,0,'Combined Retirement'!$I$14)</f>
        <v>2345</v>
      </c>
      <c r="I1169" s="25">
        <f>IF(C1169&lt;62,0,'Combined Retirement'!$I$13)</f>
        <v>2420</v>
      </c>
      <c r="J1169" s="25">
        <f t="shared" si="1043"/>
        <v>7896.2379798201846</v>
      </c>
      <c r="K1169" s="25">
        <f t="shared" si="1044"/>
        <v>20367.195264578786</v>
      </c>
      <c r="L1169" s="25"/>
      <c r="N1169" s="25">
        <f>'Combined Retirement'!$C$18/12</f>
        <v>39153.069999999992</v>
      </c>
      <c r="O1169" s="25">
        <f t="shared" si="1045"/>
        <v>10889.636755601023</v>
      </c>
      <c r="P1169" s="25">
        <f t="shared" si="1046"/>
        <v>28263.43324439897</v>
      </c>
      <c r="Q1169" s="25">
        <f t="array" aca="1" ref="Q1169" ca="1">INDEX('Isaac 401k'!L:L,MATCH('Retirement Calculator'!A1169,'Isaac 401k'!N:N,0),0)</f>
        <v>-3200786.1763661117</v>
      </c>
      <c r="R1169" s="25">
        <f t="array" aca="1" ref="R1169" ca="1">INDEX('Lorri 401b'!L:L,MATCH('Retirement Calculator'!A1169,'Lorri 401b'!N:N,0),0)</f>
        <v>-42002258.554468967</v>
      </c>
      <c r="S1169" s="25">
        <f t="shared" ca="1" si="1047"/>
        <v>-45203044.73083508</v>
      </c>
    </row>
    <row r="1170" spans="1:19" ht="15.75" customHeight="1" x14ac:dyDescent="0.3">
      <c r="A1170" s="37">
        <v>86565</v>
      </c>
      <c r="B1170" s="398">
        <f t="shared" ref="B1170:C1170" si="1186">($A1170-B$9)/365.25</f>
        <v>155.12388774811774</v>
      </c>
      <c r="C1170" s="398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3254.2644699519233</v>
      </c>
      <c r="H1170" s="25">
        <f>IF(B1170&lt;62,0,'Combined Retirement'!$I$14)</f>
        <v>2345</v>
      </c>
      <c r="I1170" s="25">
        <f>IF(C1170&lt;62,0,'Combined Retirement'!$I$13)</f>
        <v>2420</v>
      </c>
      <c r="J1170" s="25">
        <f t="shared" si="1043"/>
        <v>7896.2379798201846</v>
      </c>
      <c r="K1170" s="25">
        <f t="shared" si="1044"/>
        <v>20367.195264578786</v>
      </c>
      <c r="L1170" s="25"/>
      <c r="N1170" s="25">
        <f>'Combined Retirement'!$C$18/12</f>
        <v>39153.069999999992</v>
      </c>
      <c r="O1170" s="25">
        <f t="shared" si="1045"/>
        <v>10889.636755601023</v>
      </c>
      <c r="P1170" s="25">
        <f t="shared" si="1046"/>
        <v>28263.43324439897</v>
      </c>
      <c r="Q1170" s="25">
        <f t="array" aca="1" ref="Q1170" ca="1">INDEX('Isaac 401k'!L:L,MATCH('Retirement Calculator'!A1170,'Isaac 401k'!N:N,0),0)</f>
        <v>-3222051.9244057066</v>
      </c>
      <c r="R1170" s="25">
        <f t="array" aca="1" ref="R1170" ca="1">INDEX('Lorri 401b'!L:L,MATCH('Retirement Calculator'!A1170,'Lorri 401b'!N:N,0),0)</f>
        <v>-42197720.023690768</v>
      </c>
      <c r="S1170" s="25">
        <f t="shared" ca="1" si="1047"/>
        <v>-45419771.948096476</v>
      </c>
    </row>
    <row r="1171" spans="1:19" ht="15.75" customHeight="1" x14ac:dyDescent="0.3">
      <c r="A1171" s="37">
        <v>86596</v>
      </c>
      <c r="B1171" s="398">
        <f t="shared" ref="B1171:C1171" si="1187">($A1171-B$9)/365.25</f>
        <v>155.20876112251884</v>
      </c>
      <c r="C1171" s="398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3254.2644699519233</v>
      </c>
      <c r="H1171" s="25">
        <f>IF(B1171&lt;62,0,'Combined Retirement'!$I$14)</f>
        <v>2345</v>
      </c>
      <c r="I1171" s="25">
        <f>IF(C1171&lt;62,0,'Combined Retirement'!$I$13)</f>
        <v>2420</v>
      </c>
      <c r="J1171" s="25">
        <f t="shared" si="1043"/>
        <v>7896.2379798201846</v>
      </c>
      <c r="K1171" s="25">
        <f t="shared" si="1044"/>
        <v>20367.195264578786</v>
      </c>
      <c r="L1171" s="25"/>
      <c r="N1171" s="25">
        <f>'Combined Retirement'!$C$18/12</f>
        <v>39153.069999999992</v>
      </c>
      <c r="O1171" s="25">
        <f t="shared" si="1045"/>
        <v>10889.636755601023</v>
      </c>
      <c r="P1171" s="25">
        <f t="shared" si="1046"/>
        <v>28263.43324439897</v>
      </c>
      <c r="Q1171" s="25">
        <f t="array" aca="1" ref="Q1171" ca="1">INDEX('Isaac 401k'!L:L,MATCH('Retirement Calculator'!A1171,'Isaac 401k'!N:N,0),0)</f>
        <v>-3243406.2797287996</v>
      </c>
      <c r="R1171" s="25">
        <f t="array" aca="1" ref="R1171" ca="1">INDEX('Lorri 401b'!L:L,MATCH('Retirement Calculator'!A1171,'Lorri 401b'!N:N,0),0)</f>
        <v>-42393995.915700994</v>
      </c>
      <c r="S1171" s="25">
        <f t="shared" ca="1" si="1047"/>
        <v>-45637402.195429794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44" activePane="bottomLeft" state="frozen"/>
      <selection pane="bottomLeft" activeCell="A81" sqref="A81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293"/>
      <c r="B1" s="338" t="s">
        <v>592</v>
      </c>
      <c r="C1" s="338" t="s">
        <v>593</v>
      </c>
      <c r="D1" s="399" t="s">
        <v>594</v>
      </c>
      <c r="E1" s="399" t="s">
        <v>595</v>
      </c>
      <c r="F1" s="399" t="s">
        <v>596</v>
      </c>
      <c r="G1" s="399" t="s">
        <v>597</v>
      </c>
      <c r="H1" s="296"/>
      <c r="I1" s="296"/>
      <c r="J1" s="400"/>
      <c r="K1" s="400"/>
      <c r="L1" s="296"/>
      <c r="M1" s="296"/>
      <c r="N1" s="296"/>
      <c r="O1" s="400"/>
      <c r="P1" s="400"/>
      <c r="Q1" s="401">
        <f ca="1">(TODAY()-B18)/365</f>
        <v>16.008219178082193</v>
      </c>
      <c r="R1" s="400"/>
      <c r="S1" s="400"/>
      <c r="T1" s="400"/>
      <c r="U1" s="400"/>
      <c r="V1" s="401">
        <f ca="1">(TODAY()-B16)/365</f>
        <v>16.504109589041096</v>
      </c>
      <c r="W1" s="296"/>
      <c r="X1" s="400"/>
      <c r="Y1" s="296"/>
      <c r="Z1" s="296"/>
    </row>
    <row r="2" spans="1:26" ht="11.25" customHeight="1" x14ac:dyDescent="0.3">
      <c r="A2" s="401">
        <f ca="1">(C2-B2)/365</f>
        <v>18.758904109589039</v>
      </c>
      <c r="B2" s="338">
        <v>39356</v>
      </c>
      <c r="C2" s="338">
        <f ca="1">TODAY()</f>
        <v>46203</v>
      </c>
      <c r="D2" s="399">
        <f>-(SUM(D7:D80))</f>
        <v>-435224.27000000008</v>
      </c>
      <c r="E2" s="399">
        <f>(H82+L82+Q82+V82)*-1</f>
        <v>1104418.6399999999</v>
      </c>
      <c r="F2" s="285">
        <f ca="1">D4</f>
        <v>0.11367595791816712</v>
      </c>
      <c r="G2" s="402">
        <f ca="1">(72/(F2*100))</f>
        <v>6.3337931184913572</v>
      </c>
      <c r="H2" s="401"/>
      <c r="I2" s="296"/>
      <c r="J2" s="400"/>
      <c r="K2" s="400"/>
      <c r="L2" s="296"/>
      <c r="M2" s="296"/>
      <c r="N2" s="296"/>
      <c r="O2" s="400"/>
      <c r="P2" s="400"/>
      <c r="Q2" s="400"/>
      <c r="R2" s="400"/>
      <c r="S2" s="400"/>
      <c r="T2" s="400"/>
      <c r="U2" s="400"/>
      <c r="V2" s="400"/>
      <c r="W2" s="296"/>
      <c r="X2" s="400"/>
      <c r="Y2" s="296"/>
      <c r="Z2" s="296"/>
    </row>
    <row r="3" spans="1:26" ht="11.25" customHeight="1" x14ac:dyDescent="0.3">
      <c r="A3" s="293"/>
      <c r="B3" s="403"/>
      <c r="C3" s="403"/>
      <c r="D3" s="400"/>
      <c r="E3" s="400"/>
      <c r="F3" s="296"/>
      <c r="G3" s="296"/>
      <c r="H3" s="296"/>
      <c r="I3" s="296"/>
      <c r="J3" s="400"/>
      <c r="K3" s="400"/>
      <c r="L3" s="296"/>
      <c r="M3" s="296"/>
      <c r="N3" s="296"/>
      <c r="O3" s="400"/>
      <c r="P3" s="400"/>
      <c r="Q3" s="400"/>
      <c r="R3" s="400"/>
      <c r="S3" s="400"/>
      <c r="T3" s="400"/>
      <c r="U3" s="400"/>
      <c r="V3" s="400"/>
      <c r="W3" s="296"/>
      <c r="X3" s="400"/>
      <c r="Y3" s="296"/>
      <c r="Z3" s="296"/>
    </row>
    <row r="4" spans="1:26" ht="11.25" customHeight="1" x14ac:dyDescent="0.3">
      <c r="A4" s="404"/>
      <c r="B4" s="405"/>
      <c r="C4" s="406"/>
      <c r="D4" s="296">
        <f ca="1">XIRR(D7:D82,B7:B82)</f>
        <v>0.11367595791816712</v>
      </c>
      <c r="E4" s="400"/>
      <c r="F4" s="296"/>
      <c r="G4" s="296"/>
      <c r="H4" s="296"/>
      <c r="I4" s="400"/>
      <c r="J4" s="296">
        <f ca="1">XIRR(H8:H82,B8:B82)</f>
        <v>0.11525995135307313</v>
      </c>
      <c r="K4" s="296"/>
      <c r="L4" s="296"/>
      <c r="M4" s="296"/>
      <c r="N4" s="400"/>
      <c r="O4" s="296">
        <f ca="1">XIRR(L7:L82,B7:B82)</f>
        <v>0.11318413615226747</v>
      </c>
      <c r="P4" s="296"/>
      <c r="Q4" s="296"/>
      <c r="R4" s="400"/>
      <c r="S4" s="400"/>
      <c r="T4" s="296">
        <f ca="1">XIRR(Q18:Q82,B18:B82)</f>
        <v>0.11229838728904726</v>
      </c>
      <c r="U4" s="296"/>
      <c r="V4" s="296"/>
      <c r="W4" s="296"/>
      <c r="X4" s="400"/>
      <c r="Y4" s="296">
        <f ca="1">XIRR(V16:V82,B16:B82)</f>
        <v>0.11234530806541443</v>
      </c>
      <c r="Z4" s="296"/>
    </row>
    <row r="5" spans="1:26" ht="11.25" customHeight="1" x14ac:dyDescent="0.3">
      <c r="A5" s="404"/>
      <c r="B5" s="295"/>
      <c r="C5" s="295"/>
      <c r="D5" s="566" t="s">
        <v>598</v>
      </c>
      <c r="E5" s="562"/>
      <c r="F5" s="562"/>
      <c r="G5" s="547"/>
      <c r="H5" s="567" t="s">
        <v>599</v>
      </c>
      <c r="I5" s="562"/>
      <c r="J5" s="562"/>
      <c r="K5" s="547"/>
      <c r="L5" s="568" t="s">
        <v>600</v>
      </c>
      <c r="M5" s="562"/>
      <c r="N5" s="562"/>
      <c r="O5" s="562"/>
      <c r="P5" s="547"/>
      <c r="Q5" s="567" t="s">
        <v>601</v>
      </c>
      <c r="R5" s="562"/>
      <c r="S5" s="562"/>
      <c r="T5" s="562"/>
      <c r="U5" s="547"/>
      <c r="V5" s="568" t="s">
        <v>602</v>
      </c>
      <c r="W5" s="562"/>
      <c r="X5" s="562"/>
      <c r="Y5" s="562"/>
      <c r="Z5" s="547"/>
    </row>
    <row r="6" spans="1:26" ht="11.25" customHeight="1" x14ac:dyDescent="0.3">
      <c r="A6" s="407" t="s">
        <v>603</v>
      </c>
      <c r="B6" s="407">
        <f ca="1">MAX(A:A)</f>
        <v>75</v>
      </c>
      <c r="C6" s="405"/>
      <c r="D6" s="338" t="s">
        <v>604</v>
      </c>
      <c r="E6" s="285" t="s">
        <v>605</v>
      </c>
      <c r="F6" s="285" t="s">
        <v>606</v>
      </c>
      <c r="G6" s="285" t="s">
        <v>607</v>
      </c>
      <c r="H6" s="408" t="s">
        <v>604</v>
      </c>
      <c r="I6" s="408" t="s">
        <v>605</v>
      </c>
      <c r="J6" s="408" t="s">
        <v>606</v>
      </c>
      <c r="K6" s="408" t="s">
        <v>607</v>
      </c>
      <c r="L6" s="409" t="s">
        <v>604</v>
      </c>
      <c r="M6" s="409" t="s">
        <v>608</v>
      </c>
      <c r="N6" s="409" t="s">
        <v>605</v>
      </c>
      <c r="O6" s="409" t="s">
        <v>606</v>
      </c>
      <c r="P6" s="409" t="s">
        <v>607</v>
      </c>
      <c r="Q6" s="408" t="s">
        <v>609</v>
      </c>
      <c r="R6" s="408" t="s">
        <v>610</v>
      </c>
      <c r="S6" s="408" t="s">
        <v>611</v>
      </c>
      <c r="T6" s="408" t="s">
        <v>606</v>
      </c>
      <c r="U6" s="408" t="s">
        <v>607</v>
      </c>
      <c r="V6" s="409" t="s">
        <v>612</v>
      </c>
      <c r="W6" s="409" t="s">
        <v>610</v>
      </c>
      <c r="X6" s="409" t="s">
        <v>605</v>
      </c>
      <c r="Y6" s="409" t="s">
        <v>606</v>
      </c>
      <c r="Z6" s="409" t="s">
        <v>607</v>
      </c>
    </row>
    <row r="7" spans="1:26" ht="11.25" customHeight="1" x14ac:dyDescent="0.3">
      <c r="A7" s="410">
        <f t="shared" ref="A7:A81" si="0">_xlfn.RANK.EQ(G7,$G$7:$G$81)</f>
        <v>58</v>
      </c>
      <c r="B7" s="411">
        <v>39356</v>
      </c>
      <c r="C7" s="411">
        <v>39447</v>
      </c>
      <c r="D7" s="399">
        <f t="shared" ref="D7:D81" si="1">H7+L7+Q7+V7</f>
        <v>33.119999999999997</v>
      </c>
      <c r="E7" s="341">
        <f t="shared" ref="E7:F7" si="2">I7+N7+S7+X7</f>
        <v>0.05</v>
      </c>
      <c r="F7" s="341">
        <f t="shared" si="2"/>
        <v>33.17</v>
      </c>
      <c r="G7" s="285">
        <f>E7/(0+(D7/2))</f>
        <v>3.0193236714975849E-3</v>
      </c>
      <c r="H7" s="408">
        <v>0</v>
      </c>
      <c r="I7" s="408"/>
      <c r="J7" s="408"/>
      <c r="K7" s="412"/>
      <c r="L7" s="409">
        <v>33.119999999999997</v>
      </c>
      <c r="M7" s="409"/>
      <c r="N7" s="409">
        <v>0.05</v>
      </c>
      <c r="O7" s="409">
        <v>33.17</v>
      </c>
      <c r="P7" s="413">
        <f>N7/(0+(L7/2))</f>
        <v>3.0193236714975849E-3</v>
      </c>
      <c r="Q7" s="408"/>
      <c r="R7" s="408"/>
      <c r="S7" s="408"/>
      <c r="T7" s="408"/>
      <c r="U7" s="408"/>
      <c r="V7" s="409"/>
      <c r="W7" s="409"/>
      <c r="X7" s="409"/>
      <c r="Y7" s="409"/>
      <c r="Z7" s="409"/>
    </row>
    <row r="8" spans="1:26" ht="11.25" customHeight="1" x14ac:dyDescent="0.3">
      <c r="A8" s="410">
        <f t="shared" si="0"/>
        <v>55</v>
      </c>
      <c r="B8" s="411">
        <v>39448</v>
      </c>
      <c r="C8" s="411">
        <v>39538</v>
      </c>
      <c r="D8" s="399">
        <f t="shared" si="1"/>
        <v>616.89</v>
      </c>
      <c r="E8" s="341">
        <f t="shared" ref="E8:F8" si="3">I8+N8+S8+X8</f>
        <v>2.14</v>
      </c>
      <c r="F8" s="341">
        <f t="shared" si="3"/>
        <v>652.20000000000005</v>
      </c>
      <c r="G8" s="285">
        <f t="shared" ref="G8:G81" si="4">E8/(F7+(D8/2))</f>
        <v>6.2643619279012927E-3</v>
      </c>
      <c r="H8" s="408">
        <v>479.8</v>
      </c>
      <c r="I8" s="408">
        <v>1.1200000000000001</v>
      </c>
      <c r="J8" s="408">
        <v>480.92</v>
      </c>
      <c r="K8" s="412">
        <f t="shared" ref="K8:K81" si="5">I8/(J7+(H8/2))</f>
        <v>4.6686119216340144E-3</v>
      </c>
      <c r="L8" s="409">
        <v>137.09</v>
      </c>
      <c r="M8" s="409"/>
      <c r="N8" s="409">
        <v>1.02</v>
      </c>
      <c r="O8" s="409">
        <f t="shared" ref="O8:O75" si="6">O7+L8+N8</f>
        <v>171.28</v>
      </c>
      <c r="P8" s="413">
        <f t="shared" ref="P8:P81" si="7">N8/(O7+(L8/2))</f>
        <v>1.0028019466155435E-2</v>
      </c>
      <c r="Q8" s="408"/>
      <c r="R8" s="408"/>
      <c r="S8" s="408"/>
      <c r="T8" s="408"/>
      <c r="U8" s="408"/>
      <c r="V8" s="409"/>
      <c r="W8" s="409"/>
      <c r="X8" s="409"/>
      <c r="Y8" s="409"/>
      <c r="Z8" s="409"/>
    </row>
    <row r="9" spans="1:26" ht="11.25" customHeight="1" x14ac:dyDescent="0.3">
      <c r="A9" s="410">
        <f t="shared" si="0"/>
        <v>52</v>
      </c>
      <c r="B9" s="411">
        <v>39539</v>
      </c>
      <c r="C9" s="411">
        <v>39629</v>
      </c>
      <c r="D9" s="399">
        <f t="shared" si="1"/>
        <v>1853.77</v>
      </c>
      <c r="E9" s="341">
        <f t="shared" ref="E9:F9" si="8">I9+N9+S9+X9</f>
        <v>12.58</v>
      </c>
      <c r="F9" s="341">
        <f t="shared" si="8"/>
        <v>2518.5500000000002</v>
      </c>
      <c r="G9" s="285">
        <f t="shared" si="4"/>
        <v>7.9666389079751879E-3</v>
      </c>
      <c r="H9" s="408">
        <v>1185.3800000000001</v>
      </c>
      <c r="I9" s="408">
        <v>9.18</v>
      </c>
      <c r="J9" s="408">
        <f t="shared" ref="J9:J81" si="9">J8+H9+I9</f>
        <v>1675.4800000000002</v>
      </c>
      <c r="K9" s="412">
        <f t="shared" si="5"/>
        <v>8.5505909967306549E-3</v>
      </c>
      <c r="L9" s="409">
        <v>668.39</v>
      </c>
      <c r="M9" s="409"/>
      <c r="N9" s="409">
        <v>3.4</v>
      </c>
      <c r="O9" s="409">
        <f t="shared" si="6"/>
        <v>843.06999999999994</v>
      </c>
      <c r="P9" s="413">
        <f t="shared" si="7"/>
        <v>6.7263465057619065E-3</v>
      </c>
      <c r="Q9" s="408"/>
      <c r="R9" s="408"/>
      <c r="S9" s="408"/>
      <c r="T9" s="408"/>
      <c r="U9" s="408"/>
      <c r="V9" s="409"/>
      <c r="W9" s="409"/>
      <c r="X9" s="409"/>
      <c r="Y9" s="409"/>
      <c r="Z9" s="409"/>
    </row>
    <row r="10" spans="1:26" ht="11.25" customHeight="1" x14ac:dyDescent="0.3">
      <c r="A10" s="410">
        <f t="shared" si="0"/>
        <v>49</v>
      </c>
      <c r="B10" s="411">
        <v>39630</v>
      </c>
      <c r="C10" s="411">
        <v>39721</v>
      </c>
      <c r="D10" s="399">
        <f t="shared" si="1"/>
        <v>1317.67</v>
      </c>
      <c r="E10" s="341">
        <f t="shared" ref="E10:F10" si="10">I10+N10+S10+X10</f>
        <v>32.43</v>
      </c>
      <c r="F10" s="341">
        <f t="shared" si="10"/>
        <v>3868.6500000000005</v>
      </c>
      <c r="G10" s="285">
        <f t="shared" si="4"/>
        <v>1.0206506293697489E-2</v>
      </c>
      <c r="H10" s="408">
        <v>1016.04</v>
      </c>
      <c r="I10" s="408">
        <v>22.28</v>
      </c>
      <c r="J10" s="408">
        <f t="shared" si="9"/>
        <v>2713.8000000000006</v>
      </c>
      <c r="K10" s="412">
        <f t="shared" si="5"/>
        <v>1.0203801236546829E-2</v>
      </c>
      <c r="L10" s="409">
        <v>301.63</v>
      </c>
      <c r="M10" s="409"/>
      <c r="N10" s="409">
        <v>10.15</v>
      </c>
      <c r="O10" s="409">
        <f t="shared" si="6"/>
        <v>1154.8499999999999</v>
      </c>
      <c r="P10" s="413">
        <f t="shared" si="7"/>
        <v>1.0212449126407985E-2</v>
      </c>
      <c r="Q10" s="408"/>
      <c r="R10" s="408"/>
      <c r="S10" s="408"/>
      <c r="T10" s="408"/>
      <c r="U10" s="408"/>
      <c r="V10" s="409"/>
      <c r="W10" s="409"/>
      <c r="X10" s="409"/>
      <c r="Y10" s="409"/>
      <c r="Z10" s="409"/>
    </row>
    <row r="11" spans="1:26" ht="11.25" customHeight="1" x14ac:dyDescent="0.3">
      <c r="A11" s="410">
        <f t="shared" si="0"/>
        <v>50</v>
      </c>
      <c r="B11" s="411">
        <v>39722</v>
      </c>
      <c r="C11" s="411">
        <v>39813</v>
      </c>
      <c r="D11" s="399">
        <f t="shared" si="1"/>
        <v>1523.3000000000002</v>
      </c>
      <c r="E11" s="341">
        <f t="shared" ref="E11:F11" si="11">I11+N11+S11+X11</f>
        <v>39.36</v>
      </c>
      <c r="F11" s="341">
        <f t="shared" si="11"/>
        <v>5431.31</v>
      </c>
      <c r="G11" s="285">
        <f t="shared" si="4"/>
        <v>8.5005291233829321E-3</v>
      </c>
      <c r="H11" s="408">
        <v>1255.94</v>
      </c>
      <c r="I11" s="408">
        <v>28.04</v>
      </c>
      <c r="J11" s="408">
        <f t="shared" si="9"/>
        <v>3997.7800000000007</v>
      </c>
      <c r="K11" s="412">
        <f t="shared" si="5"/>
        <v>8.3907629789004012E-3</v>
      </c>
      <c r="L11" s="409">
        <v>267.36</v>
      </c>
      <c r="M11" s="409"/>
      <c r="N11" s="409">
        <v>11.32</v>
      </c>
      <c r="O11" s="409">
        <f t="shared" si="6"/>
        <v>1433.53</v>
      </c>
      <c r="P11" s="413">
        <f t="shared" si="7"/>
        <v>8.7852048458320724E-3</v>
      </c>
      <c r="Q11" s="408"/>
      <c r="R11" s="408"/>
      <c r="S11" s="408"/>
      <c r="T11" s="408"/>
      <c r="U11" s="408"/>
      <c r="V11" s="409"/>
      <c r="W11" s="409"/>
      <c r="X11" s="409"/>
      <c r="Y11" s="409"/>
      <c r="Z11" s="409"/>
    </row>
    <row r="12" spans="1:26" ht="11.25" customHeight="1" x14ac:dyDescent="0.3">
      <c r="A12" s="410">
        <f t="shared" si="0"/>
        <v>63</v>
      </c>
      <c r="B12" s="414">
        <v>39814</v>
      </c>
      <c r="C12" s="414">
        <v>39903</v>
      </c>
      <c r="D12" s="399">
        <f t="shared" si="1"/>
        <v>1580.0299999999997</v>
      </c>
      <c r="E12" s="341">
        <f t="shared" ref="E12:F12" si="12">I12+N12+S12+X12</f>
        <v>-150.55000000000001</v>
      </c>
      <c r="F12" s="341">
        <f t="shared" si="12"/>
        <v>6860.7900000000009</v>
      </c>
      <c r="G12" s="285">
        <f t="shared" si="4"/>
        <v>-2.4199025127283978E-2</v>
      </c>
      <c r="H12" s="408">
        <v>1523.0499999999997</v>
      </c>
      <c r="I12" s="408">
        <v>-105.23</v>
      </c>
      <c r="J12" s="408">
        <f t="shared" si="9"/>
        <v>5415.6</v>
      </c>
      <c r="K12" s="412">
        <f t="shared" si="5"/>
        <v>-2.2110371157133237E-2</v>
      </c>
      <c r="L12" s="409">
        <v>56.98</v>
      </c>
      <c r="M12" s="409"/>
      <c r="N12" s="409">
        <v>-45.32</v>
      </c>
      <c r="O12" s="409">
        <f t="shared" si="6"/>
        <v>1445.19</v>
      </c>
      <c r="P12" s="413">
        <f t="shared" si="7"/>
        <v>-3.0998207958851453E-2</v>
      </c>
      <c r="Q12" s="408"/>
      <c r="R12" s="408"/>
      <c r="S12" s="408"/>
      <c r="T12" s="408"/>
      <c r="U12" s="408"/>
      <c r="V12" s="409"/>
      <c r="W12" s="409"/>
      <c r="X12" s="409"/>
      <c r="Y12" s="409"/>
      <c r="Z12" s="409"/>
    </row>
    <row r="13" spans="1:26" ht="11.25" customHeight="1" x14ac:dyDescent="0.3">
      <c r="A13" s="410">
        <f t="shared" si="0"/>
        <v>2</v>
      </c>
      <c r="B13" s="411">
        <v>39904</v>
      </c>
      <c r="C13" s="411">
        <v>39994</v>
      </c>
      <c r="D13" s="399">
        <f t="shared" si="1"/>
        <v>2024.3000000000002</v>
      </c>
      <c r="E13" s="341">
        <f t="shared" ref="E13:F13" si="13">I13+N13+S13+X13</f>
        <v>1364.23</v>
      </c>
      <c r="F13" s="341">
        <f t="shared" si="13"/>
        <v>10249.32</v>
      </c>
      <c r="G13" s="285">
        <f t="shared" si="4"/>
        <v>0.17328088363432212</v>
      </c>
      <c r="H13" s="408">
        <v>1796.41</v>
      </c>
      <c r="I13" s="408">
        <v>1083.82</v>
      </c>
      <c r="J13" s="408">
        <f t="shared" si="9"/>
        <v>8295.83</v>
      </c>
      <c r="K13" s="412">
        <f t="shared" si="5"/>
        <v>0.17165876994934115</v>
      </c>
      <c r="L13" s="409">
        <v>227.89</v>
      </c>
      <c r="M13" s="409"/>
      <c r="N13" s="409">
        <v>280.41000000000003</v>
      </c>
      <c r="O13" s="409">
        <f t="shared" si="6"/>
        <v>1953.49</v>
      </c>
      <c r="P13" s="413">
        <f t="shared" si="7"/>
        <v>0.17984972436639549</v>
      </c>
      <c r="Q13" s="408"/>
      <c r="R13" s="408"/>
      <c r="S13" s="408"/>
      <c r="T13" s="408"/>
      <c r="U13" s="408"/>
      <c r="V13" s="409"/>
      <c r="W13" s="409"/>
      <c r="X13" s="409"/>
      <c r="Y13" s="409"/>
      <c r="Z13" s="409"/>
    </row>
    <row r="14" spans="1:26" ht="11.25" customHeight="1" x14ac:dyDescent="0.3">
      <c r="A14" s="410">
        <f t="shared" si="0"/>
        <v>3</v>
      </c>
      <c r="B14" s="411">
        <v>39995</v>
      </c>
      <c r="C14" s="411">
        <v>40086</v>
      </c>
      <c r="D14" s="399">
        <f t="shared" si="1"/>
        <v>1150.5</v>
      </c>
      <c r="E14" s="341">
        <f t="shared" ref="E14:F14" si="14">I14+N14+S14+X14</f>
        <v>1817.51</v>
      </c>
      <c r="F14" s="341">
        <f t="shared" si="14"/>
        <v>13217.33</v>
      </c>
      <c r="G14" s="285">
        <f t="shared" si="4"/>
        <v>0.16790597686559375</v>
      </c>
      <c r="H14" s="408">
        <v>256.63</v>
      </c>
      <c r="I14" s="408">
        <v>1434.94</v>
      </c>
      <c r="J14" s="408">
        <f t="shared" si="9"/>
        <v>9987.4</v>
      </c>
      <c r="K14" s="412">
        <f t="shared" si="5"/>
        <v>0.17033657421613707</v>
      </c>
      <c r="L14" s="409">
        <v>893.87</v>
      </c>
      <c r="M14" s="409"/>
      <c r="N14" s="409">
        <v>382.57</v>
      </c>
      <c r="O14" s="409">
        <f t="shared" si="6"/>
        <v>3229.9300000000003</v>
      </c>
      <c r="P14" s="413">
        <f t="shared" si="7"/>
        <v>0.15937594384327775</v>
      </c>
      <c r="Q14" s="408"/>
      <c r="R14" s="408"/>
      <c r="S14" s="408"/>
      <c r="T14" s="408"/>
      <c r="U14" s="408"/>
      <c r="V14" s="409"/>
      <c r="W14" s="409"/>
      <c r="X14" s="409"/>
      <c r="Y14" s="409"/>
      <c r="Z14" s="409"/>
    </row>
    <row r="15" spans="1:26" ht="11.25" customHeight="1" x14ac:dyDescent="0.3">
      <c r="A15" s="410">
        <f t="shared" si="0"/>
        <v>37</v>
      </c>
      <c r="B15" s="411">
        <v>40087</v>
      </c>
      <c r="C15" s="411">
        <v>40178</v>
      </c>
      <c r="D15" s="399">
        <f t="shared" si="1"/>
        <v>1466</v>
      </c>
      <c r="E15" s="341">
        <f t="shared" ref="E15:F15" si="15">I15+N15+S15+X15</f>
        <v>558.29</v>
      </c>
      <c r="F15" s="341">
        <f t="shared" si="15"/>
        <v>15241.619999999999</v>
      </c>
      <c r="G15" s="285">
        <f t="shared" si="4"/>
        <v>4.0019841824530313E-2</v>
      </c>
      <c r="H15" s="408">
        <v>0</v>
      </c>
      <c r="I15" s="408">
        <v>391.74</v>
      </c>
      <c r="J15" s="408">
        <f t="shared" si="9"/>
        <v>10379.14</v>
      </c>
      <c r="K15" s="412">
        <f t="shared" si="5"/>
        <v>3.9223421511103994E-2</v>
      </c>
      <c r="L15" s="409">
        <v>1466</v>
      </c>
      <c r="M15" s="409"/>
      <c r="N15" s="409">
        <v>166.55</v>
      </c>
      <c r="O15" s="409">
        <f t="shared" si="6"/>
        <v>4862.4800000000005</v>
      </c>
      <c r="P15" s="413">
        <f t="shared" si="7"/>
        <v>4.2026985084268456E-2</v>
      </c>
      <c r="Q15" s="408"/>
      <c r="R15" s="408"/>
      <c r="S15" s="408"/>
      <c r="T15" s="408"/>
      <c r="U15" s="408"/>
      <c r="V15" s="409"/>
      <c r="W15" s="409"/>
      <c r="X15" s="409"/>
      <c r="Y15" s="409"/>
      <c r="Z15" s="409"/>
    </row>
    <row r="16" spans="1:26" ht="11.25" customHeight="1" x14ac:dyDescent="0.3">
      <c r="A16" s="410">
        <f t="shared" si="0"/>
        <v>28</v>
      </c>
      <c r="B16" s="411">
        <v>40179</v>
      </c>
      <c r="C16" s="411">
        <v>40268</v>
      </c>
      <c r="D16" s="399">
        <f t="shared" si="1"/>
        <v>1386.53</v>
      </c>
      <c r="E16" s="341">
        <f t="shared" ref="E16:F16" si="16">I16+N16+S16+X16</f>
        <v>828.7700000000001</v>
      </c>
      <c r="F16" s="341">
        <f t="shared" si="16"/>
        <v>17456.920000000002</v>
      </c>
      <c r="G16" s="285">
        <f t="shared" si="4"/>
        <v>5.2009788586488082E-2</v>
      </c>
      <c r="H16" s="408">
        <v>0</v>
      </c>
      <c r="I16" s="408">
        <v>522.48</v>
      </c>
      <c r="J16" s="408">
        <f t="shared" si="9"/>
        <v>10901.619999999999</v>
      </c>
      <c r="K16" s="412">
        <f t="shared" si="5"/>
        <v>5.0339430819894525E-2</v>
      </c>
      <c r="L16" s="409">
        <v>1090</v>
      </c>
      <c r="M16" s="409"/>
      <c r="N16" s="409">
        <v>297.17</v>
      </c>
      <c r="O16" s="409">
        <f t="shared" si="6"/>
        <v>6249.6500000000005</v>
      </c>
      <c r="P16" s="413">
        <f t="shared" si="7"/>
        <v>5.4955358133548342E-2</v>
      </c>
      <c r="Q16" s="408"/>
      <c r="R16" s="408"/>
      <c r="S16" s="408"/>
      <c r="T16" s="408"/>
      <c r="U16" s="408"/>
      <c r="V16" s="409">
        <v>296.52999999999997</v>
      </c>
      <c r="W16" s="409"/>
      <c r="X16" s="409">
        <v>9.1199999999999992</v>
      </c>
      <c r="Y16" s="409">
        <f t="shared" ref="Y16:Y81" si="17">Y15+V16+X16+W16</f>
        <v>305.64999999999998</v>
      </c>
      <c r="Z16" s="413">
        <f t="shared" ref="Z16:Z81" si="18">X16/(Y15+(V16/2))</f>
        <v>6.1511482817927357E-2</v>
      </c>
    </row>
    <row r="17" spans="1:26" ht="11.25" customHeight="1" x14ac:dyDescent="0.3">
      <c r="A17" s="410">
        <f t="shared" si="0"/>
        <v>71</v>
      </c>
      <c r="B17" s="411">
        <v>40269</v>
      </c>
      <c r="C17" s="415">
        <v>40359</v>
      </c>
      <c r="D17" s="399">
        <f t="shared" si="1"/>
        <v>1914.0600000000002</v>
      </c>
      <c r="E17" s="341">
        <f t="shared" ref="E17:F17" si="19">I17+N17+S17+X17</f>
        <v>-1649.6899999999998</v>
      </c>
      <c r="F17" s="341">
        <f t="shared" si="19"/>
        <v>17721.29</v>
      </c>
      <c r="G17" s="285">
        <f t="shared" si="4"/>
        <v>-8.9589143013856329E-2</v>
      </c>
      <c r="H17" s="408">
        <v>269.69</v>
      </c>
      <c r="I17" s="408">
        <v>-964.57</v>
      </c>
      <c r="J17" s="408">
        <f t="shared" si="9"/>
        <v>10206.74</v>
      </c>
      <c r="K17" s="412">
        <f t="shared" si="5"/>
        <v>-8.739845593675151E-2</v>
      </c>
      <c r="L17" s="409">
        <v>1324.91</v>
      </c>
      <c r="M17" s="409"/>
      <c r="N17" s="409">
        <v>-653.51</v>
      </c>
      <c r="O17" s="409">
        <f t="shared" si="6"/>
        <v>6921.05</v>
      </c>
      <c r="P17" s="413">
        <f t="shared" si="7"/>
        <v>-9.4545728110322386E-2</v>
      </c>
      <c r="Q17" s="408"/>
      <c r="R17" s="408"/>
      <c r="S17" s="408"/>
      <c r="T17" s="408"/>
      <c r="U17" s="408"/>
      <c r="V17" s="409">
        <v>319.45999999999998</v>
      </c>
      <c r="W17" s="409"/>
      <c r="X17" s="409">
        <v>-31.61</v>
      </c>
      <c r="Y17" s="409">
        <f t="shared" si="17"/>
        <v>593.49999999999989</v>
      </c>
      <c r="Z17" s="413">
        <f t="shared" si="18"/>
        <v>-6.7922987665993376E-2</v>
      </c>
    </row>
    <row r="18" spans="1:26" ht="11.25" customHeight="1" x14ac:dyDescent="0.3">
      <c r="A18" s="410">
        <f t="shared" si="0"/>
        <v>9</v>
      </c>
      <c r="B18" s="411">
        <v>40360</v>
      </c>
      <c r="C18" s="415">
        <v>40451</v>
      </c>
      <c r="D18" s="399">
        <f t="shared" si="1"/>
        <v>2547.6999999999998</v>
      </c>
      <c r="E18" s="341">
        <f t="shared" ref="E18:F18" si="20">I18+N18+S18+X18</f>
        <v>2062.5700000000002</v>
      </c>
      <c r="F18" s="341">
        <f t="shared" si="20"/>
        <v>22331.559999999998</v>
      </c>
      <c r="G18" s="285">
        <f t="shared" si="4"/>
        <v>0.10858409045682213</v>
      </c>
      <c r="H18" s="408">
        <v>1618.14</v>
      </c>
      <c r="I18" s="408">
        <v>1192.33</v>
      </c>
      <c r="J18" s="408">
        <f t="shared" si="9"/>
        <v>13017.21</v>
      </c>
      <c r="K18" s="412">
        <f t="shared" si="5"/>
        <v>0.10823806873938457</v>
      </c>
      <c r="L18" s="409">
        <v>377.78</v>
      </c>
      <c r="M18" s="409"/>
      <c r="N18" s="409">
        <v>799.23</v>
      </c>
      <c r="O18" s="409">
        <f t="shared" si="6"/>
        <v>8098.0599999999995</v>
      </c>
      <c r="P18" s="413">
        <f t="shared" si="7"/>
        <v>0.11241023130996886</v>
      </c>
      <c r="Q18" s="408">
        <v>273.5</v>
      </c>
      <c r="R18" s="408"/>
      <c r="S18" s="408">
        <v>2.15</v>
      </c>
      <c r="T18" s="408">
        <f t="shared" ref="T18:T81" si="21">T17+Q18+S18+R18</f>
        <v>275.64999999999998</v>
      </c>
      <c r="U18" s="412">
        <f t="shared" ref="U18:U81" si="22">S18/(T17+(Q18/2))</f>
        <v>1.5722120658135282E-2</v>
      </c>
      <c r="V18" s="409">
        <v>278.27999999999997</v>
      </c>
      <c r="W18" s="409"/>
      <c r="X18" s="409">
        <v>68.86</v>
      </c>
      <c r="Y18" s="409">
        <f t="shared" si="17"/>
        <v>940.63999999999987</v>
      </c>
      <c r="Z18" s="413">
        <f t="shared" si="18"/>
        <v>9.3988862196986253E-2</v>
      </c>
    </row>
    <row r="19" spans="1:26" ht="11.25" customHeight="1" x14ac:dyDescent="0.3">
      <c r="A19" s="410">
        <f t="shared" si="0"/>
        <v>11</v>
      </c>
      <c r="B19" s="411">
        <v>40452</v>
      </c>
      <c r="C19" s="415">
        <v>40543</v>
      </c>
      <c r="D19" s="399">
        <f t="shared" si="1"/>
        <v>6533.1900000000005</v>
      </c>
      <c r="E19" s="341">
        <f t="shared" ref="E19:F19" si="23">I19+N19+S19+X19</f>
        <v>2252.0500000000002</v>
      </c>
      <c r="F19" s="341">
        <f t="shared" si="23"/>
        <v>31116.799999999999</v>
      </c>
      <c r="G19" s="285">
        <f t="shared" si="4"/>
        <v>8.7977043658029275E-2</v>
      </c>
      <c r="H19" s="408">
        <v>3863.84</v>
      </c>
      <c r="I19" s="408">
        <v>1331.18</v>
      </c>
      <c r="J19" s="408">
        <f t="shared" si="9"/>
        <v>18212.23</v>
      </c>
      <c r="K19" s="412">
        <f t="shared" si="5"/>
        <v>8.9047322486325298E-2</v>
      </c>
      <c r="L19" s="409">
        <v>283.35000000000002</v>
      </c>
      <c r="M19" s="409"/>
      <c r="N19" s="409">
        <v>687.46</v>
      </c>
      <c r="O19" s="409">
        <f t="shared" si="6"/>
        <v>9068.869999999999</v>
      </c>
      <c r="P19" s="413">
        <f t="shared" si="7"/>
        <v>8.3432294849288255E-2</v>
      </c>
      <c r="Q19" s="408">
        <v>2045.16</v>
      </c>
      <c r="R19" s="408"/>
      <c r="S19" s="408">
        <v>123.52</v>
      </c>
      <c r="T19" s="408">
        <f t="shared" si="21"/>
        <v>2444.33</v>
      </c>
      <c r="U19" s="412">
        <f t="shared" si="22"/>
        <v>9.5144928094405459E-2</v>
      </c>
      <c r="V19" s="409">
        <v>340.84</v>
      </c>
      <c r="W19" s="409"/>
      <c r="X19" s="409">
        <v>109.89</v>
      </c>
      <c r="Y19" s="409">
        <f t="shared" si="17"/>
        <v>1391.37</v>
      </c>
      <c r="Z19" s="413">
        <f t="shared" si="18"/>
        <v>9.8905549655284142E-2</v>
      </c>
    </row>
    <row r="20" spans="1:26" ht="11.25" customHeight="1" x14ac:dyDescent="0.3">
      <c r="A20" s="410">
        <f t="shared" si="0"/>
        <v>31</v>
      </c>
      <c r="B20" s="411">
        <v>40544</v>
      </c>
      <c r="C20" s="415">
        <v>40633</v>
      </c>
      <c r="D20" s="399">
        <f t="shared" si="1"/>
        <v>3746.7000000000007</v>
      </c>
      <c r="E20" s="341">
        <f t="shared" ref="E20:F20" si="24">I20+N20+S20+X20</f>
        <v>1618.06</v>
      </c>
      <c r="F20" s="341">
        <f t="shared" si="24"/>
        <v>36481.56</v>
      </c>
      <c r="G20" s="285">
        <f t="shared" si="4"/>
        <v>4.9046760927125212E-2</v>
      </c>
      <c r="H20" s="408">
        <v>1660.2900000000002</v>
      </c>
      <c r="I20" s="408">
        <v>923.35</v>
      </c>
      <c r="J20" s="408">
        <f t="shared" si="9"/>
        <v>20795.87</v>
      </c>
      <c r="K20" s="412">
        <f t="shared" si="5"/>
        <v>4.8489224689672379E-2</v>
      </c>
      <c r="L20" s="409">
        <v>223.47</v>
      </c>
      <c r="M20" s="409"/>
      <c r="N20" s="409">
        <v>452.46</v>
      </c>
      <c r="O20" s="409">
        <f t="shared" si="6"/>
        <v>9744.7999999999975</v>
      </c>
      <c r="P20" s="413">
        <f t="shared" si="7"/>
        <v>4.9284333657749133E-2</v>
      </c>
      <c r="Q20" s="408">
        <v>1562.47</v>
      </c>
      <c r="R20" s="408"/>
      <c r="S20" s="408">
        <v>163.33000000000001</v>
      </c>
      <c r="T20" s="408">
        <f t="shared" si="21"/>
        <v>4170.13</v>
      </c>
      <c r="U20" s="412">
        <f t="shared" si="22"/>
        <v>5.0636090111344838E-2</v>
      </c>
      <c r="V20" s="409">
        <v>300.47000000000003</v>
      </c>
      <c r="W20" s="409"/>
      <c r="X20" s="409">
        <v>78.92</v>
      </c>
      <c r="Y20" s="409">
        <f t="shared" si="17"/>
        <v>1770.76</v>
      </c>
      <c r="Z20" s="413">
        <f t="shared" si="18"/>
        <v>5.1193399087314843E-2</v>
      </c>
    </row>
    <row r="21" spans="1:26" ht="11.25" customHeight="1" x14ac:dyDescent="0.3">
      <c r="A21" s="410">
        <f t="shared" si="0"/>
        <v>57</v>
      </c>
      <c r="B21" s="411">
        <v>40634</v>
      </c>
      <c r="C21" s="415">
        <v>40724</v>
      </c>
      <c r="D21" s="399">
        <f t="shared" si="1"/>
        <v>4581.7999999999993</v>
      </c>
      <c r="E21" s="341">
        <f t="shared" ref="E21:F21" si="25">I21+N21+S21+X21</f>
        <v>163.54999999999998</v>
      </c>
      <c r="F21" s="341">
        <f t="shared" si="25"/>
        <v>41226.910000000003</v>
      </c>
      <c r="G21" s="285">
        <f t="shared" si="4"/>
        <v>4.2182002380039847E-3</v>
      </c>
      <c r="H21" s="408">
        <v>1946.84</v>
      </c>
      <c r="I21" s="408">
        <v>143.38</v>
      </c>
      <c r="J21" s="408">
        <f t="shared" si="9"/>
        <v>22886.09</v>
      </c>
      <c r="K21" s="412">
        <f t="shared" si="5"/>
        <v>6.5863425035910684E-3</v>
      </c>
      <c r="L21" s="409">
        <v>446.92</v>
      </c>
      <c r="M21" s="409"/>
      <c r="N21" s="409">
        <v>64.150000000000006</v>
      </c>
      <c r="O21" s="409">
        <f t="shared" si="6"/>
        <v>10255.869999999997</v>
      </c>
      <c r="P21" s="413">
        <f t="shared" si="7"/>
        <v>6.4354260422581303E-3</v>
      </c>
      <c r="Q21" s="408">
        <v>1835.14</v>
      </c>
      <c r="R21" s="408"/>
      <c r="S21" s="408">
        <v>-31.3</v>
      </c>
      <c r="T21" s="408">
        <f t="shared" si="21"/>
        <v>5973.97</v>
      </c>
      <c r="U21" s="412">
        <f t="shared" si="22"/>
        <v>-6.1520923010397631E-3</v>
      </c>
      <c r="V21" s="409">
        <v>352.9</v>
      </c>
      <c r="W21" s="409"/>
      <c r="X21" s="409">
        <v>-12.68</v>
      </c>
      <c r="Y21" s="409">
        <f t="shared" si="17"/>
        <v>2110.98</v>
      </c>
      <c r="Z21" s="413">
        <f t="shared" si="18"/>
        <v>-6.5118811016788118E-3</v>
      </c>
    </row>
    <row r="22" spans="1:26" ht="11.25" customHeight="1" x14ac:dyDescent="0.3">
      <c r="A22" s="410">
        <f t="shared" si="0"/>
        <v>74</v>
      </c>
      <c r="B22" s="411">
        <v>40725</v>
      </c>
      <c r="C22" s="415">
        <v>40816</v>
      </c>
      <c r="D22" s="399">
        <f t="shared" si="1"/>
        <v>3774.6600000000008</v>
      </c>
      <c r="E22" s="341">
        <f t="shared" ref="E22:F22" si="26">I22+N22+S22+X22</f>
        <v>-6501.0899999999992</v>
      </c>
      <c r="F22" s="341">
        <f t="shared" si="26"/>
        <v>38500.479999999996</v>
      </c>
      <c r="G22" s="285">
        <f t="shared" si="4"/>
        <v>-0.15078753562628028</v>
      </c>
      <c r="H22" s="408">
        <v>1668.7200000000003</v>
      </c>
      <c r="I22" s="408">
        <v>-3546.62</v>
      </c>
      <c r="J22" s="408">
        <f t="shared" si="9"/>
        <v>21008.190000000002</v>
      </c>
      <c r="K22" s="412">
        <f t="shared" si="5"/>
        <v>-0.14951739954343193</v>
      </c>
      <c r="L22" s="409">
        <v>368.07</v>
      </c>
      <c r="M22" s="409"/>
      <c r="N22" s="409">
        <v>-1548.35</v>
      </c>
      <c r="O22" s="409">
        <f t="shared" si="6"/>
        <v>9075.5899999999965</v>
      </c>
      <c r="P22" s="413">
        <f t="shared" si="7"/>
        <v>-0.14831073654405863</v>
      </c>
      <c r="Q22" s="408">
        <v>1457.5700000000002</v>
      </c>
      <c r="R22" s="408"/>
      <c r="S22" s="408">
        <v>-1054.22</v>
      </c>
      <c r="T22" s="408">
        <f t="shared" si="21"/>
        <v>6377.3200000000006</v>
      </c>
      <c r="U22" s="412">
        <f t="shared" si="22"/>
        <v>-0.15728159540368103</v>
      </c>
      <c r="V22" s="409">
        <v>280.3</v>
      </c>
      <c r="W22" s="409"/>
      <c r="X22" s="409">
        <v>-351.9</v>
      </c>
      <c r="Y22" s="409">
        <f t="shared" si="17"/>
        <v>2039.38</v>
      </c>
      <c r="Z22" s="413">
        <f t="shared" si="18"/>
        <v>-0.15632149187297045</v>
      </c>
    </row>
    <row r="23" spans="1:26" ht="11.25" customHeight="1" x14ac:dyDescent="0.3">
      <c r="A23" s="410">
        <f t="shared" si="0"/>
        <v>12</v>
      </c>
      <c r="B23" s="411">
        <v>40817</v>
      </c>
      <c r="C23" s="415">
        <v>40908</v>
      </c>
      <c r="D23" s="399">
        <f t="shared" si="1"/>
        <v>4156.38</v>
      </c>
      <c r="E23" s="341">
        <f t="shared" ref="E23:F23" si="27">I23+N23+S23+X23</f>
        <v>3470.22</v>
      </c>
      <c r="F23" s="341">
        <f t="shared" si="27"/>
        <v>46127.079999999994</v>
      </c>
      <c r="G23" s="285">
        <f t="shared" si="4"/>
        <v>8.5518327732279048E-2</v>
      </c>
      <c r="H23" s="408">
        <v>2040.26</v>
      </c>
      <c r="I23" s="408">
        <v>1961.05</v>
      </c>
      <c r="J23" s="408">
        <f t="shared" si="9"/>
        <v>25009.5</v>
      </c>
      <c r="K23" s="412">
        <f t="shared" si="5"/>
        <v>8.9024038147257692E-2</v>
      </c>
      <c r="L23" s="409">
        <v>270.62</v>
      </c>
      <c r="M23" s="409"/>
      <c r="N23" s="409">
        <v>824.52</v>
      </c>
      <c r="O23" s="409">
        <f t="shared" si="6"/>
        <v>10170.729999999998</v>
      </c>
      <c r="P23" s="413">
        <f t="shared" si="7"/>
        <v>8.9515682506595487E-2</v>
      </c>
      <c r="Q23" s="408">
        <v>1547.8500000000001</v>
      </c>
      <c r="R23" s="408"/>
      <c r="S23" s="408">
        <v>521.65</v>
      </c>
      <c r="T23" s="408">
        <f t="shared" si="21"/>
        <v>8446.8200000000015</v>
      </c>
      <c r="U23" s="412">
        <f t="shared" si="22"/>
        <v>7.2945340286901084E-2</v>
      </c>
      <c r="V23" s="409">
        <v>297.64999999999998</v>
      </c>
      <c r="W23" s="409"/>
      <c r="X23" s="409">
        <v>163</v>
      </c>
      <c r="Y23" s="409">
        <f t="shared" si="17"/>
        <v>2500.0300000000002</v>
      </c>
      <c r="Z23" s="413">
        <f t="shared" si="18"/>
        <v>7.4490278561652135E-2</v>
      </c>
    </row>
    <row r="24" spans="1:26" ht="11.25" customHeight="1" x14ac:dyDescent="0.3">
      <c r="A24" s="410">
        <f t="shared" si="0"/>
        <v>8</v>
      </c>
      <c r="B24" s="411">
        <v>40909</v>
      </c>
      <c r="C24" s="415">
        <v>40999</v>
      </c>
      <c r="D24" s="399">
        <f t="shared" si="1"/>
        <v>4009.2599999999998</v>
      </c>
      <c r="E24" s="341">
        <f t="shared" ref="E24:F24" si="28">I24+N24+S24+X24</f>
        <v>5260.63</v>
      </c>
      <c r="F24" s="341">
        <f t="shared" si="28"/>
        <v>55396.97</v>
      </c>
      <c r="G24" s="285">
        <f t="shared" si="4"/>
        <v>0.10929655314552508</v>
      </c>
      <c r="H24" s="408">
        <v>1824.4199999999998</v>
      </c>
      <c r="I24" s="408">
        <v>2841.64</v>
      </c>
      <c r="J24" s="408">
        <f t="shared" si="9"/>
        <v>29675.559999999998</v>
      </c>
      <c r="K24" s="412">
        <f t="shared" si="5"/>
        <v>0.10962394070452913</v>
      </c>
      <c r="L24" s="409">
        <v>326.49</v>
      </c>
      <c r="M24" s="409"/>
      <c r="N24" s="409">
        <v>1133.67</v>
      </c>
      <c r="O24" s="409">
        <f t="shared" si="6"/>
        <v>11630.889999999998</v>
      </c>
      <c r="P24" s="413">
        <f t="shared" si="7"/>
        <v>0.10970318778591977</v>
      </c>
      <c r="Q24" s="408">
        <v>1558.6200000000001</v>
      </c>
      <c r="R24" s="408"/>
      <c r="S24" s="408">
        <v>996.22</v>
      </c>
      <c r="T24" s="408">
        <f t="shared" si="21"/>
        <v>11001.660000000002</v>
      </c>
      <c r="U24" s="412">
        <f t="shared" si="22"/>
        <v>0.10797810132742547</v>
      </c>
      <c r="V24" s="409">
        <v>299.73</v>
      </c>
      <c r="W24" s="409"/>
      <c r="X24" s="409">
        <v>289.10000000000002</v>
      </c>
      <c r="Y24" s="409">
        <f t="shared" si="17"/>
        <v>3088.86</v>
      </c>
      <c r="Z24" s="413">
        <f t="shared" si="18"/>
        <v>0.10909866239983093</v>
      </c>
    </row>
    <row r="25" spans="1:26" ht="11.25" customHeight="1" x14ac:dyDescent="0.3">
      <c r="A25" s="410">
        <f t="shared" si="0"/>
        <v>67</v>
      </c>
      <c r="B25" s="411">
        <v>41000</v>
      </c>
      <c r="C25" s="415">
        <v>41090</v>
      </c>
      <c r="D25" s="399">
        <f t="shared" si="1"/>
        <v>4597.21</v>
      </c>
      <c r="E25" s="341">
        <f t="shared" ref="E25:F25" si="29">I25+N25+S25+X25</f>
        <v>-1979.1799999999998</v>
      </c>
      <c r="F25" s="341">
        <f t="shared" si="29"/>
        <v>58014.999999999993</v>
      </c>
      <c r="G25" s="285">
        <f t="shared" si="4"/>
        <v>-3.4303843925639003E-2</v>
      </c>
      <c r="H25" s="408">
        <v>1946.84</v>
      </c>
      <c r="I25" s="408">
        <v>-1067.25</v>
      </c>
      <c r="J25" s="408">
        <f t="shared" si="9"/>
        <v>30555.149999999998</v>
      </c>
      <c r="K25" s="412">
        <f t="shared" si="5"/>
        <v>-3.4821713479535048E-2</v>
      </c>
      <c r="L25" s="409">
        <v>274.95999999999998</v>
      </c>
      <c r="M25" s="409"/>
      <c r="N25" s="409">
        <v>-422.87</v>
      </c>
      <c r="O25" s="409">
        <f t="shared" si="6"/>
        <v>11482.979999999996</v>
      </c>
      <c r="P25" s="413">
        <f t="shared" si="7"/>
        <v>-3.5932758742289725E-2</v>
      </c>
      <c r="Q25" s="408">
        <v>1992.29</v>
      </c>
      <c r="R25" s="408"/>
      <c r="S25" s="408">
        <v>-380.96</v>
      </c>
      <c r="T25" s="408">
        <f t="shared" si="21"/>
        <v>12612.990000000002</v>
      </c>
      <c r="U25" s="412">
        <f t="shared" si="22"/>
        <v>-3.1752474723501498E-2</v>
      </c>
      <c r="V25" s="409">
        <v>383.12</v>
      </c>
      <c r="W25" s="409"/>
      <c r="X25" s="409">
        <v>-108.1</v>
      </c>
      <c r="Y25" s="409">
        <f t="shared" si="17"/>
        <v>3363.88</v>
      </c>
      <c r="Z25" s="413">
        <f t="shared" si="18"/>
        <v>-3.2953097469226499E-2</v>
      </c>
    </row>
    <row r="26" spans="1:26" ht="11.25" customHeight="1" x14ac:dyDescent="0.3">
      <c r="A26" s="410">
        <f t="shared" si="0"/>
        <v>26</v>
      </c>
      <c r="B26" s="411">
        <v>41091</v>
      </c>
      <c r="C26" s="415">
        <v>41182</v>
      </c>
      <c r="D26" s="399">
        <f t="shared" si="1"/>
        <v>3933.5200000000004</v>
      </c>
      <c r="E26" s="341">
        <f t="shared" ref="E26:F26" si="30">I26+N26+S26+X26</f>
        <v>3440.42</v>
      </c>
      <c r="F26" s="341">
        <f t="shared" si="30"/>
        <v>65388.939999999995</v>
      </c>
      <c r="G26" s="285">
        <f t="shared" si="4"/>
        <v>5.7357770095442351E-2</v>
      </c>
      <c r="H26" s="408">
        <v>1529.66</v>
      </c>
      <c r="I26" s="408">
        <v>1808.7</v>
      </c>
      <c r="J26" s="408">
        <f t="shared" si="9"/>
        <v>33893.509999999995</v>
      </c>
      <c r="K26" s="412">
        <f t="shared" si="5"/>
        <v>5.7749079022400403E-2</v>
      </c>
      <c r="L26" s="409">
        <v>532.69000000000005</v>
      </c>
      <c r="M26" s="409"/>
      <c r="N26" s="409">
        <v>676.72</v>
      </c>
      <c r="O26" s="409">
        <f t="shared" si="6"/>
        <v>12692.389999999996</v>
      </c>
      <c r="P26" s="413">
        <f t="shared" si="7"/>
        <v>5.7596500224481005E-2</v>
      </c>
      <c r="Q26" s="408">
        <v>1569.3700000000001</v>
      </c>
      <c r="R26" s="408"/>
      <c r="S26" s="408">
        <v>756.83</v>
      </c>
      <c r="T26" s="408">
        <f t="shared" si="21"/>
        <v>14939.190000000002</v>
      </c>
      <c r="U26" s="412">
        <f t="shared" si="22"/>
        <v>5.6489652122476475E-2</v>
      </c>
      <c r="V26" s="409">
        <v>301.8</v>
      </c>
      <c r="W26" s="409"/>
      <c r="X26" s="409">
        <v>198.17</v>
      </c>
      <c r="Y26" s="409">
        <f t="shared" si="17"/>
        <v>3863.8500000000004</v>
      </c>
      <c r="Z26" s="413">
        <f t="shared" si="18"/>
        <v>5.6381907260198358E-2</v>
      </c>
    </row>
    <row r="27" spans="1:26" ht="11.25" customHeight="1" x14ac:dyDescent="0.3">
      <c r="A27" s="410">
        <f t="shared" si="0"/>
        <v>41</v>
      </c>
      <c r="B27" s="411">
        <v>41183</v>
      </c>
      <c r="C27" s="415">
        <v>41274</v>
      </c>
      <c r="D27" s="399">
        <f t="shared" si="1"/>
        <v>4615.8599999999997</v>
      </c>
      <c r="E27" s="341">
        <f t="shared" ref="E27:F27" si="31">I27+N27+S27+X27</f>
        <v>1640.4599999999998</v>
      </c>
      <c r="F27" s="341">
        <f t="shared" si="31"/>
        <v>71645.25999999998</v>
      </c>
      <c r="G27" s="285">
        <f t="shared" si="4"/>
        <v>2.4232434970774867E-2</v>
      </c>
      <c r="H27" s="408">
        <v>1946.84</v>
      </c>
      <c r="I27" s="408">
        <v>835.2</v>
      </c>
      <c r="J27" s="408">
        <f t="shared" si="9"/>
        <v>36675.549999999988</v>
      </c>
      <c r="K27" s="412">
        <f t="shared" si="5"/>
        <v>2.3953929984658822E-2</v>
      </c>
      <c r="L27" s="409">
        <v>438.25</v>
      </c>
      <c r="M27" s="409"/>
      <c r="N27" s="409">
        <v>307.38</v>
      </c>
      <c r="O27" s="409">
        <f t="shared" si="6"/>
        <v>13438.019999999995</v>
      </c>
      <c r="P27" s="413">
        <f t="shared" si="7"/>
        <v>2.380665630640557E-2</v>
      </c>
      <c r="Q27" s="408">
        <v>1870.98</v>
      </c>
      <c r="R27" s="408"/>
      <c r="S27" s="408">
        <v>398.3</v>
      </c>
      <c r="T27" s="408">
        <f t="shared" si="21"/>
        <v>17208.47</v>
      </c>
      <c r="U27" s="412">
        <f t="shared" si="22"/>
        <v>2.5090269536141827E-2</v>
      </c>
      <c r="V27" s="409">
        <v>359.79</v>
      </c>
      <c r="W27" s="409"/>
      <c r="X27" s="409">
        <v>99.58</v>
      </c>
      <c r="Y27" s="409">
        <f t="shared" si="17"/>
        <v>4323.22</v>
      </c>
      <c r="Z27" s="413">
        <f t="shared" si="18"/>
        <v>2.4625687326970416E-2</v>
      </c>
    </row>
    <row r="28" spans="1:26" ht="11.25" customHeight="1" x14ac:dyDescent="0.3">
      <c r="A28" s="410">
        <f t="shared" si="0"/>
        <v>13</v>
      </c>
      <c r="B28" s="411">
        <v>41275</v>
      </c>
      <c r="C28" s="415">
        <v>41364</v>
      </c>
      <c r="D28" s="399">
        <f t="shared" si="1"/>
        <v>3774.9599999999996</v>
      </c>
      <c r="E28" s="341">
        <f t="shared" ref="E28:F28" si="32">I28+N28+S28+X28</f>
        <v>5662.7</v>
      </c>
      <c r="F28" s="341">
        <f t="shared" si="32"/>
        <v>81082.919999999984</v>
      </c>
      <c r="G28" s="285">
        <f t="shared" si="4"/>
        <v>7.7009234254020745E-2</v>
      </c>
      <c r="H28" s="408">
        <v>1495.97</v>
      </c>
      <c r="I28" s="408">
        <v>3009.58</v>
      </c>
      <c r="J28" s="408">
        <f t="shared" si="9"/>
        <v>41181.099999999991</v>
      </c>
      <c r="K28" s="412">
        <f t="shared" si="5"/>
        <v>8.0419447280969072E-2</v>
      </c>
      <c r="L28" s="409">
        <v>406.95</v>
      </c>
      <c r="M28" s="409"/>
      <c r="N28" s="409">
        <v>1093.82</v>
      </c>
      <c r="O28" s="409">
        <f t="shared" si="6"/>
        <v>14938.789999999995</v>
      </c>
      <c r="P28" s="413">
        <f t="shared" si="7"/>
        <v>8.0183293693249919E-2</v>
      </c>
      <c r="Q28" s="408">
        <v>1570.11</v>
      </c>
      <c r="R28" s="408"/>
      <c r="S28" s="408">
        <v>1248.3</v>
      </c>
      <c r="T28" s="408">
        <f t="shared" si="21"/>
        <v>20026.88</v>
      </c>
      <c r="U28" s="412">
        <f t="shared" si="22"/>
        <v>6.9374955713235723E-2</v>
      </c>
      <c r="V28" s="409">
        <v>301.93</v>
      </c>
      <c r="W28" s="409"/>
      <c r="X28" s="409">
        <v>311</v>
      </c>
      <c r="Y28" s="409">
        <f t="shared" si="17"/>
        <v>4936.1500000000005</v>
      </c>
      <c r="Z28" s="413">
        <f t="shared" si="18"/>
        <v>6.9509866042642393E-2</v>
      </c>
    </row>
    <row r="29" spans="1:26" ht="11.25" customHeight="1" x14ac:dyDescent="0.3">
      <c r="A29" s="410">
        <f t="shared" si="0"/>
        <v>54</v>
      </c>
      <c r="B29" s="411">
        <v>41365</v>
      </c>
      <c r="C29" s="415">
        <v>41455</v>
      </c>
      <c r="D29" s="399">
        <f t="shared" si="1"/>
        <v>4436.24</v>
      </c>
      <c r="E29" s="341">
        <f t="shared" ref="E29:F29" si="33">I29+N29+S29+X29</f>
        <v>607.16</v>
      </c>
      <c r="F29" s="341">
        <f t="shared" si="33"/>
        <v>86126.319999999992</v>
      </c>
      <c r="G29" s="285">
        <f t="shared" si="4"/>
        <v>7.2887445342819266E-3</v>
      </c>
      <c r="H29" s="408">
        <v>501.47</v>
      </c>
      <c r="I29" s="408">
        <v>553.12</v>
      </c>
      <c r="J29" s="408">
        <f t="shared" si="9"/>
        <v>42235.689999999995</v>
      </c>
      <c r="K29" s="412">
        <f t="shared" si="5"/>
        <v>1.3350120746522575E-2</v>
      </c>
      <c r="L29" s="409">
        <v>1453.39</v>
      </c>
      <c r="M29" s="409"/>
      <c r="N29" s="409">
        <v>183.76</v>
      </c>
      <c r="O29" s="409">
        <f t="shared" si="6"/>
        <v>16575.939999999995</v>
      </c>
      <c r="P29" s="413">
        <f t="shared" si="7"/>
        <v>1.1730246462206568E-2</v>
      </c>
      <c r="Q29" s="408">
        <v>2081.16</v>
      </c>
      <c r="R29" s="408"/>
      <c r="S29" s="408">
        <v>-105.6</v>
      </c>
      <c r="T29" s="408">
        <f t="shared" si="21"/>
        <v>22002.440000000002</v>
      </c>
      <c r="U29" s="412">
        <f t="shared" si="22"/>
        <v>-5.0124694671308265E-3</v>
      </c>
      <c r="V29" s="409">
        <v>400.22</v>
      </c>
      <c r="W29" s="409"/>
      <c r="X29" s="409">
        <v>-24.12</v>
      </c>
      <c r="Y29" s="409">
        <f t="shared" si="17"/>
        <v>5312.2500000000009</v>
      </c>
      <c r="Z29" s="413">
        <f t="shared" si="18"/>
        <v>-4.6960239551736092E-3</v>
      </c>
    </row>
    <row r="30" spans="1:26" ht="11.25" customHeight="1" x14ac:dyDescent="0.3">
      <c r="A30" s="410">
        <f t="shared" si="0"/>
        <v>21</v>
      </c>
      <c r="B30" s="411">
        <v>41456</v>
      </c>
      <c r="C30" s="415">
        <v>41547</v>
      </c>
      <c r="D30" s="399">
        <f t="shared" si="1"/>
        <v>3950.57</v>
      </c>
      <c r="E30" s="341">
        <f t="shared" ref="E30:F30" si="34">I30+N30+S30+X30</f>
        <v>5984.2</v>
      </c>
      <c r="F30" s="341">
        <f t="shared" si="34"/>
        <v>96061.090000000011</v>
      </c>
      <c r="G30" s="285">
        <f t="shared" si="4"/>
        <v>6.7923847698347833E-2</v>
      </c>
      <c r="H30" s="408">
        <v>0</v>
      </c>
      <c r="I30" s="408">
        <v>3021.48</v>
      </c>
      <c r="J30" s="408">
        <f t="shared" si="9"/>
        <v>45257.17</v>
      </c>
      <c r="K30" s="412">
        <f t="shared" si="5"/>
        <v>7.1538549506353522E-2</v>
      </c>
      <c r="L30" s="409">
        <v>1744.08</v>
      </c>
      <c r="M30" s="409"/>
      <c r="N30" s="409">
        <v>1238.0899999999999</v>
      </c>
      <c r="O30" s="409">
        <f t="shared" si="6"/>
        <v>19558.109999999997</v>
      </c>
      <c r="P30" s="413">
        <f t="shared" si="7"/>
        <v>7.0958930489374711E-2</v>
      </c>
      <c r="Q30" s="408">
        <v>1850.59</v>
      </c>
      <c r="R30" s="408"/>
      <c r="S30" s="408">
        <v>1390.7</v>
      </c>
      <c r="T30" s="408">
        <f t="shared" si="21"/>
        <v>25243.730000000003</v>
      </c>
      <c r="U30" s="412">
        <f t="shared" si="22"/>
        <v>6.0655795262811611E-2</v>
      </c>
      <c r="V30" s="409">
        <v>355.9</v>
      </c>
      <c r="W30" s="409"/>
      <c r="X30" s="409">
        <v>333.93</v>
      </c>
      <c r="Y30" s="409">
        <f t="shared" si="17"/>
        <v>6002.0800000000008</v>
      </c>
      <c r="Z30" s="413">
        <f t="shared" si="18"/>
        <v>6.0822920840770824E-2</v>
      </c>
    </row>
    <row r="31" spans="1:26" ht="11.25" customHeight="1" x14ac:dyDescent="0.3">
      <c r="A31" s="410">
        <f t="shared" si="0"/>
        <v>17</v>
      </c>
      <c r="B31" s="411">
        <v>41548</v>
      </c>
      <c r="C31" s="415">
        <v>41639</v>
      </c>
      <c r="D31" s="399">
        <f t="shared" si="1"/>
        <v>4145.34</v>
      </c>
      <c r="E31" s="341">
        <f t="shared" ref="E31:F31" si="35">I31+N31+S31+X31</f>
        <v>6997.7899999999991</v>
      </c>
      <c r="F31" s="341">
        <f t="shared" si="35"/>
        <v>107206.51000000001</v>
      </c>
      <c r="G31" s="285">
        <f t="shared" si="4"/>
        <v>7.130869132090728E-2</v>
      </c>
      <c r="H31" s="408">
        <v>0</v>
      </c>
      <c r="I31" s="408">
        <v>3416.72</v>
      </c>
      <c r="J31" s="408">
        <f t="shared" si="9"/>
        <v>48673.89</v>
      </c>
      <c r="K31" s="412">
        <f t="shared" si="5"/>
        <v>7.549566179237456E-2</v>
      </c>
      <c r="L31" s="409">
        <v>2111.1999999999998</v>
      </c>
      <c r="M31" s="409"/>
      <c r="N31" s="409">
        <v>1555.19</v>
      </c>
      <c r="O31" s="409">
        <f t="shared" si="6"/>
        <v>23224.499999999996</v>
      </c>
      <c r="P31" s="413">
        <f t="shared" si="7"/>
        <v>7.5444449349486353E-2</v>
      </c>
      <c r="Q31" s="408">
        <v>1706.06</v>
      </c>
      <c r="R31" s="408">
        <v>2.27</v>
      </c>
      <c r="S31" s="408">
        <v>1638.4</v>
      </c>
      <c r="T31" s="408">
        <f t="shared" si="21"/>
        <v>28590.460000000006</v>
      </c>
      <c r="U31" s="412">
        <f t="shared" si="22"/>
        <v>6.2781739955458077E-2</v>
      </c>
      <c r="V31" s="409">
        <v>328.08</v>
      </c>
      <c r="W31" s="409">
        <v>0.02</v>
      </c>
      <c r="X31" s="409">
        <v>387.48</v>
      </c>
      <c r="Y31" s="409">
        <f t="shared" si="17"/>
        <v>6717.6600000000017</v>
      </c>
      <c r="Z31" s="413">
        <f t="shared" si="18"/>
        <v>6.2840165290328431E-2</v>
      </c>
    </row>
    <row r="32" spans="1:26" ht="11.25" customHeight="1" x14ac:dyDescent="0.3">
      <c r="A32" s="410">
        <f t="shared" si="0"/>
        <v>45</v>
      </c>
      <c r="B32" s="411">
        <v>41640</v>
      </c>
      <c r="C32" s="415">
        <v>41729</v>
      </c>
      <c r="D32" s="399">
        <f t="shared" si="1"/>
        <v>3846.0099999999998</v>
      </c>
      <c r="E32" s="341">
        <f t="shared" ref="E32:F32" si="36">I32+N32+S32+X32</f>
        <v>1931.0800000000002</v>
      </c>
      <c r="F32" s="341">
        <f t="shared" si="36"/>
        <v>112983.6</v>
      </c>
      <c r="G32" s="285">
        <f t="shared" si="4"/>
        <v>1.7695304519588489E-2</v>
      </c>
      <c r="H32" s="408">
        <v>0</v>
      </c>
      <c r="I32" s="408">
        <v>829.61</v>
      </c>
      <c r="J32" s="408">
        <f t="shared" si="9"/>
        <v>49503.5</v>
      </c>
      <c r="K32" s="412">
        <f t="shared" si="5"/>
        <v>1.7044251034795042E-2</v>
      </c>
      <c r="L32" s="409">
        <v>1531.6</v>
      </c>
      <c r="M32" s="409"/>
      <c r="N32" s="409">
        <v>424.27</v>
      </c>
      <c r="O32" s="409">
        <f t="shared" si="6"/>
        <v>25180.369999999995</v>
      </c>
      <c r="P32" s="413">
        <f t="shared" si="7"/>
        <v>1.7685064380186993E-2</v>
      </c>
      <c r="Q32" s="408">
        <v>1823.48</v>
      </c>
      <c r="R32" s="408">
        <v>0</v>
      </c>
      <c r="S32" s="408">
        <v>547.29</v>
      </c>
      <c r="T32" s="408">
        <f t="shared" si="21"/>
        <v>30961.230000000007</v>
      </c>
      <c r="U32" s="412">
        <f t="shared" si="22"/>
        <v>1.8550819938852013E-2</v>
      </c>
      <c r="V32" s="409">
        <v>490.93</v>
      </c>
      <c r="W32" s="409">
        <v>0</v>
      </c>
      <c r="X32" s="409">
        <v>129.91</v>
      </c>
      <c r="Y32" s="409">
        <f t="shared" si="17"/>
        <v>7338.5000000000018</v>
      </c>
      <c r="Z32" s="413">
        <f t="shared" si="18"/>
        <v>1.8656853065254459E-2</v>
      </c>
    </row>
    <row r="33" spans="1:26" ht="11.25" customHeight="1" x14ac:dyDescent="0.3">
      <c r="A33" s="410">
        <f t="shared" si="0"/>
        <v>35</v>
      </c>
      <c r="B33" s="411">
        <v>41730</v>
      </c>
      <c r="C33" s="415">
        <v>41820</v>
      </c>
      <c r="D33" s="399">
        <f t="shared" si="1"/>
        <v>6383.4399999999987</v>
      </c>
      <c r="E33" s="341">
        <f t="shared" ref="E33:F33" si="37">I33+N33+S33+X33</f>
        <v>4965.99</v>
      </c>
      <c r="F33" s="341">
        <f t="shared" si="37"/>
        <v>124333.03</v>
      </c>
      <c r="G33" s="285">
        <f t="shared" si="4"/>
        <v>4.2745653724043965E-2</v>
      </c>
      <c r="H33" s="408">
        <v>3610.98</v>
      </c>
      <c r="I33" s="408">
        <v>2055.4699999999998</v>
      </c>
      <c r="J33" s="408">
        <f t="shared" si="9"/>
        <v>55169.950000000004</v>
      </c>
      <c r="K33" s="412">
        <f t="shared" si="5"/>
        <v>4.0060620955508962E-2</v>
      </c>
      <c r="L33" s="409">
        <v>796.42</v>
      </c>
      <c r="M33" s="409"/>
      <c r="N33" s="409">
        <v>1067.98</v>
      </c>
      <c r="O33" s="409">
        <f t="shared" si="6"/>
        <v>27044.769999999993</v>
      </c>
      <c r="P33" s="413">
        <f t="shared" si="7"/>
        <v>4.1752904187800893E-2</v>
      </c>
      <c r="Q33" s="408">
        <v>1556.8899999999999</v>
      </c>
      <c r="R33" s="408">
        <v>0</v>
      </c>
      <c r="S33" s="408">
        <v>1488.41</v>
      </c>
      <c r="T33" s="408">
        <f t="shared" si="21"/>
        <v>34006.530000000006</v>
      </c>
      <c r="U33" s="412">
        <f t="shared" si="22"/>
        <v>4.6894304998397113E-2</v>
      </c>
      <c r="V33" s="409">
        <v>419.15</v>
      </c>
      <c r="W33" s="409">
        <v>0</v>
      </c>
      <c r="X33" s="409">
        <v>354.13</v>
      </c>
      <c r="Y33" s="409">
        <f t="shared" si="17"/>
        <v>8111.7800000000016</v>
      </c>
      <c r="Z33" s="413">
        <f t="shared" si="18"/>
        <v>4.6916597940534495E-2</v>
      </c>
    </row>
    <row r="34" spans="1:26" ht="11.25" customHeight="1" x14ac:dyDescent="0.3">
      <c r="A34" s="410">
        <f t="shared" si="0"/>
        <v>62</v>
      </c>
      <c r="B34" s="411">
        <v>41821</v>
      </c>
      <c r="C34" s="415">
        <v>41912</v>
      </c>
      <c r="D34" s="399">
        <f t="shared" si="1"/>
        <v>5020.3499999999995</v>
      </c>
      <c r="E34" s="341">
        <f t="shared" ref="E34:F34" si="38">I34+N34+S34+X34</f>
        <v>-2295.38</v>
      </c>
      <c r="F34" s="341">
        <f t="shared" si="38"/>
        <v>127058</v>
      </c>
      <c r="G34" s="285">
        <f t="shared" si="4"/>
        <v>-1.8096199950166824E-2</v>
      </c>
      <c r="H34" s="408">
        <v>2025.8700000000001</v>
      </c>
      <c r="I34" s="408">
        <v>-1025.43</v>
      </c>
      <c r="J34" s="408">
        <f t="shared" si="9"/>
        <v>56170.390000000007</v>
      </c>
      <c r="K34" s="412">
        <f t="shared" si="5"/>
        <v>-1.8251643716765346E-2</v>
      </c>
      <c r="L34" s="409">
        <v>592.21</v>
      </c>
      <c r="M34" s="409"/>
      <c r="N34" s="409">
        <v>-500.96</v>
      </c>
      <c r="O34" s="409">
        <f t="shared" si="6"/>
        <v>27136.019999999993</v>
      </c>
      <c r="P34" s="413">
        <f t="shared" si="7"/>
        <v>-1.8322749363361639E-2</v>
      </c>
      <c r="Q34" s="408">
        <v>1892.7</v>
      </c>
      <c r="R34" s="408">
        <v>0</v>
      </c>
      <c r="S34" s="408">
        <v>-620.16999999999996</v>
      </c>
      <c r="T34" s="408">
        <f t="shared" si="21"/>
        <v>35279.060000000005</v>
      </c>
      <c r="U34" s="412">
        <f t="shared" si="22"/>
        <v>-1.7743030045020609E-2</v>
      </c>
      <c r="V34" s="409">
        <v>509.57</v>
      </c>
      <c r="W34" s="409">
        <v>0</v>
      </c>
      <c r="X34" s="409">
        <v>-148.82</v>
      </c>
      <c r="Y34" s="409">
        <f t="shared" si="17"/>
        <v>8472.5300000000025</v>
      </c>
      <c r="Z34" s="413">
        <f t="shared" si="18"/>
        <v>-1.7787467138544906E-2</v>
      </c>
    </row>
    <row r="35" spans="1:26" ht="11.25" customHeight="1" x14ac:dyDescent="0.3">
      <c r="A35" s="410">
        <f t="shared" si="0"/>
        <v>43</v>
      </c>
      <c r="B35" s="411">
        <v>41913</v>
      </c>
      <c r="C35" s="415">
        <v>42004</v>
      </c>
      <c r="D35" s="399">
        <f t="shared" si="1"/>
        <v>4102.1200000000008</v>
      </c>
      <c r="E35" s="341">
        <f t="shared" ref="E35:F35" si="39">I35+N35+S35+X35</f>
        <v>2984.8799999999997</v>
      </c>
      <c r="F35" s="341">
        <f t="shared" si="39"/>
        <v>134145</v>
      </c>
      <c r="G35" s="285">
        <f t="shared" si="4"/>
        <v>2.3119059189184707E-2</v>
      </c>
      <c r="H35" s="408">
        <v>1736.46</v>
      </c>
      <c r="I35" s="408">
        <v>1319.31</v>
      </c>
      <c r="J35" s="408">
        <f t="shared" si="9"/>
        <v>59226.16</v>
      </c>
      <c r="K35" s="412">
        <f t="shared" si="5"/>
        <v>2.3130117804392877E-2</v>
      </c>
      <c r="L35" s="409">
        <v>326.72000000000003</v>
      </c>
      <c r="M35" s="409"/>
      <c r="N35" s="409">
        <v>634.78</v>
      </c>
      <c r="O35" s="409">
        <f t="shared" si="6"/>
        <v>28097.519999999993</v>
      </c>
      <c r="P35" s="413">
        <f t="shared" si="7"/>
        <v>2.3252542731739701E-2</v>
      </c>
      <c r="Q35" s="408">
        <v>1606.43</v>
      </c>
      <c r="R35" s="408">
        <v>0</v>
      </c>
      <c r="S35" s="408">
        <v>830.77</v>
      </c>
      <c r="T35" s="408">
        <f t="shared" si="21"/>
        <v>37716.26</v>
      </c>
      <c r="U35" s="412">
        <f t="shared" si="22"/>
        <v>2.3024324270019002E-2</v>
      </c>
      <c r="V35" s="409">
        <v>432.51</v>
      </c>
      <c r="W35" s="409">
        <v>0</v>
      </c>
      <c r="X35" s="409">
        <v>200.02</v>
      </c>
      <c r="Y35" s="409">
        <f t="shared" si="17"/>
        <v>9105.0600000000031</v>
      </c>
      <c r="Z35" s="413">
        <f t="shared" si="18"/>
        <v>2.3020479848448312E-2</v>
      </c>
    </row>
    <row r="36" spans="1:26" ht="11.25" customHeight="1" x14ac:dyDescent="0.3">
      <c r="A36" s="410">
        <f t="shared" si="0"/>
        <v>40</v>
      </c>
      <c r="B36" s="411">
        <v>42005</v>
      </c>
      <c r="C36" s="415">
        <v>42094</v>
      </c>
      <c r="D36" s="399">
        <f t="shared" si="1"/>
        <v>4793.9600000000009</v>
      </c>
      <c r="E36" s="341">
        <f t="shared" ref="E36:F36" si="40">I36+N36+S36+X36</f>
        <v>3973.43</v>
      </c>
      <c r="F36" s="341">
        <f t="shared" si="40"/>
        <v>142918.84999999998</v>
      </c>
      <c r="G36" s="285">
        <f t="shared" si="4"/>
        <v>2.910042757546067E-2</v>
      </c>
      <c r="H36" s="408">
        <v>2091.4</v>
      </c>
      <c r="I36" s="408">
        <v>1787.19</v>
      </c>
      <c r="J36" s="408">
        <f t="shared" si="9"/>
        <v>63104.750000000007</v>
      </c>
      <c r="K36" s="412">
        <f t="shared" si="5"/>
        <v>2.9652146125903531E-2</v>
      </c>
      <c r="L36" s="409">
        <v>247.5</v>
      </c>
      <c r="M36" s="409"/>
      <c r="N36" s="409">
        <v>834.13</v>
      </c>
      <c r="O36" s="409">
        <f t="shared" si="6"/>
        <v>29179.149999999994</v>
      </c>
      <c r="P36" s="413">
        <f t="shared" si="7"/>
        <v>2.9556784652143585E-2</v>
      </c>
      <c r="Q36" s="408">
        <v>1934.29</v>
      </c>
      <c r="R36" s="408">
        <v>5.54</v>
      </c>
      <c r="S36" s="408">
        <v>1088.68</v>
      </c>
      <c r="T36" s="408">
        <f t="shared" si="21"/>
        <v>40744.770000000004</v>
      </c>
      <c r="U36" s="412">
        <f t="shared" si="22"/>
        <v>2.8143334331608091E-2</v>
      </c>
      <c r="V36" s="409">
        <v>520.77</v>
      </c>
      <c r="W36" s="409">
        <v>0.92</v>
      </c>
      <c r="X36" s="409">
        <v>263.43</v>
      </c>
      <c r="Y36" s="409">
        <f t="shared" si="17"/>
        <v>9890.1800000000039</v>
      </c>
      <c r="Z36" s="413">
        <f t="shared" si="18"/>
        <v>2.8127867922987101E-2</v>
      </c>
    </row>
    <row r="37" spans="1:26" ht="11.25" customHeight="1" x14ac:dyDescent="0.3">
      <c r="A37" s="410">
        <f t="shared" si="0"/>
        <v>59</v>
      </c>
      <c r="B37" s="411">
        <v>42095</v>
      </c>
      <c r="C37" s="415">
        <v>42185</v>
      </c>
      <c r="D37" s="399">
        <f t="shared" si="1"/>
        <v>4068.3700000000003</v>
      </c>
      <c r="E37" s="341">
        <f t="shared" ref="E37:F37" si="41">I37+N37+S37+X37</f>
        <v>-226.57999999999998</v>
      </c>
      <c r="F37" s="341">
        <f t="shared" si="41"/>
        <v>146760.63999999998</v>
      </c>
      <c r="G37" s="285">
        <f t="shared" si="4"/>
        <v>-1.5631269810942559E-3</v>
      </c>
      <c r="H37" s="408">
        <v>1804.98</v>
      </c>
      <c r="I37" s="408">
        <v>123.14</v>
      </c>
      <c r="J37" s="408">
        <f t="shared" si="9"/>
        <v>65032.87000000001</v>
      </c>
      <c r="K37" s="412">
        <f t="shared" si="5"/>
        <v>1.9238448650496412E-3</v>
      </c>
      <c r="L37" s="409">
        <v>165.03</v>
      </c>
      <c r="M37" s="409"/>
      <c r="N37" s="409">
        <v>69.069999999999993</v>
      </c>
      <c r="O37" s="409">
        <f t="shared" si="6"/>
        <v>29413.249999999993</v>
      </c>
      <c r="P37" s="413">
        <f t="shared" si="7"/>
        <v>2.3604261753389635E-3</v>
      </c>
      <c r="Q37" s="408">
        <v>1653.25</v>
      </c>
      <c r="R37" s="408">
        <v>0</v>
      </c>
      <c r="S37" s="408">
        <v>-336.09</v>
      </c>
      <c r="T37" s="408">
        <f t="shared" si="21"/>
        <v>42061.930000000008</v>
      </c>
      <c r="U37" s="412">
        <f t="shared" si="22"/>
        <v>-8.0846457040953269E-3</v>
      </c>
      <c r="V37" s="409">
        <v>445.11</v>
      </c>
      <c r="W37" s="409">
        <v>0</v>
      </c>
      <c r="X37" s="409">
        <v>-82.7</v>
      </c>
      <c r="Y37" s="409">
        <f t="shared" si="17"/>
        <v>10252.590000000004</v>
      </c>
      <c r="Z37" s="413">
        <f t="shared" si="18"/>
        <v>-8.177807487292011E-3</v>
      </c>
    </row>
    <row r="38" spans="1:26" ht="11.25" customHeight="1" x14ac:dyDescent="0.3">
      <c r="A38" s="410">
        <f t="shared" si="0"/>
        <v>70</v>
      </c>
      <c r="B38" s="411">
        <v>42186</v>
      </c>
      <c r="C38" s="415">
        <v>42277</v>
      </c>
      <c r="D38" s="399">
        <f t="shared" si="1"/>
        <v>5794.38</v>
      </c>
      <c r="E38" s="341">
        <f t="shared" ref="E38:F38" si="42">I38+N38+S38+X38</f>
        <v>-10558.59</v>
      </c>
      <c r="F38" s="341">
        <f t="shared" si="42"/>
        <v>141996.43</v>
      </c>
      <c r="G38" s="285">
        <f t="shared" si="4"/>
        <v>-7.0551537463826655E-2</v>
      </c>
      <c r="H38" s="408">
        <v>2219.66</v>
      </c>
      <c r="I38" s="408">
        <v>-4630.16</v>
      </c>
      <c r="J38" s="408">
        <f t="shared" si="9"/>
        <v>62622.37000000001</v>
      </c>
      <c r="K38" s="412">
        <f t="shared" si="5"/>
        <v>-7.0002585319317162E-2</v>
      </c>
      <c r="L38" s="409">
        <v>845.66</v>
      </c>
      <c r="M38" s="409"/>
      <c r="N38" s="409">
        <v>-2066.1999999999998</v>
      </c>
      <c r="O38" s="409">
        <f t="shared" si="6"/>
        <v>28192.709999999992</v>
      </c>
      <c r="P38" s="413">
        <f t="shared" si="7"/>
        <v>-6.9251724757407818E-2</v>
      </c>
      <c r="Q38" s="408">
        <v>2150.17</v>
      </c>
      <c r="R38" s="408">
        <v>0</v>
      </c>
      <c r="S38" s="408">
        <v>-3103.52</v>
      </c>
      <c r="T38" s="408">
        <f t="shared" si="21"/>
        <v>41108.580000000009</v>
      </c>
      <c r="U38" s="412">
        <f t="shared" si="22"/>
        <v>-7.1945636479482863E-2</v>
      </c>
      <c r="V38" s="409">
        <v>578.89</v>
      </c>
      <c r="W38" s="409">
        <v>0</v>
      </c>
      <c r="X38" s="409">
        <v>-758.71</v>
      </c>
      <c r="Y38" s="409">
        <f t="shared" si="17"/>
        <v>10072.770000000004</v>
      </c>
      <c r="Z38" s="413">
        <f t="shared" si="18"/>
        <v>-7.1969975436431369E-2</v>
      </c>
    </row>
    <row r="39" spans="1:26" ht="11.25" customHeight="1" x14ac:dyDescent="0.3">
      <c r="A39" s="410">
        <f t="shared" si="0"/>
        <v>32</v>
      </c>
      <c r="B39" s="411">
        <v>42278</v>
      </c>
      <c r="C39" s="415">
        <v>42369</v>
      </c>
      <c r="D39" s="399">
        <f t="shared" si="1"/>
        <v>5396.380000000001</v>
      </c>
      <c r="E39" s="341">
        <f t="shared" ref="E39:F39" si="43">I39+N39+S39+X39</f>
        <v>6605.6100000000006</v>
      </c>
      <c r="F39" s="341">
        <f t="shared" si="43"/>
        <v>154009.28</v>
      </c>
      <c r="G39" s="285">
        <f t="shared" si="4"/>
        <v>4.565207745802851E-2</v>
      </c>
      <c r="H39" s="408">
        <v>2032.6799999999998</v>
      </c>
      <c r="I39" s="408">
        <v>2853.65</v>
      </c>
      <c r="J39" s="408">
        <f t="shared" si="9"/>
        <v>67508.700000000012</v>
      </c>
      <c r="K39" s="412">
        <f t="shared" si="5"/>
        <v>4.4841418061428329E-2</v>
      </c>
      <c r="L39" s="409">
        <v>419.55</v>
      </c>
      <c r="M39" s="409"/>
      <c r="N39" s="409">
        <v>1292.8499999999999</v>
      </c>
      <c r="O39" s="409">
        <f t="shared" si="6"/>
        <v>29905.10999999999</v>
      </c>
      <c r="P39" s="413">
        <f t="shared" si="7"/>
        <v>4.5518904419806938E-2</v>
      </c>
      <c r="Q39" s="408">
        <v>2319.63</v>
      </c>
      <c r="R39" s="408">
        <v>8.6199999999999992</v>
      </c>
      <c r="S39" s="408">
        <v>1975.43</v>
      </c>
      <c r="T39" s="408">
        <f t="shared" si="21"/>
        <v>45412.260000000009</v>
      </c>
      <c r="U39" s="412">
        <f t="shared" si="22"/>
        <v>4.6735391774397859E-2</v>
      </c>
      <c r="V39" s="409">
        <v>624.52</v>
      </c>
      <c r="W39" s="409">
        <v>2.2400000000000002</v>
      </c>
      <c r="X39" s="409">
        <v>483.68</v>
      </c>
      <c r="Y39" s="409">
        <f t="shared" si="17"/>
        <v>11183.210000000005</v>
      </c>
      <c r="Z39" s="413">
        <f t="shared" si="18"/>
        <v>4.6574733053250668E-2</v>
      </c>
    </row>
    <row r="40" spans="1:26" ht="11.25" customHeight="1" x14ac:dyDescent="0.3">
      <c r="A40" s="410">
        <f t="shared" si="0"/>
        <v>53</v>
      </c>
      <c r="B40" s="411">
        <v>42370</v>
      </c>
      <c r="C40" s="415">
        <v>42460</v>
      </c>
      <c r="D40" s="399">
        <f t="shared" si="1"/>
        <v>5972.98</v>
      </c>
      <c r="E40" s="341">
        <f t="shared" ref="E40:F40" si="44">I40+N40+S40+X40</f>
        <v>1204.92</v>
      </c>
      <c r="F40" s="341">
        <f t="shared" si="44"/>
        <v>161187.18000000002</v>
      </c>
      <c r="G40" s="285">
        <f t="shared" si="4"/>
        <v>7.6748564626932317E-3</v>
      </c>
      <c r="H40" s="408">
        <v>2391.1600000000003</v>
      </c>
      <c r="I40" s="408">
        <v>216.96</v>
      </c>
      <c r="J40" s="408">
        <f t="shared" si="9"/>
        <v>70116.820000000022</v>
      </c>
      <c r="K40" s="412">
        <f t="shared" si="5"/>
        <v>3.1578818670394328E-3</v>
      </c>
      <c r="L40" s="409">
        <v>257.87</v>
      </c>
      <c r="M40" s="409"/>
      <c r="N40" s="409">
        <v>53.78</v>
      </c>
      <c r="O40" s="409">
        <f t="shared" si="6"/>
        <v>30216.759999999987</v>
      </c>
      <c r="P40" s="413">
        <f t="shared" si="7"/>
        <v>1.7906345948406222E-3</v>
      </c>
      <c r="Q40" s="408">
        <v>2618.87</v>
      </c>
      <c r="R40" s="408">
        <v>0</v>
      </c>
      <c r="S40" s="408">
        <v>746.75</v>
      </c>
      <c r="T40" s="408">
        <f t="shared" si="21"/>
        <v>48777.880000000012</v>
      </c>
      <c r="U40" s="412">
        <f t="shared" si="22"/>
        <v>1.5982938975137778E-2</v>
      </c>
      <c r="V40" s="409">
        <v>705.08</v>
      </c>
      <c r="W40" s="409">
        <v>0</v>
      </c>
      <c r="X40" s="409">
        <v>187.43</v>
      </c>
      <c r="Y40" s="409">
        <f t="shared" si="17"/>
        <v>12075.720000000005</v>
      </c>
      <c r="Z40" s="413">
        <f t="shared" si="18"/>
        <v>1.6247751554948738E-2</v>
      </c>
    </row>
    <row r="41" spans="1:26" ht="11.25" customHeight="1" x14ac:dyDescent="0.3">
      <c r="A41" s="410">
        <f t="shared" si="0"/>
        <v>47</v>
      </c>
      <c r="B41" s="411">
        <v>42461</v>
      </c>
      <c r="C41" s="415">
        <v>42551</v>
      </c>
      <c r="D41" s="399">
        <f t="shared" si="1"/>
        <v>5490.93</v>
      </c>
      <c r="E41" s="341">
        <f t="shared" ref="E41:F41" si="45">I41+N41+S41+X41</f>
        <v>2765.2200000000003</v>
      </c>
      <c r="F41" s="341">
        <f t="shared" si="45"/>
        <v>169443.33000000005</v>
      </c>
      <c r="G41" s="285">
        <f t="shared" si="4"/>
        <v>1.6868025279528673E-2</v>
      </c>
      <c r="H41" s="408">
        <v>2056.3200000000002</v>
      </c>
      <c r="I41" s="408">
        <v>1078.08</v>
      </c>
      <c r="J41" s="408">
        <f t="shared" si="9"/>
        <v>73251.22000000003</v>
      </c>
      <c r="K41" s="412">
        <f t="shared" si="5"/>
        <v>1.5153282775538056E-2</v>
      </c>
      <c r="L41" s="409">
        <v>365.3</v>
      </c>
      <c r="M41" s="409"/>
      <c r="N41" s="409">
        <v>458.99</v>
      </c>
      <c r="O41" s="409">
        <f t="shared" si="6"/>
        <v>31041.049999999988</v>
      </c>
      <c r="P41" s="413">
        <f t="shared" si="7"/>
        <v>1.5098648296134701E-2</v>
      </c>
      <c r="Q41" s="408">
        <v>2418.2399999999998</v>
      </c>
      <c r="R41" s="408">
        <v>0</v>
      </c>
      <c r="S41" s="408">
        <v>984.08</v>
      </c>
      <c r="T41" s="408">
        <f t="shared" si="21"/>
        <v>52180.200000000012</v>
      </c>
      <c r="U41" s="412">
        <f t="shared" si="22"/>
        <v>1.968671854682217E-2</v>
      </c>
      <c r="V41" s="409">
        <v>651.07000000000005</v>
      </c>
      <c r="W41" s="409">
        <v>0</v>
      </c>
      <c r="X41" s="409">
        <v>244.07</v>
      </c>
      <c r="Y41" s="409">
        <f t="shared" si="17"/>
        <v>12970.860000000004</v>
      </c>
      <c r="Z41" s="413">
        <f t="shared" si="18"/>
        <v>1.9681072601119797E-2</v>
      </c>
    </row>
    <row r="42" spans="1:26" ht="11.25" customHeight="1" x14ac:dyDescent="0.3">
      <c r="A42" s="410">
        <f t="shared" si="0"/>
        <v>33</v>
      </c>
      <c r="B42" s="411">
        <v>42552</v>
      </c>
      <c r="C42" s="415">
        <v>42643</v>
      </c>
      <c r="D42" s="399">
        <f t="shared" si="1"/>
        <v>6394.45</v>
      </c>
      <c r="E42" s="341">
        <f t="shared" ref="E42:F42" si="46">I42+N42+S42+X42</f>
        <v>7537.78</v>
      </c>
      <c r="F42" s="341">
        <f t="shared" si="46"/>
        <v>183375.56000000003</v>
      </c>
      <c r="G42" s="285">
        <f t="shared" si="4"/>
        <v>4.3661699303503727E-2</v>
      </c>
      <c r="H42" s="408">
        <v>2432.4899999999998</v>
      </c>
      <c r="I42" s="408">
        <v>3287.43</v>
      </c>
      <c r="J42" s="408">
        <f t="shared" si="9"/>
        <v>78971.140000000029</v>
      </c>
      <c r="K42" s="412">
        <f t="shared" si="5"/>
        <v>4.4145856180279518E-2</v>
      </c>
      <c r="L42" s="409">
        <v>580.16</v>
      </c>
      <c r="M42" s="409"/>
      <c r="N42" s="409">
        <v>1388.59</v>
      </c>
      <c r="O42" s="409">
        <f t="shared" si="6"/>
        <v>33009.799999999988</v>
      </c>
      <c r="P42" s="413">
        <f t="shared" si="7"/>
        <v>4.4319818659588735E-2</v>
      </c>
      <c r="Q42" s="408">
        <v>2664.45</v>
      </c>
      <c r="R42" s="408">
        <v>0</v>
      </c>
      <c r="S42" s="408">
        <v>2291.5500000000002</v>
      </c>
      <c r="T42" s="408">
        <f t="shared" si="21"/>
        <v>57136.200000000012</v>
      </c>
      <c r="U42" s="412">
        <f t="shared" si="22"/>
        <v>4.2822764993363689E-2</v>
      </c>
      <c r="V42" s="409">
        <v>717.35</v>
      </c>
      <c r="W42" s="409">
        <v>0</v>
      </c>
      <c r="X42" s="409">
        <v>570.21</v>
      </c>
      <c r="Y42" s="409">
        <f t="shared" si="17"/>
        <v>14258.420000000006</v>
      </c>
      <c r="Z42" s="413">
        <f t="shared" si="18"/>
        <v>4.2777936364621863E-2</v>
      </c>
    </row>
    <row r="43" spans="1:26" ht="11.25" customHeight="1" x14ac:dyDescent="0.3">
      <c r="A43" s="410">
        <f t="shared" si="0"/>
        <v>48</v>
      </c>
      <c r="B43" s="411">
        <v>42644</v>
      </c>
      <c r="C43" s="415">
        <v>42735</v>
      </c>
      <c r="D43" s="399">
        <f t="shared" si="1"/>
        <v>5352.59</v>
      </c>
      <c r="E43" s="341">
        <f t="shared" ref="E43:F43" si="47">I43+N43+S43+X43</f>
        <v>3018.9100000000003</v>
      </c>
      <c r="F43" s="341">
        <f t="shared" si="47"/>
        <v>191754.43000000002</v>
      </c>
      <c r="G43" s="285">
        <f t="shared" si="4"/>
        <v>1.6226175224106201E-2</v>
      </c>
      <c r="H43" s="408">
        <v>2123.2200000000003</v>
      </c>
      <c r="I43" s="408">
        <v>1866.38</v>
      </c>
      <c r="J43" s="408">
        <f t="shared" si="9"/>
        <v>82960.740000000034</v>
      </c>
      <c r="K43" s="412">
        <f t="shared" si="5"/>
        <v>2.3320203291777423E-2</v>
      </c>
      <c r="L43" s="409">
        <v>257.85000000000002</v>
      </c>
      <c r="M43" s="409"/>
      <c r="N43" s="409">
        <v>769.01</v>
      </c>
      <c r="O43" s="409">
        <f t="shared" si="6"/>
        <v>34036.659999999989</v>
      </c>
      <c r="P43" s="413">
        <f t="shared" si="7"/>
        <v>2.320578115180956E-2</v>
      </c>
      <c r="Q43" s="408">
        <v>2341.19</v>
      </c>
      <c r="R43" s="408">
        <v>6.28</v>
      </c>
      <c r="S43" s="408">
        <v>306.20999999999998</v>
      </c>
      <c r="T43" s="408">
        <f t="shared" si="21"/>
        <v>59789.880000000012</v>
      </c>
      <c r="U43" s="412">
        <f t="shared" si="22"/>
        <v>5.2517035107143154E-3</v>
      </c>
      <c r="V43" s="409">
        <v>630.33000000000004</v>
      </c>
      <c r="W43" s="409">
        <v>1.0900000000000001</v>
      </c>
      <c r="X43" s="409">
        <v>77.31</v>
      </c>
      <c r="Y43" s="409">
        <f t="shared" si="17"/>
        <v>14967.150000000005</v>
      </c>
      <c r="Z43" s="413">
        <f t="shared" si="18"/>
        <v>5.3048031764318781E-3</v>
      </c>
    </row>
    <row r="44" spans="1:26" ht="11.25" customHeight="1" x14ac:dyDescent="0.3">
      <c r="A44" s="410">
        <f t="shared" si="0"/>
        <v>27</v>
      </c>
      <c r="B44" s="411">
        <v>42736</v>
      </c>
      <c r="C44" s="415">
        <v>42825</v>
      </c>
      <c r="D44" s="399">
        <f t="shared" si="1"/>
        <v>6321.97</v>
      </c>
      <c r="E44" s="341">
        <f t="shared" ref="E44:F44" si="48">I44+N44+S44+X44</f>
        <v>10772.96</v>
      </c>
      <c r="F44" s="341">
        <f t="shared" si="48"/>
        <v>208849.36000000004</v>
      </c>
      <c r="G44" s="285">
        <f t="shared" si="4"/>
        <v>5.5269923109980801E-2</v>
      </c>
      <c r="H44" s="408">
        <v>2507.04</v>
      </c>
      <c r="I44" s="408">
        <v>4436.24</v>
      </c>
      <c r="J44" s="408">
        <f t="shared" si="9"/>
        <v>89904.020000000033</v>
      </c>
      <c r="K44" s="412">
        <f t="shared" si="5"/>
        <v>5.2678014388537024E-2</v>
      </c>
      <c r="L44" s="409">
        <v>263.27999999999997</v>
      </c>
      <c r="M44" s="409"/>
      <c r="N44" s="409">
        <v>1801.81</v>
      </c>
      <c r="O44" s="409">
        <f t="shared" si="6"/>
        <v>36101.749999999985</v>
      </c>
      <c r="P44" s="413">
        <f t="shared" si="7"/>
        <v>5.2733381526151452E-2</v>
      </c>
      <c r="Q44" s="408">
        <v>2798.2700000000004</v>
      </c>
      <c r="R44" s="408">
        <v>0</v>
      </c>
      <c r="S44" s="408">
        <v>3626</v>
      </c>
      <c r="T44" s="408">
        <f t="shared" si="21"/>
        <v>66214.150000000009</v>
      </c>
      <c r="U44" s="412">
        <f t="shared" si="22"/>
        <v>5.9259002616727841E-2</v>
      </c>
      <c r="V44" s="409">
        <v>753.38</v>
      </c>
      <c r="W44" s="409">
        <v>0</v>
      </c>
      <c r="X44" s="409">
        <v>908.91</v>
      </c>
      <c r="Y44" s="409">
        <f t="shared" si="17"/>
        <v>16629.440000000006</v>
      </c>
      <c r="Z44" s="413">
        <f t="shared" si="18"/>
        <v>5.9236149490609888E-2</v>
      </c>
    </row>
    <row r="45" spans="1:26" ht="11.25" customHeight="1" x14ac:dyDescent="0.3">
      <c r="A45" s="410">
        <f t="shared" si="0"/>
        <v>38</v>
      </c>
      <c r="B45" s="411">
        <v>42826</v>
      </c>
      <c r="C45" s="411">
        <v>42916</v>
      </c>
      <c r="D45" s="399">
        <f t="shared" si="1"/>
        <v>6130.92</v>
      </c>
      <c r="E45" s="341">
        <f t="shared" ref="E45:F45" si="49">I45+N45+S45+X45</f>
        <v>7656.6699999999992</v>
      </c>
      <c r="F45" s="341">
        <f t="shared" si="49"/>
        <v>222636.95</v>
      </c>
      <c r="G45" s="285">
        <f t="shared" si="4"/>
        <v>3.6130885041452024E-2</v>
      </c>
      <c r="H45" s="408">
        <v>2519.0200000000004</v>
      </c>
      <c r="I45" s="408">
        <v>3138.16</v>
      </c>
      <c r="J45" s="408">
        <f t="shared" si="9"/>
        <v>95561.200000000041</v>
      </c>
      <c r="K45" s="412">
        <f t="shared" si="5"/>
        <v>3.4423414714195459E-2</v>
      </c>
      <c r="L45" s="409">
        <v>329.1</v>
      </c>
      <c r="M45" s="409"/>
      <c r="N45" s="409">
        <v>1254.71</v>
      </c>
      <c r="O45" s="409">
        <f t="shared" si="6"/>
        <v>37685.559999999983</v>
      </c>
      <c r="P45" s="413">
        <f t="shared" si="7"/>
        <v>3.4597132875424305E-2</v>
      </c>
      <c r="Q45" s="408">
        <v>2586.4499999999998</v>
      </c>
      <c r="R45" s="408">
        <v>0</v>
      </c>
      <c r="S45" s="408">
        <v>2608.19</v>
      </c>
      <c r="T45" s="408">
        <f t="shared" si="21"/>
        <v>71408.790000000008</v>
      </c>
      <c r="U45" s="412">
        <f t="shared" si="22"/>
        <v>3.8635630551476778E-2</v>
      </c>
      <c r="V45" s="409">
        <v>696.35</v>
      </c>
      <c r="W45" s="409">
        <v>0</v>
      </c>
      <c r="X45" s="409">
        <v>655.61</v>
      </c>
      <c r="Y45" s="409">
        <f t="shared" si="17"/>
        <v>17981.400000000005</v>
      </c>
      <c r="Z45" s="413">
        <f t="shared" si="18"/>
        <v>3.8616142491156726E-2</v>
      </c>
    </row>
    <row r="46" spans="1:26" ht="11.25" customHeight="1" x14ac:dyDescent="0.3">
      <c r="A46" s="410">
        <f t="shared" si="0"/>
        <v>34</v>
      </c>
      <c r="B46" s="411">
        <v>42917</v>
      </c>
      <c r="C46" s="411">
        <v>43008</v>
      </c>
      <c r="D46" s="399">
        <f t="shared" si="1"/>
        <v>6326.3899999999994</v>
      </c>
      <c r="E46" s="341">
        <f t="shared" ref="E46:F46" si="50">I46+N46+S46+X46</f>
        <v>9681.82</v>
      </c>
      <c r="F46" s="341">
        <f t="shared" si="50"/>
        <v>238645.16</v>
      </c>
      <c r="G46" s="285">
        <f t="shared" si="4"/>
        <v>4.2877828975707695E-2</v>
      </c>
      <c r="H46" s="408">
        <v>2193</v>
      </c>
      <c r="I46" s="408">
        <v>4008.93</v>
      </c>
      <c r="J46" s="408">
        <f t="shared" si="9"/>
        <v>101763.13000000003</v>
      </c>
      <c r="K46" s="412">
        <f t="shared" si="5"/>
        <v>4.1475536868764706E-2</v>
      </c>
      <c r="L46" s="409">
        <v>614.30999999999995</v>
      </c>
      <c r="M46" s="409"/>
      <c r="N46" s="409">
        <v>1571.89</v>
      </c>
      <c r="O46" s="409">
        <f t="shared" si="6"/>
        <v>39871.75999999998</v>
      </c>
      <c r="P46" s="413">
        <f t="shared" si="7"/>
        <v>4.1373458043206461E-2</v>
      </c>
      <c r="Q46" s="408">
        <v>2772.6</v>
      </c>
      <c r="R46" s="408">
        <v>0</v>
      </c>
      <c r="S46" s="408">
        <v>3275.23</v>
      </c>
      <c r="T46" s="408">
        <f t="shared" si="21"/>
        <v>77456.62000000001</v>
      </c>
      <c r="U46" s="412">
        <f t="shared" si="22"/>
        <v>4.4992457595697727E-2</v>
      </c>
      <c r="V46" s="409">
        <v>746.48</v>
      </c>
      <c r="W46" s="409">
        <v>0</v>
      </c>
      <c r="X46" s="409">
        <v>825.77</v>
      </c>
      <c r="Y46" s="409">
        <f t="shared" si="17"/>
        <v>19553.650000000005</v>
      </c>
      <c r="Z46" s="413">
        <f t="shared" si="18"/>
        <v>4.498971377264821E-2</v>
      </c>
    </row>
    <row r="47" spans="1:26" ht="11.25" customHeight="1" x14ac:dyDescent="0.3">
      <c r="A47" s="410">
        <f t="shared" si="0"/>
        <v>30</v>
      </c>
      <c r="B47" s="411">
        <v>43009</v>
      </c>
      <c r="C47" s="411">
        <v>43100</v>
      </c>
      <c r="D47" s="399">
        <f t="shared" si="1"/>
        <v>6272.63</v>
      </c>
      <c r="E47" s="341">
        <f t="shared" ref="E47:F47" si="51">I47+N47+S47+X47</f>
        <v>11946.29</v>
      </c>
      <c r="F47" s="341">
        <f t="shared" si="51"/>
        <v>256868.65000000002</v>
      </c>
      <c r="G47" s="285">
        <f t="shared" si="4"/>
        <v>4.9409451241043179E-2</v>
      </c>
      <c r="H47" s="408">
        <v>2226.84</v>
      </c>
      <c r="I47" s="408">
        <v>4866.43</v>
      </c>
      <c r="J47" s="408">
        <f t="shared" si="9"/>
        <v>108856.40000000002</v>
      </c>
      <c r="K47" s="412">
        <f t="shared" si="5"/>
        <v>4.7303588621507998E-2</v>
      </c>
      <c r="L47" s="409">
        <v>1158.25</v>
      </c>
      <c r="M47" s="409"/>
      <c r="N47" s="409">
        <v>1923.03</v>
      </c>
      <c r="O47" s="409">
        <f t="shared" si="6"/>
        <v>42953.039999999979</v>
      </c>
      <c r="P47" s="413">
        <f t="shared" si="7"/>
        <v>4.7539874591124541E-2</v>
      </c>
      <c r="Q47" s="408">
        <v>2275.04</v>
      </c>
      <c r="R47" s="408">
        <v>4.5599999999999996</v>
      </c>
      <c r="S47" s="408">
        <v>4116.6000000000004</v>
      </c>
      <c r="T47" s="408">
        <f t="shared" si="21"/>
        <v>83852.820000000007</v>
      </c>
      <c r="U47" s="412">
        <f t="shared" si="22"/>
        <v>5.2377950824323539E-2</v>
      </c>
      <c r="V47" s="409">
        <v>612.5</v>
      </c>
      <c r="W47" s="409">
        <v>0.01</v>
      </c>
      <c r="X47" s="409">
        <v>1040.23</v>
      </c>
      <c r="Y47" s="409">
        <f t="shared" si="17"/>
        <v>21206.390000000003</v>
      </c>
      <c r="Z47" s="413">
        <f t="shared" si="18"/>
        <v>5.2378410767425804E-2</v>
      </c>
    </row>
    <row r="48" spans="1:26" ht="11.25" customHeight="1" x14ac:dyDescent="0.3">
      <c r="A48" s="410">
        <f t="shared" si="0"/>
        <v>61</v>
      </c>
      <c r="B48" s="411">
        <v>43101</v>
      </c>
      <c r="C48" s="411">
        <v>43190</v>
      </c>
      <c r="D48" s="399">
        <f t="shared" si="1"/>
        <v>6576.6399999999994</v>
      </c>
      <c r="E48" s="341">
        <f t="shared" ref="E48:F48" si="52">I48+N48+S48+X48</f>
        <v>-1986.06</v>
      </c>
      <c r="F48" s="341">
        <f t="shared" si="52"/>
        <v>261459.23</v>
      </c>
      <c r="G48" s="285">
        <f t="shared" si="4"/>
        <v>-7.634083376662942E-3</v>
      </c>
      <c r="H48" s="408">
        <v>2629.98</v>
      </c>
      <c r="I48" s="408">
        <v>-625.94000000000005</v>
      </c>
      <c r="J48" s="408">
        <f t="shared" si="9"/>
        <v>110860.44000000002</v>
      </c>
      <c r="K48" s="412">
        <f t="shared" si="5"/>
        <v>-5.6815113252179162E-3</v>
      </c>
      <c r="L48" s="409">
        <v>278.63</v>
      </c>
      <c r="M48" s="409"/>
      <c r="N48" s="409">
        <v>-225.64</v>
      </c>
      <c r="O48" s="409">
        <f t="shared" si="6"/>
        <v>43006.029999999977</v>
      </c>
      <c r="P48" s="413">
        <f t="shared" si="7"/>
        <v>-5.2361956082465225E-3</v>
      </c>
      <c r="Q48" s="408">
        <v>2889.97</v>
      </c>
      <c r="R48" s="408">
        <v>0</v>
      </c>
      <c r="S48" s="408">
        <v>-904.56</v>
      </c>
      <c r="T48" s="408">
        <f t="shared" si="21"/>
        <v>85838.23000000001</v>
      </c>
      <c r="U48" s="412">
        <f t="shared" si="22"/>
        <v>-1.0604727753545356E-2</v>
      </c>
      <c r="V48" s="409">
        <v>778.06</v>
      </c>
      <c r="W48" s="409">
        <v>0</v>
      </c>
      <c r="X48" s="409">
        <v>-229.92</v>
      </c>
      <c r="Y48" s="409">
        <f t="shared" si="17"/>
        <v>21754.530000000006</v>
      </c>
      <c r="Z48" s="413">
        <f t="shared" si="18"/>
        <v>-1.0646701939577927E-2</v>
      </c>
    </row>
    <row r="49" spans="1:26" ht="11.25" customHeight="1" x14ac:dyDescent="0.3">
      <c r="A49" s="410">
        <f t="shared" si="0"/>
        <v>44</v>
      </c>
      <c r="B49" s="411">
        <v>43191</v>
      </c>
      <c r="C49" s="411">
        <v>43281</v>
      </c>
      <c r="D49" s="399">
        <f t="shared" si="1"/>
        <v>6412.6500000000005</v>
      </c>
      <c r="E49" s="341">
        <f t="shared" ref="E49:F49" si="53">I49+N49+S49+X49</f>
        <v>4812.1499999999996</v>
      </c>
      <c r="F49" s="341">
        <f t="shared" si="53"/>
        <v>272684.03000000003</v>
      </c>
      <c r="G49" s="285">
        <f t="shared" si="4"/>
        <v>1.8182003321134857E-2</v>
      </c>
      <c r="H49" s="408">
        <v>2454.0100000000002</v>
      </c>
      <c r="I49" s="408">
        <v>2306.91</v>
      </c>
      <c r="J49" s="408">
        <f t="shared" si="9"/>
        <v>115621.36000000002</v>
      </c>
      <c r="K49" s="412">
        <f t="shared" si="5"/>
        <v>2.058134164803203E-2</v>
      </c>
      <c r="L49" s="409">
        <v>633.24</v>
      </c>
      <c r="M49" s="409"/>
      <c r="N49" s="409">
        <v>892.71</v>
      </c>
      <c r="O49" s="409">
        <f t="shared" si="6"/>
        <v>44531.979999999974</v>
      </c>
      <c r="P49" s="413">
        <f t="shared" si="7"/>
        <v>2.0606080191308714E-2</v>
      </c>
      <c r="Q49" s="408">
        <v>2620.0100000000002</v>
      </c>
      <c r="R49" s="408">
        <v>0</v>
      </c>
      <c r="S49" s="408">
        <v>1286.52</v>
      </c>
      <c r="T49" s="408">
        <f t="shared" si="21"/>
        <v>89744.760000000009</v>
      </c>
      <c r="U49" s="412">
        <f t="shared" si="22"/>
        <v>1.4762433226559318E-2</v>
      </c>
      <c r="V49" s="409">
        <v>705.39</v>
      </c>
      <c r="W49" s="409">
        <v>0</v>
      </c>
      <c r="X49" s="409">
        <v>326.01</v>
      </c>
      <c r="Y49" s="409">
        <f t="shared" si="17"/>
        <v>22785.930000000004</v>
      </c>
      <c r="Z49" s="413">
        <f t="shared" si="18"/>
        <v>1.4746762653385936E-2</v>
      </c>
    </row>
    <row r="50" spans="1:26" ht="11.25" customHeight="1" x14ac:dyDescent="0.3">
      <c r="A50" s="410">
        <f t="shared" si="0"/>
        <v>36</v>
      </c>
      <c r="B50" s="411">
        <v>43282</v>
      </c>
      <c r="C50" s="411">
        <v>43373</v>
      </c>
      <c r="D50" s="399">
        <f t="shared" si="1"/>
        <v>5881.42</v>
      </c>
      <c r="E50" s="341">
        <f t="shared" ref="E50:F50" si="54">I50+N50+S50+X50</f>
        <v>11350.779999999999</v>
      </c>
      <c r="F50" s="341">
        <f t="shared" si="54"/>
        <v>289916.23</v>
      </c>
      <c r="G50" s="285">
        <f t="shared" si="4"/>
        <v>4.1182007101394441E-2</v>
      </c>
      <c r="H50" s="408">
        <v>2076.4699999999998</v>
      </c>
      <c r="I50" s="408">
        <v>5094.57</v>
      </c>
      <c r="J50" s="408">
        <f t="shared" si="9"/>
        <v>122792.40000000002</v>
      </c>
      <c r="K50" s="412">
        <f t="shared" si="5"/>
        <v>4.3670389906633904E-2</v>
      </c>
      <c r="L50" s="409">
        <v>303.95999999999998</v>
      </c>
      <c r="M50" s="409"/>
      <c r="N50" s="409">
        <v>1955.79</v>
      </c>
      <c r="O50" s="409">
        <f t="shared" si="6"/>
        <v>46791.729999999974</v>
      </c>
      <c r="P50" s="413">
        <f t="shared" si="7"/>
        <v>4.3769397340790765E-2</v>
      </c>
      <c r="Q50" s="408">
        <v>2758.34</v>
      </c>
      <c r="R50" s="408">
        <v>0</v>
      </c>
      <c r="S50" s="408">
        <v>3429.13</v>
      </c>
      <c r="T50" s="408">
        <f t="shared" si="21"/>
        <v>95932.23000000001</v>
      </c>
      <c r="U50" s="412">
        <f t="shared" si="22"/>
        <v>3.7631498114710372E-2</v>
      </c>
      <c r="V50" s="409">
        <v>742.65</v>
      </c>
      <c r="W50" s="409">
        <v>0</v>
      </c>
      <c r="X50" s="409">
        <v>871.29</v>
      </c>
      <c r="Y50" s="409">
        <f t="shared" si="17"/>
        <v>24399.870000000006</v>
      </c>
      <c r="Z50" s="413">
        <f t="shared" si="18"/>
        <v>3.7624925752210256E-2</v>
      </c>
    </row>
    <row r="51" spans="1:26" ht="11.25" customHeight="1" x14ac:dyDescent="0.3">
      <c r="A51" s="410">
        <f t="shared" si="0"/>
        <v>72</v>
      </c>
      <c r="B51" s="411">
        <v>43374</v>
      </c>
      <c r="C51" s="411">
        <v>43465</v>
      </c>
      <c r="D51" s="399">
        <f t="shared" si="1"/>
        <v>6077.6</v>
      </c>
      <c r="E51" s="341">
        <f t="shared" ref="E51:F51" si="55">I51+N51+S51+X51</f>
        <v>-33155.630000000005</v>
      </c>
      <c r="F51" s="341">
        <f t="shared" si="55"/>
        <v>262846.91000000003</v>
      </c>
      <c r="G51" s="285">
        <f t="shared" si="4"/>
        <v>-0.11317651722859992</v>
      </c>
      <c r="H51" s="408">
        <v>2265.2399999999998</v>
      </c>
      <c r="I51" s="408">
        <v>-14051.78</v>
      </c>
      <c r="J51" s="408">
        <f t="shared" si="9"/>
        <v>111005.86000000003</v>
      </c>
      <c r="K51" s="412">
        <f t="shared" si="5"/>
        <v>-0.11338937044351495</v>
      </c>
      <c r="L51" s="409">
        <v>303.95999999999998</v>
      </c>
      <c r="M51" s="409"/>
      <c r="N51" s="409">
        <v>-5317.24</v>
      </c>
      <c r="O51" s="409">
        <f t="shared" si="6"/>
        <v>41778.449999999975</v>
      </c>
      <c r="P51" s="413">
        <f t="shared" si="7"/>
        <v>-0.11326842296870022</v>
      </c>
      <c r="Q51" s="408">
        <v>2764.1800000000003</v>
      </c>
      <c r="R51" s="408">
        <v>7.98</v>
      </c>
      <c r="S51" s="408">
        <v>-10989.38</v>
      </c>
      <c r="T51" s="408">
        <f t="shared" si="21"/>
        <v>87715.01</v>
      </c>
      <c r="U51" s="412">
        <f t="shared" si="22"/>
        <v>-0.11292664841104576</v>
      </c>
      <c r="V51" s="409">
        <v>744.22</v>
      </c>
      <c r="W51" s="409">
        <v>0.73</v>
      </c>
      <c r="X51" s="409">
        <v>-2797.23</v>
      </c>
      <c r="Y51" s="409">
        <f t="shared" si="17"/>
        <v>22347.590000000007</v>
      </c>
      <c r="Z51" s="413">
        <f t="shared" si="18"/>
        <v>-0.11291911264259051</v>
      </c>
    </row>
    <row r="52" spans="1:26" ht="11.25" customHeight="1" x14ac:dyDescent="0.3">
      <c r="A52" s="410">
        <f t="shared" si="0"/>
        <v>7</v>
      </c>
      <c r="B52" s="411">
        <v>43466</v>
      </c>
      <c r="C52" s="411">
        <v>43555</v>
      </c>
      <c r="D52" s="399">
        <f t="shared" si="1"/>
        <v>6254.04</v>
      </c>
      <c r="E52" s="341">
        <f t="shared" ref="E52:F52" si="56">I52+N52+S52+X52</f>
        <v>30179.269999999997</v>
      </c>
      <c r="F52" s="341">
        <f t="shared" si="56"/>
        <v>299280.21999999997</v>
      </c>
      <c r="G52" s="285">
        <f t="shared" si="4"/>
        <v>0.11346702287701652</v>
      </c>
      <c r="H52" s="408">
        <v>2642.78</v>
      </c>
      <c r="I52" s="408">
        <v>11936.14</v>
      </c>
      <c r="J52" s="408">
        <f t="shared" si="9"/>
        <v>125584.78000000003</v>
      </c>
      <c r="K52" s="412">
        <f t="shared" si="5"/>
        <v>0.10626219372414082</v>
      </c>
      <c r="L52" s="409">
        <v>434.51</v>
      </c>
      <c r="M52" s="409"/>
      <c r="N52" s="409">
        <v>4462.8500000000004</v>
      </c>
      <c r="O52" s="409">
        <f t="shared" si="6"/>
        <v>46675.809999999976</v>
      </c>
      <c r="P52" s="413">
        <f t="shared" si="7"/>
        <v>0.10626920062420676</v>
      </c>
      <c r="Q52" s="408">
        <v>2359.86</v>
      </c>
      <c r="R52" s="408">
        <v>0</v>
      </c>
      <c r="S52" s="408">
        <v>10975.25</v>
      </c>
      <c r="T52" s="408">
        <f t="shared" si="21"/>
        <v>101050.12</v>
      </c>
      <c r="U52" s="412">
        <f t="shared" si="22"/>
        <v>0.12346315774553648</v>
      </c>
      <c r="V52" s="409">
        <v>816.89</v>
      </c>
      <c r="W52" s="409">
        <v>0</v>
      </c>
      <c r="X52" s="409">
        <v>2805.03</v>
      </c>
      <c r="Y52" s="409">
        <f t="shared" si="17"/>
        <v>25969.510000000006</v>
      </c>
      <c r="Z52" s="413">
        <f t="shared" si="18"/>
        <v>0.12326532280337939</v>
      </c>
    </row>
    <row r="53" spans="1:26" ht="11.25" customHeight="1" x14ac:dyDescent="0.3">
      <c r="A53" s="410">
        <f t="shared" si="0"/>
        <v>39</v>
      </c>
      <c r="B53" s="411">
        <v>43556</v>
      </c>
      <c r="C53" s="411">
        <v>43646</v>
      </c>
      <c r="D53" s="399">
        <f t="shared" si="1"/>
        <v>6406.14</v>
      </c>
      <c r="E53" s="341">
        <f t="shared" ref="E53:F53" si="57">I53+N53+S53+X53</f>
        <v>10419.14</v>
      </c>
      <c r="F53" s="341">
        <f t="shared" si="57"/>
        <v>316095.5</v>
      </c>
      <c r="G53" s="285">
        <f t="shared" si="4"/>
        <v>3.4445340765765935E-2</v>
      </c>
      <c r="H53" s="408">
        <v>2720.5</v>
      </c>
      <c r="I53" s="408">
        <v>4541.88</v>
      </c>
      <c r="J53" s="408">
        <f t="shared" si="9"/>
        <v>132847.16000000003</v>
      </c>
      <c r="K53" s="412">
        <f t="shared" si="5"/>
        <v>3.5778320742450485E-2</v>
      </c>
      <c r="L53" s="409">
        <v>276.60000000000002</v>
      </c>
      <c r="M53" s="409"/>
      <c r="N53" s="409">
        <v>1676.71</v>
      </c>
      <c r="O53" s="409">
        <f t="shared" si="6"/>
        <v>48629.119999999974</v>
      </c>
      <c r="P53" s="413">
        <f t="shared" si="7"/>
        <v>3.5816338279206862E-2</v>
      </c>
      <c r="Q53" s="408">
        <v>2532.42</v>
      </c>
      <c r="R53" s="408">
        <v>-5</v>
      </c>
      <c r="S53" s="408">
        <v>3336.74</v>
      </c>
      <c r="T53" s="408">
        <f t="shared" si="21"/>
        <v>106914.28</v>
      </c>
      <c r="U53" s="412">
        <f t="shared" si="22"/>
        <v>3.2611998495254861E-2</v>
      </c>
      <c r="V53" s="409">
        <v>876.62</v>
      </c>
      <c r="W53" s="409">
        <v>-5</v>
      </c>
      <c r="X53" s="409">
        <v>863.81</v>
      </c>
      <c r="Y53" s="409">
        <f t="shared" si="17"/>
        <v>27704.940000000006</v>
      </c>
      <c r="Z53" s="413">
        <f t="shared" si="18"/>
        <v>3.2710386544591706E-2</v>
      </c>
    </row>
    <row r="54" spans="1:26" ht="11.25" customHeight="1" x14ac:dyDescent="0.3">
      <c r="A54" s="410">
        <f t="shared" si="0"/>
        <v>56</v>
      </c>
      <c r="B54" s="411">
        <v>43647</v>
      </c>
      <c r="C54" s="411">
        <v>43738</v>
      </c>
      <c r="D54" s="399">
        <f t="shared" si="1"/>
        <v>7673.9400000000005</v>
      </c>
      <c r="E54" s="341">
        <f t="shared" ref="E54:F54" si="58">I54+N54+S54+X54</f>
        <v>1434.08</v>
      </c>
      <c r="F54" s="341">
        <f t="shared" si="58"/>
        <v>325193.52</v>
      </c>
      <c r="G54" s="285">
        <f t="shared" si="4"/>
        <v>4.4824459361689677E-3</v>
      </c>
      <c r="H54" s="408">
        <v>2338.65</v>
      </c>
      <c r="I54" s="408">
        <v>572.88</v>
      </c>
      <c r="J54" s="408">
        <f t="shared" si="9"/>
        <v>135758.69000000003</v>
      </c>
      <c r="K54" s="412">
        <f t="shared" si="5"/>
        <v>4.2746979970411832E-3</v>
      </c>
      <c r="L54" s="409">
        <v>774.48</v>
      </c>
      <c r="M54" s="409"/>
      <c r="N54" s="409">
        <v>197.29</v>
      </c>
      <c r="O54" s="409">
        <f t="shared" si="6"/>
        <v>49600.889999999978</v>
      </c>
      <c r="P54" s="413">
        <f t="shared" si="7"/>
        <v>4.024982679252399E-3</v>
      </c>
      <c r="Q54" s="408">
        <v>3388.01</v>
      </c>
      <c r="R54" s="408">
        <v>-5</v>
      </c>
      <c r="S54" s="408">
        <v>525.37</v>
      </c>
      <c r="T54" s="408">
        <f t="shared" si="21"/>
        <v>110822.65999999999</v>
      </c>
      <c r="U54" s="412">
        <f t="shared" si="22"/>
        <v>4.8372921089767694E-3</v>
      </c>
      <c r="V54" s="409">
        <v>1172.8</v>
      </c>
      <c r="W54" s="409">
        <v>-5</v>
      </c>
      <c r="X54" s="409">
        <v>138.54</v>
      </c>
      <c r="Y54" s="409">
        <f t="shared" si="17"/>
        <v>29011.280000000006</v>
      </c>
      <c r="Z54" s="413">
        <f t="shared" si="18"/>
        <v>4.8969048479145898E-3</v>
      </c>
    </row>
    <row r="55" spans="1:26" ht="11.25" customHeight="1" x14ac:dyDescent="0.3">
      <c r="A55" s="410">
        <f t="shared" si="0"/>
        <v>14</v>
      </c>
      <c r="B55" s="416">
        <v>43739</v>
      </c>
      <c r="C55" s="416">
        <v>43830</v>
      </c>
      <c r="D55" s="417">
        <f t="shared" si="1"/>
        <v>7170.0499999999993</v>
      </c>
      <c r="E55" s="418">
        <f t="shared" ref="E55:F55" si="59">I55+N55+S55+X55</f>
        <v>25173.34</v>
      </c>
      <c r="F55" s="418">
        <f t="shared" si="59"/>
        <v>357563.51</v>
      </c>
      <c r="G55" s="285">
        <f t="shared" si="4"/>
        <v>7.6566249175413797E-2</v>
      </c>
      <c r="H55" s="419">
        <v>2373.7199999999998</v>
      </c>
      <c r="I55" s="419">
        <v>9824.64</v>
      </c>
      <c r="J55" s="419">
        <f t="shared" si="9"/>
        <v>147957.05000000005</v>
      </c>
      <c r="K55" s="420">
        <f t="shared" si="5"/>
        <v>7.1741213935027442E-2</v>
      </c>
      <c r="L55" s="421">
        <v>342.79</v>
      </c>
      <c r="M55" s="421"/>
      <c r="N55" s="421">
        <v>3566.35</v>
      </c>
      <c r="O55" s="421">
        <f t="shared" si="6"/>
        <v>53510.029999999977</v>
      </c>
      <c r="P55" s="422">
        <f t="shared" si="7"/>
        <v>7.1653330764299888E-2</v>
      </c>
      <c r="Q55" s="419">
        <v>3308.31</v>
      </c>
      <c r="R55" s="419">
        <v>28.77</v>
      </c>
      <c r="S55" s="419">
        <v>9328.2900000000009</v>
      </c>
      <c r="T55" s="419">
        <f t="shared" si="21"/>
        <v>123488.02999999998</v>
      </c>
      <c r="U55" s="420">
        <f t="shared" si="22"/>
        <v>8.2935225361777914E-2</v>
      </c>
      <c r="V55" s="421">
        <v>1145.23</v>
      </c>
      <c r="W55" s="421">
        <v>-2.17</v>
      </c>
      <c r="X55" s="421">
        <v>2454.06</v>
      </c>
      <c r="Y55" s="421">
        <f t="shared" si="17"/>
        <v>32608.400000000009</v>
      </c>
      <c r="Z55" s="413">
        <f t="shared" si="18"/>
        <v>8.2952565914664017E-2</v>
      </c>
    </row>
    <row r="56" spans="1:26" ht="11.25" customHeight="1" x14ac:dyDescent="0.3">
      <c r="A56" s="410">
        <f t="shared" si="0"/>
        <v>75</v>
      </c>
      <c r="B56" s="411">
        <v>43831</v>
      </c>
      <c r="C56" s="411">
        <v>43921</v>
      </c>
      <c r="D56" s="399">
        <f t="shared" si="1"/>
        <v>7742.6099999999988</v>
      </c>
      <c r="E56" s="341">
        <f t="shared" ref="E56:F56" si="60">I56+N56+S56+X56</f>
        <v>-70829.37</v>
      </c>
      <c r="F56" s="341">
        <f t="shared" si="60"/>
        <v>294466.75</v>
      </c>
      <c r="G56" s="285">
        <f t="shared" si="4"/>
        <v>-0.19596720365745618</v>
      </c>
      <c r="H56" s="408">
        <v>2012.79</v>
      </c>
      <c r="I56" s="408">
        <v>-27147.94</v>
      </c>
      <c r="J56" s="408">
        <f t="shared" si="9"/>
        <v>122821.90000000005</v>
      </c>
      <c r="K56" s="412">
        <f t="shared" si="5"/>
        <v>-0.18224565093805392</v>
      </c>
      <c r="L56" s="409">
        <v>1354.74</v>
      </c>
      <c r="M56" s="409"/>
      <c r="N56" s="409">
        <v>-9790.6200000000008</v>
      </c>
      <c r="O56" s="409">
        <f t="shared" si="6"/>
        <v>45074.149999999972</v>
      </c>
      <c r="P56" s="413">
        <f t="shared" si="7"/>
        <v>-0.18068074866112796</v>
      </c>
      <c r="Q56" s="408">
        <v>3250.02</v>
      </c>
      <c r="R56" s="408">
        <v>-5</v>
      </c>
      <c r="S56" s="408">
        <v>-26778.080000000002</v>
      </c>
      <c r="T56" s="408">
        <f t="shared" si="21"/>
        <v>99954.969999999987</v>
      </c>
      <c r="U56" s="412">
        <f t="shared" si="22"/>
        <v>-0.21403108740703611</v>
      </c>
      <c r="V56" s="409">
        <v>1125.06</v>
      </c>
      <c r="W56" s="409">
        <v>-5</v>
      </c>
      <c r="X56" s="409">
        <v>-7112.73</v>
      </c>
      <c r="Y56" s="409">
        <f t="shared" si="17"/>
        <v>26615.730000000007</v>
      </c>
      <c r="Z56" s="413">
        <f t="shared" si="18"/>
        <v>-0.21442660787623374</v>
      </c>
    </row>
    <row r="57" spans="1:26" ht="11.25" customHeight="1" x14ac:dyDescent="0.3">
      <c r="A57" s="410">
        <f t="shared" si="0"/>
        <v>1</v>
      </c>
      <c r="B57" s="411">
        <v>43922</v>
      </c>
      <c r="C57" s="411">
        <v>44012</v>
      </c>
      <c r="D57" s="399">
        <f t="shared" si="1"/>
        <v>7612.45</v>
      </c>
      <c r="E57" s="341">
        <f t="shared" ref="E57:F57" si="61">I57+N57+S57+X57</f>
        <v>52103.11</v>
      </c>
      <c r="F57" s="341">
        <f t="shared" si="61"/>
        <v>354172.31000000006</v>
      </c>
      <c r="G57" s="285">
        <f t="shared" si="4"/>
        <v>0.17468263760737962</v>
      </c>
      <c r="H57" s="408">
        <v>763.49</v>
      </c>
      <c r="I57" s="408">
        <v>20618.64</v>
      </c>
      <c r="J57" s="408">
        <f t="shared" si="9"/>
        <v>144204.03000000006</v>
      </c>
      <c r="K57" s="412">
        <f t="shared" si="5"/>
        <v>0.16735413956299744</v>
      </c>
      <c r="L57" s="409">
        <v>2473.89</v>
      </c>
      <c r="M57" s="409"/>
      <c r="N57" s="409">
        <v>7704.29</v>
      </c>
      <c r="O57" s="409">
        <f t="shared" si="6"/>
        <v>55252.329999999973</v>
      </c>
      <c r="P57" s="413">
        <f t="shared" si="7"/>
        <v>0.1663594868573072</v>
      </c>
      <c r="Q57" s="408">
        <v>3250.02</v>
      </c>
      <c r="R57" s="408">
        <v>-5</v>
      </c>
      <c r="S57" s="408">
        <v>18764.759999999998</v>
      </c>
      <c r="T57" s="408">
        <f t="shared" si="21"/>
        <v>121964.74999999999</v>
      </c>
      <c r="U57" s="412">
        <f t="shared" si="22"/>
        <v>0.18472892000963184</v>
      </c>
      <c r="V57" s="409">
        <v>1125.05</v>
      </c>
      <c r="W57" s="409">
        <v>-5</v>
      </c>
      <c r="X57" s="409">
        <v>5015.42</v>
      </c>
      <c r="Y57" s="409">
        <f t="shared" si="17"/>
        <v>32751.200000000004</v>
      </c>
      <c r="Z57" s="413">
        <f t="shared" si="18"/>
        <v>0.18453796978503581</v>
      </c>
    </row>
    <row r="58" spans="1:26" ht="11.25" customHeight="1" x14ac:dyDescent="0.3">
      <c r="A58" s="410">
        <f t="shared" si="0"/>
        <v>20</v>
      </c>
      <c r="B58" s="411">
        <v>44013</v>
      </c>
      <c r="C58" s="411">
        <v>44104</v>
      </c>
      <c r="D58" s="399">
        <f t="shared" si="1"/>
        <v>7217.0099999999993</v>
      </c>
      <c r="E58" s="341">
        <f t="shared" ref="E58:F58" si="62">I58+N58+S58+X58</f>
        <v>24573.86</v>
      </c>
      <c r="F58" s="341">
        <f t="shared" si="62"/>
        <v>385953.18</v>
      </c>
      <c r="G58" s="285">
        <f t="shared" si="4"/>
        <v>6.8684118794910778E-2</v>
      </c>
      <c r="H58" s="408">
        <v>2341.29</v>
      </c>
      <c r="I58" s="408">
        <v>9153.7999999999993</v>
      </c>
      <c r="J58" s="408">
        <f t="shared" si="9"/>
        <v>155699.12000000005</v>
      </c>
      <c r="K58" s="412">
        <f t="shared" si="5"/>
        <v>6.2966950742968097E-2</v>
      </c>
      <c r="L58" s="409">
        <v>500.66</v>
      </c>
      <c r="M58" s="409"/>
      <c r="N58" s="409">
        <v>3518.08</v>
      </c>
      <c r="O58" s="409">
        <f t="shared" si="6"/>
        <v>59271.069999999978</v>
      </c>
      <c r="P58" s="413">
        <f t="shared" si="7"/>
        <v>6.3385790879211937E-2</v>
      </c>
      <c r="Q58" s="408">
        <v>3250.02</v>
      </c>
      <c r="R58" s="408">
        <v>-5</v>
      </c>
      <c r="S58" s="408">
        <v>9379.41</v>
      </c>
      <c r="T58" s="408">
        <f t="shared" si="21"/>
        <v>134589.18</v>
      </c>
      <c r="U58" s="412">
        <f t="shared" si="22"/>
        <v>7.5891481624367596E-2</v>
      </c>
      <c r="V58" s="409">
        <v>1125.04</v>
      </c>
      <c r="W58" s="409">
        <v>-5</v>
      </c>
      <c r="X58" s="409">
        <v>2522.5700000000002</v>
      </c>
      <c r="Y58" s="409">
        <f t="shared" si="17"/>
        <v>36393.810000000005</v>
      </c>
      <c r="Z58" s="413">
        <f t="shared" si="18"/>
        <v>7.5721654621579343E-2</v>
      </c>
    </row>
    <row r="59" spans="1:26" ht="11.25" customHeight="1" x14ac:dyDescent="0.3">
      <c r="A59" s="410">
        <f t="shared" si="0"/>
        <v>5</v>
      </c>
      <c r="B59" s="411">
        <v>44105</v>
      </c>
      <c r="C59" s="411">
        <v>44196</v>
      </c>
      <c r="D59" s="399">
        <f t="shared" si="1"/>
        <v>7890.2699999999995</v>
      </c>
      <c r="E59" s="341">
        <f t="shared" ref="E59:F59" si="63">I59+N59+S59+X59</f>
        <v>52550.63</v>
      </c>
      <c r="F59" s="341">
        <f t="shared" si="63"/>
        <v>446432.66000000003</v>
      </c>
      <c r="G59" s="285">
        <f t="shared" si="4"/>
        <v>0.13478034651162829</v>
      </c>
      <c r="H59" s="408">
        <v>3043.98</v>
      </c>
      <c r="I59" s="408">
        <v>20324.8</v>
      </c>
      <c r="J59" s="408">
        <f t="shared" si="9"/>
        <v>179067.90000000005</v>
      </c>
      <c r="K59" s="412">
        <f t="shared" si="5"/>
        <v>0.12927526080944216</v>
      </c>
      <c r="L59" s="409">
        <v>471.22</v>
      </c>
      <c r="M59" s="409"/>
      <c r="N59" s="409">
        <v>7727.21</v>
      </c>
      <c r="O59" s="409">
        <f t="shared" si="6"/>
        <v>67469.499999999985</v>
      </c>
      <c r="P59" s="413">
        <f t="shared" si="7"/>
        <v>0.12985449700773094</v>
      </c>
      <c r="Q59" s="408">
        <v>3250.02</v>
      </c>
      <c r="R59" s="408">
        <v>39.450000000000003</v>
      </c>
      <c r="S59" s="408">
        <v>19269.02</v>
      </c>
      <c r="T59" s="408">
        <f t="shared" si="21"/>
        <v>157147.66999999998</v>
      </c>
      <c r="U59" s="412">
        <f t="shared" si="22"/>
        <v>0.14146117963187241</v>
      </c>
      <c r="V59" s="409">
        <v>1125.05</v>
      </c>
      <c r="W59" s="409">
        <v>-0.87</v>
      </c>
      <c r="X59" s="409">
        <v>5229.6000000000004</v>
      </c>
      <c r="Y59" s="409">
        <f t="shared" si="17"/>
        <v>42747.590000000004</v>
      </c>
      <c r="Z59" s="413">
        <f t="shared" si="18"/>
        <v>0.14150753855868012</v>
      </c>
    </row>
    <row r="60" spans="1:26" ht="11.25" customHeight="1" x14ac:dyDescent="0.3">
      <c r="A60" s="410">
        <f t="shared" si="0"/>
        <v>29</v>
      </c>
      <c r="B60" s="411">
        <v>44197</v>
      </c>
      <c r="C60" s="411">
        <v>44286</v>
      </c>
      <c r="D60" s="399">
        <f t="shared" si="1"/>
        <v>7692.97</v>
      </c>
      <c r="E60" s="341">
        <f t="shared" ref="E60:F60" si="64">I60+N60+S60+X60</f>
        <v>23221.300000000003</v>
      </c>
      <c r="F60" s="341">
        <f t="shared" si="64"/>
        <v>477336.93000000005</v>
      </c>
      <c r="G60" s="285">
        <f t="shared" si="4"/>
        <v>5.1570898314644356E-2</v>
      </c>
      <c r="H60" s="408">
        <v>3135.9</v>
      </c>
      <c r="I60" s="408">
        <v>9365.5400000000009</v>
      </c>
      <c r="J60" s="408">
        <f t="shared" si="9"/>
        <v>191569.34000000005</v>
      </c>
      <c r="K60" s="412">
        <f t="shared" si="5"/>
        <v>5.1847626038795717E-2</v>
      </c>
      <c r="L60" s="409">
        <v>182</v>
      </c>
      <c r="M60" s="409"/>
      <c r="N60" s="409">
        <v>3519.58</v>
      </c>
      <c r="O60" s="409">
        <f t="shared" si="6"/>
        <v>71171.079999999987</v>
      </c>
      <c r="P60" s="413">
        <f t="shared" si="7"/>
        <v>5.2095233161388692E-2</v>
      </c>
      <c r="Q60" s="408">
        <v>3250.02</v>
      </c>
      <c r="R60" s="408">
        <v>-5</v>
      </c>
      <c r="S60" s="408">
        <v>8122.69</v>
      </c>
      <c r="T60" s="408">
        <f t="shared" si="21"/>
        <v>168515.37999999998</v>
      </c>
      <c r="U60" s="412">
        <f t="shared" si="22"/>
        <v>5.1159242257547081E-2</v>
      </c>
      <c r="V60" s="409">
        <v>1125.05</v>
      </c>
      <c r="W60" s="409">
        <v>-5</v>
      </c>
      <c r="X60" s="409">
        <v>2213.4899999999998</v>
      </c>
      <c r="Y60" s="409">
        <f t="shared" si="17"/>
        <v>46081.130000000005</v>
      </c>
      <c r="Z60" s="413">
        <f t="shared" si="18"/>
        <v>5.1107922479540852E-2</v>
      </c>
    </row>
    <row r="61" spans="1:26" ht="11.25" customHeight="1" x14ac:dyDescent="0.3">
      <c r="A61" s="410">
        <f t="shared" si="0"/>
        <v>19</v>
      </c>
      <c r="B61" s="411">
        <v>44287</v>
      </c>
      <c r="C61" s="411">
        <v>44377</v>
      </c>
      <c r="D61" s="399">
        <f t="shared" si="1"/>
        <v>9395.75</v>
      </c>
      <c r="E61" s="341">
        <f t="shared" ref="E61:F61" si="65">I61+N61+S61+X61</f>
        <v>33364.39</v>
      </c>
      <c r="F61" s="341">
        <f t="shared" si="65"/>
        <v>520087.07</v>
      </c>
      <c r="G61" s="285">
        <f t="shared" si="4"/>
        <v>6.9215728104944613E-2</v>
      </c>
      <c r="H61" s="408">
        <v>3722.18</v>
      </c>
      <c r="I61" s="408">
        <v>13315.57</v>
      </c>
      <c r="J61" s="408">
        <f t="shared" si="9"/>
        <v>208607.09000000005</v>
      </c>
      <c r="K61" s="412">
        <f t="shared" si="5"/>
        <v>6.8839065290812809E-2</v>
      </c>
      <c r="L61" s="409">
        <v>1152.69</v>
      </c>
      <c r="M61" s="409"/>
      <c r="N61" s="409">
        <v>4935.9399999999996</v>
      </c>
      <c r="O61" s="409">
        <f t="shared" si="6"/>
        <v>77259.709999999992</v>
      </c>
      <c r="P61" s="413">
        <f t="shared" si="7"/>
        <v>6.8796057837615776E-2</v>
      </c>
      <c r="Q61" s="408">
        <v>3358.36</v>
      </c>
      <c r="R61" s="408">
        <v>-5</v>
      </c>
      <c r="S61" s="408">
        <v>11862.74</v>
      </c>
      <c r="T61" s="408">
        <f t="shared" si="21"/>
        <v>183731.47999999995</v>
      </c>
      <c r="U61" s="412">
        <f t="shared" si="22"/>
        <v>6.9701052724599435E-2</v>
      </c>
      <c r="V61" s="409">
        <v>1162.52</v>
      </c>
      <c r="W61" s="409">
        <v>-5</v>
      </c>
      <c r="X61" s="409">
        <v>3250.14</v>
      </c>
      <c r="Y61" s="409">
        <f t="shared" si="17"/>
        <v>50488.79</v>
      </c>
      <c r="Z61" s="413">
        <f t="shared" si="18"/>
        <v>6.9652240273162164E-2</v>
      </c>
    </row>
    <row r="62" spans="1:26" ht="11.25" customHeight="1" x14ac:dyDescent="0.3">
      <c r="A62" s="410">
        <f t="shared" si="0"/>
        <v>60</v>
      </c>
      <c r="B62" s="411">
        <v>44378</v>
      </c>
      <c r="C62" s="411">
        <v>44469</v>
      </c>
      <c r="D62" s="399">
        <f t="shared" si="1"/>
        <v>8662.85</v>
      </c>
      <c r="E62" s="341">
        <f t="shared" ref="E62:F62" si="66">I62+N62+S62+X62</f>
        <v>-2806.3399999999997</v>
      </c>
      <c r="F62" s="341">
        <f t="shared" si="66"/>
        <v>525933.58000000007</v>
      </c>
      <c r="G62" s="285">
        <f t="shared" si="4"/>
        <v>-5.351336817363773E-3</v>
      </c>
      <c r="H62" s="408">
        <v>3263.16</v>
      </c>
      <c r="I62" s="408">
        <v>-830.29</v>
      </c>
      <c r="J62" s="408">
        <f t="shared" si="9"/>
        <v>211039.96000000005</v>
      </c>
      <c r="K62" s="412">
        <f t="shared" si="5"/>
        <v>-3.9492734614426537E-3</v>
      </c>
      <c r="L62" s="409">
        <v>667.35</v>
      </c>
      <c r="M62" s="409"/>
      <c r="N62" s="409">
        <v>-288.94</v>
      </c>
      <c r="O62" s="409">
        <f t="shared" si="6"/>
        <v>77638.12</v>
      </c>
      <c r="P62" s="413">
        <f t="shared" si="7"/>
        <v>-3.7237710405339324E-3</v>
      </c>
      <c r="Q62" s="408">
        <v>3515.44</v>
      </c>
      <c r="R62" s="408">
        <v>-5</v>
      </c>
      <c r="S62" s="408">
        <v>-1319.84</v>
      </c>
      <c r="T62" s="408">
        <f t="shared" si="21"/>
        <v>185922.07999999996</v>
      </c>
      <c r="U62" s="412">
        <f t="shared" si="22"/>
        <v>-7.1154547003275679E-3</v>
      </c>
      <c r="V62" s="409">
        <v>1216.9000000000001</v>
      </c>
      <c r="W62" s="409">
        <v>-5</v>
      </c>
      <c r="X62" s="409">
        <v>-367.27</v>
      </c>
      <c r="Y62" s="409">
        <f t="shared" si="17"/>
        <v>51333.420000000006</v>
      </c>
      <c r="Z62" s="413">
        <f t="shared" si="18"/>
        <v>-7.1876680619148902E-3</v>
      </c>
    </row>
    <row r="63" spans="1:26" ht="11.25" customHeight="1" x14ac:dyDescent="0.3">
      <c r="A63" s="410">
        <f t="shared" si="0"/>
        <v>23</v>
      </c>
      <c r="B63" s="411">
        <v>44470</v>
      </c>
      <c r="C63" s="411">
        <v>44561</v>
      </c>
      <c r="D63" s="399">
        <f t="shared" si="1"/>
        <v>9311.3900000000012</v>
      </c>
      <c r="E63" s="341">
        <f t="shared" ref="E63:F63" si="67">I63+N63+S63+X63</f>
        <v>34528.080000000002</v>
      </c>
      <c r="F63" s="341">
        <f t="shared" si="67"/>
        <v>569814.69000000006</v>
      </c>
      <c r="G63" s="285">
        <f t="shared" si="4"/>
        <v>6.507496782704475E-2</v>
      </c>
      <c r="H63" s="408">
        <v>3879.38</v>
      </c>
      <c r="I63" s="408">
        <v>13905.92</v>
      </c>
      <c r="J63" s="408">
        <f t="shared" si="9"/>
        <v>228825.26000000007</v>
      </c>
      <c r="K63" s="412">
        <f t="shared" si="5"/>
        <v>6.5292247404857673E-2</v>
      </c>
      <c r="L63" s="409">
        <v>371.59</v>
      </c>
      <c r="M63" s="409"/>
      <c r="N63" s="409">
        <v>5097.01</v>
      </c>
      <c r="O63" s="409">
        <f t="shared" si="6"/>
        <v>83106.719999999987</v>
      </c>
      <c r="P63" s="413">
        <f t="shared" si="7"/>
        <v>6.5494135061182679E-2</v>
      </c>
      <c r="Q63" s="408">
        <v>3759.15</v>
      </c>
      <c r="R63" s="408">
        <v>43.2</v>
      </c>
      <c r="S63" s="408">
        <v>12162.04</v>
      </c>
      <c r="T63" s="408">
        <f t="shared" si="21"/>
        <v>201886.46999999997</v>
      </c>
      <c r="U63" s="412">
        <f t="shared" si="22"/>
        <v>6.4760025677090022E-2</v>
      </c>
      <c r="V63" s="409">
        <v>1301.27</v>
      </c>
      <c r="W63" s="409">
        <v>-1.56</v>
      </c>
      <c r="X63" s="409">
        <v>3363.11</v>
      </c>
      <c r="Y63" s="409">
        <f t="shared" si="17"/>
        <v>55996.240000000005</v>
      </c>
      <c r="Z63" s="413">
        <f t="shared" si="18"/>
        <v>6.4695030043346938E-2</v>
      </c>
    </row>
    <row r="64" spans="1:26" ht="11.25" customHeight="1" x14ac:dyDescent="0.3">
      <c r="A64" s="410">
        <f t="shared" si="0"/>
        <v>69</v>
      </c>
      <c r="B64" s="411">
        <v>44562</v>
      </c>
      <c r="C64" s="411">
        <v>44651</v>
      </c>
      <c r="D64" s="399">
        <f t="shared" si="1"/>
        <v>8989.7800000000007</v>
      </c>
      <c r="E64" s="341">
        <f t="shared" ref="E64:F64" si="68">I64+N64+S64+X64</f>
        <v>-33020.32</v>
      </c>
      <c r="F64" s="341">
        <f t="shared" si="68"/>
        <v>545774.14999999991</v>
      </c>
      <c r="G64" s="285">
        <f t="shared" si="4"/>
        <v>-5.7495680291455339E-2</v>
      </c>
      <c r="H64" s="408">
        <v>3295.8</v>
      </c>
      <c r="I64" s="408">
        <v>-13162.7</v>
      </c>
      <c r="J64" s="408">
        <f t="shared" si="9"/>
        <v>218958.36000000004</v>
      </c>
      <c r="K64" s="412">
        <f t="shared" si="5"/>
        <v>-5.7111639377010311E-2</v>
      </c>
      <c r="L64" s="409">
        <v>508.81</v>
      </c>
      <c r="M64" s="409"/>
      <c r="N64" s="409">
        <v>-4788.0200000000004</v>
      </c>
      <c r="O64" s="409">
        <f t="shared" si="6"/>
        <v>78827.50999999998</v>
      </c>
      <c r="P64" s="413">
        <f t="shared" si="7"/>
        <v>-5.7437084732241815E-2</v>
      </c>
      <c r="Q64" s="408">
        <v>3851.81</v>
      </c>
      <c r="R64" s="408">
        <v>-5</v>
      </c>
      <c r="S64" s="408">
        <v>-11799.38</v>
      </c>
      <c r="T64" s="408">
        <f t="shared" si="21"/>
        <v>193933.89999999997</v>
      </c>
      <c r="U64" s="412">
        <f t="shared" si="22"/>
        <v>-5.7893344307478882E-2</v>
      </c>
      <c r="V64" s="409">
        <v>1333.36</v>
      </c>
      <c r="W64" s="409">
        <v>-5</v>
      </c>
      <c r="X64" s="409">
        <v>-3270.22</v>
      </c>
      <c r="Y64" s="409">
        <f t="shared" si="17"/>
        <v>54054.380000000005</v>
      </c>
      <c r="Z64" s="413">
        <f t="shared" si="18"/>
        <v>-5.7713580592034429E-2</v>
      </c>
    </row>
    <row r="65" spans="1:26" ht="11.25" customHeight="1" x14ac:dyDescent="0.3">
      <c r="A65" s="410">
        <f t="shared" si="0"/>
        <v>73</v>
      </c>
      <c r="B65" s="416">
        <v>44652</v>
      </c>
      <c r="C65" s="416">
        <v>44742</v>
      </c>
      <c r="D65" s="417">
        <f t="shared" si="1"/>
        <v>9559.6299999999992</v>
      </c>
      <c r="E65" s="418">
        <f t="shared" ref="E65:F65" si="69">I65+N65+S65+X65</f>
        <v>-81085.710000000006</v>
      </c>
      <c r="F65" s="418">
        <f t="shared" si="69"/>
        <v>474238.07</v>
      </c>
      <c r="G65" s="423">
        <f t="shared" si="4"/>
        <v>-0.14728022165819846</v>
      </c>
      <c r="H65" s="419">
        <v>3845.1</v>
      </c>
      <c r="I65" s="419">
        <v>-32359.85</v>
      </c>
      <c r="J65" s="419">
        <f t="shared" si="9"/>
        <v>190443.61000000004</v>
      </c>
      <c r="K65" s="420">
        <f t="shared" si="5"/>
        <v>-0.14650360685312278</v>
      </c>
      <c r="L65" s="421">
        <v>572.42999999999995</v>
      </c>
      <c r="M65" s="421"/>
      <c r="N65" s="421">
        <v>-11601.04</v>
      </c>
      <c r="O65" s="421">
        <f t="shared" si="6"/>
        <v>67798.899999999965</v>
      </c>
      <c r="P65" s="422">
        <f t="shared" si="7"/>
        <v>-0.14663751453998664</v>
      </c>
      <c r="Q65" s="419">
        <v>3819.84</v>
      </c>
      <c r="R65" s="419">
        <v>-5</v>
      </c>
      <c r="S65" s="419">
        <v>-29017.27</v>
      </c>
      <c r="T65" s="419">
        <f t="shared" si="21"/>
        <v>168731.46999999997</v>
      </c>
      <c r="U65" s="420">
        <f t="shared" si="22"/>
        <v>-0.14816535951964174</v>
      </c>
      <c r="V65" s="421">
        <v>1322.26</v>
      </c>
      <c r="W65" s="421">
        <v>-5</v>
      </c>
      <c r="X65" s="421">
        <v>-8107.55</v>
      </c>
      <c r="Y65" s="421">
        <f t="shared" si="17"/>
        <v>47264.090000000004</v>
      </c>
      <c r="Z65" s="422">
        <f t="shared" si="18"/>
        <v>-0.14817644941991767</v>
      </c>
    </row>
    <row r="66" spans="1:26" ht="11.25" customHeight="1" x14ac:dyDescent="0.3">
      <c r="A66" s="410">
        <f t="shared" si="0"/>
        <v>68</v>
      </c>
      <c r="B66" s="411">
        <v>44743</v>
      </c>
      <c r="C66" s="411">
        <v>44834</v>
      </c>
      <c r="D66" s="399">
        <f t="shared" si="1"/>
        <v>9265.27</v>
      </c>
      <c r="E66" s="341">
        <f t="shared" ref="E66:F66" si="70">I66+N66+S66+X66</f>
        <v>-25104.760000000002</v>
      </c>
      <c r="F66" s="341">
        <f t="shared" si="70"/>
        <v>458388.58</v>
      </c>
      <c r="G66" s="285">
        <f t="shared" si="4"/>
        <v>-5.2424923341259727E-2</v>
      </c>
      <c r="H66" s="408">
        <v>3380.7</v>
      </c>
      <c r="I66" s="408">
        <v>-9909.2900000000009</v>
      </c>
      <c r="J66" s="408">
        <f t="shared" si="9"/>
        <v>183915.02000000005</v>
      </c>
      <c r="K66" s="412">
        <f t="shared" si="5"/>
        <v>-5.1574901178323695E-2</v>
      </c>
      <c r="L66" s="409">
        <v>477.07</v>
      </c>
      <c r="M66" s="409"/>
      <c r="N66" s="409">
        <v>-3445.67</v>
      </c>
      <c r="O66" s="409">
        <f t="shared" si="6"/>
        <v>64830.299999999974</v>
      </c>
      <c r="P66" s="413">
        <f t="shared" si="7"/>
        <v>-5.0643737524790608E-2</v>
      </c>
      <c r="Q66" s="408">
        <v>4017</v>
      </c>
      <c r="R66" s="408">
        <v>-5</v>
      </c>
      <c r="S66" s="408">
        <v>-9161.0300000000007</v>
      </c>
      <c r="T66" s="408">
        <f t="shared" si="21"/>
        <v>163582.43999999997</v>
      </c>
      <c r="U66" s="412">
        <f t="shared" si="22"/>
        <v>-5.3654864763066329E-2</v>
      </c>
      <c r="V66" s="409">
        <v>1390.5</v>
      </c>
      <c r="W66" s="409">
        <v>-5</v>
      </c>
      <c r="X66" s="409">
        <v>-2588.77</v>
      </c>
      <c r="Y66" s="409">
        <f t="shared" si="17"/>
        <v>46060.820000000007</v>
      </c>
      <c r="Z66" s="413">
        <f t="shared" si="18"/>
        <v>-5.3978432563917683E-2</v>
      </c>
    </row>
    <row r="67" spans="1:26" ht="11.25" customHeight="1" x14ac:dyDescent="0.3">
      <c r="A67" s="410">
        <f t="shared" si="0"/>
        <v>16</v>
      </c>
      <c r="B67" s="411">
        <v>44835</v>
      </c>
      <c r="C67" s="411">
        <v>44926</v>
      </c>
      <c r="D67" s="399">
        <f t="shared" si="1"/>
        <v>9930.630000000001</v>
      </c>
      <c r="E67" s="341">
        <f t="shared" ref="E67:F67" si="71">I67+N67+S67+X67</f>
        <v>33263.85</v>
      </c>
      <c r="F67" s="341">
        <f t="shared" si="71"/>
        <v>501614.6</v>
      </c>
      <c r="G67" s="285">
        <f t="shared" si="4"/>
        <v>7.1789296170694752E-2</v>
      </c>
      <c r="H67" s="408">
        <v>4014.32</v>
      </c>
      <c r="I67" s="408">
        <v>13678.97</v>
      </c>
      <c r="J67" s="408">
        <f t="shared" si="9"/>
        <v>201608.31000000006</v>
      </c>
      <c r="K67" s="412">
        <f t="shared" si="5"/>
        <v>7.3573631720540253E-2</v>
      </c>
      <c r="L67" s="409">
        <v>508.81</v>
      </c>
      <c r="M67" s="409"/>
      <c r="N67" s="409">
        <v>4811.8999999999996</v>
      </c>
      <c r="O67" s="409">
        <f t="shared" si="6"/>
        <v>70151.009999999966</v>
      </c>
      <c r="P67" s="413">
        <f t="shared" si="7"/>
        <v>7.3932884845986493E-2</v>
      </c>
      <c r="Q67" s="408">
        <v>4017</v>
      </c>
      <c r="R67" s="408">
        <v>34.32</v>
      </c>
      <c r="S67" s="408">
        <v>11526.26</v>
      </c>
      <c r="T67" s="408">
        <f t="shared" si="21"/>
        <v>179160.02</v>
      </c>
      <c r="U67" s="412">
        <f t="shared" si="22"/>
        <v>6.9606827523293252E-2</v>
      </c>
      <c r="V67" s="409">
        <v>1390.5</v>
      </c>
      <c r="W67" s="409">
        <v>-2.78</v>
      </c>
      <c r="X67" s="409">
        <v>3246.72</v>
      </c>
      <c r="Y67" s="409">
        <f t="shared" si="17"/>
        <v>50695.260000000009</v>
      </c>
      <c r="Z67" s="413">
        <f t="shared" si="18"/>
        <v>6.9439540149546342E-2</v>
      </c>
    </row>
    <row r="68" spans="1:26" ht="11.25" customHeight="1" x14ac:dyDescent="0.3">
      <c r="A68" s="410">
        <f t="shared" si="0"/>
        <v>22</v>
      </c>
      <c r="B68" s="416">
        <v>44927</v>
      </c>
      <c r="C68" s="416">
        <v>45016</v>
      </c>
      <c r="D68" s="417">
        <f t="shared" si="1"/>
        <v>12386.3</v>
      </c>
      <c r="E68" s="418">
        <f t="shared" ref="E68:F68" si="72">I68+N68+S68+X68</f>
        <v>33062.86</v>
      </c>
      <c r="F68" s="418">
        <f t="shared" si="72"/>
        <v>547053.76</v>
      </c>
      <c r="G68" s="423">
        <f t="shared" si="4"/>
        <v>6.5109010250434349E-2</v>
      </c>
      <c r="H68" s="419">
        <v>4901.84</v>
      </c>
      <c r="I68" s="419">
        <v>13482.75</v>
      </c>
      <c r="J68" s="419">
        <f t="shared" si="9"/>
        <v>219992.90000000005</v>
      </c>
      <c r="K68" s="420">
        <f t="shared" si="5"/>
        <v>6.6072728001570893E-2</v>
      </c>
      <c r="L68" s="421">
        <v>531.96</v>
      </c>
      <c r="M68" s="421"/>
      <c r="N68" s="421">
        <v>4673.3</v>
      </c>
      <c r="O68" s="421">
        <f t="shared" si="6"/>
        <v>75356.269999999975</v>
      </c>
      <c r="P68" s="422">
        <f t="shared" si="7"/>
        <v>6.6366085798327965E-2</v>
      </c>
      <c r="Q68" s="419">
        <v>5562</v>
      </c>
      <c r="R68" s="419">
        <v>-5</v>
      </c>
      <c r="S68" s="419">
        <v>11622.05</v>
      </c>
      <c r="T68" s="419">
        <f t="shared" si="21"/>
        <v>196339.06999999998</v>
      </c>
      <c r="U68" s="420">
        <f t="shared" si="22"/>
        <v>6.3878118304492304E-2</v>
      </c>
      <c r="V68" s="421">
        <v>1390.5</v>
      </c>
      <c r="W68" s="421">
        <v>-5</v>
      </c>
      <c r="X68" s="421">
        <v>3284.76</v>
      </c>
      <c r="Y68" s="421">
        <f t="shared" si="17"/>
        <v>55365.520000000011</v>
      </c>
      <c r="Z68" s="422">
        <f t="shared" si="18"/>
        <v>6.3917637711709802E-2</v>
      </c>
    </row>
    <row r="69" spans="1:26" ht="11.25" customHeight="1" x14ac:dyDescent="0.3">
      <c r="A69" s="410">
        <f t="shared" si="0"/>
        <v>25</v>
      </c>
      <c r="B69" s="411">
        <v>45017</v>
      </c>
      <c r="C69" s="411">
        <v>45107</v>
      </c>
      <c r="D69" s="399">
        <f t="shared" si="1"/>
        <v>14328.099999999999</v>
      </c>
      <c r="E69" s="341">
        <f t="shared" ref="E69:F69" si="73">I69+N69+S69+X69</f>
        <v>34397.699999999997</v>
      </c>
      <c r="F69" s="341">
        <f t="shared" si="73"/>
        <v>595769.56000000006</v>
      </c>
      <c r="G69" s="285">
        <f t="shared" si="4"/>
        <v>6.2065309665887483E-2</v>
      </c>
      <c r="H69" s="408">
        <v>6041</v>
      </c>
      <c r="I69" s="408">
        <v>13966.9</v>
      </c>
      <c r="J69" s="408">
        <f t="shared" si="9"/>
        <v>240000.80000000005</v>
      </c>
      <c r="K69" s="412">
        <f t="shared" si="5"/>
        <v>6.2628075263638852E-2</v>
      </c>
      <c r="L69" s="409">
        <v>721.98</v>
      </c>
      <c r="M69" s="409"/>
      <c r="N69" s="409">
        <v>4714.47</v>
      </c>
      <c r="O69" s="409">
        <f t="shared" si="6"/>
        <v>80792.719999999972</v>
      </c>
      <c r="P69" s="413">
        <f t="shared" si="7"/>
        <v>6.2264138982313963E-2</v>
      </c>
      <c r="Q69" s="408">
        <v>6052.07</v>
      </c>
      <c r="R69" s="408">
        <v>-5</v>
      </c>
      <c r="S69" s="408">
        <v>12265.99</v>
      </c>
      <c r="T69" s="408">
        <f t="shared" si="21"/>
        <v>214652.12999999998</v>
      </c>
      <c r="U69" s="412">
        <f t="shared" si="22"/>
        <v>6.1525260401011507E-2</v>
      </c>
      <c r="V69" s="409">
        <v>1513.05</v>
      </c>
      <c r="W69" s="409">
        <v>-5</v>
      </c>
      <c r="X69" s="409">
        <v>3450.34</v>
      </c>
      <c r="Y69" s="409">
        <f t="shared" si="17"/>
        <v>60323.910000000018</v>
      </c>
      <c r="Z69" s="413">
        <f t="shared" si="18"/>
        <v>6.1479227993206577E-2</v>
      </c>
    </row>
    <row r="70" spans="1:26" ht="11.25" customHeight="1" x14ac:dyDescent="0.3">
      <c r="A70" s="410">
        <f t="shared" si="0"/>
        <v>66</v>
      </c>
      <c r="B70" s="416">
        <v>45108</v>
      </c>
      <c r="C70" s="416">
        <v>45199</v>
      </c>
      <c r="D70" s="417">
        <f t="shared" si="1"/>
        <v>8695.1500000000015</v>
      </c>
      <c r="E70" s="418">
        <f t="shared" ref="E70:F70" si="74">I70+N70+S70+X70</f>
        <v>-20377.89</v>
      </c>
      <c r="F70" s="418">
        <f t="shared" si="74"/>
        <v>584076.81999999995</v>
      </c>
      <c r="G70" s="423">
        <f t="shared" si="4"/>
        <v>-3.3956520838219359E-2</v>
      </c>
      <c r="H70" s="419">
        <v>2705.4</v>
      </c>
      <c r="I70" s="419">
        <v>-8220.6</v>
      </c>
      <c r="J70" s="419">
        <f t="shared" si="9"/>
        <v>234485.60000000003</v>
      </c>
      <c r="K70" s="420">
        <f t="shared" si="5"/>
        <v>-3.4060413459924957E-2</v>
      </c>
      <c r="L70" s="421">
        <v>569.95000000000005</v>
      </c>
      <c r="M70" s="421"/>
      <c r="N70" s="421">
        <v>-2746.93</v>
      </c>
      <c r="O70" s="421">
        <f t="shared" si="6"/>
        <v>78615.739999999976</v>
      </c>
      <c r="P70" s="422">
        <f t="shared" si="7"/>
        <v>-3.388021822771356E-2</v>
      </c>
      <c r="Q70" s="419">
        <v>3879.36</v>
      </c>
      <c r="R70" s="419">
        <v>-5</v>
      </c>
      <c r="S70" s="419">
        <v>-7333.51</v>
      </c>
      <c r="T70" s="419">
        <f t="shared" si="21"/>
        <v>211192.97999999995</v>
      </c>
      <c r="U70" s="420">
        <f t="shared" si="22"/>
        <v>-3.3858667139814759E-2</v>
      </c>
      <c r="V70" s="421">
        <v>1540.44</v>
      </c>
      <c r="W70" s="421">
        <v>-5</v>
      </c>
      <c r="X70" s="421">
        <v>-2076.85</v>
      </c>
      <c r="Y70" s="421">
        <f t="shared" si="17"/>
        <v>59782.500000000022</v>
      </c>
      <c r="Z70" s="422">
        <f t="shared" si="18"/>
        <v>-3.3994264260739933E-2</v>
      </c>
    </row>
    <row r="71" spans="1:26" ht="11.25" customHeight="1" x14ac:dyDescent="0.3">
      <c r="A71" s="410">
        <f t="shared" si="0"/>
        <v>6</v>
      </c>
      <c r="B71" s="416">
        <v>45200</v>
      </c>
      <c r="C71" s="416">
        <v>45291</v>
      </c>
      <c r="D71" s="417">
        <f t="shared" si="1"/>
        <v>7745.54</v>
      </c>
      <c r="E71" s="418">
        <f t="shared" ref="E71:F71" si="75">I71+N71+S71+X71</f>
        <v>67381.100000000006</v>
      </c>
      <c r="F71" s="418">
        <f t="shared" si="75"/>
        <v>659246.27</v>
      </c>
      <c r="G71" s="423">
        <f t="shared" si="4"/>
        <v>0.11460353259196934</v>
      </c>
      <c r="H71" s="419">
        <v>2525.04</v>
      </c>
      <c r="I71" s="419">
        <v>26988.77</v>
      </c>
      <c r="J71" s="419">
        <f t="shared" si="9"/>
        <v>263999.41000000003</v>
      </c>
      <c r="K71" s="420">
        <f t="shared" si="5"/>
        <v>0.11448137953337655</v>
      </c>
      <c r="L71" s="421">
        <v>259.39999999999998</v>
      </c>
      <c r="M71" s="421"/>
      <c r="N71" s="421">
        <v>9008.08</v>
      </c>
      <c r="O71" s="421">
        <f t="shared" si="6"/>
        <v>87883.219999999972</v>
      </c>
      <c r="P71" s="422">
        <f t="shared" si="7"/>
        <v>0.11439494147216656</v>
      </c>
      <c r="Q71" s="419">
        <v>3421.44</v>
      </c>
      <c r="R71" s="419">
        <v>43.83</v>
      </c>
      <c r="S71" s="419">
        <v>24426.68</v>
      </c>
      <c r="T71" s="419">
        <f t="shared" si="21"/>
        <v>239084.92999999993</v>
      </c>
      <c r="U71" s="420">
        <f t="shared" si="22"/>
        <v>0.11473112022008075</v>
      </c>
      <c r="V71" s="421">
        <v>1539.66</v>
      </c>
      <c r="W71" s="421">
        <v>-1.02</v>
      </c>
      <c r="X71" s="421">
        <v>6957.57</v>
      </c>
      <c r="Y71" s="421">
        <f t="shared" si="17"/>
        <v>68278.710000000021</v>
      </c>
      <c r="Z71" s="422">
        <f t="shared" si="18"/>
        <v>0.11490177174024513</v>
      </c>
    </row>
    <row r="72" spans="1:26" ht="11.25" customHeight="1" x14ac:dyDescent="0.3">
      <c r="A72" s="410">
        <f t="shared" si="0"/>
        <v>15</v>
      </c>
      <c r="B72" s="416">
        <v>45292</v>
      </c>
      <c r="C72" s="416">
        <v>45382</v>
      </c>
      <c r="D72" s="417">
        <f t="shared" si="1"/>
        <v>7595.43</v>
      </c>
      <c r="E72" s="418">
        <f t="shared" ref="E72:F72" si="76">I72+N72+S72+X72</f>
        <v>49773.11</v>
      </c>
      <c r="F72" s="418">
        <f t="shared" si="76"/>
        <v>716604.80999999994</v>
      </c>
      <c r="G72" s="423">
        <f t="shared" si="4"/>
        <v>7.5067583940151422E-2</v>
      </c>
      <c r="H72" s="419">
        <v>2164.3200000000002</v>
      </c>
      <c r="I72" s="419">
        <v>20180.509999999998</v>
      </c>
      <c r="J72" s="419">
        <f t="shared" si="9"/>
        <v>286344.24000000005</v>
      </c>
      <c r="K72" s="420">
        <f t="shared" si="5"/>
        <v>7.6129434422770315E-2</v>
      </c>
      <c r="L72" s="421">
        <v>327.45999999999998</v>
      </c>
      <c r="M72" s="421"/>
      <c r="N72" s="421">
        <v>6689.22</v>
      </c>
      <c r="O72" s="421">
        <f t="shared" si="6"/>
        <v>94899.89999999998</v>
      </c>
      <c r="P72" s="422">
        <f t="shared" si="7"/>
        <v>7.597333013806841E-2</v>
      </c>
      <c r="Q72" s="419">
        <v>3421.44</v>
      </c>
      <c r="R72" s="419">
        <v>-5</v>
      </c>
      <c r="S72" s="419">
        <v>17786.68</v>
      </c>
      <c r="T72" s="419">
        <f t="shared" si="21"/>
        <v>260288.04999999993</v>
      </c>
      <c r="U72" s="420">
        <f t="shared" si="22"/>
        <v>7.3866284544592084E-2</v>
      </c>
      <c r="V72" s="421">
        <v>1682.21</v>
      </c>
      <c r="W72" s="421">
        <v>-5</v>
      </c>
      <c r="X72" s="421">
        <v>5116.7</v>
      </c>
      <c r="Y72" s="421">
        <f t="shared" si="17"/>
        <v>75072.620000000024</v>
      </c>
      <c r="Z72" s="422">
        <f t="shared" si="18"/>
        <v>7.402652915086648E-2</v>
      </c>
    </row>
    <row r="73" spans="1:26" ht="11.25" customHeight="1" x14ac:dyDescent="0.3">
      <c r="A73" s="410">
        <f t="shared" si="0"/>
        <v>46</v>
      </c>
      <c r="B73" s="411">
        <v>45383</v>
      </c>
      <c r="C73" s="411">
        <v>45473</v>
      </c>
      <c r="D73" s="399">
        <f t="shared" si="1"/>
        <v>8308.86</v>
      </c>
      <c r="E73" s="341">
        <f t="shared" ref="E73:F73" si="77">I73+N73+S73+X73</f>
        <v>12647.249999999998</v>
      </c>
      <c r="F73" s="341">
        <f t="shared" si="77"/>
        <v>737550.92</v>
      </c>
      <c r="G73" s="285">
        <f t="shared" si="4"/>
        <v>1.7547121560314644E-2</v>
      </c>
      <c r="H73" s="408">
        <v>2525.04</v>
      </c>
      <c r="I73" s="408">
        <v>4888.4399999999996</v>
      </c>
      <c r="J73" s="408">
        <f t="shared" si="9"/>
        <v>293757.72000000003</v>
      </c>
      <c r="K73" s="412">
        <f t="shared" si="5"/>
        <v>1.6996957929639758E-2</v>
      </c>
      <c r="L73" s="409">
        <v>600.34</v>
      </c>
      <c r="M73" s="409"/>
      <c r="N73" s="409">
        <v>1614.03</v>
      </c>
      <c r="O73" s="409">
        <f t="shared" si="6"/>
        <v>97114.269999999975</v>
      </c>
      <c r="P73" s="413">
        <f t="shared" si="7"/>
        <v>1.6954084172417103E-2</v>
      </c>
      <c r="Q73" s="408">
        <v>3455.64</v>
      </c>
      <c r="R73" s="408">
        <v>-5</v>
      </c>
      <c r="S73" s="408">
        <v>4756.29</v>
      </c>
      <c r="T73" s="408">
        <f t="shared" si="21"/>
        <v>268494.97999999992</v>
      </c>
      <c r="U73" s="412">
        <f t="shared" si="22"/>
        <v>1.8152679072454662E-2</v>
      </c>
      <c r="V73" s="409">
        <v>1727.84</v>
      </c>
      <c r="W73" s="409">
        <v>-5</v>
      </c>
      <c r="X73" s="409">
        <v>1388.49</v>
      </c>
      <c r="Y73" s="409">
        <f t="shared" si="17"/>
        <v>78183.950000000026</v>
      </c>
      <c r="Z73" s="413">
        <f t="shared" si="18"/>
        <v>1.8284873132223295E-2</v>
      </c>
    </row>
    <row r="74" spans="1:26" ht="11.25" customHeight="1" x14ac:dyDescent="0.3">
      <c r="A74" s="410">
        <f t="shared" si="0"/>
        <v>24</v>
      </c>
      <c r="B74" s="411">
        <v>45474</v>
      </c>
      <c r="C74" s="411">
        <v>45565</v>
      </c>
      <c r="D74" s="399">
        <f t="shared" si="1"/>
        <v>8470.7900000000009</v>
      </c>
      <c r="E74" s="341">
        <f t="shared" ref="E74:F74" si="78">I74+N74+S74+X74</f>
        <v>47123.93</v>
      </c>
      <c r="F74" s="341">
        <f t="shared" si="78"/>
        <v>793135.6399999999</v>
      </c>
      <c r="G74" s="285">
        <f t="shared" si="4"/>
        <v>6.3527634639633374E-2</v>
      </c>
      <c r="H74" s="408">
        <v>2651.04</v>
      </c>
      <c r="I74" s="408">
        <v>18444.8</v>
      </c>
      <c r="J74" s="408">
        <f t="shared" si="9"/>
        <v>314853.56</v>
      </c>
      <c r="K74" s="412">
        <f t="shared" si="5"/>
        <v>6.2507108163784547E-2</v>
      </c>
      <c r="L74" s="409">
        <v>518.47</v>
      </c>
      <c r="M74" s="409"/>
      <c r="N74" s="409">
        <v>6088.4</v>
      </c>
      <c r="O74" s="409">
        <f t="shared" si="6"/>
        <v>103721.13999999997</v>
      </c>
      <c r="P74" s="413">
        <f t="shared" si="7"/>
        <v>6.252624879837694E-2</v>
      </c>
      <c r="Q74" s="408">
        <v>3534.15</v>
      </c>
      <c r="R74" s="408">
        <v>-5</v>
      </c>
      <c r="S74" s="408">
        <v>17468.02</v>
      </c>
      <c r="T74" s="408">
        <f t="shared" si="21"/>
        <v>289492.14999999997</v>
      </c>
      <c r="U74" s="412">
        <f t="shared" si="22"/>
        <v>6.4633638636396831E-2</v>
      </c>
      <c r="V74" s="409">
        <v>1767.13</v>
      </c>
      <c r="W74" s="409">
        <v>-5</v>
      </c>
      <c r="X74" s="409">
        <v>5122.71</v>
      </c>
      <c r="Y74" s="409">
        <f t="shared" si="17"/>
        <v>85068.790000000037</v>
      </c>
      <c r="Z74" s="413">
        <f t="shared" si="18"/>
        <v>6.478906033659966E-2</v>
      </c>
    </row>
    <row r="75" spans="1:26" ht="11.25" customHeight="1" x14ac:dyDescent="0.3">
      <c r="A75" s="410">
        <f t="shared" si="0"/>
        <v>51</v>
      </c>
      <c r="B75" s="416">
        <v>45566</v>
      </c>
      <c r="C75" s="416">
        <v>45657</v>
      </c>
      <c r="D75" s="399">
        <f t="shared" si="1"/>
        <v>7875.74</v>
      </c>
      <c r="E75" s="341">
        <f t="shared" ref="E75:F75" si="79">I75+N75+S75+X75</f>
        <v>6634.9400000000005</v>
      </c>
      <c r="F75" s="341">
        <f t="shared" si="79"/>
        <v>807705.33</v>
      </c>
      <c r="G75" s="285">
        <f t="shared" si="4"/>
        <v>8.3241255878645382E-3</v>
      </c>
      <c r="H75" s="408">
        <v>2316.7199999999998</v>
      </c>
      <c r="I75" s="408">
        <v>2656.75</v>
      </c>
      <c r="J75" s="408">
        <f t="shared" si="9"/>
        <v>319827.02999999997</v>
      </c>
      <c r="K75" s="412">
        <f t="shared" si="5"/>
        <v>8.4071195795399119E-3</v>
      </c>
      <c r="L75" s="409">
        <v>272.89999999999998</v>
      </c>
      <c r="M75" s="409"/>
      <c r="N75" s="409">
        <v>881.97</v>
      </c>
      <c r="O75" s="409">
        <f t="shared" si="6"/>
        <v>104876.00999999997</v>
      </c>
      <c r="P75" s="413">
        <f t="shared" si="7"/>
        <v>8.4921092430509919E-3</v>
      </c>
      <c r="Q75" s="408">
        <v>3524.04</v>
      </c>
      <c r="R75" s="408">
        <v>56.15</v>
      </c>
      <c r="S75" s="408">
        <v>2399.9</v>
      </c>
      <c r="T75" s="408">
        <f t="shared" si="21"/>
        <v>295472.24</v>
      </c>
      <c r="U75" s="412">
        <f t="shared" si="22"/>
        <v>8.2398820246934162E-3</v>
      </c>
      <c r="V75" s="409">
        <v>1762.08</v>
      </c>
      <c r="W75" s="409">
        <v>2.86</v>
      </c>
      <c r="X75" s="409">
        <v>696.32</v>
      </c>
      <c r="Y75" s="409">
        <f t="shared" si="17"/>
        <v>87530.050000000047</v>
      </c>
      <c r="Z75" s="413">
        <f t="shared" si="18"/>
        <v>8.1014703577656846E-3</v>
      </c>
    </row>
    <row r="76" spans="1:26" ht="11.25" customHeight="1" x14ac:dyDescent="0.3">
      <c r="A76" s="410">
        <f t="shared" si="0"/>
        <v>65</v>
      </c>
      <c r="B76" s="411">
        <v>45658</v>
      </c>
      <c r="C76" s="411">
        <v>45747</v>
      </c>
      <c r="D76" s="399">
        <f t="shared" si="1"/>
        <v>8468.5</v>
      </c>
      <c r="E76" s="341">
        <f t="shared" ref="E76:F76" si="80">I76+N76+S76+X76</f>
        <v>-23233.47</v>
      </c>
      <c r="F76" s="341">
        <f t="shared" si="80"/>
        <v>792984.94</v>
      </c>
      <c r="G76" s="285">
        <f t="shared" si="4"/>
        <v>-2.8614776976385363E-2</v>
      </c>
      <c r="H76" s="408">
        <v>2754.64</v>
      </c>
      <c r="I76" s="408">
        <v>-9406.6200000000008</v>
      </c>
      <c r="J76" s="408">
        <f t="shared" si="9"/>
        <v>313175.05</v>
      </c>
      <c r="K76" s="412">
        <f t="shared" si="5"/>
        <v>-2.9285468892311085E-2</v>
      </c>
      <c r="L76" s="409">
        <v>427.74</v>
      </c>
      <c r="M76" s="409">
        <v>54.58</v>
      </c>
      <c r="N76" s="409">
        <v>-3072.99</v>
      </c>
      <c r="O76" s="409">
        <f t="shared" ref="O76:O81" si="81">O75+M76+L76+N76</f>
        <v>102285.33999999997</v>
      </c>
      <c r="P76" s="413">
        <f t="shared" si="7"/>
        <v>-2.9241540669758124E-2</v>
      </c>
      <c r="Q76" s="408">
        <v>3524.04</v>
      </c>
      <c r="R76" s="408">
        <v>-5</v>
      </c>
      <c r="S76" s="408">
        <v>-8273.32</v>
      </c>
      <c r="T76" s="408">
        <f t="shared" si="21"/>
        <v>290717.95999999996</v>
      </c>
      <c r="U76" s="412">
        <f t="shared" si="22"/>
        <v>-2.7834341842020497E-2</v>
      </c>
      <c r="V76" s="409">
        <v>1762.08</v>
      </c>
      <c r="W76" s="409">
        <v>-5</v>
      </c>
      <c r="X76" s="409">
        <v>-2480.54</v>
      </c>
      <c r="Y76" s="409">
        <f t="shared" si="17"/>
        <v>86806.590000000055</v>
      </c>
      <c r="Z76" s="413">
        <f t="shared" si="18"/>
        <v>-2.8056887433465631E-2</v>
      </c>
    </row>
    <row r="77" spans="1:26" ht="11.25" customHeight="1" x14ac:dyDescent="0.3">
      <c r="A77" s="410">
        <f t="shared" si="0"/>
        <v>10</v>
      </c>
      <c r="B77" s="411">
        <v>45748</v>
      </c>
      <c r="C77" s="411">
        <v>45838</v>
      </c>
      <c r="D77" s="399">
        <f t="shared" si="1"/>
        <v>8336.2599999999984</v>
      </c>
      <c r="E77" s="341">
        <f t="shared" ref="E77:F77" si="82">I77+N77+S77+X77</f>
        <v>78804.489999999991</v>
      </c>
      <c r="F77" s="341">
        <f t="shared" si="82"/>
        <v>880115.68999999983</v>
      </c>
      <c r="G77" s="285">
        <f t="shared" si="4"/>
        <v>9.885741266730616E-2</v>
      </c>
      <c r="H77" s="408">
        <v>2361.12</v>
      </c>
      <c r="I77" s="408">
        <v>31230.560000000001</v>
      </c>
      <c r="J77" s="408">
        <f t="shared" si="9"/>
        <v>346766.73</v>
      </c>
      <c r="K77" s="412">
        <f t="shared" si="5"/>
        <v>9.9347869121852173E-2</v>
      </c>
      <c r="L77" s="409">
        <v>627.36</v>
      </c>
      <c r="M77" s="409"/>
      <c r="N77" s="409">
        <v>10189.65</v>
      </c>
      <c r="O77" s="409">
        <f t="shared" si="81"/>
        <v>113102.34999999996</v>
      </c>
      <c r="P77" s="413">
        <f t="shared" si="7"/>
        <v>9.9315276110824482E-2</v>
      </c>
      <c r="Q77" s="408">
        <v>3565.16</v>
      </c>
      <c r="R77" s="408">
        <v>-5</v>
      </c>
      <c r="S77" s="408">
        <v>28737.85</v>
      </c>
      <c r="T77" s="408">
        <f t="shared" si="21"/>
        <v>323015.96999999991</v>
      </c>
      <c r="U77" s="412">
        <f t="shared" si="22"/>
        <v>9.8248878446515003E-2</v>
      </c>
      <c r="V77" s="409">
        <v>1782.62</v>
      </c>
      <c r="W77" s="409">
        <v>-5</v>
      </c>
      <c r="X77" s="409">
        <v>8646.43</v>
      </c>
      <c r="Y77" s="409">
        <f t="shared" si="17"/>
        <v>97230.640000000043</v>
      </c>
      <c r="Z77" s="413">
        <f t="shared" si="18"/>
        <v>9.8593352862497222E-2</v>
      </c>
    </row>
    <row r="78" spans="1:26" ht="11.25" customHeight="1" x14ac:dyDescent="0.3">
      <c r="A78" s="410">
        <f t="shared" si="0"/>
        <v>18</v>
      </c>
      <c r="B78" s="411">
        <v>45839</v>
      </c>
      <c r="C78" s="411">
        <v>45930</v>
      </c>
      <c r="D78" s="399">
        <f t="shared" si="1"/>
        <v>8512.1500000000015</v>
      </c>
      <c r="E78" s="341">
        <f t="shared" ref="E78:F78" si="83">I78+N78+S78+X78</f>
        <v>62574.47</v>
      </c>
      <c r="F78" s="341">
        <f t="shared" si="83"/>
        <v>951192.30999999994</v>
      </c>
      <c r="G78" s="285">
        <f t="shared" si="4"/>
        <v>7.0755843273671251E-2</v>
      </c>
      <c r="H78" s="408">
        <v>2754.64</v>
      </c>
      <c r="I78" s="408">
        <v>24277.07</v>
      </c>
      <c r="J78" s="408">
        <f t="shared" si="9"/>
        <v>373798.44</v>
      </c>
      <c r="K78" s="412">
        <f t="shared" si="5"/>
        <v>6.9732830418902755E-2</v>
      </c>
      <c r="L78" s="409">
        <v>228.13</v>
      </c>
      <c r="M78" s="409"/>
      <c r="N78" s="409">
        <v>7890.03</v>
      </c>
      <c r="O78" s="409">
        <f t="shared" si="81"/>
        <v>121220.50999999997</v>
      </c>
      <c r="P78" s="413">
        <f t="shared" si="7"/>
        <v>6.9689806023269699E-2</v>
      </c>
      <c r="Q78" s="408">
        <v>3686.25</v>
      </c>
      <c r="R78" s="408">
        <v>-5</v>
      </c>
      <c r="S78" s="408">
        <v>23348.720000000001</v>
      </c>
      <c r="T78" s="408">
        <f t="shared" si="21"/>
        <v>350045.93999999994</v>
      </c>
      <c r="U78" s="412">
        <f t="shared" si="22"/>
        <v>7.1873376363373806E-2</v>
      </c>
      <c r="V78" s="409">
        <v>1843.13</v>
      </c>
      <c r="W78" s="409">
        <v>-5</v>
      </c>
      <c r="X78" s="409">
        <v>7058.65</v>
      </c>
      <c r="Y78" s="409">
        <f t="shared" si="17"/>
        <v>106127.42000000004</v>
      </c>
      <c r="Z78" s="413">
        <f t="shared" si="18"/>
        <v>7.191534820842789E-2</v>
      </c>
    </row>
    <row r="79" spans="1:26" ht="11.25" customHeight="1" x14ac:dyDescent="0.3">
      <c r="A79" s="410">
        <f t="shared" si="0"/>
        <v>42</v>
      </c>
      <c r="B79" s="411">
        <v>45931</v>
      </c>
      <c r="C79" s="411">
        <v>46022</v>
      </c>
      <c r="D79" s="399">
        <f t="shared" si="1"/>
        <v>7950.88</v>
      </c>
      <c r="E79" s="341">
        <f t="shared" ref="E79:F79" si="84">I79+N79+S79+X79</f>
        <v>22107.989999999998</v>
      </c>
      <c r="F79" s="341">
        <f t="shared" si="84"/>
        <v>981285.71</v>
      </c>
      <c r="G79" s="285">
        <f t="shared" si="4"/>
        <v>2.3145662110137199E-2</v>
      </c>
      <c r="H79" s="408">
        <v>2362.08</v>
      </c>
      <c r="I79" s="408">
        <v>8987.66</v>
      </c>
      <c r="J79" s="408">
        <f t="shared" si="9"/>
        <v>385148.18</v>
      </c>
      <c r="K79" s="412">
        <f t="shared" si="5"/>
        <v>2.396840488444861E-2</v>
      </c>
      <c r="L79" s="409">
        <v>117.7</v>
      </c>
      <c r="M79" s="409"/>
      <c r="N79" s="409">
        <v>2907.64</v>
      </c>
      <c r="O79" s="409">
        <f t="shared" si="81"/>
        <v>124245.84999999996</v>
      </c>
      <c r="P79" s="413">
        <f t="shared" si="7"/>
        <v>2.3974730737365373E-2</v>
      </c>
      <c r="Q79" s="408">
        <v>3647.4</v>
      </c>
      <c r="R79" s="408">
        <v>33.979999999999997</v>
      </c>
      <c r="S79" s="408">
        <v>7831.87</v>
      </c>
      <c r="T79" s="408">
        <f t="shared" si="21"/>
        <v>361559.18999999994</v>
      </c>
      <c r="U79" s="412">
        <f t="shared" si="22"/>
        <v>2.2257873682992375E-2</v>
      </c>
      <c r="V79" s="409">
        <v>1823.7</v>
      </c>
      <c r="W79" s="409">
        <v>0.55000000000000004</v>
      </c>
      <c r="X79" s="409">
        <v>2380.8200000000002</v>
      </c>
      <c r="Y79" s="409">
        <f t="shared" si="17"/>
        <v>110332.49000000005</v>
      </c>
      <c r="Z79" s="413">
        <f t="shared" si="18"/>
        <v>2.2242491003535422E-2</v>
      </c>
    </row>
    <row r="80" spans="1:26" ht="11.25" customHeight="1" x14ac:dyDescent="0.3">
      <c r="A80" s="410">
        <f t="shared" si="0"/>
        <v>64</v>
      </c>
      <c r="B80" s="411">
        <v>46023</v>
      </c>
      <c r="C80" s="411">
        <v>46112</v>
      </c>
      <c r="D80" s="399">
        <f t="shared" si="1"/>
        <v>9490.0500000000011</v>
      </c>
      <c r="E80" s="341">
        <f t="shared" ref="E80:F80" si="85">I80+N80+S80+X80</f>
        <v>-26205.96</v>
      </c>
      <c r="F80" s="341">
        <f t="shared" si="85"/>
        <v>964559.79999999993</v>
      </c>
      <c r="G80" s="285">
        <f t="shared" si="4"/>
        <v>-2.6577224289058291E-2</v>
      </c>
      <c r="H80" s="408">
        <v>2898.86</v>
      </c>
      <c r="I80" s="408">
        <v>-10534.77</v>
      </c>
      <c r="J80" s="408">
        <f t="shared" si="9"/>
        <v>377512.26999999996</v>
      </c>
      <c r="K80" s="412">
        <f t="shared" si="5"/>
        <v>-2.7249961529767348E-2</v>
      </c>
      <c r="L80" s="409">
        <v>488.67</v>
      </c>
      <c r="M80" s="409"/>
      <c r="N80" s="409">
        <v>-3387.97</v>
      </c>
      <c r="O80" s="409">
        <f t="shared" si="81"/>
        <v>121346.54999999996</v>
      </c>
      <c r="P80" s="413">
        <f t="shared" si="7"/>
        <v>-2.7214755926340706E-2</v>
      </c>
      <c r="Q80" s="408">
        <v>4068.32</v>
      </c>
      <c r="R80" s="408">
        <v>-5</v>
      </c>
      <c r="S80" s="408">
        <v>-9700.08</v>
      </c>
      <c r="T80" s="408">
        <f t="shared" si="21"/>
        <v>355922.42999999993</v>
      </c>
      <c r="U80" s="412">
        <f t="shared" si="22"/>
        <v>-2.6678375718367793E-2</v>
      </c>
      <c r="V80" s="409">
        <v>2034.2</v>
      </c>
      <c r="W80" s="409">
        <v>-5</v>
      </c>
      <c r="X80" s="409">
        <v>-2583.14</v>
      </c>
      <c r="Y80" s="409">
        <f t="shared" si="17"/>
        <v>109778.55000000005</v>
      </c>
      <c r="Z80" s="413">
        <f t="shared" si="18"/>
        <v>-2.3198468894227619E-2</v>
      </c>
    </row>
    <row r="81" spans="1:26" ht="11.25" customHeight="1" x14ac:dyDescent="0.3">
      <c r="A81" s="410">
        <f t="shared" si="0"/>
        <v>4</v>
      </c>
      <c r="B81" s="411">
        <v>46113</v>
      </c>
      <c r="C81" s="411">
        <v>46200</v>
      </c>
      <c r="D81" s="399">
        <f t="shared" si="1"/>
        <v>9231.8000000000011</v>
      </c>
      <c r="E81" s="341">
        <f t="shared" ref="E81:F81" si="86">I81+N81+S81+X81</f>
        <v>130636.54000000001</v>
      </c>
      <c r="F81" s="341">
        <f t="shared" si="86"/>
        <v>1104418.6399999999</v>
      </c>
      <c r="G81" s="285">
        <f t="shared" si="4"/>
        <v>0.13479139025049847</v>
      </c>
      <c r="H81" s="408">
        <v>2405.7600000000002</v>
      </c>
      <c r="I81" s="408">
        <v>53003.25</v>
      </c>
      <c r="J81" s="408">
        <f t="shared" si="9"/>
        <v>432921.27999999997</v>
      </c>
      <c r="K81" s="412">
        <f t="shared" si="5"/>
        <v>0.13995545200660708</v>
      </c>
      <c r="L81" s="409">
        <v>427.56</v>
      </c>
      <c r="M81" s="409">
        <v>0</v>
      </c>
      <c r="N81" s="409">
        <v>18735.68</v>
      </c>
      <c r="O81" s="409">
        <f t="shared" si="81"/>
        <v>140509.78999999995</v>
      </c>
      <c r="P81" s="413">
        <f t="shared" si="7"/>
        <v>0.15412659705678658</v>
      </c>
      <c r="Q81" s="408">
        <v>4265.63</v>
      </c>
      <c r="R81" s="408">
        <v>-4.75</v>
      </c>
      <c r="S81" s="408">
        <v>46431.54</v>
      </c>
      <c r="T81" s="408">
        <f t="shared" si="21"/>
        <v>406614.84999999992</v>
      </c>
      <c r="U81" s="412">
        <f t="shared" si="22"/>
        <v>0.12967702791227093</v>
      </c>
      <c r="V81" s="409">
        <v>2132.85</v>
      </c>
      <c r="W81" s="409">
        <v>-4.75</v>
      </c>
      <c r="X81" s="409">
        <v>12466.07</v>
      </c>
      <c r="Y81" s="409">
        <f t="shared" si="17"/>
        <v>124372.72000000006</v>
      </c>
      <c r="Z81" s="413">
        <f t="shared" si="18"/>
        <v>0.11246400660020893</v>
      </c>
    </row>
    <row r="82" spans="1:26" ht="11.25" customHeight="1" x14ac:dyDescent="0.3">
      <c r="A82" s="424"/>
      <c r="B82" s="411">
        <f ca="1">TODAY()</f>
        <v>46203</v>
      </c>
      <c r="C82" s="425"/>
      <c r="D82" s="426">
        <f>-F81</f>
        <v>-1104418.6399999999</v>
      </c>
      <c r="E82" s="426"/>
      <c r="F82" s="426"/>
      <c r="G82" s="426"/>
      <c r="H82" s="426">
        <f>-J81</f>
        <v>-432921.27999999997</v>
      </c>
      <c r="I82" s="427"/>
      <c r="J82" s="426"/>
      <c r="K82" s="426"/>
      <c r="L82" s="426">
        <f>-O81</f>
        <v>-140509.78999999995</v>
      </c>
      <c r="M82" s="426"/>
      <c r="N82" s="427"/>
      <c r="O82" s="426"/>
      <c r="P82" s="426"/>
      <c r="Q82" s="426">
        <f>-T81</f>
        <v>-406614.84999999992</v>
      </c>
      <c r="R82" s="426"/>
      <c r="S82" s="426"/>
      <c r="T82" s="426"/>
      <c r="U82" s="426"/>
      <c r="V82" s="426">
        <f>-Y81</f>
        <v>-124372.72000000006</v>
      </c>
      <c r="W82" s="428"/>
      <c r="X82" s="428"/>
      <c r="Y82" s="428"/>
      <c r="Z82" s="428"/>
    </row>
    <row r="83" spans="1:26" ht="11.25" customHeight="1" x14ac:dyDescent="0.3">
      <c r="A83" s="404"/>
      <c r="B83" s="295"/>
      <c r="C83" s="406"/>
      <c r="D83" s="400"/>
      <c r="E83" s="400"/>
      <c r="F83" s="400"/>
      <c r="G83" s="400"/>
      <c r="H83" s="400"/>
      <c r="I83" s="400"/>
      <c r="J83" s="400"/>
      <c r="K83" s="400"/>
      <c r="L83" s="400"/>
      <c r="M83" s="400"/>
      <c r="N83" s="400"/>
      <c r="O83" s="400"/>
      <c r="P83" s="400"/>
      <c r="Q83" s="400"/>
      <c r="R83" s="400"/>
      <c r="S83" s="400"/>
      <c r="T83" s="400"/>
      <c r="U83" s="400"/>
      <c r="V83" s="188"/>
      <c r="W83" s="400"/>
      <c r="X83" s="403"/>
      <c r="Y83" s="188"/>
      <c r="Z83" s="188"/>
    </row>
    <row r="84" spans="1:26" ht="11.25" customHeight="1" x14ac:dyDescent="0.3">
      <c r="A84" s="404"/>
      <c r="B84" s="295"/>
      <c r="C84" s="406"/>
      <c r="D84" s="400"/>
      <c r="E84" s="400"/>
      <c r="F84" s="400"/>
      <c r="G84" s="400"/>
      <c r="H84" s="296"/>
      <c r="I84" s="296"/>
      <c r="J84" s="400"/>
      <c r="K84" s="400"/>
      <c r="L84" s="400"/>
      <c r="M84" s="400"/>
      <c r="N84" s="403"/>
      <c r="O84" s="400"/>
      <c r="P84" s="400"/>
      <c r="Q84" s="400"/>
      <c r="R84" s="400"/>
      <c r="S84" s="400"/>
      <c r="T84" s="400"/>
      <c r="U84" s="400"/>
      <c r="V84" s="188"/>
      <c r="W84" s="400"/>
      <c r="X84" s="403"/>
      <c r="Y84" s="188"/>
      <c r="Z84" s="188"/>
    </row>
    <row r="85" spans="1:26" ht="11.25" customHeight="1" x14ac:dyDescent="0.3">
      <c r="A85" s="293" t="s">
        <v>613</v>
      </c>
      <c r="B85" s="295"/>
      <c r="C85" s="406"/>
      <c r="D85" s="400"/>
      <c r="E85" s="400"/>
      <c r="F85" s="400"/>
      <c r="G85" s="400"/>
      <c r="H85" s="401"/>
      <c r="I85" s="296"/>
      <c r="J85" s="400"/>
      <c r="K85" s="400"/>
      <c r="L85" s="400"/>
      <c r="M85" s="400"/>
      <c r="N85" s="400"/>
      <c r="O85" s="400"/>
      <c r="P85" s="400"/>
      <c r="Q85" s="400"/>
      <c r="R85" s="400"/>
      <c r="S85" s="400"/>
      <c r="T85" s="400"/>
      <c r="U85" s="400"/>
      <c r="V85" s="188"/>
      <c r="W85" s="400"/>
      <c r="X85" s="400"/>
      <c r="Y85" s="188"/>
      <c r="Z85" s="188"/>
    </row>
    <row r="86" spans="1:26" ht="11.25" customHeight="1" x14ac:dyDescent="0.3">
      <c r="A86" s="293">
        <f>COUNTIF(E7:E82,"&gt;0")</f>
        <v>58</v>
      </c>
      <c r="B86" s="295"/>
      <c r="C86" s="406"/>
      <c r="D86" s="400"/>
      <c r="E86" s="400"/>
      <c r="F86" s="400"/>
      <c r="G86" s="400"/>
      <c r="H86" s="188"/>
      <c r="I86" s="296"/>
      <c r="J86" s="400"/>
      <c r="K86" s="400"/>
      <c r="L86" s="400"/>
      <c r="M86" s="400"/>
      <c r="N86" s="400"/>
      <c r="O86" s="400"/>
      <c r="P86" s="400"/>
      <c r="Q86" s="400"/>
      <c r="R86" s="400"/>
      <c r="S86" s="400"/>
      <c r="T86" s="400"/>
      <c r="U86" s="400"/>
      <c r="V86" s="188"/>
      <c r="W86" s="400"/>
      <c r="X86" s="400"/>
      <c r="Y86" s="188"/>
      <c r="Z86" s="188"/>
    </row>
    <row r="87" spans="1:26" ht="11.25" customHeight="1" x14ac:dyDescent="0.3">
      <c r="A87" s="293" t="s">
        <v>614</v>
      </c>
      <c r="B87" s="295"/>
      <c r="C87" s="406"/>
      <c r="D87" s="400"/>
      <c r="E87" s="400"/>
      <c r="F87" s="400"/>
      <c r="G87" s="400"/>
      <c r="H87" s="188"/>
      <c r="I87" s="296"/>
      <c r="J87" s="400"/>
      <c r="K87" s="400"/>
      <c r="L87" s="400"/>
      <c r="M87" s="400"/>
      <c r="N87" s="400"/>
      <c r="O87" s="400"/>
      <c r="P87" s="400"/>
      <c r="Q87" s="400"/>
      <c r="R87" s="400"/>
      <c r="S87" s="400"/>
      <c r="T87" s="400"/>
      <c r="U87" s="400"/>
      <c r="V87" s="400"/>
      <c r="W87" s="400"/>
      <c r="X87" s="400"/>
      <c r="Y87" s="188"/>
      <c r="Z87" s="188"/>
    </row>
    <row r="88" spans="1:26" ht="11.25" customHeight="1" x14ac:dyDescent="0.3">
      <c r="A88" s="296">
        <f>(SUMIFS(G7:G82,E7:E82,"&gt;0"))/A86</f>
        <v>5.6953182862366933E-2</v>
      </c>
      <c r="B88" s="295"/>
      <c r="C88" s="406"/>
      <c r="D88" s="400"/>
      <c r="E88" s="400"/>
      <c r="F88" s="400"/>
      <c r="G88" s="400"/>
      <c r="H88" s="296"/>
      <c r="I88" s="296"/>
      <c r="J88" s="400"/>
      <c r="K88" s="400"/>
      <c r="L88" s="400"/>
      <c r="M88" s="400"/>
      <c r="N88" s="296"/>
      <c r="O88" s="400"/>
      <c r="P88" s="400"/>
      <c r="Q88" s="400"/>
      <c r="R88" s="400"/>
      <c r="S88" s="400"/>
      <c r="T88" s="400"/>
      <c r="U88" s="400"/>
      <c r="V88" s="400"/>
      <c r="W88" s="400"/>
      <c r="X88" s="296"/>
      <c r="Y88" s="188"/>
      <c r="Z88" s="188"/>
    </row>
    <row r="89" spans="1:26" ht="11.25" customHeight="1" x14ac:dyDescent="0.3">
      <c r="A89" s="293" t="s">
        <v>615</v>
      </c>
      <c r="B89" s="295"/>
      <c r="C89" s="406"/>
      <c r="D89" s="400"/>
      <c r="E89" s="400"/>
      <c r="F89" s="400"/>
      <c r="G89" s="400"/>
      <c r="H89" s="296"/>
      <c r="I89" s="296"/>
      <c r="J89" s="296"/>
      <c r="K89" s="296"/>
      <c r="L89" s="296"/>
      <c r="M89" s="296"/>
      <c r="N89" s="296"/>
      <c r="O89" s="400"/>
      <c r="P89" s="400"/>
      <c r="Q89" s="400"/>
      <c r="R89" s="400"/>
      <c r="S89" s="400"/>
      <c r="T89" s="400"/>
      <c r="U89" s="400"/>
      <c r="V89" s="188"/>
      <c r="W89" s="188"/>
      <c r="X89" s="188"/>
      <c r="Y89" s="188"/>
      <c r="Z89" s="188"/>
    </row>
    <row r="90" spans="1:26" ht="11.25" customHeight="1" x14ac:dyDescent="0.3">
      <c r="A90" s="293">
        <f>COUNTIF(E7:E82,"&lt;0")</f>
        <v>17</v>
      </c>
    </row>
    <row r="91" spans="1:26" ht="11.25" customHeight="1" x14ac:dyDescent="0.3">
      <c r="A91" s="293" t="s">
        <v>616</v>
      </c>
    </row>
    <row r="92" spans="1:26" ht="11.25" customHeight="1" x14ac:dyDescent="0.3">
      <c r="A92" s="296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617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618</v>
      </c>
    </row>
    <row r="98" spans="1:1" ht="15" customHeight="1" x14ac:dyDescent="0.3">
      <c r="A98" s="50">
        <f>AVERAGE(G9,G13,G17,G21,G25,G29,G33,G37,G41,G45,G49,G53,G57,G61,G65,G69,G73,G77,G81)</f>
        <v>3.2923665248634298E-2</v>
      </c>
    </row>
    <row r="99" spans="1:1" ht="15" customHeight="1" x14ac:dyDescent="0.3">
      <c r="A99" s="50" t="s">
        <v>619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620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29" t="s">
        <v>621</v>
      </c>
      <c r="C1" s="430">
        <f ca="1">TODAY()</f>
        <v>46203</v>
      </c>
      <c r="D1" s="569" t="s">
        <v>622</v>
      </c>
      <c r="E1" s="547"/>
      <c r="F1" s="569" t="s">
        <v>623</v>
      </c>
      <c r="G1" s="547"/>
      <c r="H1" s="569" t="s">
        <v>624</v>
      </c>
      <c r="I1" s="547"/>
      <c r="J1" s="569" t="s">
        <v>625</v>
      </c>
      <c r="K1" s="547"/>
      <c r="L1" s="431"/>
      <c r="M1" s="431"/>
      <c r="N1" s="432">
        <f>R1/Q1</f>
        <v>0.21977797398773583</v>
      </c>
      <c r="O1" s="570" t="s">
        <v>626</v>
      </c>
      <c r="P1" s="556"/>
      <c r="Q1" s="433">
        <f>'Retirement Calculator'!B3</f>
        <v>469836.83999999991</v>
      </c>
      <c r="R1" s="434">
        <f>SUM(R3:R9)</f>
        <v>103259.78879999998</v>
      </c>
    </row>
    <row r="2" spans="2:18" ht="11.25" customHeight="1" x14ac:dyDescent="0.3">
      <c r="B2" s="429" t="s">
        <v>627</v>
      </c>
      <c r="C2" s="430">
        <f>'Retirement Calculator'!D6</f>
        <v>51288</v>
      </c>
      <c r="D2" s="435" t="s">
        <v>548</v>
      </c>
      <c r="E2" s="436">
        <f>B13</f>
        <v>104249.60000000001</v>
      </c>
      <c r="F2" s="435" t="s">
        <v>548</v>
      </c>
      <c r="G2" s="436">
        <f>C13</f>
        <v>18000</v>
      </c>
      <c r="H2" s="435" t="s">
        <v>548</v>
      </c>
      <c r="I2" s="436">
        <f>D13</f>
        <v>162500</v>
      </c>
      <c r="J2" s="435" t="s">
        <v>548</v>
      </c>
      <c r="K2" s="436">
        <f>I2</f>
        <v>162500</v>
      </c>
      <c r="L2" s="431"/>
      <c r="M2" s="431"/>
      <c r="N2" s="437" t="s">
        <v>562</v>
      </c>
      <c r="O2" s="438" t="s">
        <v>628</v>
      </c>
      <c r="P2" s="438" t="s">
        <v>629</v>
      </c>
      <c r="Q2" s="439" t="s">
        <v>630</v>
      </c>
      <c r="R2" s="440" t="s">
        <v>631</v>
      </c>
    </row>
    <row r="3" spans="2:18" ht="11.25" customHeight="1" x14ac:dyDescent="0.3">
      <c r="B3" s="429" t="s">
        <v>632</v>
      </c>
      <c r="C3" s="438">
        <f ca="1">(C2-C1)/365.25</f>
        <v>13.921971252566735</v>
      </c>
      <c r="D3" s="429" t="s">
        <v>633</v>
      </c>
      <c r="E3" s="441">
        <f ca="1">'TSP-401K'!J4</f>
        <v>0.11525995135307313</v>
      </c>
      <c r="F3" s="429" t="s">
        <v>633</v>
      </c>
      <c r="G3" s="441">
        <f ca="1">'TSP-401K'!O4</f>
        <v>0.11318413615226747</v>
      </c>
      <c r="H3" s="429" t="s">
        <v>633</v>
      </c>
      <c r="I3" s="441">
        <f ca="1">'TSP-401K'!T4</f>
        <v>0.11229838728904726</v>
      </c>
      <c r="J3" s="429" t="s">
        <v>633</v>
      </c>
      <c r="K3" s="441">
        <f ca="1">'TSP-401K'!Y4</f>
        <v>0.11234530806541443</v>
      </c>
      <c r="L3" s="431"/>
      <c r="M3" s="431"/>
      <c r="N3" s="442">
        <v>0.1</v>
      </c>
      <c r="O3" s="436">
        <v>0</v>
      </c>
      <c r="P3" s="436">
        <v>24800</v>
      </c>
      <c r="Q3" s="436">
        <f>IF($Q$1&gt;P3,P3,$Q$1-Q3)</f>
        <v>24800</v>
      </c>
      <c r="R3" s="443">
        <f t="shared" ref="R3:R9" si="0">Q3*N3</f>
        <v>2480</v>
      </c>
    </row>
    <row r="4" spans="2:18" ht="11.25" customHeight="1" x14ac:dyDescent="0.3">
      <c r="B4" s="435" t="s">
        <v>634</v>
      </c>
      <c r="C4" s="430">
        <f>'Retirement Calculator'!D7</f>
        <v>51288</v>
      </c>
      <c r="D4" s="429"/>
      <c r="E4" s="441"/>
      <c r="F4" s="429"/>
      <c r="G4" s="441"/>
      <c r="H4" s="429"/>
      <c r="I4" s="441"/>
      <c r="J4" s="429"/>
      <c r="K4" s="441"/>
      <c r="L4" s="431"/>
      <c r="M4" s="431"/>
      <c r="N4" s="442">
        <v>0.12</v>
      </c>
      <c r="O4" s="436">
        <f t="shared" ref="O4:O9" si="1">P3+0.01</f>
        <v>24800.01</v>
      </c>
      <c r="P4" s="436">
        <v>100800</v>
      </c>
      <c r="Q4" s="436">
        <f>IF($Q$1&gt;P4,P4-Q3,$Q$1-Q3)</f>
        <v>76000</v>
      </c>
      <c r="R4" s="443">
        <f t="shared" si="0"/>
        <v>9120</v>
      </c>
    </row>
    <row r="5" spans="2:18" ht="11.25" customHeight="1" x14ac:dyDescent="0.3">
      <c r="B5" s="435" t="s">
        <v>635</v>
      </c>
      <c r="C5" s="438">
        <f ca="1">(C4-C1)/365.25</f>
        <v>13.921971252566735</v>
      </c>
      <c r="D5" s="429"/>
      <c r="E5" s="441"/>
      <c r="F5" s="429"/>
      <c r="G5" s="441"/>
      <c r="H5" s="429"/>
      <c r="I5" s="441"/>
      <c r="J5" s="429"/>
      <c r="K5" s="441"/>
      <c r="L5" s="444"/>
      <c r="M5" s="431"/>
      <c r="N5" s="442">
        <v>0.22</v>
      </c>
      <c r="O5" s="436">
        <f t="shared" si="1"/>
        <v>100800.01</v>
      </c>
      <c r="P5" s="436">
        <v>211400</v>
      </c>
      <c r="Q5" s="436">
        <f>IF($Q$1&gt;P5,P5-Q4-Q3,$Q$1-Q4-Q3)</f>
        <v>110600</v>
      </c>
      <c r="R5" s="443">
        <f t="shared" si="0"/>
        <v>24332</v>
      </c>
    </row>
    <row r="6" spans="2:18" ht="11.25" customHeight="1" x14ac:dyDescent="0.3">
      <c r="B6" s="429" t="s">
        <v>636</v>
      </c>
      <c r="C6" s="445">
        <f>E6+G6+I6+K6</f>
        <v>1104418.6399999999</v>
      </c>
      <c r="D6" s="429" t="s">
        <v>637</v>
      </c>
      <c r="E6" s="445">
        <f>'TSP-401K'!H82*-1</f>
        <v>432921.27999999997</v>
      </c>
      <c r="F6" s="429" t="s">
        <v>637</v>
      </c>
      <c r="G6" s="445">
        <f>'TSP-401K'!L82*-1</f>
        <v>140509.78999999995</v>
      </c>
      <c r="H6" s="429" t="s">
        <v>637</v>
      </c>
      <c r="I6" s="445">
        <f>'TSP-401K'!Q82*-1</f>
        <v>406614.84999999992</v>
      </c>
      <c r="J6" s="429" t="s">
        <v>637</v>
      </c>
      <c r="K6" s="445">
        <f>'TSP-401K'!V82*-1</f>
        <v>124372.72000000006</v>
      </c>
      <c r="L6" s="446"/>
      <c r="M6" s="431"/>
      <c r="N6" s="442">
        <v>0.24</v>
      </c>
      <c r="O6" s="436">
        <f t="shared" si="1"/>
        <v>211400.01</v>
      </c>
      <c r="P6" s="436">
        <v>403550</v>
      </c>
      <c r="Q6" s="436">
        <f>IF($Q$1&gt;P6,P6-Q5-Q4-Q3,$Q$1-Q5-Q4-Q3)</f>
        <v>192150</v>
      </c>
      <c r="R6" s="443">
        <f t="shared" si="0"/>
        <v>46116</v>
      </c>
    </row>
    <row r="7" spans="2:18" ht="11.25" customHeight="1" x14ac:dyDescent="0.3">
      <c r="B7" s="429"/>
      <c r="C7" s="439"/>
      <c r="D7" s="429"/>
      <c r="E7" s="439"/>
      <c r="F7" s="429"/>
      <c r="G7" s="439"/>
      <c r="H7" s="429"/>
      <c r="I7" s="439"/>
      <c r="J7" s="429"/>
      <c r="K7" s="439"/>
      <c r="L7" s="444"/>
      <c r="M7" s="431"/>
      <c r="N7" s="442">
        <v>0.32</v>
      </c>
      <c r="O7" s="436">
        <f t="shared" si="1"/>
        <v>403550.01</v>
      </c>
      <c r="P7" s="436">
        <v>512450</v>
      </c>
      <c r="Q7" s="436">
        <f>IF($Q$1&gt;P7,P7-Q6-Q5-Q4-Q3,$Q$1-Q6-Q5-Q4-Q3)</f>
        <v>66286.839999999909</v>
      </c>
      <c r="R7" s="443">
        <f t="shared" si="0"/>
        <v>21211.788799999973</v>
      </c>
    </row>
    <row r="8" spans="2:18" ht="11.25" customHeight="1" x14ac:dyDescent="0.3">
      <c r="B8" s="429" t="s">
        <v>638</v>
      </c>
      <c r="C8" s="445">
        <f ca="1">E8+G8+I8+K8</f>
        <v>6615075.0942665972</v>
      </c>
      <c r="D8" s="429" t="s">
        <v>639</v>
      </c>
      <c r="E8" s="445">
        <f ca="1">FV(E3/26,C3*26,-(E2*0.1)/26,-E6,1)</f>
        <v>2506253.3602529266</v>
      </c>
      <c r="F8" s="429" t="s">
        <v>639</v>
      </c>
      <c r="G8" s="445">
        <f ca="1">FV(G3/12,12*C3,-(G2*0.1)/12,-G6,1)</f>
        <v>735258.28842337744</v>
      </c>
      <c r="H8" s="429" t="s">
        <v>639</v>
      </c>
      <c r="I8" s="445">
        <f ca="1">FV(I3/24,C5*24,-(I2*0.1)/24,-I6,1)</f>
        <v>2480860.2507378231</v>
      </c>
      <c r="J8" s="429" t="s">
        <v>639</v>
      </c>
      <c r="K8" s="445">
        <f ca="1">FV(K3/24,C5*24,-(K2*0.055)/24,-K6,1)</f>
        <v>892703.19485246984</v>
      </c>
      <c r="L8" s="444"/>
      <c r="M8" s="431"/>
      <c r="N8" s="442">
        <v>0.35</v>
      </c>
      <c r="O8" s="436">
        <f t="shared" si="1"/>
        <v>512450.01</v>
      </c>
      <c r="P8" s="436">
        <v>768700</v>
      </c>
      <c r="Q8" s="436">
        <f>IF($Q$1&gt;P8,P8-Q7-Q6-Q5-Q4-Q3,$Q$1-Q7-Q6-Q5-Q4-Q3)</f>
        <v>0</v>
      </c>
      <c r="R8" s="443">
        <f t="shared" si="0"/>
        <v>0</v>
      </c>
    </row>
    <row r="9" spans="2:18" ht="11.25" customHeight="1" x14ac:dyDescent="0.3">
      <c r="B9" s="446"/>
      <c r="C9" s="445"/>
      <c r="D9" s="446"/>
      <c r="E9" s="444"/>
      <c r="F9" s="446"/>
      <c r="G9" s="447"/>
      <c r="H9" s="446"/>
      <c r="I9" s="447"/>
      <c r="J9" s="446"/>
      <c r="K9" s="447"/>
      <c r="L9" s="444"/>
      <c r="M9" s="431"/>
      <c r="N9" s="448">
        <v>0.37</v>
      </c>
      <c r="O9" s="449">
        <f t="shared" si="1"/>
        <v>768700.01</v>
      </c>
      <c r="P9" s="449">
        <v>10000000</v>
      </c>
      <c r="Q9" s="449">
        <f>IF($Q$1&gt;P9,P9-Q8-Q7,$Q$1-Q8-Q7-Q6-Q5-Q4-Q3)</f>
        <v>0</v>
      </c>
      <c r="R9" s="450">
        <f t="shared" si="0"/>
        <v>0</v>
      </c>
    </row>
    <row r="10" spans="2:18" ht="11.25" customHeight="1" x14ac:dyDescent="0.3">
      <c r="B10" s="446"/>
      <c r="C10" s="444"/>
      <c r="D10" s="446"/>
      <c r="E10" s="444"/>
      <c r="F10" s="446"/>
      <c r="G10" s="447"/>
      <c r="H10" s="446"/>
      <c r="I10" s="447"/>
      <c r="J10" s="446"/>
      <c r="K10" s="447"/>
      <c r="L10" s="444"/>
      <c r="M10" s="431"/>
      <c r="N10" s="451"/>
      <c r="O10" s="451"/>
      <c r="P10" s="451"/>
      <c r="Q10" s="452"/>
      <c r="R10" s="444"/>
    </row>
    <row r="11" spans="2:18" ht="11.25" customHeight="1" x14ac:dyDescent="0.3">
      <c r="B11" s="453"/>
      <c r="C11" s="444"/>
      <c r="D11" s="431"/>
      <c r="E11" s="444"/>
      <c r="F11" s="431"/>
      <c r="G11" s="444"/>
      <c r="H11" s="431"/>
      <c r="I11" s="444"/>
      <c r="J11" s="431"/>
      <c r="K11" s="444"/>
      <c r="L11" s="444"/>
      <c r="M11" s="431"/>
      <c r="N11" s="451"/>
      <c r="O11" s="451"/>
      <c r="P11" s="451"/>
      <c r="Q11" s="452"/>
      <c r="R11" s="444"/>
    </row>
    <row r="12" spans="2:18" ht="11.25" customHeight="1" x14ac:dyDescent="0.3">
      <c r="B12" s="446" t="s">
        <v>640</v>
      </c>
      <c r="C12" s="446" t="s">
        <v>564</v>
      </c>
      <c r="D12" s="446" t="s">
        <v>641</v>
      </c>
      <c r="E12" s="454" t="s">
        <v>642</v>
      </c>
      <c r="F12" s="444"/>
      <c r="G12" s="446"/>
      <c r="H12" s="431"/>
      <c r="I12" s="446" t="s">
        <v>551</v>
      </c>
      <c r="J12" s="446" t="s">
        <v>552</v>
      </c>
      <c r="K12" s="446" t="s">
        <v>553</v>
      </c>
      <c r="L12" s="446" t="s">
        <v>554</v>
      </c>
      <c r="M12" s="431"/>
      <c r="N12" s="451"/>
      <c r="O12" s="451"/>
      <c r="P12" s="451"/>
      <c r="Q12" s="452"/>
      <c r="R12" s="444"/>
    </row>
    <row r="13" spans="2:18" ht="11.25" customHeight="1" x14ac:dyDescent="0.3">
      <c r="B13" s="455">
        <f>'Retirement Calculator'!D2</f>
        <v>104249.60000000001</v>
      </c>
      <c r="C13" s="455">
        <f>'Retirement Calculator'!D3</f>
        <v>18000</v>
      </c>
      <c r="D13" s="455">
        <f>'Retirement Calculator'!D1</f>
        <v>162500</v>
      </c>
      <c r="E13" s="452">
        <f>B13+C13+D13</f>
        <v>284749.59999999998</v>
      </c>
      <c r="F13" s="444"/>
      <c r="G13" s="456">
        <v>31590</v>
      </c>
      <c r="H13" s="431" t="s">
        <v>643</v>
      </c>
      <c r="I13" s="457">
        <f>'Retirement Calculator'!F2</f>
        <v>2420</v>
      </c>
      <c r="J13" s="457">
        <f>'Retirement Calculator'!G2</f>
        <v>3519</v>
      </c>
      <c r="K13" s="457">
        <f>'Retirement Calculator'!H2</f>
        <v>4397</v>
      </c>
      <c r="L13" s="457">
        <f>'Retirement Calculator'!I2</f>
        <v>0</v>
      </c>
      <c r="M13" s="431"/>
      <c r="N13" s="451"/>
      <c r="O13" s="451"/>
      <c r="P13" s="451"/>
      <c r="Q13" s="452"/>
      <c r="R13" s="444"/>
    </row>
    <row r="14" spans="2:18" ht="11.25" customHeight="1" x14ac:dyDescent="0.3">
      <c r="B14" s="455"/>
      <c r="C14" s="457"/>
      <c r="D14" s="457"/>
      <c r="E14" s="452"/>
      <c r="F14" s="444"/>
      <c r="G14" s="456">
        <v>29906</v>
      </c>
      <c r="H14" s="431" t="s">
        <v>644</v>
      </c>
      <c r="I14" s="457">
        <f>'Retirement Calculator'!F3</f>
        <v>2345</v>
      </c>
      <c r="J14" s="457">
        <f>'Retirement Calculator'!G3</f>
        <v>3401</v>
      </c>
      <c r="K14" s="457">
        <f>'Retirement Calculator'!H3</f>
        <v>4262</v>
      </c>
      <c r="L14" s="457">
        <f>'Retirement Calculator'!I3</f>
        <v>0</v>
      </c>
      <c r="M14" s="431"/>
      <c r="N14" s="451"/>
      <c r="O14" s="451"/>
      <c r="P14" s="451"/>
      <c r="Q14" s="452"/>
      <c r="R14" s="444"/>
    </row>
    <row r="15" spans="2:18" ht="11.25" customHeight="1" x14ac:dyDescent="0.3">
      <c r="B15" s="455"/>
      <c r="C15" s="457"/>
      <c r="D15" s="457"/>
      <c r="E15" s="452"/>
      <c r="F15" s="444"/>
      <c r="G15" s="456"/>
      <c r="H15" s="431"/>
      <c r="I15" s="457"/>
      <c r="J15" s="457"/>
      <c r="K15" s="457"/>
      <c r="L15" s="457"/>
      <c r="M15" s="431"/>
      <c r="N15" s="451"/>
      <c r="O15" s="451"/>
      <c r="P15" s="451"/>
      <c r="Q15" s="452"/>
      <c r="R15" s="444"/>
    </row>
    <row r="16" spans="2:18" ht="11.25" customHeight="1" x14ac:dyDescent="0.3">
      <c r="B16" s="455" t="s">
        <v>645</v>
      </c>
      <c r="C16" s="455" t="s">
        <v>646</v>
      </c>
      <c r="D16" s="457"/>
      <c r="E16" s="452"/>
      <c r="F16" s="444"/>
      <c r="G16" s="431"/>
      <c r="H16" s="444"/>
      <c r="I16" s="431"/>
      <c r="J16" s="431"/>
      <c r="K16" s="444"/>
      <c r="L16" s="444"/>
      <c r="M16" s="431"/>
      <c r="N16" s="451"/>
      <c r="O16" s="451"/>
      <c r="P16" s="451"/>
      <c r="Q16" s="452"/>
      <c r="R16" s="444"/>
    </row>
    <row r="17" spans="2:11" ht="11.25" customHeight="1" x14ac:dyDescent="0.3">
      <c r="B17" s="451">
        <f>(C2-B18)/365.25</f>
        <v>33.040383299110196</v>
      </c>
      <c r="C17" s="458">
        <f>'Retirement Calculator'!B2</f>
        <v>0.65</v>
      </c>
      <c r="D17" s="457"/>
      <c r="E17" s="457"/>
      <c r="F17" s="444"/>
      <c r="G17" s="431"/>
      <c r="H17" s="444"/>
      <c r="I17" s="431"/>
      <c r="J17" s="431"/>
      <c r="K17" s="444"/>
    </row>
    <row r="18" spans="2:11" ht="11.25" customHeight="1" x14ac:dyDescent="0.3">
      <c r="B18" s="456">
        <v>39220</v>
      </c>
      <c r="C18" s="455">
        <f>E13*(1+C17)</f>
        <v>469836.83999999991</v>
      </c>
      <c r="D18" s="457"/>
      <c r="E18" s="457"/>
      <c r="F18" s="444"/>
      <c r="G18" s="431"/>
      <c r="H18" s="446" t="s">
        <v>647</v>
      </c>
      <c r="I18" s="431"/>
      <c r="J18" s="431"/>
      <c r="K18" s="431"/>
    </row>
    <row r="19" spans="2:11" ht="11.25" customHeight="1" x14ac:dyDescent="0.3">
      <c r="B19" s="444"/>
      <c r="C19" s="455"/>
      <c r="D19" s="457"/>
      <c r="E19" s="457"/>
      <c r="F19" s="431"/>
      <c r="G19" s="431"/>
      <c r="H19" s="459">
        <v>71</v>
      </c>
      <c r="I19" s="457">
        <f t="shared" ref="I19:I33" si="2">(I$14*12)*($H19-62)</f>
        <v>253260</v>
      </c>
      <c r="J19" s="457">
        <f t="shared" ref="J19:J33" si="3">(J$14*12)*($H19-67)</f>
        <v>163248</v>
      </c>
      <c r="K19" s="457">
        <f t="shared" ref="K19:K33" si="4">(K$14*12)*($H19-70)</f>
        <v>51144</v>
      </c>
    </row>
    <row r="20" spans="2:11" ht="11.25" customHeight="1" x14ac:dyDescent="0.3">
      <c r="B20" s="444"/>
      <c r="C20" s="455"/>
      <c r="D20" s="457"/>
      <c r="E20" s="457"/>
      <c r="F20" s="431"/>
      <c r="G20" s="431"/>
      <c r="H20" s="459">
        <v>72</v>
      </c>
      <c r="I20" s="457">
        <f t="shared" si="2"/>
        <v>281400</v>
      </c>
      <c r="J20" s="457">
        <f t="shared" si="3"/>
        <v>204060</v>
      </c>
      <c r="K20" s="457">
        <f t="shared" si="4"/>
        <v>102288</v>
      </c>
    </row>
    <row r="21" spans="2:11" ht="11.25" customHeight="1" x14ac:dyDescent="0.3">
      <c r="B21" s="444" t="s">
        <v>648</v>
      </c>
      <c r="C21" s="455" t="s">
        <v>649</v>
      </c>
      <c r="D21" s="455" t="s">
        <v>650</v>
      </c>
      <c r="E21" s="457" t="s">
        <v>651</v>
      </c>
      <c r="F21" s="431"/>
      <c r="G21" s="431"/>
      <c r="H21" s="459">
        <v>73</v>
      </c>
      <c r="I21" s="457">
        <f t="shared" si="2"/>
        <v>309540</v>
      </c>
      <c r="J21" s="457">
        <f t="shared" si="3"/>
        <v>244872</v>
      </c>
      <c r="K21" s="457">
        <f t="shared" si="4"/>
        <v>153432</v>
      </c>
    </row>
    <row r="22" spans="2:11" ht="11.25" customHeight="1" x14ac:dyDescent="0.3">
      <c r="B22" s="444">
        <f>B13*(B17*0.01)</f>
        <v>34444.46742778919</v>
      </c>
      <c r="C22" s="455">
        <f>C24*12</f>
        <v>39051.173639423083</v>
      </c>
      <c r="D22" s="455">
        <f>B22+C22</f>
        <v>73495.641067212273</v>
      </c>
      <c r="E22" s="460">
        <f>D22/(B13+C13)</f>
        <v>0.60119330506776525</v>
      </c>
      <c r="F22" s="431"/>
      <c r="G22" s="431"/>
      <c r="H22" s="459">
        <v>74</v>
      </c>
      <c r="I22" s="457">
        <f t="shared" si="2"/>
        <v>337680</v>
      </c>
      <c r="J22" s="457">
        <f t="shared" si="3"/>
        <v>285684</v>
      </c>
      <c r="K22" s="457">
        <f t="shared" si="4"/>
        <v>204576</v>
      </c>
    </row>
    <row r="23" spans="2:11" ht="11.25" customHeight="1" x14ac:dyDescent="0.3">
      <c r="B23" s="446" t="s">
        <v>652</v>
      </c>
      <c r="C23" s="446" t="s">
        <v>653</v>
      </c>
      <c r="D23" s="446" t="s">
        <v>654</v>
      </c>
      <c r="E23" s="431"/>
      <c r="F23" s="446"/>
      <c r="G23" s="446"/>
      <c r="H23" s="459">
        <v>75</v>
      </c>
      <c r="I23" s="457">
        <f t="shared" si="2"/>
        <v>365820</v>
      </c>
      <c r="J23" s="457">
        <f t="shared" si="3"/>
        <v>326496</v>
      </c>
      <c r="K23" s="457">
        <f t="shared" si="4"/>
        <v>255720</v>
      </c>
    </row>
    <row r="24" spans="2:11" ht="11.25" customHeight="1" x14ac:dyDescent="0.3">
      <c r="B24" s="455">
        <f>B22/12</f>
        <v>2870.372285649099</v>
      </c>
      <c r="C24" s="455">
        <f>AVERAGE('Guard Ret Calc'!I23:I24)</f>
        <v>3254.2644699519233</v>
      </c>
      <c r="D24" s="455">
        <f>B24+C24</f>
        <v>6124.6367556010227</v>
      </c>
      <c r="E24" s="431"/>
      <c r="F24" s="446"/>
      <c r="G24" s="455"/>
      <c r="H24" s="459">
        <v>76</v>
      </c>
      <c r="I24" s="457">
        <f t="shared" si="2"/>
        <v>393960</v>
      </c>
      <c r="J24" s="457">
        <f t="shared" si="3"/>
        <v>367308</v>
      </c>
      <c r="K24" s="457">
        <f t="shared" si="4"/>
        <v>306864</v>
      </c>
    </row>
    <row r="25" spans="2:11" ht="11.25" customHeight="1" x14ac:dyDescent="0.3">
      <c r="B25" s="459"/>
      <c r="C25" s="455"/>
      <c r="D25" s="455"/>
      <c r="E25" s="455"/>
      <c r="F25" s="446"/>
      <c r="G25" s="455"/>
      <c r="H25" s="459">
        <v>77</v>
      </c>
      <c r="I25" s="457">
        <f t="shared" si="2"/>
        <v>422100</v>
      </c>
      <c r="J25" s="457">
        <f t="shared" si="3"/>
        <v>408120</v>
      </c>
      <c r="K25" s="457">
        <f t="shared" si="4"/>
        <v>358008</v>
      </c>
    </row>
    <row r="26" spans="2:11" ht="11.25" customHeight="1" x14ac:dyDescent="0.3">
      <c r="B26" s="459"/>
      <c r="C26" s="455"/>
      <c r="D26" s="455"/>
      <c r="E26" s="455"/>
      <c r="F26" s="446"/>
      <c r="G26" s="455"/>
      <c r="H26" s="459">
        <v>78</v>
      </c>
      <c r="I26" s="457">
        <f t="shared" si="2"/>
        <v>450240</v>
      </c>
      <c r="J26" s="461">
        <f t="shared" si="3"/>
        <v>448932</v>
      </c>
      <c r="K26" s="457">
        <f t="shared" si="4"/>
        <v>409152</v>
      </c>
    </row>
    <row r="27" spans="2:11" ht="11.25" customHeight="1" x14ac:dyDescent="0.3">
      <c r="B27" s="459"/>
      <c r="C27" s="455"/>
      <c r="D27" s="455"/>
      <c r="E27" s="455"/>
      <c r="F27" s="455"/>
      <c r="G27" s="455"/>
      <c r="H27" s="459">
        <v>79</v>
      </c>
      <c r="I27" s="457">
        <f t="shared" si="2"/>
        <v>478380</v>
      </c>
      <c r="J27" s="457">
        <f t="shared" si="3"/>
        <v>489744</v>
      </c>
      <c r="K27" s="457">
        <f t="shared" si="4"/>
        <v>460296</v>
      </c>
    </row>
    <row r="28" spans="2:11" ht="11.25" customHeight="1" x14ac:dyDescent="0.3">
      <c r="B28" s="459" t="s">
        <v>647</v>
      </c>
      <c r="C28" s="455" t="s">
        <v>655</v>
      </c>
      <c r="D28" s="455" t="s">
        <v>656</v>
      </c>
      <c r="E28" s="455" t="s">
        <v>68</v>
      </c>
      <c r="F28" s="455"/>
      <c r="G28" s="455"/>
      <c r="H28" s="459">
        <v>80</v>
      </c>
      <c r="I28" s="457">
        <f t="shared" si="2"/>
        <v>506520</v>
      </c>
      <c r="J28" s="457">
        <f t="shared" si="3"/>
        <v>530556</v>
      </c>
      <c r="K28" s="461">
        <f t="shared" si="4"/>
        <v>511440</v>
      </c>
    </row>
    <row r="29" spans="2:11" ht="11.25" customHeight="1" x14ac:dyDescent="0.3">
      <c r="B29" s="451">
        <v>57</v>
      </c>
      <c r="C29" s="455">
        <v>2185</v>
      </c>
      <c r="D29" s="455">
        <v>1319</v>
      </c>
      <c r="E29" s="455">
        <f>SUM(C29:D29)</f>
        <v>3504</v>
      </c>
      <c r="F29" s="455"/>
      <c r="G29" s="455"/>
      <c r="H29" s="459">
        <v>81</v>
      </c>
      <c r="I29" s="457">
        <f t="shared" si="2"/>
        <v>534660</v>
      </c>
      <c r="J29" s="457">
        <f t="shared" si="3"/>
        <v>571368</v>
      </c>
      <c r="K29" s="457">
        <f t="shared" si="4"/>
        <v>562584</v>
      </c>
    </row>
    <row r="30" spans="2:11" ht="11.25" customHeight="1" x14ac:dyDescent="0.3">
      <c r="B30" s="451">
        <v>57.5</v>
      </c>
      <c r="C30" s="455"/>
      <c r="D30" s="455"/>
      <c r="E30" s="455"/>
      <c r="F30" s="455"/>
      <c r="G30" s="455"/>
      <c r="H30" s="459">
        <v>82</v>
      </c>
      <c r="I30" s="457">
        <f t="shared" si="2"/>
        <v>562800</v>
      </c>
      <c r="J30" s="457">
        <f t="shared" si="3"/>
        <v>612180</v>
      </c>
      <c r="K30" s="457">
        <f t="shared" si="4"/>
        <v>613728</v>
      </c>
    </row>
    <row r="31" spans="2:11" ht="11.25" customHeight="1" x14ac:dyDescent="0.3">
      <c r="B31" s="451">
        <v>58</v>
      </c>
      <c r="C31" s="455"/>
      <c r="D31" s="455"/>
      <c r="E31" s="455"/>
      <c r="F31" s="455"/>
      <c r="G31" s="455"/>
      <c r="H31" s="459">
        <v>83</v>
      </c>
      <c r="I31" s="457">
        <f t="shared" si="2"/>
        <v>590940</v>
      </c>
      <c r="J31" s="457">
        <f t="shared" si="3"/>
        <v>652992</v>
      </c>
      <c r="K31" s="457">
        <f t="shared" si="4"/>
        <v>664872</v>
      </c>
    </row>
    <row r="32" spans="2:11" ht="11.25" customHeight="1" x14ac:dyDescent="0.3">
      <c r="B32" s="451">
        <v>58.5</v>
      </c>
      <c r="C32" s="455">
        <v>2295</v>
      </c>
      <c r="D32" s="455">
        <v>1569</v>
      </c>
      <c r="E32" s="455">
        <f>SUM(C32:D32)</f>
        <v>3864</v>
      </c>
      <c r="F32" s="455"/>
      <c r="G32" s="455"/>
      <c r="H32" s="459">
        <v>84</v>
      </c>
      <c r="I32" s="457">
        <f t="shared" si="2"/>
        <v>619080</v>
      </c>
      <c r="J32" s="457">
        <f t="shared" si="3"/>
        <v>693804</v>
      </c>
      <c r="K32" s="457">
        <f t="shared" si="4"/>
        <v>716016</v>
      </c>
    </row>
    <row r="33" spans="2:11" ht="11.25" customHeight="1" x14ac:dyDescent="0.3">
      <c r="B33" s="451">
        <v>59</v>
      </c>
      <c r="C33" s="455"/>
      <c r="D33" s="455"/>
      <c r="E33" s="455"/>
      <c r="F33" s="455"/>
      <c r="G33" s="455"/>
      <c r="H33" s="459">
        <v>85</v>
      </c>
      <c r="I33" s="457">
        <f t="shared" si="2"/>
        <v>647220</v>
      </c>
      <c r="J33" s="457">
        <f t="shared" si="3"/>
        <v>734616</v>
      </c>
      <c r="K33" s="457">
        <f t="shared" si="4"/>
        <v>767160</v>
      </c>
    </row>
    <row r="34" spans="2:11" ht="11.25" customHeight="1" x14ac:dyDescent="0.3">
      <c r="B34" s="451">
        <v>59.5</v>
      </c>
      <c r="C34" s="455"/>
      <c r="D34" s="455"/>
      <c r="E34" s="455"/>
      <c r="F34" s="455"/>
      <c r="G34" s="455"/>
      <c r="H34" s="455"/>
      <c r="I34" s="455"/>
      <c r="J34" s="455"/>
      <c r="K34" s="455"/>
    </row>
    <row r="35" spans="2:11" ht="11.25" customHeight="1" x14ac:dyDescent="0.3">
      <c r="B35" s="451">
        <v>60</v>
      </c>
      <c r="C35" s="455">
        <v>2393.65</v>
      </c>
      <c r="D35" s="455">
        <v>1467</v>
      </c>
      <c r="E35" s="455">
        <f>SUM(C35:D35)</f>
        <v>3860.65</v>
      </c>
      <c r="F35" s="455"/>
      <c r="G35" s="455"/>
      <c r="H35" s="455"/>
      <c r="I35" s="455"/>
      <c r="J35" s="455"/>
      <c r="K35" s="455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Retirement'!E8+'Combined Retirement'!G8</f>
        <v>3241511.6486763041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31"/>
    </row>
    <row r="2" spans="1:14" ht="11.25" customHeight="1" x14ac:dyDescent="0.3">
      <c r="A2" s="459" t="s">
        <v>658</v>
      </c>
      <c r="B2" s="460">
        <v>0.05</v>
      </c>
      <c r="C2" s="446" t="s">
        <v>659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31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31"/>
    </row>
    <row r="4" spans="1:14" ht="11.25" customHeight="1" x14ac:dyDescent="0.3">
      <c r="A4" s="459" t="s">
        <v>660</v>
      </c>
      <c r="B4" s="451">
        <f ca="1">(SUMIFS(H:H,I:I,"&gt;0",L:L,"&lt;0"))/12</f>
        <v>76.833333333333329</v>
      </c>
      <c r="C4" s="463">
        <f ca="1">(SUMIFS(H:H,I:I,"&gt;0",L:L,"&lt;0"))</f>
        <v>922</v>
      </c>
      <c r="D4" s="456">
        <f t="array" aca="1" ref="D4" ca="1">INDEX(N:N,MATCH(C4,H:H,0),0)</f>
        <v>79319</v>
      </c>
      <c r="E4" s="446"/>
      <c r="F4" s="446"/>
      <c r="G4" s="459"/>
      <c r="H4" s="459"/>
      <c r="I4" s="446"/>
      <c r="J4" s="431"/>
      <c r="K4" s="431"/>
      <c r="L4" s="431"/>
      <c r="M4" s="462"/>
      <c r="N4" s="431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31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31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31" t="s">
        <v>592</v>
      </c>
    </row>
    <row r="8" spans="1:14" ht="11.25" customHeight="1" x14ac:dyDescent="0.3">
      <c r="A8" s="459">
        <v>1</v>
      </c>
      <c r="B8" s="447">
        <f ca="1">B1</f>
        <v>3241511.6486763041</v>
      </c>
      <c r="C8" s="447">
        <f t="shared" ref="C8:C136" si="0">SUMIF(G:G,A8,J:J)</f>
        <v>377513.19893278764</v>
      </c>
      <c r="D8" s="447">
        <f ca="1">SUMIF(G:G,1,K:K)</f>
        <v>155459.72791763203</v>
      </c>
      <c r="E8" s="447">
        <f t="shared" ref="E8:E136" ca="1" si="1">B8-C8+D8</f>
        <v>3019458.1776611488</v>
      </c>
      <c r="F8" s="431"/>
      <c r="G8" s="459">
        <v>1</v>
      </c>
      <c r="H8" s="459">
        <v>1</v>
      </c>
      <c r="I8" s="444">
        <f ca="1">B1</f>
        <v>3241511.6486763041</v>
      </c>
      <c r="J8" s="444">
        <f t="array" ref="J8">IFERROR(INDEX('Retirement Calculator'!J:J,MATCH('Isaac 401k'!N8,'Retirement Calculator'!A:A,0),0),0)</f>
        <v>31459.43324439897</v>
      </c>
      <c r="K8" s="444">
        <f t="shared" ref="K8:K262" ca="1" si="2">IPMT(M8/12,1,12,-I8+J8,,0)</f>
        <v>13375.217564299606</v>
      </c>
      <c r="L8" s="444">
        <f t="shared" ref="L8:L262" ca="1" si="3">I8-J8+K8</f>
        <v>3223427.4329962051</v>
      </c>
      <c r="M8" s="460">
        <f>B2</f>
        <v>0.05</v>
      </c>
      <c r="N8" s="464">
        <f>'Retirement Calculator'!D6</f>
        <v>51288</v>
      </c>
    </row>
    <row r="9" spans="1:14" ht="11.25" customHeight="1" x14ac:dyDescent="0.3">
      <c r="A9" s="459">
        <v>2</v>
      </c>
      <c r="B9" s="447">
        <f t="shared" ref="B9:B136" ca="1" si="4">E8</f>
        <v>3019458.1776611488</v>
      </c>
      <c r="C9" s="447">
        <f t="shared" si="0"/>
        <v>377513.19893278764</v>
      </c>
      <c r="D9" s="447">
        <f ca="1">SUMIF(G:G,2,K:K)</f>
        <v>144099.05090927036</v>
      </c>
      <c r="E9" s="447">
        <f t="shared" ca="1" si="1"/>
        <v>2786044.029637632</v>
      </c>
      <c r="F9" s="431"/>
      <c r="G9" s="459">
        <v>1</v>
      </c>
      <c r="H9" s="459">
        <v>2</v>
      </c>
      <c r="I9" s="444">
        <f t="shared" ref="I9:I263" ca="1" si="5">L8</f>
        <v>3223427.4329962051</v>
      </c>
      <c r="J9" s="444">
        <f t="array" ref="J9">IFERROR(INDEX('Retirement Calculator'!J:J,MATCH('Isaac 401k'!N9,'Retirement Calculator'!A:A,0),0),0)</f>
        <v>31459.43324439897</v>
      </c>
      <c r="K9" s="444">
        <f t="shared" ca="1" si="2"/>
        <v>13299.866665632526</v>
      </c>
      <c r="L9" s="444">
        <f t="shared" ca="1" si="3"/>
        <v>3205267.8664174387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2786044.029637632</v>
      </c>
      <c r="C10" s="447">
        <f t="shared" si="0"/>
        <v>377513.19893278764</v>
      </c>
      <c r="D10" s="447">
        <f ca="1">SUMIF(G:G,3,K:K)</f>
        <v>132157.14010393951</v>
      </c>
      <c r="E10" s="447">
        <f t="shared" ca="1" si="1"/>
        <v>2540687.970808784</v>
      </c>
      <c r="F10" s="431"/>
      <c r="G10" s="459">
        <v>1</v>
      </c>
      <c r="H10" s="459">
        <v>3</v>
      </c>
      <c r="I10" s="444">
        <f t="shared" ca="1" si="5"/>
        <v>3205267.8664174387</v>
      </c>
      <c r="J10" s="444">
        <f t="array" ref="J10">IFERROR(INDEX('Retirement Calculator'!J:J,MATCH('Isaac 401k'!N10,'Retirement Calculator'!A:A,0),0),0)</f>
        <v>31459.43324439897</v>
      </c>
      <c r="K10" s="444">
        <f t="shared" ca="1" si="2"/>
        <v>13224.201804887665</v>
      </c>
      <c r="L10" s="444">
        <f t="shared" ca="1" si="3"/>
        <v>3187032.6349779274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2540687.970808784</v>
      </c>
      <c r="C11" s="447">
        <f t="shared" si="0"/>
        <v>372857.19893278764</v>
      </c>
      <c r="D11" s="447">
        <f ca="1">SUMIF(G:G,4,K:K)</f>
        <v>119672.63197486904</v>
      </c>
      <c r="E11" s="447">
        <f t="shared" ca="1" si="1"/>
        <v>2287503.4038508651</v>
      </c>
      <c r="F11" s="431"/>
      <c r="G11" s="459">
        <v>1</v>
      </c>
      <c r="H11" s="459">
        <v>4</v>
      </c>
      <c r="I11" s="444">
        <f t="shared" ca="1" si="5"/>
        <v>3187032.6349779274</v>
      </c>
      <c r="J11" s="444">
        <f t="array" ref="J11">IFERROR(INDEX('Retirement Calculator'!J:J,MATCH('Isaac 401k'!N11,'Retirement Calculator'!A:A,0),0),0)</f>
        <v>31459.43324439897</v>
      </c>
      <c r="K11" s="444">
        <f t="shared" ca="1" si="2"/>
        <v>13148.221673889702</v>
      </c>
      <c r="L11" s="444">
        <f t="shared" ca="1" si="3"/>
        <v>3168721.4234074182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2287503.4038508651</v>
      </c>
      <c r="C12" s="447">
        <f t="shared" si="0"/>
        <v>368201.19893278764</v>
      </c>
      <c r="D12" s="447">
        <f ca="1">SUMIF(G:G,5,K:K)</f>
        <v>106906.94901179206</v>
      </c>
      <c r="E12" s="447">
        <f t="shared" ca="1" si="1"/>
        <v>2026209.1539298694</v>
      </c>
      <c r="F12" s="431"/>
      <c r="G12" s="459">
        <v>1</v>
      </c>
      <c r="H12" s="459">
        <v>5</v>
      </c>
      <c r="I12" s="444">
        <f t="shared" ca="1" si="5"/>
        <v>3168721.4234074182</v>
      </c>
      <c r="J12" s="444">
        <f t="array" ref="J12">IFERROR(INDEX('Retirement Calculator'!J:J,MATCH('Isaac 401k'!N12,'Retirement Calculator'!A:A,0),0),0)</f>
        <v>31459.43324439897</v>
      </c>
      <c r="K12" s="444">
        <f t="shared" ca="1" si="2"/>
        <v>13071.92495901258</v>
      </c>
      <c r="L12" s="444">
        <f t="shared" ca="1" si="3"/>
        <v>3150333.9151220322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2026209.1539298694</v>
      </c>
      <c r="C13" s="447">
        <f t="shared" si="0"/>
        <v>257645.72060989373</v>
      </c>
      <c r="D13" s="447">
        <f ca="1">SUMIF(G:G,6,K:K)</f>
        <v>94928.28425514749</v>
      </c>
      <c r="E13" s="447">
        <f t="shared" ca="1" si="1"/>
        <v>1863491.7175751231</v>
      </c>
      <c r="F13" s="431"/>
      <c r="G13" s="459">
        <v>1</v>
      </c>
      <c r="H13" s="459">
        <v>6</v>
      </c>
      <c r="I13" s="444">
        <f t="shared" ca="1" si="5"/>
        <v>3150333.9151220322</v>
      </c>
      <c r="J13" s="444">
        <f t="array" ref="J13">IFERROR(INDEX('Retirement Calculator'!J:J,MATCH('Isaac 401k'!N13,'Retirement Calculator'!A:A,0),0),0)</f>
        <v>31459.43324439897</v>
      </c>
      <c r="K13" s="444">
        <f t="shared" ca="1" si="2"/>
        <v>12995.310341156806</v>
      </c>
      <c r="L13" s="444">
        <f t="shared" ca="1" si="3"/>
        <v>3131869.7922187904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1863491.7175751231</v>
      </c>
      <c r="C14" s="447">
        <f t="shared" si="0"/>
        <v>102868.05095784225</v>
      </c>
      <c r="D14" s="447">
        <f ca="1">SUMIF(G:G,7,K:K)</f>
        <v>92510.752488049315</v>
      </c>
      <c r="E14" s="447">
        <f t="shared" ca="1" si="1"/>
        <v>1853134.41910533</v>
      </c>
      <c r="F14" s="431"/>
      <c r="G14" s="459">
        <v>1</v>
      </c>
      <c r="H14" s="459">
        <v>7</v>
      </c>
      <c r="I14" s="444">
        <f t="shared" ca="1" si="5"/>
        <v>3131869.7922187904</v>
      </c>
      <c r="J14" s="444">
        <f t="array" ref="J14">IFERROR(INDEX('Retirement Calculator'!J:J,MATCH('Isaac 401k'!N14,'Retirement Calculator'!A:A,0),0),0)</f>
        <v>31459.43324439897</v>
      </c>
      <c r="K14" s="444">
        <f t="shared" ca="1" si="2"/>
        <v>12918.376495726632</v>
      </c>
      <c r="L14" s="444">
        <f t="shared" ca="1" si="3"/>
        <v>3113328.735470118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1853134.41910533</v>
      </c>
      <c r="C15" s="447">
        <f t="shared" si="0"/>
        <v>102868.05095784225</v>
      </c>
      <c r="D15" s="447">
        <f ca="1">SUMIF(G:G,8,K:K)</f>
        <v>91980.853441407206</v>
      </c>
      <c r="E15" s="447">
        <f t="shared" ca="1" si="1"/>
        <v>1842247.221588895</v>
      </c>
      <c r="F15" s="431"/>
      <c r="G15" s="459">
        <v>1</v>
      </c>
      <c r="H15" s="459">
        <v>8</v>
      </c>
      <c r="I15" s="444">
        <f t="shared" ca="1" si="5"/>
        <v>3113328.735470118</v>
      </c>
      <c r="J15" s="444">
        <f t="array" ref="J15">IFERROR(INDEX('Retirement Calculator'!J:J,MATCH('Isaac 401k'!N15,'Retirement Calculator'!A:A,0),0),0)</f>
        <v>31459.43324439897</v>
      </c>
      <c r="K15" s="444">
        <f t="shared" ca="1" si="2"/>
        <v>12841.122092607164</v>
      </c>
      <c r="L15" s="444">
        <f t="shared" ca="1" si="3"/>
        <v>3094710.4243183262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1842247.221588895</v>
      </c>
      <c r="C16" s="447">
        <f t="shared" si="0"/>
        <v>95430.955357842235</v>
      </c>
      <c r="D16" s="447">
        <f ca="1">SUMIF(G:G,9,K:K)</f>
        <v>91612.377840192479</v>
      </c>
      <c r="E16" s="447">
        <f t="shared" ca="1" si="1"/>
        <v>1838428.6440712453</v>
      </c>
      <c r="F16" s="431"/>
      <c r="G16" s="459">
        <v>1</v>
      </c>
      <c r="H16" s="459">
        <v>9</v>
      </c>
      <c r="I16" s="444">
        <f t="shared" ca="1" si="5"/>
        <v>3094710.4243183262</v>
      </c>
      <c r="J16" s="444">
        <f t="array" ref="J16">IFERROR(INDEX('Retirement Calculator'!J:J,MATCH('Isaac 401k'!N16,'Retirement Calculator'!A:A,0),0),0)</f>
        <v>31459.43324439897</v>
      </c>
      <c r="K16" s="444">
        <f t="shared" ca="1" si="2"/>
        <v>12763.545796141363</v>
      </c>
      <c r="L16" s="444">
        <f t="shared" ca="1" si="3"/>
        <v>3076014.5368700689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1838428.6440712453</v>
      </c>
      <c r="C17" s="447">
        <f t="shared" si="0"/>
        <v>94754.855757842233</v>
      </c>
      <c r="D17" s="447">
        <f ca="1">SUMIF(G:G,10,K:K)</f>
        <v>91451.602705874044</v>
      </c>
      <c r="E17" s="447">
        <f t="shared" ca="1" si="1"/>
        <v>1835125.391019277</v>
      </c>
      <c r="F17" s="431"/>
      <c r="G17" s="459">
        <v>1</v>
      </c>
      <c r="H17" s="459">
        <v>10</v>
      </c>
      <c r="I17" s="444">
        <f t="shared" ca="1" si="5"/>
        <v>3076014.5368700689</v>
      </c>
      <c r="J17" s="444">
        <f t="array" ref="J17">IFERROR(INDEX('Retirement Calculator'!J:J,MATCH('Isaac 401k'!N17,'Retirement Calculator'!A:A,0),0),0)</f>
        <v>31459.43324439897</v>
      </c>
      <c r="K17" s="444">
        <f t="shared" ca="1" si="2"/>
        <v>12685.646265106958</v>
      </c>
      <c r="L17" s="444">
        <f t="shared" ca="1" si="3"/>
        <v>3057240.7498907768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1835125.391019277</v>
      </c>
      <c r="C18" s="447">
        <f t="shared" si="0"/>
        <v>94754.855757842233</v>
      </c>
      <c r="D18" s="447">
        <f ca="1">SUMIF(G:G,11,K:K)</f>
        <v>91282.602010551709</v>
      </c>
      <c r="E18" s="447">
        <f t="shared" ca="1" si="1"/>
        <v>1831653.1372719863</v>
      </c>
      <c r="F18" s="431"/>
      <c r="G18" s="459">
        <v>1</v>
      </c>
      <c r="H18" s="459">
        <v>11</v>
      </c>
      <c r="I18" s="444">
        <f t="shared" ca="1" si="5"/>
        <v>3057240.7498907768</v>
      </c>
      <c r="J18" s="444">
        <f t="array" ref="J18">IFERROR(INDEX('Retirement Calculator'!J:J,MATCH('Isaac 401k'!N18,'Retirement Calculator'!A:A,0),0),0)</f>
        <v>31459.43324439897</v>
      </c>
      <c r="K18" s="444">
        <f t="shared" ca="1" si="2"/>
        <v>12607.422152693242</v>
      </c>
      <c r="L18" s="444">
        <f t="shared" ca="1" si="3"/>
        <v>3038388.7387990714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1831653.1372719863</v>
      </c>
      <c r="C19" s="447">
        <f t="shared" si="0"/>
        <v>94754.855757842233</v>
      </c>
      <c r="D19" s="447">
        <f ca="1">SUMIF(G:G,12,K:K)</f>
        <v>91104.954918913339</v>
      </c>
      <c r="E19" s="447">
        <f t="shared" ca="1" si="1"/>
        <v>1828003.2364330573</v>
      </c>
      <c r="F19" s="431"/>
      <c r="G19" s="459">
        <v>1</v>
      </c>
      <c r="H19" s="459">
        <v>12</v>
      </c>
      <c r="I19" s="444">
        <f t="shared" ca="1" si="5"/>
        <v>3038388.7387990714</v>
      </c>
      <c r="J19" s="444">
        <f t="array" ref="J19">IFERROR(INDEX('Retirement Calculator'!J:J,MATCH('Isaac 401k'!N19,'Retirement Calculator'!A:A,0),0),0)</f>
        <v>31459.43324439897</v>
      </c>
      <c r="K19" s="444">
        <f t="shared" ca="1" si="2"/>
        <v>12528.872106477802</v>
      </c>
      <c r="L19" s="444">
        <f t="shared" ca="1" si="3"/>
        <v>3019458.1776611502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1828003.2364330573</v>
      </c>
      <c r="C20" s="447">
        <f t="shared" si="0"/>
        <v>94754.855757842233</v>
      </c>
      <c r="D20" s="447">
        <f ca="1">SUMIF(G:G,13,K:K)</f>
        <v>90918.219064913545</v>
      </c>
      <c r="E20" s="447">
        <f t="shared" ca="1" si="1"/>
        <v>1824166.5997401285</v>
      </c>
      <c r="F20" s="431"/>
      <c r="G20" s="459">
        <v>2</v>
      </c>
      <c r="H20" s="459">
        <v>13</v>
      </c>
      <c r="I20" s="444">
        <f t="shared" ca="1" si="5"/>
        <v>3019458.1776611502</v>
      </c>
      <c r="J20" s="444">
        <f t="array" ref="J20">IFERROR(INDEX('Retirement Calculator'!J:J,MATCH('Isaac 401k'!N20,'Retirement Calculator'!A:A,0),0),0)</f>
        <v>31459.43324439897</v>
      </c>
      <c r="K20" s="444">
        <f t="shared" ca="1" si="2"/>
        <v>12449.99476840313</v>
      </c>
      <c r="L20" s="444">
        <f t="shared" ca="1" si="3"/>
        <v>3000448.7391851544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1824166.5997401285</v>
      </c>
      <c r="C21" s="447">
        <f t="shared" si="0"/>
        <v>94754.855757842233</v>
      </c>
      <c r="D21" s="447">
        <f ca="1">SUMIF(G:G,14,K:K)</f>
        <v>90721.929450220588</v>
      </c>
      <c r="E21" s="447">
        <f t="shared" ca="1" si="1"/>
        <v>1820133.6734325069</v>
      </c>
      <c r="F21" s="431"/>
      <c r="G21" s="459">
        <v>2</v>
      </c>
      <c r="H21" s="459">
        <v>14</v>
      </c>
      <c r="I21" s="444">
        <f t="shared" ca="1" si="5"/>
        <v>3000448.7391851544</v>
      </c>
      <c r="J21" s="444">
        <f t="array" ref="J21">IFERROR(INDEX('Retirement Calculator'!J:J,MATCH('Isaac 401k'!N21,'Retirement Calculator'!A:A,0),0),0)</f>
        <v>31459.43324439897</v>
      </c>
      <c r="K21" s="444">
        <f t="shared" ca="1" si="2"/>
        <v>12370.788774753148</v>
      </c>
      <c r="L21" s="444">
        <f t="shared" ca="1" si="3"/>
        <v>2981360.0947155086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1820133.6734325069</v>
      </c>
      <c r="C22" s="447">
        <f t="shared" si="0"/>
        <v>94754.855757842233</v>
      </c>
      <c r="D22" s="447">
        <f ca="1">SUMIF(G:G,15,K:K)</f>
        <v>90515.597286305434</v>
      </c>
      <c r="E22" s="447">
        <f t="shared" ca="1" si="1"/>
        <v>1815894.4149609699</v>
      </c>
      <c r="F22" s="431"/>
      <c r="G22" s="459">
        <v>2</v>
      </c>
      <c r="H22" s="459">
        <v>15</v>
      </c>
      <c r="I22" s="444">
        <f t="shared" ca="1" si="5"/>
        <v>2981360.0947155086</v>
      </c>
      <c r="J22" s="444">
        <f t="array" ref="J22">IFERROR(INDEX('Retirement Calculator'!J:J,MATCH('Isaac 401k'!N22,'Retirement Calculator'!A:A,0),0),0)</f>
        <v>31459.43324439897</v>
      </c>
      <c r="K22" s="444">
        <f t="shared" ca="1" si="2"/>
        <v>12291.252756129625</v>
      </c>
      <c r="L22" s="444">
        <f t="shared" ca="1" si="3"/>
        <v>2962191.9142272393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1815894.4149609699</v>
      </c>
      <c r="C23" s="447">
        <f t="shared" si="0"/>
        <v>94754.855757842233</v>
      </c>
      <c r="D23" s="447">
        <f ca="1">SUMIF(G:G,16,K:K)</f>
        <v>90298.708777290391</v>
      </c>
      <c r="E23" s="447">
        <f t="shared" ca="1" si="1"/>
        <v>1811438.2679804179</v>
      </c>
      <c r="F23" s="431"/>
      <c r="G23" s="459">
        <v>2</v>
      </c>
      <c r="H23" s="459">
        <v>16</v>
      </c>
      <c r="I23" s="444">
        <f t="shared" ca="1" si="5"/>
        <v>2962191.9142272393</v>
      </c>
      <c r="J23" s="444">
        <f t="array" ref="J23">IFERROR(INDEX('Retirement Calculator'!J:J,MATCH('Isaac 401k'!N23,'Retirement Calculator'!A:A,0),0),0)</f>
        <v>31459.43324439897</v>
      </c>
      <c r="K23" s="444">
        <f t="shared" ca="1" si="2"/>
        <v>12211.385337428503</v>
      </c>
      <c r="L23" s="444">
        <f t="shared" ca="1" si="3"/>
        <v>2942943.8663202692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1811438.2679804179</v>
      </c>
      <c r="C24" s="447">
        <f t="shared" si="0"/>
        <v>94754.855757842233</v>
      </c>
      <c r="D24" s="447">
        <f ca="1">SUMIF(G:G,17,K:K)</f>
        <v>90070.723840525359</v>
      </c>
      <c r="E24" s="447">
        <f t="shared" ca="1" si="1"/>
        <v>1806754.136063101</v>
      </c>
      <c r="F24" s="431"/>
      <c r="G24" s="459">
        <v>2</v>
      </c>
      <c r="H24" s="459">
        <v>17</v>
      </c>
      <c r="I24" s="444">
        <f t="shared" ca="1" si="5"/>
        <v>2942943.8663202692</v>
      </c>
      <c r="J24" s="444">
        <f t="array" ref="J24">IFERROR(INDEX('Retirement Calculator'!J:J,MATCH('Isaac 401k'!N24,'Retirement Calculator'!A:A,0),0),0)</f>
        <v>31459.43324439897</v>
      </c>
      <c r="K24" s="444">
        <f t="shared" ca="1" si="2"/>
        <v>12131.185137816126</v>
      </c>
      <c r="L24" s="444">
        <f t="shared" ca="1" si="3"/>
        <v>2923615.6182136866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1806754.136063101</v>
      </c>
      <c r="C25" s="447">
        <f t="shared" si="0"/>
        <v>94754.855757842233</v>
      </c>
      <c r="D25" s="447">
        <f ca="1">SUMIF(G:G,18,K:K)</f>
        <v>89831.074761707001</v>
      </c>
      <c r="E25" s="447">
        <f t="shared" ca="1" si="1"/>
        <v>1801830.3550669658</v>
      </c>
      <c r="F25" s="431"/>
      <c r="G25" s="459">
        <v>2</v>
      </c>
      <c r="H25" s="459">
        <v>18</v>
      </c>
      <c r="I25" s="444">
        <f t="shared" ca="1" si="5"/>
        <v>2923615.6182136866</v>
      </c>
      <c r="J25" s="444">
        <f t="array" ref="J25">IFERROR(INDEX('Retirement Calculator'!J:J,MATCH('Isaac 401k'!N25,'Retirement Calculator'!A:A,0),0),0)</f>
        <v>31459.43324439897</v>
      </c>
      <c r="K25" s="444">
        <f t="shared" ca="1" si="2"/>
        <v>12050.650770705366</v>
      </c>
      <c r="L25" s="444">
        <f t="shared" ca="1" si="3"/>
        <v>2904206.835739993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1801830.3550669658</v>
      </c>
      <c r="C26" s="447">
        <f t="shared" si="0"/>
        <v>94754.855757842233</v>
      </c>
      <c r="D26" s="447">
        <f ca="1">SUMIF(G:G,19,K:K)</f>
        <v>89579.164781190688</v>
      </c>
      <c r="E26" s="447">
        <f t="shared" ca="1" si="1"/>
        <v>1796654.6640903142</v>
      </c>
      <c r="F26" s="431"/>
      <c r="G26" s="459">
        <v>2</v>
      </c>
      <c r="H26" s="459">
        <v>19</v>
      </c>
      <c r="I26" s="444">
        <f t="shared" ca="1" si="5"/>
        <v>2904206.835739993</v>
      </c>
      <c r="J26" s="444">
        <f t="array" ref="J26">IFERROR(INDEX('Retirement Calculator'!J:J,MATCH('Isaac 401k'!N26,'Retirement Calculator'!A:A,0),0),0)</f>
        <v>31459.43324439897</v>
      </c>
      <c r="K26" s="444">
        <f t="shared" ca="1" si="2"/>
        <v>11969.780843731642</v>
      </c>
      <c r="L26" s="444">
        <f t="shared" ca="1" si="3"/>
        <v>2884717.1833393257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1796654.6640903142</v>
      </c>
      <c r="C27" s="447">
        <f t="shared" si="0"/>
        <v>94754.855757842233</v>
      </c>
      <c r="D27" s="447">
        <f ca="1">SUMIF(G:G,20,K:K)</f>
        <v>89314.366607975782</v>
      </c>
      <c r="E27" s="447">
        <f t="shared" ca="1" si="1"/>
        <v>1791214.1749404476</v>
      </c>
      <c r="F27" s="431"/>
      <c r="G27" s="459">
        <v>2</v>
      </c>
      <c r="H27" s="459">
        <v>20</v>
      </c>
      <c r="I27" s="444">
        <f t="shared" ca="1" si="5"/>
        <v>2884717.1833393257</v>
      </c>
      <c r="J27" s="444">
        <f t="array" ref="J27">IFERROR(INDEX('Retirement Calculator'!J:J,MATCH('Isaac 401k'!N27,'Retirement Calculator'!A:A,0),0),0)</f>
        <v>31459.43324439897</v>
      </c>
      <c r="K27" s="444">
        <f t="shared" ca="1" si="2"/>
        <v>11888.573958728863</v>
      </c>
      <c r="L27" s="444">
        <f t="shared" ca="1" si="3"/>
        <v>2865146.3240536558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1791214.1749404476</v>
      </c>
      <c r="C28" s="447">
        <f t="shared" si="0"/>
        <v>94754.855757842233</v>
      </c>
      <c r="D28" s="447">
        <f ca="1">SUMIF(G:G,21,K:K)</f>
        <v>89036.020857663621</v>
      </c>
      <c r="E28" s="447">
        <f t="shared" ca="1" si="1"/>
        <v>1785495.3400402688</v>
      </c>
      <c r="F28" s="431"/>
      <c r="G28" s="459">
        <v>2</v>
      </c>
      <c r="H28" s="459">
        <v>21</v>
      </c>
      <c r="I28" s="444">
        <f t="shared" ca="1" si="5"/>
        <v>2865146.3240536558</v>
      </c>
      <c r="J28" s="444">
        <f t="array" ref="J28">IFERROR(INDEX('Retirement Calculator'!J:J,MATCH('Isaac 401k'!N28,'Retirement Calculator'!A:A,0),0),0)</f>
        <v>31459.43324439897</v>
      </c>
      <c r="K28" s="444">
        <f t="shared" ca="1" si="2"/>
        <v>11807.028711705238</v>
      </c>
      <c r="L28" s="444">
        <f t="shared" ca="1" si="3"/>
        <v>2845493.9195209625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1785495.3400402688</v>
      </c>
      <c r="C29" s="447">
        <f t="shared" si="0"/>
        <v>94754.855757842233</v>
      </c>
      <c r="D29" s="447">
        <f ca="1">SUMIF(G:G,22,K:K)</f>
        <v>88743.434410498172</v>
      </c>
      <c r="E29" s="447">
        <f t="shared" ca="1" si="1"/>
        <v>1779483.9186929248</v>
      </c>
      <c r="F29" s="431"/>
      <c r="G29" s="459">
        <v>2</v>
      </c>
      <c r="H29" s="459">
        <v>22</v>
      </c>
      <c r="I29" s="444">
        <f t="shared" ca="1" si="5"/>
        <v>2845493.9195209625</v>
      </c>
      <c r="J29" s="444">
        <f t="array" ref="J29">IFERROR(INDEX('Retirement Calculator'!J:J,MATCH('Isaac 401k'!N29,'Retirement Calculator'!A:A,0),0),0)</f>
        <v>31459.43324439897</v>
      </c>
      <c r="K29" s="444">
        <f t="shared" ca="1" si="2"/>
        <v>11725.143692819016</v>
      </c>
      <c r="L29" s="444">
        <f t="shared" ca="1" si="3"/>
        <v>2825759.6299693827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1779483.9186929248</v>
      </c>
      <c r="C30" s="447">
        <f t="shared" si="0"/>
        <v>94754.855757842233</v>
      </c>
      <c r="D30" s="447">
        <f ca="1">SUMIF(G:G,23,K:K)</f>
        <v>88435.878685401243</v>
      </c>
      <c r="E30" s="447">
        <f t="shared" ca="1" si="1"/>
        <v>1773164.9416204838</v>
      </c>
      <c r="F30" s="431"/>
      <c r="G30" s="459">
        <v>2</v>
      </c>
      <c r="H30" s="459">
        <v>23</v>
      </c>
      <c r="I30" s="444">
        <f t="shared" ca="1" si="5"/>
        <v>2825759.6299693827</v>
      </c>
      <c r="J30" s="444">
        <f t="array" ref="J30">IFERROR(INDEX('Retirement Calculator'!J:J,MATCH('Isaac 401k'!N30,'Retirement Calculator'!A:A,0),0),0)</f>
        <v>31459.43324439897</v>
      </c>
      <c r="K30" s="444">
        <f t="shared" ca="1" si="2"/>
        <v>11642.917486354099</v>
      </c>
      <c r="L30" s="444">
        <f t="shared" ca="1" si="3"/>
        <v>2805943.1142113381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1773164.9416204838</v>
      </c>
      <c r="C31" s="447">
        <f t="shared" si="0"/>
        <v>94754.855757842233</v>
      </c>
      <c r="D31" s="447">
        <f ca="1">SUMIF(G:G,24,K:K)</f>
        <v>88112.587825703988</v>
      </c>
      <c r="E31" s="447">
        <f t="shared" ca="1" si="1"/>
        <v>1766522.6736883454</v>
      </c>
      <c r="F31" s="431"/>
      <c r="G31" s="459">
        <v>2</v>
      </c>
      <c r="H31" s="459">
        <v>24</v>
      </c>
      <c r="I31" s="444">
        <f t="shared" ca="1" si="5"/>
        <v>2805943.1142113381</v>
      </c>
      <c r="J31" s="444">
        <f t="array" ref="J31">IFERROR(INDEX('Retirement Calculator'!J:J,MATCH('Isaac 401k'!N31,'Retirement Calculator'!A:A,0),0),0)</f>
        <v>31459.43324439897</v>
      </c>
      <c r="K31" s="444">
        <f t="shared" ca="1" si="2"/>
        <v>11560.348670695581</v>
      </c>
      <c r="L31" s="444">
        <f t="shared" ca="1" si="3"/>
        <v>2786044.0296376348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1766522.6736883454</v>
      </c>
      <c r="C32" s="447">
        <f t="shared" si="0"/>
        <v>94754.855757842233</v>
      </c>
      <c r="D32" s="447">
        <f ca="1">SUMIF(G:G,25,K:K)</f>
        <v>87772.756792056796</v>
      </c>
      <c r="E32" s="447">
        <f t="shared" ca="1" si="1"/>
        <v>1759540.5747225599</v>
      </c>
      <c r="F32" s="431"/>
      <c r="G32" s="459">
        <v>3</v>
      </c>
      <c r="H32" s="459">
        <v>25</v>
      </c>
      <c r="I32" s="444">
        <f t="shared" ca="1" si="5"/>
        <v>2786044.0296376348</v>
      </c>
      <c r="J32" s="444">
        <f t="array" ref="J32">IFERROR(INDEX('Retirement Calculator'!J:J,MATCH('Isaac 401k'!N32,'Retirement Calculator'!A:A,0),0),0)</f>
        <v>31459.43324439897</v>
      </c>
      <c r="K32" s="444">
        <f t="shared" ca="1" si="2"/>
        <v>11477.43581830515</v>
      </c>
      <c r="L32" s="444">
        <f t="shared" ca="1" si="3"/>
        <v>2766062.0322115412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1759540.5747225599</v>
      </c>
      <c r="C33" s="447">
        <f t="shared" si="0"/>
        <v>94754.855757842233</v>
      </c>
      <c r="D33" s="447">
        <f ca="1">SUMIF(G:G,26,K:K)</f>
        <v>87415.539357769099</v>
      </c>
      <c r="E33" s="447">
        <f t="shared" ca="1" si="1"/>
        <v>1752201.2583224867</v>
      </c>
      <c r="F33" s="431"/>
      <c r="G33" s="459">
        <v>3</v>
      </c>
      <c r="H33" s="459">
        <v>26</v>
      </c>
      <c r="I33" s="444">
        <f t="shared" ca="1" si="5"/>
        <v>2766062.0322115412</v>
      </c>
      <c r="J33" s="444">
        <f t="array" ref="J33">IFERROR(INDEX('Retirement Calculator'!J:J,MATCH('Isaac 401k'!N33,'Retirement Calculator'!A:A,0),0),0)</f>
        <v>31459.43324439897</v>
      </c>
      <c r="K33" s="444">
        <f t="shared" ca="1" si="2"/>
        <v>11394.177495696427</v>
      </c>
      <c r="L33" s="444">
        <f t="shared" ca="1" si="3"/>
        <v>2745996.776462839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1752201.2583224867</v>
      </c>
      <c r="C34" s="447">
        <f t="shared" si="0"/>
        <v>94754.855757842233</v>
      </c>
      <c r="D34" s="447">
        <f ca="1">SUMIF(G:G,27,K:K)</f>
        <v>87040.046001586801</v>
      </c>
      <c r="E34" s="447">
        <f t="shared" ca="1" si="1"/>
        <v>1744486.4485662312</v>
      </c>
      <c r="F34" s="431"/>
      <c r="G34" s="459">
        <v>3</v>
      </c>
      <c r="H34" s="459">
        <v>27</v>
      </c>
      <c r="I34" s="444">
        <f t="shared" ca="1" si="5"/>
        <v>2745996.776462839</v>
      </c>
      <c r="J34" s="444">
        <f t="array" ref="J34">IFERROR(INDEX('Retirement Calculator'!J:J,MATCH('Isaac 401k'!N34,'Retirement Calculator'!A:A,0),0),0)</f>
        <v>31459.43324439897</v>
      </c>
      <c r="K34" s="444">
        <f t="shared" ca="1" si="2"/>
        <v>11310.572263410168</v>
      </c>
      <c r="L34" s="444">
        <f t="shared" ca="1" si="3"/>
        <v>2725847.9154818505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1744486.4485662312</v>
      </c>
      <c r="C35" s="447">
        <f t="shared" si="0"/>
        <v>94754.855757842233</v>
      </c>
      <c r="D35" s="447">
        <f ca="1">SUMIF(G:G,28,K:K)</f>
        <v>86645.341692660222</v>
      </c>
      <c r="E35" s="447">
        <f t="shared" ca="1" si="1"/>
        <v>1736376.9345010491</v>
      </c>
      <c r="F35" s="431"/>
      <c r="G35" s="459">
        <v>3</v>
      </c>
      <c r="H35" s="459">
        <v>28</v>
      </c>
      <c r="I35" s="444">
        <f t="shared" ca="1" si="5"/>
        <v>2725847.9154818505</v>
      </c>
      <c r="J35" s="444">
        <f t="array" ref="J35">IFERROR(INDEX('Retirement Calculator'!J:J,MATCH('Isaac 401k'!N35,'Retirement Calculator'!A:A,0),0),0)</f>
        <v>31459.43324439897</v>
      </c>
      <c r="K35" s="444">
        <f t="shared" ca="1" si="2"/>
        <v>11226.618675989383</v>
      </c>
      <c r="L35" s="444">
        <f t="shared" ca="1" si="3"/>
        <v>2705615.1009134413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1736376.9345010491</v>
      </c>
      <c r="C36" s="447">
        <f t="shared" si="0"/>
        <v>94754.855757842233</v>
      </c>
      <c r="D36" s="447">
        <f ca="1">SUMIF(G:G,29,K:K)</f>
        <v>86230.443562186891</v>
      </c>
      <c r="E36" s="447">
        <f t="shared" ca="1" si="1"/>
        <v>1727852.5223053936</v>
      </c>
      <c r="F36" s="431"/>
      <c r="G36" s="459">
        <v>3</v>
      </c>
      <c r="H36" s="459">
        <v>29</v>
      </c>
      <c r="I36" s="444">
        <f t="shared" ca="1" si="5"/>
        <v>2705615.1009134413</v>
      </c>
      <c r="J36" s="444">
        <f t="array" ref="J36">IFERROR(INDEX('Retirement Calculator'!J:J,MATCH('Isaac 401k'!N36,'Retirement Calculator'!A:A,0),0),0)</f>
        <v>31459.43324439897</v>
      </c>
      <c r="K36" s="444">
        <f t="shared" ca="1" si="2"/>
        <v>11142.315281954343</v>
      </c>
      <c r="L36" s="444">
        <f t="shared" ca="1" si="3"/>
        <v>2685297.9829509966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1727852.5223053936</v>
      </c>
      <c r="C37" s="447">
        <f t="shared" si="0"/>
        <v>94754.855757842233</v>
      </c>
      <c r="D37" s="447">
        <f ca="1">SUMIF(G:G,30,K:K)</f>
        <v>85794.318455930916</v>
      </c>
      <c r="E37" s="447">
        <f t="shared" ca="1" si="1"/>
        <v>1718891.9850034821</v>
      </c>
      <c r="F37" s="431"/>
      <c r="G37" s="459">
        <v>3</v>
      </c>
      <c r="H37" s="459">
        <v>30</v>
      </c>
      <c r="I37" s="444">
        <f t="shared" ca="1" si="5"/>
        <v>2685297.9829509966</v>
      </c>
      <c r="J37" s="444">
        <f t="array" ref="J37">IFERROR(INDEX('Retirement Calculator'!J:J,MATCH('Isaac 401k'!N37,'Retirement Calculator'!A:A,0),0),0)</f>
        <v>31459.43324439897</v>
      </c>
      <c r="K37" s="444">
        <f t="shared" ca="1" si="2"/>
        <v>11057.66062377749</v>
      </c>
      <c r="L37" s="444">
        <f t="shared" ca="1" si="3"/>
        <v>2664896.2103303755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1718891.9850034821</v>
      </c>
      <c r="C38" s="447">
        <f t="shared" si="0"/>
        <v>94754.855757842233</v>
      </c>
      <c r="D38" s="447">
        <f ca="1">SUMIF(G:G,31,K:K)</f>
        <v>85335.880361525036</v>
      </c>
      <c r="E38" s="447">
        <f t="shared" ca="1" si="1"/>
        <v>1709473.0096071649</v>
      </c>
      <c r="F38" s="431"/>
      <c r="G38" s="459">
        <v>3</v>
      </c>
      <c r="H38" s="459">
        <v>31</v>
      </c>
      <c r="I38" s="444">
        <f t="shared" ca="1" si="5"/>
        <v>2664896.2103303755</v>
      </c>
      <c r="J38" s="444">
        <f t="array" ref="J38">IFERROR(INDEX('Retirement Calculator'!J:J,MATCH('Isaac 401k'!N38,'Retirement Calculator'!A:A,0),0),0)</f>
        <v>31459.43324439897</v>
      </c>
      <c r="K38" s="444">
        <f t="shared" ca="1" si="2"/>
        <v>10972.653237858236</v>
      </c>
      <c r="L38" s="444">
        <f t="shared" ca="1" si="3"/>
        <v>2644409.430323835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1709473.0096071649</v>
      </c>
      <c r="C39" s="447">
        <f t="shared" si="0"/>
        <v>94754.855757842233</v>
      </c>
      <c r="D39" s="447">
        <f ca="1">SUMIF(G:G,32,K:K)</f>
        <v>84853.98770414808</v>
      </c>
      <c r="E39" s="447">
        <f t="shared" ca="1" si="1"/>
        <v>1699572.1415534706</v>
      </c>
      <c r="F39" s="431"/>
      <c r="G39" s="459">
        <v>3</v>
      </c>
      <c r="H39" s="459">
        <v>32</v>
      </c>
      <c r="I39" s="444">
        <f t="shared" ca="1" si="5"/>
        <v>2644409.430323835</v>
      </c>
      <c r="J39" s="444">
        <f t="array" ref="J39">IFERROR(INDEX('Retirement Calculator'!J:J,MATCH('Isaac 401k'!N39,'Retirement Calculator'!A:A,0),0),0)</f>
        <v>31459.43324439897</v>
      </c>
      <c r="K39" s="444">
        <f t="shared" ca="1" si="2"/>
        <v>10887.291654497651</v>
      </c>
      <c r="L39" s="444">
        <f t="shared" ca="1" si="3"/>
        <v>2623837.2887339341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1699572.1415534706</v>
      </c>
      <c r="C40" s="447">
        <f t="shared" si="0"/>
        <v>94754.855757842233</v>
      </c>
      <c r="D40" s="447">
        <f ca="1">SUMIF(G:G,33,K:K)</f>
        <v>84347.440503844453</v>
      </c>
      <c r="E40" s="447">
        <f t="shared" ca="1" si="1"/>
        <v>1689164.7262994729</v>
      </c>
      <c r="F40" s="431"/>
      <c r="G40" s="459">
        <v>3</v>
      </c>
      <c r="H40" s="459">
        <v>33</v>
      </c>
      <c r="I40" s="444">
        <f t="shared" ca="1" si="5"/>
        <v>2623837.2887339341</v>
      </c>
      <c r="J40" s="444">
        <f t="array" ref="J40">IFERROR(INDEX('Retirement Calculator'!J:J,MATCH('Isaac 401k'!N40,'Retirement Calculator'!A:A,0),0),0)</f>
        <v>31459.43324439897</v>
      </c>
      <c r="K40" s="444">
        <f t="shared" ca="1" si="2"/>
        <v>10801.574397873064</v>
      </c>
      <c r="L40" s="444">
        <f t="shared" ca="1" si="3"/>
        <v>2603179.4298874084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1689164.7262994729</v>
      </c>
      <c r="C41" s="447">
        <f t="shared" si="0"/>
        <v>94754.855757842233</v>
      </c>
      <c r="D41" s="447">
        <f ca="1">SUMIF(G:G,34,K:K)</f>
        <v>83814.977387406587</v>
      </c>
      <c r="E41" s="447">
        <f t="shared" ca="1" si="1"/>
        <v>1678224.8479290372</v>
      </c>
      <c r="F41" s="431"/>
      <c r="G41" s="459">
        <v>3</v>
      </c>
      <c r="H41" s="459">
        <v>34</v>
      </c>
      <c r="I41" s="444">
        <f t="shared" ca="1" si="5"/>
        <v>2603179.4298874084</v>
      </c>
      <c r="J41" s="444">
        <f t="array" ref="J41">IFERROR(INDEX('Retirement Calculator'!J:J,MATCH('Isaac 401k'!N41,'Retirement Calculator'!A:A,0),0),0)</f>
        <v>31459.43324439897</v>
      </c>
      <c r="K41" s="444">
        <f t="shared" ca="1" si="2"/>
        <v>10715.499986012539</v>
      </c>
      <c r="L41" s="444">
        <f t="shared" ca="1" si="3"/>
        <v>2582435.4966290221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1678224.8479290372</v>
      </c>
      <c r="C42" s="447">
        <f t="shared" si="0"/>
        <v>94754.855757842233</v>
      </c>
      <c r="D42" s="447">
        <f ca="1">SUMIF(G:G,35,K:K)</f>
        <v>83255.272447379743</v>
      </c>
      <c r="E42" s="447">
        <f t="shared" ca="1" si="1"/>
        <v>1666725.2646185746</v>
      </c>
      <c r="F42" s="431"/>
      <c r="G42" s="459">
        <v>3</v>
      </c>
      <c r="H42" s="459">
        <v>35</v>
      </c>
      <c r="I42" s="444">
        <f t="shared" ca="1" si="5"/>
        <v>2582435.4966290221</v>
      </c>
      <c r="J42" s="444">
        <f t="array" ref="J42">IFERROR(INDEX('Retirement Calculator'!J:J,MATCH('Isaac 401k'!N42,'Retirement Calculator'!A:A,0),0),0)</f>
        <v>31459.43324439897</v>
      </c>
      <c r="K42" s="444">
        <f t="shared" ca="1" si="2"/>
        <v>10629.066930769264</v>
      </c>
      <c r="L42" s="444">
        <f t="shared" ca="1" si="3"/>
        <v>2561605.1303153927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1666725.2646185746</v>
      </c>
      <c r="C43" s="447">
        <f t="shared" si="0"/>
        <v>94754.855757842233</v>
      </c>
      <c r="D43" s="447">
        <f ca="1">SUMIF(G:G,36,K:K)</f>
        <v>82666.931940367343</v>
      </c>
      <c r="E43" s="447">
        <f t="shared" ca="1" si="1"/>
        <v>1654637.3408010998</v>
      </c>
      <c r="F43" s="431"/>
      <c r="G43" s="459">
        <v>3</v>
      </c>
      <c r="H43" s="459">
        <v>36</v>
      </c>
      <c r="I43" s="444">
        <f t="shared" ca="1" si="5"/>
        <v>2561605.1303153927</v>
      </c>
      <c r="J43" s="444">
        <f t="array" ref="J43">IFERROR(INDEX('Retirement Calculator'!J:J,MATCH('Isaac 401k'!N43,'Retirement Calculator'!A:A,0),0),0)</f>
        <v>31459.43324439897</v>
      </c>
      <c r="K43" s="444">
        <f t="shared" ca="1" si="2"/>
        <v>10542.273737795807</v>
      </c>
      <c r="L43" s="444">
        <f t="shared" ca="1" si="3"/>
        <v>2540687.9708087896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1654637.3408010998</v>
      </c>
      <c r="C44" s="447">
        <f t="shared" si="0"/>
        <v>94754.855757842233</v>
      </c>
      <c r="D44" s="447">
        <f ca="1">SUMIF(G:G,37,K:K)</f>
        <v>82048.490816415491</v>
      </c>
      <c r="E44" s="447">
        <f t="shared" ca="1" si="1"/>
        <v>1641930.975859673</v>
      </c>
      <c r="F44" s="431"/>
      <c r="G44" s="459">
        <v>4</v>
      </c>
      <c r="H44" s="459">
        <v>37</v>
      </c>
      <c r="I44" s="444">
        <f t="shared" ca="1" si="5"/>
        <v>2540687.9708087896</v>
      </c>
      <c r="J44" s="444">
        <f t="array" ref="J44">IFERROR(INDEX('Retirement Calculator'!J:J,MATCH('Isaac 401k'!N44,'Retirement Calculator'!A:A,0),0),0)</f>
        <v>31459.43324439897</v>
      </c>
      <c r="K44" s="444">
        <f t="shared" ca="1" si="2"/>
        <v>10455.118906518295</v>
      </c>
      <c r="L44" s="444">
        <f t="shared" ca="1" si="3"/>
        <v>2519683.6564709092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1641930.975859673</v>
      </c>
      <c r="C45" s="447">
        <f t="shared" si="0"/>
        <v>94754.855757842233</v>
      </c>
      <c r="D45" s="447">
        <f ca="1">SUMIF(G:G,38,K:K)</f>
        <v>81398.409070834168</v>
      </c>
      <c r="E45" s="447">
        <f t="shared" ca="1" si="1"/>
        <v>1628574.529172665</v>
      </c>
      <c r="F45" s="431"/>
      <c r="G45" s="459">
        <v>4</v>
      </c>
      <c r="H45" s="459">
        <v>38</v>
      </c>
      <c r="I45" s="444">
        <f t="shared" ca="1" si="5"/>
        <v>2519683.6564709092</v>
      </c>
      <c r="J45" s="444">
        <f t="array" ref="J45">IFERROR(INDEX('Retirement Calculator'!J:J,MATCH('Isaac 401k'!N45,'Retirement Calculator'!A:A,0),0),0)</f>
        <v>31459.43324439897</v>
      </c>
      <c r="K45" s="444">
        <f t="shared" ca="1" si="2"/>
        <v>10367.60093011046</v>
      </c>
      <c r="L45" s="444">
        <f t="shared" ca="1" si="3"/>
        <v>2498591.824156621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1628574.529172665</v>
      </c>
      <c r="C46" s="447">
        <f t="shared" si="0"/>
        <v>94754.855757842233</v>
      </c>
      <c r="D46" s="447">
        <f ca="1">SUMIF(G:G,39,K:K)</f>
        <v>80715.067909370584</v>
      </c>
      <c r="E46" s="447">
        <f t="shared" ca="1" si="1"/>
        <v>1614534.7413241933</v>
      </c>
      <c r="F46" s="431"/>
      <c r="G46" s="459">
        <v>4</v>
      </c>
      <c r="H46" s="459">
        <v>39</v>
      </c>
      <c r="I46" s="444">
        <f t="shared" ca="1" si="5"/>
        <v>2498591.824156621</v>
      </c>
      <c r="J46" s="444">
        <f t="array" ref="J46">IFERROR(INDEX('Retirement Calculator'!J:J,MATCH('Isaac 401k'!N46,'Retirement Calculator'!A:A,0),0),0)</f>
        <v>31459.43324439897</v>
      </c>
      <c r="K46" s="444">
        <f t="shared" ca="1" si="2"/>
        <v>10279.718295467592</v>
      </c>
      <c r="L46" s="444">
        <f t="shared" ca="1" si="3"/>
        <v>2477412.1092076898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1614534.7413241933</v>
      </c>
      <c r="C47" s="447">
        <f t="shared" si="0"/>
        <v>94754.855757842233</v>
      </c>
      <c r="D47" s="447">
        <f ca="1">SUMIF(G:G,40,K:K)</f>
        <v>79996.765717185874</v>
      </c>
      <c r="E47" s="447">
        <f t="shared" ca="1" si="1"/>
        <v>1599776.6512835368</v>
      </c>
      <c r="F47" s="431"/>
      <c r="G47" s="459">
        <v>4</v>
      </c>
      <c r="H47" s="459">
        <v>40</v>
      </c>
      <c r="I47" s="444">
        <f t="shared" ca="1" si="5"/>
        <v>2477412.1092076898</v>
      </c>
      <c r="J47" s="444">
        <f t="array" ref="J47">IFERROR(INDEX('Retirement Calculator'!J:J,MATCH('Isaac 401k'!N47,'Retirement Calculator'!A:A,0),0),0)</f>
        <v>31459.43324439897</v>
      </c>
      <c r="K47" s="444">
        <f t="shared" ca="1" si="2"/>
        <v>10191.469483180379</v>
      </c>
      <c r="L47" s="444">
        <f t="shared" ca="1" si="3"/>
        <v>2456144.1454464714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1599776.6512835368</v>
      </c>
      <c r="C48" s="447">
        <f t="shared" si="0"/>
        <v>94754.855757842233</v>
      </c>
      <c r="D48" s="447">
        <f ca="1">SUMIF(G:G,41,K:K)</f>
        <v>79241.71382159635</v>
      </c>
      <c r="E48" s="447">
        <f t="shared" ca="1" si="1"/>
        <v>1584263.5093472907</v>
      </c>
      <c r="F48" s="431"/>
      <c r="G48" s="459">
        <v>4</v>
      </c>
      <c r="H48" s="459">
        <v>41</v>
      </c>
      <c r="I48" s="444">
        <f t="shared" ca="1" si="5"/>
        <v>2456144.1454464714</v>
      </c>
      <c r="J48" s="444">
        <f t="array" ref="J48">IFERROR(INDEX('Retirement Calculator'!J:J,MATCH('Isaac 401k'!N48,'Retirement Calculator'!A:A,0),0),0)</f>
        <v>31459.43324439897</v>
      </c>
      <c r="K48" s="444">
        <f t="shared" ca="1" si="2"/>
        <v>10102.852967508636</v>
      </c>
      <c r="L48" s="444">
        <f t="shared" ca="1" si="3"/>
        <v>2434787.5651695812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1584263.5093472907</v>
      </c>
      <c r="C49" s="447">
        <f t="shared" si="0"/>
        <v>94754.855757842233</v>
      </c>
      <c r="D49" s="447">
        <f ca="1">SUMIF(G:G,42,K:K)</f>
        <v>78448.032038029269</v>
      </c>
      <c r="E49" s="447">
        <f t="shared" ca="1" si="1"/>
        <v>1567956.6856274777</v>
      </c>
      <c r="F49" s="431"/>
      <c r="G49" s="459">
        <v>4</v>
      </c>
      <c r="H49" s="459">
        <v>42</v>
      </c>
      <c r="I49" s="444">
        <f t="shared" ca="1" si="5"/>
        <v>2434787.5651695812</v>
      </c>
      <c r="J49" s="444">
        <f t="array" ref="J49">IFERROR(INDEX('Retirement Calculator'!J:J,MATCH('Isaac 401k'!N49,'Retirement Calculator'!A:A,0),0),0)</f>
        <v>31459.43324439897</v>
      </c>
      <c r="K49" s="444">
        <f t="shared" ca="1" si="2"/>
        <v>10013.867216354927</v>
      </c>
      <c r="L49" s="444">
        <f t="shared" ca="1" si="3"/>
        <v>2413341.9991415371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1567956.6856274777</v>
      </c>
      <c r="C50" s="447">
        <f t="shared" si="0"/>
        <v>94754.855757842233</v>
      </c>
      <c r="D50" s="447">
        <f ca="1">SUMIF(G:G,43,K:K)</f>
        <v>77613.743988100759</v>
      </c>
      <c r="E50" s="447">
        <f t="shared" ca="1" si="1"/>
        <v>1550815.5738577361</v>
      </c>
      <c r="F50" s="431"/>
      <c r="G50" s="459">
        <v>4</v>
      </c>
      <c r="H50" s="459">
        <v>43</v>
      </c>
      <c r="I50" s="444">
        <f t="shared" ca="1" si="5"/>
        <v>2413341.9991415371</v>
      </c>
      <c r="J50" s="444">
        <f t="array" ref="J50">IFERROR(INDEX('Retirement Calculator'!J:J,MATCH('Isaac 401k'!N50,'Retirement Calculator'!A:A,0),0),0)</f>
        <v>30683.43324439897</v>
      </c>
      <c r="K50" s="444">
        <f t="shared" ca="1" si="2"/>
        <v>9927.7440245714097</v>
      </c>
      <c r="L50" s="444">
        <f t="shared" ca="1" si="3"/>
        <v>2392586.3099217098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1550815.5738577361</v>
      </c>
      <c r="C51" s="447">
        <f t="shared" si="0"/>
        <v>94754.855757842233</v>
      </c>
      <c r="D51" s="447">
        <f ca="1">SUMIF(G:G,44,K:K)</f>
        <v>76736.772178157858</v>
      </c>
      <c r="E51" s="447">
        <f t="shared" ca="1" si="1"/>
        <v>1532797.4902780517</v>
      </c>
      <c r="F51" s="431"/>
      <c r="G51" s="459">
        <v>4</v>
      </c>
      <c r="H51" s="459">
        <v>44</v>
      </c>
      <c r="I51" s="444">
        <f t="shared" ca="1" si="5"/>
        <v>2392586.3099217098</v>
      </c>
      <c r="J51" s="444">
        <f t="array" ref="J51">IFERROR(INDEX('Retirement Calculator'!J:J,MATCH('Isaac 401k'!N51,'Retirement Calculator'!A:A,0),0),0)</f>
        <v>30683.43324439897</v>
      </c>
      <c r="K51" s="444">
        <f t="shared" ca="1" si="2"/>
        <v>9841.2619861554631</v>
      </c>
      <c r="L51" s="444">
        <f t="shared" ca="1" si="3"/>
        <v>2371744.1386634666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1532797.4902780517</v>
      </c>
      <c r="C52" s="447">
        <f t="shared" si="0"/>
        <v>94754.855757842233</v>
      </c>
      <c r="D52" s="447">
        <f ca="1">SUMIF(G:G,45,K:K)</f>
        <v>75814.932826029486</v>
      </c>
      <c r="E52" s="447">
        <f t="shared" ca="1" si="1"/>
        <v>1513857.567346239</v>
      </c>
      <c r="F52" s="431"/>
      <c r="G52" s="459">
        <v>4</v>
      </c>
      <c r="H52" s="459">
        <v>45</v>
      </c>
      <c r="I52" s="444">
        <f t="shared" ca="1" si="5"/>
        <v>2371744.1386634666</v>
      </c>
      <c r="J52" s="444">
        <f t="array" ref="J52">IFERROR(INDEX('Retirement Calculator'!J:J,MATCH('Isaac 401k'!N52,'Retirement Calculator'!A:A,0),0),0)</f>
        <v>30683.43324439897</v>
      </c>
      <c r="K52" s="444">
        <f t="shared" ca="1" si="2"/>
        <v>9754.4196059127826</v>
      </c>
      <c r="L52" s="444">
        <f t="shared" ca="1" si="3"/>
        <v>2350815.1250249804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1513857.567346239</v>
      </c>
      <c r="C53" s="447">
        <f t="shared" si="0"/>
        <v>94754.855757842233</v>
      </c>
      <c r="D53" s="447">
        <f ca="1">SUMIF(G:G,46,K:K)</f>
        <v>74845.930423104146</v>
      </c>
      <c r="E53" s="447">
        <f t="shared" ca="1" si="1"/>
        <v>1493948.6420115009</v>
      </c>
      <c r="F53" s="431"/>
      <c r="G53" s="459">
        <v>4</v>
      </c>
      <c r="H53" s="459">
        <v>46</v>
      </c>
      <c r="I53" s="444">
        <f t="shared" ca="1" si="5"/>
        <v>2350815.1250249804</v>
      </c>
      <c r="J53" s="444">
        <f t="array" ref="J53">IFERROR(INDEX('Retirement Calculator'!J:J,MATCH('Isaac 401k'!N53,'Retirement Calculator'!A:A,0),0),0)</f>
        <v>30683.43324439897</v>
      </c>
      <c r="K53" s="444">
        <f t="shared" ca="1" si="2"/>
        <v>9667.21538241909</v>
      </c>
      <c r="L53" s="444">
        <f t="shared" ca="1" si="3"/>
        <v>2329798.9071630007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1493948.6420115009</v>
      </c>
      <c r="C54" s="447">
        <f t="shared" si="0"/>
        <v>94754.855757842233</v>
      </c>
      <c r="D54" s="447">
        <f ca="1">SUMIF(G:G,47,K:K)</f>
        <v>73827.352018193196</v>
      </c>
      <c r="E54" s="447">
        <f t="shared" ca="1" si="1"/>
        <v>1473021.1382718517</v>
      </c>
      <c r="F54" s="431"/>
      <c r="G54" s="459">
        <v>4</v>
      </c>
      <c r="H54" s="459">
        <v>47</v>
      </c>
      <c r="I54" s="444">
        <f t="shared" ca="1" si="5"/>
        <v>2329798.9071630007</v>
      </c>
      <c r="J54" s="444">
        <f t="array" ref="J54">IFERROR(INDEX('Retirement Calculator'!J:J,MATCH('Isaac 401k'!N54,'Retirement Calculator'!A:A,0),0),0)</f>
        <v>30683.43324439897</v>
      </c>
      <c r="K54" s="444">
        <f t="shared" ca="1" si="2"/>
        <v>9579.6478079941735</v>
      </c>
      <c r="L54" s="444">
        <f t="shared" ca="1" si="3"/>
        <v>2308695.1217265963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1473021.1382718517</v>
      </c>
      <c r="C55" s="447">
        <f t="shared" si="0"/>
        <v>94754.855757842233</v>
      </c>
      <c r="D55" s="447">
        <f ca="1">SUMIF(G:G,48,K:K)</f>
        <v>72756.661208945661</v>
      </c>
      <c r="E55" s="447">
        <f t="shared" ca="1" si="1"/>
        <v>1451022.943722955</v>
      </c>
      <c r="F55" s="431"/>
      <c r="G55" s="459">
        <v>4</v>
      </c>
      <c r="H55" s="459">
        <v>48</v>
      </c>
      <c r="I55" s="444">
        <f t="shared" ca="1" si="5"/>
        <v>2308695.1217265963</v>
      </c>
      <c r="J55" s="444">
        <f t="array" ref="J55">IFERROR(INDEX('Retirement Calculator'!J:J,MATCH('Isaac 401k'!N55,'Retirement Calculator'!A:A,0),0),0)</f>
        <v>30683.43324439897</v>
      </c>
      <c r="K55" s="444">
        <f t="shared" ca="1" si="2"/>
        <v>9491.7153686758229</v>
      </c>
      <c r="L55" s="444">
        <f t="shared" ca="1" si="3"/>
        <v>2287503.4038508735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1451022.943722955</v>
      </c>
      <c r="C56" s="447">
        <f t="shared" si="0"/>
        <v>94754.855757842233</v>
      </c>
      <c r="D56" s="447">
        <f ca="1">SUMIF(G:G,49,K:K)</f>
        <v>71631.191825852482</v>
      </c>
      <c r="E56" s="447">
        <f t="shared" ca="1" si="1"/>
        <v>1427899.2797909651</v>
      </c>
      <c r="F56" s="431"/>
      <c r="G56" s="459">
        <f>G55+1</f>
        <v>5</v>
      </c>
      <c r="H56" s="459">
        <v>49</v>
      </c>
      <c r="I56" s="444">
        <f t="shared" ca="1" si="5"/>
        <v>2287503.4038508735</v>
      </c>
      <c r="J56" s="444">
        <f t="array" ref="J56">IFERROR(INDEX('Retirement Calculator'!J:J,MATCH('Isaac 401k'!N56,'Retirement Calculator'!A:A,0),0),0)</f>
        <v>30683.43324439897</v>
      </c>
      <c r="K56" s="444">
        <f t="shared" ca="1" si="2"/>
        <v>9403.4165441936439</v>
      </c>
      <c r="L56" s="444">
        <f t="shared" ca="1" si="3"/>
        <v>2266223.3871506685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1427899.2797909651</v>
      </c>
      <c r="C57" s="447">
        <f t="shared" si="0"/>
        <v>94754.855757842233</v>
      </c>
      <c r="D57" s="447">
        <f ca="1">SUMIF(G:G,50,K:K)</f>
        <v>70448.141293112494</v>
      </c>
      <c r="E57" s="447">
        <f t="shared" ca="1" si="1"/>
        <v>1403592.5653262353</v>
      </c>
      <c r="F57" s="431"/>
      <c r="G57" s="459">
        <f t="shared" ref="G57:G67" si="8">G56</f>
        <v>5</v>
      </c>
      <c r="H57" s="459">
        <v>50</v>
      </c>
      <c r="I57" s="444">
        <f t="shared" ca="1" si="5"/>
        <v>2266223.3871506685</v>
      </c>
      <c r="J57" s="444">
        <f t="array" ref="J57">IFERROR(INDEX('Retirement Calculator'!J:J,MATCH('Isaac 401k'!N57,'Retirement Calculator'!A:A,0),0),0)</f>
        <v>30683.43324439897</v>
      </c>
      <c r="K57" s="444">
        <f t="shared" ca="1" si="2"/>
        <v>9314.7498079427896</v>
      </c>
      <c r="L57" s="444">
        <f t="shared" ca="1" si="3"/>
        <v>2244854.7037142124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1403592.5653262353</v>
      </c>
      <c r="C58" s="447">
        <f t="shared" si="0"/>
        <v>94754.855757842233</v>
      </c>
      <c r="D58" s="447">
        <f ca="1">SUMIF(G:G,51,K:K)</f>
        <v>69204.563649827542</v>
      </c>
      <c r="E58" s="447">
        <f t="shared" ca="1" si="1"/>
        <v>1378042.2732182206</v>
      </c>
      <c r="F58" s="431"/>
      <c r="G58" s="459">
        <f t="shared" si="8"/>
        <v>5</v>
      </c>
      <c r="H58" s="459">
        <v>51</v>
      </c>
      <c r="I58" s="444">
        <f t="shared" ca="1" si="5"/>
        <v>2244854.7037142124</v>
      </c>
      <c r="J58" s="444">
        <f t="array" ref="J58">IFERROR(INDEX('Retirement Calculator'!J:J,MATCH('Isaac 401k'!N58,'Retirement Calculator'!A:A,0),0),0)</f>
        <v>30683.43324439897</v>
      </c>
      <c r="K58" s="444">
        <f t="shared" ca="1" si="2"/>
        <v>9225.7136269575567</v>
      </c>
      <c r="L58" s="444">
        <f t="shared" ca="1" si="3"/>
        <v>2223396.9840967711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1378042.2732182206</v>
      </c>
      <c r="C59" s="447">
        <f t="shared" si="0"/>
        <v>94754.855757842233</v>
      </c>
      <c r="D59" s="447">
        <f ca="1">SUMIF(G:G,52,K:K)</f>
        <v>67897.36221414883</v>
      </c>
      <c r="E59" s="447">
        <f t="shared" ca="1" si="1"/>
        <v>1351184.779674527</v>
      </c>
      <c r="F59" s="431"/>
      <c r="G59" s="459">
        <f t="shared" si="8"/>
        <v>5</v>
      </c>
      <c r="H59" s="459">
        <v>52</v>
      </c>
      <c r="I59" s="444">
        <f t="shared" ca="1" si="5"/>
        <v>2223396.9840967711</v>
      </c>
      <c r="J59" s="444">
        <f t="array" ref="J59">IFERROR(INDEX('Retirement Calculator'!J:J,MATCH('Isaac 401k'!N59,'Retirement Calculator'!A:A,0),0),0)</f>
        <v>30683.43324439897</v>
      </c>
      <c r="K59" s="444">
        <f t="shared" ca="1" si="2"/>
        <v>9136.3064618848839</v>
      </c>
      <c r="L59" s="444">
        <f t="shared" ca="1" si="3"/>
        <v>2201849.8573142574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1351184.779674527</v>
      </c>
      <c r="C60" s="447">
        <f t="shared" si="0"/>
        <v>94754.855757842233</v>
      </c>
      <c r="D60" s="447">
        <f ca="1">SUMIF(G:G,53,K:K)</f>
        <v>66523.281872107051</v>
      </c>
      <c r="E60" s="447">
        <f t="shared" ca="1" si="1"/>
        <v>1322953.2057887916</v>
      </c>
      <c r="F60" s="431"/>
      <c r="G60" s="459">
        <f t="shared" si="8"/>
        <v>5</v>
      </c>
      <c r="H60" s="459">
        <v>53</v>
      </c>
      <c r="I60" s="444">
        <f t="shared" ca="1" si="5"/>
        <v>2201849.8573142574</v>
      </c>
      <c r="J60" s="444">
        <f t="array" ref="J60">IFERROR(INDEX('Retirement Calculator'!J:J,MATCH('Isaac 401k'!N60,'Retirement Calculator'!A:A,0),0),0)</f>
        <v>30683.43324439897</v>
      </c>
      <c r="K60" s="444">
        <f t="shared" ca="1" si="2"/>
        <v>9046.5267669577443</v>
      </c>
      <c r="L60" s="444">
        <f t="shared" ca="1" si="3"/>
        <v>2180212.9508368163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1322953.2057887916</v>
      </c>
      <c r="C61" s="447">
        <f t="shared" si="0"/>
        <v>94754.855757842233</v>
      </c>
      <c r="D61" s="447">
        <f ca="1">SUMIF(G:G,54,K:K)</f>
        <v>65078.90097192442</v>
      </c>
      <c r="E61" s="447">
        <f t="shared" ca="1" si="1"/>
        <v>1293277.2510028738</v>
      </c>
      <c r="F61" s="431"/>
      <c r="G61" s="459">
        <f t="shared" si="8"/>
        <v>5</v>
      </c>
      <c r="H61" s="459">
        <v>54</v>
      </c>
      <c r="I61" s="444">
        <f t="shared" ca="1" si="5"/>
        <v>2180212.9508368163</v>
      </c>
      <c r="J61" s="444">
        <f t="array" ref="J61">IFERROR(INDEX('Retirement Calculator'!J:J,MATCH('Isaac 401k'!N61,'Retirement Calculator'!A:A,0),0),0)</f>
        <v>30683.43324439897</v>
      </c>
      <c r="K61" s="444">
        <f t="shared" ca="1" si="2"/>
        <v>8956.3729899684058</v>
      </c>
      <c r="L61" s="444">
        <f t="shared" ca="1" si="3"/>
        <v>2158485.8905823859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1293277.2510028738</v>
      </c>
      <c r="C62" s="447">
        <f t="shared" si="0"/>
        <v>94754.855757842233</v>
      </c>
      <c r="D62" s="447">
        <f ca="1">SUMIF(G:G,55,K:K)</f>
        <v>63560.622803624348</v>
      </c>
      <c r="E62" s="447">
        <f t="shared" ca="1" si="1"/>
        <v>1262083.0180486557</v>
      </c>
      <c r="F62" s="431"/>
      <c r="G62" s="459">
        <f t="shared" si="8"/>
        <v>5</v>
      </c>
      <c r="H62" s="459">
        <v>55</v>
      </c>
      <c r="I62" s="444">
        <f t="shared" ca="1" si="5"/>
        <v>2158485.8905823859</v>
      </c>
      <c r="J62" s="444">
        <f t="array" ref="J62">IFERROR(INDEX('Retirement Calculator'!J:J,MATCH('Isaac 401k'!N62,'Retirement Calculator'!A:A,0),0),0)</f>
        <v>30683.43324439897</v>
      </c>
      <c r="K62" s="444">
        <f t="shared" ca="1" si="2"/>
        <v>8865.8435722416125</v>
      </c>
      <c r="L62" s="444">
        <f t="shared" ca="1" si="3"/>
        <v>2136668.3009102289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1262083.0180486557</v>
      </c>
      <c r="C63" s="447">
        <f t="shared" si="0"/>
        <v>94754.855757842233</v>
      </c>
      <c r="D63" s="447">
        <f ca="1">SUMIF(G:G,56,K:K)</f>
        <v>61964.666642721611</v>
      </c>
      <c r="E63" s="447">
        <f t="shared" ca="1" si="1"/>
        <v>1229292.8289335349</v>
      </c>
      <c r="F63" s="431"/>
      <c r="G63" s="459">
        <f t="shared" si="8"/>
        <v>5</v>
      </c>
      <c r="H63" s="459">
        <v>56</v>
      </c>
      <c r="I63" s="444">
        <f t="shared" ca="1" si="5"/>
        <v>2136668.3009102289</v>
      </c>
      <c r="J63" s="444">
        <f t="array" ref="J63">IFERROR(INDEX('Retirement Calculator'!J:J,MATCH('Isaac 401k'!N63,'Retirement Calculator'!A:A,0),0),0)</f>
        <v>30683.43324439897</v>
      </c>
      <c r="K63" s="444">
        <f t="shared" ca="1" si="2"/>
        <v>8774.9369486076248</v>
      </c>
      <c r="L63" s="444">
        <f t="shared" ca="1" si="3"/>
        <v>2114759.8046144377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1229292.8289335349</v>
      </c>
      <c r="C64" s="447">
        <f t="shared" si="0"/>
        <v>94754.855757842233</v>
      </c>
      <c r="D64" s="447">
        <f ca="1">SUMIF(G:G,57,K:K)</f>
        <v>60287.05833569105</v>
      </c>
      <c r="E64" s="447">
        <f t="shared" ca="1" si="1"/>
        <v>1194825.0315113836</v>
      </c>
      <c r="F64" s="431"/>
      <c r="G64" s="459">
        <f t="shared" si="8"/>
        <v>5</v>
      </c>
      <c r="H64" s="459">
        <v>57</v>
      </c>
      <c r="I64" s="444">
        <f t="shared" ca="1" si="5"/>
        <v>2114759.8046144377</v>
      </c>
      <c r="J64" s="444">
        <f t="array" ref="J64">IFERROR(INDEX('Retirement Calculator'!J:J,MATCH('Isaac 401k'!N64,'Retirement Calculator'!A:A,0),0),0)</f>
        <v>30683.43324439897</v>
      </c>
      <c r="K64" s="444">
        <f t="shared" ca="1" si="2"/>
        <v>8683.6515473751624</v>
      </c>
      <c r="L64" s="444">
        <f t="shared" ca="1" si="3"/>
        <v>2092760.0229174139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1194825.0315113836</v>
      </c>
      <c r="C65" s="447">
        <f t="shared" si="0"/>
        <v>94754.855757842233</v>
      </c>
      <c r="D65" s="447">
        <f ca="1">SUMIF(G:G,58,K:K)</f>
        <v>58523.620403770663</v>
      </c>
      <c r="E65" s="447">
        <f t="shared" ca="1" si="1"/>
        <v>1158593.7961573119</v>
      </c>
      <c r="F65" s="431"/>
      <c r="G65" s="459">
        <f t="shared" si="8"/>
        <v>5</v>
      </c>
      <c r="H65" s="459">
        <v>58</v>
      </c>
      <c r="I65" s="444">
        <f t="shared" ca="1" si="5"/>
        <v>2092760.0229174139</v>
      </c>
      <c r="J65" s="444">
        <f t="array" ref="J65">IFERROR(INDEX('Retirement Calculator'!J:J,MATCH('Isaac 401k'!N65,'Retirement Calculator'!A:A,0),0),0)</f>
        <v>30683.43324439897</v>
      </c>
      <c r="K65" s="444">
        <f t="shared" ca="1" si="2"/>
        <v>8591.9857903042284</v>
      </c>
      <c r="L65" s="444">
        <f t="shared" ca="1" si="3"/>
        <v>2070668.575463319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1158593.7961573119</v>
      </c>
      <c r="C66" s="447">
        <f t="shared" si="0"/>
        <v>94754.855757842233</v>
      </c>
      <c r="D66" s="447">
        <f ca="1">SUMIF(G:G,59,K:K)</f>
        <v>56669.96164045659</v>
      </c>
      <c r="E66" s="447">
        <f t="shared" ca="1" si="1"/>
        <v>1120508.9020399263</v>
      </c>
      <c r="F66" s="431"/>
      <c r="G66" s="459">
        <f t="shared" si="8"/>
        <v>5</v>
      </c>
      <c r="H66" s="459">
        <v>59</v>
      </c>
      <c r="I66" s="444">
        <f t="shared" ca="1" si="5"/>
        <v>2070668.575463319</v>
      </c>
      <c r="J66" s="444">
        <f t="array" ref="J66">IFERROR(INDEX('Retirement Calculator'!J:J,MATCH('Isaac 401k'!N66,'Retirement Calculator'!A:A,0),0),0)</f>
        <v>30683.43324439897</v>
      </c>
      <c r="K66" s="444">
        <f t="shared" ca="1" si="2"/>
        <v>8499.9380925788337</v>
      </c>
      <c r="L66" s="444">
        <f t="shared" ca="1" si="3"/>
        <v>2048485.0803114988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1120508.9020399263</v>
      </c>
      <c r="C67" s="447">
        <f t="shared" si="0"/>
        <v>94754.855757842233</v>
      </c>
      <c r="D67" s="447">
        <f t="shared" ref="D67:D136" ca="1" si="9">SUMIF(G:G,60,K:K)</f>
        <v>54721.466176786256</v>
      </c>
      <c r="E67" s="447">
        <f t="shared" ca="1" si="1"/>
        <v>1080475.5124588704</v>
      </c>
      <c r="F67" s="431"/>
      <c r="G67" s="459">
        <f t="shared" si="8"/>
        <v>5</v>
      </c>
      <c r="H67" s="459">
        <v>60</v>
      </c>
      <c r="I67" s="444">
        <f t="shared" ca="1" si="5"/>
        <v>2048485.0803114988</v>
      </c>
      <c r="J67" s="444">
        <f t="array" ref="J67">IFERROR(INDEX('Retirement Calculator'!J:J,MATCH('Isaac 401k'!N67,'Retirement Calculator'!A:A,0),0),0)</f>
        <v>30683.43324439897</v>
      </c>
      <c r="K67" s="444">
        <f t="shared" ca="1" si="2"/>
        <v>8407.5068627795827</v>
      </c>
      <c r="L67" s="444">
        <f t="shared" ca="1" si="3"/>
        <v>2026209.1539298794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1080475.5124588704</v>
      </c>
      <c r="C68" s="447">
        <f t="shared" si="0"/>
        <v>94754.855757842233</v>
      </c>
      <c r="D68" s="447">
        <f t="shared" ca="1" si="9"/>
        <v>54721.466176786256</v>
      </c>
      <c r="E68" s="447">
        <f t="shared" ca="1" si="1"/>
        <v>1040442.1228778145</v>
      </c>
      <c r="F68" s="431"/>
      <c r="G68" s="459">
        <f>G67+1</f>
        <v>6</v>
      </c>
      <c r="H68" s="459">
        <v>61</v>
      </c>
      <c r="I68" s="444">
        <f t="shared" ca="1" si="5"/>
        <v>2026209.1539298794</v>
      </c>
      <c r="J68" s="444">
        <f t="array" ref="J68">IFERROR(INDEX('Retirement Calculator'!J:J,MATCH('Isaac 401k'!N68,'Retirement Calculator'!A:A,0),0),0)</f>
        <v>30683.43324439897</v>
      </c>
      <c r="K68" s="444">
        <f t="shared" ca="1" si="2"/>
        <v>8314.6905028561687</v>
      </c>
      <c r="L68" s="444">
        <f t="shared" ca="1" si="3"/>
        <v>2003840.4111883366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1040442.1228778145</v>
      </c>
      <c r="C69" s="447">
        <f t="shared" si="0"/>
        <v>94754.855757842233</v>
      </c>
      <c r="D69" s="447">
        <f t="shared" ca="1" si="9"/>
        <v>54721.466176786256</v>
      </c>
      <c r="E69" s="447">
        <f t="shared" ca="1" si="1"/>
        <v>1000408.7332967585</v>
      </c>
      <c r="F69" s="431"/>
      <c r="G69" s="459">
        <f t="shared" ref="G69:G79" si="10">G68</f>
        <v>6</v>
      </c>
      <c r="H69" s="459">
        <v>62</v>
      </c>
      <c r="I69" s="444">
        <f t="shared" ca="1" si="5"/>
        <v>2003840.4111883366</v>
      </c>
      <c r="J69" s="444">
        <f t="array" ref="J69">IFERROR(INDEX('Retirement Calculator'!J:J,MATCH('Isaac 401k'!N69,'Retirement Calculator'!A:A,0),0),0)</f>
        <v>30683.43324439897</v>
      </c>
      <c r="K69" s="444">
        <f t="shared" ca="1" si="2"/>
        <v>8221.4874080997397</v>
      </c>
      <c r="L69" s="444">
        <f t="shared" ca="1" si="3"/>
        <v>1981378.4653520372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1000408.7332967585</v>
      </c>
      <c r="C70" s="447">
        <f t="shared" si="0"/>
        <v>94754.855757842233</v>
      </c>
      <c r="D70" s="447">
        <f t="shared" ca="1" si="9"/>
        <v>54721.466176786256</v>
      </c>
      <c r="E70" s="447">
        <f t="shared" ca="1" si="1"/>
        <v>960375.34371570253</v>
      </c>
      <c r="F70" s="431"/>
      <c r="G70" s="459">
        <f t="shared" si="10"/>
        <v>6</v>
      </c>
      <c r="H70" s="459">
        <v>63</v>
      </c>
      <c r="I70" s="444">
        <f t="shared" ca="1" si="5"/>
        <v>1981378.4653520372</v>
      </c>
      <c r="J70" s="444">
        <f t="array" ref="J70">IFERROR(INDEX('Retirement Calculator'!J:J,MATCH('Isaac 401k'!N70,'Retirement Calculator'!A:A,0),0),0)</f>
        <v>30683.43324439897</v>
      </c>
      <c r="K70" s="444">
        <f t="shared" ca="1" si="2"/>
        <v>8127.8959671151588</v>
      </c>
      <c r="L70" s="444">
        <f t="shared" ca="1" si="3"/>
        <v>1958822.9280747534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960375.34371570253</v>
      </c>
      <c r="C71" s="447">
        <f t="shared" si="0"/>
        <v>94754.855757842233</v>
      </c>
      <c r="D71" s="447">
        <f t="shared" ca="1" si="9"/>
        <v>54721.466176786256</v>
      </c>
      <c r="E71" s="447">
        <f t="shared" ca="1" si="1"/>
        <v>920341.95413464657</v>
      </c>
      <c r="F71" s="431"/>
      <c r="G71" s="459">
        <f t="shared" si="10"/>
        <v>6</v>
      </c>
      <c r="H71" s="459">
        <v>64</v>
      </c>
      <c r="I71" s="444">
        <f t="shared" ca="1" si="5"/>
        <v>1958822.9280747534</v>
      </c>
      <c r="J71" s="444">
        <f t="array" ref="J71">IFERROR(INDEX('Retirement Calculator'!J:J,MATCH('Isaac 401k'!N71,'Retirement Calculator'!A:A,0),0),0)</f>
        <v>30683.43324439897</v>
      </c>
      <c r="K71" s="444">
        <f t="shared" ca="1" si="2"/>
        <v>8033.9145617931426</v>
      </c>
      <c r="L71" s="444">
        <f t="shared" ca="1" si="3"/>
        <v>1936173.4093921476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47">
        <f t="shared" ca="1" si="4"/>
        <v>920341.95413464657</v>
      </c>
      <c r="C72" s="447">
        <f t="shared" si="0"/>
        <v>94754.855757842233</v>
      </c>
      <c r="D72" s="447">
        <f t="shared" ca="1" si="9"/>
        <v>54721.466176786256</v>
      </c>
      <c r="E72" s="447">
        <f t="shared" ca="1" si="1"/>
        <v>880308.56455359061</v>
      </c>
      <c r="F72" s="431"/>
      <c r="G72" s="459">
        <f t="shared" si="10"/>
        <v>6</v>
      </c>
      <c r="H72" s="459">
        <v>65</v>
      </c>
      <c r="I72" s="444">
        <f t="shared" ca="1" si="5"/>
        <v>1936173.4093921476</v>
      </c>
      <c r="J72" s="444">
        <f t="array" ref="J72">IFERROR(INDEX('Retirement Calculator'!J:J,MATCH('Isaac 401k'!N72,'Retirement Calculator'!A:A,0),0),0)</f>
        <v>30683.43324439897</v>
      </c>
      <c r="K72" s="444">
        <f t="shared" ca="1" si="2"/>
        <v>7939.5415672822855</v>
      </c>
      <c r="L72" s="444">
        <f t="shared" ca="1" si="3"/>
        <v>1913429.5177150308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47">
        <f t="shared" ca="1" si="4"/>
        <v>880308.56455359061</v>
      </c>
      <c r="C73" s="447">
        <f t="shared" si="0"/>
        <v>94754.855757842233</v>
      </c>
      <c r="D73" s="447">
        <f t="shared" ca="1" si="9"/>
        <v>54721.466176786256</v>
      </c>
      <c r="E73" s="447">
        <f t="shared" ca="1" si="1"/>
        <v>840275.17497253465</v>
      </c>
      <c r="F73" s="431"/>
      <c r="G73" s="459">
        <f t="shared" si="10"/>
        <v>6</v>
      </c>
      <c r="H73" s="459">
        <v>66</v>
      </c>
      <c r="I73" s="444">
        <f t="shared" ca="1" si="5"/>
        <v>1913429.5177150308</v>
      </c>
      <c r="J73" s="444">
        <f t="array" ref="J73">IFERROR(INDEX('Retirement Calculator'!J:J,MATCH('Isaac 401k'!N73,'Retirement Calculator'!A:A,0),0),0)</f>
        <v>30683.43324439897</v>
      </c>
      <c r="K73" s="444">
        <f t="shared" ca="1" si="2"/>
        <v>7844.775351960966</v>
      </c>
      <c r="L73" s="444">
        <f t="shared" ca="1" si="3"/>
        <v>1890590.8598225927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47">
        <f t="shared" ca="1" si="4"/>
        <v>840275.17497253465</v>
      </c>
      <c r="C74" s="447">
        <f t="shared" si="0"/>
        <v>94754.855757842233</v>
      </c>
      <c r="D74" s="447">
        <f t="shared" ca="1" si="9"/>
        <v>54721.466176786256</v>
      </c>
      <c r="E74" s="447">
        <f t="shared" ca="1" si="1"/>
        <v>800241.78539147868</v>
      </c>
      <c r="F74" s="431"/>
      <c r="G74" s="459">
        <f t="shared" si="10"/>
        <v>6</v>
      </c>
      <c r="H74" s="459">
        <v>67</v>
      </c>
      <c r="I74" s="444">
        <f t="shared" ca="1" si="5"/>
        <v>1890590.8598225927</v>
      </c>
      <c r="J74" s="444">
        <f t="array" ref="J74">IFERROR(INDEX('Retirement Calculator'!J:J,MATCH('Isaac 401k'!N74,'Retirement Calculator'!A:A,0),0),0)</f>
        <v>30683.43324439897</v>
      </c>
      <c r="K74" s="444">
        <f t="shared" ca="1" si="2"/>
        <v>7749.6142774091413</v>
      </c>
      <c r="L74" s="444">
        <f t="shared" ca="1" si="3"/>
        <v>1867657.0408556028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47">
        <f t="shared" ca="1" si="4"/>
        <v>800241.78539147868</v>
      </c>
      <c r="C75" s="447">
        <f t="shared" si="0"/>
        <v>94754.855757842233</v>
      </c>
      <c r="D75" s="447">
        <f t="shared" ca="1" si="9"/>
        <v>54721.466176786256</v>
      </c>
      <c r="E75" s="447">
        <f t="shared" ca="1" si="1"/>
        <v>760208.39581042272</v>
      </c>
      <c r="F75" s="431"/>
      <c r="G75" s="459">
        <f t="shared" si="10"/>
        <v>6</v>
      </c>
      <c r="H75" s="459">
        <v>68</v>
      </c>
      <c r="I75" s="444">
        <f t="shared" ca="1" si="5"/>
        <v>1867657.0408556028</v>
      </c>
      <c r="J75" s="444">
        <f t="array" ref="J75">IFERROR(INDEX('Retirement Calculator'!J:J,MATCH('Isaac 401k'!N75,'Retirement Calculator'!A:A,0),0),0)</f>
        <v>8572.3375798201851</v>
      </c>
      <c r="K75" s="444">
        <f t="shared" ca="1" si="2"/>
        <v>7746.1862636490941</v>
      </c>
      <c r="L75" s="444">
        <f t="shared" ca="1" si="3"/>
        <v>1866830.8895394318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47">
        <f t="shared" ca="1" si="4"/>
        <v>760208.39581042272</v>
      </c>
      <c r="C76" s="447">
        <f t="shared" si="0"/>
        <v>94754.855757842233</v>
      </c>
      <c r="D76" s="447">
        <f t="shared" ca="1" si="9"/>
        <v>54721.466176786256</v>
      </c>
      <c r="E76" s="447">
        <f t="shared" ca="1" si="1"/>
        <v>720175.00622936676</v>
      </c>
      <c r="F76" s="431"/>
      <c r="G76" s="459">
        <f t="shared" si="10"/>
        <v>6</v>
      </c>
      <c r="H76" s="459">
        <v>69</v>
      </c>
      <c r="I76" s="444">
        <f t="shared" ca="1" si="5"/>
        <v>1866830.8895394318</v>
      </c>
      <c r="J76" s="444">
        <f t="array" ref="J76">IFERROR(INDEX('Retirement Calculator'!J:J,MATCH('Isaac 401k'!N76,'Retirement Calculator'!A:A,0),0),0)</f>
        <v>8572.3375798201851</v>
      </c>
      <c r="K76" s="444">
        <f t="shared" ca="1" si="2"/>
        <v>7742.7439664983813</v>
      </c>
      <c r="L76" s="444">
        <f t="shared" ca="1" si="3"/>
        <v>1866001.2959261101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47">
        <f t="shared" ca="1" si="4"/>
        <v>720175.00622936676</v>
      </c>
      <c r="C77" s="447">
        <f t="shared" si="0"/>
        <v>94754.855757842233</v>
      </c>
      <c r="D77" s="447">
        <f t="shared" ca="1" si="9"/>
        <v>54721.466176786256</v>
      </c>
      <c r="E77" s="447">
        <f t="shared" ca="1" si="1"/>
        <v>680141.6166483108</v>
      </c>
      <c r="F77" s="431"/>
      <c r="G77" s="459">
        <f t="shared" si="10"/>
        <v>6</v>
      </c>
      <c r="H77" s="459">
        <v>70</v>
      </c>
      <c r="I77" s="444">
        <f t="shared" ca="1" si="5"/>
        <v>1866001.2959261101</v>
      </c>
      <c r="J77" s="444">
        <f t="array" ref="J77">IFERROR(INDEX('Retirement Calculator'!J:J,MATCH('Isaac 401k'!N77,'Retirement Calculator'!A:A,0),0),0)</f>
        <v>8572.3375798201851</v>
      </c>
      <c r="K77" s="444">
        <f t="shared" ca="1" si="2"/>
        <v>7739.2873264428763</v>
      </c>
      <c r="L77" s="444">
        <f t="shared" ca="1" si="3"/>
        <v>1865168.2456727328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47">
        <f t="shared" ca="1" si="4"/>
        <v>680141.6166483108</v>
      </c>
      <c r="C78" s="447">
        <f t="shared" si="0"/>
        <v>94754.855757842233</v>
      </c>
      <c r="D78" s="447">
        <f t="shared" ca="1" si="9"/>
        <v>54721.466176786256</v>
      </c>
      <c r="E78" s="447">
        <f t="shared" ca="1" si="1"/>
        <v>640108.22706725483</v>
      </c>
      <c r="F78" s="431"/>
      <c r="G78" s="459">
        <f t="shared" si="10"/>
        <v>6</v>
      </c>
      <c r="H78" s="459">
        <v>71</v>
      </c>
      <c r="I78" s="444">
        <f t="shared" ca="1" si="5"/>
        <v>1865168.2456727328</v>
      </c>
      <c r="J78" s="444">
        <f t="array" ref="J78">IFERROR(INDEX('Retirement Calculator'!J:J,MATCH('Isaac 401k'!N78,'Retirement Calculator'!A:A,0),0),0)</f>
        <v>8572.3375798201851</v>
      </c>
      <c r="K78" s="444">
        <f t="shared" ca="1" si="2"/>
        <v>7735.81628372047</v>
      </c>
      <c r="L78" s="444">
        <f t="shared" ca="1" si="3"/>
        <v>1864331.7243766333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47">
        <f t="shared" ca="1" si="4"/>
        <v>640108.22706725483</v>
      </c>
      <c r="C79" s="447">
        <f t="shared" si="0"/>
        <v>94754.855757842233</v>
      </c>
      <c r="D79" s="447">
        <f t="shared" ca="1" si="9"/>
        <v>54721.466176786256</v>
      </c>
      <c r="E79" s="447">
        <f t="shared" ca="1" si="1"/>
        <v>600074.83748619887</v>
      </c>
      <c r="F79" s="431"/>
      <c r="G79" s="459">
        <f t="shared" si="10"/>
        <v>6</v>
      </c>
      <c r="H79" s="459">
        <v>72</v>
      </c>
      <c r="I79" s="444">
        <f t="shared" ca="1" si="5"/>
        <v>1864331.7243766333</v>
      </c>
      <c r="J79" s="444">
        <f t="array" ref="J79">IFERROR(INDEX('Retirement Calculator'!J:J,MATCH('Isaac 401k'!N79,'Retirement Calculator'!A:A,0),0),0)</f>
        <v>8572.3375798201851</v>
      </c>
      <c r="K79" s="444">
        <f t="shared" ca="1" si="2"/>
        <v>7732.3307783200553</v>
      </c>
      <c r="L79" s="444">
        <f t="shared" ca="1" si="3"/>
        <v>1863491.7175751333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47">
        <f t="shared" ca="1" si="4"/>
        <v>600074.83748619887</v>
      </c>
      <c r="C80" s="447">
        <f t="shared" si="0"/>
        <v>94754.855757842233</v>
      </c>
      <c r="D80" s="447">
        <f t="shared" ca="1" si="9"/>
        <v>54721.466176786256</v>
      </c>
      <c r="E80" s="447">
        <f t="shared" ca="1" si="1"/>
        <v>560041.44790514291</v>
      </c>
      <c r="F80" s="431"/>
      <c r="G80" s="459">
        <f>G79+1</f>
        <v>7</v>
      </c>
      <c r="H80" s="459">
        <v>73</v>
      </c>
      <c r="I80" s="444">
        <f t="shared" ca="1" si="5"/>
        <v>1863491.7175751333</v>
      </c>
      <c r="J80" s="444">
        <f t="array" ref="J80">IFERROR(INDEX('Retirement Calculator'!J:J,MATCH('Isaac 401k'!N80,'Retirement Calculator'!A:A,0),0),0)</f>
        <v>8572.3375798201851</v>
      </c>
      <c r="K80" s="444">
        <f t="shared" ca="1" si="2"/>
        <v>7728.8307499804714</v>
      </c>
      <c r="L80" s="444">
        <f t="shared" ca="1" si="3"/>
        <v>1862648.2107452936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47">
        <f t="shared" ca="1" si="4"/>
        <v>560041.44790514291</v>
      </c>
      <c r="C81" s="447">
        <f t="shared" si="0"/>
        <v>94754.855757842233</v>
      </c>
      <c r="D81" s="447">
        <f t="shared" ca="1" si="9"/>
        <v>54721.466176786256</v>
      </c>
      <c r="E81" s="447">
        <f t="shared" ca="1" si="1"/>
        <v>520008.05832408695</v>
      </c>
      <c r="F81" s="431"/>
      <c r="G81" s="459">
        <f t="shared" ref="G81:G91" si="11">G80</f>
        <v>7</v>
      </c>
      <c r="H81" s="459">
        <v>74</v>
      </c>
      <c r="I81" s="444">
        <f t="shared" ca="1" si="5"/>
        <v>1862648.2107452936</v>
      </c>
      <c r="J81" s="444">
        <f t="array" ref="J81">IFERROR(INDEX('Retirement Calculator'!J:J,MATCH('Isaac 401k'!N81,'Retirement Calculator'!A:A,0),0),0)</f>
        <v>8572.3375798201851</v>
      </c>
      <c r="K81" s="444">
        <f t="shared" ca="1" si="2"/>
        <v>7725.3161381894733</v>
      </c>
      <c r="L81" s="444">
        <f t="shared" ca="1" si="3"/>
        <v>1861801.1893036631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47">
        <f t="shared" ca="1" si="4"/>
        <v>520008.05832408695</v>
      </c>
      <c r="C82" s="447">
        <f t="shared" si="0"/>
        <v>94754.855757842233</v>
      </c>
      <c r="D82" s="447">
        <f t="shared" ca="1" si="9"/>
        <v>54721.466176786256</v>
      </c>
      <c r="E82" s="447">
        <f t="shared" ca="1" si="1"/>
        <v>479974.66874303098</v>
      </c>
      <c r="F82" s="431"/>
      <c r="G82" s="459">
        <f t="shared" si="11"/>
        <v>7</v>
      </c>
      <c r="H82" s="459">
        <v>75</v>
      </c>
      <c r="I82" s="444">
        <f t="shared" ca="1" si="5"/>
        <v>1861801.1893036631</v>
      </c>
      <c r="J82" s="444">
        <f t="array" ref="J82">IFERROR(INDEX('Retirement Calculator'!J:J,MATCH('Isaac 401k'!N82,'Retirement Calculator'!A:A,0),0),0)</f>
        <v>8572.3375798201851</v>
      </c>
      <c r="K82" s="444">
        <f t="shared" ca="1" si="2"/>
        <v>7721.7868821826778</v>
      </c>
      <c r="L82" s="444">
        <f t="shared" ca="1" si="3"/>
        <v>1860950.6386060256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47">
        <f t="shared" ca="1" si="4"/>
        <v>479974.66874303098</v>
      </c>
      <c r="C83" s="447">
        <f t="shared" si="0"/>
        <v>94754.855757842233</v>
      </c>
      <c r="D83" s="447">
        <f t="shared" ca="1" si="9"/>
        <v>54721.466176786256</v>
      </c>
      <c r="E83" s="447">
        <f t="shared" ca="1" si="1"/>
        <v>439941.27916197502</v>
      </c>
      <c r="F83" s="431"/>
      <c r="G83" s="459">
        <f t="shared" si="11"/>
        <v>7</v>
      </c>
      <c r="H83" s="459">
        <v>76</v>
      </c>
      <c r="I83" s="444">
        <f t="shared" ca="1" si="5"/>
        <v>1860950.6386060256</v>
      </c>
      <c r="J83" s="444">
        <f t="array" ref="J83">IFERROR(INDEX('Retirement Calculator'!J:J,MATCH('Isaac 401k'!N83,'Retirement Calculator'!A:A,0),0),0)</f>
        <v>8572.3375798201851</v>
      </c>
      <c r="K83" s="444">
        <f t="shared" ca="1" si="2"/>
        <v>7718.2429209425236</v>
      </c>
      <c r="L83" s="444">
        <f t="shared" ca="1" si="3"/>
        <v>1860096.5439471481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47">
        <f t="shared" ca="1" si="4"/>
        <v>439941.27916197502</v>
      </c>
      <c r="C84" s="447">
        <f t="shared" si="0"/>
        <v>94754.855757842233</v>
      </c>
      <c r="D84" s="447">
        <f t="shared" ca="1" si="9"/>
        <v>54721.466176786256</v>
      </c>
      <c r="E84" s="447">
        <f t="shared" ca="1" si="1"/>
        <v>399907.88958091906</v>
      </c>
      <c r="F84" s="431"/>
      <c r="G84" s="459">
        <f t="shared" si="11"/>
        <v>7</v>
      </c>
      <c r="H84" s="459">
        <v>77</v>
      </c>
      <c r="I84" s="444">
        <f t="shared" ca="1" si="5"/>
        <v>1860096.5439471481</v>
      </c>
      <c r="J84" s="444">
        <f t="array" ref="J84">IFERROR(INDEX('Retirement Calculator'!J:J,MATCH('Isaac 401k'!N84,'Retirement Calculator'!A:A,0),0),0)</f>
        <v>8572.3375798201851</v>
      </c>
      <c r="K84" s="444">
        <f t="shared" ca="1" si="2"/>
        <v>7714.6841931972012</v>
      </c>
      <c r="L84" s="444">
        <f t="shared" ca="1" si="3"/>
        <v>1859238.8905605252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47">
        <f t="shared" ca="1" si="4"/>
        <v>399907.88958091906</v>
      </c>
      <c r="C85" s="447">
        <f t="shared" si="0"/>
        <v>94754.855757842233</v>
      </c>
      <c r="D85" s="447">
        <f t="shared" ca="1" si="9"/>
        <v>54721.466176786256</v>
      </c>
      <c r="E85" s="447">
        <f t="shared" ca="1" si="1"/>
        <v>359874.4999998631</v>
      </c>
      <c r="F85" s="431"/>
      <c r="G85" s="459">
        <f t="shared" si="11"/>
        <v>7</v>
      </c>
      <c r="H85" s="459">
        <v>78</v>
      </c>
      <c r="I85" s="444">
        <f t="shared" ca="1" si="5"/>
        <v>1859238.8905605252</v>
      </c>
      <c r="J85" s="444">
        <f t="array" ref="J85">IFERROR(INDEX('Retirement Calculator'!J:J,MATCH('Isaac 401k'!N85,'Retirement Calculator'!A:A,0),0),0)</f>
        <v>8572.3375798201851</v>
      </c>
      <c r="K85" s="444">
        <f t="shared" ca="1" si="2"/>
        <v>7711.1106374196061</v>
      </c>
      <c r="L85" s="444">
        <f t="shared" ca="1" si="3"/>
        <v>1858377.6636181248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47">
        <f t="shared" ca="1" si="4"/>
        <v>359874.4999998631</v>
      </c>
      <c r="C86" s="447">
        <f t="shared" si="0"/>
        <v>94754.855757842233</v>
      </c>
      <c r="D86" s="447">
        <f t="shared" ca="1" si="9"/>
        <v>54721.466176786256</v>
      </c>
      <c r="E86" s="447">
        <f t="shared" ca="1" si="1"/>
        <v>319841.11041880713</v>
      </c>
      <c r="F86" s="431"/>
      <c r="G86" s="459">
        <f t="shared" si="11"/>
        <v>7</v>
      </c>
      <c r="H86" s="459">
        <v>79</v>
      </c>
      <c r="I86" s="444">
        <f t="shared" ca="1" si="5"/>
        <v>1858377.6636181248</v>
      </c>
      <c r="J86" s="444">
        <f t="array" ref="J86">IFERROR(INDEX('Retirement Calculator'!J:J,MATCH('Isaac 401k'!N86,'Retirement Calculator'!A:A,0),0),0)</f>
        <v>8572.3375798201851</v>
      </c>
      <c r="K86" s="444">
        <f t="shared" ca="1" si="2"/>
        <v>7707.5221918262687</v>
      </c>
      <c r="L86" s="444">
        <f t="shared" ca="1" si="3"/>
        <v>1857512.848230131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47">
        <f t="shared" ca="1" si="4"/>
        <v>319841.11041880713</v>
      </c>
      <c r="C87" s="447">
        <f t="shared" si="0"/>
        <v>94754.855757842233</v>
      </c>
      <c r="D87" s="447">
        <f t="shared" ca="1" si="9"/>
        <v>54721.466176786256</v>
      </c>
      <c r="E87" s="447">
        <f t="shared" ca="1" si="1"/>
        <v>279807.72083775117</v>
      </c>
      <c r="F87" s="431"/>
      <c r="G87" s="459">
        <f t="shared" si="11"/>
        <v>7</v>
      </c>
      <c r="H87" s="459">
        <v>80</v>
      </c>
      <c r="I87" s="444">
        <f t="shared" ca="1" si="5"/>
        <v>1857512.848230131</v>
      </c>
      <c r="J87" s="444">
        <f t="array" ref="J87">IFERROR(INDEX('Retirement Calculator'!J:J,MATCH('Isaac 401k'!N87,'Retirement Calculator'!A:A,0),0),0)</f>
        <v>8572.3375798201851</v>
      </c>
      <c r="K87" s="444">
        <f t="shared" ca="1" si="2"/>
        <v>7703.9187943762954</v>
      </c>
      <c r="L87" s="444">
        <f t="shared" ca="1" si="3"/>
        <v>1856644.4294446872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47">
        <f t="shared" ca="1" si="4"/>
        <v>279807.72083775117</v>
      </c>
      <c r="C88" s="447">
        <f t="shared" si="0"/>
        <v>94754.855757842233</v>
      </c>
      <c r="D88" s="447">
        <f t="shared" ca="1" si="9"/>
        <v>54721.466176786256</v>
      </c>
      <c r="E88" s="447">
        <f t="shared" ca="1" si="1"/>
        <v>239774.33125669518</v>
      </c>
      <c r="F88" s="431"/>
      <c r="G88" s="459">
        <f t="shared" si="11"/>
        <v>7</v>
      </c>
      <c r="H88" s="459">
        <v>81</v>
      </c>
      <c r="I88" s="444">
        <f t="shared" ca="1" si="5"/>
        <v>1856644.4294446872</v>
      </c>
      <c r="J88" s="444">
        <f t="array" ref="J88">IFERROR(INDEX('Retirement Calculator'!J:J,MATCH('Isaac 401k'!N88,'Retirement Calculator'!A:A,0),0),0)</f>
        <v>8572.3375798201851</v>
      </c>
      <c r="K88" s="444">
        <f t="shared" ca="1" si="2"/>
        <v>7700.3003827702805</v>
      </c>
      <c r="L88" s="444">
        <f t="shared" ca="1" si="3"/>
        <v>1855772.3922476375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47">
        <f t="shared" ca="1" si="4"/>
        <v>239774.33125669518</v>
      </c>
      <c r="C89" s="447">
        <f t="shared" si="0"/>
        <v>94754.855757842233</v>
      </c>
      <c r="D89" s="447">
        <f t="shared" ca="1" si="9"/>
        <v>54721.466176786256</v>
      </c>
      <c r="E89" s="447">
        <f t="shared" ca="1" si="1"/>
        <v>199740.94167563922</v>
      </c>
      <c r="F89" s="431"/>
      <c r="G89" s="459">
        <f t="shared" si="11"/>
        <v>7</v>
      </c>
      <c r="H89" s="459">
        <v>82</v>
      </c>
      <c r="I89" s="444">
        <f t="shared" ca="1" si="5"/>
        <v>1855772.3922476375</v>
      </c>
      <c r="J89" s="444">
        <f t="array" ref="J89">IFERROR(INDEX('Retirement Calculator'!J:J,MATCH('Isaac 401k'!N89,'Retirement Calculator'!A:A,0),0),0)</f>
        <v>8572.3375798201851</v>
      </c>
      <c r="K89" s="444">
        <f t="shared" ca="1" si="2"/>
        <v>7696.6668944492403</v>
      </c>
      <c r="L89" s="444">
        <f t="shared" ca="1" si="3"/>
        <v>1854896.7215622666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47">
        <f t="shared" ca="1" si="4"/>
        <v>199740.94167563922</v>
      </c>
      <c r="C90" s="447">
        <f t="shared" si="0"/>
        <v>94754.855757842233</v>
      </c>
      <c r="D90" s="447">
        <f t="shared" ca="1" si="9"/>
        <v>54721.466176786256</v>
      </c>
      <c r="E90" s="447">
        <f t="shared" ca="1" si="1"/>
        <v>159707.55209458322</v>
      </c>
      <c r="F90" s="431"/>
      <c r="G90" s="459">
        <f t="shared" si="11"/>
        <v>7</v>
      </c>
      <c r="H90" s="459">
        <v>83</v>
      </c>
      <c r="I90" s="444">
        <f t="shared" ca="1" si="5"/>
        <v>1854896.7215622666</v>
      </c>
      <c r="J90" s="444">
        <f t="array" ref="J90">IFERROR(INDEX('Retirement Calculator'!J:J,MATCH('Isaac 401k'!N90,'Retirement Calculator'!A:A,0),0),0)</f>
        <v>8572.3375798201851</v>
      </c>
      <c r="K90" s="444">
        <f t="shared" ca="1" si="2"/>
        <v>7693.0182665935272</v>
      </c>
      <c r="L90" s="444">
        <f t="shared" ca="1" si="3"/>
        <v>1854017.4022490401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47">
        <f t="shared" ca="1" si="4"/>
        <v>159707.55209458322</v>
      </c>
      <c r="C91" s="447">
        <f t="shared" si="0"/>
        <v>94754.855757842233</v>
      </c>
      <c r="D91" s="447">
        <f t="shared" ca="1" si="9"/>
        <v>54721.466176786256</v>
      </c>
      <c r="E91" s="447">
        <f t="shared" ca="1" si="1"/>
        <v>119674.16251352725</v>
      </c>
      <c r="F91" s="431"/>
      <c r="G91" s="459">
        <f t="shared" si="11"/>
        <v>7</v>
      </c>
      <c r="H91" s="459">
        <v>84</v>
      </c>
      <c r="I91" s="444">
        <f t="shared" ca="1" si="5"/>
        <v>1854017.4022490401</v>
      </c>
      <c r="J91" s="444">
        <f t="array" ref="J91">IFERROR(INDEX('Retirement Calculator'!J:J,MATCH('Isaac 401k'!N91,'Retirement Calculator'!A:A,0),0),0)</f>
        <v>8572.3375798201851</v>
      </c>
      <c r="K91" s="444">
        <f t="shared" ca="1" si="2"/>
        <v>7689.35443612175</v>
      </c>
      <c r="L91" s="444">
        <f t="shared" ca="1" si="3"/>
        <v>1853134.4191053417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47">
        <f t="shared" ca="1" si="4"/>
        <v>119674.16251352725</v>
      </c>
      <c r="C92" s="447">
        <f t="shared" si="0"/>
        <v>94754.855757842233</v>
      </c>
      <c r="D92" s="447">
        <f t="shared" ca="1" si="9"/>
        <v>54721.466176786256</v>
      </c>
      <c r="E92" s="447">
        <f t="shared" ca="1" si="1"/>
        <v>79640.772932471271</v>
      </c>
      <c r="F92" s="431"/>
      <c r="G92" s="459">
        <f>G91+1</f>
        <v>8</v>
      </c>
      <c r="H92" s="459">
        <v>85</v>
      </c>
      <c r="I92" s="444">
        <f t="shared" ca="1" si="5"/>
        <v>1853134.4191053417</v>
      </c>
      <c r="J92" s="444">
        <f t="array" ref="J92">IFERROR(INDEX('Retirement Calculator'!J:J,MATCH('Isaac 401k'!N92,'Retirement Calculator'!A:A,0),0),0)</f>
        <v>8572.3375798201851</v>
      </c>
      <c r="K92" s="444">
        <f t="shared" ca="1" si="2"/>
        <v>7685.6753396896729</v>
      </c>
      <c r="L92" s="444">
        <f t="shared" ca="1" si="3"/>
        <v>1852247.7568652113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47">
        <f t="shared" ca="1" si="4"/>
        <v>79640.772932471271</v>
      </c>
      <c r="C93" s="447">
        <f t="shared" si="0"/>
        <v>94754.855757842233</v>
      </c>
      <c r="D93" s="447">
        <f t="shared" ca="1" si="9"/>
        <v>54721.466176786256</v>
      </c>
      <c r="E93" s="447">
        <f t="shared" ca="1" si="1"/>
        <v>39607.383351415294</v>
      </c>
      <c r="F93" s="431"/>
      <c r="G93" s="459">
        <f t="shared" ref="G93:G103" si="12">G92</f>
        <v>8</v>
      </c>
      <c r="H93" s="459">
        <v>86</v>
      </c>
      <c r="I93" s="444">
        <f t="shared" ca="1" si="5"/>
        <v>1852247.7568652113</v>
      </c>
      <c r="J93" s="444">
        <f t="array" ref="J93">IFERROR(INDEX('Retirement Calculator'!J:J,MATCH('Isaac 401k'!N93,'Retirement Calculator'!A:A,0),0),0)</f>
        <v>8572.3375798201851</v>
      </c>
      <c r="K93" s="444">
        <f t="shared" ca="1" si="2"/>
        <v>7681.980913689129</v>
      </c>
      <c r="L93" s="444">
        <f t="shared" ca="1" si="3"/>
        <v>1851357.4001990804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47">
        <f t="shared" ca="1" si="4"/>
        <v>39607.383351415294</v>
      </c>
      <c r="C94" s="447">
        <f t="shared" si="0"/>
        <v>94754.855757842233</v>
      </c>
      <c r="D94" s="447">
        <f t="shared" ca="1" si="9"/>
        <v>54721.466176786256</v>
      </c>
      <c r="E94" s="447">
        <f t="shared" ca="1" si="1"/>
        <v>-426.00622964068316</v>
      </c>
      <c r="F94" s="431"/>
      <c r="G94" s="459">
        <f t="shared" si="12"/>
        <v>8</v>
      </c>
      <c r="H94" s="459">
        <v>87</v>
      </c>
      <c r="I94" s="444">
        <f t="shared" ca="1" si="5"/>
        <v>1851357.4001990804</v>
      </c>
      <c r="J94" s="444">
        <f t="array" ref="J94">IFERROR(INDEX('Retirement Calculator'!J:J,MATCH('Isaac 401k'!N94,'Retirement Calculator'!A:A,0),0),0)</f>
        <v>8572.3375798201851</v>
      </c>
      <c r="K94" s="444">
        <f t="shared" ca="1" si="2"/>
        <v>7678.2710942469175</v>
      </c>
      <c r="L94" s="444">
        <f t="shared" ca="1" si="3"/>
        <v>1850463.3337135073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47">
        <f t="shared" ca="1" si="4"/>
        <v>-426.00622964068316</v>
      </c>
      <c r="C95" s="447">
        <f t="shared" si="0"/>
        <v>94754.855757842233</v>
      </c>
      <c r="D95" s="447">
        <f t="shared" ca="1" si="9"/>
        <v>54721.466176786256</v>
      </c>
      <c r="E95" s="447">
        <f t="shared" ca="1" si="1"/>
        <v>-40459.39581069666</v>
      </c>
      <c r="F95" s="431"/>
      <c r="G95" s="459">
        <f t="shared" si="12"/>
        <v>8</v>
      </c>
      <c r="H95" s="459">
        <v>88</v>
      </c>
      <c r="I95" s="444">
        <f t="shared" ca="1" si="5"/>
        <v>1850463.3337135073</v>
      </c>
      <c r="J95" s="444">
        <f t="array" ref="J95">IFERROR(INDEX('Retirement Calculator'!J:J,MATCH('Isaac 401k'!N95,'Retirement Calculator'!A:A,0),0),0)</f>
        <v>8572.3375798201851</v>
      </c>
      <c r="K95" s="444">
        <f t="shared" ca="1" si="2"/>
        <v>7674.5458172236968</v>
      </c>
      <c r="L95" s="444">
        <f t="shared" ca="1" si="3"/>
        <v>1849565.5419509108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47">
        <f t="shared" ca="1" si="4"/>
        <v>-40459.39581069666</v>
      </c>
      <c r="C96" s="447">
        <f t="shared" si="0"/>
        <v>94754.855757842233</v>
      </c>
      <c r="D96" s="447">
        <f t="shared" ca="1" si="9"/>
        <v>54721.466176786256</v>
      </c>
      <c r="E96" s="447">
        <f t="shared" ca="1" si="1"/>
        <v>-80492.785391752637</v>
      </c>
      <c r="F96" s="431"/>
      <c r="G96" s="459">
        <f t="shared" si="12"/>
        <v>8</v>
      </c>
      <c r="H96" s="459">
        <v>89</v>
      </c>
      <c r="I96" s="444">
        <f t="shared" ca="1" si="5"/>
        <v>1849565.5419509108</v>
      </c>
      <c r="J96" s="444">
        <f t="array" ref="J96">IFERROR(INDEX('Retirement Calculator'!J:J,MATCH('Isaac 401k'!N96,'Retirement Calculator'!A:A,0),0),0)</f>
        <v>8572.3375798201851</v>
      </c>
      <c r="K96" s="444">
        <f t="shared" ca="1" si="2"/>
        <v>7670.8050182128791</v>
      </c>
      <c r="L96" s="444">
        <f t="shared" ca="1" si="3"/>
        <v>1848664.0093893036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47">
        <f t="shared" ca="1" si="4"/>
        <v>-80492.785391752637</v>
      </c>
      <c r="C97" s="447">
        <f t="shared" si="0"/>
        <v>94754.855757842233</v>
      </c>
      <c r="D97" s="447">
        <f t="shared" ca="1" si="9"/>
        <v>54721.466176786256</v>
      </c>
      <c r="E97" s="447">
        <f t="shared" ca="1" si="1"/>
        <v>-120526.1749728086</v>
      </c>
      <c r="F97" s="431"/>
      <c r="G97" s="459">
        <f t="shared" si="12"/>
        <v>8</v>
      </c>
      <c r="H97" s="459">
        <v>90</v>
      </c>
      <c r="I97" s="444">
        <f t="shared" ca="1" si="5"/>
        <v>1848664.0093893036</v>
      </c>
      <c r="J97" s="444">
        <f t="array" ref="J97">IFERROR(INDEX('Retirement Calculator'!J:J,MATCH('Isaac 401k'!N97,'Retirement Calculator'!A:A,0),0),0)</f>
        <v>8572.3375798201851</v>
      </c>
      <c r="K97" s="444">
        <f t="shared" ca="1" si="2"/>
        <v>7667.0486325395159</v>
      </c>
      <c r="L97" s="444">
        <f t="shared" ca="1" si="3"/>
        <v>1847758.7204420231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47">
        <f t="shared" ca="1" si="4"/>
        <v>-120526.1749728086</v>
      </c>
      <c r="C98" s="447">
        <f t="shared" si="0"/>
        <v>94754.855757842233</v>
      </c>
      <c r="D98" s="447">
        <f t="shared" ca="1" si="9"/>
        <v>54721.466176786256</v>
      </c>
      <c r="E98" s="447">
        <f t="shared" ca="1" si="1"/>
        <v>-160559.56455386456</v>
      </c>
      <c r="F98" s="431"/>
      <c r="G98" s="459">
        <f t="shared" si="12"/>
        <v>8</v>
      </c>
      <c r="H98" s="459">
        <v>91</v>
      </c>
      <c r="I98" s="444">
        <f t="shared" ca="1" si="5"/>
        <v>1847758.7204420231</v>
      </c>
      <c r="J98" s="444">
        <f t="array" ref="J98">IFERROR(INDEX('Retirement Calculator'!J:J,MATCH('Isaac 401k'!N98,'Retirement Calculator'!A:A,0),0),0)</f>
        <v>8572.3375798201851</v>
      </c>
      <c r="K98" s="444">
        <f t="shared" ca="1" si="2"/>
        <v>7663.276595259179</v>
      </c>
      <c r="L98" s="444">
        <f t="shared" ca="1" si="3"/>
        <v>1846849.6594574621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47">
        <f t="shared" ca="1" si="4"/>
        <v>-160559.56455386456</v>
      </c>
      <c r="C99" s="447">
        <f t="shared" si="0"/>
        <v>94754.855757842233</v>
      </c>
      <c r="D99" s="447">
        <f t="shared" ca="1" si="9"/>
        <v>54721.466176786256</v>
      </c>
      <c r="E99" s="447">
        <f t="shared" ca="1" si="1"/>
        <v>-200592.95413492052</v>
      </c>
      <c r="F99" s="431"/>
      <c r="G99" s="459">
        <f t="shared" si="12"/>
        <v>8</v>
      </c>
      <c r="H99" s="459">
        <v>92</v>
      </c>
      <c r="I99" s="444">
        <f t="shared" ca="1" si="5"/>
        <v>1846849.6594574621</v>
      </c>
      <c r="J99" s="444">
        <f t="array" ref="J99">IFERROR(INDEX('Retirement Calculator'!J:J,MATCH('Isaac 401k'!N99,'Retirement Calculator'!A:A,0),0),0)</f>
        <v>8572.3375798201851</v>
      </c>
      <c r="K99" s="444">
        <f t="shared" ca="1" si="2"/>
        <v>7659.4888411568409</v>
      </c>
      <c r="L99" s="444">
        <f t="shared" ca="1" si="3"/>
        <v>1845936.810718799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47">
        <f t="shared" ca="1" si="4"/>
        <v>-200592.95413492052</v>
      </c>
      <c r="C100" s="447">
        <f t="shared" si="0"/>
        <v>94754.855757842233</v>
      </c>
      <c r="D100" s="447">
        <f t="shared" ca="1" si="9"/>
        <v>54721.466176786256</v>
      </c>
      <c r="E100" s="447">
        <f t="shared" ca="1" si="1"/>
        <v>-240626.34371597649</v>
      </c>
      <c r="F100" s="431"/>
      <c r="G100" s="459">
        <f t="shared" si="12"/>
        <v>8</v>
      </c>
      <c r="H100" s="459">
        <v>93</v>
      </c>
      <c r="I100" s="444">
        <f t="shared" ca="1" si="5"/>
        <v>1845936.810718799</v>
      </c>
      <c r="J100" s="444">
        <f t="array" ref="J100">IFERROR(INDEX('Retirement Calculator'!J:J,MATCH('Isaac 401k'!N100,'Retirement Calculator'!A:A,0),0),0)</f>
        <v>8572.3375798201851</v>
      </c>
      <c r="K100" s="444">
        <f t="shared" ca="1" si="2"/>
        <v>7655.6853047457453</v>
      </c>
      <c r="L100" s="444">
        <f t="shared" ca="1" si="3"/>
        <v>1845020.1584437247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47">
        <f t="shared" ca="1" si="4"/>
        <v>-240626.34371597649</v>
      </c>
      <c r="C101" s="447">
        <f t="shared" si="0"/>
        <v>94754.855757842233</v>
      </c>
      <c r="D101" s="447">
        <f t="shared" ca="1" si="9"/>
        <v>54721.466176786256</v>
      </c>
      <c r="E101" s="447">
        <f t="shared" ca="1" si="1"/>
        <v>-280659.73329703242</v>
      </c>
      <c r="F101" s="431"/>
      <c r="G101" s="459">
        <f t="shared" si="12"/>
        <v>8</v>
      </c>
      <c r="H101" s="459">
        <v>94</v>
      </c>
      <c r="I101" s="444">
        <f t="shared" ca="1" si="5"/>
        <v>1845020.1584437247</v>
      </c>
      <c r="J101" s="444">
        <f t="array" ref="J101">IFERROR(INDEX('Retirement Calculator'!J:J,MATCH('Isaac 401k'!N101,'Retirement Calculator'!A:A,0),0),0)</f>
        <v>8572.3375798201851</v>
      </c>
      <c r="K101" s="444">
        <f t="shared" ca="1" si="2"/>
        <v>7651.8659202662693</v>
      </c>
      <c r="L101" s="444">
        <f t="shared" ca="1" si="3"/>
        <v>1844099.686784171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47">
        <f t="shared" ca="1" si="4"/>
        <v>-280659.73329703242</v>
      </c>
      <c r="C102" s="447">
        <f t="shared" si="0"/>
        <v>94754.855757842233</v>
      </c>
      <c r="D102" s="447">
        <f t="shared" ca="1" si="9"/>
        <v>54721.466176786256</v>
      </c>
      <c r="E102" s="447">
        <f t="shared" ca="1" si="1"/>
        <v>-320693.12287808838</v>
      </c>
      <c r="F102" s="431"/>
      <c r="G102" s="459">
        <f t="shared" si="12"/>
        <v>8</v>
      </c>
      <c r="H102" s="459">
        <v>95</v>
      </c>
      <c r="I102" s="444">
        <f t="shared" ca="1" si="5"/>
        <v>1844099.686784171</v>
      </c>
      <c r="J102" s="444">
        <f t="array" ref="J102">IFERROR(INDEX('Retirement Calculator'!J:J,MATCH('Isaac 401k'!N102,'Retirement Calculator'!A:A,0),0),0)</f>
        <v>8572.3375798201851</v>
      </c>
      <c r="K102" s="444">
        <f t="shared" ca="1" si="2"/>
        <v>7648.0306216847957</v>
      </c>
      <c r="L102" s="444">
        <f t="shared" ca="1" si="3"/>
        <v>1843175.3798260358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47">
        <f t="shared" ca="1" si="4"/>
        <v>-320693.12287808838</v>
      </c>
      <c r="C103" s="447">
        <f t="shared" si="0"/>
        <v>94754.855757842233</v>
      </c>
      <c r="D103" s="447">
        <f t="shared" ca="1" si="9"/>
        <v>54721.466176786256</v>
      </c>
      <c r="E103" s="447">
        <f t="shared" ca="1" si="1"/>
        <v>-360726.51245914435</v>
      </c>
      <c r="F103" s="431"/>
      <c r="G103" s="459">
        <f t="shared" si="12"/>
        <v>8</v>
      </c>
      <c r="H103" s="459">
        <v>96</v>
      </c>
      <c r="I103" s="444">
        <f t="shared" ca="1" si="5"/>
        <v>1843175.3798260358</v>
      </c>
      <c r="J103" s="444">
        <f t="array" ref="J103">IFERROR(INDEX('Retirement Calculator'!J:J,MATCH('Isaac 401k'!N103,'Retirement Calculator'!A:A,0),0),0)</f>
        <v>8572.3375798201851</v>
      </c>
      <c r="K103" s="444">
        <f t="shared" ca="1" si="2"/>
        <v>7644.1793426925651</v>
      </c>
      <c r="L103" s="444">
        <f t="shared" ca="1" si="3"/>
        <v>1842247.2215889082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47">
        <f t="shared" ca="1" si="4"/>
        <v>-360726.51245914435</v>
      </c>
      <c r="C104" s="447">
        <f t="shared" si="0"/>
        <v>71066.141818381671</v>
      </c>
      <c r="D104" s="447">
        <f t="shared" ca="1" si="9"/>
        <v>54721.466176786256</v>
      </c>
      <c r="E104" s="447">
        <f t="shared" ca="1" si="1"/>
        <v>-377071.18810073973</v>
      </c>
      <c r="F104" s="431"/>
      <c r="G104" s="459">
        <f>G103+1</f>
        <v>9</v>
      </c>
      <c r="H104" s="459">
        <v>97</v>
      </c>
      <c r="I104" s="444">
        <f t="shared" ca="1" si="5"/>
        <v>1842247.2215889082</v>
      </c>
      <c r="J104" s="444">
        <f t="array" ref="J104">IFERROR(INDEX('Retirement Calculator'!J:J,MATCH('Isaac 401k'!N104,'Retirement Calculator'!A:A,0),0),0)</f>
        <v>8572.3375798201851</v>
      </c>
      <c r="K104" s="444">
        <f t="shared" ca="1" si="2"/>
        <v>7640.3120167045345</v>
      </c>
      <c r="L104" s="444">
        <f t="shared" ca="1" si="3"/>
        <v>1841315.1960257927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47">
        <f t="shared" ca="1" si="4"/>
        <v>-377071.18810073973</v>
      </c>
      <c r="C105" s="447">
        <f t="shared" si="0"/>
        <v>0</v>
      </c>
      <c r="D105" s="447">
        <f t="shared" ca="1" si="9"/>
        <v>54721.466176786256</v>
      </c>
      <c r="E105" s="447">
        <f t="shared" ca="1" si="1"/>
        <v>-322349.7219239535</v>
      </c>
      <c r="F105" s="431"/>
      <c r="G105" s="459">
        <f t="shared" ref="G105:G115" si="13">G104</f>
        <v>9</v>
      </c>
      <c r="H105" s="459">
        <v>98</v>
      </c>
      <c r="I105" s="444">
        <f t="shared" ca="1" si="5"/>
        <v>1841315.1960257927</v>
      </c>
      <c r="J105" s="444">
        <f t="array" ref="J105">IFERROR(INDEX('Retirement Calculator'!J:J,MATCH('Isaac 401k'!N105,'Retirement Calculator'!A:A,0),0),0)</f>
        <v>7896.2379798201846</v>
      </c>
      <c r="K105" s="444">
        <f t="shared" ca="1" si="2"/>
        <v>7639.2456585248856</v>
      </c>
      <c r="L105" s="444">
        <f t="shared" ca="1" si="3"/>
        <v>1841058.2037044973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47">
        <f t="shared" ca="1" si="4"/>
        <v>-322349.7219239535</v>
      </c>
      <c r="C106" s="447">
        <f t="shared" si="0"/>
        <v>0</v>
      </c>
      <c r="D106" s="447">
        <f t="shared" ca="1" si="9"/>
        <v>54721.466176786256</v>
      </c>
      <c r="E106" s="447">
        <f t="shared" ca="1" si="1"/>
        <v>-267628.25574716728</v>
      </c>
      <c r="F106" s="431"/>
      <c r="G106" s="459">
        <f t="shared" si="13"/>
        <v>9</v>
      </c>
      <c r="H106" s="459">
        <v>99</v>
      </c>
      <c r="I106" s="444">
        <f t="shared" ca="1" si="5"/>
        <v>1841058.2037044973</v>
      </c>
      <c r="J106" s="444">
        <f t="array" ref="J106">IFERROR(INDEX('Retirement Calculator'!J:J,MATCH('Isaac 401k'!N106,'Retirement Calculator'!A:A,0),0),0)</f>
        <v>7896.2379798201846</v>
      </c>
      <c r="K106" s="444">
        <f t="shared" ca="1" si="2"/>
        <v>7638.1748571861554</v>
      </c>
      <c r="L106" s="444">
        <f t="shared" ca="1" si="3"/>
        <v>1840800.1405818632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47">
        <f t="shared" ca="1" si="4"/>
        <v>-267628.25574716728</v>
      </c>
      <c r="C107" s="447">
        <f t="shared" si="0"/>
        <v>0</v>
      </c>
      <c r="D107" s="447">
        <f t="shared" ca="1" si="9"/>
        <v>54721.466176786256</v>
      </c>
      <c r="E107" s="447">
        <f t="shared" ca="1" si="1"/>
        <v>-212906.78957038102</v>
      </c>
      <c r="F107" s="431"/>
      <c r="G107" s="459">
        <f t="shared" si="13"/>
        <v>9</v>
      </c>
      <c r="H107" s="459">
        <v>100</v>
      </c>
      <c r="I107" s="444">
        <f t="shared" ca="1" si="5"/>
        <v>1840800.1405818632</v>
      </c>
      <c r="J107" s="444">
        <f t="array" ref="J107">IFERROR(INDEX('Retirement Calculator'!J:J,MATCH('Isaac 401k'!N107,'Retirement Calculator'!A:A,0),0),0)</f>
        <v>7896.2379798201846</v>
      </c>
      <c r="K107" s="444">
        <f t="shared" ca="1" si="2"/>
        <v>7637.0995941751798</v>
      </c>
      <c r="L107" s="444">
        <f t="shared" ca="1" si="3"/>
        <v>1840541.0021962181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47">
        <f t="shared" ca="1" si="4"/>
        <v>-212906.78957038102</v>
      </c>
      <c r="C108" s="447">
        <f t="shared" si="0"/>
        <v>0</v>
      </c>
      <c r="D108" s="447">
        <f t="shared" ca="1" si="9"/>
        <v>54721.466176786256</v>
      </c>
      <c r="E108" s="447">
        <f t="shared" ca="1" si="1"/>
        <v>-158185.32339359476</v>
      </c>
      <c r="F108" s="431"/>
      <c r="G108" s="459">
        <f t="shared" si="13"/>
        <v>9</v>
      </c>
      <c r="H108" s="459">
        <v>101</v>
      </c>
      <c r="I108" s="444">
        <f t="shared" ca="1" si="5"/>
        <v>1840541.0021962181</v>
      </c>
      <c r="J108" s="444">
        <f t="array" ref="J108">IFERROR(INDEX('Retirement Calculator'!J:J,MATCH('Isaac 401k'!N108,'Retirement Calculator'!A:A,0),0),0)</f>
        <v>7896.2379798201846</v>
      </c>
      <c r="K108" s="444">
        <f t="shared" ca="1" si="2"/>
        <v>7636.0198509016582</v>
      </c>
      <c r="L108" s="444">
        <f t="shared" ca="1" si="3"/>
        <v>1840280.7840672994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47">
        <f t="shared" ca="1" si="4"/>
        <v>-158185.32339359476</v>
      </c>
      <c r="C109" s="447">
        <f t="shared" si="0"/>
        <v>0</v>
      </c>
      <c r="D109" s="447">
        <f t="shared" ca="1" si="9"/>
        <v>54721.466176786256</v>
      </c>
      <c r="E109" s="447">
        <f t="shared" ca="1" si="1"/>
        <v>-103463.85721680851</v>
      </c>
      <c r="F109" s="431"/>
      <c r="G109" s="459">
        <f t="shared" si="13"/>
        <v>9</v>
      </c>
      <c r="H109" s="459">
        <v>102</v>
      </c>
      <c r="I109" s="444">
        <f t="shared" ca="1" si="5"/>
        <v>1840280.7840672994</v>
      </c>
      <c r="J109" s="444">
        <f t="array" ref="J109">IFERROR(INDEX('Retirement Calculator'!J:J,MATCH('Isaac 401k'!N109,'Retirement Calculator'!A:A,0),0),0)</f>
        <v>7896.2379798201846</v>
      </c>
      <c r="K109" s="444">
        <f t="shared" ca="1" si="2"/>
        <v>7634.9356086978287</v>
      </c>
      <c r="L109" s="444">
        <f t="shared" ca="1" si="3"/>
        <v>1840019.481696177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47">
        <f t="shared" ca="1" si="4"/>
        <v>-103463.85721680851</v>
      </c>
      <c r="C110" s="447">
        <f t="shared" si="0"/>
        <v>0</v>
      </c>
      <c r="D110" s="447">
        <f t="shared" ca="1" si="9"/>
        <v>54721.466176786256</v>
      </c>
      <c r="E110" s="447">
        <f t="shared" ca="1" si="1"/>
        <v>-48742.391040022252</v>
      </c>
      <c r="F110" s="431"/>
      <c r="G110" s="459">
        <f t="shared" si="13"/>
        <v>9</v>
      </c>
      <c r="H110" s="459">
        <v>103</v>
      </c>
      <c r="I110" s="444">
        <f t="shared" ca="1" si="5"/>
        <v>1840019.481696177</v>
      </c>
      <c r="J110" s="444">
        <f t="array" ref="J110">IFERROR(INDEX('Retirement Calculator'!J:J,MATCH('Isaac 401k'!N110,'Retirement Calculator'!A:A,0),0),0)</f>
        <v>7896.2379798201846</v>
      </c>
      <c r="K110" s="444">
        <f t="shared" ca="1" si="2"/>
        <v>7633.8468488181534</v>
      </c>
      <c r="L110" s="444">
        <f t="shared" ca="1" si="3"/>
        <v>1839757.0905651751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47">
        <f t="shared" ca="1" si="4"/>
        <v>-48742.391040022252</v>
      </c>
      <c r="C111" s="447">
        <f t="shared" si="0"/>
        <v>0</v>
      </c>
      <c r="D111" s="447">
        <f t="shared" ca="1" si="9"/>
        <v>54721.466176786256</v>
      </c>
      <c r="E111" s="447">
        <f t="shared" ca="1" si="1"/>
        <v>5979.0751367640041</v>
      </c>
      <c r="F111" s="431"/>
      <c r="G111" s="459">
        <f t="shared" si="13"/>
        <v>9</v>
      </c>
      <c r="H111" s="459">
        <v>104</v>
      </c>
      <c r="I111" s="444">
        <f t="shared" ca="1" si="5"/>
        <v>1839757.0905651751</v>
      </c>
      <c r="J111" s="444">
        <f t="array" ref="J111">IFERROR(INDEX('Retirement Calculator'!J:J,MATCH('Isaac 401k'!N111,'Retirement Calculator'!A:A,0),0),0)</f>
        <v>7896.2379798201846</v>
      </c>
      <c r="K111" s="444">
        <f t="shared" ca="1" si="2"/>
        <v>7632.7535524389796</v>
      </c>
      <c r="L111" s="444">
        <f t="shared" ca="1" si="3"/>
        <v>1839493.6061377937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47">
        <f t="shared" ca="1" si="4"/>
        <v>5979.0751367640041</v>
      </c>
      <c r="C112" s="447">
        <f t="shared" si="0"/>
        <v>0</v>
      </c>
      <c r="D112" s="447">
        <f t="shared" ca="1" si="9"/>
        <v>54721.466176786256</v>
      </c>
      <c r="E112" s="447">
        <f t="shared" ca="1" si="1"/>
        <v>60700.54131355026</v>
      </c>
      <c r="F112" s="431"/>
      <c r="G112" s="459">
        <f t="shared" si="13"/>
        <v>9</v>
      </c>
      <c r="H112" s="459">
        <v>105</v>
      </c>
      <c r="I112" s="444">
        <f t="shared" ca="1" si="5"/>
        <v>1839493.6061377937</v>
      </c>
      <c r="J112" s="444">
        <f t="array" ref="J112">IFERROR(INDEX('Retirement Calculator'!J:J,MATCH('Isaac 401k'!N112,'Retirement Calculator'!A:A,0),0),0)</f>
        <v>7896.2379798201846</v>
      </c>
      <c r="K112" s="444">
        <f t="shared" ca="1" si="2"/>
        <v>7631.6557006582225</v>
      </c>
      <c r="L112" s="444">
        <f t="shared" ca="1" si="3"/>
        <v>1839229.0238586317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47">
        <f t="shared" ca="1" si="4"/>
        <v>60700.54131355026</v>
      </c>
      <c r="C113" s="447">
        <f t="shared" si="0"/>
        <v>0</v>
      </c>
      <c r="D113" s="447">
        <f t="shared" ca="1" si="9"/>
        <v>54721.466176786256</v>
      </c>
      <c r="E113" s="447">
        <f t="shared" ca="1" si="1"/>
        <v>115422.00749033652</v>
      </c>
      <c r="F113" s="431"/>
      <c r="G113" s="459">
        <f t="shared" si="13"/>
        <v>9</v>
      </c>
      <c r="H113" s="459">
        <v>106</v>
      </c>
      <c r="I113" s="444">
        <f t="shared" ca="1" si="5"/>
        <v>1839229.0238586317</v>
      </c>
      <c r="J113" s="444">
        <f t="array" ref="J113">IFERROR(INDEX('Retirement Calculator'!J:J,MATCH('Isaac 401k'!N113,'Retirement Calculator'!A:A,0),0),0)</f>
        <v>7896.2379798201846</v>
      </c>
      <c r="K113" s="444">
        <f t="shared" ca="1" si="2"/>
        <v>7630.5532744950469</v>
      </c>
      <c r="L113" s="444">
        <f t="shared" ca="1" si="3"/>
        <v>1838963.3391533066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47">
        <f t="shared" ca="1" si="4"/>
        <v>115422.00749033652</v>
      </c>
      <c r="C114" s="447">
        <f t="shared" si="0"/>
        <v>0</v>
      </c>
      <c r="D114" s="447">
        <f t="shared" ca="1" si="9"/>
        <v>54721.466176786256</v>
      </c>
      <c r="E114" s="447">
        <f t="shared" ca="1" si="1"/>
        <v>170143.47366712277</v>
      </c>
      <c r="F114" s="431"/>
      <c r="G114" s="459">
        <f t="shared" si="13"/>
        <v>9</v>
      </c>
      <c r="H114" s="459">
        <v>107</v>
      </c>
      <c r="I114" s="444">
        <f t="shared" ca="1" si="5"/>
        <v>1838963.3391533066</v>
      </c>
      <c r="J114" s="444">
        <f t="array" ref="J114">IFERROR(INDEX('Retirement Calculator'!J:J,MATCH('Isaac 401k'!N114,'Retirement Calculator'!A:A,0),0),0)</f>
        <v>7896.2379798201846</v>
      </c>
      <c r="K114" s="444">
        <f t="shared" ca="1" si="2"/>
        <v>7629.4462548895262</v>
      </c>
      <c r="L114" s="444">
        <f t="shared" ca="1" si="3"/>
        <v>1838696.5474283758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47">
        <f t="shared" ca="1" si="4"/>
        <v>170143.47366712277</v>
      </c>
      <c r="C115" s="447">
        <f t="shared" si="0"/>
        <v>0</v>
      </c>
      <c r="D115" s="447">
        <f t="shared" ca="1" si="9"/>
        <v>54721.466176786256</v>
      </c>
      <c r="E115" s="447">
        <f t="shared" ca="1" si="1"/>
        <v>224864.93984390903</v>
      </c>
      <c r="F115" s="431"/>
      <c r="G115" s="459">
        <f t="shared" si="13"/>
        <v>9</v>
      </c>
      <c r="H115" s="459">
        <v>108</v>
      </c>
      <c r="I115" s="444">
        <f t="shared" ca="1" si="5"/>
        <v>1838696.5474283758</v>
      </c>
      <c r="J115" s="444">
        <f t="array" ref="J115">IFERROR(INDEX('Retirement Calculator'!J:J,MATCH('Isaac 401k'!N115,'Retirement Calculator'!A:A,0),0),0)</f>
        <v>7896.2379798201846</v>
      </c>
      <c r="K115" s="444">
        <f t="shared" ca="1" si="2"/>
        <v>7628.3346227023148</v>
      </c>
      <c r="L115" s="444">
        <f t="shared" ca="1" si="3"/>
        <v>1838428.6440712579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47">
        <f t="shared" ca="1" si="4"/>
        <v>224864.93984390903</v>
      </c>
      <c r="C116" s="447">
        <f t="shared" si="0"/>
        <v>0</v>
      </c>
      <c r="D116" s="447">
        <f t="shared" ca="1" si="9"/>
        <v>54721.466176786256</v>
      </c>
      <c r="E116" s="447">
        <f t="shared" ca="1" si="1"/>
        <v>279586.40602069529</v>
      </c>
      <c r="F116" s="431"/>
      <c r="G116" s="459">
        <f>G115+1</f>
        <v>10</v>
      </c>
      <c r="H116" s="459">
        <v>109</v>
      </c>
      <c r="I116" s="444">
        <f t="shared" ca="1" si="5"/>
        <v>1838428.6440712579</v>
      </c>
      <c r="J116" s="444">
        <f t="array" ref="J116">IFERROR(INDEX('Retirement Calculator'!J:J,MATCH('Isaac 401k'!N116,'Retirement Calculator'!A:A,0),0),0)</f>
        <v>7896.2379798201846</v>
      </c>
      <c r="K116" s="444">
        <f t="shared" ca="1" si="2"/>
        <v>7627.2183587143236</v>
      </c>
      <c r="L116" s="444">
        <f t="shared" ca="1" si="3"/>
        <v>1838159.624450152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47">
        <f t="shared" ca="1" si="4"/>
        <v>279586.40602069529</v>
      </c>
      <c r="C117" s="447">
        <f t="shared" si="0"/>
        <v>0</v>
      </c>
      <c r="D117" s="447">
        <f t="shared" ca="1" si="9"/>
        <v>54721.466176786256</v>
      </c>
      <c r="E117" s="447">
        <f t="shared" ca="1" si="1"/>
        <v>334307.87219748157</v>
      </c>
      <c r="F117" s="431"/>
      <c r="G117" s="459">
        <f t="shared" ref="G117:G127" si="14">G116</f>
        <v>10</v>
      </c>
      <c r="H117" s="459">
        <v>110</v>
      </c>
      <c r="I117" s="444">
        <f t="shared" ca="1" si="5"/>
        <v>1838159.624450152</v>
      </c>
      <c r="J117" s="444">
        <f t="array" ref="J117">IFERROR(INDEX('Retirement Calculator'!J:J,MATCH('Isaac 401k'!N117,'Retirement Calculator'!A:A,0),0),0)</f>
        <v>7896.2379798201846</v>
      </c>
      <c r="K117" s="444">
        <f t="shared" ca="1" si="2"/>
        <v>7626.0974436263823</v>
      </c>
      <c r="L117" s="444">
        <f t="shared" ca="1" si="3"/>
        <v>1837889.4839139583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47">
        <f t="shared" ca="1" si="4"/>
        <v>334307.87219748157</v>
      </c>
      <c r="C118" s="447">
        <f t="shared" si="0"/>
        <v>0</v>
      </c>
      <c r="D118" s="447">
        <f t="shared" ca="1" si="9"/>
        <v>54721.466176786256</v>
      </c>
      <c r="E118" s="447">
        <f t="shared" ca="1" si="1"/>
        <v>389029.3383742678</v>
      </c>
      <c r="F118" s="431"/>
      <c r="G118" s="459">
        <f t="shared" si="14"/>
        <v>10</v>
      </c>
      <c r="H118" s="459">
        <v>111</v>
      </c>
      <c r="I118" s="444">
        <f t="shared" ca="1" si="5"/>
        <v>1837889.4839139583</v>
      </c>
      <c r="J118" s="444">
        <f t="array" ref="J118">IFERROR(INDEX('Retirement Calculator'!J:J,MATCH('Isaac 401k'!N118,'Retirement Calculator'!A:A,0),0),0)</f>
        <v>7896.2379798201846</v>
      </c>
      <c r="K118" s="444">
        <f t="shared" ca="1" si="2"/>
        <v>7624.9718580589079</v>
      </c>
      <c r="L118" s="444">
        <f t="shared" ca="1" si="3"/>
        <v>1837618.2177921969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47">
        <f t="shared" ca="1" si="4"/>
        <v>389029.3383742678</v>
      </c>
      <c r="C119" s="447">
        <f t="shared" si="0"/>
        <v>0</v>
      </c>
      <c r="D119" s="447">
        <f t="shared" ca="1" si="9"/>
        <v>54721.466176786256</v>
      </c>
      <c r="E119" s="447">
        <f t="shared" ca="1" si="1"/>
        <v>443750.80455105403</v>
      </c>
      <c r="F119" s="431"/>
      <c r="G119" s="459">
        <f t="shared" si="14"/>
        <v>10</v>
      </c>
      <c r="H119" s="459">
        <v>112</v>
      </c>
      <c r="I119" s="444">
        <f t="shared" ca="1" si="5"/>
        <v>1837618.2177921969</v>
      </c>
      <c r="J119" s="444">
        <f t="array" ref="J119">IFERROR(INDEX('Retirement Calculator'!J:J,MATCH('Isaac 401k'!N119,'Retirement Calculator'!A:A,0),0),0)</f>
        <v>7896.2379798201846</v>
      </c>
      <c r="K119" s="444">
        <f t="shared" ca="1" si="2"/>
        <v>7623.8415825515694</v>
      </c>
      <c r="L119" s="444">
        <f t="shared" ca="1" si="3"/>
        <v>1837345.8213949283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47">
        <f t="shared" ca="1" si="4"/>
        <v>443750.80455105403</v>
      </c>
      <c r="C120" s="447">
        <f t="shared" si="0"/>
        <v>0</v>
      </c>
      <c r="D120" s="447">
        <f t="shared" ca="1" si="9"/>
        <v>54721.466176786256</v>
      </c>
      <c r="E120" s="447">
        <f t="shared" ca="1" si="1"/>
        <v>498472.27072784025</v>
      </c>
      <c r="F120" s="431"/>
      <c r="G120" s="459">
        <f t="shared" si="14"/>
        <v>10</v>
      </c>
      <c r="H120" s="459">
        <v>113</v>
      </c>
      <c r="I120" s="444">
        <f t="shared" ca="1" si="5"/>
        <v>1837345.8213949283</v>
      </c>
      <c r="J120" s="444">
        <f t="array" ref="J120">IFERROR(INDEX('Retirement Calculator'!J:J,MATCH('Isaac 401k'!N120,'Retirement Calculator'!A:A,0),0),0)</f>
        <v>7896.2379798201846</v>
      </c>
      <c r="K120" s="444">
        <f t="shared" ca="1" si="2"/>
        <v>7622.7065975629512</v>
      </c>
      <c r="L120" s="444">
        <f t="shared" ca="1" si="3"/>
        <v>1837072.2900126709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47">
        <f t="shared" ca="1" si="4"/>
        <v>498472.27072784025</v>
      </c>
      <c r="C121" s="447">
        <f t="shared" si="0"/>
        <v>0</v>
      </c>
      <c r="D121" s="447">
        <f t="shared" ca="1" si="9"/>
        <v>54721.466176786256</v>
      </c>
      <c r="E121" s="447">
        <f t="shared" ca="1" si="1"/>
        <v>553193.73690462648</v>
      </c>
      <c r="F121" s="431"/>
      <c r="G121" s="459">
        <f t="shared" si="14"/>
        <v>10</v>
      </c>
      <c r="H121" s="459">
        <v>114</v>
      </c>
      <c r="I121" s="444">
        <f t="shared" ca="1" si="5"/>
        <v>1837072.2900126709</v>
      </c>
      <c r="J121" s="444">
        <f t="array" ref="J121">IFERROR(INDEX('Retirement Calculator'!J:J,MATCH('Isaac 401k'!N121,'Retirement Calculator'!A:A,0),0),0)</f>
        <v>7896.2379798201846</v>
      </c>
      <c r="K121" s="444">
        <f t="shared" ca="1" si="2"/>
        <v>7621.566883470211</v>
      </c>
      <c r="L121" s="444">
        <f t="shared" ca="1" si="3"/>
        <v>1836797.6189163208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47">
        <f t="shared" ca="1" si="4"/>
        <v>553193.73690462648</v>
      </c>
      <c r="C122" s="447">
        <f t="shared" si="0"/>
        <v>0</v>
      </c>
      <c r="D122" s="447">
        <f t="shared" ca="1" si="9"/>
        <v>54721.466176786256</v>
      </c>
      <c r="E122" s="447">
        <f t="shared" ca="1" si="1"/>
        <v>607915.20308141271</v>
      </c>
      <c r="F122" s="431"/>
      <c r="G122" s="459">
        <f t="shared" si="14"/>
        <v>10</v>
      </c>
      <c r="H122" s="459">
        <v>115</v>
      </c>
      <c r="I122" s="444">
        <f t="shared" ca="1" si="5"/>
        <v>1836797.6189163208</v>
      </c>
      <c r="J122" s="444">
        <f t="array" ref="J122">IFERROR(INDEX('Retirement Calculator'!J:J,MATCH('Isaac 401k'!N122,'Retirement Calculator'!A:A,0),0),0)</f>
        <v>7896.2379798201846</v>
      </c>
      <c r="K122" s="444">
        <f t="shared" ca="1" si="2"/>
        <v>7620.4224205687515</v>
      </c>
      <c r="L122" s="444">
        <f t="shared" ca="1" si="3"/>
        <v>1836521.8033570694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47">
        <f t="shared" ca="1" si="4"/>
        <v>607915.20308141271</v>
      </c>
      <c r="C123" s="447">
        <f t="shared" si="0"/>
        <v>0</v>
      </c>
      <c r="D123" s="447">
        <f t="shared" ca="1" si="9"/>
        <v>54721.466176786256</v>
      </c>
      <c r="E123" s="447">
        <f t="shared" ca="1" si="1"/>
        <v>662636.66925819893</v>
      </c>
      <c r="F123" s="431"/>
      <c r="G123" s="459">
        <f t="shared" si="14"/>
        <v>10</v>
      </c>
      <c r="H123" s="459">
        <v>116</v>
      </c>
      <c r="I123" s="444">
        <f t="shared" ca="1" si="5"/>
        <v>1836521.8033570694</v>
      </c>
      <c r="J123" s="444">
        <f t="array" ref="J123">IFERROR(INDEX('Retirement Calculator'!J:J,MATCH('Isaac 401k'!N123,'Retirement Calculator'!A:A,0),0),0)</f>
        <v>7896.2379798201846</v>
      </c>
      <c r="K123" s="444">
        <f t="shared" ca="1" si="2"/>
        <v>7619.2731890718715</v>
      </c>
      <c r="L123" s="444">
        <f t="shared" ca="1" si="3"/>
        <v>1836244.8385663209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47">
        <f t="shared" ca="1" si="4"/>
        <v>662636.66925819893</v>
      </c>
      <c r="C124" s="447">
        <f t="shared" si="0"/>
        <v>0</v>
      </c>
      <c r="D124" s="447">
        <f t="shared" ca="1" si="9"/>
        <v>54721.466176786256</v>
      </c>
      <c r="E124" s="447">
        <f t="shared" ca="1" si="1"/>
        <v>717358.13543498516</v>
      </c>
      <c r="F124" s="431"/>
      <c r="G124" s="459">
        <f t="shared" si="14"/>
        <v>10</v>
      </c>
      <c r="H124" s="459">
        <v>117</v>
      </c>
      <c r="I124" s="444">
        <f t="shared" ca="1" si="5"/>
        <v>1836244.8385663209</v>
      </c>
      <c r="J124" s="444">
        <f t="array" ref="J124">IFERROR(INDEX('Retirement Calculator'!J:J,MATCH('Isaac 401k'!N124,'Retirement Calculator'!A:A,0),0),0)</f>
        <v>7896.2379798201846</v>
      </c>
      <c r="K124" s="444">
        <f t="shared" ca="1" si="2"/>
        <v>7618.1191691104195</v>
      </c>
      <c r="L124" s="444">
        <f t="shared" ca="1" si="3"/>
        <v>1835966.7197556111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47">
        <f t="shared" ca="1" si="4"/>
        <v>717358.13543498516</v>
      </c>
      <c r="C125" s="447">
        <f t="shared" si="0"/>
        <v>0</v>
      </c>
      <c r="D125" s="447">
        <f t="shared" ca="1" si="9"/>
        <v>54721.466176786256</v>
      </c>
      <c r="E125" s="447">
        <f t="shared" ca="1" si="1"/>
        <v>772079.60161177139</v>
      </c>
      <c r="F125" s="431"/>
      <c r="G125" s="459">
        <f t="shared" si="14"/>
        <v>10</v>
      </c>
      <c r="H125" s="459">
        <v>118</v>
      </c>
      <c r="I125" s="444">
        <f t="shared" ca="1" si="5"/>
        <v>1835966.7197556111</v>
      </c>
      <c r="J125" s="444">
        <f t="array" ref="J125">IFERROR(INDEX('Retirement Calculator'!J:J,MATCH('Isaac 401k'!N125,'Retirement Calculator'!A:A,0),0),0)</f>
        <v>7896.2379798201846</v>
      </c>
      <c r="K125" s="444">
        <f t="shared" ca="1" si="2"/>
        <v>7616.9603407324621</v>
      </c>
      <c r="L125" s="444">
        <f t="shared" ca="1" si="3"/>
        <v>1835687.4421165234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47">
        <f t="shared" ca="1" si="4"/>
        <v>772079.60161177139</v>
      </c>
      <c r="C126" s="447">
        <f t="shared" si="0"/>
        <v>0</v>
      </c>
      <c r="D126" s="447">
        <f t="shared" ca="1" si="9"/>
        <v>54721.466176786256</v>
      </c>
      <c r="E126" s="447">
        <f t="shared" ca="1" si="1"/>
        <v>826801.06778855762</v>
      </c>
      <c r="F126" s="431"/>
      <c r="G126" s="459">
        <f t="shared" si="14"/>
        <v>10</v>
      </c>
      <c r="H126" s="459">
        <v>119</v>
      </c>
      <c r="I126" s="444">
        <f t="shared" ca="1" si="5"/>
        <v>1835687.4421165234</v>
      </c>
      <c r="J126" s="444">
        <f t="array" ref="J126">IFERROR(INDEX('Retirement Calculator'!J:J,MATCH('Isaac 401k'!N126,'Retirement Calculator'!A:A,0),0),0)</f>
        <v>7896.2379798201846</v>
      </c>
      <c r="K126" s="444">
        <f t="shared" ca="1" si="2"/>
        <v>7615.7966839029305</v>
      </c>
      <c r="L126" s="444">
        <f t="shared" ca="1" si="3"/>
        <v>1835407.000820606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47">
        <f t="shared" ca="1" si="4"/>
        <v>826801.06778855762</v>
      </c>
      <c r="C127" s="447">
        <f t="shared" si="0"/>
        <v>0</v>
      </c>
      <c r="D127" s="447">
        <f t="shared" ca="1" si="9"/>
        <v>54721.466176786256</v>
      </c>
      <c r="E127" s="447">
        <f t="shared" ca="1" si="1"/>
        <v>881522.53396534384</v>
      </c>
      <c r="F127" s="431"/>
      <c r="G127" s="459">
        <f t="shared" si="14"/>
        <v>10</v>
      </c>
      <c r="H127" s="459">
        <v>120</v>
      </c>
      <c r="I127" s="444">
        <f t="shared" ca="1" si="5"/>
        <v>1835407.000820606</v>
      </c>
      <c r="J127" s="444">
        <f t="array" ref="J127">IFERROR(INDEX('Retirement Calculator'!J:J,MATCH('Isaac 401k'!N127,'Retirement Calculator'!A:A,0),0),0)</f>
        <v>7896.2379798201846</v>
      </c>
      <c r="K127" s="444">
        <f t="shared" ca="1" si="2"/>
        <v>7614.6281785032752</v>
      </c>
      <c r="L127" s="444">
        <f t="shared" ca="1" si="3"/>
        <v>1835125.3910192891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47">
        <f t="shared" ca="1" si="4"/>
        <v>881522.53396534384</v>
      </c>
      <c r="C128" s="447">
        <f t="shared" si="0"/>
        <v>0</v>
      </c>
      <c r="D128" s="447">
        <f t="shared" ca="1" si="9"/>
        <v>54721.466176786256</v>
      </c>
      <c r="E128" s="447">
        <f t="shared" ca="1" si="1"/>
        <v>936244.00014213007</v>
      </c>
      <c r="F128" s="431"/>
      <c r="G128" s="459">
        <f>G127+1</f>
        <v>11</v>
      </c>
      <c r="H128" s="459">
        <v>121</v>
      </c>
      <c r="I128" s="444">
        <f t="shared" ca="1" si="5"/>
        <v>1835125.3910192891</v>
      </c>
      <c r="J128" s="444">
        <f t="array" ref="J128">IFERROR(INDEX('Retirement Calculator'!J:J,MATCH('Isaac 401k'!N128,'Retirement Calculator'!A:A,0),0),0)</f>
        <v>7896.2379798201846</v>
      </c>
      <c r="K128" s="444">
        <f t="shared" ca="1" si="2"/>
        <v>7613.4548043311206</v>
      </c>
      <c r="L128" s="444">
        <f t="shared" ca="1" si="3"/>
        <v>1834842.6078438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47">
        <f t="shared" ca="1" si="4"/>
        <v>936244.00014213007</v>
      </c>
      <c r="C129" s="447">
        <f t="shared" si="0"/>
        <v>0</v>
      </c>
      <c r="D129" s="447">
        <f t="shared" ca="1" si="9"/>
        <v>54721.466176786256</v>
      </c>
      <c r="E129" s="447">
        <f t="shared" ca="1" si="1"/>
        <v>990965.4663189163</v>
      </c>
      <c r="F129" s="431"/>
      <c r="G129" s="459">
        <f t="shared" ref="G129:G139" si="15">G128</f>
        <v>11</v>
      </c>
      <c r="H129" s="459">
        <v>122</v>
      </c>
      <c r="I129" s="444">
        <f t="shared" ca="1" si="5"/>
        <v>1834842.6078438</v>
      </c>
      <c r="J129" s="444">
        <f t="array" ref="J129">IFERROR(INDEX('Retirement Calculator'!J:J,MATCH('Isaac 401k'!N129,'Retirement Calculator'!A:A,0),0),0)</f>
        <v>7896.2379798201846</v>
      </c>
      <c r="K129" s="444">
        <f t="shared" ca="1" si="2"/>
        <v>7612.2765410999154</v>
      </c>
      <c r="L129" s="444">
        <f t="shared" ca="1" si="3"/>
        <v>1834558.6464050796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47">
        <f t="shared" ca="1" si="4"/>
        <v>990965.4663189163</v>
      </c>
      <c r="C130" s="447">
        <f t="shared" si="0"/>
        <v>0</v>
      </c>
      <c r="D130" s="447">
        <f t="shared" ca="1" si="9"/>
        <v>54721.466176786256</v>
      </c>
      <c r="E130" s="447">
        <f t="shared" ca="1" si="1"/>
        <v>1045686.9324957025</v>
      </c>
      <c r="F130" s="431"/>
      <c r="G130" s="459">
        <f t="shared" si="15"/>
        <v>11</v>
      </c>
      <c r="H130" s="459">
        <v>123</v>
      </c>
      <c r="I130" s="444">
        <f t="shared" ca="1" si="5"/>
        <v>1834558.6464050796</v>
      </c>
      <c r="J130" s="444">
        <f t="array" ref="J130">IFERROR(INDEX('Retirement Calculator'!J:J,MATCH('Isaac 401k'!N130,'Retirement Calculator'!A:A,0),0),0)</f>
        <v>7896.2379798201846</v>
      </c>
      <c r="K130" s="444">
        <f t="shared" ca="1" si="2"/>
        <v>7611.09336843858</v>
      </c>
      <c r="L130" s="444">
        <f t="shared" ca="1" si="3"/>
        <v>1834273.5017936979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47">
        <f t="shared" ca="1" si="4"/>
        <v>1045686.9324957025</v>
      </c>
      <c r="C131" s="447">
        <f t="shared" si="0"/>
        <v>0</v>
      </c>
      <c r="D131" s="447">
        <f t="shared" ca="1" si="9"/>
        <v>54721.466176786256</v>
      </c>
      <c r="E131" s="447">
        <f t="shared" ca="1" si="1"/>
        <v>1100408.3986724888</v>
      </c>
      <c r="F131" s="431"/>
      <c r="G131" s="459">
        <f t="shared" si="15"/>
        <v>11</v>
      </c>
      <c r="H131" s="459">
        <v>124</v>
      </c>
      <c r="I131" s="444">
        <f t="shared" ca="1" si="5"/>
        <v>1834273.5017936979</v>
      </c>
      <c r="J131" s="444">
        <f t="array" ref="J131">IFERROR(INDEX('Retirement Calculator'!J:J,MATCH('Isaac 401k'!N131,'Retirement Calculator'!A:A,0),0),0)</f>
        <v>7896.2379798201846</v>
      </c>
      <c r="K131" s="444">
        <f t="shared" ca="1" si="2"/>
        <v>7609.9052658911569</v>
      </c>
      <c r="L131" s="444">
        <f t="shared" ca="1" si="3"/>
        <v>1833987.1690797689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47">
        <f t="shared" ca="1" si="4"/>
        <v>1100408.3986724888</v>
      </c>
      <c r="C132" s="447">
        <f t="shared" si="0"/>
        <v>0</v>
      </c>
      <c r="D132" s="447">
        <f t="shared" ca="1" si="9"/>
        <v>54721.466176786256</v>
      </c>
      <c r="E132" s="447">
        <f t="shared" ca="1" si="1"/>
        <v>1155129.864849275</v>
      </c>
      <c r="F132" s="431"/>
      <c r="G132" s="459">
        <f t="shared" si="15"/>
        <v>11</v>
      </c>
      <c r="H132" s="459">
        <v>125</v>
      </c>
      <c r="I132" s="444">
        <f t="shared" ca="1" si="5"/>
        <v>1833987.1690797689</v>
      </c>
      <c r="J132" s="444">
        <f t="array" ref="J132">IFERROR(INDEX('Retirement Calculator'!J:J,MATCH('Isaac 401k'!N132,'Retirement Calculator'!A:A,0),0),0)</f>
        <v>7896.2379798201846</v>
      </c>
      <c r="K132" s="444">
        <f t="shared" ca="1" si="2"/>
        <v>7608.7122129164527</v>
      </c>
      <c r="L132" s="444">
        <f t="shared" ca="1" si="3"/>
        <v>1833699.6433128652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47">
        <f t="shared" ca="1" si="4"/>
        <v>1155129.864849275</v>
      </c>
      <c r="C133" s="447">
        <f t="shared" si="0"/>
        <v>0</v>
      </c>
      <c r="D133" s="447">
        <f t="shared" ca="1" si="9"/>
        <v>54721.466176786256</v>
      </c>
      <c r="E133" s="447">
        <f t="shared" ca="1" si="1"/>
        <v>1209851.3310260612</v>
      </c>
      <c r="F133" s="431"/>
      <c r="G133" s="459">
        <f t="shared" si="15"/>
        <v>11</v>
      </c>
      <c r="H133" s="459">
        <v>126</v>
      </c>
      <c r="I133" s="444">
        <f t="shared" ca="1" si="5"/>
        <v>1833699.6433128652</v>
      </c>
      <c r="J133" s="444">
        <f t="array" ref="J133">IFERROR(INDEX('Retirement Calculator'!J:J,MATCH('Isaac 401k'!N133,'Retirement Calculator'!A:A,0),0),0)</f>
        <v>7896.2379798201846</v>
      </c>
      <c r="K133" s="444">
        <f t="shared" ca="1" si="2"/>
        <v>7607.514188887686</v>
      </c>
      <c r="L133" s="444">
        <f t="shared" ca="1" si="3"/>
        <v>1833410.9195219327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47">
        <f t="shared" ca="1" si="4"/>
        <v>1209851.3310260612</v>
      </c>
      <c r="C134" s="447">
        <f t="shared" si="0"/>
        <v>0</v>
      </c>
      <c r="D134" s="447">
        <f t="shared" ca="1" si="9"/>
        <v>54721.466176786256</v>
      </c>
      <c r="E134" s="447">
        <f t="shared" ca="1" si="1"/>
        <v>1264572.7972028474</v>
      </c>
      <c r="F134" s="431"/>
      <c r="G134" s="459">
        <f t="shared" si="15"/>
        <v>11</v>
      </c>
      <c r="H134" s="459">
        <v>127</v>
      </c>
      <c r="I134" s="444">
        <f t="shared" ca="1" si="5"/>
        <v>1833410.9195219327</v>
      </c>
      <c r="J134" s="444">
        <f t="array" ref="J134">IFERROR(INDEX('Retirement Calculator'!J:J,MATCH('Isaac 401k'!N134,'Retirement Calculator'!A:A,0),0),0)</f>
        <v>7896.2379798201846</v>
      </c>
      <c r="K134" s="444">
        <f t="shared" ca="1" si="2"/>
        <v>7606.3111730921355</v>
      </c>
      <c r="L134" s="444">
        <f t="shared" ca="1" si="3"/>
        <v>1833120.9927152046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47">
        <f t="shared" ca="1" si="4"/>
        <v>1264572.7972028474</v>
      </c>
      <c r="C135" s="447">
        <f t="shared" si="0"/>
        <v>0</v>
      </c>
      <c r="D135" s="447">
        <f t="shared" ca="1" si="9"/>
        <v>54721.466176786256</v>
      </c>
      <c r="E135" s="447">
        <f t="shared" ca="1" si="1"/>
        <v>1319294.2633796337</v>
      </c>
      <c r="F135" s="431"/>
      <c r="G135" s="459">
        <f t="shared" si="15"/>
        <v>11</v>
      </c>
      <c r="H135" s="459">
        <v>128</v>
      </c>
      <c r="I135" s="444">
        <f t="shared" ca="1" si="5"/>
        <v>1833120.9927152046</v>
      </c>
      <c r="J135" s="444">
        <f t="array" ref="J135">IFERROR(INDEX('Retirement Calculator'!J:J,MATCH('Isaac 401k'!N135,'Retirement Calculator'!A:A,0),0),0)</f>
        <v>7896.2379798201846</v>
      </c>
      <c r="K135" s="444">
        <f t="shared" ca="1" si="2"/>
        <v>7605.1031447307678</v>
      </c>
      <c r="L135" s="444">
        <f t="shared" ca="1" si="3"/>
        <v>1832829.857880115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47">
        <f t="shared" ca="1" si="4"/>
        <v>1319294.2633796337</v>
      </c>
      <c r="C136" s="447">
        <f t="shared" si="0"/>
        <v>0</v>
      </c>
      <c r="D136" s="447">
        <f t="shared" ca="1" si="9"/>
        <v>54721.466176786256</v>
      </c>
      <c r="E136" s="447">
        <f t="shared" ca="1" si="1"/>
        <v>1374015.7295564199</v>
      </c>
      <c r="F136" s="431"/>
      <c r="G136" s="459">
        <f t="shared" si="15"/>
        <v>11</v>
      </c>
      <c r="H136" s="459">
        <v>129</v>
      </c>
      <c r="I136" s="444">
        <f t="shared" ca="1" si="5"/>
        <v>1832829.857880115</v>
      </c>
      <c r="J136" s="444">
        <f t="array" ref="J136">IFERROR(INDEX('Retirement Calculator'!J:J,MATCH('Isaac 401k'!N136,'Retirement Calculator'!A:A,0),0),0)</f>
        <v>7896.2379798201846</v>
      </c>
      <c r="K136" s="444">
        <f t="shared" ca="1" si="2"/>
        <v>7603.8900829178956</v>
      </c>
      <c r="L136" s="444">
        <f t="shared" ca="1" si="3"/>
        <v>1832537.5099832127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1832537.5099832127</v>
      </c>
      <c r="J137" s="444">
        <f t="array" ref="J137">IFERROR(INDEX('Retirement Calculator'!J:J,MATCH('Isaac 401k'!N137,'Retirement Calculator'!A:A,0),0),0)</f>
        <v>7896.2379798201846</v>
      </c>
      <c r="K137" s="444">
        <f t="shared" ca="1" si="2"/>
        <v>7602.6719666808012</v>
      </c>
      <c r="L137" s="444">
        <f t="shared" ca="1" si="3"/>
        <v>1832243.9439700732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1832243.9439700732</v>
      </c>
      <c r="J138" s="444">
        <f t="array" ref="J138">IFERROR(INDEX('Retirement Calculator'!J:J,MATCH('Isaac 401k'!N138,'Retirement Calculator'!A:A,0),0),0)</f>
        <v>7896.2379798201846</v>
      </c>
      <c r="K138" s="444">
        <f t="shared" ca="1" si="2"/>
        <v>7601.4487749593882</v>
      </c>
      <c r="L138" s="444">
        <f t="shared" ca="1" si="3"/>
        <v>1831949.1547652124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1831949.1547652124</v>
      </c>
      <c r="J139" s="444">
        <f t="array" ref="J139">IFERROR(INDEX('Retirement Calculator'!J:J,MATCH('Isaac 401k'!N139,'Retirement Calculator'!A:A,0),0),0)</f>
        <v>7896.2379798201846</v>
      </c>
      <c r="K139" s="444">
        <f t="shared" ca="1" si="2"/>
        <v>7600.2204866058</v>
      </c>
      <c r="L139" s="444">
        <f t="shared" ca="1" si="3"/>
        <v>1831653.137271998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1831653.137271998</v>
      </c>
      <c r="J140" s="444">
        <f t="array" ref="J140">IFERROR(INDEX('Retirement Calculator'!J:J,MATCH('Isaac 401k'!N140,'Retirement Calculator'!A:A,0),0),0)</f>
        <v>7896.2379798201846</v>
      </c>
      <c r="K140" s="444">
        <f t="shared" ca="1" si="2"/>
        <v>7598.987080384074</v>
      </c>
      <c r="L140" s="444">
        <f t="shared" ca="1" si="3"/>
        <v>1831355.8863725618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1831355.8863725618</v>
      </c>
      <c r="J141" s="444">
        <f t="array" ref="J141">IFERROR(INDEX('Retirement Calculator'!J:J,MATCH('Isaac 401k'!N141,'Retirement Calculator'!A:A,0),0),0)</f>
        <v>7896.2379798201846</v>
      </c>
      <c r="K141" s="444">
        <f t="shared" ca="1" si="2"/>
        <v>7597.7485349697563</v>
      </c>
      <c r="L141" s="444">
        <f t="shared" ca="1" si="3"/>
        <v>1831057.3969277113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1831057.3969277113</v>
      </c>
      <c r="J142" s="444">
        <f t="array" ref="J142">IFERROR(INDEX('Retirement Calculator'!J:J,MATCH('Isaac 401k'!N142,'Retirement Calculator'!A:A,0),0),0)</f>
        <v>7896.2379798201846</v>
      </c>
      <c r="K142" s="444">
        <f t="shared" ca="1" si="2"/>
        <v>7596.5048289495471</v>
      </c>
      <c r="L142" s="444">
        <f t="shared" ca="1" si="3"/>
        <v>1830757.6637768405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1830757.6637768405</v>
      </c>
      <c r="J143" s="444">
        <f t="array" ref="J143">IFERROR(INDEX('Retirement Calculator'!J:J,MATCH('Isaac 401k'!N143,'Retirement Calculator'!A:A,0),0),0)</f>
        <v>7896.2379798201846</v>
      </c>
      <c r="K143" s="444">
        <f t="shared" ca="1" si="2"/>
        <v>7595.2559408209181</v>
      </c>
      <c r="L143" s="444">
        <f t="shared" ca="1" si="3"/>
        <v>1830456.6817378413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1830456.6817378413</v>
      </c>
      <c r="J144" s="444">
        <f t="array" ref="J144">IFERROR(INDEX('Retirement Calculator'!J:J,MATCH('Isaac 401k'!N144,'Retirement Calculator'!A:A,0),0),0)</f>
        <v>7896.2379798201846</v>
      </c>
      <c r="K144" s="444">
        <f t="shared" ca="1" si="2"/>
        <v>7594.0018489917547</v>
      </c>
      <c r="L144" s="444">
        <f t="shared" ca="1" si="3"/>
        <v>1830154.4456070128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1830154.4456070128</v>
      </c>
      <c r="J145" s="444">
        <f t="array" ref="J145">IFERROR(INDEX('Retirement Calculator'!J:J,MATCH('Isaac 401k'!N145,'Retirement Calculator'!A:A,0),0),0)</f>
        <v>7896.2379798201846</v>
      </c>
      <c r="K145" s="444">
        <f t="shared" ca="1" si="2"/>
        <v>7592.7425317799689</v>
      </c>
      <c r="L145" s="444">
        <f t="shared" ca="1" si="3"/>
        <v>1829850.9501589725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1829850.9501589725</v>
      </c>
      <c r="J146" s="444">
        <f t="array" ref="J146">IFERROR(INDEX('Retirement Calculator'!J:J,MATCH('Isaac 401k'!N146,'Retirement Calculator'!A:A,0),0),0)</f>
        <v>7896.2379798201846</v>
      </c>
      <c r="K146" s="444">
        <f t="shared" ca="1" si="2"/>
        <v>7591.4779674131332</v>
      </c>
      <c r="L146" s="444">
        <f t="shared" ca="1" si="3"/>
        <v>1829546.1901465654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1829546.1901465654</v>
      </c>
      <c r="J147" s="444">
        <f t="array" ref="J147">IFERROR(INDEX('Retirement Calculator'!J:J,MATCH('Isaac 401k'!N147,'Retirement Calculator'!A:A,0),0),0)</f>
        <v>7896.2379798201846</v>
      </c>
      <c r="K147" s="444">
        <f t="shared" ca="1" si="2"/>
        <v>7590.2081340281047</v>
      </c>
      <c r="L147" s="444">
        <f t="shared" ca="1" si="3"/>
        <v>1829240.1603007733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1829240.1603007733</v>
      </c>
      <c r="J148" s="444">
        <f t="array" ref="J148">IFERROR(INDEX('Retirement Calculator'!J:J,MATCH('Isaac 401k'!N148,'Retirement Calculator'!A:A,0),0),0)</f>
        <v>7896.2379798201846</v>
      </c>
      <c r="K148" s="444">
        <f t="shared" ca="1" si="2"/>
        <v>7588.933009670639</v>
      </c>
      <c r="L148" s="444">
        <f t="shared" ca="1" si="3"/>
        <v>1828932.8553306237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1828932.8553306237</v>
      </c>
      <c r="J149" s="444">
        <f t="array" ref="J149">IFERROR(INDEX('Retirement Calculator'!J:J,MATCH('Isaac 401k'!N149,'Retirement Calculator'!A:A,0),0),0)</f>
        <v>7896.2379798201846</v>
      </c>
      <c r="K149" s="444">
        <f t="shared" ca="1" si="2"/>
        <v>7587.6525722950146</v>
      </c>
      <c r="L149" s="444">
        <f t="shared" ca="1" si="3"/>
        <v>1828624.2699230984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1828624.2699230984</v>
      </c>
      <c r="J150" s="444">
        <f t="array" ref="J150">IFERROR(INDEX('Retirement Calculator'!J:J,MATCH('Isaac 401k'!N150,'Retirement Calculator'!A:A,0),0),0)</f>
        <v>7896.2379798201846</v>
      </c>
      <c r="K150" s="444">
        <f t="shared" ca="1" si="2"/>
        <v>7586.3667997636585</v>
      </c>
      <c r="L150" s="444">
        <f t="shared" ca="1" si="3"/>
        <v>1828314.3987430418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1828314.3987430418</v>
      </c>
      <c r="J151" s="444">
        <f t="array" ref="J151">IFERROR(INDEX('Retirement Calculator'!J:J,MATCH('Isaac 401k'!N151,'Retirement Calculator'!A:A,0),0),0)</f>
        <v>7896.2379798201846</v>
      </c>
      <c r="K151" s="444">
        <f t="shared" ca="1" si="2"/>
        <v>7585.0756698467576</v>
      </c>
      <c r="L151" s="444">
        <f t="shared" ca="1" si="3"/>
        <v>1828003.2364330683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1828003.2364330683</v>
      </c>
      <c r="J152" s="444">
        <f t="array" ref="J152">IFERROR(INDEX('Retirement Calculator'!J:J,MATCH('Isaac 401k'!N152,'Retirement Calculator'!A:A,0),0),0)</f>
        <v>7896.2379798201846</v>
      </c>
      <c r="K152" s="444">
        <f t="shared" ca="1" si="2"/>
        <v>7583.7791602218658</v>
      </c>
      <c r="L152" s="444">
        <f t="shared" ca="1" si="3"/>
        <v>1827690.7776134699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1827690.7776134699</v>
      </c>
      <c r="J153" s="444">
        <f t="array" ref="J153">IFERROR(INDEX('Retirement Calculator'!J:J,MATCH('Isaac 401k'!N153,'Retirement Calculator'!A:A,0),0),0)</f>
        <v>7896.2379798201846</v>
      </c>
      <c r="K153" s="444">
        <f t="shared" ca="1" si="2"/>
        <v>7582.4772484735404</v>
      </c>
      <c r="L153" s="444">
        <f t="shared" ca="1" si="3"/>
        <v>1827377.0168821232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1827377.0168821232</v>
      </c>
      <c r="J154" s="444">
        <f t="array" ref="J154">IFERROR(INDEX('Retirement Calculator'!J:J,MATCH('Isaac 401k'!N154,'Retirement Calculator'!A:A,0),0),0)</f>
        <v>7896.2379798201846</v>
      </c>
      <c r="K154" s="444">
        <f t="shared" ca="1" si="2"/>
        <v>7581.1699120929288</v>
      </c>
      <c r="L154" s="444">
        <f t="shared" ca="1" si="3"/>
        <v>1827061.9488143958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1827061.9488143958</v>
      </c>
      <c r="J155" s="444">
        <f t="array" ref="J155">IFERROR(INDEX('Retirement Calculator'!J:J,MATCH('Isaac 401k'!N155,'Retirement Calculator'!A:A,0),0),0)</f>
        <v>7896.2379798201846</v>
      </c>
      <c r="K155" s="444">
        <f t="shared" ca="1" si="2"/>
        <v>7579.8571284773989</v>
      </c>
      <c r="L155" s="444">
        <f t="shared" ca="1" si="3"/>
        <v>1826745.567963053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1826745.567963053</v>
      </c>
      <c r="J156" s="444">
        <f t="array" ref="J156">IFERROR(INDEX('Retirement Calculator'!J:J,MATCH('Isaac 401k'!N156,'Retirement Calculator'!A:A,0),0),0)</f>
        <v>7896.2379798201846</v>
      </c>
      <c r="K156" s="444">
        <f t="shared" ca="1" si="2"/>
        <v>7578.5388749301355</v>
      </c>
      <c r="L156" s="444">
        <f t="shared" ca="1" si="3"/>
        <v>1826427.868858163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1826427.868858163</v>
      </c>
      <c r="J157" s="444">
        <f t="array" ref="J157">IFERROR(INDEX('Retirement Calculator'!J:J,MATCH('Isaac 401k'!N157,'Retirement Calculator'!A:A,0),0),0)</f>
        <v>7896.2379798201846</v>
      </c>
      <c r="K157" s="444">
        <f t="shared" ca="1" si="2"/>
        <v>7577.2151286597627</v>
      </c>
      <c r="L157" s="444">
        <f t="shared" ca="1" si="3"/>
        <v>1826108.8460070025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1826108.8460070025</v>
      </c>
      <c r="J158" s="444">
        <f t="array" ref="J158">IFERROR(INDEX('Retirement Calculator'!J:J,MATCH('Isaac 401k'!N158,'Retirement Calculator'!A:A,0),0),0)</f>
        <v>7896.2379798201846</v>
      </c>
      <c r="K158" s="444">
        <f t="shared" ca="1" si="2"/>
        <v>7575.885866779925</v>
      </c>
      <c r="L158" s="444">
        <f t="shared" ca="1" si="3"/>
        <v>1825788.4938939621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1825788.4938939621</v>
      </c>
      <c r="J159" s="444">
        <f t="array" ref="J159">IFERROR(INDEX('Retirement Calculator'!J:J,MATCH('Isaac 401k'!N159,'Retirement Calculator'!A:A,0),0),0)</f>
        <v>7896.2379798201846</v>
      </c>
      <c r="K159" s="444">
        <f t="shared" ca="1" si="2"/>
        <v>7574.5510663089244</v>
      </c>
      <c r="L159" s="444">
        <f t="shared" ca="1" si="3"/>
        <v>1825466.8069804509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1825466.8069804509</v>
      </c>
      <c r="J160" s="444">
        <f t="array" ref="J160">IFERROR(INDEX('Retirement Calculator'!J:J,MATCH('Isaac 401k'!N160,'Retirement Calculator'!A:A,0),0),0)</f>
        <v>7896.2379798201846</v>
      </c>
      <c r="K160" s="444">
        <f t="shared" ca="1" si="2"/>
        <v>7573.2107041692934</v>
      </c>
      <c r="L160" s="444">
        <f t="shared" ca="1" si="3"/>
        <v>1825143.7797047999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1825143.7797047999</v>
      </c>
      <c r="J161" s="444">
        <f t="array" ref="J161">IFERROR(INDEX('Retirement Calculator'!J:J,MATCH('Isaac 401k'!N161,'Retirement Calculator'!A:A,0),0),0)</f>
        <v>7896.2379798201846</v>
      </c>
      <c r="K161" s="444">
        <f t="shared" ca="1" si="2"/>
        <v>7571.8647571874153</v>
      </c>
      <c r="L161" s="444">
        <f t="shared" ca="1" si="3"/>
        <v>1824819.4064821671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1824819.4064821671</v>
      </c>
      <c r="J162" s="444">
        <f t="array" ref="J162">IFERROR(INDEX('Retirement Calculator'!J:J,MATCH('Isaac 401k'!N162,'Retirement Calculator'!A:A,0),0),0)</f>
        <v>7896.2379798201846</v>
      </c>
      <c r="K162" s="444">
        <f t="shared" ca="1" si="2"/>
        <v>7570.5132020931114</v>
      </c>
      <c r="L162" s="444">
        <f t="shared" ca="1" si="3"/>
        <v>1824493.6817044399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1824493.6817044399</v>
      </c>
      <c r="J163" s="444">
        <f t="array" ref="J163">IFERROR(INDEX('Retirement Calculator'!J:J,MATCH('Isaac 401k'!N163,'Retirement Calculator'!A:A,0),0),0)</f>
        <v>7896.2379798201846</v>
      </c>
      <c r="K163" s="444">
        <f t="shared" ca="1" si="2"/>
        <v>7569.1560155192483</v>
      </c>
      <c r="L163" s="444">
        <f t="shared" ca="1" si="3"/>
        <v>1824166.599740139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1824166.599740139</v>
      </c>
      <c r="J164" s="444">
        <f t="array" ref="J164">IFERROR(INDEX('Retirement Calculator'!J:J,MATCH('Isaac 401k'!N164,'Retirement Calculator'!A:A,0),0),0)</f>
        <v>7896.2379798201846</v>
      </c>
      <c r="K164" s="444">
        <f t="shared" ca="1" si="2"/>
        <v>7567.7931740013282</v>
      </c>
      <c r="L164" s="444">
        <f t="shared" ca="1" si="3"/>
        <v>1823838.1549343201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1823838.1549343201</v>
      </c>
      <c r="J165" s="444">
        <f t="array" ref="J165">IFERROR(INDEX('Retirement Calculator'!J:J,MATCH('Isaac 401k'!N165,'Retirement Calculator'!A:A,0),0),0)</f>
        <v>7896.2379798201846</v>
      </c>
      <c r="K165" s="444">
        <f t="shared" ca="1" si="2"/>
        <v>7566.424653977082</v>
      </c>
      <c r="L165" s="444">
        <f t="shared" ca="1" si="3"/>
        <v>1823508.3416084771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1823508.3416084771</v>
      </c>
      <c r="J166" s="444">
        <f t="array" ref="J166">IFERROR(INDEX('Retirement Calculator'!J:J,MATCH('Isaac 401k'!N166,'Retirement Calculator'!A:A,0),0),0)</f>
        <v>7896.2379798201846</v>
      </c>
      <c r="K166" s="444">
        <f t="shared" ca="1" si="2"/>
        <v>7565.0504317860687</v>
      </c>
      <c r="L166" s="444">
        <f t="shared" ca="1" si="3"/>
        <v>1823177.1540604429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1823177.1540604429</v>
      </c>
      <c r="J167" s="444">
        <f t="array" ref="J167">IFERROR(INDEX('Retirement Calculator'!J:J,MATCH('Isaac 401k'!N167,'Retirement Calculator'!A:A,0),0),0)</f>
        <v>7896.2379798201846</v>
      </c>
      <c r="K167" s="444">
        <f t="shared" ca="1" si="2"/>
        <v>7563.6704836692597</v>
      </c>
      <c r="L167" s="444">
        <f t="shared" ca="1" si="3"/>
        <v>1822844.586564292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1822844.586564292</v>
      </c>
      <c r="J168" s="444">
        <f t="array" ref="J168">IFERROR(INDEX('Retirement Calculator'!J:J,MATCH('Isaac 401k'!N168,'Retirement Calculator'!A:A,0),0),0)</f>
        <v>7896.2379798201846</v>
      </c>
      <c r="K168" s="444">
        <f t="shared" ca="1" si="2"/>
        <v>7562.284785768632</v>
      </c>
      <c r="L168" s="444">
        <f t="shared" ca="1" si="3"/>
        <v>1822510.6333702405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1822510.6333702405</v>
      </c>
      <c r="J169" s="444">
        <f t="array" ref="J169">IFERROR(INDEX('Retirement Calculator'!J:J,MATCH('Isaac 401k'!N169,'Retirement Calculator'!A:A,0),0),0)</f>
        <v>7896.2379798201846</v>
      </c>
      <c r="K169" s="444">
        <f t="shared" ca="1" si="2"/>
        <v>7560.8933141267507</v>
      </c>
      <c r="L169" s="444">
        <f t="shared" ca="1" si="3"/>
        <v>1822175.2887045469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1822175.2887045469</v>
      </c>
      <c r="J170" s="444">
        <f t="array" ref="J170">IFERROR(INDEX('Retirement Calculator'!J:J,MATCH('Isaac 401k'!N170,'Retirement Calculator'!A:A,0),0),0)</f>
        <v>7896.2379798201846</v>
      </c>
      <c r="K170" s="444">
        <f t="shared" ca="1" si="2"/>
        <v>7559.4960446863606</v>
      </c>
      <c r="L170" s="444">
        <f t="shared" ca="1" si="3"/>
        <v>1821838.5467694129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1821838.5467694129</v>
      </c>
      <c r="J171" s="444">
        <f t="array" ref="J171">IFERROR(INDEX('Retirement Calculator'!J:J,MATCH('Isaac 401k'!N171,'Retirement Calculator'!A:A,0),0),0)</f>
        <v>7896.2379798201846</v>
      </c>
      <c r="K171" s="444">
        <f t="shared" ca="1" si="2"/>
        <v>7558.0929532899709</v>
      </c>
      <c r="L171" s="444">
        <f t="shared" ca="1" si="3"/>
        <v>1821500.4017428826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1821500.4017428826</v>
      </c>
      <c r="J172" s="444">
        <f t="array" ref="J172">IFERROR(INDEX('Retirement Calculator'!J:J,MATCH('Isaac 401k'!N172,'Retirement Calculator'!A:A,0),0),0)</f>
        <v>7896.2379798201846</v>
      </c>
      <c r="K172" s="444">
        <f t="shared" ca="1" si="2"/>
        <v>7556.684015679426</v>
      </c>
      <c r="L172" s="444">
        <f t="shared" ca="1" si="3"/>
        <v>1821160.8477787417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1821160.8477787417</v>
      </c>
      <c r="J173" s="444">
        <f t="array" ref="J173">IFERROR(INDEX('Retirement Calculator'!J:J,MATCH('Isaac 401k'!N173,'Retirement Calculator'!A:A,0),0),0)</f>
        <v>7896.2379798201846</v>
      </c>
      <c r="K173" s="444">
        <f t="shared" ca="1" si="2"/>
        <v>7555.2692074955057</v>
      </c>
      <c r="L173" s="444">
        <f t="shared" ca="1" si="3"/>
        <v>1820819.879006417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1820819.879006417</v>
      </c>
      <c r="J174" s="444">
        <f t="array" ref="J174">IFERROR(INDEX('Retirement Calculator'!J:J,MATCH('Isaac 401k'!N174,'Retirement Calculator'!A:A,0),0),0)</f>
        <v>7896.2379798201846</v>
      </c>
      <c r="K174" s="444">
        <f t="shared" ca="1" si="2"/>
        <v>7553.8485042774864</v>
      </c>
      <c r="L174" s="444">
        <f t="shared" ca="1" si="3"/>
        <v>1820477.4895308742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1820477.4895308742</v>
      </c>
      <c r="J175" s="444">
        <f t="array" ref="J175">IFERROR(INDEX('Retirement Calculator'!J:J,MATCH('Isaac 401k'!N175,'Retirement Calculator'!A:A,0),0),0)</f>
        <v>7896.2379798201846</v>
      </c>
      <c r="K175" s="444">
        <f t="shared" ca="1" si="2"/>
        <v>7552.4218814627247</v>
      </c>
      <c r="L175" s="444">
        <f t="shared" ca="1" si="3"/>
        <v>1820133.6734325166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1820133.6734325166</v>
      </c>
      <c r="J176" s="444">
        <f t="array" ref="J176">IFERROR(INDEX('Retirement Calculator'!J:J,MATCH('Isaac 401k'!N176,'Retirement Calculator'!A:A,0),0),0)</f>
        <v>7896.2379798201846</v>
      </c>
      <c r="K176" s="444">
        <f t="shared" ca="1" si="2"/>
        <v>7550.9893143862346</v>
      </c>
      <c r="L176" s="444">
        <f t="shared" ca="1" si="3"/>
        <v>1819788.4247670826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1819788.4247670826</v>
      </c>
      <c r="J177" s="444">
        <f t="array" ref="J177">IFERROR(INDEX('Retirement Calculator'!J:J,MATCH('Isaac 401k'!N177,'Retirement Calculator'!A:A,0),0),0)</f>
        <v>7896.2379798201846</v>
      </c>
      <c r="K177" s="444">
        <f t="shared" ca="1" si="2"/>
        <v>7549.5507782802597</v>
      </c>
      <c r="L177" s="444">
        <f t="shared" ca="1" si="3"/>
        <v>1819441.7375655426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1819441.7375655426</v>
      </c>
      <c r="J178" s="444">
        <f t="array" ref="J178">IFERROR(INDEX('Retirement Calculator'!J:J,MATCH('Isaac 401k'!N178,'Retirement Calculator'!A:A,0),0),0)</f>
        <v>7896.2379798201846</v>
      </c>
      <c r="K178" s="444">
        <f t="shared" ca="1" si="2"/>
        <v>7548.1062482738444</v>
      </c>
      <c r="L178" s="444">
        <f t="shared" ca="1" si="3"/>
        <v>1819093.6058339961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1819093.6058339961</v>
      </c>
      <c r="J179" s="444">
        <f t="array" ref="J179">IFERROR(INDEX('Retirement Calculator'!J:J,MATCH('Isaac 401k'!N179,'Retirement Calculator'!A:A,0),0),0)</f>
        <v>7896.2379798201846</v>
      </c>
      <c r="K179" s="444">
        <f t="shared" ca="1" si="2"/>
        <v>7546.6556993923996</v>
      </c>
      <c r="L179" s="444">
        <f t="shared" ca="1" si="3"/>
        <v>1818744.0235535682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1818744.0235535682</v>
      </c>
      <c r="J180" s="444">
        <f t="array" ref="J180">IFERROR(INDEX('Retirement Calculator'!J:J,MATCH('Isaac 401k'!N180,'Retirement Calculator'!A:A,0),0),0)</f>
        <v>7896.2379798201846</v>
      </c>
      <c r="K180" s="444">
        <f t="shared" ca="1" si="2"/>
        <v>7545.1991065572838</v>
      </c>
      <c r="L180" s="444">
        <f t="shared" ca="1" si="3"/>
        <v>1818392.9846803052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1818392.9846803052</v>
      </c>
      <c r="J181" s="444">
        <f t="array" ref="J181">IFERROR(INDEX('Retirement Calculator'!J:J,MATCH('Isaac 401k'!N181,'Retirement Calculator'!A:A,0),0),0)</f>
        <v>7896.2379798201846</v>
      </c>
      <c r="K181" s="444">
        <f t="shared" ca="1" si="2"/>
        <v>7543.7364445853555</v>
      </c>
      <c r="L181" s="444">
        <f t="shared" ca="1" si="3"/>
        <v>1818040.4831450703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1818040.4831450703</v>
      </c>
      <c r="J182" s="444">
        <f t="array" ref="J182">IFERROR(INDEX('Retirement Calculator'!J:J,MATCH('Isaac 401k'!N182,'Retirement Calculator'!A:A,0),0),0)</f>
        <v>7896.2379798201846</v>
      </c>
      <c r="K182" s="444">
        <f t="shared" ca="1" si="2"/>
        <v>7542.2676881885418</v>
      </c>
      <c r="L182" s="444">
        <f t="shared" ca="1" si="3"/>
        <v>1817686.5128534385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1817686.5128534385</v>
      </c>
      <c r="J183" s="444">
        <f t="array" ref="J183">IFERROR(INDEX('Retirement Calculator'!J:J,MATCH('Isaac 401k'!N183,'Retirement Calculator'!A:A,0),0),0)</f>
        <v>7896.2379798201846</v>
      </c>
      <c r="K183" s="444">
        <f t="shared" ca="1" si="2"/>
        <v>7540.7928119734097</v>
      </c>
      <c r="L183" s="444">
        <f t="shared" ca="1" si="3"/>
        <v>1817331.0676855918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1817331.0676855918</v>
      </c>
      <c r="J184" s="444">
        <f t="array" ref="J184">IFERROR(INDEX('Retirement Calculator'!J:J,MATCH('Isaac 401k'!N184,'Retirement Calculator'!A:A,0),0),0)</f>
        <v>7896.2379798201846</v>
      </c>
      <c r="K184" s="444">
        <f t="shared" ca="1" si="2"/>
        <v>7539.3117904407154</v>
      </c>
      <c r="L184" s="444">
        <f t="shared" ca="1" si="3"/>
        <v>1816974.1414962122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1816974.1414962122</v>
      </c>
      <c r="J185" s="444">
        <f t="array" ref="J185">IFERROR(INDEX('Retirement Calculator'!J:J,MATCH('Isaac 401k'!N185,'Retirement Calculator'!A:A,0),0),0)</f>
        <v>7896.2379798201846</v>
      </c>
      <c r="K185" s="444">
        <f t="shared" ca="1" si="2"/>
        <v>7537.8245979849653</v>
      </c>
      <c r="L185" s="444">
        <f t="shared" ca="1" si="3"/>
        <v>1816615.728114377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1816615.728114377</v>
      </c>
      <c r="J186" s="444">
        <f t="array" ref="J186">IFERROR(INDEX('Retirement Calculator'!J:J,MATCH('Isaac 401k'!N186,'Retirement Calculator'!A:A,0),0),0)</f>
        <v>7896.2379798201846</v>
      </c>
      <c r="K186" s="444">
        <f t="shared" ca="1" si="2"/>
        <v>7536.3312088939865</v>
      </c>
      <c r="L186" s="444">
        <f t="shared" ca="1" si="3"/>
        <v>1816255.8213434508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1816255.8213434508</v>
      </c>
      <c r="J187" s="444">
        <f t="array" ref="J187">IFERROR(INDEX('Retirement Calculator'!J:J,MATCH('Isaac 401k'!N187,'Retirement Calculator'!A:A,0),0),0)</f>
        <v>7896.2379798201846</v>
      </c>
      <c r="K187" s="444">
        <f t="shared" ca="1" si="2"/>
        <v>7534.8315973484605</v>
      </c>
      <c r="L187" s="444">
        <f t="shared" ca="1" si="3"/>
        <v>1815894.414960979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1815894.414960979</v>
      </c>
      <c r="J188" s="444">
        <f t="array" ref="J188">IFERROR(INDEX('Retirement Calculator'!J:J,MATCH('Isaac 401k'!N188,'Retirement Calculator'!A:A,0),0),0)</f>
        <v>7896.2379798201846</v>
      </c>
      <c r="K188" s="444">
        <f t="shared" ca="1" si="2"/>
        <v>7533.3257374214945</v>
      </c>
      <c r="L188" s="444">
        <f t="shared" ca="1" si="3"/>
        <v>1815531.5027185802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1815531.5027185802</v>
      </c>
      <c r="J189" s="444">
        <f t="array" ref="J189">IFERROR(INDEX('Retirement Calculator'!J:J,MATCH('Isaac 401k'!N189,'Retirement Calculator'!A:A,0),0),0)</f>
        <v>7896.2379798201846</v>
      </c>
      <c r="K189" s="444">
        <f t="shared" ca="1" si="2"/>
        <v>7531.813603078167</v>
      </c>
      <c r="L189" s="444">
        <f t="shared" ca="1" si="3"/>
        <v>1815167.0783418382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1815167.0783418382</v>
      </c>
      <c r="J190" s="444">
        <f t="array" ref="J190">IFERROR(INDEX('Retirement Calculator'!J:J,MATCH('Isaac 401k'!N190,'Retirement Calculator'!A:A,0),0),0)</f>
        <v>7896.2379798201846</v>
      </c>
      <c r="K190" s="444">
        <f t="shared" ca="1" si="2"/>
        <v>7530.2951681750747</v>
      </c>
      <c r="L190" s="444">
        <f t="shared" ca="1" si="3"/>
        <v>1814801.1355301931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1814801.1355301931</v>
      </c>
      <c r="J191" s="444">
        <f t="array" ref="J191">IFERROR(INDEX('Retirement Calculator'!J:J,MATCH('Isaac 401k'!N191,'Retirement Calculator'!A:A,0),0),0)</f>
        <v>7896.2379798201846</v>
      </c>
      <c r="K191" s="444">
        <f t="shared" ca="1" si="2"/>
        <v>7528.7704064598856</v>
      </c>
      <c r="L191" s="444">
        <f t="shared" ca="1" si="3"/>
        <v>1814433.6679568328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1814433.6679568328</v>
      </c>
      <c r="J192" s="444">
        <f t="array" ref="J192">IFERROR(INDEX('Retirement Calculator'!J:J,MATCH('Isaac 401k'!N192,'Retirement Calculator'!A:A,0),0),0)</f>
        <v>7896.2379798201846</v>
      </c>
      <c r="K192" s="444">
        <f t="shared" ca="1" si="2"/>
        <v>7527.2392915708851</v>
      </c>
      <c r="L192" s="444">
        <f t="shared" ca="1" si="3"/>
        <v>1814064.6692685834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1814064.6692685834</v>
      </c>
      <c r="J193" s="444">
        <f t="array" ref="J193">IFERROR(INDEX('Retirement Calculator'!J:J,MATCH('Isaac 401k'!N193,'Retirement Calculator'!A:A,0),0),0)</f>
        <v>7896.2379798201846</v>
      </c>
      <c r="K193" s="444">
        <f t="shared" ca="1" si="2"/>
        <v>7525.7017970365132</v>
      </c>
      <c r="L193" s="444">
        <f t="shared" ca="1" si="3"/>
        <v>1813694.1330857996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1813694.1330857996</v>
      </c>
      <c r="J194" s="444">
        <f t="array" ref="J194">IFERROR(INDEX('Retirement Calculator'!J:J,MATCH('Isaac 401k'!N194,'Retirement Calculator'!A:A,0),0),0)</f>
        <v>7896.2379798201846</v>
      </c>
      <c r="K194" s="444">
        <f t="shared" ca="1" si="2"/>
        <v>7524.1578962749145</v>
      </c>
      <c r="L194" s="444">
        <f t="shared" ca="1" si="3"/>
        <v>1813322.0530022543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1813322.0530022543</v>
      </c>
      <c r="J195" s="444">
        <f t="array" ref="J195">IFERROR(INDEX('Retirement Calculator'!J:J,MATCH('Isaac 401k'!N195,'Retirement Calculator'!A:A,0),0),0)</f>
        <v>7896.2379798201846</v>
      </c>
      <c r="K195" s="444">
        <f t="shared" ca="1" si="2"/>
        <v>7522.6075625934754</v>
      </c>
      <c r="L195" s="444">
        <f t="shared" ca="1" si="3"/>
        <v>1812948.4225850275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1812948.4225850275</v>
      </c>
      <c r="J196" s="444">
        <f t="array" ref="J196">IFERROR(INDEX('Retirement Calculator'!J:J,MATCH('Isaac 401k'!N196,'Retirement Calculator'!A:A,0),0),0)</f>
        <v>7896.2379798201846</v>
      </c>
      <c r="K196" s="444">
        <f t="shared" ca="1" si="2"/>
        <v>7521.0507691883649</v>
      </c>
      <c r="L196" s="444">
        <f t="shared" ca="1" si="3"/>
        <v>1812573.2353743957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1812573.2353743957</v>
      </c>
      <c r="J197" s="444">
        <f t="array" ref="J197">IFERROR(INDEX('Retirement Calculator'!J:J,MATCH('Isaac 401k'!N197,'Retirement Calculator'!A:A,0),0),0)</f>
        <v>7896.2379798201846</v>
      </c>
      <c r="K197" s="444">
        <f t="shared" ca="1" si="2"/>
        <v>7519.4874891440641</v>
      </c>
      <c r="L197" s="444">
        <f t="shared" ca="1" si="3"/>
        <v>1812196.4848837196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1812196.4848837196</v>
      </c>
      <c r="J198" s="444">
        <f t="array" ref="J198">IFERROR(INDEX('Retirement Calculator'!J:J,MATCH('Isaac 401k'!N198,'Retirement Calculator'!A:A,0),0),0)</f>
        <v>7896.2379798201846</v>
      </c>
      <c r="K198" s="444">
        <f t="shared" ca="1" si="2"/>
        <v>7517.9176954329141</v>
      </c>
      <c r="L198" s="444">
        <f t="shared" ca="1" si="3"/>
        <v>1811818.1645993323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1811818.1645993323</v>
      </c>
      <c r="J199" s="444">
        <f t="array" ref="J199">IFERROR(INDEX('Retirement Calculator'!J:J,MATCH('Isaac 401k'!N199,'Retirement Calculator'!A:A,0),0),0)</f>
        <v>7896.2379798201846</v>
      </c>
      <c r="K199" s="444">
        <f t="shared" ca="1" si="2"/>
        <v>7516.3413609146337</v>
      </c>
      <c r="L199" s="444">
        <f t="shared" ca="1" si="3"/>
        <v>1811438.2679804265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1811438.2679804265</v>
      </c>
      <c r="J200" s="444">
        <f t="array" ref="J200">IFERROR(INDEX('Retirement Calculator'!J:J,MATCH('Isaac 401k'!N200,'Retirement Calculator'!A:A,0),0),0)</f>
        <v>7896.2379798201846</v>
      </c>
      <c r="K200" s="444">
        <f t="shared" ca="1" si="2"/>
        <v>7514.7584583358603</v>
      </c>
      <c r="L200" s="444">
        <f t="shared" ca="1" si="3"/>
        <v>1811056.7884589422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1811056.7884589422</v>
      </c>
      <c r="J201" s="444">
        <f t="array" ref="J201">IFERROR(INDEX('Retirement Calculator'!J:J,MATCH('Isaac 401k'!N201,'Retirement Calculator'!A:A,0),0),0)</f>
        <v>7896.2379798201846</v>
      </c>
      <c r="K201" s="444">
        <f t="shared" ca="1" si="2"/>
        <v>7513.1689603296745</v>
      </c>
      <c r="L201" s="444">
        <f t="shared" ca="1" si="3"/>
        <v>1810673.7194394516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1810673.7194394516</v>
      </c>
      <c r="J202" s="444">
        <f t="array" ref="J202">IFERROR(INDEX('Retirement Calculator'!J:J,MATCH('Isaac 401k'!N202,'Retirement Calculator'!A:A,0),0),0)</f>
        <v>7896.2379798201846</v>
      </c>
      <c r="K202" s="444">
        <f t="shared" ca="1" si="2"/>
        <v>7511.5728394151301</v>
      </c>
      <c r="L202" s="444">
        <f t="shared" ca="1" si="3"/>
        <v>1810289.0542990465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1810289.0542990465</v>
      </c>
      <c r="J203" s="444">
        <f t="array" ref="J203">IFERROR(INDEX('Retirement Calculator'!J:J,MATCH('Isaac 401k'!N203,'Retirement Calculator'!A:A,0),0),0)</f>
        <v>7896.2379798201846</v>
      </c>
      <c r="K203" s="444">
        <f t="shared" ca="1" si="2"/>
        <v>7509.9700679967755</v>
      </c>
      <c r="L203" s="444">
        <f t="shared" ca="1" si="3"/>
        <v>1809902.7863872231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1809902.7863872231</v>
      </c>
      <c r="J204" s="444">
        <f t="array" ref="J204">IFERROR(INDEX('Retirement Calculator'!J:J,MATCH('Isaac 401k'!N204,'Retirement Calculator'!A:A,0),0),0)</f>
        <v>7896.2379798201846</v>
      </c>
      <c r="K204" s="444">
        <f t="shared" ca="1" si="2"/>
        <v>7508.3606183641796</v>
      </c>
      <c r="L204" s="444">
        <f t="shared" ca="1" si="3"/>
        <v>1809514.9090257669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1809514.9090257669</v>
      </c>
      <c r="J205" s="444">
        <f t="array" ref="J205">IFERROR(INDEX('Retirement Calculator'!J:J,MATCH('Isaac 401k'!N205,'Retirement Calculator'!A:A,0),0),0)</f>
        <v>7896.2379798201846</v>
      </c>
      <c r="K205" s="444">
        <f t="shared" ca="1" si="2"/>
        <v>7506.7444626914439</v>
      </c>
      <c r="L205" s="444">
        <f t="shared" ca="1" si="3"/>
        <v>1809125.4155086381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1809125.4155086381</v>
      </c>
      <c r="J206" s="444">
        <f t="array" ref="J206">IFERROR(INDEX('Retirement Calculator'!J:J,MATCH('Isaac 401k'!N206,'Retirement Calculator'!A:A,0),0),0)</f>
        <v>7896.2379798201846</v>
      </c>
      <c r="K206" s="444">
        <f t="shared" ca="1" si="2"/>
        <v>7505.1215730367403</v>
      </c>
      <c r="L206" s="444">
        <f t="shared" ca="1" si="3"/>
        <v>1808734.2991018547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1808734.2991018547</v>
      </c>
      <c r="J207" s="444">
        <f t="array" ref="J207">IFERROR(INDEX('Retirement Calculator'!J:J,MATCH('Isaac 401k'!N207,'Retirement Calculator'!A:A,0),0),0)</f>
        <v>7896.2379798201846</v>
      </c>
      <c r="K207" s="444">
        <f t="shared" ca="1" si="2"/>
        <v>7503.4919213418098</v>
      </c>
      <c r="L207" s="444">
        <f t="shared" ca="1" si="3"/>
        <v>1808341.5530433762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1808341.5530433762</v>
      </c>
      <c r="J208" s="444">
        <f t="array" ref="J208">IFERROR(INDEX('Retirement Calculator'!J:J,MATCH('Isaac 401k'!N208,'Retirement Calculator'!A:A,0),0),0)</f>
        <v>7896.2379798201846</v>
      </c>
      <c r="K208" s="444">
        <f t="shared" ca="1" si="2"/>
        <v>7501.8554794314832</v>
      </c>
      <c r="L208" s="444">
        <f t="shared" ca="1" si="3"/>
        <v>1807947.1705429875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1807947.1705429875</v>
      </c>
      <c r="J209" s="444">
        <f t="array" ref="J209">IFERROR(INDEX('Retirement Calculator'!J:J,MATCH('Isaac 401k'!N209,'Retirement Calculator'!A:A,0),0),0)</f>
        <v>7896.2379798201846</v>
      </c>
      <c r="K209" s="444">
        <f t="shared" ca="1" si="2"/>
        <v>7500.2122190131977</v>
      </c>
      <c r="L209" s="444">
        <f t="shared" ca="1" si="3"/>
        <v>1807551.1447821804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1807551.1447821804</v>
      </c>
      <c r="J210" s="444">
        <f t="array" ref="J210">IFERROR(INDEX('Retirement Calculator'!J:J,MATCH('Isaac 401k'!N210,'Retirement Calculator'!A:A,0),0),0)</f>
        <v>7896.2379798201846</v>
      </c>
      <c r="K210" s="444">
        <f t="shared" ca="1" si="2"/>
        <v>7498.5621116765005</v>
      </c>
      <c r="L210" s="444">
        <f t="shared" ca="1" si="3"/>
        <v>1807153.4689140366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1807153.4689140366</v>
      </c>
      <c r="J211" s="444">
        <f t="array" ref="J211">IFERROR(INDEX('Retirement Calculator'!J:J,MATCH('Isaac 401k'!N211,'Retirement Calculator'!A:A,0),0),0)</f>
        <v>7896.2379798201846</v>
      </c>
      <c r="K211" s="444">
        <f t="shared" ca="1" si="2"/>
        <v>7496.9051288925684</v>
      </c>
      <c r="L211" s="444">
        <f t="shared" ca="1" si="3"/>
        <v>1806754.1360631089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1806754.1360631089</v>
      </c>
      <c r="J212" s="444">
        <f t="array" ref="J212">IFERROR(INDEX('Retirement Calculator'!J:J,MATCH('Isaac 401k'!N212,'Retirement Calculator'!A:A,0),0),0)</f>
        <v>7896.2379798201846</v>
      </c>
      <c r="K212" s="444">
        <f t="shared" ca="1" si="2"/>
        <v>7495.2412420137025</v>
      </c>
      <c r="L212" s="444">
        <f t="shared" ca="1" si="3"/>
        <v>1806353.1393253023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1806353.1393253023</v>
      </c>
      <c r="J213" s="444">
        <f t="array" ref="J213">IFERROR(INDEX('Retirement Calculator'!J:J,MATCH('Isaac 401k'!N213,'Retirement Calculator'!A:A,0),0),0)</f>
        <v>7896.2379798201846</v>
      </c>
      <c r="K213" s="444">
        <f t="shared" ca="1" si="2"/>
        <v>7493.5704222728418</v>
      </c>
      <c r="L213" s="444">
        <f t="shared" ca="1" si="3"/>
        <v>1805950.471767755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1805950.471767755</v>
      </c>
      <c r="J214" s="444">
        <f t="array" ref="J214">IFERROR(INDEX('Retirement Calculator'!J:J,MATCH('Isaac 401k'!N214,'Retirement Calculator'!A:A,0),0),0)</f>
        <v>7896.2379798201846</v>
      </c>
      <c r="K214" s="444">
        <f t="shared" ca="1" si="2"/>
        <v>7491.8926407830622</v>
      </c>
      <c r="L214" s="444">
        <f t="shared" ca="1" si="3"/>
        <v>1805546.1264287177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1805546.1264287177</v>
      </c>
      <c r="J215" s="444">
        <f t="array" ref="J215">IFERROR(INDEX('Retirement Calculator'!J:J,MATCH('Isaac 401k'!N215,'Retirement Calculator'!A:A,0),0),0)</f>
        <v>7896.2379798201846</v>
      </c>
      <c r="K215" s="444">
        <f t="shared" ca="1" si="2"/>
        <v>7490.2078685370734</v>
      </c>
      <c r="L215" s="444">
        <f t="shared" ca="1" si="3"/>
        <v>1805140.0963174347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1805140.0963174347</v>
      </c>
      <c r="J216" s="444">
        <f t="array" ref="J216">IFERROR(INDEX('Retirement Calculator'!J:J,MATCH('Isaac 401k'!N216,'Retirement Calculator'!A:A,0),0),0)</f>
        <v>7896.2379798201846</v>
      </c>
      <c r="K216" s="444">
        <f t="shared" ca="1" si="2"/>
        <v>7488.5160764067268</v>
      </c>
      <c r="L216" s="444">
        <f t="shared" ca="1" si="3"/>
        <v>1804732.3744140211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1804732.3744140211</v>
      </c>
      <c r="J217" s="444">
        <f t="array" ref="J217">IFERROR(INDEX('Retirement Calculator'!J:J,MATCH('Isaac 401k'!N217,'Retirement Calculator'!A:A,0),0),0)</f>
        <v>7896.2379798201846</v>
      </c>
      <c r="K217" s="444">
        <f t="shared" ca="1" si="2"/>
        <v>7486.8172351425037</v>
      </c>
      <c r="L217" s="444">
        <f t="shared" ca="1" si="3"/>
        <v>1804322.9536693434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1804322.9536693434</v>
      </c>
      <c r="J218" s="444">
        <f t="array" ref="J218">IFERROR(INDEX('Retirement Calculator'!J:J,MATCH('Isaac 401k'!N218,'Retirement Calculator'!A:A,0),0),0)</f>
        <v>7896.2379798201846</v>
      </c>
      <c r="K218" s="444">
        <f t="shared" ca="1" si="2"/>
        <v>7485.111315373013</v>
      </c>
      <c r="L218" s="444">
        <f t="shared" ca="1" si="3"/>
        <v>1803911.8270048962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1803911.8270048962</v>
      </c>
      <c r="J219" s="444">
        <f t="array" ref="J219">IFERROR(INDEX('Retirement Calculator'!J:J,MATCH('Isaac 401k'!N219,'Retirement Calculator'!A:A,0),0),0)</f>
        <v>7896.2379798201846</v>
      </c>
      <c r="K219" s="444">
        <f t="shared" ca="1" si="2"/>
        <v>7483.3982876044829</v>
      </c>
      <c r="L219" s="444">
        <f t="shared" ca="1" si="3"/>
        <v>1803498.9873126806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1803498.9873126806</v>
      </c>
      <c r="J220" s="444">
        <f t="array" ref="J220">IFERROR(INDEX('Retirement Calculator'!J:J,MATCH('Isaac 401k'!N220,'Retirement Calculator'!A:A,0),0),0)</f>
        <v>7896.2379798201846</v>
      </c>
      <c r="K220" s="444">
        <f t="shared" ca="1" si="2"/>
        <v>7481.6781222202517</v>
      </c>
      <c r="L220" s="444">
        <f t="shared" ca="1" si="3"/>
        <v>1803084.4274550807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1803084.4274550807</v>
      </c>
      <c r="J221" s="444">
        <f t="array" ref="J221">IFERROR(INDEX('Retirement Calculator'!J:J,MATCH('Isaac 401k'!N221,'Retirement Calculator'!A:A,0),0),0)</f>
        <v>7896.2379798201846</v>
      </c>
      <c r="K221" s="444">
        <f t="shared" ca="1" si="2"/>
        <v>7479.9507894802518</v>
      </c>
      <c r="L221" s="444">
        <f t="shared" ca="1" si="3"/>
        <v>1802668.1402647407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1802668.1402647407</v>
      </c>
      <c r="J222" s="444">
        <f t="array" ref="J222">IFERROR(INDEX('Retirement Calculator'!J:J,MATCH('Isaac 401k'!N222,'Retirement Calculator'!A:A,0),0),0)</f>
        <v>7896.2379798201846</v>
      </c>
      <c r="K222" s="444">
        <f t="shared" ca="1" si="2"/>
        <v>7478.2162595205018</v>
      </c>
      <c r="L222" s="444">
        <f t="shared" ca="1" si="3"/>
        <v>1802250.1185444409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1802250.1185444409</v>
      </c>
      <c r="J223" s="444">
        <f t="array" ref="J223">IFERROR(INDEX('Retirement Calculator'!J:J,MATCH('Isaac 401k'!N223,'Retirement Calculator'!A:A,0),0),0)</f>
        <v>7896.2379798201846</v>
      </c>
      <c r="K223" s="444">
        <f t="shared" ca="1" si="2"/>
        <v>7476.4745023525866</v>
      </c>
      <c r="L223" s="444">
        <f t="shared" ca="1" si="3"/>
        <v>1801830.3550669733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1801830.3550669733</v>
      </c>
      <c r="J224" s="444">
        <f t="array" ref="J224">IFERROR(INDEX('Retirement Calculator'!J:J,MATCH('Isaac 401k'!N224,'Retirement Calculator'!A:A,0),0),0)</f>
        <v>7896.2379798201846</v>
      </c>
      <c r="K224" s="444">
        <f t="shared" ca="1" si="2"/>
        <v>7474.7254878631366</v>
      </c>
      <c r="L224" s="444">
        <f t="shared" ca="1" si="3"/>
        <v>1801408.8425750162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1801408.8425750162</v>
      </c>
      <c r="J225" s="444">
        <f t="array" ref="J225">IFERROR(INDEX('Retirement Calculator'!J:J,MATCH('Isaac 401k'!N225,'Retirement Calculator'!A:A,0),0),0)</f>
        <v>7896.2379798201846</v>
      </c>
      <c r="K225" s="444">
        <f t="shared" ca="1" si="2"/>
        <v>7472.9691858133156</v>
      </c>
      <c r="L225" s="444">
        <f t="shared" ca="1" si="3"/>
        <v>1800985.5737810093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1800985.5737810093</v>
      </c>
      <c r="J226" s="444">
        <f t="array" ref="J226">IFERROR(INDEX('Retirement Calculator'!J:J,MATCH('Isaac 401k'!N226,'Retirement Calculator'!A:A,0),0),0)</f>
        <v>7896.2379798201846</v>
      </c>
      <c r="K226" s="444">
        <f t="shared" ca="1" si="2"/>
        <v>7471.2055658382878</v>
      </c>
      <c r="L226" s="444">
        <f t="shared" ca="1" si="3"/>
        <v>1800560.5413670274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1800560.5413670274</v>
      </c>
      <c r="J227" s="444">
        <f t="array" ref="J227">IFERROR(INDEX('Retirement Calculator'!J:J,MATCH('Isaac 401k'!N227,'Retirement Calculator'!A:A,0),0),0)</f>
        <v>7896.2379798201846</v>
      </c>
      <c r="K227" s="444">
        <f t="shared" ca="1" si="2"/>
        <v>7469.4345974466978</v>
      </c>
      <c r="L227" s="444">
        <f t="shared" ca="1" si="3"/>
        <v>1800133.7379846538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1800133.7379846538</v>
      </c>
      <c r="J228" s="444">
        <f t="array" ref="J228">IFERROR(INDEX('Retirement Calculator'!J:J,MATCH('Isaac 401k'!N228,'Retirement Calculator'!A:A,0),0),0)</f>
        <v>7896.2379798201846</v>
      </c>
      <c r="K228" s="444">
        <f t="shared" ca="1" si="2"/>
        <v>7467.6562500201408</v>
      </c>
      <c r="L228" s="444">
        <f t="shared" ca="1" si="3"/>
        <v>1799705.1562548538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1799705.1562548538</v>
      </c>
      <c r="J229" s="444">
        <f t="array" ref="J229">IFERROR(INDEX('Retirement Calculator'!J:J,MATCH('Isaac 401k'!N229,'Retirement Calculator'!A:A,0),0),0)</f>
        <v>7896.2379798201846</v>
      </c>
      <c r="K229" s="444">
        <f t="shared" ca="1" si="2"/>
        <v>7465.8704928126399</v>
      </c>
      <c r="L229" s="444">
        <f t="shared" ca="1" si="3"/>
        <v>1799274.7887678463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1799274.7887678463</v>
      </c>
      <c r="J230" s="444">
        <f t="array" ref="J230">IFERROR(INDEX('Retirement Calculator'!J:J,MATCH('Isaac 401k'!N230,'Retirement Calculator'!A:A,0),0),0)</f>
        <v>7896.2379798201846</v>
      </c>
      <c r="K230" s="444">
        <f t="shared" ca="1" si="2"/>
        <v>7464.0772949501088</v>
      </c>
      <c r="L230" s="444">
        <f t="shared" ca="1" si="3"/>
        <v>1798842.6280829762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1798842.6280829762</v>
      </c>
      <c r="J231" s="444">
        <f t="array" ref="J231">IFERROR(INDEX('Retirement Calculator'!J:J,MATCH('Isaac 401k'!N231,'Retirement Calculator'!A:A,0),0),0)</f>
        <v>7896.2379798201846</v>
      </c>
      <c r="K231" s="444">
        <f t="shared" ca="1" si="2"/>
        <v>7462.2766254298167</v>
      </c>
      <c r="L231" s="444">
        <f t="shared" ca="1" si="3"/>
        <v>1798408.6667285857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1798408.6667285857</v>
      </c>
      <c r="J232" s="444">
        <f t="array" ref="J232">IFERROR(INDEX('Retirement Calculator'!J:J,MATCH('Isaac 401k'!N232,'Retirement Calculator'!A:A,0),0),0)</f>
        <v>7896.2379798201846</v>
      </c>
      <c r="K232" s="444">
        <f t="shared" ca="1" si="2"/>
        <v>7460.4684531198563</v>
      </c>
      <c r="L232" s="444">
        <f t="shared" ca="1" si="3"/>
        <v>1797972.8972018852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1797972.8972018852</v>
      </c>
      <c r="J233" s="444">
        <f t="array" ref="J233">IFERROR(INDEX('Retirement Calculator'!J:J,MATCH('Isaac 401k'!N233,'Retirement Calculator'!A:A,0),0),0)</f>
        <v>7896.2379798201846</v>
      </c>
      <c r="K233" s="444">
        <f t="shared" ca="1" si="2"/>
        <v>7458.6527467586029</v>
      </c>
      <c r="L233" s="444">
        <f t="shared" ca="1" si="3"/>
        <v>1797535.3119688237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1797535.3119688237</v>
      </c>
      <c r="J234" s="444">
        <f t="array" ref="J234">IFERROR(INDEX('Retirement Calculator'!J:J,MATCH('Isaac 401k'!N234,'Retirement Calculator'!A:A,0),0),0)</f>
        <v>7896.2379798201846</v>
      </c>
      <c r="K234" s="444">
        <f t="shared" ca="1" si="2"/>
        <v>7456.8294749541801</v>
      </c>
      <c r="L234" s="444">
        <f t="shared" ca="1" si="3"/>
        <v>1797095.9034639576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1797095.9034639576</v>
      </c>
      <c r="J235" s="444">
        <f t="array" ref="J235">IFERROR(INDEX('Retirement Calculator'!J:J,MATCH('Isaac 401k'!N235,'Retirement Calculator'!A:A,0),0),0)</f>
        <v>7896.2379798201846</v>
      </c>
      <c r="K235" s="444">
        <f t="shared" ca="1" si="2"/>
        <v>7454.9986061839054</v>
      </c>
      <c r="L235" s="444">
        <f t="shared" ca="1" si="3"/>
        <v>1796654.6640903212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1796654.6640903212</v>
      </c>
      <c r="J236" s="444">
        <f t="array" ref="J236">IFERROR(INDEX('Retirement Calculator'!J:J,MATCH('Isaac 401k'!N236,'Retirement Calculator'!A:A,0),0),0)</f>
        <v>7896.2379798201846</v>
      </c>
      <c r="K236" s="444">
        <f t="shared" ca="1" si="2"/>
        <v>7453.1601087937534</v>
      </c>
      <c r="L236" s="444">
        <f t="shared" ca="1" si="3"/>
        <v>1796211.5862192947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1796211.5862192947</v>
      </c>
      <c r="J237" s="444">
        <f t="array" ref="J237">IFERROR(INDEX('Retirement Calculator'!J:J,MATCH('Isaac 401k'!N237,'Retirement Calculator'!A:A,0),0),0)</f>
        <v>7896.2379798201846</v>
      </c>
      <c r="K237" s="444">
        <f t="shared" ca="1" si="2"/>
        <v>7451.31395099781</v>
      </c>
      <c r="L237" s="444">
        <f t="shared" ca="1" si="3"/>
        <v>1795766.6621904722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1795766.6621904722</v>
      </c>
      <c r="J238" s="444">
        <f t="array" ref="J238">IFERROR(INDEX('Retirement Calculator'!J:J,MATCH('Isaac 401k'!N238,'Retirement Calculator'!A:A,0),0),0)</f>
        <v>7896.2379798201846</v>
      </c>
      <c r="K238" s="444">
        <f t="shared" ca="1" si="2"/>
        <v>7449.4601008777154</v>
      </c>
      <c r="L238" s="444">
        <f t="shared" ca="1" si="3"/>
        <v>1795319.8843115298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1795319.8843115298</v>
      </c>
      <c r="J239" s="444">
        <f t="array" ref="J239">IFERROR(INDEX('Retirement Calculator'!J:J,MATCH('Isaac 401k'!N239,'Retirement Calculator'!A:A,0),0),0)</f>
        <v>7896.2379798201846</v>
      </c>
      <c r="K239" s="444">
        <f t="shared" ca="1" si="2"/>
        <v>7447.5985263821221</v>
      </c>
      <c r="L239" s="444">
        <f t="shared" ca="1" si="3"/>
        <v>1794871.2448580917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1794871.2448580917</v>
      </c>
      <c r="J240" s="444">
        <f t="array" ref="J240">IFERROR(INDEX('Retirement Calculator'!J:J,MATCH('Isaac 401k'!N240,'Retirement Calculator'!A:A,0),0),0)</f>
        <v>7896.2379798201846</v>
      </c>
      <c r="K240" s="444">
        <f t="shared" ca="1" si="2"/>
        <v>7445.729195326131</v>
      </c>
      <c r="L240" s="444">
        <f t="shared" ca="1" si="3"/>
        <v>1794420.7360735976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1794420.7360735976</v>
      </c>
      <c r="J241" s="444">
        <f t="array" ref="J241">IFERROR(INDEX('Retirement Calculator'!J:J,MATCH('Isaac 401k'!N241,'Retirement Calculator'!A:A,0),0),0)</f>
        <v>7896.2379798201846</v>
      </c>
      <c r="K241" s="444">
        <f t="shared" ca="1" si="2"/>
        <v>7443.8520753907387</v>
      </c>
      <c r="L241" s="444">
        <f t="shared" ca="1" si="3"/>
        <v>1793968.3501691681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1793968.3501691681</v>
      </c>
      <c r="J242" s="444">
        <f t="array" ref="J242">IFERROR(INDEX('Retirement Calculator'!J:J,MATCH('Isaac 401k'!N242,'Retirement Calculator'!A:A,0),0),0)</f>
        <v>7896.2379798201846</v>
      </c>
      <c r="K242" s="444">
        <f t="shared" ca="1" si="2"/>
        <v>7441.967134122282</v>
      </c>
      <c r="L242" s="444">
        <f t="shared" ca="1" si="3"/>
        <v>1793514.0793234701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1793514.0793234701</v>
      </c>
      <c r="J243" s="444">
        <f t="array" ref="J243">IFERROR(INDEX('Retirement Calculator'!J:J,MATCH('Isaac 401k'!N243,'Retirement Calculator'!A:A,0),0),0)</f>
        <v>7896.2379798201846</v>
      </c>
      <c r="K243" s="444">
        <f t="shared" ca="1" si="2"/>
        <v>7440.0743389318741</v>
      </c>
      <c r="L243" s="444">
        <f t="shared" ca="1" si="3"/>
        <v>1793057.9156825817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1793057.9156825817</v>
      </c>
      <c r="J244" s="444">
        <f t="array" ref="J244">IFERROR(INDEX('Retirement Calculator'!J:J,MATCH('Isaac 401k'!N244,'Retirement Calculator'!A:A,0),0),0)</f>
        <v>7896.2379798201846</v>
      </c>
      <c r="K244" s="444">
        <f t="shared" ca="1" si="2"/>
        <v>7438.1736570948397</v>
      </c>
      <c r="L244" s="444">
        <f t="shared" ca="1" si="3"/>
        <v>1792599.8513598563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1792599.8513598563</v>
      </c>
      <c r="J245" s="444">
        <f t="array" ref="J245">IFERROR(INDEX('Retirement Calculator'!J:J,MATCH('Isaac 401k'!N245,'Retirement Calculator'!A:A,0),0),0)</f>
        <v>7896.2379798201846</v>
      </c>
      <c r="K245" s="444">
        <f t="shared" ca="1" si="2"/>
        <v>7436.2650557501493</v>
      </c>
      <c r="L245" s="444">
        <f t="shared" ca="1" si="3"/>
        <v>1792139.8784357863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1792139.8784357863</v>
      </c>
      <c r="J246" s="444">
        <f t="array" ref="J246">IFERROR(INDEX('Retirement Calculator'!J:J,MATCH('Isaac 401k'!N246,'Retirement Calculator'!A:A,0),0),0)</f>
        <v>7896.2379798201846</v>
      </c>
      <c r="K246" s="444">
        <f t="shared" ca="1" si="2"/>
        <v>7434.3485018998581</v>
      </c>
      <c r="L246" s="444">
        <f t="shared" ca="1" si="3"/>
        <v>1791677.9889578659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1791677.9889578659</v>
      </c>
      <c r="J247" s="444">
        <f t="array" ref="J247">IFERROR(INDEX('Retirement Calculator'!J:J,MATCH('Isaac 401k'!N247,'Retirement Calculator'!A:A,0),0),0)</f>
        <v>7896.2379798201846</v>
      </c>
      <c r="K247" s="444">
        <f t="shared" ca="1" si="2"/>
        <v>7432.423962408523</v>
      </c>
      <c r="L247" s="444">
        <f t="shared" ca="1" si="3"/>
        <v>1791214.1749404541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1791214.1749404541</v>
      </c>
      <c r="J248" s="444">
        <f t="array" ref="J248">IFERROR(INDEX('Retirement Calculator'!J:J,MATCH('Isaac 401k'!N248,'Retirement Calculator'!A:A,0),0),0)</f>
        <v>7896.2379798201846</v>
      </c>
      <c r="K248" s="444">
        <f t="shared" ca="1" si="2"/>
        <v>7430.4914040026406</v>
      </c>
      <c r="L248" s="444">
        <f t="shared" ca="1" si="3"/>
        <v>1790748.4283646364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1790748.4283646364</v>
      </c>
      <c r="J249" s="444">
        <f t="array" ref="J249">IFERROR(INDEX('Retirement Calculator'!J:J,MATCH('Isaac 401k'!N249,'Retirement Calculator'!A:A,0),0),0)</f>
        <v>7896.2379798201846</v>
      </c>
      <c r="K249" s="444">
        <f t="shared" ca="1" si="2"/>
        <v>7428.5507932700675</v>
      </c>
      <c r="L249" s="444">
        <f t="shared" ca="1" si="3"/>
        <v>1790280.7411780863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1790280.7411780863</v>
      </c>
      <c r="J250" s="444">
        <f t="array" ref="J250">IFERROR(INDEX('Retirement Calculator'!J:J,MATCH('Isaac 401k'!N250,'Retirement Calculator'!A:A,0),0),0)</f>
        <v>7896.2379798201846</v>
      </c>
      <c r="K250" s="444">
        <f t="shared" ca="1" si="2"/>
        <v>7426.6020966594424</v>
      </c>
      <c r="L250" s="444">
        <f t="shared" ca="1" si="3"/>
        <v>1789811.1052949254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1789811.1052949254</v>
      </c>
      <c r="J251" s="444">
        <f t="array" ref="J251">IFERROR(INDEX('Retirement Calculator'!J:J,MATCH('Isaac 401k'!N251,'Retirement Calculator'!A:A,0),0),0)</f>
        <v>7896.2379798201846</v>
      </c>
      <c r="K251" s="444">
        <f t="shared" ca="1" si="2"/>
        <v>7424.6452804796045</v>
      </c>
      <c r="L251" s="444">
        <f t="shared" ca="1" si="3"/>
        <v>1789339.5125955848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1789339.5125955848</v>
      </c>
      <c r="J252" s="444">
        <f t="array" ref="J252">IFERROR(INDEX('Retirement Calculator'!J:J,MATCH('Isaac 401k'!N252,'Retirement Calculator'!A:A,0),0),0)</f>
        <v>7896.2379798201846</v>
      </c>
      <c r="K252" s="444">
        <f t="shared" ca="1" si="2"/>
        <v>7422.6803108990189</v>
      </c>
      <c r="L252" s="444">
        <f t="shared" ca="1" si="3"/>
        <v>1788865.9549266635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1788865.9549266635</v>
      </c>
      <c r="J253" s="444">
        <f t="array" ref="J253">IFERROR(INDEX('Retirement Calculator'!J:J,MATCH('Isaac 401k'!N253,'Retirement Calculator'!A:A,0),0),0)</f>
        <v>7896.2379798201846</v>
      </c>
      <c r="K253" s="444">
        <f t="shared" ca="1" si="2"/>
        <v>7420.7071539451799</v>
      </c>
      <c r="L253" s="444">
        <f t="shared" ca="1" si="3"/>
        <v>1788390.4241007885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1788390.4241007885</v>
      </c>
      <c r="J254" s="444">
        <f t="array" ref="J254">IFERROR(INDEX('Retirement Calculator'!J:J,MATCH('Isaac 401k'!N254,'Retirement Calculator'!A:A,0),0),0)</f>
        <v>7896.2379798201846</v>
      </c>
      <c r="K254" s="444">
        <f t="shared" ca="1" si="2"/>
        <v>7418.7257755040346</v>
      </c>
      <c r="L254" s="444">
        <f t="shared" ca="1" si="3"/>
        <v>1787912.9118964723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1787912.9118964723</v>
      </c>
      <c r="J255" s="444">
        <f t="array" ref="J255">IFERROR(INDEX('Retirement Calculator'!J:J,MATCH('Isaac 401k'!N255,'Retirement Calculator'!A:A,0),0),0)</f>
        <v>7896.2379798201846</v>
      </c>
      <c r="K255" s="444">
        <f t="shared" ca="1" si="2"/>
        <v>7416.7361413193839</v>
      </c>
      <c r="L255" s="444">
        <f t="shared" ca="1" si="3"/>
        <v>1787433.4100579715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1787433.4100579715</v>
      </c>
      <c r="J256" s="444">
        <f t="array" ref="J256">IFERROR(INDEX('Retirement Calculator'!J:J,MATCH('Isaac 401k'!N256,'Retirement Calculator'!A:A,0),0),0)</f>
        <v>7896.2379798201846</v>
      </c>
      <c r="K256" s="444">
        <f t="shared" ca="1" si="2"/>
        <v>7414.7382169922967</v>
      </c>
      <c r="L256" s="444">
        <f t="shared" ca="1" si="3"/>
        <v>1786951.9102951435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1786951.9102951435</v>
      </c>
      <c r="J257" s="444">
        <f t="array" ref="J257">IFERROR(INDEX('Retirement Calculator'!J:J,MATCH('Isaac 401k'!N257,'Retirement Calculator'!A:A,0),0),0)</f>
        <v>7896.2379798201846</v>
      </c>
      <c r="K257" s="444">
        <f t="shared" ca="1" si="2"/>
        <v>7412.7319679805123</v>
      </c>
      <c r="L257" s="444">
        <f t="shared" ca="1" si="3"/>
        <v>1786468.4042833038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1786468.4042833038</v>
      </c>
      <c r="J258" s="444">
        <f t="array" ref="J258">IFERROR(INDEX('Retirement Calculator'!J:J,MATCH('Isaac 401k'!N258,'Retirement Calculator'!A:A,0),0),0)</f>
        <v>7896.2379798201846</v>
      </c>
      <c r="K258" s="444">
        <f t="shared" ca="1" si="2"/>
        <v>7410.7173595978493</v>
      </c>
      <c r="L258" s="444">
        <f t="shared" ca="1" si="3"/>
        <v>1785982.8836630813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1785982.8836630813</v>
      </c>
      <c r="J259" s="444">
        <f t="array" ref="J259">IFERROR(INDEX('Retirement Calculator'!J:J,MATCH('Isaac 401k'!N259,'Retirement Calculator'!A:A,0),0),0)</f>
        <v>7896.2379798201846</v>
      </c>
      <c r="K259" s="444">
        <f t="shared" ca="1" si="2"/>
        <v>7408.6943570135882</v>
      </c>
      <c r="L259" s="444">
        <f t="shared" ca="1" si="3"/>
        <v>1785495.3400402747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1785495.3400402747</v>
      </c>
      <c r="J260" s="444">
        <f t="array" ref="J260">IFERROR(INDEX('Retirement Calculator'!J:J,MATCH('Isaac 401k'!N260,'Retirement Calculator'!A:A,0),0),0)</f>
        <v>7896.2379798201846</v>
      </c>
      <c r="K260" s="444">
        <f t="shared" ca="1" si="2"/>
        <v>7406.6629252518933</v>
      </c>
      <c r="L260" s="444">
        <f t="shared" ca="1" si="3"/>
        <v>1785005.7649857064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1785005.7649857064</v>
      </c>
      <c r="J261" s="444">
        <f t="array" ref="J261">IFERROR(INDEX('Retirement Calculator'!J:J,MATCH('Isaac 401k'!N261,'Retirement Calculator'!A:A,0),0),0)</f>
        <v>7896.2379798201846</v>
      </c>
      <c r="K261" s="444">
        <f t="shared" ca="1" si="2"/>
        <v>7404.6230291911925</v>
      </c>
      <c r="L261" s="444">
        <f t="shared" ca="1" si="3"/>
        <v>1784514.1500350775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1784514.1500350775</v>
      </c>
      <c r="J262" s="444">
        <f t="array" ref="J262">IFERROR(INDEX('Retirement Calculator'!J:J,MATCH('Isaac 401k'!N262,'Retirement Calculator'!A:A,0),0),0)</f>
        <v>7896.2379798201846</v>
      </c>
      <c r="K262" s="444">
        <f t="shared" ca="1" si="2"/>
        <v>7402.5746335635704</v>
      </c>
      <c r="L262" s="444">
        <f t="shared" ca="1" si="3"/>
        <v>1784020.4866888209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1784020.4866888209</v>
      </c>
      <c r="J263" s="444">
        <f t="array" ref="J263">IFERROR(INDEX('Retirement Calculator'!J:J,MATCH('Isaac 401k'!N263,'Retirement Calculator'!A:A,0),0),0)</f>
        <v>7896.2379798201846</v>
      </c>
      <c r="K263" s="444">
        <f t="shared" ref="K263:K517" ca="1" si="27">IPMT(M263/12,1,12,-I263+J263,,0)</f>
        <v>7400.5177029541692</v>
      </c>
      <c r="L263" s="444">
        <f t="shared" ref="L263:L517" ca="1" si="28">I263-J263+K263</f>
        <v>1783524.7664119548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1783524.7664119548</v>
      </c>
      <c r="J264" s="444">
        <f t="array" ref="J264">IFERROR(INDEX('Retirement Calculator'!J:J,MATCH('Isaac 401k'!N264,'Retirement Calculator'!A:A,0),0),0)</f>
        <v>7896.2379798201846</v>
      </c>
      <c r="K264" s="444">
        <f t="shared" ca="1" si="27"/>
        <v>7398.45220180056</v>
      </c>
      <c r="L264" s="444">
        <f t="shared" ca="1" si="28"/>
        <v>1783026.9806339352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1783026.9806339352</v>
      </c>
      <c r="J265" s="444">
        <f t="array" ref="J265">IFERROR(INDEX('Retirement Calculator'!J:J,MATCH('Isaac 401k'!N265,'Retirement Calculator'!A:A,0),0),0)</f>
        <v>7896.2379798201846</v>
      </c>
      <c r="K265" s="444">
        <f t="shared" ca="1" si="27"/>
        <v>7396.3780943921456</v>
      </c>
      <c r="L265" s="444">
        <f t="shared" ca="1" si="28"/>
        <v>1782527.1207485071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1782527.1207485071</v>
      </c>
      <c r="J266" s="444">
        <f t="array" ref="J266">IFERROR(INDEX('Retirement Calculator'!J:J,MATCH('Isaac 401k'!N266,'Retirement Calculator'!A:A,0),0),0)</f>
        <v>7896.2379798201846</v>
      </c>
      <c r="K266" s="444">
        <f t="shared" ca="1" si="27"/>
        <v>7394.2953448695289</v>
      </c>
      <c r="L266" s="444">
        <f t="shared" ca="1" si="28"/>
        <v>1782025.1781135565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1782025.1781135565</v>
      </c>
      <c r="J267" s="444">
        <f t="array" ref="J267">IFERROR(INDEX('Retirement Calculator'!J:J,MATCH('Isaac 401k'!N267,'Retirement Calculator'!A:A,0),0),0)</f>
        <v>7896.2379798201846</v>
      </c>
      <c r="K267" s="444">
        <f t="shared" ca="1" si="27"/>
        <v>7392.203917223901</v>
      </c>
      <c r="L267" s="444">
        <f t="shared" ca="1" si="28"/>
        <v>1781521.1440509602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1781521.1440509602</v>
      </c>
      <c r="J268" s="444">
        <f t="array" ref="J268">IFERROR(INDEX('Retirement Calculator'!J:J,MATCH('Isaac 401k'!N268,'Retirement Calculator'!A:A,0),0),0)</f>
        <v>7896.2379798201846</v>
      </c>
      <c r="K268" s="444">
        <f t="shared" ca="1" si="27"/>
        <v>7390.1037752964166</v>
      </c>
      <c r="L268" s="444">
        <f t="shared" ca="1" si="28"/>
        <v>1781015.0098464363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1781015.0098464363</v>
      </c>
      <c r="J269" s="444">
        <f t="array" ref="J269">IFERROR(INDEX('Retirement Calculator'!J:J,MATCH('Isaac 401k'!N269,'Retirement Calculator'!A:A,0),0),0)</f>
        <v>7896.2379798201846</v>
      </c>
      <c r="K269" s="444">
        <f t="shared" ca="1" si="27"/>
        <v>7387.994882777567</v>
      </c>
      <c r="L269" s="444">
        <f t="shared" ca="1" si="28"/>
        <v>1780506.7667493937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1780506.7667493937</v>
      </c>
      <c r="J270" s="444">
        <f t="array" ref="J270">IFERROR(INDEX('Retirement Calculator'!J:J,MATCH('Isaac 401k'!N270,'Retirement Calculator'!A:A,0),0),0)</f>
        <v>7896.2379798201846</v>
      </c>
      <c r="K270" s="444">
        <f t="shared" ca="1" si="27"/>
        <v>7385.8772032065563</v>
      </c>
      <c r="L270" s="444">
        <f t="shared" ca="1" si="28"/>
        <v>1779996.40597278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1779996.40597278</v>
      </c>
      <c r="J271" s="444">
        <f t="array" ref="J271">IFERROR(INDEX('Retirement Calculator'!J:J,MATCH('Isaac 401k'!N271,'Retirement Calculator'!A:A,0),0),0)</f>
        <v>7896.2379798201846</v>
      </c>
      <c r="K271" s="444">
        <f t="shared" ca="1" si="27"/>
        <v>7383.7506999706666</v>
      </c>
      <c r="L271" s="444">
        <f t="shared" ca="1" si="28"/>
        <v>1779483.9186929304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1779483.9186929304</v>
      </c>
      <c r="J272" s="444">
        <f t="array" ref="J272">IFERROR(INDEX('Retirement Calculator'!J:J,MATCH('Isaac 401k'!N272,'Retirement Calculator'!A:A,0),0),0)</f>
        <v>7896.2379798201846</v>
      </c>
      <c r="K272" s="444">
        <f t="shared" ca="1" si="27"/>
        <v>7381.6153363046242</v>
      </c>
      <c r="L272" s="444">
        <f t="shared" ca="1" si="28"/>
        <v>1778969.2960494147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1778969.2960494147</v>
      </c>
      <c r="J273" s="444">
        <f t="array" ref="J273">IFERROR(INDEX('Retirement Calculator'!J:J,MATCH('Isaac 401k'!N273,'Retirement Calculator'!A:A,0),0),0)</f>
        <v>7896.2379798201846</v>
      </c>
      <c r="K273" s="444">
        <f t="shared" ca="1" si="27"/>
        <v>7379.4710752899764</v>
      </c>
      <c r="L273" s="444">
        <f t="shared" ca="1" si="28"/>
        <v>1778452.5291448843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1778452.5291448843</v>
      </c>
      <c r="J274" s="444">
        <f t="array" ref="J274">IFERROR(INDEX('Retirement Calculator'!J:J,MATCH('Isaac 401k'!N274,'Retirement Calculator'!A:A,0),0),0)</f>
        <v>7896.2379798201846</v>
      </c>
      <c r="K274" s="444">
        <f t="shared" ca="1" si="27"/>
        <v>7377.3178798544332</v>
      </c>
      <c r="L274" s="444">
        <f t="shared" ca="1" si="28"/>
        <v>1777933.6090449186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1777933.6090449186</v>
      </c>
      <c r="J275" s="444">
        <f t="array" ref="J275">IFERROR(INDEX('Retirement Calculator'!J:J,MATCH('Isaac 401k'!N275,'Retirement Calculator'!A:A,0),0),0)</f>
        <v>7896.2379798201846</v>
      </c>
      <c r="K275" s="444">
        <f t="shared" ca="1" si="27"/>
        <v>7375.155712771244</v>
      </c>
      <c r="L275" s="444">
        <f t="shared" ca="1" si="28"/>
        <v>1777412.5267778696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1777412.5267778696</v>
      </c>
      <c r="J276" s="444">
        <f t="array" ref="J276">IFERROR(INDEX('Retirement Calculator'!J:J,MATCH('Isaac 401k'!N276,'Retirement Calculator'!A:A,0),0),0)</f>
        <v>7896.2379798201846</v>
      </c>
      <c r="K276" s="444">
        <f t="shared" ca="1" si="27"/>
        <v>7372.9845366585378</v>
      </c>
      <c r="L276" s="444">
        <f t="shared" ca="1" si="28"/>
        <v>1776889.2733347078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1776889.2733347078</v>
      </c>
      <c r="J277" s="444">
        <f t="array" ref="J277">IFERROR(INDEX('Retirement Calculator'!J:J,MATCH('Isaac 401k'!N277,'Retirement Calculator'!A:A,0),0),0)</f>
        <v>7896.2379798201846</v>
      </c>
      <c r="K277" s="444">
        <f t="shared" ca="1" si="27"/>
        <v>7370.8043139786978</v>
      </c>
      <c r="L277" s="444">
        <f t="shared" ca="1" si="28"/>
        <v>1776363.8396688662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1776363.8396688662</v>
      </c>
      <c r="J278" s="444">
        <f t="array" ref="J278">IFERROR(INDEX('Retirement Calculator'!J:J,MATCH('Isaac 401k'!N278,'Retirement Calculator'!A:A,0),0),0)</f>
        <v>7896.2379798201846</v>
      </c>
      <c r="K278" s="444">
        <f t="shared" ca="1" si="27"/>
        <v>7368.6150070376916</v>
      </c>
      <c r="L278" s="444">
        <f t="shared" ca="1" si="28"/>
        <v>1775836.2166960838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1775836.2166960838</v>
      </c>
      <c r="J279" s="444">
        <f t="array" ref="J279">IFERROR(INDEX('Retirement Calculator'!J:J,MATCH('Isaac 401k'!N279,'Retirement Calculator'!A:A,0),0),0)</f>
        <v>7896.2379798201846</v>
      </c>
      <c r="K279" s="444">
        <f t="shared" ca="1" si="27"/>
        <v>7366.4165779844316</v>
      </c>
      <c r="L279" s="444">
        <f t="shared" ca="1" si="28"/>
        <v>1775306.3952942479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1775306.3952942479</v>
      </c>
      <c r="J280" s="444">
        <f t="array" ref="J280">IFERROR(INDEX('Retirement Calculator'!J:J,MATCH('Isaac 401k'!N280,'Retirement Calculator'!A:A,0),0),0)</f>
        <v>7896.2379798201846</v>
      </c>
      <c r="K280" s="444">
        <f t="shared" ca="1" si="27"/>
        <v>7364.2089888101154</v>
      </c>
      <c r="L280" s="444">
        <f t="shared" ca="1" si="28"/>
        <v>1774774.3663032379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1774774.3663032379</v>
      </c>
      <c r="J281" s="444">
        <f t="array" ref="J281">IFERROR(INDEX('Retirement Calculator'!J:J,MATCH('Isaac 401k'!N281,'Retirement Calculator'!A:A,0),0),0)</f>
        <v>7896.2379798201846</v>
      </c>
      <c r="K281" s="444">
        <f t="shared" ca="1" si="27"/>
        <v>7361.9922013475743</v>
      </c>
      <c r="L281" s="444">
        <f t="shared" ca="1" si="28"/>
        <v>1774240.1205247652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1774240.1205247652</v>
      </c>
      <c r="J282" s="444">
        <f t="array" ref="J282">IFERROR(INDEX('Retirement Calculator'!J:J,MATCH('Isaac 401k'!N282,'Retirement Calculator'!A:A,0),0),0)</f>
        <v>7896.2379798201846</v>
      </c>
      <c r="K282" s="444">
        <f t="shared" ca="1" si="27"/>
        <v>7359.7661772706042</v>
      </c>
      <c r="L282" s="444">
        <f t="shared" ca="1" si="28"/>
        <v>1773703.6487222156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1773703.6487222156</v>
      </c>
      <c r="J283" s="444">
        <f t="array" ref="J283">IFERROR(INDEX('Retirement Calculator'!J:J,MATCH('Isaac 401k'!N283,'Retirement Calculator'!A:A,0),0),0)</f>
        <v>7896.2379798201846</v>
      </c>
      <c r="K283" s="444">
        <f t="shared" ca="1" si="27"/>
        <v>7357.5308780933146</v>
      </c>
      <c r="L283" s="444">
        <f t="shared" ca="1" si="28"/>
        <v>1773164.9416204887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1773164.9416204887</v>
      </c>
      <c r="J284" s="444">
        <f t="array" ref="J284">IFERROR(INDEX('Retirement Calculator'!J:J,MATCH('Isaac 401k'!N284,'Retirement Calculator'!A:A,0),0),0)</f>
        <v>7896.2379798201846</v>
      </c>
      <c r="K284" s="444">
        <f t="shared" ca="1" si="27"/>
        <v>7355.2862651694513</v>
      </c>
      <c r="L284" s="444">
        <f t="shared" ca="1" si="28"/>
        <v>1772623.9899058379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1772623.9899058379</v>
      </c>
      <c r="J285" s="444">
        <f t="array" ref="J285">IFERROR(INDEX('Retirement Calculator'!J:J,MATCH('Isaac 401k'!N285,'Retirement Calculator'!A:A,0),0),0)</f>
        <v>7896.2379798201846</v>
      </c>
      <c r="K285" s="444">
        <f t="shared" ca="1" si="27"/>
        <v>7353.0322996917403</v>
      </c>
      <c r="L285" s="444">
        <f t="shared" ca="1" si="28"/>
        <v>1772080.7842257095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1772080.7842257095</v>
      </c>
      <c r="J286" s="444">
        <f t="array" ref="J286">IFERROR(INDEX('Retirement Calculator'!J:J,MATCH('Isaac 401k'!N286,'Retirement Calculator'!A:A,0),0),0)</f>
        <v>7896.2379798201846</v>
      </c>
      <c r="K286" s="444">
        <f t="shared" ca="1" si="27"/>
        <v>7350.7689426912048</v>
      </c>
      <c r="L286" s="444">
        <f t="shared" ca="1" si="28"/>
        <v>1771535.3151885804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1771535.3151885804</v>
      </c>
      <c r="J287" s="444">
        <f t="array" ref="J287">IFERROR(INDEX('Retirement Calculator'!J:J,MATCH('Isaac 401k'!N287,'Retirement Calculator'!A:A,0),0),0)</f>
        <v>7896.2379798201846</v>
      </c>
      <c r="K287" s="444">
        <f t="shared" ca="1" si="27"/>
        <v>7348.4961550364997</v>
      </c>
      <c r="L287" s="444">
        <f t="shared" ca="1" si="28"/>
        <v>1770987.5733637968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1770987.5733637968</v>
      </c>
      <c r="J288" s="444">
        <f t="array" ref="J288">IFERROR(INDEX('Retirement Calculator'!J:J,MATCH('Isaac 401k'!N288,'Retirement Calculator'!A:A,0),0),0)</f>
        <v>7896.2379798201846</v>
      </c>
      <c r="K288" s="444">
        <f t="shared" ca="1" si="27"/>
        <v>7346.2138974332365</v>
      </c>
      <c r="L288" s="444">
        <f t="shared" ca="1" si="28"/>
        <v>1770437.5492814097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1770437.5492814097</v>
      </c>
      <c r="J289" s="444">
        <f t="array" ref="J289">IFERROR(INDEX('Retirement Calculator'!J:J,MATCH('Isaac 401k'!N289,'Retirement Calculator'!A:A,0),0),0)</f>
        <v>7896.2379798201846</v>
      </c>
      <c r="K289" s="444">
        <f t="shared" ca="1" si="27"/>
        <v>7343.9221304232906</v>
      </c>
      <c r="L289" s="444">
        <f t="shared" ca="1" si="28"/>
        <v>1769885.2334320128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1769885.2334320128</v>
      </c>
      <c r="J290" s="444">
        <f t="array" ref="J290">IFERROR(INDEX('Retirement Calculator'!J:J,MATCH('Isaac 401k'!N290,'Retirement Calculator'!A:A,0),0),0)</f>
        <v>7896.2379798201846</v>
      </c>
      <c r="K290" s="444">
        <f t="shared" ca="1" si="27"/>
        <v>7341.620814384135</v>
      </c>
      <c r="L290" s="444">
        <f t="shared" ca="1" si="28"/>
        <v>1769330.6162665768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1769330.6162665768</v>
      </c>
      <c r="J291" s="444">
        <f t="array" ref="J291">IFERROR(INDEX('Retirement Calculator'!J:J,MATCH('Isaac 401k'!N291,'Retirement Calculator'!A:A,0),0),0)</f>
        <v>7896.2379798201846</v>
      </c>
      <c r="K291" s="444">
        <f t="shared" ca="1" si="27"/>
        <v>7339.3099095281523</v>
      </c>
      <c r="L291" s="444">
        <f t="shared" ca="1" si="28"/>
        <v>1768773.6881962847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1768773.6881962847</v>
      </c>
      <c r="J292" s="444">
        <f t="array" ref="J292">IFERROR(INDEX('Retirement Calculator'!J:J,MATCH('Isaac 401k'!N292,'Retirement Calculator'!A:A,0),0),0)</f>
        <v>7896.2379798201846</v>
      </c>
      <c r="K292" s="444">
        <f t="shared" ca="1" si="27"/>
        <v>7336.9893759019351</v>
      </c>
      <c r="L292" s="444">
        <f t="shared" ca="1" si="28"/>
        <v>1768214.4395923663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1768214.4395923663</v>
      </c>
      <c r="J293" s="444">
        <f t="array" ref="J293">IFERROR(INDEX('Retirement Calculator'!J:J,MATCH('Isaac 401k'!N293,'Retirement Calculator'!A:A,0),0),0)</f>
        <v>7896.2379798201846</v>
      </c>
      <c r="K293" s="444">
        <f t="shared" ca="1" si="27"/>
        <v>7334.6591733856085</v>
      </c>
      <c r="L293" s="444">
        <f t="shared" ca="1" si="28"/>
        <v>1767652.8607859318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1767652.8607859318</v>
      </c>
      <c r="J294" s="444">
        <f t="array" ref="J294">IFERROR(INDEX('Retirement Calculator'!J:J,MATCH('Isaac 401k'!N294,'Retirement Calculator'!A:A,0),0),0)</f>
        <v>7896.2379798201846</v>
      </c>
      <c r="K294" s="444">
        <f t="shared" ca="1" si="27"/>
        <v>7332.3192616921315</v>
      </c>
      <c r="L294" s="444">
        <f t="shared" ca="1" si="28"/>
        <v>1767088.9420678038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1767088.9420678038</v>
      </c>
      <c r="J295" s="444">
        <f t="array" ref="J295">IFERROR(INDEX('Retirement Calculator'!J:J,MATCH('Isaac 401k'!N295,'Retirement Calculator'!A:A,0),0),0)</f>
        <v>7896.2379798201846</v>
      </c>
      <c r="K295" s="444">
        <f t="shared" ca="1" si="27"/>
        <v>7329.9696003665968</v>
      </c>
      <c r="L295" s="444">
        <f t="shared" ca="1" si="28"/>
        <v>1766522.6736883502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1766522.6736883502</v>
      </c>
      <c r="J296" s="444">
        <f t="array" ref="J296">IFERROR(INDEX('Retirement Calculator'!J:J,MATCH('Isaac 401k'!N296,'Retirement Calculator'!A:A,0),0),0)</f>
        <v>7896.2379798201846</v>
      </c>
      <c r="K296" s="444">
        <f t="shared" ca="1" si="27"/>
        <v>7327.6101487855412</v>
      </c>
      <c r="L296" s="444">
        <f t="shared" ca="1" si="28"/>
        <v>1765954.0458573157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1765954.0458573157</v>
      </c>
      <c r="J297" s="444">
        <f t="array" ref="J297">IFERROR(INDEX('Retirement Calculator'!J:J,MATCH('Isaac 401k'!N297,'Retirement Calculator'!A:A,0),0),0)</f>
        <v>7896.2379798201846</v>
      </c>
      <c r="K297" s="444">
        <f t="shared" ca="1" si="27"/>
        <v>7325.2408661562304</v>
      </c>
      <c r="L297" s="444">
        <f t="shared" ca="1" si="28"/>
        <v>1765383.0487436517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1765383.0487436517</v>
      </c>
      <c r="J298" s="444">
        <f t="array" ref="J298">IFERROR(INDEX('Retirement Calculator'!J:J,MATCH('Isaac 401k'!N298,'Retirement Calculator'!A:A,0),0),0)</f>
        <v>7896.2379798201846</v>
      </c>
      <c r="K298" s="444">
        <f t="shared" ca="1" si="27"/>
        <v>7322.8617115159641</v>
      </c>
      <c r="L298" s="444">
        <f t="shared" ca="1" si="28"/>
        <v>1764809.6724753475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1764809.6724753475</v>
      </c>
      <c r="J299" s="444">
        <f t="array" ref="J299">IFERROR(INDEX('Retirement Calculator'!J:J,MATCH('Isaac 401k'!N299,'Retirement Calculator'!A:A,0),0),0)</f>
        <v>7896.2379798201846</v>
      </c>
      <c r="K299" s="444">
        <f t="shared" ca="1" si="27"/>
        <v>7320.4726437313639</v>
      </c>
      <c r="L299" s="444">
        <f t="shared" ca="1" si="28"/>
        <v>1764233.9071392587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1764233.9071392587</v>
      </c>
      <c r="J300" s="444">
        <f t="array" ref="J300">IFERROR(INDEX('Retirement Calculator'!J:J,MATCH('Isaac 401k'!N300,'Retirement Calculator'!A:A,0),0),0)</f>
        <v>7896.2379798201846</v>
      </c>
      <c r="K300" s="444">
        <f t="shared" ca="1" si="27"/>
        <v>7318.0736214976605</v>
      </c>
      <c r="L300" s="444">
        <f t="shared" ca="1" si="28"/>
        <v>1763655.7427809362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1763655.7427809362</v>
      </c>
      <c r="J301" s="444">
        <f t="array" ref="J301">IFERROR(INDEX('Retirement Calculator'!J:J,MATCH('Isaac 401k'!N301,'Retirement Calculator'!A:A,0),0),0)</f>
        <v>7896.2379798201846</v>
      </c>
      <c r="K301" s="444">
        <f t="shared" ca="1" si="27"/>
        <v>7315.6646033379839</v>
      </c>
      <c r="L301" s="444">
        <f t="shared" ca="1" si="28"/>
        <v>1763075.1694044538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1763075.1694044538</v>
      </c>
      <c r="J302" s="444">
        <f t="array" ref="J302">IFERROR(INDEX('Retirement Calculator'!J:J,MATCH('Isaac 401k'!N302,'Retirement Calculator'!A:A,0),0),0)</f>
        <v>7896.2379798201846</v>
      </c>
      <c r="K302" s="444">
        <f t="shared" ca="1" si="27"/>
        <v>7313.2455476026398</v>
      </c>
      <c r="L302" s="444">
        <f t="shared" ca="1" si="28"/>
        <v>1762492.1769722363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1762492.1769722363</v>
      </c>
      <c r="J303" s="444">
        <f t="array" ref="J303">IFERROR(INDEX('Retirement Calculator'!J:J,MATCH('Isaac 401k'!N303,'Retirement Calculator'!A:A,0),0),0)</f>
        <v>7896.2379798201846</v>
      </c>
      <c r="K303" s="444">
        <f t="shared" ca="1" si="27"/>
        <v>7310.8164124683999</v>
      </c>
      <c r="L303" s="444">
        <f t="shared" ca="1" si="28"/>
        <v>1761906.7554048845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1761906.7554048845</v>
      </c>
      <c r="J304" s="444">
        <f t="array" ref="J304">IFERROR(INDEX('Retirement Calculator'!J:J,MATCH('Isaac 401k'!N304,'Retirement Calculator'!A:A,0),0),0)</f>
        <v>7896.2379798201846</v>
      </c>
      <c r="K304" s="444">
        <f t="shared" ca="1" si="27"/>
        <v>7308.3771559377674</v>
      </c>
      <c r="L304" s="444">
        <f t="shared" ca="1" si="28"/>
        <v>1761318.894581002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1761318.894581002</v>
      </c>
      <c r="J305" s="444">
        <f t="array" ref="J305">IFERROR(INDEX('Retirement Calculator'!J:J,MATCH('Isaac 401k'!N305,'Retirement Calculator'!A:A,0),0),0)</f>
        <v>7896.2379798201846</v>
      </c>
      <c r="K305" s="444">
        <f t="shared" ca="1" si="27"/>
        <v>7305.9277358382569</v>
      </c>
      <c r="L305" s="444">
        <f t="shared" ca="1" si="28"/>
        <v>1760728.5843370201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1760728.5843370201</v>
      </c>
      <c r="J306" s="444">
        <f t="array" ref="J306">IFERROR(INDEX('Retirement Calculator'!J:J,MATCH('Isaac 401k'!N306,'Retirement Calculator'!A:A,0),0),0)</f>
        <v>7896.2379798201846</v>
      </c>
      <c r="K306" s="444">
        <f t="shared" ca="1" si="27"/>
        <v>7303.4681098216652</v>
      </c>
      <c r="L306" s="444">
        <f t="shared" ca="1" si="28"/>
        <v>1760135.8144670215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1760135.8144670215</v>
      </c>
      <c r="J307" s="444">
        <f t="array" ref="J307">IFERROR(INDEX('Retirement Calculator'!J:J,MATCH('Isaac 401k'!N307,'Retirement Calculator'!A:A,0),0),0)</f>
        <v>7896.2379798201846</v>
      </c>
      <c r="K307" s="444">
        <f t="shared" ca="1" si="27"/>
        <v>7300.9982353633377</v>
      </c>
      <c r="L307" s="444">
        <f t="shared" ca="1" si="28"/>
        <v>1759540.5747225645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1759540.5747225645</v>
      </c>
      <c r="J308" s="444">
        <f t="array" ref="J308">IFERROR(INDEX('Retirement Calculator'!J:J,MATCH('Isaac 401k'!N308,'Retirement Calculator'!A:A,0),0),0)</f>
        <v>7896.2379798201846</v>
      </c>
      <c r="K308" s="444">
        <f t="shared" ca="1" si="27"/>
        <v>7298.5180697614342</v>
      </c>
      <c r="L308" s="444">
        <f t="shared" ca="1" si="28"/>
        <v>1758942.8548125057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1758942.8548125057</v>
      </c>
      <c r="J309" s="444">
        <f t="array" ref="J309">IFERROR(INDEX('Retirement Calculator'!J:J,MATCH('Isaac 401k'!N309,'Retirement Calculator'!A:A,0),0),0)</f>
        <v>7896.2379798201846</v>
      </c>
      <c r="K309" s="444">
        <f t="shared" ca="1" si="27"/>
        <v>7296.0275701361888</v>
      </c>
      <c r="L309" s="444">
        <f t="shared" ca="1" si="28"/>
        <v>1758342.6444028215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1758342.6444028215</v>
      </c>
      <c r="J310" s="444">
        <f t="array" ref="J310">IFERROR(INDEX('Retirement Calculator'!J:J,MATCH('Isaac 401k'!N310,'Retirement Calculator'!A:A,0),0),0)</f>
        <v>7896.2379798201846</v>
      </c>
      <c r="K310" s="444">
        <f t="shared" ca="1" si="27"/>
        <v>7293.5266934291712</v>
      </c>
      <c r="L310" s="444">
        <f t="shared" ca="1" si="28"/>
        <v>1757739.9331164304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1757739.9331164304</v>
      </c>
      <c r="J311" s="444">
        <f t="array" ref="J311">IFERROR(INDEX('Retirement Calculator'!J:J,MATCH('Isaac 401k'!N311,'Retirement Calculator'!A:A,0),0),0)</f>
        <v>7896.2379798201846</v>
      </c>
      <c r="K311" s="444">
        <f t="shared" ca="1" si="27"/>
        <v>7291.0153964025412</v>
      </c>
      <c r="L311" s="444">
        <f t="shared" ca="1" si="28"/>
        <v>1757134.7105330126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1757134.7105330126</v>
      </c>
      <c r="J312" s="444">
        <f t="array" ref="J312">IFERROR(INDEX('Retirement Calculator'!J:J,MATCH('Isaac 401k'!N312,'Retirement Calculator'!A:A,0),0),0)</f>
        <v>7896.2379798201846</v>
      </c>
      <c r="K312" s="444">
        <f t="shared" ca="1" si="27"/>
        <v>7288.4936356383014</v>
      </c>
      <c r="L312" s="444">
        <f t="shared" ca="1" si="28"/>
        <v>1756526.9661888308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1756526.9661888308</v>
      </c>
      <c r="J313" s="444">
        <f t="array" ref="J313">IFERROR(INDEX('Retirement Calculator'!J:J,MATCH('Isaac 401k'!N313,'Retirement Calculator'!A:A,0),0),0)</f>
        <v>7896.2379798201846</v>
      </c>
      <c r="K313" s="444">
        <f t="shared" ca="1" si="27"/>
        <v>7285.961367537544</v>
      </c>
      <c r="L313" s="444">
        <f t="shared" ca="1" si="28"/>
        <v>1755916.6895765481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1755916.6895765481</v>
      </c>
      <c r="J314" s="444">
        <f t="array" ref="J314">IFERROR(INDEX('Retirement Calculator'!J:J,MATCH('Isaac 401k'!N314,'Retirement Calculator'!A:A,0),0),0)</f>
        <v>7896.2379798201846</v>
      </c>
      <c r="K314" s="444">
        <f t="shared" ca="1" si="27"/>
        <v>7283.4185483196989</v>
      </c>
      <c r="L314" s="444">
        <f t="shared" ca="1" si="28"/>
        <v>1755303.8701450475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1755303.8701450475</v>
      </c>
      <c r="J315" s="444">
        <f t="array" ref="J315">IFERROR(INDEX('Retirement Calculator'!J:J,MATCH('Isaac 401k'!N315,'Retirement Calculator'!A:A,0),0),0)</f>
        <v>7896.2379798201846</v>
      </c>
      <c r="K315" s="444">
        <f t="shared" ca="1" si="27"/>
        <v>7280.8651340217812</v>
      </c>
      <c r="L315" s="444">
        <f t="shared" ca="1" si="28"/>
        <v>1754688.4972992491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1754688.4972992491</v>
      </c>
      <c r="J316" s="444">
        <f t="array" ref="J316">IFERROR(INDEX('Retirement Calculator'!J:J,MATCH('Isaac 401k'!N316,'Retirement Calculator'!A:A,0),0),0)</f>
        <v>7896.2379798201846</v>
      </c>
      <c r="K316" s="444">
        <f t="shared" ca="1" si="27"/>
        <v>7278.3010804976193</v>
      </c>
      <c r="L316" s="444">
        <f t="shared" ca="1" si="28"/>
        <v>1754070.5603999265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1754070.5603999265</v>
      </c>
      <c r="J317" s="444">
        <f t="array" ref="J317">IFERROR(INDEX('Retirement Calculator'!J:J,MATCH('Isaac 401k'!N317,'Retirement Calculator'!A:A,0),0),0)</f>
        <v>7896.2379798201846</v>
      </c>
      <c r="K317" s="444">
        <f t="shared" ca="1" si="27"/>
        <v>7275.7263434171091</v>
      </c>
      <c r="L317" s="444">
        <f t="shared" ca="1" si="28"/>
        <v>1753450.0487635233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1753450.0487635233</v>
      </c>
      <c r="J318" s="444">
        <f t="array" ref="J318">IFERROR(INDEX('Retirement Calculator'!J:J,MATCH('Isaac 401k'!N318,'Retirement Calculator'!A:A,0),0),0)</f>
        <v>7896.2379798201846</v>
      </c>
      <c r="K318" s="444">
        <f t="shared" ca="1" si="27"/>
        <v>7273.1408782654307</v>
      </c>
      <c r="L318" s="444">
        <f t="shared" ca="1" si="28"/>
        <v>1752826.9516619686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1752826.9516619686</v>
      </c>
      <c r="J319" s="444">
        <f t="array" ref="J319">IFERROR(INDEX('Retirement Calculator'!J:J,MATCH('Isaac 401k'!N319,'Retirement Calculator'!A:A,0),0),0)</f>
        <v>7896.2379798201846</v>
      </c>
      <c r="K319" s="444">
        <f t="shared" ca="1" si="27"/>
        <v>7270.5446403422857</v>
      </c>
      <c r="L319" s="444">
        <f t="shared" ca="1" si="28"/>
        <v>1752201.2583224906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1752201.2583224906</v>
      </c>
      <c r="J320" s="444">
        <f t="array" ref="J320">IFERROR(INDEX('Retirement Calculator'!J:J,MATCH('Isaac 401k'!N320,'Retirement Calculator'!A:A,0),0),0)</f>
        <v>7896.2379798201846</v>
      </c>
      <c r="K320" s="444">
        <f t="shared" ca="1" si="27"/>
        <v>7267.9375847611263</v>
      </c>
      <c r="L320" s="444">
        <f t="shared" ca="1" si="28"/>
        <v>1751572.9579274314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1751572.9579274314</v>
      </c>
      <c r="J321" s="444">
        <f t="array" ref="J321">IFERROR(INDEX('Retirement Calculator'!J:J,MATCH('Isaac 401k'!N321,'Retirement Calculator'!A:A,0),0),0)</f>
        <v>7896.2379798201846</v>
      </c>
      <c r="K321" s="444">
        <f t="shared" ca="1" si="27"/>
        <v>7265.3196664483812</v>
      </c>
      <c r="L321" s="444">
        <f t="shared" ca="1" si="28"/>
        <v>1750942.0396140595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1750942.0396140595</v>
      </c>
      <c r="J322" s="444">
        <f t="array" ref="J322">IFERROR(INDEX('Retirement Calculator'!J:J,MATCH('Isaac 401k'!N322,'Retirement Calculator'!A:A,0),0),0)</f>
        <v>7896.2379798201846</v>
      </c>
      <c r="K322" s="444">
        <f t="shared" ca="1" si="27"/>
        <v>7262.6908401426626</v>
      </c>
      <c r="L322" s="444">
        <f t="shared" ca="1" si="28"/>
        <v>1750308.4924743818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1750308.4924743818</v>
      </c>
      <c r="J323" s="444">
        <f t="array" ref="J323">IFERROR(INDEX('Retirement Calculator'!J:J,MATCH('Isaac 401k'!N323,'Retirement Calculator'!A:A,0),0),0)</f>
        <v>7896.2379798201846</v>
      </c>
      <c r="K323" s="444">
        <f t="shared" ca="1" si="27"/>
        <v>7260.0510603940065</v>
      </c>
      <c r="L323" s="444">
        <f t="shared" ca="1" si="28"/>
        <v>1749672.3055549555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1749672.3055549555</v>
      </c>
      <c r="J324" s="444">
        <f t="array" ref="J324">IFERROR(INDEX('Retirement Calculator'!J:J,MATCH('Isaac 401k'!N324,'Retirement Calculator'!A:A,0),0),0)</f>
        <v>7896.2379798201846</v>
      </c>
      <c r="K324" s="444">
        <f t="shared" ca="1" si="27"/>
        <v>7257.4002815630638</v>
      </c>
      <c r="L324" s="444">
        <f t="shared" ca="1" si="28"/>
        <v>1749033.4678566984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1749033.4678566984</v>
      </c>
      <c r="J325" s="444">
        <f t="array" ref="J325">IFERROR(INDEX('Retirement Calculator'!J:J,MATCH('Isaac 401k'!N325,'Retirement Calculator'!A:A,0),0),0)</f>
        <v>7896.2379798201846</v>
      </c>
      <c r="K325" s="444">
        <f t="shared" ca="1" si="27"/>
        <v>7254.7384578203255</v>
      </c>
      <c r="L325" s="444">
        <f t="shared" ca="1" si="28"/>
        <v>1748391.9683346986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1748391.9683346986</v>
      </c>
      <c r="J326" s="444">
        <f t="array" ref="J326">IFERROR(INDEX('Retirement Calculator'!J:J,MATCH('Isaac 401k'!N326,'Retirement Calculator'!A:A,0),0),0)</f>
        <v>7896.2379798201846</v>
      </c>
      <c r="K326" s="444">
        <f t="shared" ca="1" si="27"/>
        <v>7252.065543145326</v>
      </c>
      <c r="L326" s="444">
        <f t="shared" ca="1" si="28"/>
        <v>1747747.7958980238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1747747.7958980238</v>
      </c>
      <c r="J327" s="444">
        <f t="array" ref="J327">IFERROR(INDEX('Retirement Calculator'!J:J,MATCH('Isaac 401k'!N327,'Retirement Calculator'!A:A,0),0),0)</f>
        <v>7896.2379798201846</v>
      </c>
      <c r="K327" s="444">
        <f t="shared" ca="1" si="27"/>
        <v>7249.3814913258466</v>
      </c>
      <c r="L327" s="444">
        <f t="shared" ca="1" si="28"/>
        <v>1747100.9394095293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1747100.9394095293</v>
      </c>
      <c r="J328" s="444">
        <f t="array" ref="J328">IFERROR(INDEX('Retirement Calculator'!J:J,MATCH('Isaac 401k'!N328,'Retirement Calculator'!A:A,0),0),0)</f>
        <v>7896.2379798201846</v>
      </c>
      <c r="K328" s="444">
        <f t="shared" ca="1" si="27"/>
        <v>7246.68625595712</v>
      </c>
      <c r="L328" s="444">
        <f t="shared" ca="1" si="28"/>
        <v>1746451.3876856663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1746451.3876856663</v>
      </c>
      <c r="J329" s="444">
        <f t="array" ref="J329">IFERROR(INDEX('Retirement Calculator'!J:J,MATCH('Isaac 401k'!N329,'Retirement Calculator'!A:A,0),0),0)</f>
        <v>7896.2379798201846</v>
      </c>
      <c r="K329" s="444">
        <f t="shared" ca="1" si="27"/>
        <v>7243.9797904410252</v>
      </c>
      <c r="L329" s="444">
        <f t="shared" ca="1" si="28"/>
        <v>1745799.1294962871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1745799.1294962871</v>
      </c>
      <c r="J330" s="444">
        <f t="array" ref="J330">IFERROR(INDEX('Retirement Calculator'!J:J,MATCH('Isaac 401k'!N330,'Retirement Calculator'!A:A,0),0),0)</f>
        <v>7896.2379798201846</v>
      </c>
      <c r="K330" s="444">
        <f t="shared" ca="1" si="27"/>
        <v>7241.2620479852794</v>
      </c>
      <c r="L330" s="444">
        <f t="shared" ca="1" si="28"/>
        <v>1745144.1535644522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1745144.1535644522</v>
      </c>
      <c r="J331" s="444">
        <f t="array" ref="J331">IFERROR(INDEX('Retirement Calculator'!J:J,MATCH('Isaac 401k'!N331,'Retirement Calculator'!A:A,0),0),0)</f>
        <v>7896.2379798201846</v>
      </c>
      <c r="K331" s="444">
        <f t="shared" ca="1" si="27"/>
        <v>7238.5329816026333</v>
      </c>
      <c r="L331" s="444">
        <f t="shared" ca="1" si="28"/>
        <v>1744486.4485662347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1744486.4485662347</v>
      </c>
      <c r="J332" s="444">
        <f t="array" ref="J332">IFERROR(INDEX('Retirement Calculator'!J:J,MATCH('Isaac 401k'!N332,'Retirement Calculator'!A:A,0),0),0)</f>
        <v>7896.2379798201846</v>
      </c>
      <c r="K332" s="444">
        <f t="shared" ca="1" si="27"/>
        <v>7235.7925441100588</v>
      </c>
      <c r="L332" s="444">
        <f t="shared" ca="1" si="28"/>
        <v>1743826.0031305244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1743826.0031305244</v>
      </c>
      <c r="J333" s="444">
        <f t="array" ref="J333">IFERROR(INDEX('Retirement Calculator'!J:J,MATCH('Isaac 401k'!N333,'Retirement Calculator'!A:A,0),0),0)</f>
        <v>7896.2379798201846</v>
      </c>
      <c r="K333" s="444">
        <f t="shared" ca="1" si="27"/>
        <v>7233.0406881279341</v>
      </c>
      <c r="L333" s="444">
        <f t="shared" ca="1" si="28"/>
        <v>1743162.8058388322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1743162.8058388322</v>
      </c>
      <c r="J334" s="444">
        <f t="array" ref="J334">IFERROR(INDEX('Retirement Calculator'!J:J,MATCH('Isaac 401k'!N334,'Retirement Calculator'!A:A,0),0),0)</f>
        <v>7896.2379798201846</v>
      </c>
      <c r="K334" s="444">
        <f t="shared" ca="1" si="27"/>
        <v>7230.2773660792163</v>
      </c>
      <c r="L334" s="444">
        <f t="shared" ca="1" si="28"/>
        <v>1742496.8452250911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1742496.8452250911</v>
      </c>
      <c r="J335" s="444">
        <f t="array" ref="J335">IFERROR(INDEX('Retirement Calculator'!J:J,MATCH('Isaac 401k'!N335,'Retirement Calculator'!A:A,0),0),0)</f>
        <v>7896.2379798201846</v>
      </c>
      <c r="K335" s="444">
        <f t="shared" ca="1" si="27"/>
        <v>7227.5025301886299</v>
      </c>
      <c r="L335" s="444">
        <f t="shared" ca="1" si="28"/>
        <v>1741828.1097754594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1741828.1097754594</v>
      </c>
      <c r="J336" s="444">
        <f t="array" ref="J336">IFERROR(INDEX('Retirement Calculator'!J:J,MATCH('Isaac 401k'!N336,'Retirement Calculator'!A:A,0),0),0)</f>
        <v>7896.2379798201846</v>
      </c>
      <c r="K336" s="444">
        <f t="shared" ca="1" si="27"/>
        <v>7224.7161324818298</v>
      </c>
      <c r="L336" s="444">
        <f t="shared" ca="1" si="28"/>
        <v>1741156.587928121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1741156.587928121</v>
      </c>
      <c r="J337" s="444">
        <f t="array" ref="J337">IFERROR(INDEX('Retirement Calculator'!J:J,MATCH('Isaac 401k'!N337,'Retirement Calculator'!A:A,0),0),0)</f>
        <v>7896.2379798201846</v>
      </c>
      <c r="K337" s="444">
        <f t="shared" ca="1" si="27"/>
        <v>7221.9181247845863</v>
      </c>
      <c r="L337" s="444">
        <f t="shared" ca="1" si="28"/>
        <v>1740482.2680730852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1740482.2680730852</v>
      </c>
      <c r="J338" s="444">
        <f t="array" ref="J338">IFERROR(INDEX('Retirement Calculator'!J:J,MATCH('Isaac 401k'!N338,'Retirement Calculator'!A:A,0),0),0)</f>
        <v>7896.2379798201846</v>
      </c>
      <c r="K338" s="444">
        <f t="shared" ca="1" si="27"/>
        <v>7219.1084587219375</v>
      </c>
      <c r="L338" s="444">
        <f t="shared" ca="1" si="28"/>
        <v>1739805.138551987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1739805.138551987</v>
      </c>
      <c r="J339" s="444">
        <f t="array" ref="J339">IFERROR(INDEX('Retirement Calculator'!J:J,MATCH('Isaac 401k'!N339,'Retirement Calculator'!A:A,0),0),0)</f>
        <v>7896.2379798201846</v>
      </c>
      <c r="K339" s="444">
        <f t="shared" ca="1" si="27"/>
        <v>7216.2870857173612</v>
      </c>
      <c r="L339" s="444">
        <f t="shared" ca="1" si="28"/>
        <v>1739125.1876578841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1739125.1876578841</v>
      </c>
      <c r="J340" s="444">
        <f t="array" ref="J340">IFERROR(INDEX('Retirement Calculator'!J:J,MATCH('Isaac 401k'!N340,'Retirement Calculator'!A:A,0),0),0)</f>
        <v>7896.2379798201846</v>
      </c>
      <c r="K340" s="444">
        <f t="shared" ca="1" si="27"/>
        <v>7213.4539569919325</v>
      </c>
      <c r="L340" s="444">
        <f t="shared" ca="1" si="28"/>
        <v>1738442.4036350558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1738442.4036350558</v>
      </c>
      <c r="J341" s="444">
        <f t="array" ref="J341">IFERROR(INDEX('Retirement Calculator'!J:J,MATCH('Isaac 401k'!N341,'Retirement Calculator'!A:A,0),0),0)</f>
        <v>7896.2379798201846</v>
      </c>
      <c r="K341" s="444">
        <f t="shared" ca="1" si="27"/>
        <v>7210.6090235634811</v>
      </c>
      <c r="L341" s="444">
        <f t="shared" ca="1" si="28"/>
        <v>1737756.7746787991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1737756.7746787991</v>
      </c>
      <c r="J342" s="444">
        <f t="array" ref="J342">IFERROR(INDEX('Retirement Calculator'!J:J,MATCH('Isaac 401k'!N342,'Retirement Calculator'!A:A,0),0),0)</f>
        <v>7896.2379798201846</v>
      </c>
      <c r="K342" s="444">
        <f t="shared" ca="1" si="27"/>
        <v>7207.7522362457448</v>
      </c>
      <c r="L342" s="444">
        <f t="shared" ca="1" si="28"/>
        <v>1737068.2889352245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1737068.2889352245</v>
      </c>
      <c r="J343" s="444">
        <f t="array" ref="J343">IFERROR(INDEX('Retirement Calculator'!J:J,MATCH('Isaac 401k'!N343,'Retirement Calculator'!A:A,0),0),0)</f>
        <v>7896.2379798201846</v>
      </c>
      <c r="K343" s="444">
        <f t="shared" ca="1" si="27"/>
        <v>7204.8835456475181</v>
      </c>
      <c r="L343" s="444">
        <f t="shared" ca="1" si="28"/>
        <v>1736376.9345010519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1736376.9345010519</v>
      </c>
      <c r="J344" s="444">
        <f t="array" ref="J344">IFERROR(INDEX('Retirement Calculator'!J:J,MATCH('Isaac 401k'!N344,'Retirement Calculator'!A:A,0),0),0)</f>
        <v>7896.2379798201846</v>
      </c>
      <c r="K344" s="444">
        <f t="shared" ca="1" si="27"/>
        <v>7202.0029021717974</v>
      </c>
      <c r="L344" s="444">
        <f t="shared" ca="1" si="28"/>
        <v>1735682.6994234035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1735682.6994234035</v>
      </c>
      <c r="J345" s="444">
        <f t="array" ref="J345">IFERROR(INDEX('Retirement Calculator'!J:J,MATCH('Isaac 401k'!N345,'Retirement Calculator'!A:A,0),0),0)</f>
        <v>7896.2379798201846</v>
      </c>
      <c r="K345" s="444">
        <f t="shared" ca="1" si="27"/>
        <v>7199.1102560149311</v>
      </c>
      <c r="L345" s="444">
        <f t="shared" ca="1" si="28"/>
        <v>1734985.5716995981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1734985.5716995981</v>
      </c>
      <c r="J346" s="444">
        <f t="array" ref="J346">IFERROR(INDEX('Retirement Calculator'!J:J,MATCH('Isaac 401k'!N346,'Retirement Calculator'!A:A,0),0),0)</f>
        <v>7896.2379798201846</v>
      </c>
      <c r="K346" s="444">
        <f t="shared" ca="1" si="27"/>
        <v>7196.2055571657411</v>
      </c>
      <c r="L346" s="444">
        <f t="shared" ca="1" si="28"/>
        <v>1734285.5392769435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1734285.5392769435</v>
      </c>
      <c r="J347" s="444">
        <f t="array" ref="J347">IFERROR(INDEX('Retirement Calculator'!J:J,MATCH('Isaac 401k'!N347,'Retirement Calculator'!A:A,0),0),0)</f>
        <v>7896.2379798201846</v>
      </c>
      <c r="K347" s="444">
        <f t="shared" ca="1" si="27"/>
        <v>7193.2887554046811</v>
      </c>
      <c r="L347" s="444">
        <f t="shared" ca="1" si="28"/>
        <v>1733582.5900525281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1733582.5900525281</v>
      </c>
      <c r="J348" s="444">
        <f t="array" ref="J348">IFERROR(INDEX('Retirement Calculator'!J:J,MATCH('Isaac 401k'!N348,'Retirement Calculator'!A:A,0),0),0)</f>
        <v>7896.2379798201846</v>
      </c>
      <c r="K348" s="444">
        <f t="shared" ca="1" si="27"/>
        <v>7190.3598003029492</v>
      </c>
      <c r="L348" s="444">
        <f t="shared" ca="1" si="28"/>
        <v>1732876.7118730107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1732876.7118730107</v>
      </c>
      <c r="J349" s="444">
        <f t="array" ref="J349">IFERROR(INDEX('Retirement Calculator'!J:J,MATCH('Isaac 401k'!N349,'Retirement Calculator'!A:A,0),0),0)</f>
        <v>7896.2379798201846</v>
      </c>
      <c r="K349" s="444">
        <f t="shared" ca="1" si="27"/>
        <v>7187.4186412216268</v>
      </c>
      <c r="L349" s="444">
        <f t="shared" ca="1" si="28"/>
        <v>1732167.8925344122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1732167.8925344122</v>
      </c>
      <c r="J350" s="444">
        <f t="array" ref="J350">IFERROR(INDEX('Retirement Calculator'!J:J,MATCH('Isaac 401k'!N350,'Retirement Calculator'!A:A,0),0),0)</f>
        <v>7896.2379798201846</v>
      </c>
      <c r="K350" s="444">
        <f t="shared" ca="1" si="27"/>
        <v>7184.4652273107995</v>
      </c>
      <c r="L350" s="444">
        <f t="shared" ca="1" si="28"/>
        <v>1731456.1197819028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1731456.1197819028</v>
      </c>
      <c r="J351" s="444">
        <f t="array" ref="J351">IFERROR(INDEX('Retirement Calculator'!J:J,MATCH('Isaac 401k'!N351,'Retirement Calculator'!A:A,0),0),0)</f>
        <v>7896.2379798201846</v>
      </c>
      <c r="K351" s="444">
        <f t="shared" ca="1" si="27"/>
        <v>7181.4995075086763</v>
      </c>
      <c r="L351" s="444">
        <f t="shared" ca="1" si="28"/>
        <v>1730741.3813095912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1730741.3813095912</v>
      </c>
      <c r="J352" s="444">
        <f t="array" ref="J352">IFERROR(INDEX('Retirement Calculator'!J:J,MATCH('Isaac 401k'!N352,'Retirement Calculator'!A:A,0),0),0)</f>
        <v>7896.2379798201846</v>
      </c>
      <c r="K352" s="444">
        <f t="shared" ca="1" si="27"/>
        <v>7178.5214305407135</v>
      </c>
      <c r="L352" s="444">
        <f t="shared" ca="1" si="28"/>
        <v>1730023.6647603116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1730023.6647603116</v>
      </c>
      <c r="J353" s="444">
        <f t="array" ref="J353">IFERROR(INDEX('Retirement Calculator'!J:J,MATCH('Isaac 401k'!N353,'Retirement Calculator'!A:A,0),0),0)</f>
        <v>7896.2379798201846</v>
      </c>
      <c r="K353" s="444">
        <f t="shared" ca="1" si="27"/>
        <v>7175.5309449187143</v>
      </c>
      <c r="L353" s="444">
        <f t="shared" ca="1" si="28"/>
        <v>1729302.9577254101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1729302.9577254101</v>
      </c>
      <c r="J354" s="444">
        <f t="array" ref="J354">IFERROR(INDEX('Retirement Calculator'!J:J,MATCH('Isaac 401k'!N354,'Retirement Calculator'!A:A,0),0),0)</f>
        <v>7896.2379798201846</v>
      </c>
      <c r="K354" s="444">
        <f t="shared" ca="1" si="27"/>
        <v>7172.5279989399569</v>
      </c>
      <c r="L354" s="444">
        <f t="shared" ca="1" si="28"/>
        <v>1728579.2477445297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1728579.2477445297</v>
      </c>
      <c r="J355" s="444">
        <f t="array" ref="J355">IFERROR(INDEX('Retirement Calculator'!J:J,MATCH('Isaac 401k'!N355,'Retirement Calculator'!A:A,0),0),0)</f>
        <v>7896.2379798201846</v>
      </c>
      <c r="K355" s="444">
        <f t="shared" ca="1" si="27"/>
        <v>7169.5125406862908</v>
      </c>
      <c r="L355" s="444">
        <f t="shared" ca="1" si="28"/>
        <v>1727852.5223053957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1727852.5223053957</v>
      </c>
      <c r="J356" s="444">
        <f t="array" ref="J356">IFERROR(INDEX('Retirement Calculator'!J:J,MATCH('Isaac 401k'!N356,'Retirement Calculator'!A:A,0),0),0)</f>
        <v>7896.2379798201846</v>
      </c>
      <c r="K356" s="444">
        <f t="shared" ca="1" si="27"/>
        <v>7166.4845180232305</v>
      </c>
      <c r="L356" s="444">
        <f t="shared" ca="1" si="28"/>
        <v>1727122.7688435987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1727122.7688435987</v>
      </c>
      <c r="J357" s="444">
        <f t="array" ref="J357">IFERROR(INDEX('Retirement Calculator'!J:J,MATCH('Isaac 401k'!N357,'Retirement Calculator'!A:A,0),0),0)</f>
        <v>7896.2379798201846</v>
      </c>
      <c r="K357" s="444">
        <f t="shared" ca="1" si="27"/>
        <v>7163.443878599076</v>
      </c>
      <c r="L357" s="444">
        <f t="shared" ca="1" si="28"/>
        <v>1726389.9747423774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1726389.9747423774</v>
      </c>
      <c r="J358" s="444">
        <f t="array" ref="J358">IFERROR(INDEX('Retirement Calculator'!J:J,MATCH('Isaac 401k'!N358,'Retirement Calculator'!A:A,0),0),0)</f>
        <v>7896.2379798201846</v>
      </c>
      <c r="K358" s="444">
        <f t="shared" ca="1" si="27"/>
        <v>7160.3905698439885</v>
      </c>
      <c r="L358" s="444">
        <f t="shared" ca="1" si="28"/>
        <v>1725654.1273324012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1725654.1273324012</v>
      </c>
      <c r="J359" s="444">
        <f t="array" ref="J359">IFERROR(INDEX('Retirement Calculator'!J:J,MATCH('Isaac 401k'!N359,'Retirement Calculator'!A:A,0),0),0)</f>
        <v>7896.2379798201846</v>
      </c>
      <c r="K359" s="444">
        <f t="shared" ca="1" si="27"/>
        <v>7157.3245389690874</v>
      </c>
      <c r="L359" s="444">
        <f t="shared" ca="1" si="28"/>
        <v>1724915.2138915502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1724915.2138915502</v>
      </c>
      <c r="J360" s="444">
        <f t="array" ref="J360">IFERROR(INDEX('Retirement Calculator'!J:J,MATCH('Isaac 401k'!N360,'Retirement Calculator'!A:A,0),0),0)</f>
        <v>7896.2379798201846</v>
      </c>
      <c r="K360" s="444">
        <f t="shared" ca="1" si="27"/>
        <v>7154.2457329655408</v>
      </c>
      <c r="L360" s="444">
        <f t="shared" ca="1" si="28"/>
        <v>1724173.2216446956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1724173.2216446956</v>
      </c>
      <c r="J361" s="444">
        <f t="array" ref="J361">IFERROR(INDEX('Retirement Calculator'!J:J,MATCH('Isaac 401k'!N361,'Retirement Calculator'!A:A,0),0),0)</f>
        <v>7896.2379798201846</v>
      </c>
      <c r="K361" s="444">
        <f t="shared" ca="1" si="27"/>
        <v>7151.1540986036462</v>
      </c>
      <c r="L361" s="444">
        <f t="shared" ca="1" si="28"/>
        <v>1723428.137763479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1723428.137763479</v>
      </c>
      <c r="J362" s="444">
        <f t="array" ref="J362">IFERROR(INDEX('Retirement Calculator'!J:J,MATCH('Isaac 401k'!N362,'Retirement Calculator'!A:A,0),0),0)</f>
        <v>7896.2379798201846</v>
      </c>
      <c r="K362" s="444">
        <f t="shared" ca="1" si="27"/>
        <v>7148.0495824319123</v>
      </c>
      <c r="L362" s="444">
        <f t="shared" ca="1" si="28"/>
        <v>1722679.9493660908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1722679.9493660908</v>
      </c>
      <c r="J363" s="444">
        <f t="array" ref="J363">IFERROR(INDEX('Retirement Calculator'!J:J,MATCH('Isaac 401k'!N363,'Retirement Calculator'!A:A,0),0),0)</f>
        <v>7896.2379798201846</v>
      </c>
      <c r="K363" s="444">
        <f t="shared" ca="1" si="27"/>
        <v>7144.9321307761275</v>
      </c>
      <c r="L363" s="444">
        <f t="shared" ca="1" si="28"/>
        <v>1721928.6435170467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1721928.6435170467</v>
      </c>
      <c r="J364" s="444">
        <f t="array" ref="J364">IFERROR(INDEX('Retirement Calculator'!J:J,MATCH('Isaac 401k'!N364,'Retirement Calculator'!A:A,0),0),0)</f>
        <v>7896.2379798201846</v>
      </c>
      <c r="K364" s="444">
        <f t="shared" ca="1" si="27"/>
        <v>7141.8016897384432</v>
      </c>
      <c r="L364" s="444">
        <f t="shared" ca="1" si="28"/>
        <v>1721174.2072269649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1721174.2072269649</v>
      </c>
      <c r="J365" s="444">
        <f t="array" ref="J365">IFERROR(INDEX('Retirement Calculator'!J:J,MATCH('Isaac 401k'!N365,'Retirement Calculator'!A:A,0),0),0)</f>
        <v>7896.2379798201846</v>
      </c>
      <c r="K365" s="444">
        <f t="shared" ca="1" si="27"/>
        <v>7138.6582051964351</v>
      </c>
      <c r="L365" s="444">
        <f t="shared" ca="1" si="28"/>
        <v>1720416.6274523411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1720416.6274523411</v>
      </c>
      <c r="J366" s="444">
        <f t="array" ref="J366">IFERROR(INDEX('Retirement Calculator'!J:J,MATCH('Isaac 401k'!N366,'Retirement Calculator'!A:A,0),0),0)</f>
        <v>7896.2379798201846</v>
      </c>
      <c r="K366" s="444">
        <f t="shared" ca="1" si="27"/>
        <v>7135.5016228021705</v>
      </c>
      <c r="L366" s="444">
        <f t="shared" ca="1" si="28"/>
        <v>1719655.891095323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1719655.891095323</v>
      </c>
      <c r="J367" s="444">
        <f t="array" ref="J367">IFERROR(INDEX('Retirement Calculator'!J:J,MATCH('Isaac 401k'!N367,'Retirement Calculator'!A:A,0),0),0)</f>
        <v>7896.2379798201846</v>
      </c>
      <c r="K367" s="444">
        <f t="shared" ca="1" si="27"/>
        <v>7132.3318879812614</v>
      </c>
      <c r="L367" s="444">
        <f t="shared" ca="1" si="28"/>
        <v>1718891.9850034839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1718891.9850034839</v>
      </c>
      <c r="J368" s="444">
        <f t="array" ref="J368">IFERROR(INDEX('Retirement Calculator'!J:J,MATCH('Isaac 401k'!N368,'Retirement Calculator'!A:A,0),0),0)</f>
        <v>7896.2379798201846</v>
      </c>
      <c r="K368" s="444">
        <f t="shared" ca="1" si="27"/>
        <v>7129.1489459319328</v>
      </c>
      <c r="L368" s="444">
        <f t="shared" ca="1" si="28"/>
        <v>1718124.8959695958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1718124.8959695958</v>
      </c>
      <c r="J369" s="444">
        <f t="array" ref="J369">IFERROR(INDEX('Retirement Calculator'!J:J,MATCH('Isaac 401k'!N369,'Retirement Calculator'!A:A,0),0),0)</f>
        <v>7896.2379798201846</v>
      </c>
      <c r="K369" s="444">
        <f t="shared" ca="1" si="27"/>
        <v>7125.9527416240644</v>
      </c>
      <c r="L369" s="444">
        <f t="shared" ca="1" si="28"/>
        <v>1717354.6107313996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1717354.6107313996</v>
      </c>
      <c r="J370" s="444">
        <f t="array" ref="J370">IFERROR(INDEX('Retirement Calculator'!J:J,MATCH('Isaac 401k'!N370,'Retirement Calculator'!A:A,0),0),0)</f>
        <v>7896.2379798201846</v>
      </c>
      <c r="K370" s="444">
        <f t="shared" ca="1" si="27"/>
        <v>7122.7432197982462</v>
      </c>
      <c r="L370" s="444">
        <f t="shared" ca="1" si="28"/>
        <v>1716581.1159713776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1716581.1159713776</v>
      </c>
      <c r="J371" s="444">
        <f t="array" ref="J371">IFERROR(INDEX('Retirement Calculator'!J:J,MATCH('Isaac 401k'!N371,'Retirement Calculator'!A:A,0),0),0)</f>
        <v>7896.2379798201846</v>
      </c>
      <c r="K371" s="444">
        <f t="shared" ca="1" si="27"/>
        <v>7119.520324964823</v>
      </c>
      <c r="L371" s="444">
        <f t="shared" ca="1" si="28"/>
        <v>1715804.3983165221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1715804.3983165221</v>
      </c>
      <c r="J372" s="444">
        <f t="array" ref="J372">IFERROR(INDEX('Retirement Calculator'!J:J,MATCH('Isaac 401k'!N372,'Retirement Calculator'!A:A,0),0),0)</f>
        <v>7896.2379798201846</v>
      </c>
      <c r="K372" s="444">
        <f t="shared" ca="1" si="27"/>
        <v>7116.2840014029243</v>
      </c>
      <c r="L372" s="444">
        <f t="shared" ca="1" si="28"/>
        <v>1715024.4443381049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1715024.4443381049</v>
      </c>
      <c r="J373" s="444">
        <f t="array" ref="J373">IFERROR(INDEX('Retirement Calculator'!J:J,MATCH('Isaac 401k'!N373,'Retirement Calculator'!A:A,0),0),0)</f>
        <v>7896.2379798201846</v>
      </c>
      <c r="K373" s="444">
        <f t="shared" ca="1" si="27"/>
        <v>7113.0341931595194</v>
      </c>
      <c r="L373" s="444">
        <f t="shared" ca="1" si="28"/>
        <v>1714241.2405514442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1714241.2405514442</v>
      </c>
      <c r="J374" s="444">
        <f t="array" ref="J374">IFERROR(INDEX('Retirement Calculator'!J:J,MATCH('Isaac 401k'!N374,'Retirement Calculator'!A:A,0),0),0)</f>
        <v>7896.2379798201846</v>
      </c>
      <c r="K374" s="444">
        <f t="shared" ca="1" si="27"/>
        <v>7109.770844048433</v>
      </c>
      <c r="L374" s="444">
        <f t="shared" ca="1" si="28"/>
        <v>1713454.7734156724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1713454.7734156724</v>
      </c>
      <c r="J375" s="444">
        <f t="array" ref="J375">IFERROR(INDEX('Retirement Calculator'!J:J,MATCH('Isaac 401k'!N375,'Retirement Calculator'!A:A,0),0),0)</f>
        <v>7896.2379798201846</v>
      </c>
      <c r="K375" s="444">
        <f t="shared" ca="1" si="27"/>
        <v>7106.493897649385</v>
      </c>
      <c r="L375" s="444">
        <f t="shared" ca="1" si="28"/>
        <v>1712665.0293335016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1712665.0293335016</v>
      </c>
      <c r="J376" s="444">
        <f t="array" ref="J376">IFERROR(INDEX('Retirement Calculator'!J:J,MATCH('Isaac 401k'!N376,'Retirement Calculator'!A:A,0),0),0)</f>
        <v>7896.2379798201846</v>
      </c>
      <c r="K376" s="444">
        <f t="shared" ca="1" si="27"/>
        <v>7103.2032973070054</v>
      </c>
      <c r="L376" s="444">
        <f t="shared" ca="1" si="28"/>
        <v>1711871.9946509884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1711871.9946509884</v>
      </c>
      <c r="J377" s="444">
        <f t="array" ref="J377">IFERROR(INDEX('Retirement Calculator'!J:J,MATCH('Isaac 401k'!N377,'Retirement Calculator'!A:A,0),0),0)</f>
        <v>7896.2379798201846</v>
      </c>
      <c r="K377" s="444">
        <f t="shared" ca="1" si="27"/>
        <v>7099.8989861298669</v>
      </c>
      <c r="L377" s="444">
        <f t="shared" ca="1" si="28"/>
        <v>1711075.6556572979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1711075.6556572979</v>
      </c>
      <c r="J378" s="444">
        <f t="array" ref="J378">IFERROR(INDEX('Retirement Calculator'!J:J,MATCH('Isaac 401k'!N378,'Retirement Calculator'!A:A,0),0),0)</f>
        <v>7896.2379798201846</v>
      </c>
      <c r="K378" s="444">
        <f t="shared" ca="1" si="27"/>
        <v>7096.5809069894904</v>
      </c>
      <c r="L378" s="444">
        <f t="shared" ca="1" si="28"/>
        <v>1710275.9985844672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1710275.9985844672</v>
      </c>
      <c r="J379" s="444">
        <f t="array" ref="J379">IFERROR(INDEX('Retirement Calculator'!J:J,MATCH('Isaac 401k'!N379,'Retirement Calculator'!A:A,0),0),0)</f>
        <v>7896.2379798201846</v>
      </c>
      <c r="K379" s="444">
        <f t="shared" ca="1" si="27"/>
        <v>7093.2490025193611</v>
      </c>
      <c r="L379" s="444">
        <f t="shared" ca="1" si="28"/>
        <v>1709473.0096071663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1709473.0096071663</v>
      </c>
      <c r="J380" s="444">
        <f t="array" ref="J380">IFERROR(INDEX('Retirement Calculator'!J:J,MATCH('Isaac 401k'!N380,'Retirement Calculator'!A:A,0),0),0)</f>
        <v>7896.2379798201846</v>
      </c>
      <c r="K380" s="444">
        <f t="shared" ca="1" si="27"/>
        <v>7089.9032151139409</v>
      </c>
      <c r="L380" s="444">
        <f t="shared" ca="1" si="28"/>
        <v>1708666.6748424601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1708666.6748424601</v>
      </c>
      <c r="J381" s="444">
        <f t="array" ref="J381">IFERROR(INDEX('Retirement Calculator'!J:J,MATCH('Isaac 401k'!N381,'Retirement Calculator'!A:A,0),0),0)</f>
        <v>7896.2379798201846</v>
      </c>
      <c r="K381" s="444">
        <f t="shared" ca="1" si="27"/>
        <v>7086.543486927666</v>
      </c>
      <c r="L381" s="444">
        <f t="shared" ca="1" si="28"/>
        <v>1707856.9803495675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1707856.9803495675</v>
      </c>
      <c r="J382" s="444">
        <f t="array" ref="J382">IFERROR(INDEX('Retirement Calculator'!J:J,MATCH('Isaac 401k'!N382,'Retirement Calculator'!A:A,0),0),0)</f>
        <v>7896.2379798201846</v>
      </c>
      <c r="K382" s="444">
        <f t="shared" ca="1" si="27"/>
        <v>7083.1697598739465</v>
      </c>
      <c r="L382" s="444">
        <f t="shared" ca="1" si="28"/>
        <v>1707043.9121296213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1707043.9121296213</v>
      </c>
      <c r="J383" s="444">
        <f t="array" ref="J383">IFERROR(INDEX('Retirement Calculator'!J:J,MATCH('Isaac 401k'!N383,'Retirement Calculator'!A:A,0),0),0)</f>
        <v>7896.2379798201846</v>
      </c>
      <c r="K383" s="444">
        <f t="shared" ca="1" si="27"/>
        <v>7079.7819756241706</v>
      </c>
      <c r="L383" s="444">
        <f t="shared" ca="1" si="28"/>
        <v>1706227.4561254252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1706227.4561254252</v>
      </c>
      <c r="J384" s="444">
        <f t="array" ref="J384">IFERROR(INDEX('Retirement Calculator'!J:J,MATCH('Isaac 401k'!N384,'Retirement Calculator'!A:A,0),0),0)</f>
        <v>7896.2379798201846</v>
      </c>
      <c r="K384" s="444">
        <f t="shared" ca="1" si="27"/>
        <v>7076.3800756066876</v>
      </c>
      <c r="L384" s="444">
        <f t="shared" ca="1" si="28"/>
        <v>1705407.5982212117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1705407.5982212117</v>
      </c>
      <c r="J385" s="444">
        <f t="array" ref="J385">IFERROR(INDEX('Retirement Calculator'!J:J,MATCH('Isaac 401k'!N385,'Retirement Calculator'!A:A,0),0),0)</f>
        <v>7896.2379798201846</v>
      </c>
      <c r="K385" s="444">
        <f t="shared" ca="1" si="27"/>
        <v>7072.9640010057974</v>
      </c>
      <c r="L385" s="444">
        <f t="shared" ca="1" si="28"/>
        <v>1704584.3242423972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1704584.3242423972</v>
      </c>
      <c r="J386" s="444">
        <f t="array" ref="J386">IFERROR(INDEX('Retirement Calculator'!J:J,MATCH('Isaac 401k'!N386,'Retirement Calculator'!A:A,0),0),0)</f>
        <v>7896.2379798201846</v>
      </c>
      <c r="K386" s="444">
        <f t="shared" ca="1" si="27"/>
        <v>7069.5336927607359</v>
      </c>
      <c r="L386" s="444">
        <f t="shared" ca="1" si="28"/>
        <v>1703757.6199553376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1703757.6199553376</v>
      </c>
      <c r="J387" s="444">
        <f t="array" ref="J387">IFERROR(INDEX('Retirement Calculator'!J:J,MATCH('Isaac 401k'!N387,'Retirement Calculator'!A:A,0),0),0)</f>
        <v>7896.2379798201846</v>
      </c>
      <c r="K387" s="444">
        <f t="shared" ca="1" si="27"/>
        <v>7066.089091564656</v>
      </c>
      <c r="L387" s="444">
        <f t="shared" ca="1" si="28"/>
        <v>1702927.4710670821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1702927.4710670821</v>
      </c>
      <c r="J388" s="444">
        <f t="array" ref="J388">IFERROR(INDEX('Retirement Calculator'!J:J,MATCH('Isaac 401k'!N388,'Retirement Calculator'!A:A,0),0),0)</f>
        <v>7896.2379798201846</v>
      </c>
      <c r="K388" s="444">
        <f t="shared" ca="1" si="27"/>
        <v>7062.6301378635908</v>
      </c>
      <c r="L388" s="444">
        <f t="shared" ca="1" si="28"/>
        <v>1702093.8632251255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1702093.8632251255</v>
      </c>
      <c r="J389" s="444">
        <f t="array" ref="J389">IFERROR(INDEX('Retirement Calculator'!J:J,MATCH('Isaac 401k'!N389,'Retirement Calculator'!A:A,0),0),0)</f>
        <v>7896.2379798201846</v>
      </c>
      <c r="K389" s="444">
        <f t="shared" ca="1" si="27"/>
        <v>7059.1567718554388</v>
      </c>
      <c r="L389" s="444">
        <f t="shared" ca="1" si="28"/>
        <v>1701256.7820171607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1701256.7820171607</v>
      </c>
      <c r="J390" s="444">
        <f t="array" ref="J390">IFERROR(INDEX('Retirement Calculator'!J:J,MATCH('Isaac 401k'!N390,'Retirement Calculator'!A:A,0),0),0)</f>
        <v>7896.2379798201846</v>
      </c>
      <c r="K390" s="444">
        <f t="shared" ca="1" si="27"/>
        <v>7055.6689334889197</v>
      </c>
      <c r="L390" s="444">
        <f t="shared" ca="1" si="28"/>
        <v>1700416.2129708293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1700416.2129708293</v>
      </c>
      <c r="J391" s="444">
        <f t="array" ref="J391">IFERROR(INDEX('Retirement Calculator'!J:J,MATCH('Isaac 401k'!N391,'Retirement Calculator'!A:A,0),0),0)</f>
        <v>7896.2379798201846</v>
      </c>
      <c r="K391" s="444">
        <f t="shared" ca="1" si="27"/>
        <v>7052.1665624625375</v>
      </c>
      <c r="L391" s="444">
        <f t="shared" ca="1" si="28"/>
        <v>1699572.1415534716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1699572.1415534716</v>
      </c>
      <c r="J392" s="444">
        <f t="array" ref="J392">IFERROR(INDEX('Retirement Calculator'!J:J,MATCH('Isaac 401k'!N392,'Retirement Calculator'!A:A,0),0),0)</f>
        <v>7896.2379798201846</v>
      </c>
      <c r="K392" s="444">
        <f t="shared" ca="1" si="27"/>
        <v>7048.6495982235465</v>
      </c>
      <c r="L392" s="444">
        <f t="shared" ca="1" si="28"/>
        <v>1698724.553171875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1698724.553171875</v>
      </c>
      <c r="J393" s="444">
        <f t="array" ref="J393">IFERROR(INDEX('Retirement Calculator'!J:J,MATCH('Isaac 401k'!N393,'Retirement Calculator'!A:A,0),0),0)</f>
        <v>7896.2379798201846</v>
      </c>
      <c r="K393" s="444">
        <f t="shared" ca="1" si="27"/>
        <v>7045.1179799668953</v>
      </c>
      <c r="L393" s="444">
        <f t="shared" ca="1" si="28"/>
        <v>1697873.4331720215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1697873.4331720215</v>
      </c>
      <c r="J394" s="444">
        <f t="array" ref="J394">IFERROR(INDEX('Retirement Calculator'!J:J,MATCH('Isaac 401k'!N394,'Retirement Calculator'!A:A,0),0),0)</f>
        <v>7896.2379798201846</v>
      </c>
      <c r="K394" s="444">
        <f t="shared" ca="1" si="27"/>
        <v>7041.5716466341728</v>
      </c>
      <c r="L394" s="444">
        <f t="shared" ca="1" si="28"/>
        <v>1697018.7668388356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1697018.7668388356</v>
      </c>
      <c r="J395" s="444">
        <f t="array" ref="J395">IFERROR(INDEX('Retirement Calculator'!J:J,MATCH('Isaac 401k'!N395,'Retirement Calculator'!A:A,0),0),0)</f>
        <v>7896.2379798201846</v>
      </c>
      <c r="K395" s="444">
        <f t="shared" ca="1" si="27"/>
        <v>7038.0105369125649</v>
      </c>
      <c r="L395" s="444">
        <f t="shared" ca="1" si="28"/>
        <v>1696160.5393959279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1696160.5393959279</v>
      </c>
      <c r="J396" s="444">
        <f t="array" ref="J396">IFERROR(INDEX('Retirement Calculator'!J:J,MATCH('Isaac 401k'!N396,'Retirement Calculator'!A:A,0),0),0)</f>
        <v>7896.2379798201846</v>
      </c>
      <c r="K396" s="444">
        <f t="shared" ca="1" si="27"/>
        <v>7034.4345892337815</v>
      </c>
      <c r="L396" s="444">
        <f t="shared" ca="1" si="28"/>
        <v>1695298.7360053414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1695298.7360053414</v>
      </c>
      <c r="J397" s="444">
        <f t="array" ref="J397">IFERROR(INDEX('Retirement Calculator'!J:J,MATCH('Isaac 401k'!N397,'Retirement Calculator'!A:A,0),0),0)</f>
        <v>7896.2379798201846</v>
      </c>
      <c r="K397" s="444">
        <f t="shared" ca="1" si="27"/>
        <v>7030.8437417730047</v>
      </c>
      <c r="L397" s="444">
        <f t="shared" ca="1" si="28"/>
        <v>1694433.3417672941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1694433.3417672941</v>
      </c>
      <c r="J398" s="444">
        <f t="array" ref="J398">IFERROR(INDEX('Retirement Calculator'!J:J,MATCH('Isaac 401k'!N398,'Retirement Calculator'!A:A,0),0),0)</f>
        <v>7896.2379798201846</v>
      </c>
      <c r="K398" s="444">
        <f t="shared" ca="1" si="27"/>
        <v>7027.237932447807</v>
      </c>
      <c r="L398" s="444">
        <f t="shared" ca="1" si="28"/>
        <v>1693564.3417199217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1693564.3417199217</v>
      </c>
      <c r="J399" s="444">
        <f t="array" ref="J399">IFERROR(INDEX('Retirement Calculator'!J:J,MATCH('Isaac 401k'!N399,'Retirement Calculator'!A:A,0),0),0)</f>
        <v>7896.2379798201846</v>
      </c>
      <c r="K399" s="444">
        <f t="shared" ca="1" si="27"/>
        <v>7023.6170989170896</v>
      </c>
      <c r="L399" s="444">
        <f t="shared" ca="1" si="28"/>
        <v>1692691.7208390185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1692691.7208390185</v>
      </c>
      <c r="J400" s="444">
        <f t="array" ref="J400">IFERROR(INDEX('Retirement Calculator'!J:J,MATCH('Isaac 401k'!N400,'Retirement Calculator'!A:A,0),0),0)</f>
        <v>7896.2379798201846</v>
      </c>
      <c r="K400" s="444">
        <f t="shared" ca="1" si="27"/>
        <v>7019.9811785799911</v>
      </c>
      <c r="L400" s="444">
        <f t="shared" ca="1" si="28"/>
        <v>1691815.4640377783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1691815.4640377783</v>
      </c>
      <c r="J401" s="444">
        <f t="array" ref="J401">IFERROR(INDEX('Retirement Calculator'!J:J,MATCH('Isaac 401k'!N401,'Retirement Calculator'!A:A,0),0),0)</f>
        <v>7896.2379798201846</v>
      </c>
      <c r="K401" s="444">
        <f t="shared" ca="1" si="27"/>
        <v>7016.3301085748262</v>
      </c>
      <c r="L401" s="444">
        <f t="shared" ca="1" si="28"/>
        <v>1690935.5561665329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1690935.5561665329</v>
      </c>
      <c r="J402" s="444">
        <f t="array" ref="J402">IFERROR(INDEX('Retirement Calculator'!J:J,MATCH('Isaac 401k'!N402,'Retirement Calculator'!A:A,0),0),0)</f>
        <v>7896.2379798201846</v>
      </c>
      <c r="K402" s="444">
        <f t="shared" ca="1" si="27"/>
        <v>7012.6638257779687</v>
      </c>
      <c r="L402" s="444">
        <f t="shared" ca="1" si="28"/>
        <v>1690051.9820124907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1690051.9820124907</v>
      </c>
      <c r="J403" s="444">
        <f t="array" ref="J403">IFERROR(INDEX('Retirement Calculator'!J:J,MATCH('Isaac 401k'!N403,'Retirement Calculator'!A:A,0),0),0)</f>
        <v>7896.2379798201846</v>
      </c>
      <c r="K403" s="444">
        <f t="shared" ca="1" si="27"/>
        <v>7008.9822668027937</v>
      </c>
      <c r="L403" s="444">
        <f t="shared" ca="1" si="28"/>
        <v>1689164.7262994733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1689164.7262994733</v>
      </c>
      <c r="J404" s="444">
        <f t="array" ref="J404">IFERROR(INDEX('Retirement Calculator'!J:J,MATCH('Isaac 401k'!N404,'Retirement Calculator'!A:A,0),0),0)</f>
        <v>7896.2379798201846</v>
      </c>
      <c r="K404" s="444">
        <f t="shared" ca="1" si="27"/>
        <v>7005.2853679985556</v>
      </c>
      <c r="L404" s="444">
        <f t="shared" ca="1" si="28"/>
        <v>1688273.7736876516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1688273.7736876516</v>
      </c>
      <c r="J405" s="444">
        <f t="array" ref="J405">IFERROR(INDEX('Retirement Calculator'!J:J,MATCH('Isaac 401k'!N405,'Retirement Calculator'!A:A,0),0),0)</f>
        <v>7896.2379798201846</v>
      </c>
      <c r="K405" s="444">
        <f t="shared" ca="1" si="27"/>
        <v>7001.5730654492972</v>
      </c>
      <c r="L405" s="444">
        <f t="shared" ca="1" si="28"/>
        <v>1687379.1087732806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1687379.1087732806</v>
      </c>
      <c r="J406" s="444">
        <f t="array" ref="J406">IFERROR(INDEX('Retirement Calculator'!J:J,MATCH('Isaac 401k'!N406,'Retirement Calculator'!A:A,0),0),0)</f>
        <v>7896.2379798201846</v>
      </c>
      <c r="K406" s="444">
        <f t="shared" ca="1" si="27"/>
        <v>6997.8452949727516</v>
      </c>
      <c r="L406" s="444">
        <f t="shared" ca="1" si="28"/>
        <v>1686480.7160884331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1686480.7160884331</v>
      </c>
      <c r="J407" s="444">
        <f t="array" ref="J407">IFERROR(INDEX('Retirement Calculator'!J:J,MATCH('Isaac 401k'!N407,'Retirement Calculator'!A:A,0),0),0)</f>
        <v>7896.2379798201846</v>
      </c>
      <c r="K407" s="444">
        <f t="shared" ca="1" si="27"/>
        <v>6994.1019921192192</v>
      </c>
      <c r="L407" s="444">
        <f t="shared" ca="1" si="28"/>
        <v>1685578.5801007319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1685578.5801007319</v>
      </c>
      <c r="J408" s="444">
        <f t="array" ref="J408">IFERROR(INDEX('Retirement Calculator'!J:J,MATCH('Isaac 401k'!N408,'Retirement Calculator'!A:A,0),0),0)</f>
        <v>7896.2379798201846</v>
      </c>
      <c r="K408" s="444">
        <f t="shared" ca="1" si="27"/>
        <v>6990.3430921704648</v>
      </c>
      <c r="L408" s="444">
        <f t="shared" ca="1" si="28"/>
        <v>1684672.6852130822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1684672.6852130822</v>
      </c>
      <c r="J409" s="444">
        <f t="array" ref="J409">IFERROR(INDEX('Retirement Calculator'!J:J,MATCH('Isaac 401k'!N409,'Retirement Calculator'!A:A,0),0),0)</f>
        <v>7896.2379798201846</v>
      </c>
      <c r="K409" s="444">
        <f t="shared" ca="1" si="27"/>
        <v>6986.5685301385902</v>
      </c>
      <c r="L409" s="444">
        <f t="shared" ca="1" si="28"/>
        <v>1683763.0157634006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1683763.0157634006</v>
      </c>
      <c r="J410" s="444">
        <f t="array" ref="J410">IFERROR(INDEX('Retirement Calculator'!J:J,MATCH('Isaac 401k'!N410,'Retirement Calculator'!A:A,0),0),0)</f>
        <v>7896.2379798201846</v>
      </c>
      <c r="K410" s="444">
        <f t="shared" ca="1" si="27"/>
        <v>6982.7782407649192</v>
      </c>
      <c r="L410" s="444">
        <f t="shared" ca="1" si="28"/>
        <v>1682849.5560243453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1682849.5560243453</v>
      </c>
      <c r="J411" s="444">
        <f t="array" ref="J411">IFERROR(INDEX('Retirement Calculator'!J:J,MATCH('Isaac 401k'!N411,'Retirement Calculator'!A:A,0),0),0)</f>
        <v>7896.2379798201846</v>
      </c>
      <c r="K411" s="444">
        <f t="shared" ca="1" si="27"/>
        <v>6978.9721585188545</v>
      </c>
      <c r="L411" s="444">
        <f t="shared" ca="1" si="28"/>
        <v>1681932.290203044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1681932.290203044</v>
      </c>
      <c r="J412" s="444">
        <f t="array" ref="J412">IFERROR(INDEX('Retirement Calculator'!J:J,MATCH('Isaac 401k'!N412,'Retirement Calculator'!A:A,0),0),0)</f>
        <v>7896.2379798201846</v>
      </c>
      <c r="K412" s="444">
        <f t="shared" ca="1" si="27"/>
        <v>6975.1502175967644</v>
      </c>
      <c r="L412" s="444">
        <f t="shared" ca="1" si="28"/>
        <v>1681011.2024408204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1681011.2024408204</v>
      </c>
      <c r="J413" s="444">
        <f t="array" ref="J413">IFERROR(INDEX('Retirement Calculator'!J:J,MATCH('Isaac 401k'!N413,'Retirement Calculator'!A:A,0),0),0)</f>
        <v>7896.2379798201846</v>
      </c>
      <c r="K413" s="444">
        <f t="shared" ca="1" si="27"/>
        <v>6971.3123519208339</v>
      </c>
      <c r="L413" s="444">
        <f t="shared" ca="1" si="28"/>
        <v>1680086.276812921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1680086.276812921</v>
      </c>
      <c r="J414" s="444">
        <f t="array" ref="J414">IFERROR(INDEX('Retirement Calculator'!J:J,MATCH('Isaac 401k'!N414,'Retirement Calculator'!A:A,0),0),0)</f>
        <v>7896.2379798201846</v>
      </c>
      <c r="K414" s="444">
        <f t="shared" ca="1" si="27"/>
        <v>6967.4584951379202</v>
      </c>
      <c r="L414" s="444">
        <f t="shared" ca="1" si="28"/>
        <v>1679157.4973282388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1679157.4973282388</v>
      </c>
      <c r="J415" s="444">
        <f t="array" ref="J415">IFERROR(INDEX('Retirement Calculator'!J:J,MATCH('Isaac 401k'!N415,'Retirement Calculator'!A:A,0),0),0)</f>
        <v>7896.2379798201846</v>
      </c>
      <c r="K415" s="444">
        <f t="shared" ca="1" si="27"/>
        <v>6963.5885806184115</v>
      </c>
      <c r="L415" s="444">
        <f t="shared" ca="1" si="28"/>
        <v>1678224.8479290369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1678224.8479290369</v>
      </c>
      <c r="J416" s="444">
        <f t="array" ref="J416">IFERROR(INDEX('Retirement Calculator'!J:J,MATCH('Isaac 401k'!N416,'Retirement Calculator'!A:A,0),0),0)</f>
        <v>7896.2379798201846</v>
      </c>
      <c r="K416" s="444">
        <f t="shared" ca="1" si="27"/>
        <v>6959.7025414550708</v>
      </c>
      <c r="L416" s="444">
        <f t="shared" ca="1" si="28"/>
        <v>1677288.3124906719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1677288.3124906719</v>
      </c>
      <c r="J417" s="444">
        <f t="array" ref="J417">IFERROR(INDEX('Retirement Calculator'!J:J,MATCH('Isaac 401k'!N417,'Retirement Calculator'!A:A,0),0),0)</f>
        <v>7896.2379798201846</v>
      </c>
      <c r="K417" s="444">
        <f t="shared" ca="1" si="27"/>
        <v>6955.8003104618829</v>
      </c>
      <c r="L417" s="444">
        <f t="shared" ca="1" si="28"/>
        <v>1676347.8748213134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1676347.8748213134</v>
      </c>
      <c r="J418" s="444">
        <f t="array" ref="J418">IFERROR(INDEX('Retirement Calculator'!J:J,MATCH('Isaac 401k'!N418,'Retirement Calculator'!A:A,0),0),0)</f>
        <v>7896.2379798201846</v>
      </c>
      <c r="K418" s="444">
        <f t="shared" ca="1" si="27"/>
        <v>6951.8818201728891</v>
      </c>
      <c r="L418" s="444">
        <f t="shared" ca="1" si="28"/>
        <v>1675403.5186616662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1675403.5186616662</v>
      </c>
      <c r="J419" s="444">
        <f t="array" ref="J419">IFERROR(INDEX('Retirement Calculator'!J:J,MATCH('Isaac 401k'!N419,'Retirement Calculator'!A:A,0),0),0)</f>
        <v>7896.2379798201846</v>
      </c>
      <c r="K419" s="444">
        <f t="shared" ca="1" si="27"/>
        <v>6947.9470028410251</v>
      </c>
      <c r="L419" s="444">
        <f t="shared" ca="1" si="28"/>
        <v>1674455.2276846869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1674455.2276846869</v>
      </c>
      <c r="J420" s="444">
        <f t="array" ref="J420">IFERROR(INDEX('Retirement Calculator'!J:J,MATCH('Isaac 401k'!N420,'Retirement Calculator'!A:A,0),0),0)</f>
        <v>7896.2379798201846</v>
      </c>
      <c r="K420" s="444">
        <f t="shared" ca="1" si="27"/>
        <v>6943.995790436943</v>
      </c>
      <c r="L420" s="444">
        <f t="shared" ca="1" si="28"/>
        <v>1673502.9854953035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1673502.9854953035</v>
      </c>
      <c r="J421" s="444">
        <f t="array" ref="J421">IFERROR(INDEX('Retirement Calculator'!J:J,MATCH('Isaac 401k'!N421,'Retirement Calculator'!A:A,0),0),0)</f>
        <v>7896.2379798201846</v>
      </c>
      <c r="K421" s="444">
        <f t="shared" ca="1" si="27"/>
        <v>6940.0281146478483</v>
      </c>
      <c r="L421" s="444">
        <f t="shared" ca="1" si="28"/>
        <v>1672546.7756301311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1672546.7756301311</v>
      </c>
      <c r="J422" s="444">
        <f t="array" ref="J422">IFERROR(INDEX('Retirement Calculator'!J:J,MATCH('Isaac 401k'!N422,'Retirement Calculator'!A:A,0),0),0)</f>
        <v>7896.2379798201846</v>
      </c>
      <c r="K422" s="444">
        <f t="shared" ca="1" si="27"/>
        <v>6936.0439068762953</v>
      </c>
      <c r="L422" s="444">
        <f t="shared" ca="1" si="28"/>
        <v>1671586.5815571873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1671586.5815571873</v>
      </c>
      <c r="J423" s="444">
        <f t="array" ref="J423">IFERROR(INDEX('Retirement Calculator'!J:J,MATCH('Isaac 401k'!N423,'Retirement Calculator'!A:A,0),0),0)</f>
        <v>7896.2379798201846</v>
      </c>
      <c r="K423" s="444">
        <f t="shared" ca="1" si="27"/>
        <v>6932.043098239029</v>
      </c>
      <c r="L423" s="444">
        <f t="shared" ca="1" si="28"/>
        <v>1670622.386675606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1670622.386675606</v>
      </c>
      <c r="J424" s="444">
        <f t="array" ref="J424">IFERROR(INDEX('Retirement Calculator'!J:J,MATCH('Isaac 401k'!N424,'Retirement Calculator'!A:A,0),0),0)</f>
        <v>7896.2379798201846</v>
      </c>
      <c r="K424" s="444">
        <f t="shared" ca="1" si="27"/>
        <v>6928.0256195657739</v>
      </c>
      <c r="L424" s="444">
        <f t="shared" ca="1" si="28"/>
        <v>1669654.1743153515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1669654.1743153515</v>
      </c>
      <c r="J425" s="444">
        <f t="array" ref="J425">IFERROR(INDEX('Retirement Calculator'!J:J,MATCH('Isaac 401k'!N425,'Retirement Calculator'!A:A,0),0),0)</f>
        <v>7896.2379798201846</v>
      </c>
      <c r="K425" s="444">
        <f t="shared" ca="1" si="27"/>
        <v>6923.9914013980469</v>
      </c>
      <c r="L425" s="444">
        <f t="shared" ca="1" si="28"/>
        <v>1668681.9277369294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1668681.9277369294</v>
      </c>
      <c r="J426" s="444">
        <f t="array" ref="J426">IFERROR(INDEX('Retirement Calculator'!J:J,MATCH('Isaac 401k'!N426,'Retirement Calculator'!A:A,0),0),0)</f>
        <v>7896.2379798201846</v>
      </c>
      <c r="K426" s="444">
        <f t="shared" ca="1" si="27"/>
        <v>6919.9403739879554</v>
      </c>
      <c r="L426" s="444">
        <f t="shared" ca="1" si="28"/>
        <v>1667705.630131097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1667705.630131097</v>
      </c>
      <c r="J427" s="444">
        <f t="array" ref="J427">IFERROR(INDEX('Retirement Calculator'!J:J,MATCH('Isaac 401k'!N427,'Retirement Calculator'!A:A,0),0),0)</f>
        <v>7896.2379798201846</v>
      </c>
      <c r="K427" s="444">
        <f t="shared" ca="1" si="27"/>
        <v>6915.8724672969865</v>
      </c>
      <c r="L427" s="444">
        <f t="shared" ca="1" si="28"/>
        <v>1666725.2646185737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1666725.2646185737</v>
      </c>
      <c r="J428" s="444">
        <f t="array" ref="J428">IFERROR(INDEX('Retirement Calculator'!J:J,MATCH('Isaac 401k'!N428,'Retirement Calculator'!A:A,0),0),0)</f>
        <v>7896.2379798201846</v>
      </c>
      <c r="K428" s="444">
        <f t="shared" ca="1" si="27"/>
        <v>6911.7876109948074</v>
      </c>
      <c r="L428" s="444">
        <f t="shared" ca="1" si="28"/>
        <v>1665740.8142497484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1665740.8142497484</v>
      </c>
      <c r="J429" s="444">
        <f t="array" ref="J429">IFERROR(INDEX('Retirement Calculator'!J:J,MATCH('Isaac 401k'!N429,'Retirement Calculator'!A:A,0),0),0)</f>
        <v>7896.2379798201846</v>
      </c>
      <c r="K429" s="444">
        <f t="shared" ca="1" si="27"/>
        <v>6907.6857344580339</v>
      </c>
      <c r="L429" s="444">
        <f t="shared" ca="1" si="28"/>
        <v>1664752.2620043862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1664752.2620043862</v>
      </c>
      <c r="J430" s="444">
        <f t="array" ref="J430">IFERROR(INDEX('Retirement Calculator'!J:J,MATCH('Isaac 401k'!N430,'Retirement Calculator'!A:A,0),0),0)</f>
        <v>7896.2379798201846</v>
      </c>
      <c r="K430" s="444">
        <f t="shared" ca="1" si="27"/>
        <v>6903.5667667690241</v>
      </c>
      <c r="L430" s="444">
        <f t="shared" ca="1" si="28"/>
        <v>1663759.5907913349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1663759.5907913349</v>
      </c>
      <c r="J431" s="444">
        <f t="array" ref="J431">IFERROR(INDEX('Retirement Calculator'!J:J,MATCH('Isaac 401k'!N431,'Retirement Calculator'!A:A,0),0),0)</f>
        <v>7896.2379798201846</v>
      </c>
      <c r="K431" s="444">
        <f t="shared" ca="1" si="27"/>
        <v>6899.4306367146446</v>
      </c>
      <c r="L431" s="444">
        <f t="shared" ca="1" si="28"/>
        <v>1662762.7834482293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1662762.7834482293</v>
      </c>
      <c r="J432" s="444">
        <f t="array" ref="J432">IFERROR(INDEX('Retirement Calculator'!J:J,MATCH('Isaac 401k'!N432,'Retirement Calculator'!A:A,0),0),0)</f>
        <v>7896.2379798201846</v>
      </c>
      <c r="K432" s="444">
        <f t="shared" ca="1" si="27"/>
        <v>6895.2772727850379</v>
      </c>
      <c r="L432" s="444">
        <f t="shared" ca="1" si="28"/>
        <v>1661761.8227411942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1661761.8227411942</v>
      </c>
      <c r="J433" s="444">
        <f t="array" ref="J433">IFERROR(INDEX('Retirement Calculator'!J:J,MATCH('Isaac 401k'!N433,'Retirement Calculator'!A:A,0),0),0)</f>
        <v>7896.2379798201846</v>
      </c>
      <c r="K433" s="444">
        <f t="shared" ca="1" si="27"/>
        <v>6891.1066031723913</v>
      </c>
      <c r="L433" s="444">
        <f t="shared" ca="1" si="28"/>
        <v>1660756.6913645463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1660756.6913645463</v>
      </c>
      <c r="J434" s="444">
        <f t="array" ref="J434">IFERROR(INDEX('Retirement Calculator'!J:J,MATCH('Isaac 401k'!N434,'Retirement Calculator'!A:A,0),0),0)</f>
        <v>7896.2379798201846</v>
      </c>
      <c r="K434" s="444">
        <f t="shared" ca="1" si="27"/>
        <v>6886.918555769691</v>
      </c>
      <c r="L434" s="444">
        <f t="shared" ca="1" si="28"/>
        <v>1659747.3719404957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1659747.3719404957</v>
      </c>
      <c r="J435" s="444">
        <f t="array" ref="J435">IFERROR(INDEX('Retirement Calculator'!J:J,MATCH('Isaac 401k'!N435,'Retirement Calculator'!A:A,0),0),0)</f>
        <v>7896.2379798201846</v>
      </c>
      <c r="K435" s="444">
        <f t="shared" ca="1" si="27"/>
        <v>6882.7130581694801</v>
      </c>
      <c r="L435" s="444">
        <f t="shared" ca="1" si="28"/>
        <v>1658733.8470188449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1658733.8470188449</v>
      </c>
      <c r="J436" s="444">
        <f t="array" ref="J436">IFERROR(INDEX('Retirement Calculator'!J:J,MATCH('Isaac 401k'!N436,'Retirement Calculator'!A:A,0),0),0)</f>
        <v>7896.2379798201846</v>
      </c>
      <c r="K436" s="444">
        <f t="shared" ca="1" si="27"/>
        <v>6878.4900376626019</v>
      </c>
      <c r="L436" s="444">
        <f t="shared" ca="1" si="28"/>
        <v>1657716.0990766874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1657716.0990766874</v>
      </c>
      <c r="J437" s="444">
        <f t="array" ref="J437">IFERROR(INDEX('Retirement Calculator'!J:J,MATCH('Isaac 401k'!N437,'Retirement Calculator'!A:A,0),0),0)</f>
        <v>7896.2379798201846</v>
      </c>
      <c r="K437" s="444">
        <f t="shared" ca="1" si="27"/>
        <v>6874.2494212369465</v>
      </c>
      <c r="L437" s="444">
        <f t="shared" ca="1" si="28"/>
        <v>1656694.1105181042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1656694.1105181042</v>
      </c>
      <c r="J438" s="444">
        <f t="array" ref="J438">IFERROR(INDEX('Retirement Calculator'!J:J,MATCH('Isaac 401k'!N438,'Retirement Calculator'!A:A,0),0),0)</f>
        <v>7896.2379798201846</v>
      </c>
      <c r="K438" s="444">
        <f t="shared" ca="1" si="27"/>
        <v>6869.9911355761833</v>
      </c>
      <c r="L438" s="444">
        <f t="shared" ca="1" si="28"/>
        <v>1655667.8636738602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1655667.8636738602</v>
      </c>
      <c r="J439" s="444">
        <f t="array" ref="J439">IFERROR(INDEX('Retirement Calculator'!J:J,MATCH('Isaac 401k'!N439,'Retirement Calculator'!A:A,0),0),0)</f>
        <v>7896.2379798201846</v>
      </c>
      <c r="K439" s="444">
        <f t="shared" ca="1" si="27"/>
        <v>6865.7151070584996</v>
      </c>
      <c r="L439" s="444">
        <f t="shared" ca="1" si="28"/>
        <v>1654637.3408010984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1654637.3408010984</v>
      </c>
      <c r="J440" s="444">
        <f t="array" ref="J440">IFERROR(INDEX('Retirement Calculator'!J:J,MATCH('Isaac 401k'!N440,'Retirement Calculator'!A:A,0),0),0)</f>
        <v>7896.2379798201846</v>
      </c>
      <c r="K440" s="444">
        <f t="shared" ca="1" si="27"/>
        <v>6861.4212617553267</v>
      </c>
      <c r="L440" s="444">
        <f t="shared" ca="1" si="28"/>
        <v>1653602.5240830334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1653602.5240830334</v>
      </c>
      <c r="J441" s="444">
        <f t="array" ref="J441">IFERROR(INDEX('Retirement Calculator'!J:J,MATCH('Isaac 401k'!N441,'Retirement Calculator'!A:A,0),0),0)</f>
        <v>7896.2379798201846</v>
      </c>
      <c r="K441" s="444">
        <f t="shared" ca="1" si="27"/>
        <v>6857.1095254300562</v>
      </c>
      <c r="L441" s="444">
        <f t="shared" ca="1" si="28"/>
        <v>1652563.3956286432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1652563.3956286432</v>
      </c>
      <c r="J442" s="444">
        <f t="array" ref="J442">IFERROR(INDEX('Retirement Calculator'!J:J,MATCH('Isaac 401k'!N442,'Retirement Calculator'!A:A,0),0),0)</f>
        <v>7896.2379798201846</v>
      </c>
      <c r="K442" s="444">
        <f t="shared" ca="1" si="27"/>
        <v>6852.7798235367636</v>
      </c>
      <c r="L442" s="444">
        <f t="shared" ca="1" si="28"/>
        <v>1651519.9374723597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1651519.9374723597</v>
      </c>
      <c r="J443" s="444">
        <f t="array" ref="J443">IFERROR(INDEX('Retirement Calculator'!J:J,MATCH('Isaac 401k'!N443,'Retirement Calculator'!A:A,0),0),0)</f>
        <v>7896.2379798201846</v>
      </c>
      <c r="K443" s="444">
        <f t="shared" ca="1" si="27"/>
        <v>6848.4320812189144</v>
      </c>
      <c r="L443" s="444">
        <f t="shared" ca="1" si="28"/>
        <v>1650472.1315737583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1650472.1315737583</v>
      </c>
      <c r="J444" s="444">
        <f t="array" ref="J444">IFERROR(INDEX('Retirement Calculator'!J:J,MATCH('Isaac 401k'!N444,'Retirement Calculator'!A:A,0),0),0)</f>
        <v>7896.2379798201846</v>
      </c>
      <c r="K444" s="444">
        <f t="shared" ca="1" si="27"/>
        <v>6844.0662233080757</v>
      </c>
      <c r="L444" s="444">
        <f t="shared" ca="1" si="28"/>
        <v>1649419.9598172461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1649419.9598172461</v>
      </c>
      <c r="J445" s="444">
        <f t="array" ref="J445">IFERROR(INDEX('Retirement Calculator'!J:J,MATCH('Isaac 401k'!N445,'Retirement Calculator'!A:A,0),0),0)</f>
        <v>7896.2379798201846</v>
      </c>
      <c r="K445" s="444">
        <f t="shared" ca="1" si="27"/>
        <v>6839.6821743226074</v>
      </c>
      <c r="L445" s="444">
        <f t="shared" ca="1" si="28"/>
        <v>1648363.4040117485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1648363.4040117485</v>
      </c>
      <c r="J446" s="444">
        <f t="array" ref="J446">IFERROR(INDEX('Retirement Calculator'!J:J,MATCH('Isaac 401k'!N446,'Retirement Calculator'!A:A,0),0),0)</f>
        <v>7896.2379798201846</v>
      </c>
      <c r="K446" s="444">
        <f t="shared" ca="1" si="27"/>
        <v>6835.2798584663688</v>
      </c>
      <c r="L446" s="444">
        <f t="shared" ca="1" si="28"/>
        <v>1647302.4458903947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1647302.4458903947</v>
      </c>
      <c r="J447" s="444">
        <f t="array" ref="J447">IFERROR(INDEX('Retirement Calculator'!J:J,MATCH('Isaac 401k'!N447,'Retirement Calculator'!A:A,0),0),0)</f>
        <v>7896.2379798201846</v>
      </c>
      <c r="K447" s="444">
        <f t="shared" ca="1" si="27"/>
        <v>6830.8591996273935</v>
      </c>
      <c r="L447" s="444">
        <f t="shared" ca="1" si="28"/>
        <v>1646237.0671102018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1646237.0671102018</v>
      </c>
      <c r="J448" s="444">
        <f t="array" ref="J448">IFERROR(INDEX('Retirement Calculator'!J:J,MATCH('Isaac 401k'!N448,'Retirement Calculator'!A:A,0),0),0)</f>
        <v>7896.2379798201846</v>
      </c>
      <c r="K448" s="444">
        <f t="shared" ca="1" si="27"/>
        <v>6826.42012137659</v>
      </c>
      <c r="L448" s="444">
        <f t="shared" ca="1" si="28"/>
        <v>1645167.2492517582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1645167.2492517582</v>
      </c>
      <c r="J449" s="444">
        <f t="array" ref="J449">IFERROR(INDEX('Retirement Calculator'!J:J,MATCH('Isaac 401k'!N449,'Retirement Calculator'!A:A,0),0),0)</f>
        <v>7896.2379798201846</v>
      </c>
      <c r="K449" s="444">
        <f t="shared" ca="1" si="27"/>
        <v>6821.962546966407</v>
      </c>
      <c r="L449" s="444">
        <f t="shared" ca="1" si="28"/>
        <v>1644092.9738189045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1644092.9738189045</v>
      </c>
      <c r="J450" s="444">
        <f t="array" ref="J450">IFERROR(INDEX('Retirement Calculator'!J:J,MATCH('Isaac 401k'!N450,'Retirement Calculator'!A:A,0),0),0)</f>
        <v>7896.2379798201846</v>
      </c>
      <c r="K450" s="444">
        <f t="shared" ca="1" si="27"/>
        <v>6817.4863993295166</v>
      </c>
      <c r="L450" s="444">
        <f t="shared" ca="1" si="28"/>
        <v>1643014.2222384138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1643014.2222384138</v>
      </c>
      <c r="J451" s="444">
        <f t="array" ref="J451">IFERROR(INDEX('Retirement Calculator'!J:J,MATCH('Isaac 401k'!N451,'Retirement Calculator'!A:A,0),0),0)</f>
        <v>7896.2379798201846</v>
      </c>
      <c r="K451" s="444">
        <f t="shared" ca="1" si="27"/>
        <v>6812.9916010774723</v>
      </c>
      <c r="L451" s="444">
        <f t="shared" ca="1" si="28"/>
        <v>1641930.9758596709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1641930.9758596709</v>
      </c>
      <c r="J452" s="444">
        <f t="array" ref="J452">IFERROR(INDEX('Retirement Calculator'!J:J,MATCH('Isaac 401k'!N452,'Retirement Calculator'!A:A,0),0),0)</f>
        <v>7896.2379798201846</v>
      </c>
      <c r="K452" s="444">
        <f t="shared" ca="1" si="27"/>
        <v>6808.4780744993786</v>
      </c>
      <c r="L452" s="444">
        <f t="shared" ca="1" si="28"/>
        <v>1640843.2159543501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1640843.2159543501</v>
      </c>
      <c r="J453" s="444">
        <f t="array" ref="J453">IFERROR(INDEX('Retirement Calculator'!J:J,MATCH('Isaac 401k'!N453,'Retirement Calculator'!A:A,0),0),0)</f>
        <v>7896.2379798201846</v>
      </c>
      <c r="K453" s="444">
        <f t="shared" ca="1" si="27"/>
        <v>6803.9457415605411</v>
      </c>
      <c r="L453" s="444">
        <f t="shared" ca="1" si="28"/>
        <v>1639750.9237160904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1639750.9237160904</v>
      </c>
      <c r="J454" s="444">
        <f t="array" ref="J454">IFERROR(INDEX('Retirement Calculator'!J:J,MATCH('Isaac 401k'!N454,'Retirement Calculator'!A:A,0),0),0)</f>
        <v>7896.2379798201846</v>
      </c>
      <c r="K454" s="444">
        <f t="shared" ca="1" si="27"/>
        <v>6799.3945239011255</v>
      </c>
      <c r="L454" s="444">
        <f t="shared" ca="1" si="28"/>
        <v>1638654.0802601713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1638654.0802601713</v>
      </c>
      <c r="J455" s="444">
        <f t="array" ref="J455">IFERROR(INDEX('Retirement Calculator'!J:J,MATCH('Isaac 401k'!N455,'Retirement Calculator'!A:A,0),0),0)</f>
        <v>7896.2379798201846</v>
      </c>
      <c r="K455" s="444">
        <f t="shared" ca="1" si="27"/>
        <v>6794.824342834796</v>
      </c>
      <c r="L455" s="444">
        <f t="shared" ca="1" si="28"/>
        <v>1637552.6666231859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1637552.6666231859</v>
      </c>
      <c r="J456" s="444">
        <f t="array" ref="J456">IFERROR(INDEX('Retirement Calculator'!J:J,MATCH('Isaac 401k'!N456,'Retirement Calculator'!A:A,0),0),0)</f>
        <v>7896.2379798201846</v>
      </c>
      <c r="K456" s="444">
        <f t="shared" ca="1" si="27"/>
        <v>6790.2351193473569</v>
      </c>
      <c r="L456" s="444">
        <f t="shared" ca="1" si="28"/>
        <v>1636446.6637627131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1636446.6637627131</v>
      </c>
      <c r="J457" s="444">
        <f t="array" ref="J457">IFERROR(INDEX('Retirement Calculator'!J:J,MATCH('Isaac 401k'!N457,'Retirement Calculator'!A:A,0),0),0)</f>
        <v>7896.2379798201846</v>
      </c>
      <c r="K457" s="444">
        <f t="shared" ca="1" si="27"/>
        <v>6785.6267740953872</v>
      </c>
      <c r="L457" s="444">
        <f t="shared" ca="1" si="28"/>
        <v>1635336.0525569883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1635336.0525569883</v>
      </c>
      <c r="J458" s="444">
        <f t="array" ref="J458">IFERROR(INDEX('Retirement Calculator'!J:J,MATCH('Isaac 401k'!N458,'Retirement Calculator'!A:A,0),0),0)</f>
        <v>7896.2379798201846</v>
      </c>
      <c r="K458" s="444">
        <f t="shared" ca="1" si="27"/>
        <v>6780.9992274048673</v>
      </c>
      <c r="L458" s="444">
        <f t="shared" ca="1" si="28"/>
        <v>1634220.8138045729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1634220.8138045729</v>
      </c>
      <c r="J459" s="444">
        <f t="array" ref="J459">IFERROR(INDEX('Retirement Calculator'!J:J,MATCH('Isaac 401k'!N459,'Retirement Calculator'!A:A,0),0),0)</f>
        <v>7896.2379798201846</v>
      </c>
      <c r="K459" s="444">
        <f t="shared" ca="1" si="27"/>
        <v>6776.3523992698028</v>
      </c>
      <c r="L459" s="444">
        <f t="shared" ca="1" si="28"/>
        <v>1633100.9282240225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1633100.9282240225</v>
      </c>
      <c r="J460" s="444">
        <f t="array" ref="J460">IFERROR(INDEX('Retirement Calculator'!J:J,MATCH('Isaac 401k'!N460,'Retirement Calculator'!A:A,0),0),0)</f>
        <v>7896.2379798201846</v>
      </c>
      <c r="K460" s="444">
        <f t="shared" ca="1" si="27"/>
        <v>6771.6862093508425</v>
      </c>
      <c r="L460" s="444">
        <f t="shared" ca="1" si="28"/>
        <v>1631976.3764535531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1631976.3764535531</v>
      </c>
      <c r="J461" s="444">
        <f t="array" ref="J461">IFERROR(INDEX('Retirement Calculator'!J:J,MATCH('Isaac 401k'!N461,'Retirement Calculator'!A:A,0),0),0)</f>
        <v>7896.2379798201846</v>
      </c>
      <c r="K461" s="444">
        <f t="shared" ca="1" si="27"/>
        <v>6767.0005769738864</v>
      </c>
      <c r="L461" s="444">
        <f t="shared" ca="1" si="28"/>
        <v>1630847.1390507068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1630847.1390507068</v>
      </c>
      <c r="J462" s="444">
        <f t="array" ref="J462">IFERROR(INDEX('Retirement Calculator'!J:J,MATCH('Isaac 401k'!N462,'Retirement Calculator'!A:A,0),0),0)</f>
        <v>7896.2379798201846</v>
      </c>
      <c r="K462" s="444">
        <f t="shared" ca="1" si="27"/>
        <v>6762.2954211286933</v>
      </c>
      <c r="L462" s="444">
        <f t="shared" ca="1" si="28"/>
        <v>1629713.1964920152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1629713.1964920152</v>
      </c>
      <c r="J463" s="444">
        <f t="array" ref="J463">IFERROR(INDEX('Retirement Calculator'!J:J,MATCH('Isaac 401k'!N463,'Retirement Calculator'!A:A,0),0),0)</f>
        <v>7896.2379798201846</v>
      </c>
      <c r="K463" s="444">
        <f t="shared" ca="1" si="27"/>
        <v>6757.5706604674788</v>
      </c>
      <c r="L463" s="444">
        <f t="shared" ca="1" si="28"/>
        <v>1628574.5291726624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1628574.5291726624</v>
      </c>
      <c r="J464" s="444">
        <f t="array" ref="J464">IFERROR(INDEX('Retirement Calculator'!J:J,MATCH('Isaac 401k'!N464,'Retirement Calculator'!A:A,0),0),0)</f>
        <v>7896.2379798201846</v>
      </c>
      <c r="K464" s="444">
        <f t="shared" ca="1" si="27"/>
        <v>6752.8262133035087</v>
      </c>
      <c r="L464" s="444">
        <f t="shared" ca="1" si="28"/>
        <v>1627431.1174061457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1627431.1174061457</v>
      </c>
      <c r="J465" s="444">
        <f t="array" ref="J465">IFERROR(INDEX('Retirement Calculator'!J:J,MATCH('Isaac 401k'!N465,'Retirement Calculator'!A:A,0),0),0)</f>
        <v>7896.2379798201846</v>
      </c>
      <c r="K465" s="444">
        <f t="shared" ca="1" si="27"/>
        <v>6748.0619976096896</v>
      </c>
      <c r="L465" s="444">
        <f t="shared" ca="1" si="28"/>
        <v>1626282.9414239351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1626282.9414239351</v>
      </c>
      <c r="J466" s="444">
        <f t="array" ref="J466">IFERROR(INDEX('Retirement Calculator'!J:J,MATCH('Isaac 401k'!N466,'Retirement Calculator'!A:A,0),0),0)</f>
        <v>7896.2379798201846</v>
      </c>
      <c r="K466" s="444">
        <f t="shared" ca="1" si="27"/>
        <v>6743.2779310171454</v>
      </c>
      <c r="L466" s="444">
        <f t="shared" ca="1" si="28"/>
        <v>1625129.981375132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1625129.981375132</v>
      </c>
      <c r="J467" s="444">
        <f t="array" ref="J467">IFERROR(INDEX('Retirement Calculator'!J:J,MATCH('Isaac 401k'!N467,'Retirement Calculator'!A:A,0),0),0)</f>
        <v>7896.2379798201846</v>
      </c>
      <c r="K467" s="444">
        <f t="shared" ca="1" si="27"/>
        <v>6738.4739308137987</v>
      </c>
      <c r="L467" s="444">
        <f t="shared" ca="1" si="28"/>
        <v>1623972.2173261256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1623972.2173261256</v>
      </c>
      <c r="J468" s="444">
        <f t="array" ref="J468">IFERROR(INDEX('Retirement Calculator'!J:J,MATCH('Isaac 401k'!N468,'Retirement Calculator'!A:A,0),0),0)</f>
        <v>7896.2379798201846</v>
      </c>
      <c r="K468" s="444">
        <f t="shared" ca="1" si="27"/>
        <v>6733.6499139429388</v>
      </c>
      <c r="L468" s="444">
        <f t="shared" ca="1" si="28"/>
        <v>1622809.6292602483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1622809.6292602483</v>
      </c>
      <c r="J469" s="444">
        <f t="array" ref="J469">IFERROR(INDEX('Retirement Calculator'!J:J,MATCH('Isaac 401k'!N469,'Retirement Calculator'!A:A,0),0),0)</f>
        <v>7896.2379798201846</v>
      </c>
      <c r="K469" s="444">
        <f t="shared" ca="1" si="27"/>
        <v>6728.8057970017835</v>
      </c>
      <c r="L469" s="444">
        <f t="shared" ca="1" si="28"/>
        <v>1621642.1970774299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1621642.1970774299</v>
      </c>
      <c r="J470" s="444">
        <f t="array" ref="J470">IFERROR(INDEX('Retirement Calculator'!J:J,MATCH('Isaac 401k'!N470,'Retirement Calculator'!A:A,0),0),0)</f>
        <v>7896.2379798201846</v>
      </c>
      <c r="K470" s="444">
        <f t="shared" ca="1" si="27"/>
        <v>6723.9414962400397</v>
      </c>
      <c r="L470" s="444">
        <f t="shared" ca="1" si="28"/>
        <v>1620469.9005938496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1620469.9005938496</v>
      </c>
      <c r="J471" s="444">
        <f t="array" ref="J471">IFERROR(INDEX('Retirement Calculator'!J:J,MATCH('Isaac 401k'!N471,'Retirement Calculator'!A:A,0),0),0)</f>
        <v>7896.2379798201846</v>
      </c>
      <c r="K471" s="444">
        <f t="shared" ca="1" si="27"/>
        <v>6719.0569275584558</v>
      </c>
      <c r="L471" s="444">
        <f t="shared" ca="1" si="28"/>
        <v>1619292.7195415879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1619292.7195415879</v>
      </c>
      <c r="J472" s="444">
        <f t="array" ref="J472">IFERROR(INDEX('Retirement Calculator'!J:J,MATCH('Isaac 401k'!N472,'Retirement Calculator'!A:A,0),0),0)</f>
        <v>7896.2379798201846</v>
      </c>
      <c r="K472" s="444">
        <f t="shared" ca="1" si="27"/>
        <v>6714.1520065073646</v>
      </c>
      <c r="L472" s="444">
        <f t="shared" ca="1" si="28"/>
        <v>1618110.633568275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1618110.633568275</v>
      </c>
      <c r="J473" s="444">
        <f t="array" ref="J473">IFERROR(INDEX('Retirement Calculator'!J:J,MATCH('Isaac 401k'!N473,'Retirement Calculator'!A:A,0),0),0)</f>
        <v>7896.2379798201846</v>
      </c>
      <c r="K473" s="444">
        <f t="shared" ca="1" si="27"/>
        <v>6709.2266482852283</v>
      </c>
      <c r="L473" s="444">
        <f t="shared" ca="1" si="28"/>
        <v>1616923.6222367401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1616923.6222367401</v>
      </c>
      <c r="J474" s="444">
        <f t="array" ref="J474">IFERROR(INDEX('Retirement Calculator'!J:J,MATCH('Isaac 401k'!N474,'Retirement Calculator'!A:A,0),0),0)</f>
        <v>7896.2379798201846</v>
      </c>
      <c r="K474" s="444">
        <f t="shared" ca="1" si="27"/>
        <v>6704.2807677371657</v>
      </c>
      <c r="L474" s="444">
        <f t="shared" ca="1" si="28"/>
        <v>1615731.665024657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1615731.665024657</v>
      </c>
      <c r="J475" s="444">
        <f t="array" ref="J475">IFERROR(INDEX('Retirement Calculator'!J:J,MATCH('Isaac 401k'!N475,'Retirement Calculator'!A:A,0),0),0)</f>
        <v>7896.2379798201846</v>
      </c>
      <c r="K475" s="444">
        <f t="shared" ca="1" si="27"/>
        <v>6699.3142793534862</v>
      </c>
      <c r="L475" s="444">
        <f t="shared" ca="1" si="28"/>
        <v>1614534.7413241903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1614534.7413241903</v>
      </c>
      <c r="J476" s="444">
        <f t="array" ref="J476">IFERROR(INDEX('Retirement Calculator'!J:J,MATCH('Isaac 401k'!N476,'Retirement Calculator'!A:A,0),0),0)</f>
        <v>7896.2379798201846</v>
      </c>
      <c r="K476" s="444">
        <f t="shared" ca="1" si="27"/>
        <v>6694.3270972682085</v>
      </c>
      <c r="L476" s="444">
        <f t="shared" ca="1" si="28"/>
        <v>1613332.8304416384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1613332.8304416384</v>
      </c>
      <c r="J477" s="444">
        <f t="array" ref="J477">IFERROR(INDEX('Retirement Calculator'!J:J,MATCH('Isaac 401k'!N477,'Retirement Calculator'!A:A,0),0),0)</f>
        <v>7896.2379798201846</v>
      </c>
      <c r="K477" s="444">
        <f t="shared" ca="1" si="27"/>
        <v>6689.319135257575</v>
      </c>
      <c r="L477" s="444">
        <f t="shared" ca="1" si="28"/>
        <v>1612125.9115970756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1612125.9115970756</v>
      </c>
      <c r="J478" s="444">
        <f t="array" ref="J478">IFERROR(INDEX('Retirement Calculator'!J:J,MATCH('Isaac 401k'!N478,'Retirement Calculator'!A:A,0),0),0)</f>
        <v>7896.2379798201846</v>
      </c>
      <c r="K478" s="444">
        <f t="shared" ca="1" si="27"/>
        <v>6684.2903067385641</v>
      </c>
      <c r="L478" s="444">
        <f t="shared" ca="1" si="28"/>
        <v>1610913.963923994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1610913.963923994</v>
      </c>
      <c r="J479" s="444">
        <f t="array" ref="J479">IFERROR(INDEX('Retirement Calculator'!J:J,MATCH('Isaac 401k'!N479,'Retirement Calculator'!A:A,0),0),0)</f>
        <v>7896.2379798201846</v>
      </c>
      <c r="K479" s="444">
        <f t="shared" ca="1" si="27"/>
        <v>6679.2405247673905</v>
      </c>
      <c r="L479" s="444">
        <f t="shared" ca="1" si="28"/>
        <v>1609696.9664689412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1609696.9664689412</v>
      </c>
      <c r="J480" s="444">
        <f t="array" ref="J480">IFERROR(INDEX('Retirement Calculator'!J:J,MATCH('Isaac 401k'!N480,'Retirement Calculator'!A:A,0),0),0)</f>
        <v>7896.2379798201846</v>
      </c>
      <c r="K480" s="444">
        <f t="shared" ca="1" si="27"/>
        <v>6674.1697020380043</v>
      </c>
      <c r="L480" s="444">
        <f t="shared" ca="1" si="28"/>
        <v>1608474.8981911589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1608474.8981911589</v>
      </c>
      <c r="J481" s="444">
        <f t="array" ref="J481">IFERROR(INDEX('Retirement Calculator'!J:J,MATCH('Isaac 401k'!N481,'Retirement Calculator'!A:A,0),0),0)</f>
        <v>7896.2379798201846</v>
      </c>
      <c r="K481" s="444">
        <f t="shared" ca="1" si="27"/>
        <v>6669.0777508805777</v>
      </c>
      <c r="L481" s="444">
        <f t="shared" ca="1" si="28"/>
        <v>1607247.7379622192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1607247.7379622192</v>
      </c>
      <c r="J482" s="444">
        <f t="array" ref="J482">IFERROR(INDEX('Retirement Calculator'!J:J,MATCH('Isaac 401k'!N482,'Retirement Calculator'!A:A,0),0),0)</f>
        <v>7896.2379798201846</v>
      </c>
      <c r="K482" s="444">
        <f t="shared" ca="1" si="27"/>
        <v>6663.9645832599954</v>
      </c>
      <c r="L482" s="444">
        <f t="shared" ca="1" si="28"/>
        <v>1606015.4645656589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1606015.4645656589</v>
      </c>
      <c r="J483" s="444">
        <f t="array" ref="J483">IFERROR(INDEX('Retirement Calculator'!J:J,MATCH('Isaac 401k'!N483,'Retirement Calculator'!A:A,0),0),0)</f>
        <v>7896.2379798201846</v>
      </c>
      <c r="K483" s="444">
        <f t="shared" ca="1" si="27"/>
        <v>6658.8301107743282</v>
      </c>
      <c r="L483" s="444">
        <f t="shared" ca="1" si="28"/>
        <v>1604778.0566966131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1604778.0566966131</v>
      </c>
      <c r="J484" s="444">
        <f t="array" ref="J484">IFERROR(INDEX('Retirement Calculator'!J:J,MATCH('Isaac 401k'!N484,'Retirement Calculator'!A:A,0),0),0)</f>
        <v>7896.2379798201846</v>
      </c>
      <c r="K484" s="444">
        <f t="shared" ca="1" si="27"/>
        <v>6653.6742446533035</v>
      </c>
      <c r="L484" s="444">
        <f t="shared" ca="1" si="28"/>
        <v>1603535.4929614461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1603535.4929614461</v>
      </c>
      <c r="J485" s="444">
        <f t="array" ref="J485">IFERROR(INDEX('Retirement Calculator'!J:J,MATCH('Isaac 401k'!N485,'Retirement Calculator'!A:A,0),0),0)</f>
        <v>7896.2379798201846</v>
      </c>
      <c r="K485" s="444">
        <f t="shared" ca="1" si="27"/>
        <v>6648.4968957567744</v>
      </c>
      <c r="L485" s="444">
        <f t="shared" ca="1" si="28"/>
        <v>1602287.7518773826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1602287.7518773826</v>
      </c>
      <c r="J486" s="444">
        <f t="array" ref="J486">IFERROR(INDEX('Retirement Calculator'!J:J,MATCH('Isaac 401k'!N486,'Retirement Calculator'!A:A,0),0),0)</f>
        <v>7896.2379798201846</v>
      </c>
      <c r="K486" s="444">
        <f t="shared" ca="1" si="27"/>
        <v>6643.2979745731764</v>
      </c>
      <c r="L486" s="444">
        <f t="shared" ca="1" si="28"/>
        <v>1601034.8118721356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1601034.8118721356</v>
      </c>
      <c r="J487" s="444">
        <f t="array" ref="J487">IFERROR(INDEX('Retirement Calculator'!J:J,MATCH('Isaac 401k'!N487,'Retirement Calculator'!A:A,0),0),0)</f>
        <v>7896.2379798201846</v>
      </c>
      <c r="K487" s="444">
        <f t="shared" ca="1" si="27"/>
        <v>6638.0773912179802</v>
      </c>
      <c r="L487" s="444">
        <f t="shared" ca="1" si="28"/>
        <v>1599776.6512835333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1599776.6512835333</v>
      </c>
      <c r="J488" s="444">
        <f t="array" ref="J488">IFERROR(INDEX('Retirement Calculator'!J:J,MATCH('Isaac 401k'!N488,'Retirement Calculator'!A:A,0),0),0)</f>
        <v>7896.2379798201846</v>
      </c>
      <c r="K488" s="444">
        <f t="shared" ca="1" si="27"/>
        <v>6632.8350554321378</v>
      </c>
      <c r="L488" s="444">
        <f t="shared" ca="1" si="28"/>
        <v>1598513.2483591451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1598513.2483591451</v>
      </c>
      <c r="J489" s="444">
        <f t="array" ref="J489">IFERROR(INDEX('Retirement Calculator'!J:J,MATCH('Isaac 401k'!N489,'Retirement Calculator'!A:A,0),0),0)</f>
        <v>7896.2379798201846</v>
      </c>
      <c r="K489" s="444">
        <f t="shared" ca="1" si="27"/>
        <v>6627.5708765805202</v>
      </c>
      <c r="L489" s="444">
        <f t="shared" ca="1" si="28"/>
        <v>1597244.5812559053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1597244.5812559053</v>
      </c>
      <c r="J490" s="444">
        <f t="array" ref="J490">IFERROR(INDEX('Retirement Calculator'!J:J,MATCH('Isaac 401k'!N490,'Retirement Calculator'!A:A,0),0),0)</f>
        <v>7896.2379798201846</v>
      </c>
      <c r="K490" s="444">
        <f t="shared" ca="1" si="27"/>
        <v>6622.2847636503548</v>
      </c>
      <c r="L490" s="444">
        <f t="shared" ca="1" si="28"/>
        <v>1595970.6280397354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1595970.6280397354</v>
      </c>
      <c r="J491" s="444">
        <f t="array" ref="J491">IFERROR(INDEX('Retirement Calculator'!J:J,MATCH('Isaac 401k'!N491,'Retirement Calculator'!A:A,0),0),0)</f>
        <v>7896.2379798201846</v>
      </c>
      <c r="K491" s="444">
        <f t="shared" ca="1" si="27"/>
        <v>6616.9766252496465</v>
      </c>
      <c r="L491" s="444">
        <f t="shared" ca="1" si="28"/>
        <v>1594691.3666851649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1594691.3666851649</v>
      </c>
      <c r="J492" s="444">
        <f t="array" ref="J492">IFERROR(INDEX('Retirement Calculator'!J:J,MATCH('Isaac 401k'!N492,'Retirement Calculator'!A:A,0),0),0)</f>
        <v>7896.2379798201846</v>
      </c>
      <c r="K492" s="444">
        <f t="shared" ca="1" si="27"/>
        <v>6611.6463696056026</v>
      </c>
      <c r="L492" s="444">
        <f t="shared" ca="1" si="28"/>
        <v>1593406.7750749502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1593406.7750749502</v>
      </c>
      <c r="J493" s="444">
        <f t="array" ref="J493">IFERROR(INDEX('Retirement Calculator'!J:J,MATCH('Isaac 401k'!N493,'Retirement Calculator'!A:A,0),0),0)</f>
        <v>7896.2379798201846</v>
      </c>
      <c r="K493" s="444">
        <f t="shared" ca="1" si="27"/>
        <v>6606.293904563041</v>
      </c>
      <c r="L493" s="444">
        <f t="shared" ca="1" si="28"/>
        <v>1592116.8309996929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1592116.8309996929</v>
      </c>
      <c r="J494" s="444">
        <f t="array" ref="J494">IFERROR(INDEX('Retirement Calculator'!J:J,MATCH('Isaac 401k'!N494,'Retirement Calculator'!A:A,0),0),0)</f>
        <v>7896.2379798201846</v>
      </c>
      <c r="K494" s="444">
        <f t="shared" ca="1" si="27"/>
        <v>6600.9191375828023</v>
      </c>
      <c r="L494" s="444">
        <f t="shared" ca="1" si="28"/>
        <v>1590821.5121574556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1590821.5121574556</v>
      </c>
      <c r="J495" s="444">
        <f t="array" ref="J495">IFERROR(INDEX('Retirement Calculator'!J:J,MATCH('Isaac 401k'!N495,'Retirement Calculator'!A:A,0),0),0)</f>
        <v>7896.2379798201846</v>
      </c>
      <c r="K495" s="444">
        <f t="shared" ca="1" si="27"/>
        <v>6595.5219757401474</v>
      </c>
      <c r="L495" s="444">
        <f t="shared" ca="1" si="28"/>
        <v>1589520.7961533754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1589520.7961533754</v>
      </c>
      <c r="J496" s="444">
        <f t="array" ref="J496">IFERROR(INDEX('Retirement Calculator'!J:J,MATCH('Isaac 401k'!N496,'Retirement Calculator'!A:A,0),0),0)</f>
        <v>7896.2379798201846</v>
      </c>
      <c r="K496" s="444">
        <f t="shared" ca="1" si="27"/>
        <v>6590.1023257231464</v>
      </c>
      <c r="L496" s="444">
        <f t="shared" ca="1" si="28"/>
        <v>1588214.6604992782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1588214.6604992782</v>
      </c>
      <c r="J497" s="444">
        <f t="array" ref="J497">IFERROR(INDEX('Retirement Calculator'!J:J,MATCH('Isaac 401k'!N497,'Retirement Calculator'!A:A,0),0),0)</f>
        <v>7896.2379798201846</v>
      </c>
      <c r="K497" s="444">
        <f t="shared" ca="1" si="27"/>
        <v>6584.6600938310748</v>
      </c>
      <c r="L497" s="444">
        <f t="shared" ca="1" si="28"/>
        <v>1586903.0826132891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1586903.0826132891</v>
      </c>
      <c r="J498" s="444">
        <f t="array" ref="J498">IFERROR(INDEX('Retirement Calculator'!J:J,MATCH('Isaac 401k'!N498,'Retirement Calculator'!A:A,0),0),0)</f>
        <v>7896.2379798201846</v>
      </c>
      <c r="K498" s="444">
        <f t="shared" ca="1" si="27"/>
        <v>6579.1951859727869</v>
      </c>
      <c r="L498" s="444">
        <f t="shared" ca="1" si="28"/>
        <v>1585586.0398194417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1585586.0398194417</v>
      </c>
      <c r="J499" s="444">
        <f t="array" ref="J499">IFERROR(INDEX('Retirement Calculator'!J:J,MATCH('Isaac 401k'!N499,'Retirement Calculator'!A:A,0),0),0)</f>
        <v>7896.2379798201846</v>
      </c>
      <c r="K499" s="444">
        <f t="shared" ca="1" si="27"/>
        <v>6573.7075076650899</v>
      </c>
      <c r="L499" s="444">
        <f t="shared" ca="1" si="28"/>
        <v>1584263.5093472865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1584263.5093472865</v>
      </c>
      <c r="J500" s="444">
        <f t="array" ref="J500">IFERROR(INDEX('Retirement Calculator'!J:J,MATCH('Isaac 401k'!N500,'Retirement Calculator'!A:A,0),0),0)</f>
        <v>7896.2379798201846</v>
      </c>
      <c r="K500" s="444">
        <f t="shared" ca="1" si="27"/>
        <v>6568.1969640311099</v>
      </c>
      <c r="L500" s="444">
        <f t="shared" ca="1" si="28"/>
        <v>1582935.4683314974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1582935.4683314974</v>
      </c>
      <c r="J501" s="444">
        <f t="array" ref="J501">IFERROR(INDEX('Retirement Calculator'!J:J,MATCH('Isaac 401k'!N501,'Retirement Calculator'!A:A,0),0),0)</f>
        <v>7896.2379798201846</v>
      </c>
      <c r="K501" s="444">
        <f t="shared" ca="1" si="27"/>
        <v>6562.6634597986549</v>
      </c>
      <c r="L501" s="444">
        <f t="shared" ca="1" si="28"/>
        <v>1581601.8938114757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1581601.8938114757</v>
      </c>
      <c r="J502" s="444">
        <f t="array" ref="J502">IFERROR(INDEX('Retirement Calculator'!J:J,MATCH('Isaac 401k'!N502,'Retirement Calculator'!A:A,0),0),0)</f>
        <v>7896.2379798201846</v>
      </c>
      <c r="K502" s="444">
        <f t="shared" ca="1" si="27"/>
        <v>6557.1068992985647</v>
      </c>
      <c r="L502" s="444">
        <f t="shared" ca="1" si="28"/>
        <v>1580262.762730954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1580262.762730954</v>
      </c>
      <c r="J503" s="444">
        <f t="array" ref="J503">IFERROR(INDEX('Retirement Calculator'!J:J,MATCH('Isaac 401k'!N503,'Retirement Calculator'!A:A,0),0),0)</f>
        <v>7896.2379798201846</v>
      </c>
      <c r="K503" s="444">
        <f t="shared" ca="1" si="27"/>
        <v>6551.5271864630577</v>
      </c>
      <c r="L503" s="444">
        <f t="shared" ca="1" si="28"/>
        <v>1578918.0519375969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1578918.0519375969</v>
      </c>
      <c r="J504" s="444">
        <f t="array" ref="J504">IFERROR(INDEX('Retirement Calculator'!J:J,MATCH('Isaac 401k'!N504,'Retirement Calculator'!A:A,0),0),0)</f>
        <v>7896.2379798201846</v>
      </c>
      <c r="K504" s="444">
        <f t="shared" ca="1" si="27"/>
        <v>6545.9242248240689</v>
      </c>
      <c r="L504" s="444">
        <f t="shared" ca="1" si="28"/>
        <v>1577567.7381826008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1577567.7381826008</v>
      </c>
      <c r="J505" s="444">
        <f t="array" ref="J505">IFERROR(INDEX('Retirement Calculator'!J:J,MATCH('Isaac 401k'!N505,'Retirement Calculator'!A:A,0),0),0)</f>
        <v>7896.2379798201846</v>
      </c>
      <c r="K505" s="444">
        <f t="shared" ca="1" si="27"/>
        <v>6540.2979175115861</v>
      </c>
      <c r="L505" s="444">
        <f t="shared" ca="1" si="28"/>
        <v>1576211.7981202921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1576211.7981202921</v>
      </c>
      <c r="J506" s="444">
        <f t="array" ref="J506">IFERROR(INDEX('Retirement Calculator'!J:J,MATCH('Isaac 401k'!N506,'Retirement Calculator'!A:A,0),0),0)</f>
        <v>7896.2379798201846</v>
      </c>
      <c r="K506" s="444">
        <f t="shared" ca="1" si="27"/>
        <v>6534.6481672519658</v>
      </c>
      <c r="L506" s="444">
        <f t="shared" ca="1" si="28"/>
        <v>1574850.208307724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1574850.208307724</v>
      </c>
      <c r="J507" s="444">
        <f t="array" ref="J507">IFERROR(INDEX('Retirement Calculator'!J:J,MATCH('Isaac 401k'!N507,'Retirement Calculator'!A:A,0),0),0)</f>
        <v>7896.2379798201846</v>
      </c>
      <c r="K507" s="444">
        <f t="shared" ca="1" si="27"/>
        <v>6528.9748763662656</v>
      </c>
      <c r="L507" s="444">
        <f t="shared" ca="1" si="28"/>
        <v>1573482.9452042701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1573482.9452042701</v>
      </c>
      <c r="J508" s="444">
        <f t="array" ref="J508">IFERROR(INDEX('Retirement Calculator'!J:J,MATCH('Isaac 401k'!N508,'Retirement Calculator'!A:A,0),0),0)</f>
        <v>7896.2379798201846</v>
      </c>
      <c r="K508" s="444">
        <f t="shared" ca="1" si="27"/>
        <v>6523.2779467685414</v>
      </c>
      <c r="L508" s="444">
        <f t="shared" ca="1" si="28"/>
        <v>1572109.9851712184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1572109.9851712184</v>
      </c>
      <c r="J509" s="444">
        <f t="array" ref="J509">IFERROR(INDEX('Retirement Calculator'!J:J,MATCH('Isaac 401k'!N509,'Retirement Calculator'!A:A,0),0),0)</f>
        <v>7896.2379798201846</v>
      </c>
      <c r="K509" s="444">
        <f t="shared" ca="1" si="27"/>
        <v>6517.5572799641586</v>
      </c>
      <c r="L509" s="444">
        <f t="shared" ca="1" si="28"/>
        <v>1570731.3044713624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1570731.3044713624</v>
      </c>
      <c r="J510" s="444">
        <f t="array" ref="J510">IFERROR(INDEX('Retirement Calculator'!J:J,MATCH('Isaac 401k'!N510,'Retirement Calculator'!A:A,0),0),0)</f>
        <v>7896.2379798201846</v>
      </c>
      <c r="K510" s="444">
        <f t="shared" ca="1" si="27"/>
        <v>6511.8127770480924</v>
      </c>
      <c r="L510" s="444">
        <f t="shared" ca="1" si="28"/>
        <v>1569346.8792685901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1569346.8792685901</v>
      </c>
      <c r="J511" s="444">
        <f t="array" ref="J511">IFERROR(INDEX('Retirement Calculator'!J:J,MATCH('Isaac 401k'!N511,'Retirement Calculator'!A:A,0),0),0)</f>
        <v>7896.2379798201846</v>
      </c>
      <c r="K511" s="444">
        <f t="shared" ca="1" si="27"/>
        <v>6506.0443387032083</v>
      </c>
      <c r="L511" s="444">
        <f t="shared" ca="1" si="28"/>
        <v>1567956.6856274731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1567956.6856274731</v>
      </c>
      <c r="J512" s="444">
        <f t="array" ref="J512">IFERROR(INDEX('Retirement Calculator'!J:J,MATCH('Isaac 401k'!N512,'Retirement Calculator'!A:A,0),0),0)</f>
        <v>7896.2379798201846</v>
      </c>
      <c r="K512" s="444">
        <f t="shared" ca="1" si="27"/>
        <v>6500.2518651985538</v>
      </c>
      <c r="L512" s="444">
        <f t="shared" ca="1" si="28"/>
        <v>1566560.6995128514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1566560.6995128514</v>
      </c>
      <c r="J513" s="444">
        <f t="array" ref="J513">IFERROR(INDEX('Retirement Calculator'!J:J,MATCH('Isaac 401k'!N513,'Retirement Calculator'!A:A,0),0),0)</f>
        <v>7896.2379798201846</v>
      </c>
      <c r="K513" s="444">
        <f t="shared" ca="1" si="27"/>
        <v>6494.43525638763</v>
      </c>
      <c r="L513" s="444">
        <f t="shared" ca="1" si="28"/>
        <v>1565158.8967894188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1565158.8967894188</v>
      </c>
      <c r="J514" s="444">
        <f t="array" ref="J514">IFERROR(INDEX('Retirement Calculator'!J:J,MATCH('Isaac 401k'!N514,'Retirement Calculator'!A:A,0),0),0)</f>
        <v>7896.2379798201846</v>
      </c>
      <c r="K514" s="444">
        <f t="shared" ca="1" si="27"/>
        <v>6488.5944117066601</v>
      </c>
      <c r="L514" s="444">
        <f t="shared" ca="1" si="28"/>
        <v>1563751.2532213051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1563751.2532213051</v>
      </c>
      <c r="J515" s="444">
        <f t="array" ref="J515">IFERROR(INDEX('Retirement Calculator'!J:J,MATCH('Isaac 401k'!N515,'Retirement Calculator'!A:A,0),0),0)</f>
        <v>7896.2379798201846</v>
      </c>
      <c r="K515" s="444">
        <f t="shared" ca="1" si="27"/>
        <v>6482.7292301728539</v>
      </c>
      <c r="L515" s="444">
        <f t="shared" ca="1" si="28"/>
        <v>1562337.7444716578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1562337.7444716578</v>
      </c>
      <c r="J516" s="444">
        <f t="array" ref="J516">IFERROR(INDEX('Retirement Calculator'!J:J,MATCH('Isaac 401k'!N516,'Retirement Calculator'!A:A,0),0),0)</f>
        <v>7896.2379798201846</v>
      </c>
      <c r="K516" s="444">
        <f t="shared" ca="1" si="27"/>
        <v>6476.8396103826562</v>
      </c>
      <c r="L516" s="444">
        <f t="shared" ca="1" si="28"/>
        <v>1560918.3461022202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1560918.3461022202</v>
      </c>
      <c r="J517" s="444">
        <f t="array" ref="J517">IFERROR(INDEX('Retirement Calculator'!J:J,MATCH('Isaac 401k'!N517,'Retirement Calculator'!A:A,0),0),0)</f>
        <v>7896.2379798201846</v>
      </c>
      <c r="K517" s="444">
        <f t="shared" ca="1" si="27"/>
        <v>6470.9254505099998</v>
      </c>
      <c r="L517" s="444">
        <f t="shared" ca="1" si="28"/>
        <v>1559493.0335729101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1559493.0335729101</v>
      </c>
      <c r="J518" s="444">
        <f t="array" ref="J518">IFERROR(INDEX('Retirement Calculator'!J:J,MATCH('Isaac 401k'!N518,'Retirement Calculator'!A:A,0),0),0)</f>
        <v>7896.2379798201846</v>
      </c>
      <c r="K518" s="444">
        <f t="shared" ref="K518:K772" ca="1" si="53">IPMT(M518/12,1,12,-I518+J518,,0)</f>
        <v>6464.9866483045407</v>
      </c>
      <c r="L518" s="444">
        <f t="shared" ref="L518:L772" ca="1" si="54">I518-J518+K518</f>
        <v>1558061.7822413945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1558061.7822413945</v>
      </c>
      <c r="J519" s="444">
        <f t="array" ref="J519">IFERROR(INDEX('Retirement Calculator'!J:J,MATCH('Isaac 401k'!N519,'Retirement Calculator'!A:A,0),0),0)</f>
        <v>7896.2379798201846</v>
      </c>
      <c r="K519" s="444">
        <f t="shared" ca="1" si="53"/>
        <v>6459.0231010898924</v>
      </c>
      <c r="L519" s="444">
        <f t="shared" ca="1" si="54"/>
        <v>1556624.5673626643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1556624.5673626643</v>
      </c>
      <c r="J520" s="444">
        <f t="array" ref="J520">IFERROR(INDEX('Retirement Calculator'!J:J,MATCH('Isaac 401k'!N520,'Retirement Calculator'!A:A,0),0),0)</f>
        <v>7896.2379798201846</v>
      </c>
      <c r="K520" s="444">
        <f t="shared" ca="1" si="53"/>
        <v>6453.0347057618501</v>
      </c>
      <c r="L520" s="444">
        <f t="shared" ca="1" si="54"/>
        <v>1555181.3640886059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1555181.3640886059</v>
      </c>
      <c r="J521" s="444">
        <f t="array" ref="J521">IFERROR(INDEX('Retirement Calculator'!J:J,MATCH('Isaac 401k'!N521,'Retirement Calculator'!A:A,0),0),0)</f>
        <v>7896.2379798201846</v>
      </c>
      <c r="K521" s="444">
        <f t="shared" ca="1" si="53"/>
        <v>6447.0213587866065</v>
      </c>
      <c r="L521" s="444">
        <f t="shared" ca="1" si="54"/>
        <v>1553732.1474675722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1553732.1474675722</v>
      </c>
      <c r="J522" s="444">
        <f t="array" ref="J522">IFERROR(INDEX('Retirement Calculator'!J:J,MATCH('Isaac 401k'!N522,'Retirement Calculator'!A:A,0),0),0)</f>
        <v>7896.2379798201846</v>
      </c>
      <c r="K522" s="444">
        <f t="shared" ca="1" si="53"/>
        <v>6440.9829561989663</v>
      </c>
      <c r="L522" s="444">
        <f t="shared" ca="1" si="54"/>
        <v>1552276.892443951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1552276.892443951</v>
      </c>
      <c r="J523" s="444">
        <f t="array" ref="J523">IFERROR(INDEX('Retirement Calculator'!J:J,MATCH('Isaac 401k'!N523,'Retirement Calculator'!A:A,0),0),0)</f>
        <v>7896.2379798201846</v>
      </c>
      <c r="K523" s="444">
        <f t="shared" ca="1" si="53"/>
        <v>6434.9193936005449</v>
      </c>
      <c r="L523" s="444">
        <f t="shared" ca="1" si="54"/>
        <v>1550815.5738577312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1550815.5738577312</v>
      </c>
      <c r="J524" s="444">
        <f t="array" ref="J524">IFERROR(INDEX('Retirement Calculator'!J:J,MATCH('Isaac 401k'!N524,'Retirement Calculator'!A:A,0),0),0)</f>
        <v>7896.2379798201846</v>
      </c>
      <c r="K524" s="444">
        <f t="shared" ca="1" si="53"/>
        <v>6428.8305661579625</v>
      </c>
      <c r="L524" s="444">
        <f t="shared" ca="1" si="54"/>
        <v>1549348.166444069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1549348.166444069</v>
      </c>
      <c r="J525" s="444">
        <f t="array" ref="J525">IFERROR(INDEX('Retirement Calculator'!J:J,MATCH('Isaac 401k'!N525,'Retirement Calculator'!A:A,0),0),0)</f>
        <v>7896.2379798201846</v>
      </c>
      <c r="K525" s="444">
        <f t="shared" ca="1" si="53"/>
        <v>6422.7163686010363</v>
      </c>
      <c r="L525" s="444">
        <f t="shared" ca="1" si="54"/>
        <v>1547874.6448328497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1547874.6448328497</v>
      </c>
      <c r="J526" s="444">
        <f t="array" ref="J526">IFERROR(INDEX('Retirement Calculator'!J:J,MATCH('Isaac 401k'!N526,'Retirement Calculator'!A:A,0),0),0)</f>
        <v>7896.2379798201846</v>
      </c>
      <c r="K526" s="444">
        <f t="shared" ca="1" si="53"/>
        <v>6416.576695220956</v>
      </c>
      <c r="L526" s="444">
        <f t="shared" ca="1" si="54"/>
        <v>1546394.9835482505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1546394.9835482505</v>
      </c>
      <c r="J527" s="444">
        <f t="array" ref="J527">IFERROR(INDEX('Retirement Calculator'!J:J,MATCH('Isaac 401k'!N527,'Retirement Calculator'!A:A,0),0),0)</f>
        <v>7896.2379798201846</v>
      </c>
      <c r="K527" s="444">
        <f t="shared" ca="1" si="53"/>
        <v>6410.4114398684596</v>
      </c>
      <c r="L527" s="444">
        <f t="shared" ca="1" si="54"/>
        <v>1544909.1570082987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1544909.1570082987</v>
      </c>
      <c r="J528" s="444">
        <f t="array" ref="J528">IFERROR(INDEX('Retirement Calculator'!J:J,MATCH('Isaac 401k'!N528,'Retirement Calculator'!A:A,0),0),0)</f>
        <v>7896.2379798201846</v>
      </c>
      <c r="K528" s="444">
        <f t="shared" ca="1" si="53"/>
        <v>6404.2204959519931</v>
      </c>
      <c r="L528" s="444">
        <f t="shared" ca="1" si="54"/>
        <v>1543417.1395244305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1543417.1395244305</v>
      </c>
      <c r="J529" s="444">
        <f t="array" ref="J529">IFERROR(INDEX('Retirement Calculator'!J:J,MATCH('Isaac 401k'!N529,'Retirement Calculator'!A:A,0),0),0)</f>
        <v>7896.2379798201846</v>
      </c>
      <c r="K529" s="444">
        <f t="shared" ca="1" si="53"/>
        <v>6398.0037564358763</v>
      </c>
      <c r="L529" s="444">
        <f t="shared" ca="1" si="54"/>
        <v>1541918.9053010461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1541918.9053010461</v>
      </c>
      <c r="J530" s="444">
        <f t="array" ref="J530">IFERROR(INDEX('Retirement Calculator'!J:J,MATCH('Isaac 401k'!N530,'Retirement Calculator'!A:A,0),0),0)</f>
        <v>7896.2379798201846</v>
      </c>
      <c r="K530" s="444">
        <f t="shared" ca="1" si="53"/>
        <v>6391.7611138384409</v>
      </c>
      <c r="L530" s="444">
        <f t="shared" ca="1" si="54"/>
        <v>1540414.4284350644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1540414.4284350644</v>
      </c>
      <c r="J531" s="444">
        <f t="array" ref="J531">IFERROR(INDEX('Retirement Calculator'!J:J,MATCH('Isaac 401k'!N531,'Retirement Calculator'!A:A,0),0),0)</f>
        <v>7896.2379798201846</v>
      </c>
      <c r="K531" s="444">
        <f t="shared" ca="1" si="53"/>
        <v>6385.4924602301835</v>
      </c>
      <c r="L531" s="444">
        <f t="shared" ca="1" si="54"/>
        <v>1538903.6829154743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1538903.6829154743</v>
      </c>
      <c r="J532" s="444">
        <f t="array" ref="J532">IFERROR(INDEX('Retirement Calculator'!J:J,MATCH('Isaac 401k'!N532,'Retirement Calculator'!A:A,0),0),0)</f>
        <v>7896.2379798201846</v>
      </c>
      <c r="K532" s="444">
        <f t="shared" ca="1" si="53"/>
        <v>6379.1976872318919</v>
      </c>
      <c r="L532" s="444">
        <f t="shared" ca="1" si="54"/>
        <v>1537386.642622886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1537386.642622886</v>
      </c>
      <c r="J533" s="444">
        <f t="array" ref="J533">IFERROR(INDEX('Retirement Calculator'!J:J,MATCH('Isaac 401k'!N533,'Retirement Calculator'!A:A,0),0),0)</f>
        <v>7896.2379798201846</v>
      </c>
      <c r="K533" s="444">
        <f t="shared" ca="1" si="53"/>
        <v>6372.8766860127744</v>
      </c>
      <c r="L533" s="444">
        <f t="shared" ca="1" si="54"/>
        <v>1535863.2813290786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1535863.2813290786</v>
      </c>
      <c r="J534" s="444">
        <f t="array" ref="J534">IFERROR(INDEX('Retirement Calculator'!J:J,MATCH('Isaac 401k'!N534,'Retirement Calculator'!A:A,0),0),0)</f>
        <v>7896.2379798201846</v>
      </c>
      <c r="K534" s="444">
        <f t="shared" ca="1" si="53"/>
        <v>6366.5293472885769</v>
      </c>
      <c r="L534" s="444">
        <f t="shared" ca="1" si="54"/>
        <v>1534333.572696547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1534333.572696547</v>
      </c>
      <c r="J535" s="444">
        <f t="array" ref="J535">IFERROR(INDEX('Retirement Calculator'!J:J,MATCH('Isaac 401k'!N535,'Retirement Calculator'!A:A,0),0),0)</f>
        <v>7896.2379798201846</v>
      </c>
      <c r="K535" s="444">
        <f t="shared" ca="1" si="53"/>
        <v>6360.1555613196952</v>
      </c>
      <c r="L535" s="444">
        <f t="shared" ca="1" si="54"/>
        <v>1532797.4902780466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1532797.4902780466</v>
      </c>
      <c r="J536" s="444">
        <f t="array" ref="J536">IFERROR(INDEX('Retirement Calculator'!J:J,MATCH('Isaac 401k'!N536,'Retirement Calculator'!A:A,0),0),0)</f>
        <v>7896.2379798201846</v>
      </c>
      <c r="K536" s="444">
        <f t="shared" ca="1" si="53"/>
        <v>6353.7552179092763</v>
      </c>
      <c r="L536" s="444">
        <f t="shared" ca="1" si="54"/>
        <v>1531255.0075161357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1531255.0075161357</v>
      </c>
      <c r="J537" s="444">
        <f t="array" ref="J537">IFERROR(INDEX('Retirement Calculator'!J:J,MATCH('Isaac 401k'!N537,'Retirement Calculator'!A:A,0),0),0)</f>
        <v>7896.2379798201846</v>
      </c>
      <c r="K537" s="444">
        <f t="shared" ca="1" si="53"/>
        <v>6347.3282064013147</v>
      </c>
      <c r="L537" s="444">
        <f t="shared" ca="1" si="54"/>
        <v>1529706.0977427168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1529706.0977427168</v>
      </c>
      <c r="J538" s="444">
        <f t="array" ref="J538">IFERROR(INDEX('Retirement Calculator'!J:J,MATCH('Isaac 401k'!N538,'Retirement Calculator'!A:A,0),0),0)</f>
        <v>7896.2379798201846</v>
      </c>
      <c r="K538" s="444">
        <f t="shared" ca="1" si="53"/>
        <v>6340.8744156787352</v>
      </c>
      <c r="L538" s="444">
        <f t="shared" ca="1" si="54"/>
        <v>1528150.7341785752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1528150.7341785752</v>
      </c>
      <c r="J539" s="444">
        <f t="array" ref="J539">IFERROR(INDEX('Retirement Calculator'!J:J,MATCH('Isaac 401k'!N539,'Retirement Calculator'!A:A,0),0),0)</f>
        <v>7896.2379798201846</v>
      </c>
      <c r="K539" s="444">
        <f t="shared" ca="1" si="53"/>
        <v>6334.3937341614792</v>
      </c>
      <c r="L539" s="444">
        <f t="shared" ca="1" si="54"/>
        <v>1526588.8899329165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1526588.8899329165</v>
      </c>
      <c r="J540" s="444">
        <f t="array" ref="J540">IFERROR(INDEX('Retirement Calculator'!J:J,MATCH('Isaac 401k'!N540,'Retirement Calculator'!A:A,0),0),0)</f>
        <v>7896.2379798201846</v>
      </c>
      <c r="K540" s="444">
        <f t="shared" ca="1" si="53"/>
        <v>6327.8860498045678</v>
      </c>
      <c r="L540" s="444">
        <f t="shared" ca="1" si="54"/>
        <v>1525020.5380029008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1525020.5380029008</v>
      </c>
      <c r="J541" s="444">
        <f t="array" ref="J541">IFERROR(INDEX('Retirement Calculator'!J:J,MATCH('Isaac 401k'!N541,'Retirement Calculator'!A:A,0),0),0)</f>
        <v>7896.2379798201846</v>
      </c>
      <c r="K541" s="444">
        <f t="shared" ca="1" si="53"/>
        <v>6321.3512500961688</v>
      </c>
      <c r="L541" s="444">
        <f t="shared" ca="1" si="54"/>
        <v>1523445.6512731768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1523445.6512731768</v>
      </c>
      <c r="J542" s="444">
        <f t="array" ref="J542">IFERROR(INDEX('Retirement Calculator'!J:J,MATCH('Isaac 401k'!N542,'Retirement Calculator'!A:A,0),0),0)</f>
        <v>7896.2379798201846</v>
      </c>
      <c r="K542" s="444">
        <f t="shared" ca="1" si="53"/>
        <v>6314.7892220556523</v>
      </c>
      <c r="L542" s="444">
        <f t="shared" ca="1" si="54"/>
        <v>1521864.2025154121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1521864.2025154121</v>
      </c>
      <c r="J543" s="444">
        <f t="array" ref="J543">IFERROR(INDEX('Retirement Calculator'!J:J,MATCH('Isaac 401k'!N543,'Retirement Calculator'!A:A,0),0),0)</f>
        <v>7896.2379798201846</v>
      </c>
      <c r="K543" s="444">
        <f t="shared" ca="1" si="53"/>
        <v>6308.1998522316326</v>
      </c>
      <c r="L543" s="444">
        <f t="shared" ca="1" si="54"/>
        <v>1520276.1643878235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1520276.1643878235</v>
      </c>
      <c r="J544" s="444">
        <f t="array" ref="J544">IFERROR(INDEX('Retirement Calculator'!J:J,MATCH('Isaac 401k'!N544,'Retirement Calculator'!A:A,0),0),0)</f>
        <v>7896.2379798201846</v>
      </c>
      <c r="K544" s="444">
        <f t="shared" ca="1" si="53"/>
        <v>6301.5830267000138</v>
      </c>
      <c r="L544" s="444">
        <f t="shared" ca="1" si="54"/>
        <v>1518681.5094347033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1518681.5094347033</v>
      </c>
      <c r="J545" s="444">
        <f t="array" ref="J545">IFERROR(INDEX('Retirement Calculator'!J:J,MATCH('Isaac 401k'!N545,'Retirement Calculator'!A:A,0),0),0)</f>
        <v>7896.2379798201846</v>
      </c>
      <c r="K545" s="444">
        <f t="shared" ca="1" si="53"/>
        <v>6294.938631062013</v>
      </c>
      <c r="L545" s="444">
        <f t="shared" ca="1" si="54"/>
        <v>1517080.210085945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1517080.210085945</v>
      </c>
      <c r="J546" s="444">
        <f t="array" ref="J546">IFERROR(INDEX('Retirement Calculator'!J:J,MATCH('Isaac 401k'!N546,'Retirement Calculator'!A:A,0),0),0)</f>
        <v>7896.2379798201846</v>
      </c>
      <c r="K546" s="444">
        <f t="shared" ca="1" si="53"/>
        <v>6288.2665504421866</v>
      </c>
      <c r="L546" s="444">
        <f t="shared" ca="1" si="54"/>
        <v>1515472.2386565669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1515472.2386565669</v>
      </c>
      <c r="J547" s="444">
        <f t="array" ref="J547">IFERROR(INDEX('Retirement Calculator'!J:J,MATCH('Isaac 401k'!N547,'Retirement Calculator'!A:A,0),0),0)</f>
        <v>7896.2379798201846</v>
      </c>
      <c r="K547" s="444">
        <f t="shared" ca="1" si="53"/>
        <v>6281.5666694864449</v>
      </c>
      <c r="L547" s="444">
        <f t="shared" ca="1" si="54"/>
        <v>1513857.5673462332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1513857.5673462332</v>
      </c>
      <c r="J548" s="444">
        <f t="array" ref="J548">IFERROR(INDEX('Retirement Calculator'!J:J,MATCH('Isaac 401k'!N548,'Retirement Calculator'!A:A,0),0),0)</f>
        <v>7896.2379798201846</v>
      </c>
      <c r="K548" s="444">
        <f t="shared" ca="1" si="53"/>
        <v>6274.8388723600538</v>
      </c>
      <c r="L548" s="444">
        <f t="shared" ca="1" si="54"/>
        <v>1512236.168238773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1512236.168238773</v>
      </c>
      <c r="J549" s="444">
        <f t="array" ref="J549">IFERROR(INDEX('Retirement Calculator'!J:J,MATCH('Isaac 401k'!N549,'Retirement Calculator'!A:A,0),0),0)</f>
        <v>7896.2379798201846</v>
      </c>
      <c r="K549" s="444">
        <f t="shared" ca="1" si="53"/>
        <v>6268.0830427456367</v>
      </c>
      <c r="L549" s="444">
        <f t="shared" ca="1" si="54"/>
        <v>1510608.0133016985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1510608.0133016985</v>
      </c>
      <c r="J550" s="444">
        <f t="array" ref="J550">IFERROR(INDEX('Retirement Calculator'!J:J,MATCH('Isaac 401k'!N550,'Retirement Calculator'!A:A,0),0),0)</f>
        <v>7896.2379798201846</v>
      </c>
      <c r="K550" s="444">
        <f t="shared" ca="1" si="53"/>
        <v>6261.2990638411593</v>
      </c>
      <c r="L550" s="444">
        <f t="shared" ca="1" si="54"/>
        <v>1508973.0743857194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1508973.0743857194</v>
      </c>
      <c r="J551" s="444">
        <f t="array" ref="J551">IFERROR(INDEX('Retirement Calculator'!J:J,MATCH('Isaac 401k'!N551,'Retirement Calculator'!A:A,0),0),0)</f>
        <v>7896.2379798201846</v>
      </c>
      <c r="K551" s="444">
        <f t="shared" ca="1" si="53"/>
        <v>6254.4868183579129</v>
      </c>
      <c r="L551" s="444">
        <f t="shared" ca="1" si="54"/>
        <v>1507331.323224257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1507331.323224257</v>
      </c>
      <c r="J552" s="444">
        <f t="array" ref="J552">IFERROR(INDEX('Retirement Calculator'!J:J,MATCH('Isaac 401k'!N552,'Retirement Calculator'!A:A,0),0),0)</f>
        <v>7896.2379798201846</v>
      </c>
      <c r="K552" s="444">
        <f t="shared" ca="1" si="53"/>
        <v>6247.6461885184863</v>
      </c>
      <c r="L552" s="444">
        <f t="shared" ca="1" si="54"/>
        <v>1505682.7314329552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1505682.7314329552</v>
      </c>
      <c r="J553" s="444">
        <f t="array" ref="J553">IFERROR(INDEX('Retirement Calculator'!J:J,MATCH('Isaac 401k'!N553,'Retirement Calculator'!A:A,0),0),0)</f>
        <v>7896.2379798201846</v>
      </c>
      <c r="K553" s="444">
        <f t="shared" ca="1" si="53"/>
        <v>6240.7770560547287</v>
      </c>
      <c r="L553" s="444">
        <f t="shared" ca="1" si="54"/>
        <v>1504027.2705091897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1504027.2705091897</v>
      </c>
      <c r="J554" s="444">
        <f t="array" ref="J554">IFERROR(INDEX('Retirement Calculator'!J:J,MATCH('Isaac 401k'!N554,'Retirement Calculator'!A:A,0),0),0)</f>
        <v>7896.2379798201846</v>
      </c>
      <c r="K554" s="444">
        <f t="shared" ca="1" si="53"/>
        <v>6233.8793022057062</v>
      </c>
      <c r="L554" s="444">
        <f t="shared" ca="1" si="54"/>
        <v>1502364.9118315752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1502364.9118315752</v>
      </c>
      <c r="J555" s="444">
        <f t="array" ref="J555">IFERROR(INDEX('Retirement Calculator'!J:J,MATCH('Isaac 401k'!N555,'Retirement Calculator'!A:A,0),0),0)</f>
        <v>7896.2379798201846</v>
      </c>
      <c r="K555" s="444">
        <f t="shared" ca="1" si="53"/>
        <v>6226.9528077156456</v>
      </c>
      <c r="L555" s="444">
        <f t="shared" ca="1" si="54"/>
        <v>1500695.6266594706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1500695.6266594706</v>
      </c>
      <c r="J556" s="444">
        <f t="array" ref="J556">IFERROR(INDEX('Retirement Calculator'!J:J,MATCH('Isaac 401k'!N556,'Retirement Calculator'!A:A,0),0),0)</f>
        <v>7896.2379798201846</v>
      </c>
      <c r="K556" s="444">
        <f t="shared" ca="1" si="53"/>
        <v>6219.9974528318762</v>
      </c>
      <c r="L556" s="444">
        <f t="shared" ca="1" si="54"/>
        <v>1499019.3861324822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1499019.3861324822</v>
      </c>
      <c r="J557" s="444">
        <f t="array" ref="J557">IFERROR(INDEX('Retirement Calculator'!J:J,MATCH('Isaac 401k'!N557,'Retirement Calculator'!A:A,0),0),0)</f>
        <v>7896.2379798201846</v>
      </c>
      <c r="K557" s="444">
        <f t="shared" ca="1" si="53"/>
        <v>6213.0131173027585</v>
      </c>
      <c r="L557" s="444">
        <f t="shared" ca="1" si="54"/>
        <v>1497336.1612699647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1497336.1612699647</v>
      </c>
      <c r="J558" s="444">
        <f t="array" ref="J558">IFERROR(INDEX('Retirement Calculator'!J:J,MATCH('Isaac 401k'!N558,'Retirement Calculator'!A:A,0),0),0)</f>
        <v>7896.2379798201846</v>
      </c>
      <c r="K558" s="444">
        <f t="shared" ca="1" si="53"/>
        <v>6205.9996803756021</v>
      </c>
      <c r="L558" s="444">
        <f t="shared" ca="1" si="54"/>
        <v>1495645.9229705201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1495645.9229705201</v>
      </c>
      <c r="J559" s="444">
        <f t="array" ref="J559">IFERROR(INDEX('Retirement Calculator'!J:J,MATCH('Isaac 401k'!N559,'Retirement Calculator'!A:A,0),0),0)</f>
        <v>7896.2379798201846</v>
      </c>
      <c r="K559" s="444">
        <f t="shared" ca="1" si="53"/>
        <v>6198.9570207945826</v>
      </c>
      <c r="L559" s="444">
        <f t="shared" ca="1" si="54"/>
        <v>1493948.6420114944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1493948.6420114944</v>
      </c>
      <c r="J560" s="444">
        <f t="array" ref="J560">IFERROR(INDEX('Retirement Calculator'!J:J,MATCH('Isaac 401k'!N560,'Retirement Calculator'!A:A,0),0),0)</f>
        <v>7896.2379798201846</v>
      </c>
      <c r="K560" s="444">
        <f t="shared" ca="1" si="53"/>
        <v>6191.885016798642</v>
      </c>
      <c r="L560" s="444">
        <f t="shared" ca="1" si="54"/>
        <v>1492244.2890484729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1492244.2890484729</v>
      </c>
      <c r="J561" s="444">
        <f t="array" ref="J561">IFERROR(INDEX('Retirement Calculator'!J:J,MATCH('Isaac 401k'!N561,'Retirement Calculator'!A:A,0),0),0)</f>
        <v>7896.2379798201846</v>
      </c>
      <c r="K561" s="444">
        <f t="shared" ca="1" si="53"/>
        <v>6184.7835461193863</v>
      </c>
      <c r="L561" s="444">
        <f t="shared" ca="1" si="54"/>
        <v>1490532.8346147721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1490532.8346147721</v>
      </c>
      <c r="J562" s="444">
        <f t="array" ref="J562">IFERROR(INDEX('Retirement Calculator'!J:J,MATCH('Isaac 401k'!N562,'Retirement Calculator'!A:A,0),0),0)</f>
        <v>7896.2379798201846</v>
      </c>
      <c r="K562" s="444">
        <f t="shared" ca="1" si="53"/>
        <v>6177.6524859789661</v>
      </c>
      <c r="L562" s="444">
        <f t="shared" ca="1" si="54"/>
        <v>1488814.2491209309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1488814.2491209309</v>
      </c>
      <c r="J563" s="444">
        <f t="array" ref="J563">IFERROR(INDEX('Retirement Calculator'!J:J,MATCH('Isaac 401k'!N563,'Retirement Calculator'!A:A,0),0),0)</f>
        <v>7896.2379798201846</v>
      </c>
      <c r="K563" s="444">
        <f t="shared" ca="1" si="53"/>
        <v>6170.4917130879612</v>
      </c>
      <c r="L563" s="444">
        <f t="shared" ca="1" si="54"/>
        <v>1487088.5028541987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1487088.5028541987</v>
      </c>
      <c r="J564" s="444">
        <f t="array" ref="J564">IFERROR(INDEX('Retirement Calculator'!J:J,MATCH('Isaac 401k'!N564,'Retirement Calculator'!A:A,0),0),0)</f>
        <v>7896.2379798201846</v>
      </c>
      <c r="K564" s="444">
        <f t="shared" ca="1" si="53"/>
        <v>6163.3011036432436</v>
      </c>
      <c r="L564" s="444">
        <f t="shared" ca="1" si="54"/>
        <v>1485355.5659780216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1485355.5659780216</v>
      </c>
      <c r="J565" s="444">
        <f t="array" ref="J565">IFERROR(INDEX('Retirement Calculator'!J:J,MATCH('Isaac 401k'!N565,'Retirement Calculator'!A:A,0),0),0)</f>
        <v>7896.2379798201846</v>
      </c>
      <c r="K565" s="444">
        <f t="shared" ca="1" si="53"/>
        <v>6156.0805333258386</v>
      </c>
      <c r="L565" s="444">
        <f t="shared" ca="1" si="54"/>
        <v>1483615.4085315273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1483615.4085315273</v>
      </c>
      <c r="J566" s="444">
        <f t="array" ref="J566">IFERROR(INDEX('Retirement Calculator'!J:J,MATCH('Isaac 401k'!N566,'Retirement Calculator'!A:A,0),0),0)</f>
        <v>7896.2379798201846</v>
      </c>
      <c r="K566" s="444">
        <f t="shared" ca="1" si="53"/>
        <v>6148.8298772987791</v>
      </c>
      <c r="L566" s="444">
        <f t="shared" ca="1" si="54"/>
        <v>1481868.0004290058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1481868.0004290058</v>
      </c>
      <c r="J567" s="444">
        <f t="array" ref="J567">IFERROR(INDEX('Retirement Calculator'!J:J,MATCH('Isaac 401k'!N567,'Retirement Calculator'!A:A,0),0),0)</f>
        <v>7896.2379798201846</v>
      </c>
      <c r="K567" s="444">
        <f t="shared" ca="1" si="53"/>
        <v>6141.5490102049398</v>
      </c>
      <c r="L567" s="444">
        <f t="shared" ca="1" si="54"/>
        <v>1480113.3114593904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1480113.3114593904</v>
      </c>
      <c r="J568" s="444">
        <f t="array" ref="J568">IFERROR(INDEX('Retirement Calculator'!J:J,MATCH('Isaac 401k'!N568,'Retirement Calculator'!A:A,0),0),0)</f>
        <v>7896.2379798201846</v>
      </c>
      <c r="K568" s="444">
        <f t="shared" ca="1" si="53"/>
        <v>6134.237806164876</v>
      </c>
      <c r="L568" s="444">
        <f t="shared" ca="1" si="54"/>
        <v>1478351.3112857351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1478351.3112857351</v>
      </c>
      <c r="J569" s="444">
        <f t="array" ref="J569">IFERROR(INDEX('Retirement Calculator'!J:J,MATCH('Isaac 401k'!N569,'Retirement Calculator'!A:A,0),0),0)</f>
        <v>7896.2379798201846</v>
      </c>
      <c r="K569" s="444">
        <f t="shared" ca="1" si="53"/>
        <v>6126.8961387746449</v>
      </c>
      <c r="L569" s="444">
        <f t="shared" ca="1" si="54"/>
        <v>1476581.9694446896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1476581.9694446896</v>
      </c>
      <c r="J570" s="444">
        <f t="array" ref="J570">IFERROR(INDEX('Retirement Calculator'!J:J,MATCH('Isaac 401k'!N570,'Retirement Calculator'!A:A,0),0),0)</f>
        <v>7896.2379798201846</v>
      </c>
      <c r="K570" s="444">
        <f t="shared" ca="1" si="53"/>
        <v>6119.5238811036224</v>
      </c>
      <c r="L570" s="444">
        <f t="shared" ca="1" si="54"/>
        <v>1474805.255345973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1474805.255345973</v>
      </c>
      <c r="J571" s="444">
        <f t="array" ref="J571">IFERROR(INDEX('Retirement Calculator'!J:J,MATCH('Isaac 401k'!N571,'Retirement Calculator'!A:A,0),0),0)</f>
        <v>7896.2379798201846</v>
      </c>
      <c r="K571" s="444">
        <f t="shared" ca="1" si="53"/>
        <v>6112.1209056923026</v>
      </c>
      <c r="L571" s="444">
        <f t="shared" ca="1" si="54"/>
        <v>1473021.1382718449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1473021.1382718449</v>
      </c>
      <c r="J572" s="444">
        <f t="array" ref="J572">IFERROR(INDEX('Retirement Calculator'!J:J,MATCH('Isaac 401k'!N572,'Retirement Calculator'!A:A,0),0),0)</f>
        <v>7896.2379798201846</v>
      </c>
      <c r="K572" s="444">
        <f t="shared" ca="1" si="53"/>
        <v>6104.6870845501026</v>
      </c>
      <c r="L572" s="444">
        <f t="shared" ca="1" si="54"/>
        <v>1471229.5873765748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1471229.5873765748</v>
      </c>
      <c r="J573" s="444">
        <f t="array" ref="J573">IFERROR(INDEX('Retirement Calculator'!J:J,MATCH('Isaac 401k'!N573,'Retirement Calculator'!A:A,0),0),0)</f>
        <v>7896.2379798201846</v>
      </c>
      <c r="K573" s="444">
        <f t="shared" ca="1" si="53"/>
        <v>6097.2222891531437</v>
      </c>
      <c r="L573" s="444">
        <f t="shared" ca="1" si="54"/>
        <v>1469430.5716859077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1469430.5716859077</v>
      </c>
      <c r="J574" s="444">
        <f t="array" ref="J574">IFERROR(INDEX('Retirement Calculator'!J:J,MATCH('Isaac 401k'!N574,'Retirement Calculator'!A:A,0),0),0)</f>
        <v>7896.2379798201846</v>
      </c>
      <c r="K574" s="444">
        <f t="shared" ca="1" si="53"/>
        <v>6089.7263904420306</v>
      </c>
      <c r="L574" s="444">
        <f t="shared" ca="1" si="54"/>
        <v>1467624.0600965295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1467624.0600965295</v>
      </c>
      <c r="J575" s="444">
        <f t="array" ref="J575">IFERROR(INDEX('Retirement Calculator'!J:J,MATCH('Isaac 401k'!N575,'Retirement Calculator'!A:A,0),0),0)</f>
        <v>7896.2379798201846</v>
      </c>
      <c r="K575" s="444">
        <f t="shared" ca="1" si="53"/>
        <v>6082.1992588196217</v>
      </c>
      <c r="L575" s="444">
        <f t="shared" ca="1" si="54"/>
        <v>1465810.021375529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1465810.021375529</v>
      </c>
      <c r="J576" s="444">
        <f t="array" ref="J576">IFERROR(INDEX('Retirement Calculator'!J:J,MATCH('Isaac 401k'!N576,'Retirement Calculator'!A:A,0),0),0)</f>
        <v>7896.2379798201846</v>
      </c>
      <c r="K576" s="444">
        <f t="shared" ca="1" si="53"/>
        <v>6074.6407641487867</v>
      </c>
      <c r="L576" s="444">
        <f t="shared" ca="1" si="54"/>
        <v>1463988.4241598574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1463988.4241598574</v>
      </c>
      <c r="J577" s="444">
        <f t="array" ref="J577">IFERROR(INDEX('Retirement Calculator'!J:J,MATCH('Isaac 401k'!N577,'Retirement Calculator'!A:A,0),0),0)</f>
        <v>7896.2379798201846</v>
      </c>
      <c r="K577" s="444">
        <f t="shared" ca="1" si="53"/>
        <v>6067.0507757501546</v>
      </c>
      <c r="L577" s="444">
        <f t="shared" ca="1" si="54"/>
        <v>1462159.2369557873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1462159.2369557873</v>
      </c>
      <c r="J578" s="444">
        <f t="array" ref="J578">IFERROR(INDEX('Retirement Calculator'!J:J,MATCH('Isaac 401k'!N578,'Retirement Calculator'!A:A,0),0),0)</f>
        <v>7896.2379798201846</v>
      </c>
      <c r="K578" s="444">
        <f t="shared" ca="1" si="53"/>
        <v>6059.4291623998624</v>
      </c>
      <c r="L578" s="444">
        <f t="shared" ca="1" si="54"/>
        <v>1460322.4281383669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1460322.4281383669</v>
      </c>
      <c r="J579" s="444">
        <f t="array" ref="J579">IFERROR(INDEX('Retirement Calculator'!J:J,MATCH('Isaac 401k'!N579,'Retirement Calculator'!A:A,0),0),0)</f>
        <v>7896.2379798201846</v>
      </c>
      <c r="K579" s="444">
        <f t="shared" ca="1" si="53"/>
        <v>6051.7757923272775</v>
      </c>
      <c r="L579" s="444">
        <f t="shared" ca="1" si="54"/>
        <v>1458477.9659508739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1458477.9659508739</v>
      </c>
      <c r="J580" s="444">
        <f t="array" ref="J580">IFERROR(INDEX('Retirement Calculator'!J:J,MATCH('Isaac 401k'!N580,'Retirement Calculator'!A:A,0),0),0)</f>
        <v>7896.2379798201846</v>
      </c>
      <c r="K580" s="444">
        <f t="shared" ca="1" si="53"/>
        <v>6044.090533212724</v>
      </c>
      <c r="L580" s="444">
        <f t="shared" ca="1" si="54"/>
        <v>1456625.8185042664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1456625.8185042664</v>
      </c>
      <c r="J581" s="444">
        <f t="array" ref="J581">IFERROR(INDEX('Retirement Calculator'!J:J,MATCH('Isaac 401k'!N581,'Retirement Calculator'!A:A,0),0),0)</f>
        <v>7896.2379798201846</v>
      </c>
      <c r="K581" s="444">
        <f t="shared" ca="1" si="53"/>
        <v>6036.3732521851925</v>
      </c>
      <c r="L581" s="444">
        <f t="shared" ca="1" si="54"/>
        <v>1454765.9537766315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1454765.9537766315</v>
      </c>
      <c r="J582" s="444">
        <f t="array" ref="J582">IFERROR(INDEX('Retirement Calculator'!J:J,MATCH('Isaac 401k'!N582,'Retirement Calculator'!A:A,0),0),0)</f>
        <v>7896.2379798201846</v>
      </c>
      <c r="K582" s="444">
        <f t="shared" ca="1" si="53"/>
        <v>6028.6238158200467</v>
      </c>
      <c r="L582" s="444">
        <f t="shared" ca="1" si="54"/>
        <v>1452898.3396126314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1452898.3396126314</v>
      </c>
      <c r="J583" s="444">
        <f t="array" ref="J583">IFERROR(INDEX('Retirement Calculator'!J:J,MATCH('Isaac 401k'!N583,'Retirement Calculator'!A:A,0),0),0)</f>
        <v>7896.2379798201846</v>
      </c>
      <c r="K583" s="444">
        <f t="shared" ca="1" si="53"/>
        <v>6020.8420901367126</v>
      </c>
      <c r="L583" s="444">
        <f t="shared" ca="1" si="54"/>
        <v>1451022.9437229477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1451022.9437229477</v>
      </c>
      <c r="J584" s="444">
        <f t="array" ref="J584">IFERROR(INDEX('Retirement Calculator'!J:J,MATCH('Isaac 401k'!N584,'Retirement Calculator'!A:A,0),0),0)</f>
        <v>7896.2379798201846</v>
      </c>
      <c r="K584" s="444">
        <f t="shared" ca="1" si="53"/>
        <v>6013.0279405963647</v>
      </c>
      <c r="L584" s="444">
        <f t="shared" ca="1" si="54"/>
        <v>1449139.733683724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1449139.733683724</v>
      </c>
      <c r="J585" s="444">
        <f t="array" ref="J585">IFERROR(INDEX('Retirement Calculator'!J:J,MATCH('Isaac 401k'!N585,'Retirement Calculator'!A:A,0),0),0)</f>
        <v>7896.2379798201846</v>
      </c>
      <c r="K585" s="444">
        <f t="shared" ca="1" si="53"/>
        <v>6005.1812320995987</v>
      </c>
      <c r="L585" s="444">
        <f t="shared" ca="1" si="54"/>
        <v>1447248.6769360034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1447248.6769360034</v>
      </c>
      <c r="J586" s="444">
        <f t="array" ref="J586">IFERROR(INDEX('Retirement Calculator'!J:J,MATCH('Isaac 401k'!N586,'Retirement Calculator'!A:A,0),0),0)</f>
        <v>7896.2379798201846</v>
      </c>
      <c r="K586" s="444">
        <f t="shared" ca="1" si="53"/>
        <v>5997.3018289840966</v>
      </c>
      <c r="L586" s="444">
        <f t="shared" ca="1" si="54"/>
        <v>1445349.7407851673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1445349.7407851673</v>
      </c>
      <c r="J587" s="444">
        <f t="array" ref="J587">IFERROR(INDEX('Retirement Calculator'!J:J,MATCH('Isaac 401k'!N587,'Retirement Calculator'!A:A,0),0),0)</f>
        <v>7896.2379798201846</v>
      </c>
      <c r="K587" s="444">
        <f t="shared" ca="1" si="53"/>
        <v>5989.3895950222795</v>
      </c>
      <c r="L587" s="444">
        <f t="shared" ca="1" si="54"/>
        <v>1443442.8924003693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1443442.8924003693</v>
      </c>
      <c r="J588" s="444">
        <f t="array" ref="J588">IFERROR(INDEX('Retirement Calculator'!J:J,MATCH('Isaac 401k'!N588,'Retirement Calculator'!A:A,0),0),0)</f>
        <v>7896.2379798201846</v>
      </c>
      <c r="K588" s="444">
        <f t="shared" ca="1" si="53"/>
        <v>5981.444393418954</v>
      </c>
      <c r="L588" s="444">
        <f t="shared" ca="1" si="54"/>
        <v>1441528.098813968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1441528.098813968</v>
      </c>
      <c r="J589" s="444">
        <f t="array" ref="J589">IFERROR(INDEX('Retirement Calculator'!J:J,MATCH('Isaac 401k'!N589,'Retirement Calculator'!A:A,0),0),0)</f>
        <v>7896.2379798201846</v>
      </c>
      <c r="K589" s="444">
        <f t="shared" ca="1" si="53"/>
        <v>5973.4660868089486</v>
      </c>
      <c r="L589" s="444">
        <f t="shared" ca="1" si="54"/>
        <v>1439605.3269209568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1439605.3269209568</v>
      </c>
      <c r="J590" s="444">
        <f t="array" ref="J590">IFERROR(INDEX('Retirement Calculator'!J:J,MATCH('Isaac 401k'!N590,'Retirement Calculator'!A:A,0),0),0)</f>
        <v>7896.2379798201846</v>
      </c>
      <c r="K590" s="444">
        <f t="shared" ca="1" si="53"/>
        <v>5965.4545372547354</v>
      </c>
      <c r="L590" s="444">
        <f t="shared" ca="1" si="54"/>
        <v>1437674.5434783914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1437674.5434783914</v>
      </c>
      <c r="J591" s="444">
        <f t="array" ref="J591">IFERROR(INDEX('Retirement Calculator'!J:J,MATCH('Isaac 401k'!N591,'Retirement Calculator'!A:A,0),0),0)</f>
        <v>7896.2379798201846</v>
      </c>
      <c r="K591" s="444">
        <f t="shared" ca="1" si="53"/>
        <v>5957.4096062440467</v>
      </c>
      <c r="L591" s="444">
        <f t="shared" ca="1" si="54"/>
        <v>1435735.7151048151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1435735.7151048151</v>
      </c>
      <c r="J592" s="444">
        <f t="array" ref="J592">IFERROR(INDEX('Retirement Calculator'!J:J,MATCH('Isaac 401k'!N592,'Retirement Calculator'!A:A,0),0),0)</f>
        <v>7896.2379798201846</v>
      </c>
      <c r="K592" s="444">
        <f t="shared" ca="1" si="53"/>
        <v>5949.3311546874784</v>
      </c>
      <c r="L592" s="444">
        <f t="shared" ca="1" si="54"/>
        <v>1433788.8082796824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1433788.8082796824</v>
      </c>
      <c r="J593" s="444">
        <f t="array" ref="J593">IFERROR(INDEX('Retirement Calculator'!J:J,MATCH('Isaac 401k'!N593,'Retirement Calculator'!A:A,0),0),0)</f>
        <v>7896.2379798201846</v>
      </c>
      <c r="K593" s="444">
        <f t="shared" ca="1" si="53"/>
        <v>5941.2190429160928</v>
      </c>
      <c r="L593" s="444">
        <f t="shared" ca="1" si="54"/>
        <v>1431833.7893427783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1431833.7893427783</v>
      </c>
      <c r="J594" s="444">
        <f t="array" ref="J594">IFERROR(INDEX('Retirement Calculator'!J:J,MATCH('Isaac 401k'!N594,'Retirement Calculator'!A:A,0),0),0)</f>
        <v>7896.2379798201846</v>
      </c>
      <c r="K594" s="444">
        <f t="shared" ca="1" si="53"/>
        <v>5933.0731306789921</v>
      </c>
      <c r="L594" s="444">
        <f t="shared" ca="1" si="54"/>
        <v>1429870.6244936371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1429870.6244936371</v>
      </c>
      <c r="J595" s="444">
        <f t="array" ref="J595">IFERROR(INDEX('Retirement Calculator'!J:J,MATCH('Isaac 401k'!N595,'Retirement Calculator'!A:A,0),0),0)</f>
        <v>7896.2379798201846</v>
      </c>
      <c r="K595" s="444">
        <f t="shared" ca="1" si="53"/>
        <v>5924.8932771409036</v>
      </c>
      <c r="L595" s="444">
        <f t="shared" ca="1" si="54"/>
        <v>1427899.2797909577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1427899.2797909577</v>
      </c>
      <c r="J596" s="444">
        <f t="array" ref="J596">IFERROR(INDEX('Retirement Calculator'!J:J,MATCH('Isaac 401k'!N596,'Retirement Calculator'!A:A,0),0),0)</f>
        <v>7896.2379798201846</v>
      </c>
      <c r="K596" s="444">
        <f t="shared" ca="1" si="53"/>
        <v>5916.6793408797394</v>
      </c>
      <c r="L596" s="444">
        <f t="shared" ca="1" si="54"/>
        <v>1425919.7211520171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1425919.7211520171</v>
      </c>
      <c r="J597" s="444">
        <f t="array" ref="J597">IFERROR(INDEX('Retirement Calculator'!J:J,MATCH('Isaac 401k'!N597,'Retirement Calculator'!A:A,0),0),0)</f>
        <v>7896.2379798201846</v>
      </c>
      <c r="K597" s="444">
        <f t="shared" ca="1" si="53"/>
        <v>5908.4311798841536</v>
      </c>
      <c r="L597" s="444">
        <f t="shared" ca="1" si="54"/>
        <v>1423931.914352081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1423931.914352081</v>
      </c>
      <c r="J598" s="444">
        <f t="array" ref="J598">IFERROR(INDEX('Retirement Calculator'!J:J,MATCH('Isaac 401k'!N598,'Retirement Calculator'!A:A,0),0),0)</f>
        <v>7896.2379798201846</v>
      </c>
      <c r="K598" s="444">
        <f t="shared" ca="1" si="53"/>
        <v>5900.1486515510869</v>
      </c>
      <c r="L598" s="444">
        <f t="shared" ca="1" si="54"/>
        <v>1421935.8250238118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1421935.8250238118</v>
      </c>
      <c r="J599" s="444">
        <f t="array" ref="J599">IFERROR(INDEX('Retirement Calculator'!J:J,MATCH('Isaac 401k'!N599,'Retirement Calculator'!A:A,0),0),0)</f>
        <v>7896.2379798201846</v>
      </c>
      <c r="K599" s="444">
        <f t="shared" ca="1" si="53"/>
        <v>5891.8316126832979</v>
      </c>
      <c r="L599" s="444">
        <f t="shared" ca="1" si="54"/>
        <v>1419931.4186566749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1419931.4186566749</v>
      </c>
      <c r="J600" s="444">
        <f t="array" ref="J600">IFERROR(INDEX('Retirement Calculator'!J:J,MATCH('Isaac 401k'!N600,'Retirement Calculator'!A:A,0),0),0)</f>
        <v>7896.2379798201846</v>
      </c>
      <c r="K600" s="444">
        <f t="shared" ca="1" si="53"/>
        <v>5883.4799194868947</v>
      </c>
      <c r="L600" s="444">
        <f t="shared" ca="1" si="54"/>
        <v>1417918.6605963416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1417918.6605963416</v>
      </c>
      <c r="J601" s="444">
        <f t="array" ref="J601">IFERROR(INDEX('Retirement Calculator'!J:J,MATCH('Isaac 401k'!N601,'Retirement Calculator'!A:A,0),0),0)</f>
        <v>7896.2379798201846</v>
      </c>
      <c r="K601" s="444">
        <f t="shared" ca="1" si="53"/>
        <v>5875.0934275688387</v>
      </c>
      <c r="L601" s="444">
        <f t="shared" ca="1" si="54"/>
        <v>1415897.5160440903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1415897.5160440903</v>
      </c>
      <c r="J602" s="444">
        <f t="array" ref="J602">IFERROR(INDEX('Retirement Calculator'!J:J,MATCH('Isaac 401k'!N602,'Retirement Calculator'!A:A,0),0),0)</f>
        <v>7896.2379798201846</v>
      </c>
      <c r="K602" s="444">
        <f t="shared" ca="1" si="53"/>
        <v>5866.6719919344587</v>
      </c>
      <c r="L602" s="444">
        <f t="shared" ca="1" si="54"/>
        <v>1413867.9500562046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1413867.9500562046</v>
      </c>
      <c r="J603" s="444">
        <f t="array" ref="J603">IFERROR(INDEX('Retirement Calculator'!J:J,MATCH('Isaac 401k'!N603,'Retirement Calculator'!A:A,0),0),0)</f>
        <v>7896.2379798201846</v>
      </c>
      <c r="K603" s="444">
        <f t="shared" ca="1" si="53"/>
        <v>5858.2154669849351</v>
      </c>
      <c r="L603" s="444">
        <f t="shared" ca="1" si="54"/>
        <v>1411829.9275433694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1411829.9275433694</v>
      </c>
      <c r="J604" s="444">
        <f t="array" ref="J604">IFERROR(INDEX('Retirement Calculator'!J:J,MATCH('Isaac 401k'!N604,'Retirement Calculator'!A:A,0),0),0)</f>
        <v>7896.2379798201846</v>
      </c>
      <c r="K604" s="444">
        <f t="shared" ca="1" si="53"/>
        <v>5849.7237065147883</v>
      </c>
      <c r="L604" s="444">
        <f t="shared" ca="1" si="54"/>
        <v>1409783.4132700639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1409783.4132700639</v>
      </c>
      <c r="J605" s="444">
        <f t="array" ref="J605">IFERROR(INDEX('Retirement Calculator'!J:J,MATCH('Isaac 401k'!N605,'Retirement Calculator'!A:A,0),0),0)</f>
        <v>7896.2379798201846</v>
      </c>
      <c r="K605" s="444">
        <f t="shared" ca="1" si="53"/>
        <v>5841.196563709349</v>
      </c>
      <c r="L605" s="444">
        <f t="shared" ca="1" si="54"/>
        <v>1407728.371853953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1407728.371853953</v>
      </c>
      <c r="J606" s="444">
        <f t="array" ref="J606">IFERROR(INDEX('Retirement Calculator'!J:J,MATCH('Isaac 401k'!N606,'Retirement Calculator'!A:A,0),0),0)</f>
        <v>7896.2379798201846</v>
      </c>
      <c r="K606" s="444">
        <f t="shared" ca="1" si="53"/>
        <v>5832.6338911422199</v>
      </c>
      <c r="L606" s="444">
        <f t="shared" ca="1" si="54"/>
        <v>1405664.767765275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1405664.767765275</v>
      </c>
      <c r="J607" s="444">
        <f t="array" ref="J607">IFERROR(INDEX('Retirement Calculator'!J:J,MATCH('Isaac 401k'!N607,'Retirement Calculator'!A:A,0),0),0)</f>
        <v>7896.2379798201846</v>
      </c>
      <c r="K607" s="444">
        <f t="shared" ca="1" si="53"/>
        <v>5824.0355407727284</v>
      </c>
      <c r="L607" s="444">
        <f t="shared" ca="1" si="54"/>
        <v>1403592.5653262276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1403592.5653262276</v>
      </c>
      <c r="J608" s="444">
        <f t="array" ref="J608">IFERROR(INDEX('Retirement Calculator'!J:J,MATCH('Isaac 401k'!N608,'Retirement Calculator'!A:A,0),0),0)</f>
        <v>7896.2379798201846</v>
      </c>
      <c r="K608" s="444">
        <f t="shared" ca="1" si="53"/>
        <v>5815.4013639433642</v>
      </c>
      <c r="L608" s="444">
        <f t="shared" ca="1" si="54"/>
        <v>1401511.7287103508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1401511.7287103508</v>
      </c>
      <c r="J609" s="444">
        <f t="array" ref="J609">IFERROR(INDEX('Retirement Calculator'!J:J,MATCH('Isaac 401k'!N609,'Retirement Calculator'!A:A,0),0),0)</f>
        <v>7896.2379798201846</v>
      </c>
      <c r="K609" s="444">
        <f t="shared" ca="1" si="53"/>
        <v>5806.7312113772105</v>
      </c>
      <c r="L609" s="444">
        <f t="shared" ca="1" si="54"/>
        <v>1399422.2219419079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1399422.2219419079</v>
      </c>
      <c r="J610" s="444">
        <f t="array" ref="J610">IFERROR(INDEX('Retirement Calculator'!J:J,MATCH('Isaac 401k'!N610,'Retirement Calculator'!A:A,0),0),0)</f>
        <v>7896.2379798201846</v>
      </c>
      <c r="K610" s="444">
        <f t="shared" ca="1" si="53"/>
        <v>5798.0249331753648</v>
      </c>
      <c r="L610" s="444">
        <f t="shared" ca="1" si="54"/>
        <v>1397324.0088952631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1397324.0088952631</v>
      </c>
      <c r="J611" s="444">
        <f t="array" ref="J611">IFERROR(INDEX('Retirement Calculator'!J:J,MATCH('Isaac 401k'!N611,'Retirement Calculator'!A:A,0),0),0)</f>
        <v>7896.2379798201846</v>
      </c>
      <c r="K611" s="444">
        <f t="shared" ca="1" si="53"/>
        <v>5789.2823788143451</v>
      </c>
      <c r="L611" s="444">
        <f t="shared" ca="1" si="54"/>
        <v>1395217.0532942573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1395217.0532942573</v>
      </c>
      <c r="J612" s="444">
        <f t="array" ref="J612">IFERROR(INDEX('Retirement Calculator'!J:J,MATCH('Isaac 401k'!N612,'Retirement Calculator'!A:A,0),0),0)</f>
        <v>7896.2379798201846</v>
      </c>
      <c r="K612" s="444">
        <f t="shared" ca="1" si="53"/>
        <v>5780.5033971434877</v>
      </c>
      <c r="L612" s="444">
        <f t="shared" ca="1" si="54"/>
        <v>1393101.3187115805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1393101.3187115805</v>
      </c>
      <c r="J613" s="444">
        <f t="array" ref="J613">IFERROR(INDEX('Retirement Calculator'!J:J,MATCH('Isaac 401k'!N613,'Retirement Calculator'!A:A,0),0),0)</f>
        <v>7896.2379798201846</v>
      </c>
      <c r="K613" s="444">
        <f t="shared" ca="1" si="53"/>
        <v>5771.6878363823344</v>
      </c>
      <c r="L613" s="444">
        <f t="shared" ca="1" si="54"/>
        <v>1390976.7685681426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1390976.7685681426</v>
      </c>
      <c r="J614" s="444">
        <f t="array" ref="J614">IFERROR(INDEX('Retirement Calculator'!J:J,MATCH('Isaac 401k'!N614,'Retirement Calculator'!A:A,0),0),0)</f>
        <v>7896.2379798201846</v>
      </c>
      <c r="K614" s="444">
        <f t="shared" ca="1" si="53"/>
        <v>5762.8355441180092</v>
      </c>
      <c r="L614" s="444">
        <f t="shared" ca="1" si="54"/>
        <v>1388843.3661324403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1388843.3661324403</v>
      </c>
      <c r="J615" s="444">
        <f t="array" ref="J615">IFERROR(INDEX('Retirement Calculator'!J:J,MATCH('Isaac 401k'!N615,'Retirement Calculator'!A:A,0),0),0)</f>
        <v>7896.2379798201846</v>
      </c>
      <c r="K615" s="444">
        <f t="shared" ca="1" si="53"/>
        <v>5753.9463673025839</v>
      </c>
      <c r="L615" s="444">
        <f t="shared" ca="1" si="54"/>
        <v>1386701.0745199227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1386701.0745199227</v>
      </c>
      <c r="J616" s="444">
        <f t="array" ref="J616">IFERROR(INDEX('Retirement Calculator'!J:J,MATCH('Isaac 401k'!N616,'Retirement Calculator'!A:A,0),0),0)</f>
        <v>7896.2379798201846</v>
      </c>
      <c r="K616" s="444">
        <f t="shared" ca="1" si="53"/>
        <v>5745.0201522504267</v>
      </c>
      <c r="L616" s="444">
        <f t="shared" ca="1" si="54"/>
        <v>1384549.856692353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1384549.856692353</v>
      </c>
      <c r="J617" s="444">
        <f t="array" ref="J617">IFERROR(INDEX('Retirement Calculator'!J:J,MATCH('Isaac 401k'!N617,'Retirement Calculator'!A:A,0),0),0)</f>
        <v>7896.2379798201846</v>
      </c>
      <c r="K617" s="444">
        <f t="shared" ca="1" si="53"/>
        <v>5736.0567446355535</v>
      </c>
      <c r="L617" s="444">
        <f t="shared" ca="1" si="54"/>
        <v>1382389.6754571684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1382389.6754571684</v>
      </c>
      <c r="J618" s="444">
        <f t="array" ref="J618">IFERROR(INDEX('Retirement Calculator'!J:J,MATCH('Isaac 401k'!N618,'Retirement Calculator'!A:A,0),0),0)</f>
        <v>7896.2379798201846</v>
      </c>
      <c r="K618" s="444">
        <f t="shared" ca="1" si="53"/>
        <v>5727.0559894889502</v>
      </c>
      <c r="L618" s="444">
        <f t="shared" ca="1" si="54"/>
        <v>1380220.4934668371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1380220.4934668371</v>
      </c>
      <c r="J619" s="444">
        <f t="array" ref="J619">IFERROR(INDEX('Retirement Calculator'!J:J,MATCH('Isaac 401k'!N619,'Retirement Calculator'!A:A,0),0),0)</f>
        <v>7896.2379798201846</v>
      </c>
      <c r="K619" s="444">
        <f t="shared" ca="1" si="53"/>
        <v>5718.0177311959033</v>
      </c>
      <c r="L619" s="444">
        <f t="shared" ca="1" si="54"/>
        <v>1378042.2732182129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1378042.2732182129</v>
      </c>
      <c r="J620" s="444">
        <f t="array" ref="J620">IFERROR(INDEX('Retirement Calculator'!J:J,MATCH('Isaac 401k'!N620,'Retirement Calculator'!A:A,0),0),0)</f>
        <v>7896.2379798201846</v>
      </c>
      <c r="K620" s="444">
        <f t="shared" ca="1" si="53"/>
        <v>5708.941813493303</v>
      </c>
      <c r="L620" s="444">
        <f t="shared" ca="1" si="54"/>
        <v>1375854.977051886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1375854.977051886</v>
      </c>
      <c r="J621" s="444">
        <f t="array" ref="J621">IFERROR(INDEX('Retirement Calculator'!J:J,MATCH('Isaac 401k'!N621,'Retirement Calculator'!A:A,0),0),0)</f>
        <v>7896.2379798201846</v>
      </c>
      <c r="K621" s="444">
        <f t="shared" ca="1" si="53"/>
        <v>5699.8280794669408</v>
      </c>
      <c r="L621" s="444">
        <f t="shared" ca="1" si="54"/>
        <v>1373658.5671515327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1373658.5671515327</v>
      </c>
      <c r="J622" s="444">
        <f t="array" ref="J622">IFERROR(INDEX('Retirement Calculator'!J:J,MATCH('Isaac 401k'!N622,'Retirement Calculator'!A:A,0),0),0)</f>
        <v>7896.2379798201846</v>
      </c>
      <c r="K622" s="444">
        <f t="shared" ca="1" si="53"/>
        <v>5690.6763715488023</v>
      </c>
      <c r="L622" s="444">
        <f t="shared" ca="1" si="54"/>
        <v>1371453.0055432613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1371453.0055432613</v>
      </c>
      <c r="J623" s="444">
        <f t="array" ref="J623">IFERROR(INDEX('Retirement Calculator'!J:J,MATCH('Isaac 401k'!N623,'Retirement Calculator'!A:A,0),0),0)</f>
        <v>7896.2379798201846</v>
      </c>
      <c r="K623" s="444">
        <f t="shared" ca="1" si="53"/>
        <v>5681.4865315143379</v>
      </c>
      <c r="L623" s="444">
        <f t="shared" ca="1" si="54"/>
        <v>1369238.2540949555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1369238.2540949555</v>
      </c>
      <c r="J624" s="444">
        <f t="array" ref="J624">IFERROR(INDEX('Retirement Calculator'!J:J,MATCH('Isaac 401k'!N624,'Retirement Calculator'!A:A,0),0),0)</f>
        <v>7896.2379798201846</v>
      </c>
      <c r="K624" s="444">
        <f t="shared" ca="1" si="53"/>
        <v>5672.25840047973</v>
      </c>
      <c r="L624" s="444">
        <f t="shared" ca="1" si="54"/>
        <v>1367014.2745156151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1367014.2745156151</v>
      </c>
      <c r="J625" s="444">
        <f t="array" ref="J625">IFERROR(INDEX('Retirement Calculator'!J:J,MATCH('Isaac 401k'!N625,'Retirement Calculator'!A:A,0),0),0)</f>
        <v>7896.2379798201846</v>
      </c>
      <c r="K625" s="444">
        <f t="shared" ca="1" si="53"/>
        <v>5662.9918188991451</v>
      </c>
      <c r="L625" s="444">
        <f t="shared" ca="1" si="54"/>
        <v>1364781.0283546939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1364781.0283546939</v>
      </c>
      <c r="J626" s="444">
        <f t="array" ref="J626">IFERROR(INDEX('Retirement Calculator'!J:J,MATCH('Isaac 401k'!N626,'Retirement Calculator'!A:A,0),0),0)</f>
        <v>7896.2379798201846</v>
      </c>
      <c r="K626" s="444">
        <f t="shared" ca="1" si="53"/>
        <v>5653.6866265619738</v>
      </c>
      <c r="L626" s="444">
        <f t="shared" ca="1" si="54"/>
        <v>1362538.4770014356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1362538.4770014356</v>
      </c>
      <c r="J627" s="444">
        <f t="array" ref="J627">IFERROR(INDEX('Retirement Calculator'!J:J,MATCH('Isaac 401k'!N627,'Retirement Calculator'!A:A,0),0),0)</f>
        <v>7896.2379798201846</v>
      </c>
      <c r="K627" s="444">
        <f t="shared" ca="1" si="53"/>
        <v>5644.3426625900638</v>
      </c>
      <c r="L627" s="444">
        <f t="shared" ca="1" si="54"/>
        <v>1360286.5816842054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1360286.5816842054</v>
      </c>
      <c r="J628" s="444">
        <f t="array" ref="J628">IFERROR(INDEX('Retirement Calculator'!J:J,MATCH('Isaac 401k'!N628,'Retirement Calculator'!A:A,0),0),0)</f>
        <v>7896.2379798201846</v>
      </c>
      <c r="K628" s="444">
        <f t="shared" ca="1" si="53"/>
        <v>5634.9597654349382</v>
      </c>
      <c r="L628" s="444">
        <f t="shared" ca="1" si="54"/>
        <v>1358025.3034698202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1358025.3034698202</v>
      </c>
      <c r="J629" s="444">
        <f t="array" ref="J629">IFERROR(INDEX('Retirement Calculator'!J:J,MATCH('Isaac 401k'!N629,'Retirement Calculator'!A:A,0),0),0)</f>
        <v>7896.2379798201846</v>
      </c>
      <c r="K629" s="444">
        <f t="shared" ca="1" si="53"/>
        <v>5625.537772875</v>
      </c>
      <c r="L629" s="444">
        <f t="shared" ca="1" si="54"/>
        <v>1355754.603262875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1355754.603262875</v>
      </c>
      <c r="J630" s="444">
        <f t="array" ref="J630">IFERROR(INDEX('Retirement Calculator'!J:J,MATCH('Isaac 401k'!N630,'Retirement Calculator'!A:A,0),0),0)</f>
        <v>7896.2379798201846</v>
      </c>
      <c r="K630" s="444">
        <f t="shared" ca="1" si="53"/>
        <v>5616.0765220127278</v>
      </c>
      <c r="L630" s="444">
        <f t="shared" ca="1" si="54"/>
        <v>1353474.4418050675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1353474.4418050675</v>
      </c>
      <c r="J631" s="444">
        <f t="array" ref="J631">IFERROR(INDEX('Retirement Calculator'!J:J,MATCH('Isaac 401k'!N631,'Retirement Calculator'!A:A,0),0),0)</f>
        <v>7896.2379798201846</v>
      </c>
      <c r="K631" s="444">
        <f t="shared" ca="1" si="53"/>
        <v>5606.5758492718633</v>
      </c>
      <c r="L631" s="444">
        <f t="shared" ca="1" si="54"/>
        <v>1351184.7796745191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1351184.7796745191</v>
      </c>
      <c r="J632" s="444">
        <f t="array" ref="J632">IFERROR(INDEX('Retirement Calculator'!J:J,MATCH('Isaac 401k'!N632,'Retirement Calculator'!A:A,0),0),0)</f>
        <v>7896.2379798201846</v>
      </c>
      <c r="K632" s="444">
        <f t="shared" ca="1" si="53"/>
        <v>5597.0355903945783</v>
      </c>
      <c r="L632" s="444">
        <f t="shared" ca="1" si="54"/>
        <v>1348885.5772850935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1348885.5772850935</v>
      </c>
      <c r="J633" s="444">
        <f t="array" ref="J633">IFERROR(INDEX('Retirement Calculator'!J:J,MATCH('Isaac 401k'!N633,'Retirement Calculator'!A:A,0),0),0)</f>
        <v>7896.2379798201846</v>
      </c>
      <c r="K633" s="444">
        <f t="shared" ca="1" si="53"/>
        <v>5587.4555804386382</v>
      </c>
      <c r="L633" s="444">
        <f t="shared" ca="1" si="54"/>
        <v>1346576.794885712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1346576.794885712</v>
      </c>
      <c r="J634" s="444">
        <f t="array" ref="J634">IFERROR(INDEX('Retirement Calculator'!J:J,MATCH('Isaac 401k'!N634,'Retirement Calculator'!A:A,0),0),0)</f>
        <v>7896.2379798201846</v>
      </c>
      <c r="K634" s="444">
        <f t="shared" ca="1" si="53"/>
        <v>5577.8356537745485</v>
      </c>
      <c r="L634" s="444">
        <f t="shared" ca="1" si="54"/>
        <v>1344258.3925596662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1344258.3925596662</v>
      </c>
      <c r="J635" s="444">
        <f t="array" ref="J635">IFERROR(INDEX('Retirement Calculator'!J:J,MATCH('Isaac 401k'!N635,'Retirement Calculator'!A:A,0),0),0)</f>
        <v>7896.2379798201846</v>
      </c>
      <c r="K635" s="444">
        <f t="shared" ca="1" si="53"/>
        <v>5568.1756440826912</v>
      </c>
      <c r="L635" s="444">
        <f t="shared" ca="1" si="54"/>
        <v>1341930.3302239287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1341930.3302239287</v>
      </c>
      <c r="J636" s="444">
        <f t="array" ref="J636">IFERROR(INDEX('Retirement Calculator'!J:J,MATCH('Isaac 401k'!N636,'Retirement Calculator'!A:A,0),0),0)</f>
        <v>7896.2379798201846</v>
      </c>
      <c r="K636" s="444">
        <f t="shared" ca="1" si="53"/>
        <v>5558.4753843504513</v>
      </c>
      <c r="L636" s="444">
        <f t="shared" ca="1" si="54"/>
        <v>1339592.5676284588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1339592.5676284588</v>
      </c>
      <c r="J637" s="444">
        <f t="array" ref="J637">IFERROR(INDEX('Retirement Calculator'!J:J,MATCH('Isaac 401k'!N637,'Retirement Calculator'!A:A,0),0),0)</f>
        <v>7896.2379798201846</v>
      </c>
      <c r="K637" s="444">
        <f t="shared" ca="1" si="53"/>
        <v>5548.7347068693271</v>
      </c>
      <c r="L637" s="444">
        <f t="shared" ca="1" si="54"/>
        <v>1337245.064355508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1337245.064355508</v>
      </c>
      <c r="J638" s="444">
        <f t="array" ref="J638">IFERROR(INDEX('Retirement Calculator'!J:J,MATCH('Isaac 401k'!N638,'Retirement Calculator'!A:A,0),0),0)</f>
        <v>7896.2379798201846</v>
      </c>
      <c r="K638" s="444">
        <f t="shared" ca="1" si="53"/>
        <v>5538.9534432320324</v>
      </c>
      <c r="L638" s="444">
        <f t="shared" ca="1" si="54"/>
        <v>1334887.7798189197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1334887.7798189197</v>
      </c>
      <c r="J639" s="444">
        <f t="array" ref="J639">IFERROR(INDEX('Retirement Calculator'!J:J,MATCH('Isaac 401k'!N639,'Retirement Calculator'!A:A,0),0),0)</f>
        <v>7896.2379798201846</v>
      </c>
      <c r="K639" s="444">
        <f t="shared" ca="1" si="53"/>
        <v>5529.131424329581</v>
      </c>
      <c r="L639" s="444">
        <f t="shared" ca="1" si="54"/>
        <v>1332520.673263429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1332520.673263429</v>
      </c>
      <c r="J640" s="444">
        <f t="array" ref="J640">IFERROR(INDEX('Retirement Calculator'!J:J,MATCH('Isaac 401k'!N640,'Retirement Calculator'!A:A,0),0),0)</f>
        <v>7896.2379798201846</v>
      </c>
      <c r="K640" s="444">
        <f t="shared" ca="1" si="53"/>
        <v>5519.2684803483698</v>
      </c>
      <c r="L640" s="444">
        <f t="shared" ca="1" si="54"/>
        <v>1330143.7037639571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1330143.7037639571</v>
      </c>
      <c r="J641" s="444">
        <f t="array" ref="J641">IFERROR(INDEX('Retirement Calculator'!J:J,MATCH('Isaac 401k'!N641,'Retirement Calculator'!A:A,0),0),0)</f>
        <v>7896.2379798201846</v>
      </c>
      <c r="K641" s="444">
        <f t="shared" ca="1" si="53"/>
        <v>5509.3644407672373</v>
      </c>
      <c r="L641" s="444">
        <f t="shared" ca="1" si="54"/>
        <v>1327756.8302249042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1327756.8302249042</v>
      </c>
      <c r="J642" s="444">
        <f t="array" ref="J642">IFERROR(INDEX('Retirement Calculator'!J:J,MATCH('Isaac 401k'!N642,'Retirement Calculator'!A:A,0),0),0)</f>
        <v>7896.2379798201846</v>
      </c>
      <c r="K642" s="444">
        <f t="shared" ca="1" si="53"/>
        <v>5499.4191343545162</v>
      </c>
      <c r="L642" s="444">
        <f t="shared" ca="1" si="54"/>
        <v>1325360.0113794385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1325360.0113794385</v>
      </c>
      <c r="J643" s="444">
        <f t="array" ref="J643">IFERROR(INDEX('Retirement Calculator'!J:J,MATCH('Isaac 401k'!N643,'Retirement Calculator'!A:A,0),0),0)</f>
        <v>7896.2379798201846</v>
      </c>
      <c r="K643" s="444">
        <f t="shared" ca="1" si="53"/>
        <v>5489.4323891650756</v>
      </c>
      <c r="L643" s="444">
        <f t="shared" ca="1" si="54"/>
        <v>1322953.2057887833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1322953.2057887833</v>
      </c>
      <c r="J644" s="444">
        <f t="array" ref="J644">IFERROR(INDEX('Retirement Calculator'!J:J,MATCH('Isaac 401k'!N644,'Retirement Calculator'!A:A,0),0),0)</f>
        <v>7896.2379798201846</v>
      </c>
      <c r="K644" s="444">
        <f t="shared" ca="1" si="53"/>
        <v>5479.4040325373462</v>
      </c>
      <c r="L644" s="444">
        <f t="shared" ca="1" si="54"/>
        <v>1320536.3718415003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1320536.3718415003</v>
      </c>
      <c r="J645" s="444">
        <f t="array" ref="J645">IFERROR(INDEX('Retirement Calculator'!J:J,MATCH('Isaac 401k'!N645,'Retirement Calculator'!A:A,0),0),0)</f>
        <v>7896.2379798201846</v>
      </c>
      <c r="K645" s="444">
        <f t="shared" ca="1" si="53"/>
        <v>5469.3338910903331</v>
      </c>
      <c r="L645" s="444">
        <f t="shared" ca="1" si="54"/>
        <v>1318109.4677527703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1318109.4677527703</v>
      </c>
      <c r="J646" s="444">
        <f t="array" ref="J646">IFERROR(INDEX('Retirement Calculator'!J:J,MATCH('Isaac 401k'!N646,'Retirement Calculator'!A:A,0),0),0)</f>
        <v>7896.2379798201846</v>
      </c>
      <c r="K646" s="444">
        <f t="shared" ca="1" si="53"/>
        <v>5459.221790720625</v>
      </c>
      <c r="L646" s="444">
        <f t="shared" ca="1" si="54"/>
        <v>1315672.4515636708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1315672.4515636708</v>
      </c>
      <c r="J647" s="444">
        <f t="array" ref="J647">IFERROR(INDEX('Retirement Calculator'!J:J,MATCH('Isaac 401k'!N647,'Retirement Calculator'!A:A,0),0),0)</f>
        <v>7896.2379798201846</v>
      </c>
      <c r="K647" s="444">
        <f t="shared" ca="1" si="53"/>
        <v>5449.067556599377</v>
      </c>
      <c r="L647" s="444">
        <f t="shared" ca="1" si="54"/>
        <v>1313225.2811404499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1313225.2811404499</v>
      </c>
      <c r="J648" s="444">
        <f t="array" ref="J648">IFERROR(INDEX('Retirement Calculator'!J:J,MATCH('Isaac 401k'!N648,'Retirement Calculator'!A:A,0),0),0)</f>
        <v>7896.2379798201846</v>
      </c>
      <c r="K648" s="444">
        <f t="shared" ca="1" si="53"/>
        <v>5438.8710131692906</v>
      </c>
      <c r="L648" s="444">
        <f t="shared" ca="1" si="54"/>
        <v>1310767.9141737989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1310767.9141737989</v>
      </c>
      <c r="J649" s="444">
        <f t="array" ref="J649">IFERROR(INDEX('Retirement Calculator'!J:J,MATCH('Isaac 401k'!N649,'Retirement Calculator'!A:A,0),0),0)</f>
        <v>7896.2379798201846</v>
      </c>
      <c r="K649" s="444">
        <f t="shared" ca="1" si="53"/>
        <v>5428.631984141578</v>
      </c>
      <c r="L649" s="444">
        <f t="shared" ca="1" si="54"/>
        <v>1308300.3081781203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1308300.3081781203</v>
      </c>
      <c r="J650" s="444">
        <f t="array" ref="J650">IFERROR(INDEX('Retirement Calculator'!J:J,MATCH('Isaac 401k'!N650,'Retirement Calculator'!A:A,0),0),0)</f>
        <v>7896.2379798201846</v>
      </c>
      <c r="K650" s="444">
        <f t="shared" ca="1" si="53"/>
        <v>5418.3502924929171</v>
      </c>
      <c r="L650" s="444">
        <f t="shared" ca="1" si="54"/>
        <v>1305822.420490793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1305822.420490793</v>
      </c>
      <c r="J651" s="444">
        <f t="array" ref="J651">IFERROR(INDEX('Retirement Calculator'!J:J,MATCH('Isaac 401k'!N651,'Retirement Calculator'!A:A,0),0),0)</f>
        <v>7896.2379798201846</v>
      </c>
      <c r="K651" s="444">
        <f t="shared" ca="1" si="53"/>
        <v>5408.0257604623866</v>
      </c>
      <c r="L651" s="444">
        <f t="shared" ca="1" si="54"/>
        <v>1303334.208271435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1303334.208271435</v>
      </c>
      <c r="J652" s="444">
        <f t="array" ref="J652">IFERROR(INDEX('Retirement Calculator'!J:J,MATCH('Isaac 401k'!N652,'Retirement Calculator'!A:A,0),0),0)</f>
        <v>7896.2379798201846</v>
      </c>
      <c r="K652" s="444">
        <f t="shared" ca="1" si="53"/>
        <v>5397.6582095483946</v>
      </c>
      <c r="L652" s="444">
        <f t="shared" ca="1" si="54"/>
        <v>1300835.6285011631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1300835.6285011631</v>
      </c>
      <c r="J653" s="444">
        <f t="array" ref="J653">IFERROR(INDEX('Retirement Calculator'!J:J,MATCH('Isaac 401k'!N653,'Retirement Calculator'!A:A,0),0),0)</f>
        <v>7896.2379798201846</v>
      </c>
      <c r="K653" s="444">
        <f t="shared" ca="1" si="53"/>
        <v>5387.247460505595</v>
      </c>
      <c r="L653" s="444">
        <f t="shared" ca="1" si="54"/>
        <v>1298326.6379818486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1298326.6379818486</v>
      </c>
      <c r="J654" s="444">
        <f t="array" ref="J654">IFERROR(INDEX('Retirement Calculator'!J:J,MATCH('Isaac 401k'!N654,'Retirement Calculator'!A:A,0),0),0)</f>
        <v>7896.2379798201846</v>
      </c>
      <c r="K654" s="444">
        <f t="shared" ca="1" si="53"/>
        <v>5376.793333341785</v>
      </c>
      <c r="L654" s="444">
        <f t="shared" ca="1" si="54"/>
        <v>1295807.1933353702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1295807.1933353702</v>
      </c>
      <c r="J655" s="444">
        <f t="array" ref="J655">IFERROR(INDEX('Retirement Calculator'!J:J,MATCH('Isaac 401k'!N655,'Retirement Calculator'!A:A,0),0),0)</f>
        <v>7896.2379798201846</v>
      </c>
      <c r="K655" s="444">
        <f t="shared" ca="1" si="53"/>
        <v>5366.2956473147915</v>
      </c>
      <c r="L655" s="444">
        <f t="shared" ca="1" si="54"/>
        <v>1293277.2510028647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1293277.2510028647</v>
      </c>
      <c r="J656" s="444">
        <f t="array" ref="J656">IFERROR(INDEX('Retirement Calculator'!J:J,MATCH('Isaac 401k'!N656,'Retirement Calculator'!A:A,0),0),0)</f>
        <v>7896.2379798201846</v>
      </c>
      <c r="K656" s="444">
        <f t="shared" ca="1" si="53"/>
        <v>5355.7542209293515</v>
      </c>
      <c r="L656" s="444">
        <f t="shared" ca="1" si="54"/>
        <v>1290736.7672439739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1290736.7672439739</v>
      </c>
      <c r="J657" s="444">
        <f t="array" ref="J657">IFERROR(INDEX('Retirement Calculator'!J:J,MATCH('Isaac 401k'!N657,'Retirement Calculator'!A:A,0),0),0)</f>
        <v>7896.2379798201846</v>
      </c>
      <c r="K657" s="444">
        <f t="shared" ca="1" si="53"/>
        <v>5345.1688719339736</v>
      </c>
      <c r="L657" s="444">
        <f t="shared" ca="1" si="54"/>
        <v>1288185.6981360877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1288185.6981360877</v>
      </c>
      <c r="J658" s="444">
        <f t="array" ref="J658">IFERROR(INDEX('Retirement Calculator'!J:J,MATCH('Isaac 401k'!N658,'Retirement Calculator'!A:A,0),0),0)</f>
        <v>7896.2379798201846</v>
      </c>
      <c r="K658" s="444">
        <f t="shared" ca="1" si="53"/>
        <v>5334.539417317781</v>
      </c>
      <c r="L658" s="444">
        <f t="shared" ca="1" si="54"/>
        <v>1285623.9995735853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1285623.9995735853</v>
      </c>
      <c r="J659" s="444">
        <f t="array" ref="J659">IFERROR(INDEX('Retirement Calculator'!J:J,MATCH('Isaac 401k'!N659,'Retirement Calculator'!A:A,0),0),0)</f>
        <v>7896.2379798201846</v>
      </c>
      <c r="K659" s="444">
        <f t="shared" ca="1" si="53"/>
        <v>5323.8656733073549</v>
      </c>
      <c r="L659" s="444">
        <f t="shared" ca="1" si="54"/>
        <v>1283051.6272670724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1283051.6272670724</v>
      </c>
      <c r="J660" s="444">
        <f t="array" ref="J660">IFERROR(INDEX('Retirement Calculator'!J:J,MATCH('Isaac 401k'!N660,'Retirement Calculator'!A:A,0),0),0)</f>
        <v>7896.2379798201846</v>
      </c>
      <c r="K660" s="444">
        <f t="shared" ca="1" si="53"/>
        <v>5313.1474553635508</v>
      </c>
      <c r="L660" s="444">
        <f t="shared" ca="1" si="54"/>
        <v>1280468.5367426157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1280468.5367426157</v>
      </c>
      <c r="J661" s="444">
        <f t="array" ref="J661">IFERROR(INDEX('Retirement Calculator'!J:J,MATCH('Isaac 401k'!N661,'Retirement Calculator'!A:A,0),0),0)</f>
        <v>7896.2379798201846</v>
      </c>
      <c r="K661" s="444">
        <f t="shared" ca="1" si="53"/>
        <v>5302.3845781783148</v>
      </c>
      <c r="L661" s="444">
        <f t="shared" ca="1" si="54"/>
        <v>1277874.6833409739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1277874.6833409739</v>
      </c>
      <c r="J662" s="444">
        <f t="array" ref="J662">IFERROR(INDEX('Retirement Calculator'!J:J,MATCH('Isaac 401k'!N662,'Retirement Calculator'!A:A,0),0),0)</f>
        <v>7896.2379798201846</v>
      </c>
      <c r="K662" s="444">
        <f t="shared" ca="1" si="53"/>
        <v>5291.5768556714738</v>
      </c>
      <c r="L662" s="444">
        <f t="shared" ca="1" si="54"/>
        <v>1275270.022216825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1275270.022216825</v>
      </c>
      <c r="J663" s="444">
        <f t="array" ref="J663">IFERROR(INDEX('Retirement Calculator'!J:J,MATCH('Isaac 401k'!N663,'Retirement Calculator'!A:A,0),0),0)</f>
        <v>7896.2379798201846</v>
      </c>
      <c r="K663" s="444">
        <f t="shared" ca="1" si="53"/>
        <v>5280.7241009875197</v>
      </c>
      <c r="L663" s="444">
        <f t="shared" ca="1" si="54"/>
        <v>1272654.5083379922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1272654.5083379922</v>
      </c>
      <c r="J664" s="444">
        <f t="array" ref="J664">IFERROR(INDEX('Retirement Calculator'!J:J,MATCH('Isaac 401k'!N664,'Retirement Calculator'!A:A,0),0),0)</f>
        <v>7896.2379798201846</v>
      </c>
      <c r="K664" s="444">
        <f t="shared" ca="1" si="53"/>
        <v>5269.8261264923831</v>
      </c>
      <c r="L664" s="444">
        <f t="shared" ca="1" si="54"/>
        <v>1270028.0964846644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1270028.0964846644</v>
      </c>
      <c r="J665" s="444">
        <f t="array" ref="J665">IFERROR(INDEX('Retirement Calculator'!J:J,MATCH('Isaac 401k'!N665,'Retirement Calculator'!A:A,0),0),0)</f>
        <v>7896.2379798201846</v>
      </c>
      <c r="K665" s="444">
        <f t="shared" ca="1" si="53"/>
        <v>5258.8827437701839</v>
      </c>
      <c r="L665" s="444">
        <f t="shared" ca="1" si="54"/>
        <v>1267390.7412486144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1267390.7412486144</v>
      </c>
      <c r="J666" s="444">
        <f t="array" ref="J666">IFERROR(INDEX('Retirement Calculator'!J:J,MATCH('Isaac 401k'!N666,'Retirement Calculator'!A:A,0),0),0)</f>
        <v>7896.2379798201846</v>
      </c>
      <c r="K666" s="444">
        <f t="shared" ca="1" si="53"/>
        <v>5247.8937636199753</v>
      </c>
      <c r="L666" s="444">
        <f t="shared" ca="1" si="54"/>
        <v>1264742.3970324141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1264742.3970324141</v>
      </c>
      <c r="J667" s="444">
        <f t="array" ref="J667">IFERROR(INDEX('Retirement Calculator'!J:J,MATCH('Isaac 401k'!N667,'Retirement Calculator'!A:A,0),0),0)</f>
        <v>7896.2379798201846</v>
      </c>
      <c r="K667" s="444">
        <f t="shared" ca="1" si="53"/>
        <v>5236.8589960524741</v>
      </c>
      <c r="L667" s="444">
        <f t="shared" ca="1" si="54"/>
        <v>1262083.0180486464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1262083.0180486464</v>
      </c>
      <c r="J668" s="444">
        <f t="array" ref="J668">IFERROR(INDEX('Retirement Calculator'!J:J,MATCH('Isaac 401k'!N668,'Retirement Calculator'!A:A,0),0),0)</f>
        <v>7896.2379798201846</v>
      </c>
      <c r="K668" s="444">
        <f t="shared" ca="1" si="53"/>
        <v>5225.7782502867758</v>
      </c>
      <c r="L668" s="444">
        <f t="shared" ca="1" si="54"/>
        <v>1259412.558319113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1259412.558319113</v>
      </c>
      <c r="J669" s="444">
        <f t="array" ref="J669">IFERROR(INDEX('Retirement Calculator'!J:J,MATCH('Isaac 401k'!N669,'Retirement Calculator'!A:A,0),0),0)</f>
        <v>7896.2379798201846</v>
      </c>
      <c r="K669" s="444">
        <f t="shared" ca="1" si="53"/>
        <v>5214.6513347470527</v>
      </c>
      <c r="L669" s="444">
        <f t="shared" ca="1" si="54"/>
        <v>1256730.9716740397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1256730.9716740397</v>
      </c>
      <c r="J670" s="444">
        <f t="array" ref="J670">IFERROR(INDEX('Retirement Calculator'!J:J,MATCH('Isaac 401k'!N670,'Retirement Calculator'!A:A,0),0),0)</f>
        <v>7896.2379798201846</v>
      </c>
      <c r="K670" s="444">
        <f t="shared" ca="1" si="53"/>
        <v>5203.4780570592475</v>
      </c>
      <c r="L670" s="444">
        <f t="shared" ca="1" si="54"/>
        <v>1254038.2117512787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1254038.2117512787</v>
      </c>
      <c r="J671" s="444">
        <f t="array" ref="J671">IFERROR(INDEX('Retirement Calculator'!J:J,MATCH('Isaac 401k'!N671,'Retirement Calculator'!A:A,0),0),0)</f>
        <v>7896.2379798201846</v>
      </c>
      <c r="K671" s="444">
        <f t="shared" ca="1" si="53"/>
        <v>5192.2582240477441</v>
      </c>
      <c r="L671" s="444">
        <f t="shared" ca="1" si="54"/>
        <v>1251334.2319955062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1251334.2319955062</v>
      </c>
      <c r="J672" s="444">
        <f t="array" ref="J672">IFERROR(INDEX('Retirement Calculator'!J:J,MATCH('Isaac 401k'!N672,'Retirement Calculator'!A:A,0),0),0)</f>
        <v>7896.2379798201846</v>
      </c>
      <c r="K672" s="444">
        <f t="shared" ca="1" si="53"/>
        <v>5180.9916417320246</v>
      </c>
      <c r="L672" s="444">
        <f t="shared" ca="1" si="54"/>
        <v>1248618.9856574179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1248618.9856574179</v>
      </c>
      <c r="J673" s="444">
        <f t="array" ref="J673">IFERROR(INDEX('Retirement Calculator'!J:J,MATCH('Isaac 401k'!N673,'Retirement Calculator'!A:A,0),0),0)</f>
        <v>7896.2379798201846</v>
      </c>
      <c r="K673" s="444">
        <f t="shared" ca="1" si="53"/>
        <v>5169.6781153233233</v>
      </c>
      <c r="L673" s="444">
        <f t="shared" ca="1" si="54"/>
        <v>1245892.4257929211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1245892.4257929211</v>
      </c>
      <c r="J674" s="444">
        <f t="array" ref="J674">IFERROR(INDEX('Retirement Calculator'!J:J,MATCH('Isaac 401k'!N674,'Retirement Calculator'!A:A,0),0),0)</f>
        <v>7896.2379798201846</v>
      </c>
      <c r="K674" s="444">
        <f t="shared" ca="1" si="53"/>
        <v>5158.3174492212538</v>
      </c>
      <c r="L674" s="444">
        <f t="shared" ca="1" si="54"/>
        <v>1243154.505262322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1243154.505262322</v>
      </c>
      <c r="J675" s="444">
        <f t="array" ref="J675">IFERROR(INDEX('Retirement Calculator'!J:J,MATCH('Isaac 401k'!N675,'Retirement Calculator'!A:A,0),0),0)</f>
        <v>7896.2379798201846</v>
      </c>
      <c r="K675" s="444">
        <f t="shared" ca="1" si="53"/>
        <v>5146.9094470104237</v>
      </c>
      <c r="L675" s="444">
        <f t="shared" ca="1" si="54"/>
        <v>1240405.1767295122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1240405.1767295122</v>
      </c>
      <c r="J676" s="444">
        <f t="array" ref="J676">IFERROR(INDEX('Retirement Calculator'!J:J,MATCH('Isaac 401k'!N676,'Retirement Calculator'!A:A,0),0),0)</f>
        <v>7896.2379798201846</v>
      </c>
      <c r="K676" s="444">
        <f t="shared" ca="1" si="53"/>
        <v>5135.4539114570498</v>
      </c>
      <c r="L676" s="444">
        <f t="shared" ca="1" si="54"/>
        <v>1237644.3926611489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1237644.3926611489</v>
      </c>
      <c r="J677" s="444">
        <f t="array" ref="J677">IFERROR(INDEX('Retirement Calculator'!J:J,MATCH('Isaac 401k'!N677,'Retirement Calculator'!A:A,0),0),0)</f>
        <v>7896.2379798201846</v>
      </c>
      <c r="K677" s="444">
        <f t="shared" ca="1" si="53"/>
        <v>5123.9506445055358</v>
      </c>
      <c r="L677" s="444">
        <f t="shared" ca="1" si="54"/>
        <v>1234872.1053258341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1234872.1053258341</v>
      </c>
      <c r="J678" s="444">
        <f t="array" ref="J678">IFERROR(INDEX('Retirement Calculator'!J:J,MATCH('Isaac 401k'!N678,'Retirement Calculator'!A:A,0),0),0)</f>
        <v>7896.2379798201846</v>
      </c>
      <c r="K678" s="444">
        <f t="shared" ca="1" si="53"/>
        <v>5112.3994472750583</v>
      </c>
      <c r="L678" s="444">
        <f t="shared" ca="1" si="54"/>
        <v>1232088.266793289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1232088.266793289</v>
      </c>
      <c r="J679" s="444">
        <f t="array" ref="J679">IFERROR(INDEX('Retirement Calculator'!J:J,MATCH('Isaac 401k'!N679,'Retirement Calculator'!A:A,0),0),0)</f>
        <v>7896.2379798201846</v>
      </c>
      <c r="K679" s="444">
        <f t="shared" ca="1" si="53"/>
        <v>5100.8001200561193</v>
      </c>
      <c r="L679" s="444">
        <f t="shared" ca="1" si="54"/>
        <v>1229292.8289335249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1229292.8289335249</v>
      </c>
      <c r="J680" s="444">
        <f t="array" ref="J680">IFERROR(INDEX('Retirement Calculator'!J:J,MATCH('Isaac 401k'!N680,'Retirement Calculator'!A:A,0),0),0)</f>
        <v>7896.2379798201846</v>
      </c>
      <c r="K680" s="444">
        <f t="shared" ca="1" si="53"/>
        <v>5089.1524623071027</v>
      </c>
      <c r="L680" s="444">
        <f t="shared" ca="1" si="54"/>
        <v>1226485.7434160118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1226485.7434160118</v>
      </c>
      <c r="J681" s="444">
        <f t="array" ref="J681">IFERROR(INDEX('Retirement Calculator'!J:J,MATCH('Isaac 401k'!N681,'Retirement Calculator'!A:A,0),0),0)</f>
        <v>7896.2379798201846</v>
      </c>
      <c r="K681" s="444">
        <f t="shared" ca="1" si="53"/>
        <v>5077.4562726507984</v>
      </c>
      <c r="L681" s="444">
        <f t="shared" ca="1" si="54"/>
        <v>1223666.9617088423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1223666.9617088423</v>
      </c>
      <c r="J682" s="444">
        <f t="array" ref="J682">IFERROR(INDEX('Retirement Calculator'!J:J,MATCH('Isaac 401k'!N682,'Retirement Calculator'!A:A,0),0),0)</f>
        <v>7896.2379798201846</v>
      </c>
      <c r="K682" s="444">
        <f t="shared" ca="1" si="53"/>
        <v>5065.7113488709256</v>
      </c>
      <c r="L682" s="444">
        <f t="shared" ca="1" si="54"/>
        <v>1220836.4350778931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1220836.4350778931</v>
      </c>
      <c r="J683" s="444">
        <f t="array" ref="J683">IFERROR(INDEX('Retirement Calculator'!J:J,MATCH('Isaac 401k'!N683,'Retirement Calculator'!A:A,0),0),0)</f>
        <v>7896.2379798201846</v>
      </c>
      <c r="K683" s="444">
        <f t="shared" ca="1" si="53"/>
        <v>5053.9174879086368</v>
      </c>
      <c r="L683" s="444">
        <f t="shared" ca="1" si="54"/>
        <v>1217994.1145859815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1217994.1145859815</v>
      </c>
      <c r="J684" s="444">
        <f t="array" ref="J684">IFERROR(INDEX('Retirement Calculator'!J:J,MATCH('Isaac 401k'!N684,'Retirement Calculator'!A:A,0),0),0)</f>
        <v>7896.2379798201846</v>
      </c>
      <c r="K684" s="444">
        <f t="shared" ca="1" si="53"/>
        <v>5042.0744858590051</v>
      </c>
      <c r="L684" s="444">
        <f t="shared" ca="1" si="54"/>
        <v>1215139.9510920201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1215139.9510920201</v>
      </c>
      <c r="J685" s="444">
        <f t="array" ref="J685">IFERROR(INDEX('Retirement Calculator'!J:J,MATCH('Isaac 401k'!N685,'Retirement Calculator'!A:A,0),0),0)</f>
        <v>7896.2379798201846</v>
      </c>
      <c r="K685" s="444">
        <f t="shared" ca="1" si="53"/>
        <v>5030.1821379674993</v>
      </c>
      <c r="L685" s="444">
        <f t="shared" ca="1" si="54"/>
        <v>1212273.8952501675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1212273.8952501675</v>
      </c>
      <c r="J686" s="444">
        <f t="array" ref="J686">IFERROR(INDEX('Retirement Calculator'!J:J,MATCH('Isaac 401k'!N686,'Retirement Calculator'!A:A,0),0),0)</f>
        <v>7896.2379798201846</v>
      </c>
      <c r="K686" s="444">
        <f t="shared" ca="1" si="53"/>
        <v>5018.2402386264466</v>
      </c>
      <c r="L686" s="444">
        <f t="shared" ca="1" si="54"/>
        <v>1209395.8975089737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1209395.8975089737</v>
      </c>
      <c r="J687" s="444">
        <f t="array" ref="J687">IFERROR(INDEX('Retirement Calculator'!J:J,MATCH('Isaac 401k'!N687,'Retirement Calculator'!A:A,0),0),0)</f>
        <v>7896.2379798201846</v>
      </c>
      <c r="K687" s="444">
        <f t="shared" ca="1" si="53"/>
        <v>5006.2485813714729</v>
      </c>
      <c r="L687" s="444">
        <f t="shared" ca="1" si="54"/>
        <v>1206505.908110525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1206505.908110525</v>
      </c>
      <c r="J688" s="444">
        <f t="array" ref="J688">IFERROR(INDEX('Retirement Calculator'!J:J,MATCH('Isaac 401k'!N688,'Retirement Calculator'!A:A,0),0),0)</f>
        <v>7896.2379798201846</v>
      </c>
      <c r="K688" s="444">
        <f t="shared" ca="1" si="53"/>
        <v>4994.2069588779368</v>
      </c>
      <c r="L688" s="444">
        <f t="shared" ca="1" si="54"/>
        <v>1203603.8770895826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1203603.8770895826</v>
      </c>
      <c r="J689" s="444">
        <f t="array" ref="J689">IFERROR(INDEX('Retirement Calculator'!J:J,MATCH('Isaac 401k'!N689,'Retirement Calculator'!A:A,0),0),0)</f>
        <v>7896.2379798201846</v>
      </c>
      <c r="K689" s="444">
        <f t="shared" ca="1" si="53"/>
        <v>4982.1151629573433</v>
      </c>
      <c r="L689" s="444">
        <f t="shared" ca="1" si="54"/>
        <v>1200689.7542727198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1200689.7542727198</v>
      </c>
      <c r="J690" s="444">
        <f t="array" ref="J690">IFERROR(INDEX('Retirement Calculator'!J:J,MATCH('Isaac 401k'!N690,'Retirement Calculator'!A:A,0),0),0)</f>
        <v>7896.2379798201846</v>
      </c>
      <c r="K690" s="444">
        <f t="shared" ca="1" si="53"/>
        <v>4969.9729845537486</v>
      </c>
      <c r="L690" s="444">
        <f t="shared" ca="1" si="54"/>
        <v>1197763.4892774534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1197763.4892774534</v>
      </c>
      <c r="J691" s="444">
        <f t="array" ref="J691">IFERROR(INDEX('Retirement Calculator'!J:J,MATCH('Isaac 401k'!N691,'Retirement Calculator'!A:A,0),0),0)</f>
        <v>7896.2379798201846</v>
      </c>
      <c r="K691" s="444">
        <f t="shared" ca="1" si="53"/>
        <v>4957.7802137401377</v>
      </c>
      <c r="L691" s="444">
        <f t="shared" ca="1" si="54"/>
        <v>1194825.0315113734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1194825.0315113734</v>
      </c>
      <c r="J692" s="444">
        <f t="array" ref="J692">IFERROR(INDEX('Retirement Calculator'!J:J,MATCH('Isaac 401k'!N692,'Retirement Calculator'!A:A,0),0),0)</f>
        <v>7896.2379798201846</v>
      </c>
      <c r="K692" s="444">
        <f t="shared" ca="1" si="53"/>
        <v>4945.5366397148046</v>
      </c>
      <c r="L692" s="444">
        <f t="shared" ca="1" si="54"/>
        <v>1191874.330171268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1191874.330171268</v>
      </c>
      <c r="J693" s="444">
        <f t="array" ref="J693">IFERROR(INDEX('Retirement Calculator'!J:J,MATCH('Isaac 401k'!N693,'Retirement Calculator'!A:A,0),0),0)</f>
        <v>7896.2379798201846</v>
      </c>
      <c r="K693" s="444">
        <f t="shared" ca="1" si="53"/>
        <v>4933.2420507976985</v>
      </c>
      <c r="L693" s="444">
        <f t="shared" ca="1" si="54"/>
        <v>1188911.3342422454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1188911.3342422454</v>
      </c>
      <c r="J694" s="444">
        <f t="array" ref="J694">IFERROR(INDEX('Retirement Calculator'!J:J,MATCH('Isaac 401k'!N694,'Retirement Calculator'!A:A,0),0),0)</f>
        <v>7896.2379798201846</v>
      </c>
      <c r="K694" s="444">
        <f t="shared" ca="1" si="53"/>
        <v>4920.8962344267711</v>
      </c>
      <c r="L694" s="444">
        <f t="shared" ca="1" si="54"/>
        <v>1185935.9924968521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1185935.9924968521</v>
      </c>
      <c r="J695" s="444">
        <f t="array" ref="J695">IFERROR(INDEX('Retirement Calculator'!J:J,MATCH('Isaac 401k'!N695,'Retirement Calculator'!A:A,0),0),0)</f>
        <v>7896.2379798201846</v>
      </c>
      <c r="K695" s="444">
        <f t="shared" ca="1" si="53"/>
        <v>4908.4989771542996</v>
      </c>
      <c r="L695" s="444">
        <f t="shared" ca="1" si="54"/>
        <v>1182948.2534941861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1182948.2534941861</v>
      </c>
      <c r="J696" s="444">
        <f t="array" ref="J696">IFERROR(INDEX('Retirement Calculator'!J:J,MATCH('Isaac 401k'!N696,'Retirement Calculator'!A:A,0),0),0)</f>
        <v>7896.2379798201846</v>
      </c>
      <c r="K696" s="444">
        <f t="shared" ca="1" si="53"/>
        <v>4896.050064643191</v>
      </c>
      <c r="L696" s="444">
        <f t="shared" ca="1" si="54"/>
        <v>1179948.065579009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1179948.065579009</v>
      </c>
      <c r="J697" s="444">
        <f t="array" ref="J697">IFERROR(INDEX('Retirement Calculator'!J:J,MATCH('Isaac 401k'!N697,'Retirement Calculator'!A:A,0),0),0)</f>
        <v>7896.2379798201846</v>
      </c>
      <c r="K697" s="444">
        <f t="shared" ca="1" si="53"/>
        <v>4883.5492816632868</v>
      </c>
      <c r="L697" s="444">
        <f t="shared" ca="1" si="54"/>
        <v>1176935.376880852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1176935.376880852</v>
      </c>
      <c r="J698" s="444">
        <f t="array" ref="J698">IFERROR(INDEX('Retirement Calculator'!J:J,MATCH('Isaac 401k'!N698,'Retirement Calculator'!A:A,0),0),0)</f>
        <v>7896.2379798201846</v>
      </c>
      <c r="K698" s="444">
        <f t="shared" ca="1" si="53"/>
        <v>4870.9964120876321</v>
      </c>
      <c r="L698" s="444">
        <f t="shared" ca="1" si="54"/>
        <v>1173910.1353131195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1173910.1353131195</v>
      </c>
      <c r="J699" s="444">
        <f t="array" ref="J699">IFERROR(INDEX('Retirement Calculator'!J:J,MATCH('Isaac 401k'!N699,'Retirement Calculator'!A:A,0),0),0)</f>
        <v>7896.2379798201846</v>
      </c>
      <c r="K699" s="444">
        <f t="shared" ca="1" si="53"/>
        <v>4858.3912388887466</v>
      </c>
      <c r="L699" s="444">
        <f t="shared" ca="1" si="54"/>
        <v>1170872.288572188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1170872.288572188</v>
      </c>
      <c r="J700" s="444">
        <f t="array" ref="J700">IFERROR(INDEX('Retirement Calculator'!J:J,MATCH('Isaac 401k'!N700,'Retirement Calculator'!A:A,0),0),0)</f>
        <v>7896.2379798201846</v>
      </c>
      <c r="K700" s="444">
        <f t="shared" ca="1" si="53"/>
        <v>4845.733544134866</v>
      </c>
      <c r="L700" s="444">
        <f t="shared" ca="1" si="54"/>
        <v>1167821.7841365025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1167821.7841365025</v>
      </c>
      <c r="J701" s="444">
        <f t="array" ref="J701">IFERROR(INDEX('Retirement Calculator'!J:J,MATCH('Isaac 401k'!N701,'Retirement Calculator'!A:A,0),0),0)</f>
        <v>7896.2379798201846</v>
      </c>
      <c r="K701" s="444">
        <f t="shared" ca="1" si="53"/>
        <v>4833.0231089861763</v>
      </c>
      <c r="L701" s="444">
        <f t="shared" ca="1" si="54"/>
        <v>1164758.5692656685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1164758.5692656685</v>
      </c>
      <c r="J702" s="444">
        <f t="array" ref="J702">IFERROR(INDEX('Retirement Calculator'!J:J,MATCH('Isaac 401k'!N702,'Retirement Calculator'!A:A,0),0),0)</f>
        <v>7896.2379798201846</v>
      </c>
      <c r="K702" s="444">
        <f t="shared" ca="1" si="53"/>
        <v>4820.2597136910344</v>
      </c>
      <c r="L702" s="444">
        <f t="shared" ca="1" si="54"/>
        <v>1161682.5909995392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1161682.5909995392</v>
      </c>
      <c r="J703" s="444">
        <f t="array" ref="J703">IFERROR(INDEX('Retirement Calculator'!J:J,MATCH('Isaac 401k'!N703,'Retirement Calculator'!A:A,0),0),0)</f>
        <v>7896.2379798201846</v>
      </c>
      <c r="K703" s="444">
        <f t="shared" ca="1" si="53"/>
        <v>4807.4431375821623</v>
      </c>
      <c r="L703" s="444">
        <f t="shared" ca="1" si="54"/>
        <v>1158593.7961573012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1158593.7961573012</v>
      </c>
      <c r="J704" s="444">
        <f t="array" ref="J704">IFERROR(INDEX('Retirement Calculator'!J:J,MATCH('Isaac 401k'!N704,'Retirement Calculator'!A:A,0),0),0)</f>
        <v>7896.2379798201846</v>
      </c>
      <c r="K704" s="444">
        <f t="shared" ca="1" si="53"/>
        <v>4794.5731590728374</v>
      </c>
      <c r="L704" s="444">
        <f t="shared" ca="1" si="54"/>
        <v>1155492.1313365537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1155492.1313365537</v>
      </c>
      <c r="J705" s="444">
        <f t="array" ref="J705">IFERROR(INDEX('Retirement Calculator'!J:J,MATCH('Isaac 401k'!N705,'Retirement Calculator'!A:A,0),0),0)</f>
        <v>7896.2379798201846</v>
      </c>
      <c r="K705" s="444">
        <f t="shared" ca="1" si="53"/>
        <v>4781.6495556530563</v>
      </c>
      <c r="L705" s="444">
        <f t="shared" ca="1" si="54"/>
        <v>1152377.5429123866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1152377.5429123866</v>
      </c>
      <c r="J706" s="444">
        <f t="array" ref="J706">IFERROR(INDEX('Retirement Calculator'!J:J,MATCH('Isaac 401k'!N706,'Retirement Calculator'!A:A,0),0),0)</f>
        <v>7896.2379798201846</v>
      </c>
      <c r="K706" s="444">
        <f t="shared" ca="1" si="53"/>
        <v>4768.6721038856931</v>
      </c>
      <c r="L706" s="444">
        <f t="shared" ca="1" si="54"/>
        <v>1149249.9770364522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1149249.9770364522</v>
      </c>
      <c r="J707" s="444">
        <f t="array" ref="J707">IFERROR(INDEX('Retirement Calculator'!J:J,MATCH('Isaac 401k'!N707,'Retirement Calculator'!A:A,0),0),0)</f>
        <v>7896.2379798201846</v>
      </c>
      <c r="K707" s="444">
        <f t="shared" ca="1" si="53"/>
        <v>4755.6405794026332</v>
      </c>
      <c r="L707" s="444">
        <f t="shared" ca="1" si="54"/>
        <v>1146109.3796360346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1146109.3796360346</v>
      </c>
      <c r="J708" s="444">
        <f t="array" ref="J708">IFERROR(INDEX('Retirement Calculator'!J:J,MATCH('Isaac 401k'!N708,'Retirement Calculator'!A:A,0),0),0)</f>
        <v>7896.2379798201846</v>
      </c>
      <c r="K708" s="444">
        <f t="shared" ca="1" si="53"/>
        <v>4742.5547569008932</v>
      </c>
      <c r="L708" s="444">
        <f t="shared" ca="1" si="54"/>
        <v>1142955.6964131154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1142955.6964131154</v>
      </c>
      <c r="J709" s="444">
        <f t="array" ref="J709">IFERROR(INDEX('Retirement Calculator'!J:J,MATCH('Isaac 401k'!N709,'Retirement Calculator'!A:A,0),0),0)</f>
        <v>7896.2379798201846</v>
      </c>
      <c r="K709" s="444">
        <f t="shared" ca="1" si="53"/>
        <v>4729.4144101387301</v>
      </c>
      <c r="L709" s="444">
        <f t="shared" ca="1" si="54"/>
        <v>1139788.8728434339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1139788.8728434339</v>
      </c>
      <c r="J710" s="444">
        <f t="array" ref="J710">IFERROR(INDEX('Retirement Calculator'!J:J,MATCH('Isaac 401k'!N710,'Retirement Calculator'!A:A,0),0),0)</f>
        <v>7896.2379798201846</v>
      </c>
      <c r="K710" s="444">
        <f t="shared" ca="1" si="53"/>
        <v>4716.2193119317235</v>
      </c>
      <c r="L710" s="444">
        <f t="shared" ca="1" si="54"/>
        <v>1136608.8541755453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1136608.8541755453</v>
      </c>
      <c r="J711" s="444">
        <f t="array" ref="J711">IFERROR(INDEX('Retirement Calculator'!J:J,MATCH('Isaac 401k'!N711,'Retirement Calculator'!A:A,0),0),0)</f>
        <v>7896.2379798201846</v>
      </c>
      <c r="K711" s="444">
        <f t="shared" ca="1" si="53"/>
        <v>4702.9692341488544</v>
      </c>
      <c r="L711" s="444">
        <f t="shared" ca="1" si="54"/>
        <v>1133415.5854298738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1133415.5854298738</v>
      </c>
      <c r="J712" s="444">
        <f t="array" ref="J712">IFERROR(INDEX('Retirement Calculator'!J:J,MATCH('Isaac 401k'!N712,'Retirement Calculator'!A:A,0),0),0)</f>
        <v>7896.2379798201846</v>
      </c>
      <c r="K712" s="444">
        <f t="shared" ca="1" si="53"/>
        <v>4689.6639477085564</v>
      </c>
      <c r="L712" s="444">
        <f t="shared" ca="1" si="54"/>
        <v>1130209.0113977622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1130209.0113977622</v>
      </c>
      <c r="J713" s="444">
        <f t="array" ref="J713">IFERROR(INDEX('Retirement Calculator'!J:J,MATCH('Isaac 401k'!N713,'Retirement Calculator'!A:A,0),0),0)</f>
        <v>7896.2379798201846</v>
      </c>
      <c r="K713" s="444">
        <f t="shared" ca="1" si="53"/>
        <v>4676.3032225747584</v>
      </c>
      <c r="L713" s="444">
        <f t="shared" ca="1" si="54"/>
        <v>1126989.0766405168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1126989.0766405168</v>
      </c>
      <c r="J714" s="444">
        <f t="array" ref="J714">IFERROR(INDEX('Retirement Calculator'!J:J,MATCH('Isaac 401k'!N714,'Retirement Calculator'!A:A,0),0),0)</f>
        <v>7896.2379798201846</v>
      </c>
      <c r="K714" s="444">
        <f t="shared" ca="1" si="53"/>
        <v>4662.8868277529018</v>
      </c>
      <c r="L714" s="444">
        <f t="shared" ca="1" si="54"/>
        <v>1123755.7254884494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1123755.7254884494</v>
      </c>
      <c r="J715" s="444">
        <f t="array" ref="J715">IFERROR(INDEX('Retirement Calculator'!J:J,MATCH('Isaac 401k'!N715,'Retirement Calculator'!A:A,0),0),0)</f>
        <v>7896.2379798201846</v>
      </c>
      <c r="K715" s="444">
        <f t="shared" ca="1" si="53"/>
        <v>4649.4145312859546</v>
      </c>
      <c r="L715" s="444">
        <f t="shared" ca="1" si="54"/>
        <v>1120508.9020399151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1120508.9020399151</v>
      </c>
      <c r="J716" s="444">
        <f t="array" ref="J716">IFERROR(INDEX('Retirement Calculator'!J:J,MATCH('Isaac 401k'!N716,'Retirement Calculator'!A:A,0),0),0)</f>
        <v>7896.2379798201846</v>
      </c>
      <c r="K716" s="444">
        <f t="shared" ca="1" si="53"/>
        <v>4635.8861002503954</v>
      </c>
      <c r="L716" s="444">
        <f t="shared" ca="1" si="54"/>
        <v>1117248.5501603452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1117248.5501603452</v>
      </c>
      <c r="J717" s="444">
        <f t="array" ref="J717">IFERROR(INDEX('Retirement Calculator'!J:J,MATCH('Isaac 401k'!N717,'Retirement Calculator'!A:A,0),0),0)</f>
        <v>7896.2379798201846</v>
      </c>
      <c r="K717" s="444">
        <f t="shared" ca="1" si="53"/>
        <v>4622.3013007521868</v>
      </c>
      <c r="L717" s="444">
        <f t="shared" ca="1" si="54"/>
        <v>1113974.6134812771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1113974.6134812771</v>
      </c>
      <c r="J718" s="444">
        <f t="array" ref="J718">IFERROR(INDEX('Retirement Calculator'!J:J,MATCH('Isaac 401k'!N718,'Retirement Calculator'!A:A,0),0),0)</f>
        <v>7896.2379798201846</v>
      </c>
      <c r="K718" s="444">
        <f t="shared" ca="1" si="53"/>
        <v>4608.6598979227374</v>
      </c>
      <c r="L718" s="444">
        <f t="shared" ca="1" si="54"/>
        <v>1110687.0353993797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1110687.0353993797</v>
      </c>
      <c r="J719" s="444">
        <f t="array" ref="J719">IFERROR(INDEX('Retirement Calculator'!J:J,MATCH('Isaac 401k'!N719,'Retirement Calculator'!A:A,0),0),0)</f>
        <v>7896.2379798201846</v>
      </c>
      <c r="K719" s="444">
        <f t="shared" ca="1" si="53"/>
        <v>4594.9616559148308</v>
      </c>
      <c r="L719" s="444">
        <f t="shared" ca="1" si="54"/>
        <v>1107385.7590754742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1107385.7590754742</v>
      </c>
      <c r="J720" s="444">
        <f t="array" ref="J720">IFERROR(INDEX('Retirement Calculator'!J:J,MATCH('Isaac 401k'!N720,'Retirement Calculator'!A:A,0),0),0)</f>
        <v>7896.2379798201846</v>
      </c>
      <c r="K720" s="444">
        <f t="shared" ca="1" si="53"/>
        <v>4581.2063378985586</v>
      </c>
      <c r="L720" s="444">
        <f t="shared" ca="1" si="54"/>
        <v>1104070.7274335525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1104070.7274335525</v>
      </c>
      <c r="J721" s="444">
        <f t="array" ref="J721">IFERROR(INDEX('Retirement Calculator'!J:J,MATCH('Isaac 401k'!N721,'Retirement Calculator'!A:A,0),0),0)</f>
        <v>7896.2379798201846</v>
      </c>
      <c r="K721" s="444">
        <f t="shared" ca="1" si="53"/>
        <v>4567.393706057218</v>
      </c>
      <c r="L721" s="444">
        <f t="shared" ca="1" si="54"/>
        <v>1100741.8831597895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1100741.8831597895</v>
      </c>
      <c r="J722" s="444">
        <f t="array" ref="J722">IFERROR(INDEX('Retirement Calculator'!J:J,MATCH('Isaac 401k'!N722,'Retirement Calculator'!A:A,0),0),0)</f>
        <v>7896.2379798201846</v>
      </c>
      <c r="K722" s="444">
        <f t="shared" ca="1" si="53"/>
        <v>4553.5235215832054</v>
      </c>
      <c r="L722" s="444">
        <f t="shared" ca="1" si="54"/>
        <v>1097399.1687015526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1097399.1687015526</v>
      </c>
      <c r="J723" s="444">
        <f t="array" ref="J723">IFERROR(INDEX('Retirement Calculator'!J:J,MATCH('Isaac 401k'!N723,'Retirement Calculator'!A:A,0),0),0)</f>
        <v>7896.2379798201846</v>
      </c>
      <c r="K723" s="444">
        <f t="shared" ca="1" si="53"/>
        <v>4539.5955446738844</v>
      </c>
      <c r="L723" s="444">
        <f t="shared" ca="1" si="54"/>
        <v>1094042.5262664063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1094042.5262664063</v>
      </c>
      <c r="J724" s="444">
        <f t="array" ref="J724">IFERROR(INDEX('Retirement Calculator'!J:J,MATCH('Isaac 401k'!N724,'Retirement Calculator'!A:A,0),0),0)</f>
        <v>7896.2379798201846</v>
      </c>
      <c r="K724" s="444">
        <f t="shared" ca="1" si="53"/>
        <v>4525.6095345274416</v>
      </c>
      <c r="L724" s="444">
        <f t="shared" ca="1" si="54"/>
        <v>1090671.8978211135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1090671.8978211135</v>
      </c>
      <c r="J725" s="444">
        <f t="array" ref="J725">IFERROR(INDEX('Retirement Calculator'!J:J,MATCH('Isaac 401k'!N725,'Retirement Calculator'!A:A,0),0),0)</f>
        <v>7896.2379798201846</v>
      </c>
      <c r="K725" s="444">
        <f t="shared" ca="1" si="53"/>
        <v>4511.5652493387215</v>
      </c>
      <c r="L725" s="444">
        <f t="shared" ca="1" si="54"/>
        <v>1087287.225090632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1087287.225090632</v>
      </c>
      <c r="J726" s="444">
        <f t="array" ref="J726">IFERROR(INDEX('Retirement Calculator'!J:J,MATCH('Isaac 401k'!N726,'Retirement Calculator'!A:A,0),0),0)</f>
        <v>7896.2379798201846</v>
      </c>
      <c r="K726" s="444">
        <f t="shared" ca="1" si="53"/>
        <v>4497.4624462950487</v>
      </c>
      <c r="L726" s="444">
        <f t="shared" ca="1" si="54"/>
        <v>1083888.4495571067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1083888.4495571067</v>
      </c>
      <c r="J727" s="444">
        <f t="array" ref="J727">IFERROR(INDEX('Retirement Calculator'!J:J,MATCH('Isaac 401k'!N727,'Retirement Calculator'!A:A,0),0),0)</f>
        <v>7896.2379798201846</v>
      </c>
      <c r="K727" s="444">
        <f t="shared" ca="1" si="53"/>
        <v>4483.3008815720268</v>
      </c>
      <c r="L727" s="444">
        <f t="shared" ca="1" si="54"/>
        <v>1080475.5124588585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1080475.5124588585</v>
      </c>
      <c r="J728" s="444">
        <f t="array" ref="J728">IFERROR(INDEX('Retirement Calculator'!J:J,MATCH('Isaac 401k'!N728,'Retirement Calculator'!A:A,0),0),0)</f>
        <v>7896.2379798201846</v>
      </c>
      <c r="K728" s="444">
        <f t="shared" ca="1" si="53"/>
        <v>4469.0803103293265</v>
      </c>
      <c r="L728" s="444">
        <f t="shared" ca="1" si="54"/>
        <v>1077048.3547893676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1077048.3547893676</v>
      </c>
      <c r="J729" s="444">
        <f t="array" ref="J729">IFERROR(INDEX('Retirement Calculator'!J:J,MATCH('Isaac 401k'!N729,'Retirement Calculator'!A:A,0),0),0)</f>
        <v>7896.2379798201846</v>
      </c>
      <c r="K729" s="444">
        <f t="shared" ca="1" si="53"/>
        <v>4454.8004867064474</v>
      </c>
      <c r="L729" s="444">
        <f t="shared" ca="1" si="54"/>
        <v>1073606.9172962538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1073606.9172962538</v>
      </c>
      <c r="J730" s="444">
        <f t="array" ref="J730">IFERROR(INDEX('Retirement Calculator'!J:J,MATCH('Isaac 401k'!N730,'Retirement Calculator'!A:A,0),0),0)</f>
        <v>7896.2379798201846</v>
      </c>
      <c r="K730" s="444">
        <f t="shared" ca="1" si="53"/>
        <v>4440.4611638184733</v>
      </c>
      <c r="L730" s="444">
        <f t="shared" ca="1" si="54"/>
        <v>1070151.140480252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1070151.140480252</v>
      </c>
      <c r="J731" s="444">
        <f t="array" ref="J731">IFERROR(INDEX('Retirement Calculator'!J:J,MATCH('Isaac 401k'!N731,'Retirement Calculator'!A:A,0),0),0)</f>
        <v>7896.2379798201846</v>
      </c>
      <c r="K731" s="444">
        <f t="shared" ca="1" si="53"/>
        <v>4426.0620937517988</v>
      </c>
      <c r="L731" s="444">
        <f t="shared" ca="1" si="54"/>
        <v>1066680.9645941835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1066680.9645941835</v>
      </c>
      <c r="J732" s="444">
        <f t="array" ref="J732">IFERROR(INDEX('Retirement Calculator'!J:J,MATCH('Isaac 401k'!N732,'Retirement Calculator'!A:A,0),0),0)</f>
        <v>7896.2379798201846</v>
      </c>
      <c r="K732" s="444">
        <f t="shared" ca="1" si="53"/>
        <v>4411.6030275598469</v>
      </c>
      <c r="L732" s="444">
        <f t="shared" ca="1" si="54"/>
        <v>1063196.3296419231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1063196.3296419231</v>
      </c>
      <c r="J733" s="444">
        <f t="array" ref="J733">IFERROR(INDEX('Retirement Calculator'!J:J,MATCH('Isaac 401k'!N733,'Retirement Calculator'!A:A,0),0),0)</f>
        <v>7896.2379798201846</v>
      </c>
      <c r="K733" s="444">
        <f t="shared" ca="1" si="53"/>
        <v>4397.0837152587619</v>
      </c>
      <c r="L733" s="444">
        <f t="shared" ca="1" si="54"/>
        <v>1059697.1753773617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1059697.1753773617</v>
      </c>
      <c r="J734" s="444">
        <f t="array" ref="J734">IFERROR(INDEX('Retirement Calculator'!J:J,MATCH('Isaac 401k'!N734,'Retirement Calculator'!A:A,0),0),0)</f>
        <v>7896.2379798201846</v>
      </c>
      <c r="K734" s="444">
        <f t="shared" ca="1" si="53"/>
        <v>4382.5039058230896</v>
      </c>
      <c r="L734" s="444">
        <f t="shared" ca="1" si="54"/>
        <v>1056183.4413033645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1056183.4413033645</v>
      </c>
      <c r="J735" s="444">
        <f t="array" ref="J735">IFERROR(INDEX('Retirement Calculator'!J:J,MATCH('Isaac 401k'!N735,'Retirement Calculator'!A:A,0),0),0)</f>
        <v>7896.2379798201846</v>
      </c>
      <c r="K735" s="444">
        <f t="shared" ca="1" si="53"/>
        <v>4367.8633471814346</v>
      </c>
      <c r="L735" s="444">
        <f t="shared" ca="1" si="54"/>
        <v>1052655.0666707256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1052655.0666707256</v>
      </c>
      <c r="J736" s="444">
        <f t="array" ref="J736">IFERROR(INDEX('Retirement Calculator'!J:J,MATCH('Isaac 401k'!N736,'Retirement Calculator'!A:A,0),0),0)</f>
        <v>7896.2379798201846</v>
      </c>
      <c r="K736" s="444">
        <f t="shared" ca="1" si="53"/>
        <v>4353.1617862121057</v>
      </c>
      <c r="L736" s="444">
        <f t="shared" ca="1" si="54"/>
        <v>1049111.9904771175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1049111.9904771175</v>
      </c>
      <c r="J737" s="444">
        <f t="array" ref="J737">IFERROR(INDEX('Retirement Calculator'!J:J,MATCH('Isaac 401k'!N737,'Retirement Calculator'!A:A,0),0),0)</f>
        <v>7896.2379798201846</v>
      </c>
      <c r="K737" s="444">
        <f t="shared" ca="1" si="53"/>
        <v>4338.3989687387393</v>
      </c>
      <c r="L737" s="444">
        <f t="shared" ca="1" si="54"/>
        <v>1045554.151466036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1045554.151466036</v>
      </c>
      <c r="J738" s="444">
        <f t="array" ref="J738">IFERROR(INDEX('Retirement Calculator'!J:J,MATCH('Isaac 401k'!N738,'Retirement Calculator'!A:A,0),0),0)</f>
        <v>7896.2379798201846</v>
      </c>
      <c r="K738" s="444">
        <f t="shared" ca="1" si="53"/>
        <v>4323.5746395258993</v>
      </c>
      <c r="L738" s="444">
        <f t="shared" ca="1" si="54"/>
        <v>1041981.4881257416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1041981.4881257416</v>
      </c>
      <c r="J739" s="444">
        <f t="array" ref="J739">IFERROR(INDEX('Retirement Calculator'!J:J,MATCH('Isaac 401k'!N739,'Retirement Calculator'!A:A,0),0),0)</f>
        <v>7896.2379798201846</v>
      </c>
      <c r="K739" s="444">
        <f t="shared" ca="1" si="53"/>
        <v>4308.6885422746727</v>
      </c>
      <c r="L739" s="444">
        <f t="shared" ca="1" si="54"/>
        <v>1038393.938688196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1038393.938688196</v>
      </c>
      <c r="J740" s="444">
        <f t="array" ref="J740">IFERROR(INDEX('Retirement Calculator'!J:J,MATCH('Isaac 401k'!N740,'Retirement Calculator'!A:A,0),0),0)</f>
        <v>7896.2379798201846</v>
      </c>
      <c r="K740" s="444">
        <f t="shared" ca="1" si="53"/>
        <v>4293.7404196182324</v>
      </c>
      <c r="L740" s="444">
        <f t="shared" ca="1" si="54"/>
        <v>1034791.441127994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1034791.441127994</v>
      </c>
      <c r="J741" s="444">
        <f t="array" ref="J741">IFERROR(INDEX('Retirement Calculator'!J:J,MATCH('Isaac 401k'!N741,'Retirement Calculator'!A:A,0),0),0)</f>
        <v>7896.2379798201846</v>
      </c>
      <c r="K741" s="444">
        <f t="shared" ca="1" si="53"/>
        <v>4278.7300131173906</v>
      </c>
      <c r="L741" s="444">
        <f t="shared" ca="1" si="54"/>
        <v>1031173.9331612912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1031173.9331612912</v>
      </c>
      <c r="J742" s="444">
        <f t="array" ref="J742">IFERROR(INDEX('Retirement Calculator'!J:J,MATCH('Isaac 401k'!N742,'Retirement Calculator'!A:A,0),0),0)</f>
        <v>7896.2379798201846</v>
      </c>
      <c r="K742" s="444">
        <f t="shared" ca="1" si="53"/>
        <v>4263.6570632561288</v>
      </c>
      <c r="L742" s="444">
        <f t="shared" ca="1" si="54"/>
        <v>1027541.3522447271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1027541.3522447271</v>
      </c>
      <c r="J743" s="444">
        <f t="array" ref="J743">IFERROR(INDEX('Retirement Calculator'!J:J,MATCH('Isaac 401k'!N743,'Retirement Calculator'!A:A,0),0),0)</f>
        <v>7896.2379798201846</v>
      </c>
      <c r="K743" s="444">
        <f t="shared" ca="1" si="53"/>
        <v>4248.5213094371111</v>
      </c>
      <c r="L743" s="444">
        <f t="shared" ca="1" si="54"/>
        <v>1023893.635574344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1023893.635574344</v>
      </c>
      <c r="J744" s="444">
        <f t="array" ref="J744">IFERROR(INDEX('Retirement Calculator'!J:J,MATCH('Isaac 401k'!N744,'Retirement Calculator'!A:A,0),0),0)</f>
        <v>7896.2379798201846</v>
      </c>
      <c r="K744" s="444">
        <f t="shared" ca="1" si="53"/>
        <v>4233.3224899771822</v>
      </c>
      <c r="L744" s="444">
        <f t="shared" ca="1" si="54"/>
        <v>1020230.720084501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1020230.720084501</v>
      </c>
      <c r="J745" s="444">
        <f t="array" ref="J745">IFERROR(INDEX('Retirement Calculator'!J:J,MATCH('Isaac 401k'!N745,'Retirement Calculator'!A:A,0),0),0)</f>
        <v>7896.2379798201846</v>
      </c>
      <c r="K745" s="444">
        <f t="shared" ca="1" si="53"/>
        <v>4218.0603421028363</v>
      </c>
      <c r="L745" s="444">
        <f t="shared" ca="1" si="54"/>
        <v>1016552.5424467836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1016552.5424467836</v>
      </c>
      <c r="J746" s="444">
        <f t="array" ref="J746">IFERROR(INDEX('Retirement Calculator'!J:J,MATCH('Isaac 401k'!N746,'Retirement Calculator'!A:A,0),0),0)</f>
        <v>7896.2379798201846</v>
      </c>
      <c r="K746" s="444">
        <f t="shared" ca="1" si="53"/>
        <v>4202.7346019456809</v>
      </c>
      <c r="L746" s="444">
        <f t="shared" ca="1" si="54"/>
        <v>1012859.0390689091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1012859.0390689091</v>
      </c>
      <c r="J747" s="444">
        <f t="array" ref="J747">IFERROR(INDEX('Retirement Calculator'!J:J,MATCH('Isaac 401k'!N747,'Retirement Calculator'!A:A,0),0),0)</f>
        <v>7896.2379798201846</v>
      </c>
      <c r="K747" s="444">
        <f t="shared" ca="1" si="53"/>
        <v>4187.3450045378704</v>
      </c>
      <c r="L747" s="444">
        <f t="shared" ca="1" si="54"/>
        <v>1009150.1460936267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1009150.1460936267</v>
      </c>
      <c r="J748" s="444">
        <f t="array" ref="J748">IFERROR(INDEX('Retirement Calculator'!J:J,MATCH('Isaac 401k'!N748,'Retirement Calculator'!A:A,0),0),0)</f>
        <v>7896.2379798201846</v>
      </c>
      <c r="K748" s="444">
        <f t="shared" ca="1" si="53"/>
        <v>4171.8912838075266</v>
      </c>
      <c r="L748" s="444">
        <f t="shared" ca="1" si="54"/>
        <v>1005425.7993976141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1005425.7993976141</v>
      </c>
      <c r="J749" s="444">
        <f t="array" ref="J749">IFERROR(INDEX('Retirement Calculator'!J:J,MATCH('Isaac 401k'!N749,'Retirement Calculator'!A:A,0),0),0)</f>
        <v>7896.2379798201846</v>
      </c>
      <c r="K749" s="444">
        <f t="shared" ca="1" si="53"/>
        <v>4156.3731725741418</v>
      </c>
      <c r="L749" s="444">
        <f t="shared" ca="1" si="54"/>
        <v>1001685.9345903679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1001685.9345903679</v>
      </c>
      <c r="J750" s="444">
        <f t="array" ref="J750">IFERROR(INDEX('Retirement Calculator'!J:J,MATCH('Isaac 401k'!N750,'Retirement Calculator'!A:A,0),0),0)</f>
        <v>7896.2379798201846</v>
      </c>
      <c r="K750" s="444">
        <f t="shared" ca="1" si="53"/>
        <v>4140.7904025439484</v>
      </c>
      <c r="L750" s="444">
        <f t="shared" ca="1" si="54"/>
        <v>997930.48701309168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997930.48701309168</v>
      </c>
      <c r="J751" s="444">
        <f t="array" ref="J751">IFERROR(INDEX('Retirement Calculator'!J:J,MATCH('Isaac 401k'!N751,'Retirement Calculator'!A:A,0),0),0)</f>
        <v>7896.2379798201846</v>
      </c>
      <c r="K751" s="444">
        <f t="shared" ca="1" si="53"/>
        <v>4125.1427043052972</v>
      </c>
      <c r="L751" s="444">
        <f t="shared" ca="1" si="54"/>
        <v>994159.39173757681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994159.39173757681</v>
      </c>
      <c r="J752" s="444">
        <f t="array" ref="J752">IFERROR(INDEX('Retirement Calculator'!J:J,MATCH('Isaac 401k'!N752,'Retirement Calculator'!A:A,0),0),0)</f>
        <v>7896.2379798201846</v>
      </c>
      <c r="K752" s="444">
        <f t="shared" ca="1" si="53"/>
        <v>4109.4298073239852</v>
      </c>
      <c r="L752" s="444">
        <f t="shared" ca="1" si="54"/>
        <v>990372.58356508054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990372.58356508054</v>
      </c>
      <c r="J753" s="444">
        <f t="array" ref="J753">IFERROR(INDEX('Retirement Calculator'!J:J,MATCH('Isaac 401k'!N753,'Retirement Calculator'!A:A,0),0),0)</f>
        <v>7896.2379798201846</v>
      </c>
      <c r="K753" s="444">
        <f t="shared" ca="1" si="53"/>
        <v>4093.6514399385842</v>
      </c>
      <c r="L753" s="444">
        <f t="shared" ca="1" si="54"/>
        <v>986569.99702519889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986569.99702519889</v>
      </c>
      <c r="J754" s="444">
        <f t="array" ref="J754">IFERROR(INDEX('Retirement Calculator'!J:J,MATCH('Isaac 401k'!N754,'Retirement Calculator'!A:A,0),0),0)</f>
        <v>7896.2379798201846</v>
      </c>
      <c r="K754" s="444">
        <f t="shared" ca="1" si="53"/>
        <v>4077.8073293557441</v>
      </c>
      <c r="L754" s="444">
        <f t="shared" ca="1" si="54"/>
        <v>982751.56637473439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982751.56637473439</v>
      </c>
      <c r="J755" s="444">
        <f t="array" ref="J755">IFERROR(INDEX('Retirement Calculator'!J:J,MATCH('Isaac 401k'!N755,'Retirement Calculator'!A:A,0),0),0)</f>
        <v>7896.2379798201846</v>
      </c>
      <c r="K755" s="444">
        <f t="shared" ca="1" si="53"/>
        <v>4061.8972016454754</v>
      </c>
      <c r="L755" s="444">
        <f t="shared" ca="1" si="54"/>
        <v>978917.22559655958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978917.22559655958</v>
      </c>
      <c r="J756" s="444">
        <f t="array" ref="J756">IFERROR(INDEX('Retirement Calculator'!J:J,MATCH('Isaac 401k'!N756,'Retirement Calculator'!A:A,0),0),0)</f>
        <v>7896.2379798201846</v>
      </c>
      <c r="K756" s="444">
        <f t="shared" ca="1" si="53"/>
        <v>4045.9207817364136</v>
      </c>
      <c r="L756" s="444">
        <f t="shared" ca="1" si="54"/>
        <v>975066.90839847573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975066.90839847573</v>
      </c>
      <c r="J757" s="444">
        <f t="array" ref="J757">IFERROR(INDEX('Retirement Calculator'!J:J,MATCH('Isaac 401k'!N757,'Retirement Calculator'!A:A,0),0),0)</f>
        <v>7896.2379798201846</v>
      </c>
      <c r="K757" s="444">
        <f t="shared" ca="1" si="53"/>
        <v>4029.8777934110644</v>
      </c>
      <c r="L757" s="444">
        <f t="shared" ca="1" si="54"/>
        <v>971200.54821206653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971200.54821206653</v>
      </c>
      <c r="J758" s="444">
        <f t="array" ref="J758">IFERROR(INDEX('Retirement Calculator'!J:J,MATCH('Isaac 401k'!N758,'Retirement Calculator'!A:A,0),0),0)</f>
        <v>7896.2379798201846</v>
      </c>
      <c r="K758" s="444">
        <f t="shared" ca="1" si="53"/>
        <v>4013.7679593010262</v>
      </c>
      <c r="L758" s="444">
        <f t="shared" ca="1" si="54"/>
        <v>967318.07819154731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967318.07819154731</v>
      </c>
      <c r="J759" s="444">
        <f t="array" ref="J759">IFERROR(INDEX('Retirement Calculator'!J:J,MATCH('Isaac 401k'!N759,'Retirement Calculator'!A:A,0),0),0)</f>
        <v>7896.2379798201846</v>
      </c>
      <c r="K759" s="444">
        <f t="shared" ca="1" si="53"/>
        <v>3997.5910008821961</v>
      </c>
      <c r="L759" s="444">
        <f t="shared" ca="1" si="54"/>
        <v>963419.43121260928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963419.43121260928</v>
      </c>
      <c r="J760" s="444">
        <f t="array" ref="J760">IFERROR(INDEX('Retirement Calculator'!J:J,MATCH('Isaac 401k'!N760,'Retirement Calculator'!A:A,0),0),0)</f>
        <v>7896.2379798201846</v>
      </c>
      <c r="K760" s="444">
        <f t="shared" ca="1" si="53"/>
        <v>3981.3466384699536</v>
      </c>
      <c r="L760" s="444">
        <f t="shared" ca="1" si="54"/>
        <v>959504.53987125901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959504.53987125901</v>
      </c>
      <c r="J761" s="444">
        <f t="array" ref="J761">IFERROR(INDEX('Retirement Calculator'!J:J,MATCH('Isaac 401k'!N761,'Retirement Calculator'!A:A,0),0),0)</f>
        <v>7896.2379798201846</v>
      </c>
      <c r="K761" s="444">
        <f t="shared" ca="1" si="53"/>
        <v>3965.034591214328</v>
      </c>
      <c r="L761" s="444">
        <f t="shared" ca="1" si="54"/>
        <v>955573.33648265316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955573.33648265316</v>
      </c>
      <c r="J762" s="444">
        <f t="array" ref="J762">IFERROR(INDEX('Retirement Calculator'!J:J,MATCH('Isaac 401k'!N762,'Retirement Calculator'!A:A,0),0),0)</f>
        <v>7896.2379798201846</v>
      </c>
      <c r="K762" s="444">
        <f t="shared" ca="1" si="53"/>
        <v>3948.654577095137</v>
      </c>
      <c r="L762" s="444">
        <f t="shared" ca="1" si="54"/>
        <v>951625.75307992811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951625.75307992811</v>
      </c>
      <c r="J763" s="444">
        <f t="array" ref="J763">IFERROR(INDEX('Retirement Calculator'!J:J,MATCH('Isaac 401k'!N763,'Retirement Calculator'!A:A,0),0),0)</f>
        <v>7896.2379798201846</v>
      </c>
      <c r="K763" s="444">
        <f t="shared" ca="1" si="53"/>
        <v>3932.2063129171165</v>
      </c>
      <c r="L763" s="444">
        <f t="shared" ca="1" si="54"/>
        <v>947661.72141302505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947661.72141302505</v>
      </c>
      <c r="J764" s="444">
        <f t="array" ref="J764">IFERROR(INDEX('Retirement Calculator'!J:J,MATCH('Isaac 401k'!N764,'Retirement Calculator'!A:A,0),0),0)</f>
        <v>7896.2379798201846</v>
      </c>
      <c r="K764" s="444">
        <f t="shared" ca="1" si="53"/>
        <v>3915.6895143050201</v>
      </c>
      <c r="L764" s="444">
        <f t="shared" ca="1" si="54"/>
        <v>943681.1729475098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943681.1729475098</v>
      </c>
      <c r="J765" s="444">
        <f t="array" ref="J765">IFERROR(INDEX('Retirement Calculator'!J:J,MATCH('Isaac 401k'!N765,'Retirement Calculator'!A:A,0),0),0)</f>
        <v>7896.2379798201846</v>
      </c>
      <c r="K765" s="444">
        <f t="shared" ca="1" si="53"/>
        <v>3899.1038956987063</v>
      </c>
      <c r="L765" s="444">
        <f t="shared" ca="1" si="54"/>
        <v>939684.03886338824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939684.03886338824</v>
      </c>
      <c r="J766" s="444">
        <f t="array" ref="J766">IFERROR(INDEX('Retirement Calculator'!J:J,MATCH('Isaac 401k'!N766,'Retirement Calculator'!A:A,0),0),0)</f>
        <v>7896.2379798201846</v>
      </c>
      <c r="K766" s="444">
        <f t="shared" ca="1" si="53"/>
        <v>3882.4491703481999</v>
      </c>
      <c r="L766" s="444">
        <f t="shared" ca="1" si="54"/>
        <v>935670.25005391624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935670.25005391624</v>
      </c>
      <c r="J767" s="444">
        <f t="array" ref="J767">IFERROR(INDEX('Retirement Calculator'!J:J,MATCH('Isaac 401k'!N767,'Retirement Calculator'!A:A,0),0),0)</f>
        <v>7896.2379798201846</v>
      </c>
      <c r="K767" s="444">
        <f t="shared" ca="1" si="53"/>
        <v>3865.7250503087334</v>
      </c>
      <c r="L767" s="444">
        <f t="shared" ca="1" si="54"/>
        <v>931639.73712440475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931639.73712440475</v>
      </c>
      <c r="J768" s="444">
        <f t="array" ref="J768">IFERROR(INDEX('Retirement Calculator'!J:J,MATCH('Isaac 401k'!N768,'Retirement Calculator'!A:A,0),0),0)</f>
        <v>7896.2379798201846</v>
      </c>
      <c r="K768" s="444">
        <f t="shared" ca="1" si="53"/>
        <v>3848.9312464357686</v>
      </c>
      <c r="L768" s="444">
        <f t="shared" ca="1" si="54"/>
        <v>927592.43039102026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927592.43039102026</v>
      </c>
      <c r="J769" s="444">
        <f t="array" ref="J769">IFERROR(INDEX('Retirement Calculator'!J:J,MATCH('Isaac 401k'!N769,'Retirement Calculator'!A:A,0),0),0)</f>
        <v>7896.2379798201846</v>
      </c>
      <c r="K769" s="444">
        <f t="shared" ca="1" si="53"/>
        <v>3832.0674683799994</v>
      </c>
      <c r="L769" s="444">
        <f t="shared" ca="1" si="54"/>
        <v>923528.25987958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923528.25987958</v>
      </c>
      <c r="J770" s="444">
        <f t="array" ref="J770">IFERROR(INDEX('Retirement Calculator'!J:J,MATCH('Isaac 401k'!N770,'Retirement Calculator'!A:A,0),0),0)</f>
        <v>7896.2379798201846</v>
      </c>
      <c r="K770" s="444">
        <f t="shared" ca="1" si="53"/>
        <v>3815.1334245823318</v>
      </c>
      <c r="L770" s="444">
        <f t="shared" ca="1" si="54"/>
        <v>919447.15532434208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919447.15532434208</v>
      </c>
      <c r="J771" s="444">
        <f t="array" ref="J771">IFERROR(INDEX('Retirement Calculator'!J:J,MATCH('Isaac 401k'!N771,'Retirement Calculator'!A:A,0),0),0)</f>
        <v>7896.2379798201846</v>
      </c>
      <c r="K771" s="444">
        <f t="shared" ca="1" si="53"/>
        <v>3798.1288222688404</v>
      </c>
      <c r="L771" s="444">
        <f t="shared" ca="1" si="54"/>
        <v>915349.04616679065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915349.04616679065</v>
      </c>
      <c r="J772" s="444">
        <f t="array" ref="J772">IFERROR(INDEX('Retirement Calculator'!J:J,MATCH('Isaac 401k'!N772,'Retirement Calculator'!A:A,0),0),0)</f>
        <v>7896.2379798201846</v>
      </c>
      <c r="K772" s="444">
        <f t="shared" ca="1" si="53"/>
        <v>3781.0533674457101</v>
      </c>
      <c r="L772" s="444">
        <f t="shared" ca="1" si="54"/>
        <v>911233.86155441613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911233.86155441613</v>
      </c>
      <c r="J773" s="444">
        <f t="array" ref="J773">IFERROR(INDEX('Retirement Calculator'!J:J,MATCH('Isaac 401k'!N773,'Retirement Calculator'!A:A,0),0),0)</f>
        <v>7896.2379798201846</v>
      </c>
      <c r="K773" s="444">
        <f t="shared" ref="K773:K1027" ca="1" si="79">IPMT(M773/12,1,12,-I773+J773,,0)</f>
        <v>3763.9067648941495</v>
      </c>
      <c r="L773" s="444">
        <f t="shared" ref="L773:L1027" ca="1" si="80">I773-J773+K773</f>
        <v>907101.53033949004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907101.53033949004</v>
      </c>
      <c r="J774" s="444">
        <f t="array" ref="J774">IFERROR(INDEX('Retirement Calculator'!J:J,MATCH('Isaac 401k'!N774,'Retirement Calculator'!A:A,0),0),0)</f>
        <v>7896.2379798201846</v>
      </c>
      <c r="K774" s="444">
        <f t="shared" ca="1" si="79"/>
        <v>3746.688718165291</v>
      </c>
      <c r="L774" s="444">
        <f t="shared" ca="1" si="80"/>
        <v>902951.98107783508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902951.98107783508</v>
      </c>
      <c r="J775" s="444">
        <f t="array" ref="J775">IFERROR(INDEX('Retirement Calculator'!J:J,MATCH('Isaac 401k'!N775,'Retirement Calculator'!A:A,0),0),0)</f>
        <v>7896.2379798201846</v>
      </c>
      <c r="K775" s="444">
        <f t="shared" ca="1" si="79"/>
        <v>3729.3989295750616</v>
      </c>
      <c r="L775" s="444">
        <f t="shared" ca="1" si="80"/>
        <v>898785.14202758996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898785.14202758996</v>
      </c>
      <c r="J776" s="444">
        <f t="array" ref="J776">IFERROR(INDEX('Retirement Calculator'!J:J,MATCH('Isaac 401k'!N776,'Retirement Calculator'!A:A,0),0),0)</f>
        <v>7896.2379798201846</v>
      </c>
      <c r="K776" s="444">
        <f t="shared" ca="1" si="79"/>
        <v>3712.0371001990411</v>
      </c>
      <c r="L776" s="444">
        <f t="shared" ca="1" si="80"/>
        <v>894600.94114796876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894600.94114796876</v>
      </c>
      <c r="J777" s="444">
        <f t="array" ref="J777">IFERROR(INDEX('Retirement Calculator'!J:J,MATCH('Isaac 401k'!N777,'Retirement Calculator'!A:A,0),0),0)</f>
        <v>7896.2379798201846</v>
      </c>
      <c r="K777" s="444">
        <f t="shared" ca="1" si="79"/>
        <v>3694.6029298672856</v>
      </c>
      <c r="L777" s="444">
        <f t="shared" ca="1" si="80"/>
        <v>890399.30609801586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890399.30609801586</v>
      </c>
      <c r="J778" s="444">
        <f t="array" ref="J778">IFERROR(INDEX('Retirement Calculator'!J:J,MATCH('Isaac 401k'!N778,'Retirement Calculator'!A:A,0),0),0)</f>
        <v>7896.2379798201846</v>
      </c>
      <c r="K778" s="444">
        <f t="shared" ca="1" si="79"/>
        <v>3677.0961171591489</v>
      </c>
      <c r="L778" s="444">
        <f t="shared" ca="1" si="80"/>
        <v>886180.16423535475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886180.16423535475</v>
      </c>
      <c r="J779" s="444">
        <f t="array" ref="J779">IFERROR(INDEX('Retirement Calculator'!J:J,MATCH('Isaac 401k'!N779,'Retirement Calculator'!A:A,0),0),0)</f>
        <v>7896.2379798201846</v>
      </c>
      <c r="K779" s="444">
        <f t="shared" ca="1" si="79"/>
        <v>3659.5163593980601</v>
      </c>
      <c r="L779" s="444">
        <f t="shared" ca="1" si="80"/>
        <v>881943.44261493254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881943.44261493254</v>
      </c>
      <c r="J780" s="444">
        <f t="array" ref="J780">IFERROR(INDEX('Retirement Calculator'!J:J,MATCH('Isaac 401k'!N780,'Retirement Calculator'!A:A,0),0),0)</f>
        <v>7896.2379798201846</v>
      </c>
      <c r="K780" s="444">
        <f t="shared" ca="1" si="79"/>
        <v>3641.8633526463013</v>
      </c>
      <c r="L780" s="444">
        <f t="shared" ca="1" si="80"/>
        <v>877689.06798775867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877689.06798775867</v>
      </c>
      <c r="J781" s="444">
        <f t="array" ref="J781">IFERROR(INDEX('Retirement Calculator'!J:J,MATCH('Isaac 401k'!N781,'Retirement Calculator'!A:A,0),0),0)</f>
        <v>7896.2379798201846</v>
      </c>
      <c r="K781" s="444">
        <f t="shared" ca="1" si="79"/>
        <v>3624.1367916997438</v>
      </c>
      <c r="L781" s="444">
        <f t="shared" ca="1" si="80"/>
        <v>873416.96679963823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873416.96679963823</v>
      </c>
      <c r="J782" s="444">
        <f t="array" ref="J782">IFERROR(INDEX('Retirement Calculator'!J:J,MATCH('Isaac 401k'!N782,'Retirement Calculator'!A:A,0),0),0)</f>
        <v>7896.2379798201846</v>
      </c>
      <c r="K782" s="444">
        <f t="shared" ca="1" si="79"/>
        <v>3606.3363700825748</v>
      </c>
      <c r="L782" s="444">
        <f t="shared" ca="1" si="80"/>
        <v>869127.06518990058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869127.06518990058</v>
      </c>
      <c r="J783" s="444">
        <f t="array" ref="J783">IFERROR(INDEX('Retirement Calculator'!J:J,MATCH('Isaac 401k'!N783,'Retirement Calculator'!A:A,0),0),0)</f>
        <v>7896.2379798201846</v>
      </c>
      <c r="K783" s="444">
        <f t="shared" ca="1" si="79"/>
        <v>3588.4617800420015</v>
      </c>
      <c r="L783" s="444">
        <f t="shared" ca="1" si="80"/>
        <v>864819.28899012238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864819.28899012238</v>
      </c>
      <c r="J784" s="444">
        <f t="array" ref="J784">IFERROR(INDEX('Retirement Calculator'!J:J,MATCH('Isaac 401k'!N784,'Retirement Calculator'!A:A,0),0),0)</f>
        <v>7896.2379798201846</v>
      </c>
      <c r="K784" s="444">
        <f t="shared" ca="1" si="79"/>
        <v>3570.5127125429262</v>
      </c>
      <c r="L784" s="444">
        <f t="shared" ca="1" si="80"/>
        <v>860493.56372284505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860493.56372284505</v>
      </c>
      <c r="J785" s="444">
        <f t="array" ref="J785">IFERROR(INDEX('Retirement Calculator'!J:J,MATCH('Isaac 401k'!N785,'Retirement Calculator'!A:A,0),0),0)</f>
        <v>7896.2379798201846</v>
      </c>
      <c r="K785" s="444">
        <f t="shared" ca="1" si="79"/>
        <v>3552.4888572626032</v>
      </c>
      <c r="L785" s="444">
        <f t="shared" ca="1" si="80"/>
        <v>856149.81460028747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856149.81460028747</v>
      </c>
      <c r="J786" s="444">
        <f t="array" ref="J786">IFERROR(INDEX('Retirement Calculator'!J:J,MATCH('Isaac 401k'!N786,'Retirement Calculator'!A:A,0),0),0)</f>
        <v>7896.2379798201846</v>
      </c>
      <c r="K786" s="444">
        <f t="shared" ca="1" si="79"/>
        <v>3534.3899025852802</v>
      </c>
      <c r="L786" s="444">
        <f t="shared" ca="1" si="80"/>
        <v>851787.96652305254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851787.96652305254</v>
      </c>
      <c r="J787" s="444">
        <f t="array" ref="J787">IFERROR(INDEX('Retirement Calculator'!J:J,MATCH('Isaac 401k'!N787,'Retirement Calculator'!A:A,0),0),0)</f>
        <v>7896.2379798201846</v>
      </c>
      <c r="K787" s="444">
        <f t="shared" ca="1" si="79"/>
        <v>3516.2155355968011</v>
      </c>
      <c r="L787" s="444">
        <f t="shared" ca="1" si="80"/>
        <v>847407.94407882914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847407.94407882914</v>
      </c>
      <c r="J788" s="444">
        <f t="array" ref="J788">IFERROR(INDEX('Retirement Calculator'!J:J,MATCH('Isaac 401k'!N788,'Retirement Calculator'!A:A,0),0),0)</f>
        <v>7896.2379798201846</v>
      </c>
      <c r="K788" s="444">
        <f t="shared" ca="1" si="79"/>
        <v>3497.9654420792035</v>
      </c>
      <c r="L788" s="444">
        <f t="shared" ca="1" si="80"/>
        <v>843009.67154108814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843009.67154108814</v>
      </c>
      <c r="J789" s="444">
        <f t="array" ref="J789">IFERROR(INDEX('Retirement Calculator'!J:J,MATCH('Isaac 401k'!N789,'Retirement Calculator'!A:A,0),0),0)</f>
        <v>7896.2379798201846</v>
      </c>
      <c r="K789" s="444">
        <f t="shared" ca="1" si="79"/>
        <v>3479.639306505283</v>
      </c>
      <c r="L789" s="444">
        <f t="shared" ca="1" si="80"/>
        <v>838593.07286777324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838593.07286777324</v>
      </c>
      <c r="J790" s="444">
        <f t="array" ref="J790">IFERROR(INDEX('Retirement Calculator'!J:J,MATCH('Isaac 401k'!N790,'Retirement Calculator'!A:A,0),0),0)</f>
        <v>7896.2379798201846</v>
      </c>
      <c r="K790" s="444">
        <f t="shared" ca="1" si="79"/>
        <v>3461.2368120331375</v>
      </c>
      <c r="L790" s="444">
        <f t="shared" ca="1" si="80"/>
        <v>834158.07169998612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834158.07169998612</v>
      </c>
      <c r="J791" s="444">
        <f t="array" ref="J791">IFERROR(INDEX('Retirement Calculator'!J:J,MATCH('Isaac 401k'!N791,'Retirement Calculator'!A:A,0),0),0)</f>
        <v>7896.2379798201846</v>
      </c>
      <c r="K791" s="444">
        <f t="shared" ca="1" si="79"/>
        <v>3442.7576405006907</v>
      </c>
      <c r="L791" s="444">
        <f t="shared" ca="1" si="80"/>
        <v>829704.59136066656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829704.59136066656</v>
      </c>
      <c r="J792" s="444">
        <f t="array" ref="J792">IFERROR(INDEX('Retirement Calculator'!J:J,MATCH('Isaac 401k'!N792,'Retirement Calculator'!A:A,0),0),0)</f>
        <v>7896.2379798201846</v>
      </c>
      <c r="K792" s="444">
        <f t="shared" ca="1" si="79"/>
        <v>3424.2014724201936</v>
      </c>
      <c r="L792" s="444">
        <f t="shared" ca="1" si="80"/>
        <v>825232.55485326657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825232.55485326657</v>
      </c>
      <c r="J793" s="444">
        <f t="array" ref="J793">IFERROR(INDEX('Retirement Calculator'!J:J,MATCH('Isaac 401k'!N793,'Retirement Calculator'!A:A,0),0),0)</f>
        <v>7896.2379798201846</v>
      </c>
      <c r="K793" s="444">
        <f t="shared" ca="1" si="79"/>
        <v>3405.5679869726932</v>
      </c>
      <c r="L793" s="444">
        <f t="shared" ca="1" si="80"/>
        <v>820741.88486041909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820741.88486041909</v>
      </c>
      <c r="J794" s="444">
        <f t="array" ref="J794">IFERROR(INDEX('Retirement Calculator'!J:J,MATCH('Isaac 401k'!N794,'Retirement Calculator'!A:A,0),0),0)</f>
        <v>7896.2379798201846</v>
      </c>
      <c r="K794" s="444">
        <f t="shared" ca="1" si="79"/>
        <v>3386.8568620024953</v>
      </c>
      <c r="L794" s="444">
        <f t="shared" ca="1" si="80"/>
        <v>816232.50374260137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816232.50374260137</v>
      </c>
      <c r="J795" s="444">
        <f t="array" ref="J795">IFERROR(INDEX('Retirement Calculator'!J:J,MATCH('Isaac 401k'!N795,'Retirement Calculator'!A:A,0),0),0)</f>
        <v>7896.2379798201846</v>
      </c>
      <c r="K795" s="444">
        <f t="shared" ca="1" si="79"/>
        <v>3368.067774011588</v>
      </c>
      <c r="L795" s="444">
        <f t="shared" ca="1" si="80"/>
        <v>811704.33353679278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811704.33353679278</v>
      </c>
      <c r="J796" s="444">
        <f t="array" ref="J796">IFERROR(INDEX('Retirement Calculator'!J:J,MATCH('Isaac 401k'!N796,'Retirement Calculator'!A:A,0),0),0)</f>
        <v>7896.2379798201846</v>
      </c>
      <c r="K796" s="444">
        <f t="shared" ca="1" si="79"/>
        <v>3349.2003981540524</v>
      </c>
      <c r="L796" s="444">
        <f t="shared" ca="1" si="80"/>
        <v>807157.29595512664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807157.29595512664</v>
      </c>
      <c r="J797" s="444">
        <f t="array" ref="J797">IFERROR(INDEX('Retirement Calculator'!J:J,MATCH('Isaac 401k'!N797,'Retirement Calculator'!A:A,0),0),0)</f>
        <v>7896.2379798201846</v>
      </c>
      <c r="K797" s="444">
        <f t="shared" ca="1" si="79"/>
        <v>3330.2544082304435</v>
      </c>
      <c r="L797" s="444">
        <f t="shared" ca="1" si="80"/>
        <v>802591.31238353683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802591.31238353683</v>
      </c>
      <c r="J798" s="444">
        <f t="array" ref="J798">IFERROR(INDEX('Retirement Calculator'!J:J,MATCH('Isaac 401k'!N798,'Retirement Calculator'!A:A,0),0),0)</f>
        <v>7896.2379798201846</v>
      </c>
      <c r="K798" s="444">
        <f t="shared" ca="1" si="79"/>
        <v>3311.2294766821524</v>
      </c>
      <c r="L798" s="444">
        <f t="shared" ca="1" si="80"/>
        <v>798006.30388039874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798006.30388039874</v>
      </c>
      <c r="J799" s="444">
        <f t="array" ref="J799">IFERROR(INDEX('Retirement Calculator'!J:J,MATCH('Isaac 401k'!N799,'Retirement Calculator'!A:A,0),0),0)</f>
        <v>7896.2379798201846</v>
      </c>
      <c r="K799" s="444">
        <f t="shared" ca="1" si="79"/>
        <v>3292.1252745857437</v>
      </c>
      <c r="L799" s="444">
        <f t="shared" ca="1" si="80"/>
        <v>793402.19117516431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793402.19117516431</v>
      </c>
      <c r="J800" s="444">
        <f t="array" ref="J800">IFERROR(INDEX('Retirement Calculator'!J:J,MATCH('Isaac 401k'!N800,'Retirement Calculator'!A:A,0),0),0)</f>
        <v>7896.2379798201846</v>
      </c>
      <c r="K800" s="444">
        <f t="shared" ca="1" si="79"/>
        <v>3272.941471647267</v>
      </c>
      <c r="L800" s="444">
        <f t="shared" ca="1" si="80"/>
        <v>788778.89466699131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788778.89466699131</v>
      </c>
      <c r="J801" s="444">
        <f t="array" ref="J801">IFERROR(INDEX('Retirement Calculator'!J:J,MATCH('Isaac 401k'!N801,'Retirement Calculator'!A:A,0),0),0)</f>
        <v>7896.2379798201846</v>
      </c>
      <c r="K801" s="444">
        <f t="shared" ca="1" si="79"/>
        <v>3253.677736196546</v>
      </c>
      <c r="L801" s="444">
        <f t="shared" ca="1" si="80"/>
        <v>784136.33442336763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784136.33442336763</v>
      </c>
      <c r="J802" s="444">
        <f t="array" ref="J802">IFERROR(INDEX('Retirement Calculator'!J:J,MATCH('Isaac 401k'!N802,'Retirement Calculator'!A:A,0),0),0)</f>
        <v>7896.2379798201846</v>
      </c>
      <c r="K802" s="444">
        <f t="shared" ca="1" si="79"/>
        <v>3234.3337351814475</v>
      </c>
      <c r="L802" s="444">
        <f t="shared" ca="1" si="80"/>
        <v>779474.43017872889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779474.43017872889</v>
      </c>
      <c r="J803" s="444">
        <f t="array" ref="J803">IFERROR(INDEX('Retirement Calculator'!J:J,MATCH('Isaac 401k'!N803,'Retirement Calculator'!A:A,0),0),0)</f>
        <v>7896.2379798201846</v>
      </c>
      <c r="K803" s="444">
        <f t="shared" ca="1" si="79"/>
        <v>3214.9091341621192</v>
      </c>
      <c r="L803" s="444">
        <f t="shared" ca="1" si="80"/>
        <v>774793.10133307078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774793.10133307078</v>
      </c>
      <c r="J804" s="444">
        <f t="array" ref="J804">IFERROR(INDEX('Retirement Calculator'!J:J,MATCH('Isaac 401k'!N804,'Retirement Calculator'!A:A,0),0),0)</f>
        <v>7896.2379798201846</v>
      </c>
      <c r="K804" s="444">
        <f t="shared" ca="1" si="79"/>
        <v>3195.4035973052105</v>
      </c>
      <c r="L804" s="444">
        <f t="shared" ca="1" si="80"/>
        <v>770092.26695055573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770092.26695055573</v>
      </c>
      <c r="J805" s="444">
        <f t="array" ref="J805">IFERROR(INDEX('Retirement Calculator'!J:J,MATCH('Isaac 401k'!N805,'Retirement Calculator'!A:A,0),0),0)</f>
        <v>7896.2379798201846</v>
      </c>
      <c r="K805" s="444">
        <f t="shared" ca="1" si="79"/>
        <v>3175.8167873780644</v>
      </c>
      <c r="L805" s="444">
        <f t="shared" ca="1" si="80"/>
        <v>765371.84575811354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765371.84575811354</v>
      </c>
      <c r="J806" s="444">
        <f t="array" ref="J806">IFERROR(INDEX('Retirement Calculator'!J:J,MATCH('Isaac 401k'!N806,'Retirement Calculator'!A:A,0),0),0)</f>
        <v>7896.2379798201846</v>
      </c>
      <c r="K806" s="444">
        <f t="shared" ca="1" si="79"/>
        <v>3156.1483657428889</v>
      </c>
      <c r="L806" s="444">
        <f t="shared" ca="1" si="80"/>
        <v>760631.75614403619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760631.75614403619</v>
      </c>
      <c r="J807" s="444">
        <f t="array" ref="J807">IFERROR(INDEX('Retirement Calculator'!J:J,MATCH('Isaac 401k'!N807,'Retirement Calculator'!A:A,0),0),0)</f>
        <v>7896.2379798201846</v>
      </c>
      <c r="K807" s="444">
        <f t="shared" ca="1" si="79"/>
        <v>3136.3979923508996</v>
      </c>
      <c r="L807" s="444">
        <f t="shared" ca="1" si="80"/>
        <v>755871.91615656682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755871.91615656682</v>
      </c>
      <c r="J808" s="444">
        <f t="array" ref="J808">IFERROR(INDEX('Retirement Calculator'!J:J,MATCH('Isaac 401k'!N808,'Retirement Calculator'!A:A,0),0),0)</f>
        <v>7896.2379798201846</v>
      </c>
      <c r="K808" s="444">
        <f t="shared" ca="1" si="79"/>
        <v>3116.5653257364443</v>
      </c>
      <c r="L808" s="444">
        <f t="shared" ca="1" si="80"/>
        <v>751092.243502483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751092.243502483</v>
      </c>
      <c r="J809" s="444">
        <f t="array" ref="J809">IFERROR(INDEX('Retirement Calculator'!J:J,MATCH('Isaac 401k'!N809,'Retirement Calculator'!A:A,0),0),0)</f>
        <v>7896.2379798201846</v>
      </c>
      <c r="K809" s="444">
        <f t="shared" ca="1" si="79"/>
        <v>3096.6500230110951</v>
      </c>
      <c r="L809" s="444">
        <f t="shared" ca="1" si="80"/>
        <v>746292.65554567392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746292.65554567392</v>
      </c>
      <c r="J810" s="444">
        <f t="array" ref="J810">IFERROR(INDEX('Retirement Calculator'!J:J,MATCH('Isaac 401k'!N810,'Retirement Calculator'!A:A,0),0),0)</f>
        <v>7896.2379798201846</v>
      </c>
      <c r="K810" s="444">
        <f t="shared" ca="1" si="79"/>
        <v>3076.6517398577234</v>
      </c>
      <c r="L810" s="444">
        <f t="shared" ca="1" si="80"/>
        <v>741473.06930571143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741473.06930571143</v>
      </c>
      <c r="J811" s="444">
        <f t="array" ref="J811">IFERROR(INDEX('Retirement Calculator'!J:J,MATCH('Isaac 401k'!N811,'Retirement Calculator'!A:A,0),0),0)</f>
        <v>7896.2379798201846</v>
      </c>
      <c r="K811" s="444">
        <f t="shared" ca="1" si="79"/>
        <v>3056.5701305245466</v>
      </c>
      <c r="L811" s="444">
        <f t="shared" ca="1" si="80"/>
        <v>736633.40145641577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736633.40145641577</v>
      </c>
      <c r="J812" s="444">
        <f t="array" ref="J812">IFERROR(INDEX('Retirement Calculator'!J:J,MATCH('Isaac 401k'!N812,'Retirement Calculator'!A:A,0),0),0)</f>
        <v>7896.2379798201846</v>
      </c>
      <c r="K812" s="444">
        <f t="shared" ca="1" si="79"/>
        <v>3036.404847819148</v>
      </c>
      <c r="L812" s="444">
        <f t="shared" ca="1" si="80"/>
        <v>731773.56832441466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731773.56832441466</v>
      </c>
      <c r="J813" s="444">
        <f t="array" ref="J813">IFERROR(INDEX('Retirement Calculator'!J:J,MATCH('Isaac 401k'!N813,'Retirement Calculator'!A:A,0),0),0)</f>
        <v>7896.2379798201846</v>
      </c>
      <c r="K813" s="444">
        <f t="shared" ca="1" si="79"/>
        <v>3016.1555431024767</v>
      </c>
      <c r="L813" s="444">
        <f t="shared" ca="1" si="80"/>
        <v>726893.48588769697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726893.48588769697</v>
      </c>
      <c r="J814" s="444">
        <f t="array" ref="J814">IFERROR(INDEX('Retirement Calculator'!J:J,MATCH('Isaac 401k'!N814,'Retirement Calculator'!A:A,0),0),0)</f>
        <v>7896.2379798201846</v>
      </c>
      <c r="K814" s="444">
        <f t="shared" ca="1" si="79"/>
        <v>2995.8218662828199</v>
      </c>
      <c r="L814" s="444">
        <f t="shared" ca="1" si="80"/>
        <v>721993.06977415958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721993.06977415958</v>
      </c>
      <c r="J815" s="444">
        <f t="array" ref="J815">IFERROR(INDEX('Retirement Calculator'!J:J,MATCH('Isaac 401k'!N815,'Retirement Calculator'!A:A,0),0),0)</f>
        <v>7896.2379798201846</v>
      </c>
      <c r="K815" s="444">
        <f t="shared" ca="1" si="79"/>
        <v>2975.4034658097471</v>
      </c>
      <c r="L815" s="444">
        <f t="shared" ca="1" si="80"/>
        <v>717072.23526014911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717072.23526014911</v>
      </c>
      <c r="J816" s="444">
        <f t="array" ref="J816">IFERROR(INDEX('Retirement Calculator'!J:J,MATCH('Isaac 401k'!N816,'Retirement Calculator'!A:A,0),0),0)</f>
        <v>7896.2379798201846</v>
      </c>
      <c r="K816" s="444">
        <f t="shared" ca="1" si="79"/>
        <v>2954.8999886680372</v>
      </c>
      <c r="L816" s="444">
        <f t="shared" ca="1" si="80"/>
        <v>712130.89726899692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712130.89726899692</v>
      </c>
      <c r="J817" s="444">
        <f t="array" ref="J817">IFERROR(INDEX('Retirement Calculator'!J:J,MATCH('Isaac 401k'!N817,'Retirement Calculator'!A:A,0),0),0)</f>
        <v>7896.2379798201846</v>
      </c>
      <c r="K817" s="444">
        <f t="shared" ca="1" si="79"/>
        <v>2934.3110803715695</v>
      </c>
      <c r="L817" s="444">
        <f t="shared" ca="1" si="80"/>
        <v>707168.9703695483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707168.9703695483</v>
      </c>
      <c r="J818" s="444">
        <f t="array" ref="J818">IFERROR(INDEX('Retirement Calculator'!J:J,MATCH('Isaac 401k'!N818,'Retirement Calculator'!A:A,0),0),0)</f>
        <v>7896.2379798201846</v>
      </c>
      <c r="K818" s="444">
        <f t="shared" ca="1" si="79"/>
        <v>2913.6363849572003</v>
      </c>
      <c r="L818" s="444">
        <f t="shared" ca="1" si="80"/>
        <v>702186.36877468531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702186.36877468531</v>
      </c>
      <c r="J819" s="444">
        <f t="array" ref="J819">IFERROR(INDEX('Retirement Calculator'!J:J,MATCH('Isaac 401k'!N819,'Retirement Calculator'!A:A,0),0),0)</f>
        <v>7896.2379798201846</v>
      </c>
      <c r="K819" s="444">
        <f t="shared" ca="1" si="79"/>
        <v>2892.8755449786045</v>
      </c>
      <c r="L819" s="444">
        <f t="shared" ca="1" si="80"/>
        <v>697183.00633984373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697183.00633984373</v>
      </c>
      <c r="J820" s="444">
        <f t="array" ref="J820">IFERROR(INDEX('Retirement Calculator'!J:J,MATCH('Isaac 401k'!N820,'Retirement Calculator'!A:A,0),0),0)</f>
        <v>7896.2379798201846</v>
      </c>
      <c r="K820" s="444">
        <f t="shared" ca="1" si="79"/>
        <v>2872.028201500098</v>
      </c>
      <c r="L820" s="444">
        <f t="shared" ca="1" si="80"/>
        <v>692158.79656152357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692158.79656152357</v>
      </c>
      <c r="J821" s="444">
        <f t="array" ref="J821">IFERROR(INDEX('Retirement Calculator'!J:J,MATCH('Isaac 401k'!N821,'Retirement Calculator'!A:A,0),0),0)</f>
        <v>7896.2379798201846</v>
      </c>
      <c r="K821" s="444">
        <f t="shared" ca="1" si="79"/>
        <v>2851.0939940904304</v>
      </c>
      <c r="L821" s="444">
        <f t="shared" ca="1" si="80"/>
        <v>687113.65257579379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687113.65257579379</v>
      </c>
      <c r="J822" s="444">
        <f t="array" ref="J822">IFERROR(INDEX('Retirement Calculator'!J:J,MATCH('Isaac 401k'!N822,'Retirement Calculator'!A:A,0),0),0)</f>
        <v>7896.2379798201846</v>
      </c>
      <c r="K822" s="444">
        <f t="shared" ca="1" si="79"/>
        <v>2830.0725608165567</v>
      </c>
      <c r="L822" s="444">
        <f t="shared" ca="1" si="80"/>
        <v>682047.4871567901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682047.4871567901</v>
      </c>
      <c r="J823" s="444">
        <f t="array" ref="J823">IFERROR(INDEX('Retirement Calculator'!J:J,MATCH('Isaac 401k'!N823,'Retirement Calculator'!A:A,0),0),0)</f>
        <v>7896.2379798201846</v>
      </c>
      <c r="K823" s="444">
        <f t="shared" ca="1" si="79"/>
        <v>2808.9635382373745</v>
      </c>
      <c r="L823" s="444">
        <f t="shared" ca="1" si="80"/>
        <v>676960.21271520725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676960.21271520725</v>
      </c>
      <c r="J824" s="444">
        <f t="array" ref="J824">IFERROR(INDEX('Retirement Calculator'!J:J,MATCH('Isaac 401k'!N824,'Retirement Calculator'!A:A,0),0),0)</f>
        <v>7896.2379798201846</v>
      </c>
      <c r="K824" s="444">
        <f t="shared" ca="1" si="79"/>
        <v>2787.7665613974459</v>
      </c>
      <c r="L824" s="444">
        <f t="shared" ca="1" si="80"/>
        <v>671851.74129678449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671851.74129678449</v>
      </c>
      <c r="J825" s="444">
        <f t="array" ref="J825">IFERROR(INDEX('Retirement Calculator'!J:J,MATCH('Isaac 401k'!N825,'Retirement Calculator'!A:A,0),0),0)</f>
        <v>7896.2379798201846</v>
      </c>
      <c r="K825" s="444">
        <f t="shared" ca="1" si="79"/>
        <v>2766.4812638206845</v>
      </c>
      <c r="L825" s="444">
        <f t="shared" ca="1" si="80"/>
        <v>666721.98458078492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666721.98458078492</v>
      </c>
      <c r="J826" s="444">
        <f t="array" ref="J826">IFERROR(INDEX('Retirement Calculator'!J:J,MATCH('Isaac 401k'!N826,'Retirement Calculator'!A:A,0),0),0)</f>
        <v>7896.2379798201846</v>
      </c>
      <c r="K826" s="444">
        <f t="shared" ca="1" si="79"/>
        <v>2745.1072775040193</v>
      </c>
      <c r="L826" s="444">
        <f t="shared" ca="1" si="80"/>
        <v>661570.85387846874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661570.85387846874</v>
      </c>
      <c r="J827" s="444">
        <f t="array" ref="J827">IFERROR(INDEX('Retirement Calculator'!J:J,MATCH('Isaac 401k'!N827,'Retirement Calculator'!A:A,0),0),0)</f>
        <v>7896.2379798201846</v>
      </c>
      <c r="K827" s="444">
        <f t="shared" ca="1" si="79"/>
        <v>2723.6442329110355</v>
      </c>
      <c r="L827" s="444">
        <f t="shared" ca="1" si="80"/>
        <v>656398.26013155957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656398.26013155957</v>
      </c>
      <c r="J828" s="444">
        <f t="array" ref="J828">IFERROR(INDEX('Retirement Calculator'!J:J,MATCH('Isaac 401k'!N828,'Retirement Calculator'!A:A,0),0),0)</f>
        <v>7896.2379798201846</v>
      </c>
      <c r="K828" s="444">
        <f t="shared" ca="1" si="79"/>
        <v>2702.0917589655805</v>
      </c>
      <c r="L828" s="444">
        <f t="shared" ca="1" si="80"/>
        <v>651204.11391070497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651204.11391070497</v>
      </c>
      <c r="J829" s="444">
        <f t="array" ref="J829">IFERROR(INDEX('Retirement Calculator'!J:J,MATCH('Isaac 401k'!N829,'Retirement Calculator'!A:A,0),0),0)</f>
        <v>7896.2379798201846</v>
      </c>
      <c r="K829" s="444">
        <f t="shared" ca="1" si="79"/>
        <v>2680.4494830453532</v>
      </c>
      <c r="L829" s="444">
        <f t="shared" ca="1" si="80"/>
        <v>645988.32541393011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645988.32541393011</v>
      </c>
      <c r="J830" s="444">
        <f t="array" ref="J830">IFERROR(INDEX('Retirement Calculator'!J:J,MATCH('Isaac 401k'!N830,'Retirement Calculator'!A:A,0),0),0)</f>
        <v>7896.2379798201846</v>
      </c>
      <c r="K830" s="444">
        <f t="shared" ca="1" si="79"/>
        <v>2658.7170309754579</v>
      </c>
      <c r="L830" s="444">
        <f t="shared" ca="1" si="80"/>
        <v>640750.80446508538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640750.80446508538</v>
      </c>
      <c r="J831" s="444">
        <f t="array" ref="J831">IFERROR(INDEX('Retirement Calculator'!J:J,MATCH('Isaac 401k'!N831,'Retirement Calculator'!A:A,0),0),0)</f>
        <v>7896.2379798201846</v>
      </c>
      <c r="K831" s="444">
        <f t="shared" ca="1" si="79"/>
        <v>2636.8940270219382</v>
      </c>
      <c r="L831" s="444">
        <f t="shared" ca="1" si="80"/>
        <v>635491.4605122871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635491.4605122871</v>
      </c>
      <c r="J832" s="444">
        <f t="array" ref="J832">IFERROR(INDEX('Retirement Calculator'!J:J,MATCH('Isaac 401k'!N832,'Retirement Calculator'!A:A,0),0),0)</f>
        <v>7896.2379798201846</v>
      </c>
      <c r="K832" s="444">
        <f t="shared" ca="1" si="79"/>
        <v>2614.9800938852786</v>
      </c>
      <c r="L832" s="444">
        <f t="shared" ca="1" si="80"/>
        <v>630210.2026263522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630210.2026263522</v>
      </c>
      <c r="J833" s="444">
        <f t="array" ref="J833">IFERROR(INDEX('Retirement Calculator'!J:J,MATCH('Isaac 401k'!N833,'Retirement Calculator'!A:A,0),0),0)</f>
        <v>7896.2379798201846</v>
      </c>
      <c r="K833" s="444">
        <f t="shared" ca="1" si="79"/>
        <v>2592.9748526938833</v>
      </c>
      <c r="L833" s="444">
        <f t="shared" ca="1" si="80"/>
        <v>624906.93949922582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624906.93949922582</v>
      </c>
      <c r="J834" s="444">
        <f t="array" ref="J834">IFERROR(INDEX('Retirement Calculator'!J:J,MATCH('Isaac 401k'!N834,'Retirement Calculator'!A:A,0),0),0)</f>
        <v>7896.2379798201846</v>
      </c>
      <c r="K834" s="444">
        <f t="shared" ca="1" si="79"/>
        <v>2570.8779229975235</v>
      </c>
      <c r="L834" s="444">
        <f t="shared" ca="1" si="80"/>
        <v>619581.57944240316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619581.57944240316</v>
      </c>
      <c r="J835" s="444">
        <f t="array" ref="J835">IFERROR(INDEX('Retirement Calculator'!J:J,MATCH('Isaac 401k'!N835,'Retirement Calculator'!A:A,0),0),0)</f>
        <v>7896.2379798201846</v>
      </c>
      <c r="K835" s="444">
        <f t="shared" ca="1" si="79"/>
        <v>2548.6889227607621</v>
      </c>
      <c r="L835" s="444">
        <f t="shared" ca="1" si="80"/>
        <v>614234.03038534371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614234.03038534371</v>
      </c>
      <c r="J836" s="444">
        <f t="array" ref="J836">IFERROR(INDEX('Retirement Calculator'!J:J,MATCH('Isaac 401k'!N836,'Retirement Calculator'!A:A,0),0),0)</f>
        <v>7896.2379798201846</v>
      </c>
      <c r="K836" s="444">
        <f t="shared" ca="1" si="79"/>
        <v>2526.4074683563476</v>
      </c>
      <c r="L836" s="444">
        <f t="shared" ca="1" si="80"/>
        <v>608864.19987387978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608864.19987387978</v>
      </c>
      <c r="J837" s="444">
        <f t="array" ref="J837">IFERROR(INDEX('Retirement Calculator'!J:J,MATCH('Isaac 401k'!N837,'Retirement Calculator'!A:A,0),0),0)</f>
        <v>7896.2379798201846</v>
      </c>
      <c r="K837" s="444">
        <f t="shared" ca="1" si="79"/>
        <v>2504.0331745585813</v>
      </c>
      <c r="L837" s="444">
        <f t="shared" ca="1" si="80"/>
        <v>603471.9950686181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603471.9950686181</v>
      </c>
      <c r="J838" s="444">
        <f t="array" ref="J838">IFERROR(INDEX('Retirement Calculator'!J:J,MATCH('Isaac 401k'!N838,'Retirement Calculator'!A:A,0),0),0)</f>
        <v>7896.2379798201846</v>
      </c>
      <c r="K838" s="444">
        <f t="shared" ca="1" si="79"/>
        <v>2481.5656545366578</v>
      </c>
      <c r="L838" s="444">
        <f t="shared" ca="1" si="80"/>
        <v>598057.32274333457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598057.32274333457</v>
      </c>
      <c r="J839" s="444">
        <f t="array" ref="J839">IFERROR(INDEX('Retirement Calculator'!J:J,MATCH('Isaac 401k'!N839,'Retirement Calculator'!A:A,0),0),0)</f>
        <v>7896.2379798201846</v>
      </c>
      <c r="K839" s="444">
        <f t="shared" ca="1" si="79"/>
        <v>2459.0045198479766</v>
      </c>
      <c r="L839" s="444">
        <f t="shared" ca="1" si="80"/>
        <v>592620.08928336226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592620.08928336226</v>
      </c>
      <c r="J840" s="444">
        <f t="array" ref="J840">IFERROR(INDEX('Retirement Calculator'!J:J,MATCH('Isaac 401k'!N840,'Retirement Calculator'!A:A,0),0),0)</f>
        <v>7896.2379798201846</v>
      </c>
      <c r="K840" s="444">
        <f t="shared" ca="1" si="79"/>
        <v>2436.3493804314253</v>
      </c>
      <c r="L840" s="444">
        <f t="shared" ca="1" si="80"/>
        <v>587160.2006839735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587160.2006839735</v>
      </c>
      <c r="J841" s="444">
        <f t="array" ref="J841">IFERROR(INDEX('Retirement Calculator'!J:J,MATCH('Isaac 401k'!N841,'Retirement Calculator'!A:A,0),0),0)</f>
        <v>7896.2379798201846</v>
      </c>
      <c r="K841" s="444">
        <f t="shared" ca="1" si="79"/>
        <v>2413.5998446006388</v>
      </c>
      <c r="L841" s="444">
        <f t="shared" ca="1" si="80"/>
        <v>581677.56254875392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581677.56254875392</v>
      </c>
      <c r="J842" s="444">
        <f t="array" ref="J842">IFERROR(INDEX('Retirement Calculator'!J:J,MATCH('Isaac 401k'!N842,'Retirement Calculator'!A:A,0),0),0)</f>
        <v>7896.2379798201846</v>
      </c>
      <c r="K842" s="444">
        <f t="shared" ca="1" si="79"/>
        <v>2390.7555190372236</v>
      </c>
      <c r="L842" s="444">
        <f t="shared" ca="1" si="80"/>
        <v>576172.08008797094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576172.08008797094</v>
      </c>
      <c r="J843" s="444">
        <f t="array" ref="J843">IFERROR(INDEX('Retirement Calculator'!J:J,MATCH('Isaac 401k'!N843,'Retirement Calculator'!A:A,0),0),0)</f>
        <v>7896.2379798201846</v>
      </c>
      <c r="K843" s="444">
        <f t="shared" ca="1" si="79"/>
        <v>2367.8160087839615</v>
      </c>
      <c r="L843" s="444">
        <f t="shared" ca="1" si="80"/>
        <v>570643.6581169347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570643.6581169347</v>
      </c>
      <c r="J844" s="444">
        <f t="array" ref="J844">IFERROR(INDEX('Retirement Calculator'!J:J,MATCH('Isaac 401k'!N844,'Retirement Calculator'!A:A,0),0),0)</f>
        <v>7896.2379798201846</v>
      </c>
      <c r="K844" s="444">
        <f t="shared" ca="1" si="79"/>
        <v>2344.7809172379771</v>
      </c>
      <c r="L844" s="444">
        <f t="shared" ca="1" si="80"/>
        <v>565092.20105435245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565092.20105435245</v>
      </c>
      <c r="J845" s="444">
        <f t="array" ref="J845">IFERROR(INDEX('Retirement Calculator'!J:J,MATCH('Isaac 401k'!N845,'Retirement Calculator'!A:A,0),0),0)</f>
        <v>7896.2379798201846</v>
      </c>
      <c r="K845" s="444">
        <f t="shared" ca="1" si="79"/>
        <v>2321.6498461438841</v>
      </c>
      <c r="L845" s="444">
        <f t="shared" ca="1" si="80"/>
        <v>559517.61292067613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559517.61292067613</v>
      </c>
      <c r="J846" s="444">
        <f t="array" ref="J846">IFERROR(INDEX('Retirement Calculator'!J:J,MATCH('Isaac 401k'!N846,'Retirement Calculator'!A:A,0),0),0)</f>
        <v>7896.2379798201846</v>
      </c>
      <c r="K846" s="444">
        <f t="shared" ca="1" si="79"/>
        <v>2298.4223955868997</v>
      </c>
      <c r="L846" s="444">
        <f t="shared" ca="1" si="80"/>
        <v>553919.79733644275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553919.79733644275</v>
      </c>
      <c r="J847" s="444">
        <f t="array" ref="J847">IFERROR(INDEX('Retirement Calculator'!J:J,MATCH('Isaac 401k'!N847,'Retirement Calculator'!A:A,0),0),0)</f>
        <v>7896.2379798201846</v>
      </c>
      <c r="K847" s="444">
        <f t="shared" ca="1" si="79"/>
        <v>2275.0981639859269</v>
      </c>
      <c r="L847" s="444">
        <f t="shared" ca="1" si="80"/>
        <v>548298.65752060839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548298.65752060839</v>
      </c>
      <c r="J848" s="444">
        <f t="array" ref="J848">IFERROR(INDEX('Retirement Calculator'!J:J,MATCH('Isaac 401k'!N848,'Retirement Calculator'!A:A,0),0),0)</f>
        <v>7896.2379798201846</v>
      </c>
      <c r="K848" s="444">
        <f t="shared" ca="1" si="79"/>
        <v>2251.6767480866174</v>
      </c>
      <c r="L848" s="444">
        <f t="shared" ca="1" si="80"/>
        <v>542654.09628887475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542654.09628887475</v>
      </c>
      <c r="J849" s="444">
        <f t="array" ref="J849">IFERROR(INDEX('Retirement Calculator'!J:J,MATCH('Isaac 401k'!N849,'Retirement Calculator'!A:A,0),0),0)</f>
        <v>7896.2379798201846</v>
      </c>
      <c r="K849" s="444">
        <f t="shared" ca="1" si="79"/>
        <v>2228.1577429543936</v>
      </c>
      <c r="L849" s="444">
        <f t="shared" ca="1" si="80"/>
        <v>536986.01605200896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536986.01605200896</v>
      </c>
      <c r="J850" s="444">
        <f t="array" ref="J850">IFERROR(INDEX('Retirement Calculator'!J:J,MATCH('Isaac 401k'!N850,'Retirement Calculator'!A:A,0),0),0)</f>
        <v>7896.2379798201846</v>
      </c>
      <c r="K850" s="444">
        <f t="shared" ca="1" si="79"/>
        <v>2204.540741967453</v>
      </c>
      <c r="L850" s="444">
        <f t="shared" ca="1" si="80"/>
        <v>531294.31881415623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531294.31881415623</v>
      </c>
      <c r="J851" s="444">
        <f t="array" ref="J851">IFERROR(INDEX('Retirement Calculator'!J:J,MATCH('Isaac 401k'!N851,'Retirement Calculator'!A:A,0),0),0)</f>
        <v>7896.2379798201846</v>
      </c>
      <c r="K851" s="444">
        <f t="shared" ca="1" si="79"/>
        <v>2180.8253368097335</v>
      </c>
      <c r="L851" s="444">
        <f t="shared" ca="1" si="80"/>
        <v>525578.90617114573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525578.90617114573</v>
      </c>
      <c r="J852" s="444">
        <f t="array" ref="J852">IFERROR(INDEX('Retirement Calculator'!J:J,MATCH('Isaac 401k'!N852,'Retirement Calculator'!A:A,0),0),0)</f>
        <v>7896.2379798201846</v>
      </c>
      <c r="K852" s="444">
        <f t="shared" ca="1" si="79"/>
        <v>2157.0111174638564</v>
      </c>
      <c r="L852" s="444">
        <f t="shared" ca="1" si="80"/>
        <v>519839.67930878943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519839.67930878943</v>
      </c>
      <c r="J853" s="444">
        <f t="array" ref="J853">IFERROR(INDEX('Retirement Calculator'!J:J,MATCH('Isaac 401k'!N853,'Retirement Calculator'!A:A,0),0),0)</f>
        <v>7896.2379798201846</v>
      </c>
      <c r="K853" s="444">
        <f t="shared" ca="1" si="79"/>
        <v>2133.0976722040386</v>
      </c>
      <c r="L853" s="444">
        <f t="shared" ca="1" si="80"/>
        <v>514076.53900117328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514076.53900117328</v>
      </c>
      <c r="J854" s="444">
        <f t="array" ref="J854">IFERROR(INDEX('Retirement Calculator'!J:J,MATCH('Isaac 401k'!N854,'Retirement Calculator'!A:A,0),0),0)</f>
        <v>7896.2379798201846</v>
      </c>
      <c r="K854" s="444">
        <f t="shared" ca="1" si="79"/>
        <v>2109.0845875889709</v>
      </c>
      <c r="L854" s="444">
        <f t="shared" ca="1" si="80"/>
        <v>508289.38560894207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508289.38560894207</v>
      </c>
      <c r="J855" s="444">
        <f t="array" ref="J855">IFERROR(INDEX('Retirement Calculator'!J:J,MATCH('Isaac 401k'!N855,'Retirement Calculator'!A:A,0),0),0)</f>
        <v>7896.2379798201846</v>
      </c>
      <c r="K855" s="444">
        <f t="shared" ca="1" si="79"/>
        <v>2084.9714484546744</v>
      </c>
      <c r="L855" s="444">
        <f t="shared" ca="1" si="80"/>
        <v>502478.11907757656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502478.11907757656</v>
      </c>
      <c r="J856" s="444">
        <f t="array" ref="J856">IFERROR(INDEX('Retirement Calculator'!J:J,MATCH('Isaac 401k'!N856,'Retirement Calculator'!A:A,0),0),0)</f>
        <v>7896.2379798201846</v>
      </c>
      <c r="K856" s="444">
        <f t="shared" ca="1" si="79"/>
        <v>2060.7578379073184</v>
      </c>
      <c r="L856" s="444">
        <f t="shared" ca="1" si="80"/>
        <v>496642.63893566368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496642.63893566368</v>
      </c>
      <c r="J857" s="444">
        <f t="array" ref="J857">IFERROR(INDEX('Retirement Calculator'!J:J,MATCH('Isaac 401k'!N857,'Retirement Calculator'!A:A,0),0),0)</f>
        <v>7896.2379798201846</v>
      </c>
      <c r="K857" s="444">
        <f t="shared" ca="1" si="79"/>
        <v>2036.4433373160145</v>
      </c>
      <c r="L857" s="444">
        <f t="shared" ca="1" si="80"/>
        <v>490782.84429315955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490782.84429315955</v>
      </c>
      <c r="J858" s="444">
        <f t="array" ref="J858">IFERROR(INDEX('Retirement Calculator'!J:J,MATCH('Isaac 401k'!N858,'Retirement Calculator'!A:A,0),0),0)</f>
        <v>7896.2379798201846</v>
      </c>
      <c r="K858" s="444">
        <f t="shared" ca="1" si="79"/>
        <v>2012.0275263055807</v>
      </c>
      <c r="L858" s="444">
        <f t="shared" ca="1" si="80"/>
        <v>484898.63383964496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484898.63383964496</v>
      </c>
      <c r="J859" s="444">
        <f t="array" ref="J859">IFERROR(INDEX('Retirement Calculator'!J:J,MATCH('Isaac 401k'!N859,'Retirement Calculator'!A:A,0),0),0)</f>
        <v>7896.2379798201846</v>
      </c>
      <c r="K859" s="444">
        <f t="shared" ca="1" si="79"/>
        <v>1987.50998274927</v>
      </c>
      <c r="L859" s="444">
        <f t="shared" ca="1" si="80"/>
        <v>478989.90584257408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478989.90584257408</v>
      </c>
      <c r="J860" s="444">
        <f t="array" ref="J860">IFERROR(INDEX('Retirement Calculator'!J:J,MATCH('Isaac 401k'!N860,'Retirement Calculator'!A:A,0),0),0)</f>
        <v>7896.2379798201846</v>
      </c>
      <c r="K860" s="444">
        <f t="shared" ca="1" si="79"/>
        <v>1962.8902827614745</v>
      </c>
      <c r="L860" s="444">
        <f t="shared" ca="1" si="80"/>
        <v>473056.55814551539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473056.55814551539</v>
      </c>
      <c r="J861" s="444">
        <f t="array" ref="J861">IFERROR(INDEX('Retirement Calculator'!J:J,MATCH('Isaac 401k'!N861,'Retirement Calculator'!A:A,0),0),0)</f>
        <v>7896.2379798201846</v>
      </c>
      <c r="K861" s="444">
        <f t="shared" ca="1" si="79"/>
        <v>1938.1680006903966</v>
      </c>
      <c r="L861" s="444">
        <f t="shared" ca="1" si="80"/>
        <v>467098.48816638562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467098.48816638562</v>
      </c>
      <c r="J862" s="444">
        <f t="array" ref="J862">IFERROR(INDEX('Retirement Calculator'!J:J,MATCH('Isaac 401k'!N862,'Retirement Calculator'!A:A,0),0),0)</f>
        <v>7896.2379798201846</v>
      </c>
      <c r="K862" s="444">
        <f t="shared" ca="1" si="79"/>
        <v>1913.3427091106894</v>
      </c>
      <c r="L862" s="444">
        <f t="shared" ca="1" si="80"/>
        <v>461115.59289567615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461115.59289567615</v>
      </c>
      <c r="J863" s="444">
        <f t="array" ref="J863">IFERROR(INDEX('Retirement Calculator'!J:J,MATCH('Isaac 401k'!N863,'Retirement Calculator'!A:A,0),0),0)</f>
        <v>7896.2379798201846</v>
      </c>
      <c r="K863" s="444">
        <f t="shared" ca="1" si="79"/>
        <v>1888.4139788160662</v>
      </c>
      <c r="L863" s="444">
        <f t="shared" ca="1" si="80"/>
        <v>455107.76889467204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455107.76889467204</v>
      </c>
      <c r="J864" s="444">
        <f t="array" ref="J864">IFERROR(INDEX('Retirement Calculator'!J:J,MATCH('Isaac 401k'!N864,'Retirement Calculator'!A:A,0),0),0)</f>
        <v>7896.2379798201846</v>
      </c>
      <c r="K864" s="444">
        <f t="shared" ca="1" si="79"/>
        <v>1863.3813788118828</v>
      </c>
      <c r="L864" s="444">
        <f t="shared" ca="1" si="80"/>
        <v>449074.91229366377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449074.91229366377</v>
      </c>
      <c r="J865" s="444">
        <f t="array" ref="J865">IFERROR(INDEX('Retirement Calculator'!J:J,MATCH('Isaac 401k'!N865,'Retirement Calculator'!A:A,0),0),0)</f>
        <v>7896.2379798201846</v>
      </c>
      <c r="K865" s="444">
        <f t="shared" ca="1" si="79"/>
        <v>1838.2444763076817</v>
      </c>
      <c r="L865" s="444">
        <f t="shared" ca="1" si="80"/>
        <v>443016.91879015131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443016.91879015131</v>
      </c>
      <c r="J866" s="444">
        <f t="array" ref="J866">IFERROR(INDEX('Retirement Calculator'!J:J,MATCH('Isaac 401k'!N866,'Retirement Calculator'!A:A,0),0),0)</f>
        <v>7896.2379798201846</v>
      </c>
      <c r="K866" s="444">
        <f t="shared" ca="1" si="79"/>
        <v>1813.0028367097129</v>
      </c>
      <c r="L866" s="444">
        <f t="shared" ca="1" si="80"/>
        <v>436933.68364704086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436933.68364704086</v>
      </c>
      <c r="J867" s="444">
        <f t="array" ref="J867">IFERROR(INDEX('Retirement Calculator'!J:J,MATCH('Isaac 401k'!N867,'Retirement Calculator'!A:A,0),0),0)</f>
        <v>7896.2379798201846</v>
      </c>
      <c r="K867" s="444">
        <f t="shared" ca="1" si="79"/>
        <v>1787.6560236134194</v>
      </c>
      <c r="L867" s="444">
        <f t="shared" ca="1" si="80"/>
        <v>430825.1016908341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430825.1016908341</v>
      </c>
      <c r="J868" s="444">
        <f t="array" ref="J868">IFERROR(INDEX('Retirement Calculator'!J:J,MATCH('Isaac 401k'!N868,'Retirement Calculator'!A:A,0),0),0)</f>
        <v>7896.2379798201846</v>
      </c>
      <c r="K868" s="444">
        <f t="shared" ca="1" si="79"/>
        <v>1762.2035987958911</v>
      </c>
      <c r="L868" s="444">
        <f t="shared" ca="1" si="80"/>
        <v>424691.06730980979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424691.06730980979</v>
      </c>
      <c r="J869" s="444">
        <f t="array" ref="J869">IFERROR(INDEX('Retirement Calculator'!J:J,MATCH('Isaac 401k'!N869,'Retirement Calculator'!A:A,0),0),0)</f>
        <v>7896.2379798201846</v>
      </c>
      <c r="K869" s="444">
        <f t="shared" ca="1" si="79"/>
        <v>1736.6451222082903</v>
      </c>
      <c r="L869" s="444">
        <f t="shared" ca="1" si="80"/>
        <v>418531.4744521979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418531.4744521979</v>
      </c>
      <c r="J870" s="444">
        <f t="array" ref="J870">IFERROR(INDEX('Retirement Calculator'!J:J,MATCH('Isaac 401k'!N870,'Retirement Calculator'!A:A,0),0),0)</f>
        <v>7896.2379798201846</v>
      </c>
      <c r="K870" s="444">
        <f t="shared" ca="1" si="79"/>
        <v>1710.9801519682403</v>
      </c>
      <c r="L870" s="444">
        <f t="shared" ca="1" si="80"/>
        <v>412346.21662434598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412346.21662434598</v>
      </c>
      <c r="J871" s="444">
        <f t="array" ref="J871">IFERROR(INDEX('Retirement Calculator'!J:J,MATCH('Isaac 401k'!N871,'Retirement Calculator'!A:A,0),0),0)</f>
        <v>7896.2379798201846</v>
      </c>
      <c r="K871" s="444">
        <f t="shared" ca="1" si="79"/>
        <v>1685.2082443521908</v>
      </c>
      <c r="L871" s="444">
        <f t="shared" ca="1" si="80"/>
        <v>406135.186888878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406135.186888878</v>
      </c>
      <c r="J872" s="444">
        <f t="array" ref="J872">IFERROR(INDEX('Retirement Calculator'!J:J,MATCH('Isaac 401k'!N872,'Retirement Calculator'!A:A,0),0),0)</f>
        <v>7896.2379798201846</v>
      </c>
      <c r="K872" s="444">
        <f t="shared" ca="1" si="79"/>
        <v>1659.3289537877408</v>
      </c>
      <c r="L872" s="444">
        <f t="shared" ca="1" si="80"/>
        <v>399898.27786284557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399898.27786284557</v>
      </c>
      <c r="J873" s="444">
        <f t="array" ref="J873">IFERROR(INDEX('Retirement Calculator'!J:J,MATCH('Isaac 401k'!N873,'Retirement Calculator'!A:A,0),0),0)</f>
        <v>7896.2379798201846</v>
      </c>
      <c r="K873" s="444">
        <f t="shared" ca="1" si="79"/>
        <v>1633.3418328459391</v>
      </c>
      <c r="L873" s="444">
        <f t="shared" ca="1" si="80"/>
        <v>393635.38171587134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393635.38171587134</v>
      </c>
      <c r="J874" s="444">
        <f t="array" ref="J874">IFERROR(INDEX('Retirement Calculator'!J:J,MATCH('Isaac 401k'!N874,'Retirement Calculator'!A:A,0),0),0)</f>
        <v>7896.2379798201846</v>
      </c>
      <c r="K874" s="444">
        <f t="shared" ca="1" si="79"/>
        <v>1607.2464322335466</v>
      </c>
      <c r="L874" s="444">
        <f t="shared" ca="1" si="80"/>
        <v>387346.39016828471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387346.39016828471</v>
      </c>
      <c r="J875" s="444">
        <f t="array" ref="J875">IFERROR(INDEX('Retirement Calculator'!J:J,MATCH('Isaac 401k'!N875,'Retirement Calculator'!A:A,0),0),0)</f>
        <v>7896.2379798201846</v>
      </c>
      <c r="K875" s="444">
        <f t="shared" ca="1" si="79"/>
        <v>1581.0423007852689</v>
      </c>
      <c r="L875" s="444">
        <f t="shared" ca="1" si="80"/>
        <v>381031.19448924978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381031.19448924978</v>
      </c>
      <c r="J876" s="444">
        <f t="array" ref="J876">IFERROR(INDEX('Retirement Calculator'!J:J,MATCH('Isaac 401k'!N876,'Retirement Calculator'!A:A,0),0),0)</f>
        <v>7896.2379798201846</v>
      </c>
      <c r="K876" s="444">
        <f t="shared" ca="1" si="79"/>
        <v>1554.7289854559567</v>
      </c>
      <c r="L876" s="444">
        <f t="shared" ca="1" si="80"/>
        <v>374689.68549488555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374689.68549488555</v>
      </c>
      <c r="J877" s="444">
        <f t="array" ref="J877">IFERROR(INDEX('Retirement Calculator'!J:J,MATCH('Isaac 401k'!N877,'Retirement Calculator'!A:A,0),0),0)</f>
        <v>7896.2379798201846</v>
      </c>
      <c r="K877" s="444">
        <f t="shared" ca="1" si="79"/>
        <v>1528.3060313127723</v>
      </c>
      <c r="L877" s="444">
        <f t="shared" ca="1" si="80"/>
        <v>368321.75354637817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368321.75354637817</v>
      </c>
      <c r="J878" s="444">
        <f t="array" ref="J878">IFERROR(INDEX('Retirement Calculator'!J:J,MATCH('Isaac 401k'!N878,'Retirement Calculator'!A:A,0),0),0)</f>
        <v>7896.2379798201846</v>
      </c>
      <c r="K878" s="444">
        <f t="shared" ca="1" si="79"/>
        <v>1501.7729815273249</v>
      </c>
      <c r="L878" s="444">
        <f t="shared" ca="1" si="80"/>
        <v>361927.28854808531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361927.28854808531</v>
      </c>
      <c r="J879" s="444">
        <f t="array" ref="J879">IFERROR(INDEX('Retirement Calculator'!J:J,MATCH('Isaac 401k'!N879,'Retirement Calculator'!A:A,0),0),0)</f>
        <v>7896.2379798201846</v>
      </c>
      <c r="K879" s="444">
        <f t="shared" ca="1" si="79"/>
        <v>1475.1293773677714</v>
      </c>
      <c r="L879" s="444">
        <f t="shared" ca="1" si="80"/>
        <v>355506.17994563293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355506.17994563293</v>
      </c>
      <c r="J880" s="444">
        <f t="array" ref="J880">IFERROR(INDEX('Retirement Calculator'!J:J,MATCH('Isaac 401k'!N880,'Retirement Calculator'!A:A,0),0),0)</f>
        <v>7896.2379798201846</v>
      </c>
      <c r="K880" s="444">
        <f t="shared" ca="1" si="79"/>
        <v>1448.3747581908865</v>
      </c>
      <c r="L880" s="444">
        <f t="shared" ca="1" si="80"/>
        <v>349058.31672400364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349058.31672400364</v>
      </c>
      <c r="J881" s="444">
        <f t="array" ref="J881">IFERROR(INDEX('Retirement Calculator'!J:J,MATCH('Isaac 401k'!N881,'Retirement Calculator'!A:A,0),0),0)</f>
        <v>7896.2379798201846</v>
      </c>
      <c r="K881" s="444">
        <f t="shared" ca="1" si="79"/>
        <v>1421.5086614340978</v>
      </c>
      <c r="L881" s="444">
        <f t="shared" ca="1" si="80"/>
        <v>342583.58740561758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342583.58740561758</v>
      </c>
      <c r="J882" s="444">
        <f t="array" ref="J882">IFERROR(INDEX('Retirement Calculator'!J:J,MATCH('Isaac 401k'!N882,'Retirement Calculator'!A:A,0),0),0)</f>
        <v>7896.2379798201846</v>
      </c>
      <c r="K882" s="444">
        <f t="shared" ca="1" si="79"/>
        <v>1394.5306226074892</v>
      </c>
      <c r="L882" s="444">
        <f t="shared" ca="1" si="80"/>
        <v>336081.88004840491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336081.88004840491</v>
      </c>
      <c r="J883" s="444">
        <f t="array" ref="J883">IFERROR(INDEX('Retirement Calculator'!J:J,MATCH('Isaac 401k'!N883,'Retirement Calculator'!A:A,0),0),0)</f>
        <v>7896.2379798201846</v>
      </c>
      <c r="K883" s="444">
        <f t="shared" ca="1" si="79"/>
        <v>1367.4401752857698</v>
      </c>
      <c r="L883" s="444">
        <f t="shared" ca="1" si="80"/>
        <v>329553.08224387054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329553.08224387054</v>
      </c>
      <c r="J884" s="444">
        <f t="array" ref="J884">IFERROR(INDEX('Retirement Calculator'!J:J,MATCH('Isaac 401k'!N884,'Retirement Calculator'!A:A,0),0),0)</f>
        <v>7896.2379798201846</v>
      </c>
      <c r="K884" s="444">
        <f t="shared" ca="1" si="79"/>
        <v>1340.2368511002098</v>
      </c>
      <c r="L884" s="444">
        <f t="shared" ca="1" si="80"/>
        <v>322997.08111515059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322997.08111515059</v>
      </c>
      <c r="J885" s="444">
        <f t="array" ref="J885">IFERROR(INDEX('Retirement Calculator'!J:J,MATCH('Isaac 401k'!N885,'Retirement Calculator'!A:A,0),0),0)</f>
        <v>7896.2379798201846</v>
      </c>
      <c r="K885" s="444">
        <f t="shared" ca="1" si="79"/>
        <v>1312.9201797305434</v>
      </c>
      <c r="L885" s="444">
        <f t="shared" ca="1" si="80"/>
        <v>316413.76331506099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316413.76331506099</v>
      </c>
      <c r="J886" s="444">
        <f t="array" ref="J886">IFERROR(INDEX('Retirement Calculator'!J:J,MATCH('Isaac 401k'!N886,'Retirement Calculator'!A:A,0),0),0)</f>
        <v>7896.2379798201846</v>
      </c>
      <c r="K886" s="444">
        <f t="shared" ca="1" si="79"/>
        <v>1285.4896888968367</v>
      </c>
      <c r="L886" s="444">
        <f t="shared" ca="1" si="80"/>
        <v>309803.01502413768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309803.01502413768</v>
      </c>
      <c r="J887" s="444">
        <f t="array" ref="J887">IFERROR(INDEX('Retirement Calculator'!J:J,MATCH('Isaac 401k'!N887,'Retirement Calculator'!A:A,0),0),0)</f>
        <v>7896.2379798201846</v>
      </c>
      <c r="K887" s="444">
        <f t="shared" ca="1" si="79"/>
        <v>1257.944904351323</v>
      </c>
      <c r="L887" s="444">
        <f t="shared" ca="1" si="80"/>
        <v>303164.72194866883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303164.72194866883</v>
      </c>
      <c r="J888" s="444">
        <f t="array" ref="J888">IFERROR(INDEX('Retirement Calculator'!J:J,MATCH('Isaac 401k'!N888,'Retirement Calculator'!A:A,0),0),0)</f>
        <v>7896.2379798201846</v>
      </c>
      <c r="K888" s="444">
        <f t="shared" ca="1" si="79"/>
        <v>1230.2853498702027</v>
      </c>
      <c r="L888" s="444">
        <f t="shared" ca="1" si="80"/>
        <v>296498.76931871887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296498.76931871887</v>
      </c>
      <c r="J889" s="444">
        <f t="array" ref="J889">IFERROR(INDEX('Retirement Calculator'!J:J,MATCH('Isaac 401k'!N889,'Retirement Calculator'!A:A,0),0),0)</f>
        <v>7896.2379798201846</v>
      </c>
      <c r="K889" s="444">
        <f t="shared" ca="1" si="79"/>
        <v>1202.5105472454113</v>
      </c>
      <c r="L889" s="444">
        <f t="shared" ca="1" si="80"/>
        <v>289805.04188614408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289805.04188614408</v>
      </c>
      <c r="J890" s="444">
        <f t="array" ref="J890">IFERROR(INDEX('Retirement Calculator'!J:J,MATCH('Isaac 401k'!N890,'Retirement Calculator'!A:A,0),0),0)</f>
        <v>7896.2379798201846</v>
      </c>
      <c r="K890" s="444">
        <f t="shared" ca="1" si="79"/>
        <v>1174.6200162763496</v>
      </c>
      <c r="L890" s="444">
        <f t="shared" ca="1" si="80"/>
        <v>283083.42392260028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283083.42392260028</v>
      </c>
      <c r="J891" s="444">
        <f t="array" ref="J891">IFERROR(INDEX('Retirement Calculator'!J:J,MATCH('Isaac 401k'!N891,'Retirement Calculator'!A:A,0),0),0)</f>
        <v>7896.2379798201846</v>
      </c>
      <c r="K891" s="444">
        <f t="shared" ca="1" si="79"/>
        <v>1146.6132747615839</v>
      </c>
      <c r="L891" s="444">
        <f t="shared" ca="1" si="80"/>
        <v>276333.7992175417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276333.7992175417</v>
      </c>
      <c r="J892" s="444">
        <f t="array" ref="J892">IFERROR(INDEX('Retirement Calculator'!J:J,MATCH('Isaac 401k'!N892,'Retirement Calculator'!A:A,0),0),0)</f>
        <v>7896.2379798201846</v>
      </c>
      <c r="K892" s="444">
        <f t="shared" ca="1" si="79"/>
        <v>1118.4898384905064</v>
      </c>
      <c r="L892" s="444">
        <f t="shared" ca="1" si="80"/>
        <v>269556.05107621202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269556.05107621202</v>
      </c>
      <c r="J893" s="444">
        <f t="array" ref="J893">IFERROR(INDEX('Retirement Calculator'!J:J,MATCH('Isaac 401k'!N893,'Retirement Calculator'!A:A,0),0),0)</f>
        <v>7896.2379798201846</v>
      </c>
      <c r="K893" s="444">
        <f t="shared" ca="1" si="79"/>
        <v>1090.2492212349659</v>
      </c>
      <c r="L893" s="444">
        <f t="shared" ca="1" si="80"/>
        <v>262750.06231762684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262750.06231762684</v>
      </c>
      <c r="J894" s="444">
        <f t="array" ref="J894">IFERROR(INDEX('Retirement Calculator'!J:J,MATCH('Isaac 401k'!N894,'Retirement Calculator'!A:A,0),0),0)</f>
        <v>7896.2379798201846</v>
      </c>
      <c r="K894" s="444">
        <f t="shared" ca="1" si="79"/>
        <v>1061.8909347408612</v>
      </c>
      <c r="L894" s="444">
        <f t="shared" ca="1" si="80"/>
        <v>255915.71527254753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255915.71527254753</v>
      </c>
      <c r="J895" s="444">
        <f t="array" ref="J895">IFERROR(INDEX('Retirement Calculator'!J:J,MATCH('Isaac 401k'!N895,'Retirement Calculator'!A:A,0),0),0)</f>
        <v>7896.2379798201846</v>
      </c>
      <c r="K895" s="444">
        <f t="shared" ca="1" si="79"/>
        <v>1033.4144887196974</v>
      </c>
      <c r="L895" s="444">
        <f t="shared" ca="1" si="80"/>
        <v>249052.89178144705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249052.89178144705</v>
      </c>
      <c r="J896" s="444">
        <f t="array" ref="J896">IFERROR(INDEX('Retirement Calculator'!J:J,MATCH('Isaac 401k'!N896,'Retirement Calculator'!A:A,0),0),0)</f>
        <v>7896.2379798201846</v>
      </c>
      <c r="K896" s="444">
        <f t="shared" ca="1" si="79"/>
        <v>1004.8193908401121</v>
      </c>
      <c r="L896" s="444">
        <f t="shared" ca="1" si="80"/>
        <v>242161.47319246698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242161.47319246698</v>
      </c>
      <c r="J897" s="444">
        <f t="array" ref="J897">IFERROR(INDEX('Retirement Calculator'!J:J,MATCH('Isaac 401k'!N897,'Retirement Calculator'!A:A,0),0),0)</f>
        <v>7896.2379798201846</v>
      </c>
      <c r="K897" s="444">
        <f t="shared" ca="1" si="79"/>
        <v>976.10514671936164</v>
      </c>
      <c r="L897" s="444">
        <f t="shared" ca="1" si="80"/>
        <v>235241.34035936618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235241.34035936618</v>
      </c>
      <c r="J898" s="444">
        <f t="array" ref="J898">IFERROR(INDEX('Retirement Calculator'!J:J,MATCH('Isaac 401k'!N898,'Retirement Calculator'!A:A,0),0),0)</f>
        <v>7896.2379798201846</v>
      </c>
      <c r="K898" s="444">
        <f t="shared" ca="1" si="79"/>
        <v>947.27125991477499</v>
      </c>
      <c r="L898" s="444">
        <f t="shared" ca="1" si="80"/>
        <v>228292.37363946077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228292.37363946077</v>
      </c>
      <c r="J899" s="444">
        <f t="array" ref="J899">IFERROR(INDEX('Retirement Calculator'!J:J,MATCH('Isaac 401k'!N899,'Retirement Calculator'!A:A,0),0),0)</f>
        <v>7896.2379798201846</v>
      </c>
      <c r="K899" s="444">
        <f t="shared" ca="1" si="79"/>
        <v>918.31723191516915</v>
      </c>
      <c r="L899" s="444">
        <f t="shared" ca="1" si="80"/>
        <v>221314.45289155576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221314.45289155576</v>
      </c>
      <c r="J900" s="444">
        <f t="array" ref="J900">IFERROR(INDEX('Retirement Calculator'!J:J,MATCH('Isaac 401k'!N900,'Retirement Calculator'!A:A,0),0),0)</f>
        <v>7896.2379798201846</v>
      </c>
      <c r="K900" s="444">
        <f t="shared" ca="1" si="79"/>
        <v>889.24256213223157</v>
      </c>
      <c r="L900" s="444">
        <f t="shared" ca="1" si="80"/>
        <v>214307.45747386781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214307.45747386781</v>
      </c>
      <c r="J901" s="444">
        <f t="array" ref="J901">IFERROR(INDEX('Retirement Calculator'!J:J,MATCH('Isaac 401k'!N901,'Retirement Calculator'!A:A,0),0),0)</f>
        <v>7896.2379798201846</v>
      </c>
      <c r="K901" s="444">
        <f t="shared" ca="1" si="79"/>
        <v>860.04674789186527</v>
      </c>
      <c r="L901" s="444">
        <f t="shared" ca="1" si="80"/>
        <v>207271.26624193951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207271.26624193951</v>
      </c>
      <c r="J902" s="444">
        <f t="array" ref="J902">IFERROR(INDEX('Retirement Calculator'!J:J,MATCH('Isaac 401k'!N902,'Retirement Calculator'!A:A,0),0),0)</f>
        <v>7896.2379798201846</v>
      </c>
      <c r="K902" s="444">
        <f t="shared" ca="1" si="79"/>
        <v>830.72928442549721</v>
      </c>
      <c r="L902" s="444">
        <f t="shared" ca="1" si="80"/>
        <v>200205.75754654483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200205.75754654483</v>
      </c>
      <c r="J903" s="444">
        <f t="array" ref="J903">IFERROR(INDEX('Retirement Calculator'!J:J,MATCH('Isaac 401k'!N903,'Retirement Calculator'!A:A,0),0),0)</f>
        <v>7896.2379798201846</v>
      </c>
      <c r="K903" s="444">
        <f t="shared" ca="1" si="79"/>
        <v>801.28966486135278</v>
      </c>
      <c r="L903" s="444">
        <f t="shared" ca="1" si="80"/>
        <v>193110.809231586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193110.809231586</v>
      </c>
      <c r="J904" s="444">
        <f t="array" ref="J904">IFERROR(INDEX('Retirement Calculator'!J:J,MATCH('Isaac 401k'!N904,'Retirement Calculator'!A:A,0),0),0)</f>
        <v>7896.2379798201846</v>
      </c>
      <c r="K904" s="444">
        <f t="shared" ca="1" si="79"/>
        <v>771.72738021569091</v>
      </c>
      <c r="L904" s="444">
        <f t="shared" ca="1" si="80"/>
        <v>185986.29863198151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185986.29863198151</v>
      </c>
      <c r="J905" s="444">
        <f t="array" ref="J905">IFERROR(INDEX('Retirement Calculator'!J:J,MATCH('Isaac 401k'!N905,'Retirement Calculator'!A:A,0),0),0)</f>
        <v>7896.2379798201846</v>
      </c>
      <c r="K905" s="444">
        <f t="shared" ca="1" si="79"/>
        <v>742.04191938400561</v>
      </c>
      <c r="L905" s="444">
        <f t="shared" ca="1" si="80"/>
        <v>178832.10257154534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178832.10257154534</v>
      </c>
      <c r="J906" s="444">
        <f t="array" ref="J906">IFERROR(INDEX('Retirement Calculator'!J:J,MATCH('Isaac 401k'!N906,'Retirement Calculator'!A:A,0),0),0)</f>
        <v>7896.2379798201846</v>
      </c>
      <c r="K906" s="444">
        <f t="shared" ca="1" si="79"/>
        <v>712.2327691321882</v>
      </c>
      <c r="L906" s="444">
        <f t="shared" ca="1" si="80"/>
        <v>171648.09736085735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171648.09736085735</v>
      </c>
      <c r="J907" s="444">
        <f t="array" ref="J907">IFERROR(INDEX('Retirement Calculator'!J:J,MATCH('Isaac 401k'!N907,'Retirement Calculator'!A:A,0),0),0)</f>
        <v>7896.2379798201846</v>
      </c>
      <c r="K907" s="444">
        <f t="shared" ca="1" si="79"/>
        <v>682.2994140876549</v>
      </c>
      <c r="L907" s="444">
        <f t="shared" ca="1" si="80"/>
        <v>164434.15879512485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164434.15879512485</v>
      </c>
      <c r="J908" s="444">
        <f t="array" ref="J908">IFERROR(INDEX('Retirement Calculator'!J:J,MATCH('Isaac 401k'!N908,'Retirement Calculator'!A:A,0),0),0)</f>
        <v>7896.2379798201846</v>
      </c>
      <c r="K908" s="444">
        <f t="shared" ca="1" si="79"/>
        <v>652.24133673043616</v>
      </c>
      <c r="L908" s="444">
        <f t="shared" ca="1" si="80"/>
        <v>157190.1621520351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157190.1621520351</v>
      </c>
      <c r="J909" s="444">
        <f t="array" ref="J909">IFERROR(INDEX('Retirement Calculator'!J:J,MATCH('Isaac 401k'!N909,'Retirement Calculator'!A:A,0),0),0)</f>
        <v>7896.2379798201846</v>
      </c>
      <c r="K909" s="444">
        <f t="shared" ca="1" si="79"/>
        <v>622.05801738422883</v>
      </c>
      <c r="L909" s="444">
        <f t="shared" ca="1" si="80"/>
        <v>149915.98218959916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149915.98218959916</v>
      </c>
      <c r="J910" s="444">
        <f t="array" ref="J910">IFERROR(INDEX('Retirement Calculator'!J:J,MATCH('Isaac 401k'!N910,'Retirement Calculator'!A:A,0),0),0)</f>
        <v>7896.2379798201846</v>
      </c>
      <c r="K910" s="444">
        <f t="shared" ca="1" si="79"/>
        <v>591.7489342074125</v>
      </c>
      <c r="L910" s="444">
        <f t="shared" ca="1" si="80"/>
        <v>142611.49314398642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142611.49314398642</v>
      </c>
      <c r="J911" s="444">
        <f t="array" ref="J911">IFERROR(INDEX('Retirement Calculator'!J:J,MATCH('Isaac 401k'!N911,'Retirement Calculator'!A:A,0),0),0)</f>
        <v>7896.2379798201846</v>
      </c>
      <c r="K911" s="444">
        <f t="shared" ca="1" si="79"/>
        <v>561.31356318402595</v>
      </c>
      <c r="L911" s="444">
        <f t="shared" ca="1" si="80"/>
        <v>135276.56872735027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135276.56872735027</v>
      </c>
      <c r="J912" s="444">
        <f t="array" ref="J912">IFERROR(INDEX('Retirement Calculator'!J:J,MATCH('Isaac 401k'!N912,'Retirement Calculator'!A:A,0),0),0)</f>
        <v>7896.2379798201846</v>
      </c>
      <c r="K912" s="444">
        <f t="shared" ca="1" si="79"/>
        <v>530.7513781147087</v>
      </c>
      <c r="L912" s="444">
        <f t="shared" ca="1" si="80"/>
        <v>127911.0821256448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127911.0821256448</v>
      </c>
      <c r="J913" s="444">
        <f t="array" ref="J913">IFERROR(INDEX('Retirement Calculator'!J:J,MATCH('Isaac 401k'!N913,'Retirement Calculator'!A:A,0),0),0)</f>
        <v>7896.2379798201846</v>
      </c>
      <c r="K913" s="444">
        <f t="shared" ca="1" si="79"/>
        <v>500.06185060760259</v>
      </c>
      <c r="L913" s="444">
        <f t="shared" ca="1" si="80"/>
        <v>120514.90599643221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120514.90599643221</v>
      </c>
      <c r="J914" s="444">
        <f t="array" ref="J914">IFERROR(INDEX('Retirement Calculator'!J:J,MATCH('Isaac 401k'!N914,'Retirement Calculator'!A:A,0),0),0)</f>
        <v>7896.2379798201846</v>
      </c>
      <c r="K914" s="444">
        <f t="shared" ca="1" si="79"/>
        <v>469.24445006921673</v>
      </c>
      <c r="L914" s="444">
        <f t="shared" ca="1" si="80"/>
        <v>113087.91246668124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113087.91246668124</v>
      </c>
      <c r="J915" s="444">
        <f t="array" ref="J915">IFERROR(INDEX('Retirement Calculator'!J:J,MATCH('Isaac 401k'!N915,'Retirement Calculator'!A:A,0),0),0)</f>
        <v>7896.2379798201846</v>
      </c>
      <c r="K915" s="444">
        <f t="shared" ca="1" si="79"/>
        <v>438.29864369525438</v>
      </c>
      <c r="L915" s="444">
        <f t="shared" ca="1" si="80"/>
        <v>105629.9731305563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105629.9731305563</v>
      </c>
      <c r="J916" s="444">
        <f t="array" ref="J916">IFERROR(INDEX('Retirement Calculator'!J:J,MATCH('Isaac 401k'!N916,'Retirement Calculator'!A:A,0),0),0)</f>
        <v>7896.2379798201846</v>
      </c>
      <c r="K916" s="444">
        <f t="shared" ca="1" si="79"/>
        <v>407.2238964614005</v>
      </c>
      <c r="L916" s="444">
        <f t="shared" ca="1" si="80"/>
        <v>98140.95904719751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98140.95904719751</v>
      </c>
      <c r="J917" s="444">
        <f t="array" ref="J917">IFERROR(INDEX('Retirement Calculator'!J:J,MATCH('Isaac 401k'!N917,'Retirement Calculator'!A:A,0),0),0)</f>
        <v>7896.2379798201846</v>
      </c>
      <c r="K917" s="444">
        <f t="shared" ca="1" si="79"/>
        <v>376.0196711140722</v>
      </c>
      <c r="L917" s="444">
        <f t="shared" ca="1" si="80"/>
        <v>90620.740738491397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90620.740738491397</v>
      </c>
      <c r="J918" s="444">
        <f t="array" ref="J918">IFERROR(INDEX('Retirement Calculator'!J:J,MATCH('Isaac 401k'!N918,'Retirement Calculator'!A:A,0),0),0)</f>
        <v>7896.2379798201846</v>
      </c>
      <c r="K918" s="444">
        <f t="shared" ca="1" si="79"/>
        <v>344.68542816113006</v>
      </c>
      <c r="L918" s="444">
        <f t="shared" ca="1" si="80"/>
        <v>83069.18818683234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83069.18818683234</v>
      </c>
      <c r="J919" s="444">
        <f t="array" ref="J919">IFERROR(INDEX('Retirement Calculator'!J:J,MATCH('Isaac 401k'!N919,'Retirement Calculator'!A:A,0),0),0)</f>
        <v>7896.2379798201846</v>
      </c>
      <c r="K919" s="444">
        <f t="shared" ca="1" si="79"/>
        <v>313.22062586255061</v>
      </c>
      <c r="L919" s="444">
        <f t="shared" ca="1" si="80"/>
        <v>75486.170832874705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75486.170832874705</v>
      </c>
      <c r="J920" s="444">
        <f t="array" ref="J920">IFERROR(INDEX('Retirement Calculator'!J:J,MATCH('Isaac 401k'!N920,'Retirement Calculator'!A:A,0),0),0)</f>
        <v>7896.2379798201846</v>
      </c>
      <c r="K920" s="444">
        <f t="shared" ca="1" si="79"/>
        <v>281.6247202210605</v>
      </c>
      <c r="L920" s="444">
        <f t="shared" ca="1" si="80"/>
        <v>67871.557573275582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67871.557573275582</v>
      </c>
      <c r="J921" s="444">
        <f t="array" ref="J921">IFERROR(INDEX('Retirement Calculator'!J:J,MATCH('Isaac 401k'!N921,'Retirement Calculator'!A:A,0),0),0)</f>
        <v>7896.2379798201846</v>
      </c>
      <c r="K921" s="444">
        <f t="shared" ca="1" si="79"/>
        <v>249.89716497273079</v>
      </c>
      <c r="L921" s="444">
        <f t="shared" ca="1" si="80"/>
        <v>60225.216758428127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60225.216758428127</v>
      </c>
      <c r="J922" s="444">
        <f t="array" ref="J922">IFERROR(INDEX('Retirement Calculator'!J:J,MATCH('Isaac 401k'!N922,'Retirement Calculator'!A:A,0),0),0)</f>
        <v>7896.2379798201846</v>
      </c>
      <c r="K922" s="444">
        <f t="shared" ca="1" si="79"/>
        <v>218.03741157753305</v>
      </c>
      <c r="L922" s="444">
        <f t="shared" ca="1" si="80"/>
        <v>52547.016190185474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52547.016190185474</v>
      </c>
      <c r="J923" s="444">
        <f t="array" ref="J923">IFERROR(INDEX('Retirement Calculator'!J:J,MATCH('Isaac 401k'!N923,'Retirement Calculator'!A:A,0),0),0)</f>
        <v>7896.2379798201846</v>
      </c>
      <c r="K923" s="444">
        <f t="shared" ca="1" si="79"/>
        <v>186.04490920985535</v>
      </c>
      <c r="L923" s="444">
        <f t="shared" ca="1" si="80"/>
        <v>44836.823119575143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44836.823119575143</v>
      </c>
      <c r="J924" s="444">
        <f t="array" ref="J924">IFERROR(INDEX('Retirement Calculator'!J:J,MATCH('Isaac 401k'!N924,'Retirement Calculator'!A:A,0),0),0)</f>
        <v>7896.2379798201846</v>
      </c>
      <c r="K924" s="444">
        <f t="shared" ca="1" si="79"/>
        <v>153.91910474897898</v>
      </c>
      <c r="L924" s="444">
        <f t="shared" ca="1" si="80"/>
        <v>37094.504244503936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37094.504244503936</v>
      </c>
      <c r="J925" s="444">
        <f t="array" ref="J925">IFERROR(INDEX('Retirement Calculator'!J:J,MATCH('Isaac 401k'!N925,'Retirement Calculator'!A:A,0),0),0)</f>
        <v>7896.2379798201846</v>
      </c>
      <c r="K925" s="444">
        <f t="shared" ca="1" si="79"/>
        <v>121.65944276951564</v>
      </c>
      <c r="L925" s="444">
        <f t="shared" ca="1" si="80"/>
        <v>29319.925707453269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29319.925707453269</v>
      </c>
      <c r="J926" s="444">
        <f t="array" ref="J926">IFERROR(INDEX('Retirement Calculator'!J:J,MATCH('Isaac 401k'!N926,'Retirement Calculator'!A:A,0),0),0)</f>
        <v>7896.2379798201846</v>
      </c>
      <c r="K926" s="444">
        <f t="shared" ca="1" si="79"/>
        <v>89.26536553180452</v>
      </c>
      <c r="L926" s="444">
        <f t="shared" ca="1" si="80"/>
        <v>21512.953093164891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21512.953093164891</v>
      </c>
      <c r="J927" s="444">
        <f t="array" ref="J927">IFERROR(INDEX('Retirement Calculator'!J:J,MATCH('Isaac 401k'!N927,'Retirement Calculator'!A:A,0),0),0)</f>
        <v>7896.2379798201846</v>
      </c>
      <c r="K927" s="444">
        <f t="shared" ca="1" si="79"/>
        <v>56.736312972269616</v>
      </c>
      <c r="L927" s="444">
        <f t="shared" ca="1" si="80"/>
        <v>13673.451426316977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13673.451426316977</v>
      </c>
      <c r="J928" s="444">
        <f t="array" ref="J928">IFERROR(INDEX('Retirement Calculator'!J:J,MATCH('Isaac 401k'!N928,'Retirement Calculator'!A:A,0),0),0)</f>
        <v>7896.2379798201846</v>
      </c>
      <c r="K928" s="444">
        <f t="shared" ca="1" si="79"/>
        <v>24.071722693736632</v>
      </c>
      <c r="L928" s="444">
        <f t="shared" ca="1" si="80"/>
        <v>5801.2851691905289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5801.2851691905289</v>
      </c>
      <c r="J929" s="444">
        <f t="array" ref="J929">IFERROR(INDEX('Retirement Calculator'!J:J,MATCH('Isaac 401k'!N929,'Retirement Calculator'!A:A,0),0),0)</f>
        <v>7896.2379798201846</v>
      </c>
      <c r="K929" s="444">
        <f t="shared" ca="1" si="79"/>
        <v>-8.7289700442902323</v>
      </c>
      <c r="L929" s="444">
        <f t="shared" ca="1" si="80"/>
        <v>-2103.6817806739459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-2103.6817806739459</v>
      </c>
      <c r="J930" s="444">
        <f t="array" ref="J930">IFERROR(INDEX('Retirement Calculator'!J:J,MATCH('Isaac 401k'!N930,'Retirement Calculator'!A:A,0),0),0)</f>
        <v>7896.2379798201846</v>
      </c>
      <c r="K930" s="444">
        <f t="shared" ca="1" si="79"/>
        <v>-41.666332335392212</v>
      </c>
      <c r="L930" s="444">
        <f t="shared" ca="1" si="80"/>
        <v>-10041.586092829522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-10041.586092829522</v>
      </c>
      <c r="J931" s="444">
        <f t="array" ref="J931">IFERROR(INDEX('Retirement Calculator'!J:J,MATCH('Isaac 401k'!N931,'Retirement Calculator'!A:A,0),0),0)</f>
        <v>7896.2379798201846</v>
      </c>
      <c r="K931" s="444">
        <f t="shared" ca="1" si="79"/>
        <v>-74.740933636040438</v>
      </c>
      <c r="L931" s="444">
        <f t="shared" ca="1" si="80"/>
        <v>-18012.565006285746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-18012.565006285746</v>
      </c>
      <c r="J932" s="444">
        <f t="array" ref="J932">IFERROR(INDEX('Retirement Calculator'!J:J,MATCH('Isaac 401k'!N932,'Retirement Calculator'!A:A,0),0),0)</f>
        <v>7896.2379798201846</v>
      </c>
      <c r="K932" s="444">
        <f t="shared" ca="1" si="79"/>
        <v>-107.95334577544135</v>
      </c>
      <c r="L932" s="444">
        <f t="shared" ca="1" si="80"/>
        <v>-26016.75633188137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-26016.75633188137</v>
      </c>
      <c r="J933" s="444">
        <f t="array" ref="J933">IFERROR(INDEX('Retirement Calculator'!J:J,MATCH('Isaac 401k'!N933,'Retirement Calculator'!A:A,0),0),0)</f>
        <v>7896.2379798201846</v>
      </c>
      <c r="K933" s="444">
        <f t="shared" ca="1" si="79"/>
        <v>-141.30414296542315</v>
      </c>
      <c r="L933" s="444">
        <f t="shared" ca="1" si="80"/>
        <v>-34054.298454666983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-34054.298454666983</v>
      </c>
      <c r="J934" s="444">
        <f t="array" ref="J934">IFERROR(INDEX('Retirement Calculator'!J:J,MATCH('Isaac 401k'!N934,'Retirement Calculator'!A:A,0),0),0)</f>
        <v>7896.2379798201846</v>
      </c>
      <c r="K934" s="444">
        <f t="shared" ca="1" si="79"/>
        <v>-174.7939018103632</v>
      </c>
      <c r="L934" s="444">
        <f t="shared" ca="1" si="80"/>
        <v>-42125.330336297535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-42125.330336297535</v>
      </c>
      <c r="J935" s="444">
        <f t="array" ref="J935">IFERROR(INDEX('Retirement Calculator'!J:J,MATCH('Isaac 401k'!N935,'Retirement Calculator'!A:A,0),0),0)</f>
        <v>7896.2379798201846</v>
      </c>
      <c r="K935" s="444">
        <f t="shared" ca="1" si="79"/>
        <v>-208.42320131715718</v>
      </c>
      <c r="L935" s="444">
        <f t="shared" ca="1" si="80"/>
        <v>-50229.991517434879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-50229.991517434879</v>
      </c>
      <c r="J936" s="444">
        <f t="array" ref="J936">IFERROR(INDEX('Retirement Calculator'!J:J,MATCH('Isaac 401k'!N936,'Retirement Calculator'!A:A,0),0),0)</f>
        <v>7896.2379798201846</v>
      </c>
      <c r="K936" s="444">
        <f t="shared" ca="1" si="79"/>
        <v>-242.19262290522943</v>
      </c>
      <c r="L936" s="444">
        <f t="shared" ca="1" si="80"/>
        <v>-58368.422120160292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-58368.422120160292</v>
      </c>
      <c r="J937" s="444">
        <f t="array" ref="J937">IFERROR(INDEX('Retirement Calculator'!J:J,MATCH('Isaac 401k'!N937,'Retirement Calculator'!A:A,0),0),0)</f>
        <v>7896.2379798201846</v>
      </c>
      <c r="K937" s="444">
        <f t="shared" ca="1" si="79"/>
        <v>-276.10275041658531</v>
      </c>
      <c r="L937" s="444">
        <f t="shared" ca="1" si="80"/>
        <v>-66540.762850397063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-66540.762850397063</v>
      </c>
      <c r="J938" s="444">
        <f t="array" ref="J938">IFERROR(INDEX('Retirement Calculator'!J:J,MATCH('Isaac 401k'!N938,'Retirement Calculator'!A:A,0),0),0)</f>
        <v>7896.2379798201846</v>
      </c>
      <c r="K938" s="444">
        <f t="shared" ca="1" si="79"/>
        <v>-310.15417012590518</v>
      </c>
      <c r="L938" s="444">
        <f t="shared" ca="1" si="80"/>
        <v>-74747.155000343162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-74747.155000343162</v>
      </c>
      <c r="J939" s="444">
        <f t="array" ref="J939">IFERROR(INDEX('Retirement Calculator'!J:J,MATCH('Isaac 401k'!N939,'Retirement Calculator'!A:A,0),0),0)</f>
        <v>7896.2379798201846</v>
      </c>
      <c r="K939" s="444">
        <f t="shared" ca="1" si="79"/>
        <v>-344.3474707506806</v>
      </c>
      <c r="L939" s="444">
        <f t="shared" ca="1" si="80"/>
        <v>-82987.740450914032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-82987.740450914032</v>
      </c>
      <c r="J940" s="444">
        <f t="array" ref="J940">IFERROR(INDEX('Retirement Calculator'!J:J,MATCH('Isaac 401k'!N940,'Retirement Calculator'!A:A,0),0),0)</f>
        <v>7896.2379798201846</v>
      </c>
      <c r="K940" s="444">
        <f t="shared" ca="1" si="79"/>
        <v>-378.68324346139258</v>
      </c>
      <c r="L940" s="444">
        <f t="shared" ca="1" si="80"/>
        <v>-91262.66167419561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-91262.66167419561</v>
      </c>
      <c r="J941" s="444">
        <f t="array" ref="J941">IFERROR(INDEX('Retirement Calculator'!J:J,MATCH('Isaac 401k'!N941,'Retirement Calculator'!A:A,0),0),0)</f>
        <v>7896.2379798201846</v>
      </c>
      <c r="K941" s="444">
        <f t="shared" ca="1" si="79"/>
        <v>-413.1620818917325</v>
      </c>
      <c r="L941" s="444">
        <f t="shared" ca="1" si="80"/>
        <v>-99572.061735907526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-99572.061735907526</v>
      </c>
      <c r="J942" s="444">
        <f t="array" ref="J942">IFERROR(INDEX('Retirement Calculator'!J:J,MATCH('Isaac 401k'!N942,'Retirement Calculator'!A:A,0),0),0)</f>
        <v>7896.2379798201846</v>
      </c>
      <c r="K942" s="444">
        <f t="shared" ca="1" si="79"/>
        <v>-447.78458214886547</v>
      </c>
      <c r="L942" s="444">
        <f t="shared" ca="1" si="80"/>
        <v>-107916.08429787657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-107916.08429787657</v>
      </c>
      <c r="J943" s="444">
        <f t="array" ref="J943">IFERROR(INDEX('Retirement Calculator'!J:J,MATCH('Isaac 401k'!N943,'Retirement Calculator'!A:A,0),0),0)</f>
        <v>7896.2379798201846</v>
      </c>
      <c r="K943" s="444">
        <f t="shared" ca="1" si="79"/>
        <v>-482.55134282373649</v>
      </c>
      <c r="L943" s="444">
        <f t="shared" ca="1" si="80"/>
        <v>-116294.87362052049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-116294.87362052049</v>
      </c>
      <c r="J944" s="444">
        <f t="array" ref="J944">IFERROR(INDEX('Retirement Calculator'!J:J,MATCH('Isaac 401k'!N944,'Retirement Calculator'!A:A,0),0),0)</f>
        <v>7896.2379798201846</v>
      </c>
      <c r="K944" s="444">
        <f t="shared" ca="1" si="79"/>
        <v>-517.46296500141955</v>
      </c>
      <c r="L944" s="444">
        <f t="shared" ca="1" si="80"/>
        <v>-124708.5745653421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-124708.5745653421</v>
      </c>
      <c r="J945" s="444">
        <f t="array" ref="J945">IFERROR(INDEX('Retirement Calculator'!J:J,MATCH('Isaac 401k'!N945,'Retirement Calculator'!A:A,0),0),0)</f>
        <v>7896.2379798201846</v>
      </c>
      <c r="K945" s="444">
        <f t="shared" ca="1" si="79"/>
        <v>-552.52005227150948</v>
      </c>
      <c r="L945" s="444">
        <f t="shared" ca="1" si="80"/>
        <v>-133157.33259743379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-133157.33259743379</v>
      </c>
      <c r="J946" s="444">
        <f t="array" ref="J946">IFERROR(INDEX('Retirement Calculator'!J:J,MATCH('Isaac 401k'!N946,'Retirement Calculator'!A:A,0),0),0)</f>
        <v>7896.2379798201846</v>
      </c>
      <c r="K946" s="444">
        <f t="shared" ca="1" si="79"/>
        <v>-587.72321073855824</v>
      </c>
      <c r="L946" s="444">
        <f t="shared" ca="1" si="80"/>
        <v>-141641.29378799253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-141641.29378799253</v>
      </c>
      <c r="J947" s="444">
        <f t="array" ref="J947">IFERROR(INDEX('Retirement Calculator'!J:J,MATCH('Isaac 401k'!N947,'Retirement Calculator'!A:A,0),0),0)</f>
        <v>7896.2379798201846</v>
      </c>
      <c r="K947" s="444">
        <f t="shared" ca="1" si="79"/>
        <v>-623.07304903255294</v>
      </c>
      <c r="L947" s="444">
        <f t="shared" ca="1" si="80"/>
        <v>-150160.60481684527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-150160.60481684527</v>
      </c>
      <c r="J948" s="444">
        <f t="array" ref="J948">IFERROR(INDEX('Retirement Calculator'!J:J,MATCH('Isaac 401k'!N948,'Retirement Calculator'!A:A,0),0),0)</f>
        <v>7896.2379798201846</v>
      </c>
      <c r="K948" s="444">
        <f t="shared" ca="1" si="79"/>
        <v>-658.57017831943938</v>
      </c>
      <c r="L948" s="444">
        <f t="shared" ca="1" si="80"/>
        <v>-158715.41297498488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-158715.41297498488</v>
      </c>
      <c r="J949" s="444">
        <f t="array" ref="J949">IFERROR(INDEX('Retirement Calculator'!J:J,MATCH('Isaac 401k'!N949,'Retirement Calculator'!A:A,0),0),0)</f>
        <v>7896.2379798201846</v>
      </c>
      <c r="K949" s="444">
        <f t="shared" ca="1" si="79"/>
        <v>-694.21521231168776</v>
      </c>
      <c r="L949" s="444">
        <f t="shared" ca="1" si="80"/>
        <v>-167305.86616711674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-167305.86616711674</v>
      </c>
      <c r="J950" s="444">
        <f t="array" ref="J950">IFERROR(INDEX('Retirement Calculator'!J:J,MATCH('Isaac 401k'!N950,'Retirement Calculator'!A:A,0),0),0)</f>
        <v>7896.2379798201846</v>
      </c>
      <c r="K950" s="444">
        <f t="shared" ca="1" si="79"/>
        <v>-730.00876727890375</v>
      </c>
      <c r="L950" s="444">
        <f t="shared" ca="1" si="80"/>
        <v>-175932.1129142158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-175932.1129142158</v>
      </c>
      <c r="J951" s="444">
        <f t="array" ref="J951">IFERROR(INDEX('Retirement Calculator'!J:J,MATCH('Isaac 401k'!N951,'Retirement Calculator'!A:A,0),0),0)</f>
        <v>7896.2379798201846</v>
      </c>
      <c r="K951" s="444">
        <f t="shared" ca="1" si="79"/>
        <v>-765.95146205848323</v>
      </c>
      <c r="L951" s="444">
        <f t="shared" ca="1" si="80"/>
        <v>-184594.30235609447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-184594.30235609447</v>
      </c>
      <c r="J952" s="444">
        <f t="array" ref="J952">IFERROR(INDEX('Retirement Calculator'!J:J,MATCH('Isaac 401k'!N952,'Retirement Calculator'!A:A,0),0),0)</f>
        <v>7896.2379798201846</v>
      </c>
      <c r="K952" s="444">
        <f t="shared" ca="1" si="79"/>
        <v>-802.04391806631099</v>
      </c>
      <c r="L952" s="444">
        <f t="shared" ca="1" si="80"/>
        <v>-193292.58425398095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-193292.58425398095</v>
      </c>
      <c r="J953" s="444">
        <f t="array" ref="J953">IFERROR(INDEX('Retirement Calculator'!J:J,MATCH('Isaac 401k'!N953,'Retirement Calculator'!A:A,0),0),0)</f>
        <v>7896.2379798201846</v>
      </c>
      <c r="K953" s="444">
        <f t="shared" ca="1" si="79"/>
        <v>-838.28675930750467</v>
      </c>
      <c r="L953" s="444">
        <f t="shared" ca="1" si="80"/>
        <v>-202027.10899310862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-202027.10899310862</v>
      </c>
      <c r="J954" s="444">
        <f t="array" ref="J954">IFERROR(INDEX('Retirement Calculator'!J:J,MATCH('Isaac 401k'!N954,'Retirement Calculator'!A:A,0),0),0)</f>
        <v>7896.2379798201846</v>
      </c>
      <c r="K954" s="444">
        <f t="shared" ca="1" si="79"/>
        <v>-874.68061238720338</v>
      </c>
      <c r="L954" s="444">
        <f t="shared" ca="1" si="80"/>
        <v>-210798.02758531598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-210798.02758531598</v>
      </c>
      <c r="J955" s="444">
        <f t="array" ref="J955">IFERROR(INDEX('Retirement Calculator'!J:J,MATCH('Isaac 401k'!N955,'Retirement Calculator'!A:A,0),0),0)</f>
        <v>7896.2379798201846</v>
      </c>
      <c r="K955" s="444">
        <f t="shared" ca="1" si="79"/>
        <v>-911.22610652140054</v>
      </c>
      <c r="L955" s="444">
        <f t="shared" ca="1" si="80"/>
        <v>-219605.49167165757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-219605.49167165757</v>
      </c>
      <c r="J956" s="444">
        <f t="array" ref="J956">IFERROR(INDEX('Retirement Calculator'!J:J,MATCH('Isaac 401k'!N956,'Retirement Calculator'!A:A,0),0),0)</f>
        <v>7896.2379798201846</v>
      </c>
      <c r="K956" s="444">
        <f t="shared" ca="1" si="79"/>
        <v>-947.92387354782386</v>
      </c>
      <c r="L956" s="444">
        <f t="shared" ca="1" si="80"/>
        <v>-228449.65352502555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-228449.65352502555</v>
      </c>
      <c r="J957" s="444">
        <f t="array" ref="J957">IFERROR(INDEX('Retirement Calculator'!J:J,MATCH('Isaac 401k'!N957,'Retirement Calculator'!A:A,0),0),0)</f>
        <v>7896.2379798201846</v>
      </c>
      <c r="K957" s="444">
        <f t="shared" ca="1" si="79"/>
        <v>-984.77454793685718</v>
      </c>
      <c r="L957" s="444">
        <f t="shared" ca="1" si="80"/>
        <v>-237330.66605278259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-237330.66605278259</v>
      </c>
      <c r="J958" s="444">
        <f t="array" ref="J958">IFERROR(INDEX('Retirement Calculator'!J:J,MATCH('Isaac 401k'!N958,'Retirement Calculator'!A:A,0),0),0)</f>
        <v>7896.2379798201846</v>
      </c>
      <c r="K958" s="444">
        <f t="shared" ca="1" si="79"/>
        <v>-1021.7787668025117</v>
      </c>
      <c r="L958" s="444">
        <f t="shared" ca="1" si="80"/>
        <v>-246248.68279940527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-246248.68279940527</v>
      </c>
      <c r="J959" s="444">
        <f t="array" ref="J959">IFERROR(INDEX('Retirement Calculator'!J:J,MATCH('Isaac 401k'!N959,'Retirement Calculator'!A:A,0),0),0)</f>
        <v>7896.2379798201846</v>
      </c>
      <c r="K959" s="444">
        <f t="shared" ca="1" si="79"/>
        <v>-1058.9371699134394</v>
      </c>
      <c r="L959" s="444">
        <f t="shared" ca="1" si="80"/>
        <v>-255203.85794913888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-255203.85794913888</v>
      </c>
      <c r="J960" s="444">
        <f t="array" ref="J960">IFERROR(INDEX('Retirement Calculator'!J:J,MATCH('Isaac 401k'!N960,'Retirement Calculator'!A:A,0),0),0)</f>
        <v>7896.2379798201846</v>
      </c>
      <c r="K960" s="444">
        <f t="shared" ca="1" si="79"/>
        <v>-1096.2503997039962</v>
      </c>
      <c r="L960" s="444">
        <f t="shared" ca="1" si="80"/>
        <v>-264196.34632866306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-264196.34632866306</v>
      </c>
      <c r="J961" s="444">
        <f t="array" ref="J961">IFERROR(INDEX('Retirement Calculator'!J:J,MATCH('Isaac 401k'!N961,'Retirement Calculator'!A:A,0),0),0)</f>
        <v>7896.2379798201846</v>
      </c>
      <c r="K961" s="444">
        <f t="shared" ca="1" si="79"/>
        <v>-1133.7191012853468</v>
      </c>
      <c r="L961" s="444">
        <f t="shared" ca="1" si="80"/>
        <v>-273226.30340976856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-273226.30340976856</v>
      </c>
      <c r="J962" s="444">
        <f t="array" ref="J962">IFERROR(INDEX('Retirement Calculator'!J:J,MATCH('Isaac 401k'!N962,'Retirement Calculator'!A:A,0),0),0)</f>
        <v>7896.2379798201846</v>
      </c>
      <c r="K962" s="444">
        <f t="shared" ca="1" si="79"/>
        <v>-1171.3439224566198</v>
      </c>
      <c r="L962" s="444">
        <f t="shared" ca="1" si="80"/>
        <v>-282293.88531204534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-282293.88531204534</v>
      </c>
      <c r="J963" s="444">
        <f t="array" ref="J963">IFERROR(INDEX('Retirement Calculator'!J:J,MATCH('Isaac 401k'!N963,'Retirement Calculator'!A:A,0),0),0)</f>
        <v>7896.2379798201846</v>
      </c>
      <c r="K963" s="444">
        <f t="shared" ca="1" si="79"/>
        <v>-1209.1255137161063</v>
      </c>
      <c r="L963" s="444">
        <f t="shared" ca="1" si="80"/>
        <v>-291399.24880558165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-291399.24880558165</v>
      </c>
      <c r="J964" s="444">
        <f t="array" ref="J964">IFERROR(INDEX('Retirement Calculator'!J:J,MATCH('Isaac 401k'!N964,'Retirement Calculator'!A:A,0),0),0)</f>
        <v>7896.2379798201846</v>
      </c>
      <c r="K964" s="444">
        <f t="shared" ca="1" si="79"/>
        <v>-1247.0645282725077</v>
      </c>
      <c r="L964" s="444">
        <f t="shared" ca="1" si="80"/>
        <v>-300542.55131367431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-300542.55131367431</v>
      </c>
      <c r="J965" s="444">
        <f t="array" ref="J965">IFERROR(INDEX('Retirement Calculator'!J:J,MATCH('Isaac 401k'!N965,'Retirement Calculator'!A:A,0),0),0)</f>
        <v>7896.2379798201846</v>
      </c>
      <c r="K965" s="444">
        <f t="shared" ca="1" si="79"/>
        <v>-1285.1616220562271</v>
      </c>
      <c r="L965" s="444">
        <f t="shared" ca="1" si="80"/>
        <v>-309723.9509155507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-309723.9509155507</v>
      </c>
      <c r="J966" s="444">
        <f t="array" ref="J966">IFERROR(INDEX('Retirement Calculator'!J:J,MATCH('Isaac 401k'!N966,'Retirement Calculator'!A:A,0),0),0)</f>
        <v>7896.2379798201846</v>
      </c>
      <c r="K966" s="444">
        <f t="shared" ca="1" si="79"/>
        <v>-1323.4174537307119</v>
      </c>
      <c r="L966" s="444">
        <f t="shared" ca="1" si="80"/>
        <v>-318943.60634910158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-318943.60634910158</v>
      </c>
      <c r="J967" s="444">
        <f t="array" ref="J967">IFERROR(INDEX('Retirement Calculator'!J:J,MATCH('Isaac 401k'!N967,'Retirement Calculator'!A:A,0),0),0)</f>
        <v>7896.2379798201846</v>
      </c>
      <c r="K967" s="444">
        <f t="shared" ca="1" si="79"/>
        <v>-1361.8326847038406</v>
      </c>
      <c r="L967" s="444">
        <f t="shared" ca="1" si="80"/>
        <v>-328201.67701362562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-328201.67701362562</v>
      </c>
      <c r="J968" s="444">
        <f t="array" ref="J968">IFERROR(INDEX('Retirement Calculator'!J:J,MATCH('Isaac 401k'!N968,'Retirement Calculator'!A:A,0),0),0)</f>
        <v>7896.2379798201846</v>
      </c>
      <c r="K968" s="444">
        <f t="shared" ca="1" si="79"/>
        <v>-1400.4079791393574</v>
      </c>
      <c r="L968" s="444">
        <f t="shared" ca="1" si="80"/>
        <v>-337498.32297258516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-337498.32297258516</v>
      </c>
      <c r="J969" s="444">
        <f t="array" ref="J969">IFERROR(INDEX('Retirement Calculator'!J:J,MATCH('Isaac 401k'!N969,'Retirement Calculator'!A:A,0),0),0)</f>
        <v>7896.2379798201846</v>
      </c>
      <c r="K969" s="444">
        <f t="shared" ca="1" si="79"/>
        <v>-1439.1440039683555</v>
      </c>
      <c r="L969" s="444">
        <f t="shared" ca="1" si="80"/>
        <v>-346833.70495637367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-346833.70495637367</v>
      </c>
      <c r="J970" s="444">
        <f t="array" ref="J970">IFERROR(INDEX('Retirement Calculator'!J:J,MATCH('Isaac 401k'!N970,'Retirement Calculator'!A:A,0),0),0)</f>
        <v>7896.2379798201846</v>
      </c>
      <c r="K970" s="444">
        <f t="shared" ca="1" si="79"/>
        <v>-1478.0414289008077</v>
      </c>
      <c r="L970" s="444">
        <f t="shared" ca="1" si="80"/>
        <v>-356207.98436509463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-356207.98436509463</v>
      </c>
      <c r="J971" s="444">
        <f t="array" ref="J971">IFERROR(INDEX('Retirement Calculator'!J:J,MATCH('Isaac 401k'!N971,'Retirement Calculator'!A:A,0),0),0)</f>
        <v>7896.2379798201846</v>
      </c>
      <c r="K971" s="444">
        <f t="shared" ca="1" si="79"/>
        <v>-1517.1009264371451</v>
      </c>
      <c r="L971" s="444">
        <f t="shared" ca="1" si="80"/>
        <v>-365621.32327135192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-365621.32327135192</v>
      </c>
      <c r="J972" s="444">
        <f t="array" ref="J972">IFERROR(INDEX('Retirement Calculator'!J:J,MATCH('Isaac 401k'!N972,'Retirement Calculator'!A:A,0),0),0)</f>
        <v>7896.2379798201846</v>
      </c>
      <c r="K972" s="444">
        <f t="shared" ca="1" si="79"/>
        <v>-1556.3231718798838</v>
      </c>
      <c r="L972" s="444">
        <f t="shared" ca="1" si="80"/>
        <v>-375073.88442305196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-375073.88442305196</v>
      </c>
      <c r="J973" s="444">
        <f t="array" ref="J973">IFERROR(INDEX('Retirement Calculator'!J:J,MATCH('Isaac 401k'!N973,'Retirement Calculator'!A:A,0),0),0)</f>
        <v>7896.2379798201846</v>
      </c>
      <c r="K973" s="444">
        <f t="shared" ca="1" si="79"/>
        <v>-1595.7088433453005</v>
      </c>
      <c r="L973" s="444">
        <f t="shared" ca="1" si="80"/>
        <v>-384565.83124621742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-384565.83124621742</v>
      </c>
      <c r="J974" s="444">
        <f t="array" ref="J974">IFERROR(INDEX('Retirement Calculator'!J:J,MATCH('Isaac 401k'!N974,'Retirement Calculator'!A:A,0),0),0)</f>
        <v>7896.2379798201846</v>
      </c>
      <c r="K974" s="444">
        <f t="shared" ca="1" si="79"/>
        <v>-1635.2586217751566</v>
      </c>
      <c r="L974" s="444">
        <f t="shared" ca="1" si="80"/>
        <v>-394097.32784781273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-394097.32784781273</v>
      </c>
      <c r="J975" s="444">
        <f t="array" ref="J975">IFERROR(INDEX('Retirement Calculator'!J:J,MATCH('Isaac 401k'!N975,'Retirement Calculator'!A:A,0),0),0)</f>
        <v>7896.2379798201846</v>
      </c>
      <c r="K975" s="444">
        <f t="shared" ca="1" si="79"/>
        <v>-1674.9731909484703</v>
      </c>
      <c r="L975" s="444">
        <f t="shared" ca="1" si="80"/>
        <v>-403668.53901858139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-403668.53901858139</v>
      </c>
      <c r="J976" s="444">
        <f t="array" ref="J976">IFERROR(INDEX('Retirement Calculator'!J:J,MATCH('Isaac 401k'!N976,'Retirement Calculator'!A:A,0),0),0)</f>
        <v>7896.2379798201846</v>
      </c>
      <c r="K976" s="444">
        <f t="shared" ca="1" si="79"/>
        <v>-1714.8532374933397</v>
      </c>
      <c r="L976" s="444">
        <f t="shared" ca="1" si="80"/>
        <v>-413279.63023589487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-413279.63023589487</v>
      </c>
      <c r="J977" s="444">
        <f t="array" ref="J977">IFERROR(INDEX('Retirement Calculator'!J:J,MATCH('Isaac 401k'!N977,'Retirement Calculator'!A:A,0),0),0)</f>
        <v>7896.2379798201846</v>
      </c>
      <c r="K977" s="444">
        <f t="shared" ca="1" si="79"/>
        <v>-1754.8994508988126</v>
      </c>
      <c r="L977" s="444">
        <f t="shared" ca="1" si="80"/>
        <v>-422930.76766661386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-422930.76766661386</v>
      </c>
      <c r="J978" s="444">
        <f t="array" ref="J978">IFERROR(INDEX('Retirement Calculator'!J:J,MATCH('Isaac 401k'!N978,'Retirement Calculator'!A:A,0),0),0)</f>
        <v>7896.2379798201846</v>
      </c>
      <c r="K978" s="444">
        <f t="shared" ca="1" si="79"/>
        <v>-1795.1125235268084</v>
      </c>
      <c r="L978" s="444">
        <f t="shared" ca="1" si="80"/>
        <v>-432622.11816996086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-432622.11816996086</v>
      </c>
      <c r="J979" s="444">
        <f t="array" ref="J979">IFERROR(INDEX('Retirement Calculator'!J:J,MATCH('Isaac 401k'!N979,'Retirement Calculator'!A:A,0),0),0)</f>
        <v>7896.2379798201846</v>
      </c>
      <c r="K979" s="444">
        <f t="shared" ca="1" si="79"/>
        <v>-1835.4931506240875</v>
      </c>
      <c r="L979" s="444">
        <f t="shared" ca="1" si="80"/>
        <v>-442353.84930040513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-442353.84930040513</v>
      </c>
      <c r="J980" s="444">
        <f t="array" ref="J980">IFERROR(INDEX('Retirement Calculator'!J:J,MATCH('Isaac 401k'!N980,'Retirement Calculator'!A:A,0),0),0)</f>
        <v>7896.2379798201846</v>
      </c>
      <c r="K980" s="444">
        <f t="shared" ca="1" si="79"/>
        <v>-1876.0420303342721</v>
      </c>
      <c r="L980" s="444">
        <f t="shared" ca="1" si="80"/>
        <v>-452126.1293105596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-452126.1293105596</v>
      </c>
      <c r="J981" s="444">
        <f t="array" ref="J981">IFERROR(INDEX('Retirement Calculator'!J:J,MATCH('Isaac 401k'!N981,'Retirement Calculator'!A:A,0),0),0)</f>
        <v>7896.2379798201846</v>
      </c>
      <c r="K981" s="444">
        <f t="shared" ca="1" si="79"/>
        <v>-1916.7598637099156</v>
      </c>
      <c r="L981" s="444">
        <f t="shared" ca="1" si="80"/>
        <v>-461939.12715408969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-461939.12715408969</v>
      </c>
      <c r="J982" s="444">
        <f t="array" ref="J982">IFERROR(INDEX('Retirement Calculator'!J:J,MATCH('Isaac 401k'!N982,'Retirement Calculator'!A:A,0),0),0)</f>
        <v>7896.2379798201846</v>
      </c>
      <c r="K982" s="444">
        <f t="shared" ca="1" si="79"/>
        <v>-1957.6473547246244</v>
      </c>
      <c r="L982" s="444">
        <f t="shared" ca="1" si="80"/>
        <v>-471793.0124886345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-471793.0124886345</v>
      </c>
      <c r="J983" s="444">
        <f t="array" ref="J983">IFERROR(INDEX('Retirement Calculator'!J:J,MATCH('Isaac 401k'!N983,'Retirement Calculator'!A:A,0),0),0)</f>
        <v>7896.2379798201846</v>
      </c>
      <c r="K983" s="444">
        <f t="shared" ca="1" si="79"/>
        <v>-1998.7052102852278</v>
      </c>
      <c r="L983" s="444">
        <f t="shared" ca="1" si="80"/>
        <v>-481687.95567873988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-481687.95567873988</v>
      </c>
      <c r="J984" s="444">
        <f t="array" ref="J984">IFERROR(INDEX('Retirement Calculator'!J:J,MATCH('Isaac 401k'!N984,'Retirement Calculator'!A:A,0),0),0)</f>
        <v>7896.2379798201846</v>
      </c>
      <c r="K984" s="444">
        <f t="shared" ca="1" si="79"/>
        <v>-2039.9341402440002</v>
      </c>
      <c r="L984" s="444">
        <f t="shared" ca="1" si="80"/>
        <v>-491624.12779880402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-491624.12779880402</v>
      </c>
      <c r="J985" s="444">
        <f t="array" ref="J985">IFERROR(INDEX('Retirement Calculator'!J:J,MATCH('Isaac 401k'!N985,'Retirement Calculator'!A:A,0),0),0)</f>
        <v>7896.2379798201846</v>
      </c>
      <c r="K985" s="444">
        <f t="shared" ca="1" si="79"/>
        <v>-2081.3348574109345</v>
      </c>
      <c r="L985" s="444">
        <f t="shared" ca="1" si="80"/>
        <v>-501601.70063603512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-501601.70063603512</v>
      </c>
      <c r="J986" s="444">
        <f t="array" ref="J986">IFERROR(INDEX('Retirement Calculator'!J:J,MATCH('Isaac 401k'!N986,'Retirement Calculator'!A:A,0),0),0)</f>
        <v>7896.2379798201846</v>
      </c>
      <c r="K986" s="444">
        <f t="shared" ca="1" si="79"/>
        <v>-2122.9080775660641</v>
      </c>
      <c r="L986" s="444">
        <f t="shared" ca="1" si="80"/>
        <v>-511620.84669342136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-511620.84669342136</v>
      </c>
      <c r="J987" s="444">
        <f t="array" ref="J987">IFERROR(INDEX('Retirement Calculator'!J:J,MATCH('Isaac 401k'!N987,'Retirement Calculator'!A:A,0),0),0)</f>
        <v>7896.2379798201846</v>
      </c>
      <c r="K987" s="444">
        <f t="shared" ca="1" si="79"/>
        <v>-2164.6545194718401</v>
      </c>
      <c r="L987" s="444">
        <f t="shared" ca="1" si="80"/>
        <v>-521681.7391927134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-521681.7391927134</v>
      </c>
      <c r="J988" s="444">
        <f t="array" ref="J988">IFERROR(INDEX('Retirement Calculator'!J:J,MATCH('Isaac 401k'!N988,'Retirement Calculator'!A:A,0),0),0)</f>
        <v>7896.2379798201846</v>
      </c>
      <c r="K988" s="444">
        <f t="shared" ca="1" si="79"/>
        <v>-2206.5749048855569</v>
      </c>
      <c r="L988" s="444">
        <f t="shared" ca="1" si="80"/>
        <v>-531784.55207741924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-531784.55207741924</v>
      </c>
      <c r="J989" s="444">
        <f t="array" ref="J989">IFERROR(INDEX('Retirement Calculator'!J:J,MATCH('Isaac 401k'!N989,'Retirement Calculator'!A:A,0),0),0)</f>
        <v>7896.2379798201846</v>
      </c>
      <c r="K989" s="444">
        <f t="shared" ca="1" si="79"/>
        <v>-2248.6699585718311</v>
      </c>
      <c r="L989" s="444">
        <f t="shared" ca="1" si="80"/>
        <v>-541929.46001581126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-541929.46001581126</v>
      </c>
      <c r="J990" s="444">
        <f t="array" ref="J990">IFERROR(INDEX('Retirement Calculator'!J:J,MATCH('Isaac 401k'!N990,'Retirement Calculator'!A:A,0),0),0)</f>
        <v>7896.2379798201846</v>
      </c>
      <c r="K990" s="444">
        <f t="shared" ca="1" si="79"/>
        <v>-2290.9404083151312</v>
      </c>
      <c r="L990" s="444">
        <f t="shared" ca="1" si="80"/>
        <v>-552116.63840394665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-552116.63840394665</v>
      </c>
      <c r="J991" s="444">
        <f t="array" ref="J991">IFERROR(INDEX('Retirement Calculator'!J:J,MATCH('Isaac 401k'!N991,'Retirement Calculator'!A:A,0),0),0)</f>
        <v>7896.2379798201846</v>
      </c>
      <c r="K991" s="444">
        <f t="shared" ca="1" si="79"/>
        <v>-2333.3869849323619</v>
      </c>
      <c r="L991" s="444">
        <f t="shared" ca="1" si="80"/>
        <v>-562346.26336869923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-562346.26336869923</v>
      </c>
      <c r="J992" s="444">
        <f t="array" ref="J992">IFERROR(INDEX('Retirement Calculator'!J:J,MATCH('Isaac 401k'!N992,'Retirement Calculator'!A:A,0),0),0)</f>
        <v>7896.2379798201846</v>
      </c>
      <c r="K992" s="444">
        <f t="shared" ca="1" si="79"/>
        <v>-2376.010422285498</v>
      </c>
      <c r="L992" s="444">
        <f t="shared" ca="1" si="80"/>
        <v>-572618.51177080499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-572618.51177080499</v>
      </c>
      <c r="J993" s="444">
        <f t="array" ref="J993">IFERROR(INDEX('Retirement Calculator'!J:J,MATCH('Isaac 401k'!N993,'Retirement Calculator'!A:A,0),0),0)</f>
        <v>7896.2379798201846</v>
      </c>
      <c r="K993" s="444">
        <f t="shared" ca="1" si="79"/>
        <v>-2418.8114572942718</v>
      </c>
      <c r="L993" s="444">
        <f t="shared" ca="1" si="80"/>
        <v>-582933.5612079195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-582933.5612079195</v>
      </c>
      <c r="J994" s="444">
        <f t="array" ref="J994">IFERROR(INDEX('Retirement Calculator'!J:J,MATCH('Isaac 401k'!N994,'Retirement Calculator'!A:A,0),0),0)</f>
        <v>7896.2379798201846</v>
      </c>
      <c r="K994" s="444">
        <f t="shared" ca="1" si="79"/>
        <v>-2461.7908299489154</v>
      </c>
      <c r="L994" s="444">
        <f t="shared" ca="1" si="80"/>
        <v>-593291.59001768869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-593291.59001768869</v>
      </c>
      <c r="J995" s="444">
        <f t="array" ref="J995">IFERROR(INDEX('Retirement Calculator'!J:J,MATCH('Isaac 401k'!N995,'Retirement Calculator'!A:A,0),0),0)</f>
        <v>7896.2379798201846</v>
      </c>
      <c r="K995" s="444">
        <f t="shared" ca="1" si="79"/>
        <v>-2504.9492833229538</v>
      </c>
      <c r="L995" s="444">
        <f t="shared" ca="1" si="80"/>
        <v>-603692.77728083183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-603692.77728083183</v>
      </c>
      <c r="J996" s="444">
        <f t="array" ref="J996">IFERROR(INDEX('Retirement Calculator'!J:J,MATCH('Isaac 401k'!N996,'Retirement Calculator'!A:A,0),0),0)</f>
        <v>7896.2379798201846</v>
      </c>
      <c r="K996" s="444">
        <f t="shared" ca="1" si="79"/>
        <v>-2548.2875635860501</v>
      </c>
      <c r="L996" s="444">
        <f t="shared" ca="1" si="80"/>
        <v>-614137.30282423808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-614137.30282423808</v>
      </c>
      <c r="J997" s="444">
        <f t="array" ref="J997">IFERROR(INDEX('Retirement Calculator'!J:J,MATCH('Isaac 401k'!N997,'Retirement Calculator'!A:A,0),0),0)</f>
        <v>7896.2379798201846</v>
      </c>
      <c r="K997" s="444">
        <f t="shared" ca="1" si="79"/>
        <v>-2591.8064200169097</v>
      </c>
      <c r="L997" s="444">
        <f t="shared" ca="1" si="80"/>
        <v>-624625.34722407523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-624625.34722407523</v>
      </c>
      <c r="J998" s="444">
        <f t="array" ref="J998">IFERROR(INDEX('Retirement Calculator'!J:J,MATCH('Isaac 401k'!N998,'Retirement Calculator'!A:A,0),0),0)</f>
        <v>7896.2379798201846</v>
      </c>
      <c r="K998" s="444">
        <f t="shared" ca="1" si="79"/>
        <v>-2635.5066050162309</v>
      </c>
      <c r="L998" s="444">
        <f t="shared" ca="1" si="80"/>
        <v>-635157.09180891165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-635157.09180891165</v>
      </c>
      <c r="J999" s="444">
        <f t="array" ref="J999">IFERROR(INDEX('Retirement Calculator'!J:J,MATCH('Isaac 401k'!N999,'Retirement Calculator'!A:A,0),0),0)</f>
        <v>7896.2379798201846</v>
      </c>
      <c r="K999" s="444">
        <f t="shared" ca="1" si="79"/>
        <v>-2679.3888741197161</v>
      </c>
      <c r="L999" s="444">
        <f t="shared" ca="1" si="80"/>
        <v>-645732.71866285161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-645732.71866285161</v>
      </c>
      <c r="J1000" s="444">
        <f t="array" ref="J1000">IFERROR(INDEX('Retirement Calculator'!J:J,MATCH('Isaac 401k'!N1000,'Retirement Calculator'!A:A,0),0),0)</f>
        <v>7896.2379798201846</v>
      </c>
      <c r="K1000" s="444">
        <f t="shared" ca="1" si="79"/>
        <v>-2723.4539860111327</v>
      </c>
      <c r="L1000" s="444">
        <f t="shared" ca="1" si="80"/>
        <v>-656352.41062868293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-656352.41062868293</v>
      </c>
      <c r="J1001" s="444">
        <f t="array" ref="J1001">IFERROR(INDEX('Retirement Calculator'!J:J,MATCH('Isaac 401k'!N1001,'Retirement Calculator'!A:A,0),0),0)</f>
        <v>7896.2379798201846</v>
      </c>
      <c r="K1001" s="444">
        <f t="shared" ca="1" si="79"/>
        <v>-2767.70270253543</v>
      </c>
      <c r="L1001" s="444">
        <f t="shared" ca="1" si="80"/>
        <v>-667016.3513110386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-667016.3513110386</v>
      </c>
      <c r="J1002" s="444">
        <f t="array" ref="J1002">IFERROR(INDEX('Retirement Calculator'!J:J,MATCH('Isaac 401k'!N1002,'Retirement Calculator'!A:A,0),0),0)</f>
        <v>7896.2379798201846</v>
      </c>
      <c r="K1002" s="444">
        <f t="shared" ca="1" si="79"/>
        <v>-2812.1357887119116</v>
      </c>
      <c r="L1002" s="444">
        <f t="shared" ca="1" si="80"/>
        <v>-677724.72507957078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-677724.72507957078</v>
      </c>
      <c r="J1003" s="444">
        <f t="array" ref="J1003">IFERROR(INDEX('Retirement Calculator'!J:J,MATCH('Isaac 401k'!N1003,'Retirement Calculator'!A:A,0),0),0)</f>
        <v>7896.2379798201846</v>
      </c>
      <c r="K1003" s="444">
        <f t="shared" ca="1" si="79"/>
        <v>-2856.7540127474626</v>
      </c>
      <c r="L1003" s="444">
        <f t="shared" ca="1" si="80"/>
        <v>-688477.71707213845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>
        <f>G1003+1</f>
        <v>84</v>
      </c>
      <c r="H1004" s="459">
        <v>997</v>
      </c>
      <c r="I1004" s="444">
        <f t="shared" ca="1" si="81"/>
        <v>-688477.71707213845</v>
      </c>
      <c r="J1004" s="444">
        <f t="array" ref="J1004">IFERROR(INDEX('Retirement Calculator'!J:J,MATCH('Isaac 401k'!N1004,'Retirement Calculator'!A:A,0),0),0)</f>
        <v>7896.2379798201846</v>
      </c>
      <c r="K1004" s="444">
        <f t="shared" ca="1" si="79"/>
        <v>-2901.5581460498279</v>
      </c>
      <c r="L1004" s="444">
        <f t="shared" ca="1" si="80"/>
        <v>-699275.51319800853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>
        <f t="shared" ref="G1005:G1015" si="103">G1004</f>
        <v>84</v>
      </c>
      <c r="H1005" s="459">
        <v>998</v>
      </c>
      <c r="I1005" s="444">
        <f t="shared" ca="1" si="81"/>
        <v>-699275.51319800853</v>
      </c>
      <c r="J1005" s="444">
        <f t="array" ref="J1005">IFERROR(INDEX('Retirement Calculator'!J:J,MATCH('Isaac 401k'!N1005,'Retirement Calculator'!A:A,0),0),0)</f>
        <v>7896.2379798201846</v>
      </c>
      <c r="K1005" s="444">
        <f t="shared" ca="1" si="79"/>
        <v>-2946.5489632409531</v>
      </c>
      <c r="L1005" s="444">
        <f t="shared" ca="1" si="80"/>
        <v>-710118.30014106969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>
        <f t="shared" si="103"/>
        <v>84</v>
      </c>
      <c r="H1006" s="459">
        <v>999</v>
      </c>
      <c r="I1006" s="444">
        <f t="shared" ca="1" si="81"/>
        <v>-710118.30014106969</v>
      </c>
      <c r="J1006" s="444">
        <f t="array" ref="J1006">IFERROR(INDEX('Retirement Calculator'!J:J,MATCH('Isaac 401k'!N1006,'Retirement Calculator'!A:A,0),0),0)</f>
        <v>7896.2379798201846</v>
      </c>
      <c r="K1006" s="444">
        <f t="shared" ca="1" si="79"/>
        <v>-2991.7272421703747</v>
      </c>
      <c r="L1006" s="444">
        <f t="shared" ca="1" si="80"/>
        <v>-721006.26536306029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>
        <f t="shared" si="103"/>
        <v>84</v>
      </c>
      <c r="H1007" s="459">
        <v>1000</v>
      </c>
      <c r="I1007" s="444">
        <f t="shared" ca="1" si="81"/>
        <v>-721006.26536306029</v>
      </c>
      <c r="J1007" s="444">
        <f t="array" ref="J1007">IFERROR(INDEX('Retirement Calculator'!J:J,MATCH('Isaac 401k'!N1007,'Retirement Calculator'!A:A,0),0),0)</f>
        <v>7896.2379798201846</v>
      </c>
      <c r="K1007" s="444">
        <f t="shared" ca="1" si="79"/>
        <v>-3037.093763928669</v>
      </c>
      <c r="L1007" s="444">
        <f t="shared" ca="1" si="80"/>
        <v>-731939.59710680915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>
        <f t="shared" si="103"/>
        <v>84</v>
      </c>
      <c r="H1008" s="459">
        <v>1001</v>
      </c>
      <c r="I1008" s="444">
        <f t="shared" ca="1" si="81"/>
        <v>-731939.59710680915</v>
      </c>
      <c r="J1008" s="444">
        <f t="array" ref="J1008">IFERROR(INDEX('Retirement Calculator'!J:J,MATCH('Isaac 401k'!N1008,'Retirement Calculator'!A:A,0),0),0)</f>
        <v>7896.2379798201846</v>
      </c>
      <c r="K1008" s="444">
        <f t="shared" ca="1" si="79"/>
        <v>-3082.6493128609559</v>
      </c>
      <c r="L1008" s="444">
        <f t="shared" ca="1" si="80"/>
        <v>-742918.48439949029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>
        <f t="shared" si="103"/>
        <v>84</v>
      </c>
      <c r="H1009" s="459">
        <v>1002</v>
      </c>
      <c r="I1009" s="444">
        <f t="shared" ca="1" si="81"/>
        <v>-742918.48439949029</v>
      </c>
      <c r="J1009" s="444">
        <f t="array" ref="J1009">IFERROR(INDEX('Retirement Calculator'!J:J,MATCH('Isaac 401k'!N1009,'Retirement Calculator'!A:A,0),0),0)</f>
        <v>7896.2379798201846</v>
      </c>
      <c r="K1009" s="444">
        <f t="shared" ca="1" si="79"/>
        <v>-3128.3946765804603</v>
      </c>
      <c r="L1009" s="444">
        <f t="shared" ca="1" si="80"/>
        <v>-753943.11705589097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>
        <f t="shared" si="103"/>
        <v>84</v>
      </c>
      <c r="H1010" s="459">
        <v>1003</v>
      </c>
      <c r="I1010" s="444">
        <f t="shared" ca="1" si="81"/>
        <v>-753943.11705589097</v>
      </c>
      <c r="J1010" s="444">
        <f t="array" ref="J1010">IFERROR(INDEX('Retirement Calculator'!J:J,MATCH('Isaac 401k'!N1010,'Retirement Calculator'!A:A,0),0),0)</f>
        <v>7896.2379798201846</v>
      </c>
      <c r="K1010" s="444">
        <f t="shared" ca="1" si="79"/>
        <v>-3174.3306459821301</v>
      </c>
      <c r="L1010" s="444">
        <f t="shared" ca="1" si="80"/>
        <v>-765013.68568169337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>
        <f t="shared" si="103"/>
        <v>84</v>
      </c>
      <c r="H1011" s="459">
        <v>1004</v>
      </c>
      <c r="I1011" s="444">
        <f t="shared" ca="1" si="81"/>
        <v>-765013.68568169337</v>
      </c>
      <c r="J1011" s="444">
        <f t="array" ref="J1011">IFERROR(INDEX('Retirement Calculator'!J:J,MATCH('Isaac 401k'!N1011,'Retirement Calculator'!A:A,0),0),0)</f>
        <v>7896.2379798201846</v>
      </c>
      <c r="K1011" s="444">
        <f t="shared" ca="1" si="79"/>
        <v>-3220.4580152563067</v>
      </c>
      <c r="L1011" s="444">
        <f t="shared" ca="1" si="80"/>
        <v>-776130.38167676993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>
        <f t="shared" si="103"/>
        <v>84</v>
      </c>
      <c r="H1012" s="459">
        <v>1005</v>
      </c>
      <c r="I1012" s="444">
        <f t="shared" ca="1" si="81"/>
        <v>-776130.38167676993</v>
      </c>
      <c r="J1012" s="444">
        <f t="array" ref="J1012">IFERROR(INDEX('Retirement Calculator'!J:J,MATCH('Isaac 401k'!N1012,'Retirement Calculator'!A:A,0),0),0)</f>
        <v>7896.2379798201846</v>
      </c>
      <c r="K1012" s="444">
        <f t="shared" ca="1" si="79"/>
        <v>-3266.7775819024591</v>
      </c>
      <c r="L1012" s="444">
        <f t="shared" ca="1" si="80"/>
        <v>-787293.39723849262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>
        <f t="shared" si="103"/>
        <v>84</v>
      </c>
      <c r="H1013" s="459">
        <v>1006</v>
      </c>
      <c r="I1013" s="444">
        <f t="shared" ca="1" si="81"/>
        <v>-787293.39723849262</v>
      </c>
      <c r="J1013" s="444">
        <f t="array" ref="J1013">IFERROR(INDEX('Retirement Calculator'!J:J,MATCH('Isaac 401k'!N1013,'Retirement Calculator'!A:A,0),0),0)</f>
        <v>7896.2379798201846</v>
      </c>
      <c r="K1013" s="444">
        <f t="shared" ca="1" si="79"/>
        <v>-3313.2901467429701</v>
      </c>
      <c r="L1013" s="444">
        <f t="shared" ca="1" si="80"/>
        <v>-798502.92536505579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>
        <f t="shared" si="103"/>
        <v>84</v>
      </c>
      <c r="H1014" s="459">
        <v>1007</v>
      </c>
      <c r="I1014" s="444">
        <f t="shared" ca="1" si="81"/>
        <v>-798502.92536505579</v>
      </c>
      <c r="J1014" s="444">
        <f t="array" ref="J1014">IFERROR(INDEX('Retirement Calculator'!J:J,MATCH('Isaac 401k'!N1014,'Retirement Calculator'!A:A,0),0),0)</f>
        <v>7896.2379798201846</v>
      </c>
      <c r="K1014" s="444">
        <f t="shared" ca="1" si="79"/>
        <v>-3359.9965139369833</v>
      </c>
      <c r="L1014" s="444">
        <f t="shared" ca="1" si="80"/>
        <v>-809759.15985881304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>
        <f t="shared" si="103"/>
        <v>84</v>
      </c>
      <c r="H1015" s="459">
        <v>1008</v>
      </c>
      <c r="I1015" s="444">
        <f t="shared" ca="1" si="81"/>
        <v>-809759.15985881304</v>
      </c>
      <c r="J1015" s="444">
        <f t="array" ref="J1015">IFERROR(INDEX('Retirement Calculator'!J:J,MATCH('Isaac 401k'!N1015,'Retirement Calculator'!A:A,0),0),0)</f>
        <v>7896.2379798201846</v>
      </c>
      <c r="K1015" s="444">
        <f t="shared" ca="1" si="79"/>
        <v>-3406.8974909943054</v>
      </c>
      <c r="L1015" s="444">
        <f t="shared" ca="1" si="80"/>
        <v>-821062.29532962758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>
        <f>G1015+1</f>
        <v>85</v>
      </c>
      <c r="H1016" s="459">
        <v>1009</v>
      </c>
      <c r="I1016" s="444">
        <f t="shared" ca="1" si="81"/>
        <v>-821062.29532962758</v>
      </c>
      <c r="J1016" s="444">
        <f t="array" ref="J1016">IFERROR(INDEX('Retirement Calculator'!J:J,MATCH('Isaac 401k'!N1016,'Retirement Calculator'!A:A,0),0),0)</f>
        <v>7896.2379798201846</v>
      </c>
      <c r="K1016" s="444">
        <f t="shared" ca="1" si="79"/>
        <v>-3453.9938887893659</v>
      </c>
      <c r="L1016" s="444">
        <f t="shared" ca="1" si="80"/>
        <v>-832412.52719823713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>
        <f t="shared" ref="G1017:G1027" si="104">G1016</f>
        <v>85</v>
      </c>
      <c r="H1017" s="459">
        <v>1010</v>
      </c>
      <c r="I1017" s="444">
        <f t="shared" ca="1" si="81"/>
        <v>-832412.52719823713</v>
      </c>
      <c r="J1017" s="444">
        <f t="array" ref="J1017">IFERROR(INDEX('Retirement Calculator'!J:J,MATCH('Isaac 401k'!N1017,'Retirement Calculator'!A:A,0),0),0)</f>
        <v>7896.2379798201846</v>
      </c>
      <c r="K1017" s="444">
        <f t="shared" ca="1" si="79"/>
        <v>-3501.2865215752395</v>
      </c>
      <c r="L1017" s="444">
        <f t="shared" ca="1" si="80"/>
        <v>-843810.05169963266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>
        <f t="shared" si="104"/>
        <v>85</v>
      </c>
      <c r="H1018" s="459">
        <v>1011</v>
      </c>
      <c r="I1018" s="444">
        <f t="shared" ca="1" si="81"/>
        <v>-843810.05169963266</v>
      </c>
      <c r="J1018" s="444">
        <f t="array" ref="J1018">IFERROR(INDEX('Retirement Calculator'!J:J,MATCH('Isaac 401k'!N1018,'Retirement Calculator'!A:A,0),0),0)</f>
        <v>7896.2379798201846</v>
      </c>
      <c r="K1018" s="444">
        <f t="shared" ca="1" si="79"/>
        <v>-3548.7762069977198</v>
      </c>
      <c r="L1018" s="444">
        <f t="shared" ca="1" si="80"/>
        <v>-855255.06588645058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>
        <f t="shared" si="104"/>
        <v>85</v>
      </c>
      <c r="H1019" s="459">
        <v>1012</v>
      </c>
      <c r="I1019" s="444">
        <f t="shared" ca="1" si="81"/>
        <v>-855255.06588645058</v>
      </c>
      <c r="J1019" s="444">
        <f t="array" ref="J1019">IFERROR(INDEX('Retirement Calculator'!J:J,MATCH('Isaac 401k'!N1019,'Retirement Calculator'!A:A,0),0),0)</f>
        <v>7896.2379798201846</v>
      </c>
      <c r="K1019" s="444">
        <f t="shared" ca="1" si="79"/>
        <v>-3596.4637661094621</v>
      </c>
      <c r="L1019" s="444">
        <f t="shared" ca="1" si="80"/>
        <v>-866747.76763238024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>
        <f t="shared" si="104"/>
        <v>85</v>
      </c>
      <c r="H1020" s="459">
        <v>1013</v>
      </c>
      <c r="I1020" s="444">
        <f t="shared" ca="1" si="81"/>
        <v>-866747.76763238024</v>
      </c>
      <c r="J1020" s="444">
        <f t="array" ref="J1020">IFERROR(INDEX('Retirement Calculator'!J:J,MATCH('Isaac 401k'!N1020,'Retirement Calculator'!A:A,0),0),0)</f>
        <v>7896.2379798201846</v>
      </c>
      <c r="K1020" s="444">
        <f t="shared" ca="1" si="79"/>
        <v>-3644.3500233841687</v>
      </c>
      <c r="L1020" s="444">
        <f t="shared" ca="1" si="80"/>
        <v>-878288.35563558468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>
        <f t="shared" si="104"/>
        <v>85</v>
      </c>
      <c r="H1021" s="459">
        <v>1014</v>
      </c>
      <c r="I1021" s="444">
        <f t="shared" ca="1" si="81"/>
        <v>-878288.35563558468</v>
      </c>
      <c r="J1021" s="444">
        <f t="array" ref="J1021">IFERROR(INDEX('Retirement Calculator'!J:J,MATCH('Isaac 401k'!N1021,'Retirement Calculator'!A:A,0),0),0)</f>
        <v>7896.2379798201846</v>
      </c>
      <c r="K1021" s="444">
        <f t="shared" ca="1" si="79"/>
        <v>-3692.4358067308531</v>
      </c>
      <c r="L1021" s="444">
        <f t="shared" ca="1" si="80"/>
        <v>-889877.02942213579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>
        <f t="shared" si="104"/>
        <v>85</v>
      </c>
      <c r="H1022" s="459">
        <v>1015</v>
      </c>
      <c r="I1022" s="444">
        <f t="shared" ca="1" si="81"/>
        <v>-889877.02942213579</v>
      </c>
      <c r="J1022" s="444">
        <f t="array" ref="J1022">IFERROR(INDEX('Retirement Calculator'!J:J,MATCH('Isaac 401k'!N1022,'Retirement Calculator'!A:A,0),0),0)</f>
        <v>7896.2379798201846</v>
      </c>
      <c r="K1022" s="444">
        <f t="shared" ca="1" si="79"/>
        <v>-3740.7219475081497</v>
      </c>
      <c r="L1022" s="444">
        <f t="shared" ca="1" si="80"/>
        <v>-901513.98934946419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>
        <f t="shared" si="104"/>
        <v>85</v>
      </c>
      <c r="H1023" s="459">
        <v>1016</v>
      </c>
      <c r="I1023" s="444">
        <f t="shared" ca="1" si="81"/>
        <v>-901513.98934946419</v>
      </c>
      <c r="J1023" s="444">
        <f t="array" ref="J1023">IFERROR(INDEX('Retirement Calculator'!J:J,MATCH('Isaac 401k'!N1023,'Retirement Calculator'!A:A,0),0),0)</f>
        <v>7896.2379798201846</v>
      </c>
      <c r="K1023" s="444">
        <f t="shared" ca="1" si="79"/>
        <v>-3789.2092805386851</v>
      </c>
      <c r="L1023" s="444">
        <f t="shared" ca="1" si="80"/>
        <v>-913199.43660982314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>
        <f t="shared" si="104"/>
        <v>85</v>
      </c>
      <c r="H1024" s="459">
        <v>1017</v>
      </c>
      <c r="I1024" s="444">
        <f t="shared" ca="1" si="81"/>
        <v>-913199.43660982314</v>
      </c>
      <c r="J1024" s="444">
        <f t="array" ref="J1024">IFERROR(INDEX('Retirement Calculator'!J:J,MATCH('Isaac 401k'!N1024,'Retirement Calculator'!A:A,0),0),0)</f>
        <v>7896.2379798201846</v>
      </c>
      <c r="K1024" s="444">
        <f t="shared" ca="1" si="79"/>
        <v>-3837.8986441235138</v>
      </c>
      <c r="L1024" s="444">
        <f t="shared" ca="1" si="80"/>
        <v>-924933.57323376683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>
        <f t="shared" si="104"/>
        <v>85</v>
      </c>
      <c r="H1025" s="459">
        <v>1018</v>
      </c>
      <c r="I1025" s="444">
        <f t="shared" ca="1" si="81"/>
        <v>-924933.57323376683</v>
      </c>
      <c r="J1025" s="444">
        <f t="array" ref="J1025">IFERROR(INDEX('Retirement Calculator'!J:J,MATCH('Isaac 401k'!N1025,'Retirement Calculator'!A:A,0),0),0)</f>
        <v>7896.2379798201846</v>
      </c>
      <c r="K1025" s="444">
        <f t="shared" ca="1" si="79"/>
        <v>-3886.7908800566129</v>
      </c>
      <c r="L1025" s="444">
        <f t="shared" ca="1" si="80"/>
        <v>-936716.60209364363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>
        <f t="shared" si="104"/>
        <v>85</v>
      </c>
      <c r="H1026" s="459">
        <v>1019</v>
      </c>
      <c r="I1026" s="444">
        <f t="shared" ca="1" si="81"/>
        <v>-936716.60209364363</v>
      </c>
      <c r="J1026" s="444">
        <f t="array" ref="J1026">IFERROR(INDEX('Retirement Calculator'!J:J,MATCH('Isaac 401k'!N1026,'Retirement Calculator'!A:A,0),0),0)</f>
        <v>7896.2379798201846</v>
      </c>
      <c r="K1026" s="444">
        <f t="shared" ca="1" si="79"/>
        <v>-3935.886833639433</v>
      </c>
      <c r="L1026" s="444">
        <f t="shared" ca="1" si="80"/>
        <v>-948548.72690710332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>
        <f t="shared" si="104"/>
        <v>85</v>
      </c>
      <c r="H1027" s="459">
        <v>1020</v>
      </c>
      <c r="I1027" s="444">
        <f t="shared" ca="1" si="81"/>
        <v>-948548.72690710332</v>
      </c>
      <c r="J1027" s="444">
        <f t="array" ref="J1027">IFERROR(INDEX('Retirement Calculator'!J:J,MATCH('Isaac 401k'!N1027,'Retirement Calculator'!A:A,0),0),0)</f>
        <v>7896.2379798201846</v>
      </c>
      <c r="K1027" s="444">
        <f t="shared" ca="1" si="79"/>
        <v>-3985.187353695514</v>
      </c>
      <c r="L1027" s="444">
        <f t="shared" ca="1" si="80"/>
        <v>-960430.15224061906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>
        <f>G1027+1</f>
        <v>86</v>
      </c>
      <c r="H1028" s="459">
        <v>1021</v>
      </c>
      <c r="I1028" s="444">
        <f t="shared" ca="1" si="81"/>
        <v>-960430.15224061906</v>
      </c>
      <c r="J1028" s="444">
        <f t="array" ref="J1028">IFERROR(INDEX('Retirement Calculator'!J:J,MATCH('Isaac 401k'!N1028,'Retirement Calculator'!A:A,0),0),0)</f>
        <v>7896.2379798201846</v>
      </c>
      <c r="K1028" s="444">
        <f t="shared" ref="K1028:K1282" ca="1" si="105">IPMT(M1028/12,1,12,-I1028+J1028,,0)</f>
        <v>-4034.6932925851643</v>
      </c>
      <c r="L1028" s="444">
        <f t="shared" ref="L1028:L1282" ca="1" si="106">I1028-J1028+K1028</f>
        <v>-972361.0835130245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>
        <f t="shared" ref="G1029:G1039" si="107">G1028</f>
        <v>86</v>
      </c>
      <c r="H1029" s="459">
        <v>1022</v>
      </c>
      <c r="I1029" s="444">
        <f t="shared" ref="I1029:I1283" ca="1" si="108">L1028</f>
        <v>-972361.0835130245</v>
      </c>
      <c r="J1029" s="444">
        <f t="array" ref="J1029">IFERROR(INDEX('Retirement Calculator'!J:J,MATCH('Isaac 401k'!N1029,'Retirement Calculator'!A:A,0),0),0)</f>
        <v>7896.2379798201846</v>
      </c>
      <c r="K1029" s="444">
        <f t="shared" ca="1" si="105"/>
        <v>-4084.405506220186</v>
      </c>
      <c r="L1029" s="444">
        <f t="shared" ca="1" si="106"/>
        <v>-984341.72699906491</v>
      </c>
      <c r="M1029" s="460">
        <f t="shared" ref="M1029:M1283" si="109">M1028</f>
        <v>0.05</v>
      </c>
      <c r="N1029" s="464">
        <f t="shared" ref="N1029:N1283" si="110">EDATE(N1028,1)</f>
        <v>82363</v>
      </c>
    </row>
    <row r="1030" spans="7:14" ht="11.25" customHeight="1" x14ac:dyDescent="0.3">
      <c r="G1030" s="459">
        <f t="shared" si="107"/>
        <v>86</v>
      </c>
      <c r="H1030" s="459">
        <v>1023</v>
      </c>
      <c r="I1030" s="444">
        <f t="shared" ca="1" si="108"/>
        <v>-984341.72699906491</v>
      </c>
      <c r="J1030" s="444">
        <f t="array" ref="J1030">IFERROR(INDEX('Retirement Calculator'!J:J,MATCH('Isaac 401k'!N1030,'Retirement Calculator'!A:A,0),0),0)</f>
        <v>7896.2379798201846</v>
      </c>
      <c r="K1030" s="444">
        <f t="shared" ca="1" si="105"/>
        <v>-4134.3248540786881</v>
      </c>
      <c r="L1030" s="444">
        <f t="shared" ca="1" si="106"/>
        <v>-996372.28983296384</v>
      </c>
      <c r="M1030" s="460">
        <f t="shared" si="109"/>
        <v>0.05</v>
      </c>
      <c r="N1030" s="464">
        <f t="shared" si="110"/>
        <v>82394</v>
      </c>
    </row>
    <row r="1031" spans="7:14" ht="11.25" customHeight="1" x14ac:dyDescent="0.3">
      <c r="G1031" s="459">
        <f t="shared" si="107"/>
        <v>86</v>
      </c>
      <c r="H1031" s="459">
        <v>1024</v>
      </c>
      <c r="I1031" s="444">
        <f t="shared" ca="1" si="108"/>
        <v>-996372.28983296384</v>
      </c>
      <c r="J1031" s="444">
        <f t="array" ref="J1031">IFERROR(INDEX('Retirement Calculator'!J:J,MATCH('Isaac 401k'!N1031,'Retirement Calculator'!A:A,0),0),0)</f>
        <v>7896.2379798201846</v>
      </c>
      <c r="K1031" s="444">
        <f t="shared" ca="1" si="105"/>
        <v>-4184.4521992199334</v>
      </c>
      <c r="L1031" s="444">
        <f t="shared" ca="1" si="106"/>
        <v>-1008452.980012004</v>
      </c>
      <c r="M1031" s="460">
        <f t="shared" si="109"/>
        <v>0.05</v>
      </c>
      <c r="N1031" s="464">
        <f t="shared" si="110"/>
        <v>82425</v>
      </c>
    </row>
    <row r="1032" spans="7:14" ht="11.25" customHeight="1" x14ac:dyDescent="0.3">
      <c r="G1032" s="459">
        <f t="shared" si="107"/>
        <v>86</v>
      </c>
      <c r="H1032" s="459">
        <v>1025</v>
      </c>
      <c r="I1032" s="444">
        <f t="shared" ca="1" si="108"/>
        <v>-1008452.980012004</v>
      </c>
      <c r="J1032" s="444">
        <f t="array" ref="J1032">IFERROR(INDEX('Retirement Calculator'!J:J,MATCH('Isaac 401k'!N1032,'Retirement Calculator'!A:A,0),0),0)</f>
        <v>7896.2379798201846</v>
      </c>
      <c r="K1032" s="444">
        <f t="shared" ca="1" si="105"/>
        <v>-4234.7884082992678</v>
      </c>
      <c r="L1032" s="444">
        <f t="shared" ca="1" si="106"/>
        <v>-1020584.0064001235</v>
      </c>
      <c r="M1032" s="460">
        <f t="shared" si="109"/>
        <v>0.05</v>
      </c>
      <c r="N1032" s="464">
        <f t="shared" si="110"/>
        <v>82455</v>
      </c>
    </row>
    <row r="1033" spans="7:14" ht="11.25" customHeight="1" x14ac:dyDescent="0.3">
      <c r="G1033" s="459">
        <f t="shared" si="107"/>
        <v>86</v>
      </c>
      <c r="H1033" s="459">
        <v>1026</v>
      </c>
      <c r="I1033" s="444">
        <f t="shared" ca="1" si="108"/>
        <v>-1020584.0064001235</v>
      </c>
      <c r="J1033" s="444">
        <f t="array" ref="J1033">IFERROR(INDEX('Retirement Calculator'!J:J,MATCH('Isaac 401k'!N1033,'Retirement Calculator'!A:A,0),0),0)</f>
        <v>7896.2379798201846</v>
      </c>
      <c r="K1033" s="444">
        <f t="shared" ca="1" si="105"/>
        <v>-4285.3343515830984</v>
      </c>
      <c r="L1033" s="444">
        <f t="shared" ca="1" si="106"/>
        <v>-1032765.5787315269</v>
      </c>
      <c r="M1033" s="460">
        <f t="shared" si="109"/>
        <v>0.05</v>
      </c>
      <c r="N1033" s="464">
        <f t="shared" si="110"/>
        <v>82486</v>
      </c>
    </row>
    <row r="1034" spans="7:14" ht="11.25" customHeight="1" x14ac:dyDescent="0.3">
      <c r="G1034" s="459">
        <f t="shared" si="107"/>
        <v>86</v>
      </c>
      <c r="H1034" s="459">
        <v>1027</v>
      </c>
      <c r="I1034" s="444">
        <f t="shared" ca="1" si="108"/>
        <v>-1032765.5787315269</v>
      </c>
      <c r="J1034" s="444">
        <f t="array" ref="J1034">IFERROR(INDEX('Retirement Calculator'!J:J,MATCH('Isaac 401k'!N1034,'Retirement Calculator'!A:A,0),0),0)</f>
        <v>7896.2379798201846</v>
      </c>
      <c r="K1034" s="444">
        <f t="shared" ca="1" si="105"/>
        <v>-4336.090902963947</v>
      </c>
      <c r="L1034" s="444">
        <f t="shared" ca="1" si="106"/>
        <v>-1044997.9076143111</v>
      </c>
      <c r="M1034" s="460">
        <f t="shared" si="109"/>
        <v>0.05</v>
      </c>
      <c r="N1034" s="464">
        <f t="shared" si="110"/>
        <v>82516</v>
      </c>
    </row>
    <row r="1035" spans="7:14" ht="11.25" customHeight="1" x14ac:dyDescent="0.3">
      <c r="G1035" s="459">
        <f t="shared" si="107"/>
        <v>86</v>
      </c>
      <c r="H1035" s="459">
        <v>1028</v>
      </c>
      <c r="I1035" s="444">
        <f t="shared" ca="1" si="108"/>
        <v>-1044997.9076143111</v>
      </c>
      <c r="J1035" s="444">
        <f t="array" ref="J1035">IFERROR(INDEX('Retirement Calculator'!J:J,MATCH('Isaac 401k'!N1035,'Retirement Calculator'!A:A,0),0),0)</f>
        <v>7896.2379798201846</v>
      </c>
      <c r="K1035" s="444">
        <f t="shared" ca="1" si="105"/>
        <v>-4387.0589399755463</v>
      </c>
      <c r="L1035" s="444">
        <f t="shared" ca="1" si="106"/>
        <v>-1057281.2045341067</v>
      </c>
      <c r="M1035" s="460">
        <f t="shared" si="109"/>
        <v>0.05</v>
      </c>
      <c r="N1035" s="464">
        <f t="shared" si="110"/>
        <v>82547</v>
      </c>
    </row>
    <row r="1036" spans="7:14" ht="11.25" customHeight="1" x14ac:dyDescent="0.3">
      <c r="G1036" s="459">
        <f t="shared" si="107"/>
        <v>86</v>
      </c>
      <c r="H1036" s="459">
        <v>1029</v>
      </c>
      <c r="I1036" s="444">
        <f t="shared" ca="1" si="108"/>
        <v>-1057281.2045341067</v>
      </c>
      <c r="J1036" s="444">
        <f t="array" ref="J1036">IFERROR(INDEX('Retirement Calculator'!J:J,MATCH('Isaac 401k'!N1036,'Retirement Calculator'!A:A,0),0),0)</f>
        <v>7896.2379798201846</v>
      </c>
      <c r="K1036" s="444">
        <f t="shared" ca="1" si="105"/>
        <v>-4438.2393438080289</v>
      </c>
      <c r="L1036" s="444">
        <f t="shared" ca="1" si="106"/>
        <v>-1069615.6818577349</v>
      </c>
      <c r="M1036" s="460">
        <f t="shared" si="109"/>
        <v>0.05</v>
      </c>
      <c r="N1036" s="464">
        <f t="shared" si="110"/>
        <v>82578</v>
      </c>
    </row>
    <row r="1037" spans="7:14" ht="11.25" customHeight="1" x14ac:dyDescent="0.3">
      <c r="G1037" s="459">
        <f t="shared" si="107"/>
        <v>86</v>
      </c>
      <c r="H1037" s="459">
        <v>1030</v>
      </c>
      <c r="I1037" s="444">
        <f t="shared" ca="1" si="108"/>
        <v>-1069615.6818577349</v>
      </c>
      <c r="J1037" s="444">
        <f t="array" ref="J1037">IFERROR(INDEX('Retirement Calculator'!J:J,MATCH('Isaac 401k'!N1037,'Retirement Calculator'!A:A,0),0),0)</f>
        <v>7896.2379798201846</v>
      </c>
      <c r="K1037" s="444">
        <f t="shared" ca="1" si="105"/>
        <v>-4489.6329993231466</v>
      </c>
      <c r="L1037" s="444">
        <f t="shared" ca="1" si="106"/>
        <v>-1082001.5528368782</v>
      </c>
      <c r="M1037" s="460">
        <f t="shared" si="109"/>
        <v>0.05</v>
      </c>
      <c r="N1037" s="464">
        <f t="shared" si="110"/>
        <v>82606</v>
      </c>
    </row>
    <row r="1038" spans="7:14" ht="11.25" customHeight="1" x14ac:dyDescent="0.3">
      <c r="G1038" s="459">
        <f t="shared" si="107"/>
        <v>86</v>
      </c>
      <c r="H1038" s="459">
        <v>1031</v>
      </c>
      <c r="I1038" s="444">
        <f t="shared" ca="1" si="108"/>
        <v>-1082001.5528368782</v>
      </c>
      <c r="J1038" s="444">
        <f t="array" ref="J1038">IFERROR(INDEX('Retirement Calculator'!J:J,MATCH('Isaac 401k'!N1038,'Retirement Calculator'!A:A,0),0),0)</f>
        <v>7896.2379798201846</v>
      </c>
      <c r="K1038" s="444">
        <f t="shared" ca="1" si="105"/>
        <v>-4541.240795069577</v>
      </c>
      <c r="L1038" s="444">
        <f t="shared" ca="1" si="106"/>
        <v>-1094439.0316117681</v>
      </c>
      <c r="M1038" s="460">
        <f t="shared" si="109"/>
        <v>0.05</v>
      </c>
      <c r="N1038" s="464">
        <f t="shared" si="110"/>
        <v>82637</v>
      </c>
    </row>
    <row r="1039" spans="7:14" ht="11.25" customHeight="1" x14ac:dyDescent="0.3">
      <c r="G1039" s="459">
        <f t="shared" si="107"/>
        <v>86</v>
      </c>
      <c r="H1039" s="459">
        <v>1032</v>
      </c>
      <c r="I1039" s="444">
        <f t="shared" ca="1" si="108"/>
        <v>-1094439.0316117681</v>
      </c>
      <c r="J1039" s="444">
        <f t="array" ref="J1039">IFERROR(INDEX('Retirement Calculator'!J:J,MATCH('Isaac 401k'!N1039,'Retirement Calculator'!A:A,0),0),0)</f>
        <v>7896.2379798201846</v>
      </c>
      <c r="K1039" s="444">
        <f t="shared" ca="1" si="105"/>
        <v>-4593.0636232982843</v>
      </c>
      <c r="L1039" s="444">
        <f t="shared" ca="1" si="106"/>
        <v>-1106928.3332148865</v>
      </c>
      <c r="M1039" s="460">
        <f t="shared" si="109"/>
        <v>0.05</v>
      </c>
      <c r="N1039" s="464">
        <f t="shared" si="110"/>
        <v>82667</v>
      </c>
    </row>
    <row r="1040" spans="7:14" ht="11.25" customHeight="1" x14ac:dyDescent="0.3">
      <c r="G1040" s="459">
        <f>G1039+1</f>
        <v>87</v>
      </c>
      <c r="H1040" s="459">
        <v>1033</v>
      </c>
      <c r="I1040" s="444">
        <f t="shared" ca="1" si="108"/>
        <v>-1106928.3332148865</v>
      </c>
      <c r="J1040" s="444">
        <f t="array" ref="J1040">IFERROR(INDEX('Retirement Calculator'!J:J,MATCH('Isaac 401k'!N1040,'Retirement Calculator'!A:A,0),0),0)</f>
        <v>7896.2379798201846</v>
      </c>
      <c r="K1040" s="444">
        <f t="shared" ca="1" si="105"/>
        <v>-4645.102379977945</v>
      </c>
      <c r="L1040" s="444">
        <f t="shared" ca="1" si="106"/>
        <v>-1119469.6735746847</v>
      </c>
      <c r="M1040" s="460">
        <f t="shared" si="109"/>
        <v>0.05</v>
      </c>
      <c r="N1040" s="464">
        <f t="shared" si="110"/>
        <v>82698</v>
      </c>
    </row>
    <row r="1041" spans="7:14" ht="11.25" customHeight="1" x14ac:dyDescent="0.3">
      <c r="G1041" s="459">
        <f t="shared" ref="G1041:G1051" si="111">G1040</f>
        <v>87</v>
      </c>
      <c r="H1041" s="459">
        <v>1034</v>
      </c>
      <c r="I1041" s="444">
        <f t="shared" ca="1" si="108"/>
        <v>-1119469.6735746847</v>
      </c>
      <c r="J1041" s="444">
        <f t="array" ref="J1041">IFERROR(INDEX('Retirement Calculator'!J:J,MATCH('Isaac 401k'!N1041,'Retirement Calculator'!A:A,0),0),0)</f>
        <v>7896.2379798201846</v>
      </c>
      <c r="K1041" s="444">
        <f t="shared" ca="1" si="105"/>
        <v>-4697.3579648104369</v>
      </c>
      <c r="L1041" s="444">
        <f t="shared" ca="1" si="106"/>
        <v>-1132063.2695193153</v>
      </c>
      <c r="M1041" s="460">
        <f t="shared" si="109"/>
        <v>0.05</v>
      </c>
      <c r="N1041" s="464">
        <f t="shared" si="110"/>
        <v>82728</v>
      </c>
    </row>
    <row r="1042" spans="7:14" ht="11.25" customHeight="1" x14ac:dyDescent="0.3">
      <c r="G1042" s="459">
        <f t="shared" si="111"/>
        <v>87</v>
      </c>
      <c r="H1042" s="459">
        <v>1035</v>
      </c>
      <c r="I1042" s="444">
        <f t="shared" ca="1" si="108"/>
        <v>-1132063.2695193153</v>
      </c>
      <c r="J1042" s="444">
        <f t="array" ref="J1042">IFERROR(INDEX('Retirement Calculator'!J:J,MATCH('Isaac 401k'!N1042,'Retirement Calculator'!A:A,0),0),0)</f>
        <v>7896.2379798201846</v>
      </c>
      <c r="K1042" s="444">
        <f t="shared" ca="1" si="105"/>
        <v>-4749.8312812463982</v>
      </c>
      <c r="L1042" s="444">
        <f t="shared" ca="1" si="106"/>
        <v>-1144709.3387803819</v>
      </c>
      <c r="M1042" s="460">
        <f t="shared" si="109"/>
        <v>0.05</v>
      </c>
      <c r="N1042" s="464">
        <f t="shared" si="110"/>
        <v>82759</v>
      </c>
    </row>
    <row r="1043" spans="7:14" ht="11.25" customHeight="1" x14ac:dyDescent="0.3">
      <c r="G1043" s="459">
        <f t="shared" si="111"/>
        <v>87</v>
      </c>
      <c r="H1043" s="459">
        <v>1036</v>
      </c>
      <c r="I1043" s="444">
        <f t="shared" ca="1" si="108"/>
        <v>-1144709.3387803819</v>
      </c>
      <c r="J1043" s="444">
        <f t="array" ref="J1043">IFERROR(INDEX('Retirement Calculator'!J:J,MATCH('Isaac 401k'!N1043,'Retirement Calculator'!A:A,0),0),0)</f>
        <v>7896.2379798201846</v>
      </c>
      <c r="K1043" s="444">
        <f t="shared" ca="1" si="105"/>
        <v>-4802.5232365008424</v>
      </c>
      <c r="L1043" s="444">
        <f t="shared" ca="1" si="106"/>
        <v>-1157408.099996703</v>
      </c>
      <c r="M1043" s="460">
        <f t="shared" si="109"/>
        <v>0.05</v>
      </c>
      <c r="N1043" s="464">
        <f t="shared" si="110"/>
        <v>82790</v>
      </c>
    </row>
    <row r="1044" spans="7:14" ht="11.25" customHeight="1" x14ac:dyDescent="0.3">
      <c r="G1044" s="459">
        <f t="shared" si="111"/>
        <v>87</v>
      </c>
      <c r="H1044" s="459">
        <v>1037</v>
      </c>
      <c r="I1044" s="444">
        <f t="shared" ca="1" si="108"/>
        <v>-1157408.099996703</v>
      </c>
      <c r="J1044" s="444">
        <f t="array" ref="J1044">IFERROR(INDEX('Retirement Calculator'!J:J,MATCH('Isaac 401k'!N1044,'Retirement Calculator'!A:A,0),0),0)</f>
        <v>7896.2379798201846</v>
      </c>
      <c r="K1044" s="444">
        <f t="shared" ca="1" si="105"/>
        <v>-4855.4347415688462</v>
      </c>
      <c r="L1044" s="444">
        <f t="shared" ca="1" si="106"/>
        <v>-1170159.772718092</v>
      </c>
      <c r="M1044" s="460">
        <f t="shared" si="109"/>
        <v>0.05</v>
      </c>
      <c r="N1044" s="464">
        <f t="shared" si="110"/>
        <v>82820</v>
      </c>
    </row>
    <row r="1045" spans="7:14" ht="11.25" customHeight="1" x14ac:dyDescent="0.3">
      <c r="G1045" s="459">
        <f t="shared" si="111"/>
        <v>87</v>
      </c>
      <c r="H1045" s="459">
        <v>1038</v>
      </c>
      <c r="I1045" s="444">
        <f t="shared" ca="1" si="108"/>
        <v>-1170159.772718092</v>
      </c>
      <c r="J1045" s="444">
        <f t="array" ref="J1045">IFERROR(INDEX('Retirement Calculator'!J:J,MATCH('Isaac 401k'!N1045,'Retirement Calculator'!A:A,0),0),0)</f>
        <v>7896.2379798201846</v>
      </c>
      <c r="K1045" s="444">
        <f t="shared" ca="1" si="105"/>
        <v>-4908.5667112413012</v>
      </c>
      <c r="L1045" s="444">
        <f t="shared" ca="1" si="106"/>
        <v>-1182964.5774091536</v>
      </c>
      <c r="M1045" s="460">
        <f t="shared" si="109"/>
        <v>0.05</v>
      </c>
      <c r="N1045" s="464">
        <f t="shared" si="110"/>
        <v>82851</v>
      </c>
    </row>
    <row r="1046" spans="7:14" ht="11.25" customHeight="1" x14ac:dyDescent="0.3">
      <c r="G1046" s="459">
        <f t="shared" si="111"/>
        <v>87</v>
      </c>
      <c r="H1046" s="459">
        <v>1039</v>
      </c>
      <c r="I1046" s="444">
        <f t="shared" ca="1" si="108"/>
        <v>-1182964.5774091536</v>
      </c>
      <c r="J1046" s="444">
        <f t="array" ref="J1046">IFERROR(INDEX('Retirement Calculator'!J:J,MATCH('Isaac 401k'!N1046,'Retirement Calculator'!A:A,0),0),0)</f>
        <v>7896.2379798201846</v>
      </c>
      <c r="K1046" s="444">
        <f t="shared" ca="1" si="105"/>
        <v>-4961.9200641207244</v>
      </c>
      <c r="L1046" s="444">
        <f t="shared" ca="1" si="106"/>
        <v>-1195822.7354530946</v>
      </c>
      <c r="M1046" s="460">
        <f t="shared" si="109"/>
        <v>0.05</v>
      </c>
      <c r="N1046" s="464">
        <f t="shared" si="110"/>
        <v>82881</v>
      </c>
    </row>
    <row r="1047" spans="7:14" ht="11.25" customHeight="1" x14ac:dyDescent="0.3">
      <c r="G1047" s="459">
        <f t="shared" si="111"/>
        <v>87</v>
      </c>
      <c r="H1047" s="459">
        <v>1040</v>
      </c>
      <c r="I1047" s="444">
        <f t="shared" ca="1" si="108"/>
        <v>-1195822.7354530946</v>
      </c>
      <c r="J1047" s="444">
        <f t="array" ref="J1047">IFERROR(INDEX('Retirement Calculator'!J:J,MATCH('Isaac 401k'!N1047,'Retirement Calculator'!A:A,0),0),0)</f>
        <v>7896.2379798201846</v>
      </c>
      <c r="K1047" s="444">
        <f t="shared" ca="1" si="105"/>
        <v>-5015.4957226371453</v>
      </c>
      <c r="L1047" s="444">
        <f t="shared" ca="1" si="106"/>
        <v>-1208734.4691555519</v>
      </c>
      <c r="M1047" s="460">
        <f t="shared" si="109"/>
        <v>0.05</v>
      </c>
      <c r="N1047" s="464">
        <f t="shared" si="110"/>
        <v>82912</v>
      </c>
    </row>
    <row r="1048" spans="7:14" ht="11.25" customHeight="1" x14ac:dyDescent="0.3">
      <c r="G1048" s="459">
        <f t="shared" si="111"/>
        <v>87</v>
      </c>
      <c r="H1048" s="459">
        <v>1041</v>
      </c>
      <c r="I1048" s="444">
        <f t="shared" ca="1" si="108"/>
        <v>-1208734.4691555519</v>
      </c>
      <c r="J1048" s="444">
        <f t="array" ref="J1048">IFERROR(INDEX('Retirement Calculator'!J:J,MATCH('Isaac 401k'!N1048,'Retirement Calculator'!A:A,0),0),0)</f>
        <v>7896.2379798201846</v>
      </c>
      <c r="K1048" s="444">
        <f t="shared" ca="1" si="105"/>
        <v>-5069.2946130640503</v>
      </c>
      <c r="L1048" s="444">
        <f t="shared" ca="1" si="106"/>
        <v>-1221700.0017484361</v>
      </c>
      <c r="M1048" s="460">
        <f t="shared" si="109"/>
        <v>0.05</v>
      </c>
      <c r="N1048" s="464">
        <f t="shared" si="110"/>
        <v>82943</v>
      </c>
    </row>
    <row r="1049" spans="7:14" ht="11.25" customHeight="1" x14ac:dyDescent="0.3">
      <c r="G1049" s="459">
        <f t="shared" si="111"/>
        <v>87</v>
      </c>
      <c r="H1049" s="459">
        <v>1042</v>
      </c>
      <c r="I1049" s="444">
        <f t="shared" ca="1" si="108"/>
        <v>-1221700.0017484361</v>
      </c>
      <c r="J1049" s="444">
        <f t="array" ref="J1049">IFERROR(INDEX('Retirement Calculator'!J:J,MATCH('Isaac 401k'!N1049,'Retirement Calculator'!A:A,0),0),0)</f>
        <v>7896.2379798201846</v>
      </c>
      <c r="K1049" s="444">
        <f t="shared" ca="1" si="105"/>
        <v>-5123.3176655344014</v>
      </c>
      <c r="L1049" s="444">
        <f t="shared" ca="1" si="106"/>
        <v>-1234719.5573937907</v>
      </c>
      <c r="M1049" s="460">
        <f t="shared" si="109"/>
        <v>0.05</v>
      </c>
      <c r="N1049" s="464">
        <f t="shared" si="110"/>
        <v>82971</v>
      </c>
    </row>
    <row r="1050" spans="7:14" ht="11.25" customHeight="1" x14ac:dyDescent="0.3">
      <c r="G1050" s="459">
        <f t="shared" si="111"/>
        <v>87</v>
      </c>
      <c r="H1050" s="459">
        <v>1043</v>
      </c>
      <c r="I1050" s="444">
        <f t="shared" ca="1" si="108"/>
        <v>-1234719.5573937907</v>
      </c>
      <c r="J1050" s="444">
        <f t="array" ref="J1050">IFERROR(INDEX('Retirement Calculator'!J:J,MATCH('Isaac 401k'!N1050,'Retirement Calculator'!A:A,0),0),0)</f>
        <v>7896.2379798201846</v>
      </c>
      <c r="K1050" s="444">
        <f t="shared" ca="1" si="105"/>
        <v>-5177.565814056712</v>
      </c>
      <c r="L1050" s="444">
        <f t="shared" ca="1" si="106"/>
        <v>-1247793.3611876676</v>
      </c>
      <c r="M1050" s="460">
        <f t="shared" si="109"/>
        <v>0.05</v>
      </c>
      <c r="N1050" s="464">
        <f t="shared" si="110"/>
        <v>83002</v>
      </c>
    </row>
    <row r="1051" spans="7:14" ht="11.25" customHeight="1" x14ac:dyDescent="0.3">
      <c r="G1051" s="459">
        <f t="shared" si="111"/>
        <v>87</v>
      </c>
      <c r="H1051" s="459">
        <v>1044</v>
      </c>
      <c r="I1051" s="444">
        <f t="shared" ca="1" si="108"/>
        <v>-1247793.3611876676</v>
      </c>
      <c r="J1051" s="444">
        <f t="array" ref="J1051">IFERROR(INDEX('Retirement Calculator'!J:J,MATCH('Isaac 401k'!N1051,'Retirement Calculator'!A:A,0),0),0)</f>
        <v>7896.2379798201846</v>
      </c>
      <c r="K1051" s="444">
        <f t="shared" ca="1" si="105"/>
        <v>-5232.039996531199</v>
      </c>
      <c r="L1051" s="444">
        <f t="shared" ca="1" si="106"/>
        <v>-1260921.6391640189</v>
      </c>
      <c r="M1051" s="460">
        <f t="shared" si="109"/>
        <v>0.05</v>
      </c>
      <c r="N1051" s="464">
        <f t="shared" si="110"/>
        <v>83032</v>
      </c>
    </row>
    <row r="1052" spans="7:14" ht="11.25" customHeight="1" x14ac:dyDescent="0.3">
      <c r="G1052" s="459">
        <f>G1051+1</f>
        <v>88</v>
      </c>
      <c r="H1052" s="459">
        <v>1045</v>
      </c>
      <c r="I1052" s="444">
        <f t="shared" ca="1" si="108"/>
        <v>-1260921.6391640189</v>
      </c>
      <c r="J1052" s="444">
        <f t="array" ref="J1052">IFERROR(INDEX('Retirement Calculator'!J:J,MATCH('Isaac 401k'!N1052,'Retirement Calculator'!A:A,0),0),0)</f>
        <v>7896.2379798201846</v>
      </c>
      <c r="K1052" s="444">
        <f t="shared" ca="1" si="105"/>
        <v>-5286.7411547659967</v>
      </c>
      <c r="L1052" s="444">
        <f t="shared" ca="1" si="106"/>
        <v>-1274104.6182986051</v>
      </c>
      <c r="M1052" s="460">
        <f t="shared" si="109"/>
        <v>0.05</v>
      </c>
      <c r="N1052" s="464">
        <f t="shared" si="110"/>
        <v>83063</v>
      </c>
    </row>
    <row r="1053" spans="7:14" ht="11.25" customHeight="1" x14ac:dyDescent="0.3">
      <c r="G1053" s="459">
        <f t="shared" ref="G1053:G1063" si="112">G1052</f>
        <v>88</v>
      </c>
      <c r="H1053" s="459">
        <v>1046</v>
      </c>
      <c r="I1053" s="444">
        <f t="shared" ca="1" si="108"/>
        <v>-1274104.6182986051</v>
      </c>
      <c r="J1053" s="444">
        <f t="array" ref="J1053">IFERROR(INDEX('Retirement Calculator'!J:J,MATCH('Isaac 401k'!N1053,'Retirement Calculator'!A:A,0),0),0)</f>
        <v>7896.2379798201846</v>
      </c>
      <c r="K1053" s="444">
        <f t="shared" ca="1" si="105"/>
        <v>-5341.6702344934383</v>
      </c>
      <c r="L1053" s="444">
        <f t="shared" ca="1" si="106"/>
        <v>-1287342.5265129188</v>
      </c>
      <c r="M1053" s="460">
        <f t="shared" si="109"/>
        <v>0.05</v>
      </c>
      <c r="N1053" s="464">
        <f t="shared" si="110"/>
        <v>83093</v>
      </c>
    </row>
    <row r="1054" spans="7:14" ht="11.25" customHeight="1" x14ac:dyDescent="0.3">
      <c r="G1054" s="459">
        <f t="shared" si="112"/>
        <v>88</v>
      </c>
      <c r="H1054" s="459">
        <v>1047</v>
      </c>
      <c r="I1054" s="444">
        <f t="shared" ca="1" si="108"/>
        <v>-1287342.5265129188</v>
      </c>
      <c r="J1054" s="444">
        <f t="array" ref="J1054">IFERROR(INDEX('Retirement Calculator'!J:J,MATCH('Isaac 401k'!N1054,'Retirement Calculator'!A:A,0),0),0)</f>
        <v>7896.2379798201846</v>
      </c>
      <c r="K1054" s="444">
        <f t="shared" ca="1" si="105"/>
        <v>-5396.8281853864128</v>
      </c>
      <c r="L1054" s="444">
        <f t="shared" ca="1" si="106"/>
        <v>-1300635.5926781255</v>
      </c>
      <c r="M1054" s="460">
        <f t="shared" si="109"/>
        <v>0.05</v>
      </c>
      <c r="N1054" s="464">
        <f t="shared" si="110"/>
        <v>83124</v>
      </c>
    </row>
    <row r="1055" spans="7:14" ht="11.25" customHeight="1" x14ac:dyDescent="0.3">
      <c r="G1055" s="459">
        <f t="shared" si="112"/>
        <v>88</v>
      </c>
      <c r="H1055" s="459">
        <v>1048</v>
      </c>
      <c r="I1055" s="444">
        <f t="shared" ca="1" si="108"/>
        <v>-1300635.5926781255</v>
      </c>
      <c r="J1055" s="444">
        <f t="array" ref="J1055">IFERROR(INDEX('Retirement Calculator'!J:J,MATCH('Isaac 401k'!N1055,'Retirement Calculator'!A:A,0),0),0)</f>
        <v>7896.2379798201846</v>
      </c>
      <c r="K1055" s="444">
        <f t="shared" ca="1" si="105"/>
        <v>-5452.215961074774</v>
      </c>
      <c r="L1055" s="444">
        <f t="shared" ca="1" si="106"/>
        <v>-1313984.0466190204</v>
      </c>
      <c r="M1055" s="460">
        <f t="shared" si="109"/>
        <v>0.05</v>
      </c>
      <c r="N1055" s="464">
        <f t="shared" si="110"/>
        <v>83155</v>
      </c>
    </row>
    <row r="1056" spans="7:14" ht="11.25" customHeight="1" x14ac:dyDescent="0.3">
      <c r="G1056" s="459">
        <f t="shared" si="112"/>
        <v>88</v>
      </c>
      <c r="H1056" s="459">
        <v>1049</v>
      </c>
      <c r="I1056" s="444">
        <f t="shared" ca="1" si="108"/>
        <v>-1313984.0466190204</v>
      </c>
      <c r="J1056" s="444">
        <f t="array" ref="J1056">IFERROR(INDEX('Retirement Calculator'!J:J,MATCH('Isaac 401k'!N1056,'Retirement Calculator'!A:A,0),0),0)</f>
        <v>7896.2379798201846</v>
      </c>
      <c r="K1056" s="444">
        <f t="shared" ca="1" si="105"/>
        <v>-5507.8345191618355</v>
      </c>
      <c r="L1056" s="444">
        <f t="shared" ca="1" si="106"/>
        <v>-1327388.1191180025</v>
      </c>
      <c r="M1056" s="460">
        <f t="shared" si="109"/>
        <v>0.05</v>
      </c>
      <c r="N1056" s="464">
        <f t="shared" si="110"/>
        <v>83185</v>
      </c>
    </row>
    <row r="1057" spans="7:14" ht="11.25" customHeight="1" x14ac:dyDescent="0.3">
      <c r="G1057" s="459">
        <f t="shared" si="112"/>
        <v>88</v>
      </c>
      <c r="H1057" s="459">
        <v>1050</v>
      </c>
      <c r="I1057" s="444">
        <f t="shared" ca="1" si="108"/>
        <v>-1327388.1191180025</v>
      </c>
      <c r="J1057" s="444">
        <f t="array" ref="J1057">IFERROR(INDEX('Retirement Calculator'!J:J,MATCH('Isaac 401k'!N1057,'Retirement Calculator'!A:A,0),0),0)</f>
        <v>7896.2379798201846</v>
      </c>
      <c r="K1057" s="444">
        <f t="shared" ca="1" si="105"/>
        <v>-5563.6848212409277</v>
      </c>
      <c r="L1057" s="444">
        <f t="shared" ca="1" si="106"/>
        <v>-1340848.0419190635</v>
      </c>
      <c r="M1057" s="460">
        <f t="shared" si="109"/>
        <v>0.05</v>
      </c>
      <c r="N1057" s="464">
        <f t="shared" si="110"/>
        <v>83216</v>
      </c>
    </row>
    <row r="1058" spans="7:14" ht="11.25" customHeight="1" x14ac:dyDescent="0.3">
      <c r="G1058" s="459">
        <f t="shared" si="112"/>
        <v>88</v>
      </c>
      <c r="H1058" s="459">
        <v>1051</v>
      </c>
      <c r="I1058" s="444">
        <f t="shared" ca="1" si="108"/>
        <v>-1340848.0419190635</v>
      </c>
      <c r="J1058" s="444">
        <f t="array" ref="J1058">IFERROR(INDEX('Retirement Calculator'!J:J,MATCH('Isaac 401k'!N1058,'Retirement Calculator'!A:A,0),0),0)</f>
        <v>7896.2379798201846</v>
      </c>
      <c r="K1058" s="444">
        <f t="shared" ca="1" si="105"/>
        <v>-5619.7678329120154</v>
      </c>
      <c r="L1058" s="444">
        <f t="shared" ca="1" si="106"/>
        <v>-1354364.0477317958</v>
      </c>
      <c r="M1058" s="460">
        <f t="shared" si="109"/>
        <v>0.05</v>
      </c>
      <c r="N1058" s="464">
        <f t="shared" si="110"/>
        <v>83246</v>
      </c>
    </row>
    <row r="1059" spans="7:14" ht="11.25" customHeight="1" x14ac:dyDescent="0.3">
      <c r="G1059" s="459">
        <f t="shared" si="112"/>
        <v>88</v>
      </c>
      <c r="H1059" s="459">
        <v>1052</v>
      </c>
      <c r="I1059" s="444">
        <f t="shared" ca="1" si="108"/>
        <v>-1354364.0477317958</v>
      </c>
      <c r="J1059" s="444">
        <f t="array" ref="J1059">IFERROR(INDEX('Retirement Calculator'!J:J,MATCH('Isaac 401k'!N1059,'Retirement Calculator'!A:A,0),0),0)</f>
        <v>7896.2379798201846</v>
      </c>
      <c r="K1059" s="444">
        <f t="shared" ca="1" si="105"/>
        <v>-5676.0845237984004</v>
      </c>
      <c r="L1059" s="444">
        <f t="shared" ca="1" si="106"/>
        <v>-1367936.3702354145</v>
      </c>
      <c r="M1059" s="460">
        <f t="shared" si="109"/>
        <v>0.05</v>
      </c>
      <c r="N1059" s="464">
        <f t="shared" si="110"/>
        <v>83277</v>
      </c>
    </row>
    <row r="1060" spans="7:14" ht="11.25" customHeight="1" x14ac:dyDescent="0.3">
      <c r="G1060" s="459">
        <f t="shared" si="112"/>
        <v>88</v>
      </c>
      <c r="H1060" s="459">
        <v>1053</v>
      </c>
      <c r="I1060" s="444">
        <f t="shared" ca="1" si="108"/>
        <v>-1367936.3702354145</v>
      </c>
      <c r="J1060" s="444">
        <f t="array" ref="J1060">IFERROR(INDEX('Retirement Calculator'!J:J,MATCH('Isaac 401k'!N1060,'Retirement Calculator'!A:A,0),0),0)</f>
        <v>7896.2379798201846</v>
      </c>
      <c r="K1060" s="444">
        <f t="shared" ca="1" si="105"/>
        <v>-5732.6358675634783</v>
      </c>
      <c r="L1060" s="444">
        <f t="shared" ca="1" si="106"/>
        <v>-1381565.2440827983</v>
      </c>
      <c r="M1060" s="460">
        <f t="shared" si="109"/>
        <v>0.05</v>
      </c>
      <c r="N1060" s="464">
        <f t="shared" si="110"/>
        <v>83308</v>
      </c>
    </row>
    <row r="1061" spans="7:14" ht="11.25" customHeight="1" x14ac:dyDescent="0.3">
      <c r="G1061" s="459">
        <f t="shared" si="112"/>
        <v>88</v>
      </c>
      <c r="H1061" s="459">
        <v>1054</v>
      </c>
      <c r="I1061" s="444">
        <f t="shared" ca="1" si="108"/>
        <v>-1381565.2440827983</v>
      </c>
      <c r="J1061" s="444">
        <f t="array" ref="J1061">IFERROR(INDEX('Retirement Calculator'!J:J,MATCH('Isaac 401k'!N1061,'Retirement Calculator'!A:A,0),0),0)</f>
        <v>7896.2379798201846</v>
      </c>
      <c r="K1061" s="444">
        <f t="shared" ca="1" si="105"/>
        <v>-5789.4228419275769</v>
      </c>
      <c r="L1061" s="444">
        <f t="shared" ca="1" si="106"/>
        <v>-1395250.904904546</v>
      </c>
      <c r="M1061" s="460">
        <f t="shared" si="109"/>
        <v>0.05</v>
      </c>
      <c r="N1061" s="464">
        <f t="shared" si="110"/>
        <v>83337</v>
      </c>
    </row>
    <row r="1062" spans="7:14" ht="11.25" customHeight="1" x14ac:dyDescent="0.3">
      <c r="G1062" s="459">
        <f t="shared" si="112"/>
        <v>88</v>
      </c>
      <c r="H1062" s="459">
        <v>1055</v>
      </c>
      <c r="I1062" s="444">
        <f t="shared" ca="1" si="108"/>
        <v>-1395250.904904546</v>
      </c>
      <c r="J1062" s="444">
        <f t="array" ref="J1062">IFERROR(INDEX('Retirement Calculator'!J:J,MATCH('Isaac 401k'!N1062,'Retirement Calculator'!A:A,0),0),0)</f>
        <v>7896.2379798201846</v>
      </c>
      <c r="K1062" s="444">
        <f t="shared" ca="1" si="105"/>
        <v>-5846.4464286848588</v>
      </c>
      <c r="L1062" s="444">
        <f t="shared" ca="1" si="106"/>
        <v>-1408993.589313051</v>
      </c>
      <c r="M1062" s="460">
        <f t="shared" si="109"/>
        <v>0.05</v>
      </c>
      <c r="N1062" s="464">
        <f t="shared" si="110"/>
        <v>83368</v>
      </c>
    </row>
    <row r="1063" spans="7:14" ht="11.25" customHeight="1" x14ac:dyDescent="0.3">
      <c r="G1063" s="459">
        <f t="shared" si="112"/>
        <v>88</v>
      </c>
      <c r="H1063" s="459">
        <v>1056</v>
      </c>
      <c r="I1063" s="444">
        <f t="shared" ca="1" si="108"/>
        <v>-1408993.589313051</v>
      </c>
      <c r="J1063" s="444">
        <f t="array" ref="J1063">IFERROR(INDEX('Retirement Calculator'!J:J,MATCH('Isaac 401k'!N1063,'Retirement Calculator'!A:A,0),0),0)</f>
        <v>7896.2379798201846</v>
      </c>
      <c r="K1063" s="444">
        <f t="shared" ca="1" si="105"/>
        <v>-5903.7076137202966</v>
      </c>
      <c r="L1063" s="444">
        <f t="shared" ca="1" si="106"/>
        <v>-1422793.5349065915</v>
      </c>
      <c r="M1063" s="460">
        <f t="shared" si="109"/>
        <v>0.05</v>
      </c>
      <c r="N1063" s="464">
        <f t="shared" si="110"/>
        <v>83398</v>
      </c>
    </row>
    <row r="1064" spans="7:14" ht="11.25" customHeight="1" x14ac:dyDescent="0.3">
      <c r="G1064" s="459">
        <f>G1063+1</f>
        <v>89</v>
      </c>
      <c r="H1064" s="459">
        <v>1057</v>
      </c>
      <c r="I1064" s="444">
        <f t="shared" ca="1" si="108"/>
        <v>-1422793.5349065915</v>
      </c>
      <c r="J1064" s="444">
        <f t="array" ref="J1064">IFERROR(INDEX('Retirement Calculator'!J:J,MATCH('Isaac 401k'!N1064,'Retirement Calculator'!A:A,0),0),0)</f>
        <v>7896.2379798201846</v>
      </c>
      <c r="K1064" s="444">
        <f t="shared" ca="1" si="105"/>
        <v>-5961.2073870267159</v>
      </c>
      <c r="L1064" s="444">
        <f t="shared" ca="1" si="106"/>
        <v>-1436650.9802734384</v>
      </c>
      <c r="M1064" s="460">
        <f t="shared" si="109"/>
        <v>0.05</v>
      </c>
      <c r="N1064" s="464">
        <f t="shared" si="110"/>
        <v>83429</v>
      </c>
    </row>
    <row r="1065" spans="7:14" ht="11.25" customHeight="1" x14ac:dyDescent="0.3">
      <c r="G1065" s="459">
        <f t="shared" ref="G1065:G1075" si="113">G1064</f>
        <v>89</v>
      </c>
      <c r="H1065" s="459">
        <v>1058</v>
      </c>
      <c r="I1065" s="444">
        <f t="shared" ca="1" si="108"/>
        <v>-1436650.9802734384</v>
      </c>
      <c r="J1065" s="444">
        <f t="array" ref="J1065">IFERROR(INDEX('Retirement Calculator'!J:J,MATCH('Isaac 401k'!N1065,'Retirement Calculator'!A:A,0),0),0)</f>
        <v>7896.2379798201846</v>
      </c>
      <c r="K1065" s="444">
        <f t="shared" ca="1" si="105"/>
        <v>-6018.9467427219106</v>
      </c>
      <c r="L1065" s="444">
        <f t="shared" ca="1" si="106"/>
        <v>-1450566.1649959804</v>
      </c>
      <c r="M1065" s="460">
        <f t="shared" si="109"/>
        <v>0.05</v>
      </c>
      <c r="N1065" s="464">
        <f t="shared" si="110"/>
        <v>83459</v>
      </c>
    </row>
    <row r="1066" spans="7:14" ht="11.25" customHeight="1" x14ac:dyDescent="0.3">
      <c r="G1066" s="459">
        <f t="shared" si="113"/>
        <v>89</v>
      </c>
      <c r="H1066" s="459">
        <v>1059</v>
      </c>
      <c r="I1066" s="444">
        <f t="shared" ca="1" si="108"/>
        <v>-1450566.1649959804</v>
      </c>
      <c r="J1066" s="444">
        <f t="array" ref="J1066">IFERROR(INDEX('Retirement Calculator'!J:J,MATCH('Isaac 401k'!N1066,'Retirement Calculator'!A:A,0),0),0)</f>
        <v>7896.2379798201846</v>
      </c>
      <c r="K1066" s="444">
        <f t="shared" ca="1" si="105"/>
        <v>-6076.9266790658357</v>
      </c>
      <c r="L1066" s="444">
        <f t="shared" ca="1" si="106"/>
        <v>-1464539.3296548666</v>
      </c>
      <c r="M1066" s="460">
        <f t="shared" si="109"/>
        <v>0.05</v>
      </c>
      <c r="N1066" s="464">
        <f t="shared" si="110"/>
        <v>83490</v>
      </c>
    </row>
    <row r="1067" spans="7:14" ht="11.25" customHeight="1" x14ac:dyDescent="0.3">
      <c r="G1067" s="459">
        <f t="shared" si="113"/>
        <v>89</v>
      </c>
      <c r="H1067" s="459">
        <v>1060</v>
      </c>
      <c r="I1067" s="444">
        <f t="shared" ca="1" si="108"/>
        <v>-1464539.3296548666</v>
      </c>
      <c r="J1067" s="444">
        <f t="array" ref="J1067">IFERROR(INDEX('Retirement Calculator'!J:J,MATCH('Isaac 401k'!N1067,'Retirement Calculator'!A:A,0),0),0)</f>
        <v>7896.2379798201846</v>
      </c>
      <c r="K1067" s="444">
        <f t="shared" ca="1" si="105"/>
        <v>-6135.148198477862</v>
      </c>
      <c r="L1067" s="444">
        <f t="shared" ca="1" si="106"/>
        <v>-1478570.7158331648</v>
      </c>
      <c r="M1067" s="460">
        <f t="shared" si="109"/>
        <v>0.05</v>
      </c>
      <c r="N1067" s="464">
        <f t="shared" si="110"/>
        <v>83521</v>
      </c>
    </row>
    <row r="1068" spans="7:14" ht="11.25" customHeight="1" x14ac:dyDescent="0.3">
      <c r="G1068" s="459">
        <f t="shared" si="113"/>
        <v>89</v>
      </c>
      <c r="H1068" s="459">
        <v>1061</v>
      </c>
      <c r="I1068" s="444">
        <f t="shared" ca="1" si="108"/>
        <v>-1478570.7158331648</v>
      </c>
      <c r="J1068" s="444">
        <f t="array" ref="J1068">IFERROR(INDEX('Retirement Calculator'!J:J,MATCH('Isaac 401k'!N1068,'Retirement Calculator'!A:A,0),0),0)</f>
        <v>7896.2379798201846</v>
      </c>
      <c r="K1068" s="444">
        <f t="shared" ca="1" si="105"/>
        <v>-6193.6123075541036</v>
      </c>
      <c r="L1068" s="444">
        <f t="shared" ca="1" si="106"/>
        <v>-1492660.5661205391</v>
      </c>
      <c r="M1068" s="460">
        <f t="shared" si="109"/>
        <v>0.05</v>
      </c>
      <c r="N1068" s="464">
        <f t="shared" si="110"/>
        <v>83551</v>
      </c>
    </row>
    <row r="1069" spans="7:14" ht="11.25" customHeight="1" x14ac:dyDescent="0.3">
      <c r="G1069" s="459">
        <f t="shared" si="113"/>
        <v>89</v>
      </c>
      <c r="H1069" s="459">
        <v>1062</v>
      </c>
      <c r="I1069" s="444">
        <f t="shared" ca="1" si="108"/>
        <v>-1492660.5661205391</v>
      </c>
      <c r="J1069" s="444">
        <f t="array" ref="J1069">IFERROR(INDEX('Retirement Calculator'!J:J,MATCH('Isaac 401k'!N1069,'Retirement Calculator'!A:A,0),0),0)</f>
        <v>7896.2379798201846</v>
      </c>
      <c r="K1069" s="444">
        <f t="shared" ca="1" si="105"/>
        <v>-6252.3200170848304</v>
      </c>
      <c r="L1069" s="444">
        <f t="shared" ca="1" si="106"/>
        <v>-1506809.1241174443</v>
      </c>
      <c r="M1069" s="460">
        <f t="shared" si="109"/>
        <v>0.05</v>
      </c>
      <c r="N1069" s="464">
        <f t="shared" si="110"/>
        <v>83582</v>
      </c>
    </row>
    <row r="1070" spans="7:14" ht="11.25" customHeight="1" x14ac:dyDescent="0.3">
      <c r="G1070" s="459">
        <f t="shared" si="113"/>
        <v>89</v>
      </c>
      <c r="H1070" s="459">
        <v>1063</v>
      </c>
      <c r="I1070" s="444">
        <f t="shared" ca="1" si="108"/>
        <v>-1506809.1241174443</v>
      </c>
      <c r="J1070" s="444">
        <f t="array" ref="J1070">IFERROR(INDEX('Retirement Calculator'!J:J,MATCH('Isaac 401k'!N1070,'Retirement Calculator'!A:A,0),0),0)</f>
        <v>7896.2379798201846</v>
      </c>
      <c r="K1070" s="444">
        <f t="shared" ca="1" si="105"/>
        <v>-6311.2723420719358</v>
      </c>
      <c r="L1070" s="444">
        <f t="shared" ca="1" si="106"/>
        <v>-1521016.6344393364</v>
      </c>
      <c r="M1070" s="460">
        <f t="shared" si="109"/>
        <v>0.05</v>
      </c>
      <c r="N1070" s="464">
        <f t="shared" si="110"/>
        <v>83612</v>
      </c>
    </row>
    <row r="1071" spans="7:14" ht="11.25" customHeight="1" x14ac:dyDescent="0.3">
      <c r="G1071" s="459">
        <f t="shared" si="113"/>
        <v>89</v>
      </c>
      <c r="H1071" s="459">
        <v>1064</v>
      </c>
      <c r="I1071" s="444">
        <f t="shared" ca="1" si="108"/>
        <v>-1521016.6344393364</v>
      </c>
      <c r="J1071" s="444">
        <f t="array" ref="J1071">IFERROR(INDEX('Retirement Calculator'!J:J,MATCH('Isaac 401k'!N1071,'Retirement Calculator'!A:A,0),0),0)</f>
        <v>7896.2379798201846</v>
      </c>
      <c r="K1071" s="444">
        <f t="shared" ca="1" si="105"/>
        <v>-6370.4703017464853</v>
      </c>
      <c r="L1071" s="444">
        <f t="shared" ca="1" si="106"/>
        <v>-1535283.342720903</v>
      </c>
      <c r="M1071" s="460">
        <f t="shared" si="109"/>
        <v>0.05</v>
      </c>
      <c r="N1071" s="464">
        <f t="shared" si="110"/>
        <v>83643</v>
      </c>
    </row>
    <row r="1072" spans="7:14" ht="11.25" customHeight="1" x14ac:dyDescent="0.3">
      <c r="G1072" s="459">
        <f t="shared" si="113"/>
        <v>89</v>
      </c>
      <c r="H1072" s="459">
        <v>1065</v>
      </c>
      <c r="I1072" s="444">
        <f t="shared" ca="1" si="108"/>
        <v>-1535283.342720903</v>
      </c>
      <c r="J1072" s="444">
        <f t="array" ref="J1072">IFERROR(INDEX('Retirement Calculator'!J:J,MATCH('Isaac 401k'!N1072,'Retirement Calculator'!A:A,0),0),0)</f>
        <v>7896.2379798201846</v>
      </c>
      <c r="K1072" s="444">
        <f t="shared" ca="1" si="105"/>
        <v>-6429.9149195863465</v>
      </c>
      <c r="L1072" s="444">
        <f t="shared" ca="1" si="106"/>
        <v>-1549609.4956203096</v>
      </c>
      <c r="M1072" s="460">
        <f t="shared" si="109"/>
        <v>0.05</v>
      </c>
      <c r="N1072" s="464">
        <f t="shared" si="110"/>
        <v>83674</v>
      </c>
    </row>
    <row r="1073" spans="7:14" ht="11.25" customHeight="1" x14ac:dyDescent="0.3">
      <c r="G1073" s="459">
        <f t="shared" si="113"/>
        <v>89</v>
      </c>
      <c r="H1073" s="459">
        <v>1066</v>
      </c>
      <c r="I1073" s="444">
        <f t="shared" ca="1" si="108"/>
        <v>-1549609.4956203096</v>
      </c>
      <c r="J1073" s="444">
        <f t="array" ref="J1073">IFERROR(INDEX('Retirement Calculator'!J:J,MATCH('Isaac 401k'!N1073,'Retirement Calculator'!A:A,0),0),0)</f>
        <v>7896.2379798201846</v>
      </c>
      <c r="K1073" s="444">
        <f t="shared" ca="1" si="105"/>
        <v>-6489.6072233338746</v>
      </c>
      <c r="L1073" s="444">
        <f t="shared" ca="1" si="106"/>
        <v>-1563995.3408234636</v>
      </c>
      <c r="M1073" s="460">
        <f t="shared" si="109"/>
        <v>0.05</v>
      </c>
      <c r="N1073" s="464">
        <f t="shared" si="110"/>
        <v>83702</v>
      </c>
    </row>
    <row r="1074" spans="7:14" ht="11.25" customHeight="1" x14ac:dyDescent="0.3">
      <c r="G1074" s="459">
        <f t="shared" si="113"/>
        <v>89</v>
      </c>
      <c r="H1074" s="459">
        <v>1067</v>
      </c>
      <c r="I1074" s="444">
        <f t="shared" ca="1" si="108"/>
        <v>-1563995.3408234636</v>
      </c>
      <c r="J1074" s="444">
        <f t="array" ref="J1074">IFERROR(INDEX('Retirement Calculator'!J:J,MATCH('Isaac 401k'!N1074,'Retirement Calculator'!A:A,0),0),0)</f>
        <v>7896.2379798201846</v>
      </c>
      <c r="K1074" s="444">
        <f t="shared" ca="1" si="105"/>
        <v>-6549.5482450136824</v>
      </c>
      <c r="L1074" s="444">
        <f t="shared" ca="1" si="106"/>
        <v>-1578441.1270482976</v>
      </c>
      <c r="M1074" s="460">
        <f t="shared" si="109"/>
        <v>0.05</v>
      </c>
      <c r="N1074" s="464">
        <f t="shared" si="110"/>
        <v>83733</v>
      </c>
    </row>
    <row r="1075" spans="7:14" ht="11.25" customHeight="1" x14ac:dyDescent="0.3">
      <c r="G1075" s="459">
        <f t="shared" si="113"/>
        <v>89</v>
      </c>
      <c r="H1075" s="459">
        <v>1068</v>
      </c>
      <c r="I1075" s="444">
        <f t="shared" ca="1" si="108"/>
        <v>-1578441.1270482976</v>
      </c>
      <c r="J1075" s="444">
        <f t="array" ref="J1075">IFERROR(INDEX('Retirement Calculator'!J:J,MATCH('Isaac 401k'!N1075,'Retirement Calculator'!A:A,0),0),0)</f>
        <v>7896.2379798201846</v>
      </c>
      <c r="K1075" s="444">
        <f t="shared" ca="1" si="105"/>
        <v>-6609.7390209504911</v>
      </c>
      <c r="L1075" s="444">
        <f t="shared" ca="1" si="106"/>
        <v>-1592947.1040490682</v>
      </c>
      <c r="M1075" s="460">
        <f t="shared" si="109"/>
        <v>0.05</v>
      </c>
      <c r="N1075" s="464">
        <f t="shared" si="110"/>
        <v>83763</v>
      </c>
    </row>
    <row r="1076" spans="7:14" ht="11.25" customHeight="1" x14ac:dyDescent="0.3">
      <c r="G1076" s="459">
        <f>G1075+1</f>
        <v>90</v>
      </c>
      <c r="H1076" s="459">
        <v>1069</v>
      </c>
      <c r="I1076" s="444">
        <f t="shared" ca="1" si="108"/>
        <v>-1592947.1040490682</v>
      </c>
      <c r="J1076" s="444">
        <f t="array" ref="J1076">IFERROR(INDEX('Retirement Calculator'!J:J,MATCH('Isaac 401k'!N1076,'Retirement Calculator'!A:A,0),0),0)</f>
        <v>7896.2379798201846</v>
      </c>
      <c r="K1076" s="444">
        <f t="shared" ca="1" si="105"/>
        <v>-6670.1805917870352</v>
      </c>
      <c r="L1076" s="444">
        <f t="shared" ca="1" si="106"/>
        <v>-1607513.5226206754</v>
      </c>
      <c r="M1076" s="460">
        <f t="shared" si="109"/>
        <v>0.05</v>
      </c>
      <c r="N1076" s="464">
        <f t="shared" si="110"/>
        <v>83794</v>
      </c>
    </row>
    <row r="1077" spans="7:14" ht="11.25" customHeight="1" x14ac:dyDescent="0.3">
      <c r="G1077" s="459">
        <f t="shared" ref="G1077:G1087" si="114">G1076</f>
        <v>90</v>
      </c>
      <c r="H1077" s="459">
        <v>1070</v>
      </c>
      <c r="I1077" s="444">
        <f t="shared" ca="1" si="108"/>
        <v>-1607513.5226206754</v>
      </c>
      <c r="J1077" s="444">
        <f t="array" ref="J1077">IFERROR(INDEX('Retirement Calculator'!J:J,MATCH('Isaac 401k'!N1077,'Retirement Calculator'!A:A,0),0),0)</f>
        <v>7896.2379798201846</v>
      </c>
      <c r="K1077" s="444">
        <f t="shared" ca="1" si="105"/>
        <v>-6730.8740025020652</v>
      </c>
      <c r="L1077" s="444">
        <f t="shared" ca="1" si="106"/>
        <v>-1622140.6346029977</v>
      </c>
      <c r="M1077" s="460">
        <f t="shared" si="109"/>
        <v>0.05</v>
      </c>
      <c r="N1077" s="464">
        <f t="shared" si="110"/>
        <v>83824</v>
      </c>
    </row>
    <row r="1078" spans="7:14" ht="11.25" customHeight="1" x14ac:dyDescent="0.3">
      <c r="G1078" s="459">
        <f t="shared" si="114"/>
        <v>90</v>
      </c>
      <c r="H1078" s="459">
        <v>1071</v>
      </c>
      <c r="I1078" s="444">
        <f t="shared" ca="1" si="108"/>
        <v>-1622140.6346029977</v>
      </c>
      <c r="J1078" s="444">
        <f t="array" ref="J1078">IFERROR(INDEX('Retirement Calculator'!J:J,MATCH('Isaac 401k'!N1078,'Retirement Calculator'!A:A,0),0),0)</f>
        <v>7896.2379798201846</v>
      </c>
      <c r="K1078" s="444">
        <f t="shared" ca="1" si="105"/>
        <v>-6791.8203024284076</v>
      </c>
      <c r="L1078" s="444">
        <f t="shared" ca="1" si="106"/>
        <v>-1636828.6928852464</v>
      </c>
      <c r="M1078" s="460">
        <f t="shared" si="109"/>
        <v>0.05</v>
      </c>
      <c r="N1078" s="464">
        <f t="shared" si="110"/>
        <v>83855</v>
      </c>
    </row>
    <row r="1079" spans="7:14" ht="11.25" customHeight="1" x14ac:dyDescent="0.3">
      <c r="G1079" s="459">
        <f t="shared" si="114"/>
        <v>90</v>
      </c>
      <c r="H1079" s="459">
        <v>1072</v>
      </c>
      <c r="I1079" s="444">
        <f t="shared" ca="1" si="108"/>
        <v>-1636828.6928852464</v>
      </c>
      <c r="J1079" s="444">
        <f t="array" ref="J1079">IFERROR(INDEX('Retirement Calculator'!J:J,MATCH('Isaac 401k'!N1079,'Retirement Calculator'!A:A,0),0),0)</f>
        <v>7896.2379798201846</v>
      </c>
      <c r="K1079" s="444">
        <f t="shared" ca="1" si="105"/>
        <v>-6853.0205452711107</v>
      </c>
      <c r="L1079" s="444">
        <f t="shared" ca="1" si="106"/>
        <v>-1651577.9514103378</v>
      </c>
      <c r="M1079" s="460">
        <f t="shared" si="109"/>
        <v>0.05</v>
      </c>
      <c r="N1079" s="464">
        <f t="shared" si="110"/>
        <v>83886</v>
      </c>
    </row>
    <row r="1080" spans="7:14" ht="11.25" customHeight="1" x14ac:dyDescent="0.3">
      <c r="G1080" s="459">
        <f t="shared" si="114"/>
        <v>90</v>
      </c>
      <c r="H1080" s="459">
        <v>1073</v>
      </c>
      <c r="I1080" s="444">
        <f t="shared" ca="1" si="108"/>
        <v>-1651577.9514103378</v>
      </c>
      <c r="J1080" s="444">
        <f t="array" ref="J1080">IFERROR(INDEX('Retirement Calculator'!J:J,MATCH('Isaac 401k'!N1080,'Retirement Calculator'!A:A,0),0),0)</f>
        <v>7896.2379798201846</v>
      </c>
      <c r="K1080" s="444">
        <f t="shared" ca="1" si="105"/>
        <v>-6914.4757891256577</v>
      </c>
      <c r="L1080" s="444">
        <f t="shared" ca="1" si="106"/>
        <v>-1666388.6651792836</v>
      </c>
      <c r="M1080" s="460">
        <f t="shared" si="109"/>
        <v>0.05</v>
      </c>
      <c r="N1080" s="464">
        <f t="shared" si="110"/>
        <v>83916</v>
      </c>
    </row>
    <row r="1081" spans="7:14" ht="11.25" customHeight="1" x14ac:dyDescent="0.3">
      <c r="G1081" s="459">
        <f t="shared" si="114"/>
        <v>90</v>
      </c>
      <c r="H1081" s="459">
        <v>1074</v>
      </c>
      <c r="I1081" s="444">
        <f t="shared" ca="1" si="108"/>
        <v>-1666388.6651792836</v>
      </c>
      <c r="J1081" s="444">
        <f t="array" ref="J1081">IFERROR(INDEX('Retirement Calculator'!J:J,MATCH('Isaac 401k'!N1081,'Retirement Calculator'!A:A,0),0),0)</f>
        <v>7896.2379798201846</v>
      </c>
      <c r="K1081" s="444">
        <f t="shared" ca="1" si="105"/>
        <v>-6976.1870964962654</v>
      </c>
      <c r="L1081" s="444">
        <f t="shared" ca="1" si="106"/>
        <v>-1681261.0902556002</v>
      </c>
      <c r="M1081" s="460">
        <f t="shared" si="109"/>
        <v>0.05</v>
      </c>
      <c r="N1081" s="464">
        <f t="shared" si="110"/>
        <v>83947</v>
      </c>
    </row>
    <row r="1082" spans="7:14" ht="11.25" customHeight="1" x14ac:dyDescent="0.3">
      <c r="G1082" s="459">
        <f t="shared" si="114"/>
        <v>90</v>
      </c>
      <c r="H1082" s="459">
        <v>1075</v>
      </c>
      <c r="I1082" s="444">
        <f t="shared" ca="1" si="108"/>
        <v>-1681261.0902556002</v>
      </c>
      <c r="J1082" s="444">
        <f t="array" ref="J1082">IFERROR(INDEX('Retirement Calculator'!J:J,MATCH('Isaac 401k'!N1082,'Retirement Calculator'!A:A,0),0),0)</f>
        <v>7896.2379798201846</v>
      </c>
      <c r="K1082" s="444">
        <f t="shared" ca="1" si="105"/>
        <v>-7038.1555343142518</v>
      </c>
      <c r="L1082" s="444">
        <f t="shared" ca="1" si="106"/>
        <v>-1696195.4837697346</v>
      </c>
      <c r="M1082" s="460">
        <f t="shared" si="109"/>
        <v>0.05</v>
      </c>
      <c r="N1082" s="464">
        <f t="shared" si="110"/>
        <v>83977</v>
      </c>
    </row>
    <row r="1083" spans="7:14" ht="11.25" customHeight="1" x14ac:dyDescent="0.3">
      <c r="G1083" s="459">
        <f t="shared" si="114"/>
        <v>90</v>
      </c>
      <c r="H1083" s="459">
        <v>1076</v>
      </c>
      <c r="I1083" s="444">
        <f t="shared" ca="1" si="108"/>
        <v>-1696195.4837697346</v>
      </c>
      <c r="J1083" s="444">
        <f t="array" ref="J1083">IFERROR(INDEX('Retirement Calculator'!J:J,MATCH('Isaac 401k'!N1083,'Retirement Calculator'!A:A,0),0),0)</f>
        <v>7896.2379798201846</v>
      </c>
      <c r="K1083" s="444">
        <f t="shared" ca="1" si="105"/>
        <v>-7100.3821739564792</v>
      </c>
      <c r="L1083" s="444">
        <f t="shared" ca="1" si="106"/>
        <v>-1711192.1039235112</v>
      </c>
      <c r="M1083" s="460">
        <f t="shared" si="109"/>
        <v>0.05</v>
      </c>
      <c r="N1083" s="464">
        <f t="shared" si="110"/>
        <v>84008</v>
      </c>
    </row>
    <row r="1084" spans="7:14" ht="11.25" customHeight="1" x14ac:dyDescent="0.3">
      <c r="G1084" s="459">
        <f t="shared" si="114"/>
        <v>90</v>
      </c>
      <c r="H1084" s="459">
        <v>1077</v>
      </c>
      <c r="I1084" s="444">
        <f t="shared" ca="1" si="108"/>
        <v>-1711192.1039235112</v>
      </c>
      <c r="J1084" s="444">
        <f t="array" ref="J1084">IFERROR(INDEX('Retirement Calculator'!J:J,MATCH('Isaac 401k'!N1084,'Retirement Calculator'!A:A,0),0),0)</f>
        <v>7896.2379798201846</v>
      </c>
      <c r="K1084" s="444">
        <f t="shared" ca="1" si="105"/>
        <v>-7162.8680912638811</v>
      </c>
      <c r="L1084" s="444">
        <f t="shared" ca="1" si="106"/>
        <v>-1726251.2099945953</v>
      </c>
      <c r="M1084" s="460">
        <f t="shared" si="109"/>
        <v>0.05</v>
      </c>
      <c r="N1084" s="464">
        <f t="shared" si="110"/>
        <v>84039</v>
      </c>
    </row>
    <row r="1085" spans="7:14" ht="11.25" customHeight="1" x14ac:dyDescent="0.3">
      <c r="G1085" s="459">
        <f t="shared" si="114"/>
        <v>90</v>
      </c>
      <c r="H1085" s="459">
        <v>1078</v>
      </c>
      <c r="I1085" s="444">
        <f t="shared" ca="1" si="108"/>
        <v>-1726251.2099945953</v>
      </c>
      <c r="J1085" s="444">
        <f t="array" ref="J1085">IFERROR(INDEX('Retirement Calculator'!J:J,MATCH('Isaac 401k'!N1085,'Retirement Calculator'!A:A,0),0),0)</f>
        <v>7896.2379798201846</v>
      </c>
      <c r="K1085" s="444">
        <f t="shared" ca="1" si="105"/>
        <v>-7225.6143665600648</v>
      </c>
      <c r="L1085" s="444">
        <f t="shared" ca="1" si="106"/>
        <v>-1741373.0623409755</v>
      </c>
      <c r="M1085" s="460">
        <f t="shared" si="109"/>
        <v>0.05</v>
      </c>
      <c r="N1085" s="464">
        <f t="shared" si="110"/>
        <v>84067</v>
      </c>
    </row>
    <row r="1086" spans="7:14" ht="11.25" customHeight="1" x14ac:dyDescent="0.3">
      <c r="G1086" s="459">
        <f t="shared" si="114"/>
        <v>90</v>
      </c>
      <c r="H1086" s="459">
        <v>1079</v>
      </c>
      <c r="I1086" s="444">
        <f t="shared" ca="1" si="108"/>
        <v>-1741373.0623409755</v>
      </c>
      <c r="J1086" s="444">
        <f t="array" ref="J1086">IFERROR(INDEX('Retirement Calculator'!J:J,MATCH('Isaac 401k'!N1086,'Retirement Calculator'!A:A,0),0),0)</f>
        <v>7896.2379798201846</v>
      </c>
      <c r="K1086" s="444">
        <f t="shared" ca="1" si="105"/>
        <v>-7288.6220846699825</v>
      </c>
      <c r="L1086" s="444">
        <f t="shared" ca="1" si="106"/>
        <v>-1756557.9224054657</v>
      </c>
      <c r="M1086" s="460">
        <f t="shared" si="109"/>
        <v>0.05</v>
      </c>
      <c r="N1086" s="464">
        <f t="shared" si="110"/>
        <v>84098</v>
      </c>
    </row>
    <row r="1087" spans="7:14" ht="11.25" customHeight="1" x14ac:dyDescent="0.3">
      <c r="G1087" s="459">
        <f t="shared" si="114"/>
        <v>90</v>
      </c>
      <c r="H1087" s="459">
        <v>1080</v>
      </c>
      <c r="I1087" s="444">
        <f t="shared" ca="1" si="108"/>
        <v>-1756557.9224054657</v>
      </c>
      <c r="J1087" s="444">
        <f t="array" ref="J1087">IFERROR(INDEX('Retirement Calculator'!J:J,MATCH('Isaac 401k'!N1087,'Retirement Calculator'!A:A,0),0),0)</f>
        <v>7896.2379798201846</v>
      </c>
      <c r="K1087" s="444">
        <f t="shared" ca="1" si="105"/>
        <v>-7351.8923349386905</v>
      </c>
      <c r="L1087" s="444">
        <f t="shared" ca="1" si="106"/>
        <v>-1771806.0527202247</v>
      </c>
      <c r="M1087" s="460">
        <f t="shared" si="109"/>
        <v>0.05</v>
      </c>
      <c r="N1087" s="464">
        <f t="shared" si="110"/>
        <v>84128</v>
      </c>
    </row>
    <row r="1088" spans="7:14" ht="11.25" customHeight="1" x14ac:dyDescent="0.3">
      <c r="G1088" s="459">
        <f>G1087+1</f>
        <v>91</v>
      </c>
      <c r="H1088" s="459">
        <v>1081</v>
      </c>
      <c r="I1088" s="444">
        <f t="shared" ca="1" si="108"/>
        <v>-1771806.0527202247</v>
      </c>
      <c r="J1088" s="444">
        <f t="array" ref="J1088">IFERROR(INDEX('Retirement Calculator'!J:J,MATCH('Isaac 401k'!N1088,'Retirement Calculator'!A:A,0),0),0)</f>
        <v>7896.2379798201846</v>
      </c>
      <c r="K1088" s="444">
        <f t="shared" ca="1" si="105"/>
        <v>-7415.4262112501865</v>
      </c>
      <c r="L1088" s="444">
        <f t="shared" ca="1" si="106"/>
        <v>-1787117.7169112952</v>
      </c>
      <c r="M1088" s="460">
        <f t="shared" si="109"/>
        <v>0.05</v>
      </c>
      <c r="N1088" s="464">
        <f t="shared" si="110"/>
        <v>84159</v>
      </c>
    </row>
    <row r="1089" spans="7:14" ht="11.25" customHeight="1" x14ac:dyDescent="0.3">
      <c r="G1089" s="459">
        <f t="shared" ref="G1089:G1099" si="115">G1088</f>
        <v>91</v>
      </c>
      <c r="H1089" s="459">
        <v>1082</v>
      </c>
      <c r="I1089" s="444">
        <f t="shared" ca="1" si="108"/>
        <v>-1787117.7169112952</v>
      </c>
      <c r="J1089" s="444">
        <f t="array" ref="J1089">IFERROR(INDEX('Retirement Calculator'!J:J,MATCH('Isaac 401k'!N1089,'Retirement Calculator'!A:A,0),0),0)</f>
        <v>7896.2379798201846</v>
      </c>
      <c r="K1089" s="444">
        <f t="shared" ca="1" si="105"/>
        <v>-7479.2248120463146</v>
      </c>
      <c r="L1089" s="444">
        <f t="shared" ca="1" si="106"/>
        <v>-1802493.1797031618</v>
      </c>
      <c r="M1089" s="460">
        <f t="shared" si="109"/>
        <v>0.05</v>
      </c>
      <c r="N1089" s="464">
        <f t="shared" si="110"/>
        <v>84189</v>
      </c>
    </row>
    <row r="1090" spans="7:14" ht="11.25" customHeight="1" x14ac:dyDescent="0.3">
      <c r="G1090" s="459">
        <f t="shared" si="115"/>
        <v>91</v>
      </c>
      <c r="H1090" s="459">
        <v>1083</v>
      </c>
      <c r="I1090" s="444">
        <f t="shared" ca="1" si="108"/>
        <v>-1802493.1797031618</v>
      </c>
      <c r="J1090" s="444">
        <f t="array" ref="J1090">IFERROR(INDEX('Retirement Calculator'!J:J,MATCH('Isaac 401k'!N1090,'Retirement Calculator'!A:A,0),0),0)</f>
        <v>7896.2379798201846</v>
      </c>
      <c r="K1090" s="444">
        <f t="shared" ca="1" si="105"/>
        <v>-7543.2892403457581</v>
      </c>
      <c r="L1090" s="444">
        <f t="shared" ca="1" si="106"/>
        <v>-1817932.7069233279</v>
      </c>
      <c r="M1090" s="460">
        <f t="shared" si="109"/>
        <v>0.05</v>
      </c>
      <c r="N1090" s="464">
        <f t="shared" si="110"/>
        <v>84220</v>
      </c>
    </row>
    <row r="1091" spans="7:14" ht="11.25" customHeight="1" x14ac:dyDescent="0.3">
      <c r="G1091" s="459">
        <f t="shared" si="115"/>
        <v>91</v>
      </c>
      <c r="H1091" s="459">
        <v>1084</v>
      </c>
      <c r="I1091" s="444">
        <f t="shared" ca="1" si="108"/>
        <v>-1817932.7069233279</v>
      </c>
      <c r="J1091" s="444">
        <f t="array" ref="J1091">IFERROR(INDEX('Retirement Calculator'!J:J,MATCH('Isaac 401k'!N1091,'Retirement Calculator'!A:A,0),0),0)</f>
        <v>7896.2379798201846</v>
      </c>
      <c r="K1091" s="444">
        <f t="shared" ca="1" si="105"/>
        <v>-7607.6206037631164</v>
      </c>
      <c r="L1091" s="444">
        <f t="shared" ca="1" si="106"/>
        <v>-1833436.5655069111</v>
      </c>
      <c r="M1091" s="460">
        <f t="shared" si="109"/>
        <v>0.05</v>
      </c>
      <c r="N1091" s="464">
        <f t="shared" si="110"/>
        <v>84251</v>
      </c>
    </row>
    <row r="1092" spans="7:14" ht="11.25" customHeight="1" x14ac:dyDescent="0.3">
      <c r="G1092" s="459">
        <f t="shared" si="115"/>
        <v>91</v>
      </c>
      <c r="H1092" s="459">
        <v>1085</v>
      </c>
      <c r="I1092" s="444">
        <f t="shared" ca="1" si="108"/>
        <v>-1833436.5655069111</v>
      </c>
      <c r="J1092" s="444">
        <f t="array" ref="J1092">IFERROR(INDEX('Retirement Calculator'!J:J,MATCH('Isaac 401k'!N1092,'Retirement Calculator'!A:A,0),0),0)</f>
        <v>7896.2379798201846</v>
      </c>
      <c r="K1092" s="444">
        <f t="shared" ca="1" si="105"/>
        <v>-7672.2200145280476</v>
      </c>
      <c r="L1092" s="444">
        <f t="shared" ca="1" si="106"/>
        <v>-1849005.0235012595</v>
      </c>
      <c r="M1092" s="460">
        <f t="shared" si="109"/>
        <v>0.05</v>
      </c>
      <c r="N1092" s="464">
        <f t="shared" si="110"/>
        <v>84281</v>
      </c>
    </row>
    <row r="1093" spans="7:14" ht="11.25" customHeight="1" x14ac:dyDescent="0.3">
      <c r="G1093" s="459">
        <f t="shared" si="115"/>
        <v>91</v>
      </c>
      <c r="H1093" s="459">
        <v>1086</v>
      </c>
      <c r="I1093" s="444">
        <f t="shared" ca="1" si="108"/>
        <v>-1849005.0235012595</v>
      </c>
      <c r="J1093" s="444">
        <f t="array" ref="J1093">IFERROR(INDEX('Retirement Calculator'!J:J,MATCH('Isaac 401k'!N1093,'Retirement Calculator'!A:A,0),0),0)</f>
        <v>7896.2379798201846</v>
      </c>
      <c r="K1093" s="444">
        <f t="shared" ca="1" si="105"/>
        <v>-7737.0885895044985</v>
      </c>
      <c r="L1093" s="444">
        <f t="shared" ca="1" si="106"/>
        <v>-1864638.3500705843</v>
      </c>
      <c r="M1093" s="460">
        <f t="shared" si="109"/>
        <v>0.05</v>
      </c>
      <c r="N1093" s="464">
        <f t="shared" si="110"/>
        <v>84312</v>
      </c>
    </row>
    <row r="1094" spans="7:14" ht="11.25" customHeight="1" x14ac:dyDescent="0.3">
      <c r="G1094" s="459">
        <f t="shared" si="115"/>
        <v>91</v>
      </c>
      <c r="H1094" s="459">
        <v>1087</v>
      </c>
      <c r="I1094" s="444">
        <f t="shared" ca="1" si="108"/>
        <v>-1864638.3500705843</v>
      </c>
      <c r="J1094" s="444">
        <f t="array" ref="J1094">IFERROR(INDEX('Retirement Calculator'!J:J,MATCH('Isaac 401k'!N1094,'Retirement Calculator'!A:A,0),0),0)</f>
        <v>7896.2379798201846</v>
      </c>
      <c r="K1094" s="444">
        <f t="shared" ca="1" si="105"/>
        <v>-7802.227450210019</v>
      </c>
      <c r="L1094" s="444">
        <f t="shared" ca="1" si="106"/>
        <v>-1880336.8155006147</v>
      </c>
      <c r="M1094" s="460">
        <f t="shared" si="109"/>
        <v>0.05</v>
      </c>
      <c r="N1094" s="464">
        <f t="shared" si="110"/>
        <v>84342</v>
      </c>
    </row>
    <row r="1095" spans="7:14" ht="11.25" customHeight="1" x14ac:dyDescent="0.3">
      <c r="G1095" s="459">
        <f t="shared" si="115"/>
        <v>91</v>
      </c>
      <c r="H1095" s="459">
        <v>1088</v>
      </c>
      <c r="I1095" s="444">
        <f t="shared" ca="1" si="108"/>
        <v>-1880336.8155006147</v>
      </c>
      <c r="J1095" s="444">
        <f t="array" ref="J1095">IFERROR(INDEX('Retirement Calculator'!J:J,MATCH('Isaac 401k'!N1095,'Retirement Calculator'!A:A,0),0),0)</f>
        <v>7896.2379798201846</v>
      </c>
      <c r="K1095" s="444">
        <f t="shared" ca="1" si="105"/>
        <v>-7867.6377228351457</v>
      </c>
      <c r="L1095" s="444">
        <f t="shared" ca="1" si="106"/>
        <v>-1896100.6912032701</v>
      </c>
      <c r="M1095" s="460">
        <f t="shared" si="109"/>
        <v>0.05</v>
      </c>
      <c r="N1095" s="464">
        <f t="shared" si="110"/>
        <v>84373</v>
      </c>
    </row>
    <row r="1096" spans="7:14" ht="11.25" customHeight="1" x14ac:dyDescent="0.3">
      <c r="G1096" s="459">
        <f t="shared" si="115"/>
        <v>91</v>
      </c>
      <c r="H1096" s="459">
        <v>1089</v>
      </c>
      <c r="I1096" s="444">
        <f t="shared" ca="1" si="108"/>
        <v>-1896100.6912032701</v>
      </c>
      <c r="J1096" s="444">
        <f t="array" ref="J1096">IFERROR(INDEX('Retirement Calculator'!J:J,MATCH('Isaac 401k'!N1096,'Retirement Calculator'!A:A,0),0),0)</f>
        <v>7896.2379798201846</v>
      </c>
      <c r="K1096" s="444">
        <f t="shared" ca="1" si="105"/>
        <v>-7933.3205382628767</v>
      </c>
      <c r="L1096" s="444">
        <f t="shared" ca="1" si="106"/>
        <v>-1911930.2497213532</v>
      </c>
      <c r="M1096" s="460">
        <f t="shared" si="109"/>
        <v>0.05</v>
      </c>
      <c r="N1096" s="464">
        <f t="shared" si="110"/>
        <v>84404</v>
      </c>
    </row>
    <row r="1097" spans="7:14" ht="11.25" customHeight="1" x14ac:dyDescent="0.3">
      <c r="G1097" s="459">
        <f t="shared" si="115"/>
        <v>91</v>
      </c>
      <c r="H1097" s="459">
        <v>1090</v>
      </c>
      <c r="I1097" s="444">
        <f t="shared" ca="1" si="108"/>
        <v>-1911930.2497213532</v>
      </c>
      <c r="J1097" s="444">
        <f t="array" ref="J1097">IFERROR(INDEX('Retirement Calculator'!J:J,MATCH('Isaac 401k'!N1097,'Retirement Calculator'!A:A,0),0),0)</f>
        <v>7896.2379798201846</v>
      </c>
      <c r="K1097" s="444">
        <f t="shared" ca="1" si="105"/>
        <v>-7999.2770320882228</v>
      </c>
      <c r="L1097" s="444">
        <f t="shared" ca="1" si="106"/>
        <v>-1927825.7647332617</v>
      </c>
      <c r="M1097" s="460">
        <f t="shared" si="109"/>
        <v>0.05</v>
      </c>
      <c r="N1097" s="464">
        <f t="shared" si="110"/>
        <v>84432</v>
      </c>
    </row>
    <row r="1098" spans="7:14" ht="11.25" customHeight="1" x14ac:dyDescent="0.3">
      <c r="G1098" s="459">
        <f t="shared" si="115"/>
        <v>91</v>
      </c>
      <c r="H1098" s="459">
        <v>1091</v>
      </c>
      <c r="I1098" s="444">
        <f t="shared" ca="1" si="108"/>
        <v>-1927825.7647332617</v>
      </c>
      <c r="J1098" s="444">
        <f t="array" ref="J1098">IFERROR(INDEX('Retirement Calculator'!J:J,MATCH('Isaac 401k'!N1098,'Retirement Calculator'!A:A,0),0),0)</f>
        <v>7896.2379798201846</v>
      </c>
      <c r="K1098" s="444">
        <f t="shared" ca="1" si="105"/>
        <v>-8065.5083446378421</v>
      </c>
      <c r="L1098" s="444">
        <f t="shared" ca="1" si="106"/>
        <v>-1943787.5110577198</v>
      </c>
      <c r="M1098" s="460">
        <f t="shared" si="109"/>
        <v>0.05</v>
      </c>
      <c r="N1098" s="464">
        <f t="shared" si="110"/>
        <v>84463</v>
      </c>
    </row>
    <row r="1099" spans="7:14" ht="11.25" customHeight="1" x14ac:dyDescent="0.3">
      <c r="G1099" s="459">
        <f t="shared" si="115"/>
        <v>91</v>
      </c>
      <c r="H1099" s="459">
        <v>1092</v>
      </c>
      <c r="I1099" s="444">
        <f t="shared" ca="1" si="108"/>
        <v>-1943787.5110577198</v>
      </c>
      <c r="J1099" s="444">
        <f t="array" ref="J1099">IFERROR(INDEX('Retirement Calculator'!J:J,MATCH('Isaac 401k'!N1099,'Retirement Calculator'!A:A,0),0),0)</f>
        <v>7896.2379798201846</v>
      </c>
      <c r="K1099" s="444">
        <f t="shared" ca="1" si="105"/>
        <v>-8132.0156209897496</v>
      </c>
      <c r="L1099" s="444">
        <f t="shared" ca="1" si="106"/>
        <v>-1959815.7646585298</v>
      </c>
      <c r="M1099" s="460">
        <f t="shared" si="109"/>
        <v>0.05</v>
      </c>
      <c r="N1099" s="464">
        <f t="shared" si="110"/>
        <v>84493</v>
      </c>
    </row>
    <row r="1100" spans="7:14" ht="11.25" customHeight="1" x14ac:dyDescent="0.3">
      <c r="G1100" s="459">
        <f>G1099+1</f>
        <v>92</v>
      </c>
      <c r="H1100" s="459">
        <v>1093</v>
      </c>
      <c r="I1100" s="444">
        <f t="shared" ca="1" si="108"/>
        <v>-1959815.7646585298</v>
      </c>
      <c r="J1100" s="444">
        <f t="array" ref="J1100">IFERROR(INDEX('Retirement Calculator'!J:J,MATCH('Isaac 401k'!N1100,'Retirement Calculator'!A:A,0),0),0)</f>
        <v>7896.2379798201846</v>
      </c>
      <c r="K1100" s="444">
        <f t="shared" ca="1" si="105"/>
        <v>-8198.8000109931254</v>
      </c>
      <c r="L1100" s="444">
        <f t="shared" ca="1" si="106"/>
        <v>-1975910.8026493432</v>
      </c>
      <c r="M1100" s="460">
        <f t="shared" si="109"/>
        <v>0.05</v>
      </c>
      <c r="N1100" s="464">
        <f t="shared" si="110"/>
        <v>84524</v>
      </c>
    </row>
    <row r="1101" spans="7:14" ht="11.25" customHeight="1" x14ac:dyDescent="0.3">
      <c r="G1101" s="459">
        <f t="shared" ref="G1101:G1111" si="116">G1100</f>
        <v>92</v>
      </c>
      <c r="H1101" s="459">
        <v>1094</v>
      </c>
      <c r="I1101" s="444">
        <f t="shared" ca="1" si="108"/>
        <v>-1975910.8026493432</v>
      </c>
      <c r="J1101" s="444">
        <f t="array" ref="J1101">IFERROR(INDEX('Retirement Calculator'!J:J,MATCH('Isaac 401k'!N1101,'Retirement Calculator'!A:A,0),0),0)</f>
        <v>7896.2379798201846</v>
      </c>
      <c r="K1101" s="444">
        <f t="shared" ca="1" si="105"/>
        <v>-8265.8626692881808</v>
      </c>
      <c r="L1101" s="444">
        <f t="shared" ca="1" si="106"/>
        <v>-1992072.9032984516</v>
      </c>
      <c r="M1101" s="460">
        <f t="shared" si="109"/>
        <v>0.05</v>
      </c>
      <c r="N1101" s="464">
        <f t="shared" si="110"/>
        <v>84554</v>
      </c>
    </row>
    <row r="1102" spans="7:14" ht="11.25" customHeight="1" x14ac:dyDescent="0.3">
      <c r="G1102" s="459">
        <f t="shared" si="116"/>
        <v>92</v>
      </c>
      <c r="H1102" s="459">
        <v>1095</v>
      </c>
      <c r="I1102" s="444">
        <f t="shared" ca="1" si="108"/>
        <v>-1992072.9032984516</v>
      </c>
      <c r="J1102" s="444">
        <f t="array" ref="J1102">IFERROR(INDEX('Retirement Calculator'!J:J,MATCH('Isaac 401k'!N1102,'Retirement Calculator'!A:A,0),0),0)</f>
        <v>7896.2379798201846</v>
      </c>
      <c r="K1102" s="444">
        <f t="shared" ca="1" si="105"/>
        <v>-8333.2047553261327</v>
      </c>
      <c r="L1102" s="444">
        <f t="shared" ca="1" si="106"/>
        <v>-2008302.3460335978</v>
      </c>
      <c r="M1102" s="460">
        <f t="shared" si="109"/>
        <v>0.05</v>
      </c>
      <c r="N1102" s="464">
        <f t="shared" si="110"/>
        <v>84585</v>
      </c>
    </row>
    <row r="1103" spans="7:14" ht="11.25" customHeight="1" x14ac:dyDescent="0.3">
      <c r="G1103" s="459">
        <f t="shared" si="116"/>
        <v>92</v>
      </c>
      <c r="H1103" s="459">
        <v>1096</v>
      </c>
      <c r="I1103" s="444">
        <f t="shared" ca="1" si="108"/>
        <v>-2008302.3460335978</v>
      </c>
      <c r="J1103" s="444">
        <f t="array" ref="J1103">IFERROR(INDEX('Retirement Calculator'!J:J,MATCH('Isaac 401k'!N1103,'Retirement Calculator'!A:A,0),0),0)</f>
        <v>7896.2379798201846</v>
      </c>
      <c r="K1103" s="444">
        <f t="shared" ca="1" si="105"/>
        <v>-8400.8274333892423</v>
      </c>
      <c r="L1103" s="444">
        <f t="shared" ca="1" si="106"/>
        <v>-2024599.4114468072</v>
      </c>
      <c r="M1103" s="460">
        <f t="shared" si="109"/>
        <v>0.05</v>
      </c>
      <c r="N1103" s="464">
        <f t="shared" si="110"/>
        <v>84616</v>
      </c>
    </row>
    <row r="1104" spans="7:14" ht="11.25" customHeight="1" x14ac:dyDescent="0.3">
      <c r="G1104" s="459">
        <f t="shared" si="116"/>
        <v>92</v>
      </c>
      <c r="H1104" s="459">
        <v>1097</v>
      </c>
      <c r="I1104" s="444">
        <f t="shared" ca="1" si="108"/>
        <v>-2024599.4114468072</v>
      </c>
      <c r="J1104" s="444">
        <f t="array" ref="J1104">IFERROR(INDEX('Retirement Calculator'!J:J,MATCH('Isaac 401k'!N1104,'Retirement Calculator'!A:A,0),0),0)</f>
        <v>7896.2379798201846</v>
      </c>
      <c r="K1104" s="444">
        <f t="shared" ca="1" si="105"/>
        <v>-8468.7318726109479</v>
      </c>
      <c r="L1104" s="444">
        <f t="shared" ca="1" si="106"/>
        <v>-2040964.3812992384</v>
      </c>
      <c r="M1104" s="460">
        <f t="shared" si="109"/>
        <v>0.05</v>
      </c>
      <c r="N1104" s="464">
        <f t="shared" si="110"/>
        <v>84646</v>
      </c>
    </row>
    <row r="1105" spans="7:14" ht="11.25" customHeight="1" x14ac:dyDescent="0.3">
      <c r="G1105" s="459">
        <f t="shared" si="116"/>
        <v>92</v>
      </c>
      <c r="H1105" s="459">
        <v>1098</v>
      </c>
      <c r="I1105" s="444">
        <f t="shared" ca="1" si="108"/>
        <v>-2040964.3812992384</v>
      </c>
      <c r="J1105" s="444">
        <f t="array" ref="J1105">IFERROR(INDEX('Retirement Calculator'!J:J,MATCH('Isaac 401k'!N1105,'Retirement Calculator'!A:A,0),0),0)</f>
        <v>7896.2379798201846</v>
      </c>
      <c r="K1105" s="444">
        <f t="shared" ca="1" si="105"/>
        <v>-8536.9192469960781</v>
      </c>
      <c r="L1105" s="444">
        <f t="shared" ca="1" si="106"/>
        <v>-2057397.5385260547</v>
      </c>
      <c r="M1105" s="460">
        <f t="shared" si="109"/>
        <v>0.05</v>
      </c>
      <c r="N1105" s="464">
        <f t="shared" si="110"/>
        <v>84677</v>
      </c>
    </row>
    <row r="1106" spans="7:14" ht="11.25" customHeight="1" x14ac:dyDescent="0.3">
      <c r="G1106" s="459">
        <f t="shared" si="116"/>
        <v>92</v>
      </c>
      <c r="H1106" s="459">
        <v>1099</v>
      </c>
      <c r="I1106" s="444">
        <f t="shared" ca="1" si="108"/>
        <v>-2057397.5385260547</v>
      </c>
      <c r="J1106" s="444">
        <f t="array" ref="J1106">IFERROR(INDEX('Retirement Calculator'!J:J,MATCH('Isaac 401k'!N1106,'Retirement Calculator'!A:A,0),0),0)</f>
        <v>7896.2379798201846</v>
      </c>
      <c r="K1106" s="444">
        <f t="shared" ca="1" si="105"/>
        <v>-8605.3907354411458</v>
      </c>
      <c r="L1106" s="444">
        <f t="shared" ca="1" si="106"/>
        <v>-2073899.1672413161</v>
      </c>
      <c r="M1106" s="460">
        <f t="shared" si="109"/>
        <v>0.05</v>
      </c>
      <c r="N1106" s="464">
        <f t="shared" si="110"/>
        <v>84707</v>
      </c>
    </row>
    <row r="1107" spans="7:14" ht="11.25" customHeight="1" x14ac:dyDescent="0.3">
      <c r="G1107" s="459">
        <f t="shared" si="116"/>
        <v>92</v>
      </c>
      <c r="H1107" s="459">
        <v>1100</v>
      </c>
      <c r="I1107" s="444">
        <f t="shared" ca="1" si="108"/>
        <v>-2073899.1672413161</v>
      </c>
      <c r="J1107" s="444">
        <f t="array" ref="J1107">IFERROR(INDEX('Retirement Calculator'!J:J,MATCH('Isaac 401k'!N1107,'Retirement Calculator'!A:A,0),0),0)</f>
        <v>7896.2379798201846</v>
      </c>
      <c r="K1107" s="444">
        <f t="shared" ca="1" si="105"/>
        <v>-8674.147521754734</v>
      </c>
      <c r="L1107" s="444">
        <f t="shared" ca="1" si="106"/>
        <v>-2090469.552742891</v>
      </c>
      <c r="M1107" s="460">
        <f t="shared" si="109"/>
        <v>0.05</v>
      </c>
      <c r="N1107" s="464">
        <f t="shared" si="110"/>
        <v>84738</v>
      </c>
    </row>
    <row r="1108" spans="7:14" ht="11.25" customHeight="1" x14ac:dyDescent="0.3">
      <c r="G1108" s="459">
        <f t="shared" si="116"/>
        <v>92</v>
      </c>
      <c r="H1108" s="459">
        <v>1101</v>
      </c>
      <c r="I1108" s="444">
        <f t="shared" ca="1" si="108"/>
        <v>-2090469.552742891</v>
      </c>
      <c r="J1108" s="444">
        <f t="array" ref="J1108">IFERROR(INDEX('Retirement Calculator'!J:J,MATCH('Isaac 401k'!N1108,'Retirement Calculator'!A:A,0),0),0)</f>
        <v>7896.2379798201846</v>
      </c>
      <c r="K1108" s="444">
        <f t="shared" ca="1" si="105"/>
        <v>-8743.1907946779629</v>
      </c>
      <c r="L1108" s="444">
        <f t="shared" ca="1" si="106"/>
        <v>-2107108.981517389</v>
      </c>
      <c r="M1108" s="460">
        <f t="shared" si="109"/>
        <v>0.05</v>
      </c>
      <c r="N1108" s="464">
        <f t="shared" si="110"/>
        <v>84769</v>
      </c>
    </row>
    <row r="1109" spans="7:14" ht="11.25" customHeight="1" x14ac:dyDescent="0.3">
      <c r="G1109" s="459">
        <f t="shared" si="116"/>
        <v>92</v>
      </c>
      <c r="H1109" s="459">
        <v>1102</v>
      </c>
      <c r="I1109" s="444">
        <f t="shared" ca="1" si="108"/>
        <v>-2107108.981517389</v>
      </c>
      <c r="J1109" s="444">
        <f t="array" ref="J1109">IFERROR(INDEX('Retirement Calculator'!J:J,MATCH('Isaac 401k'!N1109,'Retirement Calculator'!A:A,0),0),0)</f>
        <v>7896.2379798201846</v>
      </c>
      <c r="K1109" s="444">
        <f t="shared" ca="1" si="105"/>
        <v>-8812.521747905037</v>
      </c>
      <c r="L1109" s="444">
        <f t="shared" ca="1" si="106"/>
        <v>-2123817.7412451138</v>
      </c>
      <c r="M1109" s="460">
        <f t="shared" si="109"/>
        <v>0.05</v>
      </c>
      <c r="N1109" s="464">
        <f t="shared" si="110"/>
        <v>84798</v>
      </c>
    </row>
    <row r="1110" spans="7:14" ht="11.25" customHeight="1" x14ac:dyDescent="0.3">
      <c r="G1110" s="459">
        <f t="shared" si="116"/>
        <v>92</v>
      </c>
      <c r="H1110" s="459">
        <v>1103</v>
      </c>
      <c r="I1110" s="444">
        <f t="shared" ca="1" si="108"/>
        <v>-2123817.7412451138</v>
      </c>
      <c r="J1110" s="444">
        <f t="array" ref="J1110">IFERROR(INDEX('Retirement Calculator'!J:J,MATCH('Isaac 401k'!N1110,'Retirement Calculator'!A:A,0),0),0)</f>
        <v>7896.2379798201846</v>
      </c>
      <c r="K1110" s="444">
        <f t="shared" ca="1" si="105"/>
        <v>-8882.1415801038911</v>
      </c>
      <c r="L1110" s="444">
        <f t="shared" ca="1" si="106"/>
        <v>-2140596.1208050377</v>
      </c>
      <c r="M1110" s="460">
        <f t="shared" si="109"/>
        <v>0.05</v>
      </c>
      <c r="N1110" s="464">
        <f t="shared" si="110"/>
        <v>84829</v>
      </c>
    </row>
    <row r="1111" spans="7:14" ht="11.25" customHeight="1" x14ac:dyDescent="0.3">
      <c r="G1111" s="459">
        <f t="shared" si="116"/>
        <v>92</v>
      </c>
      <c r="H1111" s="459">
        <v>1104</v>
      </c>
      <c r="I1111" s="444">
        <f t="shared" ca="1" si="108"/>
        <v>-2140596.1208050377</v>
      </c>
      <c r="J1111" s="444">
        <f t="array" ref="J1111">IFERROR(INDEX('Retirement Calculator'!J:J,MATCH('Isaac 401k'!N1111,'Retirement Calculator'!A:A,0),0),0)</f>
        <v>7896.2379798201846</v>
      </c>
      <c r="K1111" s="444">
        <f t="shared" ca="1" si="105"/>
        <v>-8952.0514949369062</v>
      </c>
      <c r="L1111" s="444">
        <f t="shared" ca="1" si="106"/>
        <v>-2157444.4102797946</v>
      </c>
      <c r="M1111" s="460">
        <f t="shared" si="109"/>
        <v>0.05</v>
      </c>
      <c r="N1111" s="464">
        <f t="shared" si="110"/>
        <v>84859</v>
      </c>
    </row>
    <row r="1112" spans="7:14" ht="11.25" customHeight="1" x14ac:dyDescent="0.3">
      <c r="G1112" s="459">
        <f>G1111+1</f>
        <v>93</v>
      </c>
      <c r="H1112" s="459">
        <v>1105</v>
      </c>
      <c r="I1112" s="444">
        <f t="shared" ca="1" si="108"/>
        <v>-2157444.4102797946</v>
      </c>
      <c r="J1112" s="444">
        <f t="array" ref="J1112">IFERROR(INDEX('Retirement Calculator'!J:J,MATCH('Isaac 401k'!N1112,'Retirement Calculator'!A:A,0),0),0)</f>
        <v>7896.2379798201846</v>
      </c>
      <c r="K1112" s="444">
        <f t="shared" ca="1" si="105"/>
        <v>-9022.2527010817266</v>
      </c>
      <c r="L1112" s="444">
        <f t="shared" ca="1" si="106"/>
        <v>-2174362.9009606964</v>
      </c>
      <c r="M1112" s="460">
        <f t="shared" si="109"/>
        <v>0.05</v>
      </c>
      <c r="N1112" s="464">
        <f t="shared" si="110"/>
        <v>84890</v>
      </c>
    </row>
    <row r="1113" spans="7:14" ht="11.25" customHeight="1" x14ac:dyDescent="0.3">
      <c r="G1113" s="459">
        <f t="shared" ref="G1113:G1123" si="117">G1112</f>
        <v>93</v>
      </c>
      <c r="H1113" s="459">
        <v>1106</v>
      </c>
      <c r="I1113" s="444">
        <f t="shared" ca="1" si="108"/>
        <v>-2174362.9009606964</v>
      </c>
      <c r="J1113" s="444">
        <f t="array" ref="J1113">IFERROR(INDEX('Retirement Calculator'!J:J,MATCH('Isaac 401k'!N1113,'Retirement Calculator'!A:A,0),0),0)</f>
        <v>7896.2379798201846</v>
      </c>
      <c r="K1113" s="444">
        <f t="shared" ca="1" si="105"/>
        <v>-9092.7464122521524</v>
      </c>
      <c r="L1113" s="444">
        <f t="shared" ca="1" si="106"/>
        <v>-2191351.8853527685</v>
      </c>
      <c r="M1113" s="460">
        <f t="shared" si="109"/>
        <v>0.05</v>
      </c>
      <c r="N1113" s="464">
        <f t="shared" si="110"/>
        <v>84920</v>
      </c>
    </row>
    <row r="1114" spans="7:14" ht="11.25" customHeight="1" x14ac:dyDescent="0.3">
      <c r="G1114" s="459">
        <f t="shared" si="117"/>
        <v>93</v>
      </c>
      <c r="H1114" s="459">
        <v>1107</v>
      </c>
      <c r="I1114" s="444">
        <f t="shared" ca="1" si="108"/>
        <v>-2191351.8853527685</v>
      </c>
      <c r="J1114" s="444">
        <f t="array" ref="J1114">IFERROR(INDEX('Retirement Calculator'!J:J,MATCH('Isaac 401k'!N1114,'Retirement Calculator'!A:A,0),0),0)</f>
        <v>7896.2379798201846</v>
      </c>
      <c r="K1114" s="444">
        <f t="shared" ca="1" si="105"/>
        <v>-9163.5338472191179</v>
      </c>
      <c r="L1114" s="444">
        <f t="shared" ca="1" si="106"/>
        <v>-2208411.6571798078</v>
      </c>
      <c r="M1114" s="460">
        <f t="shared" si="109"/>
        <v>0.05</v>
      </c>
      <c r="N1114" s="464">
        <f t="shared" si="110"/>
        <v>84951</v>
      </c>
    </row>
    <row r="1115" spans="7:14" ht="11.25" customHeight="1" x14ac:dyDescent="0.3">
      <c r="G1115" s="459">
        <f t="shared" si="117"/>
        <v>93</v>
      </c>
      <c r="H1115" s="459">
        <v>1108</v>
      </c>
      <c r="I1115" s="444">
        <f t="shared" ca="1" si="108"/>
        <v>-2208411.6571798078</v>
      </c>
      <c r="J1115" s="444">
        <f t="array" ref="J1115">IFERROR(INDEX('Retirement Calculator'!J:J,MATCH('Isaac 401k'!N1115,'Retirement Calculator'!A:A,0),0),0)</f>
        <v>7896.2379798201846</v>
      </c>
      <c r="K1115" s="444">
        <f t="shared" ca="1" si="105"/>
        <v>-9234.6162298317831</v>
      </c>
      <c r="L1115" s="444">
        <f t="shared" ca="1" si="106"/>
        <v>-2225542.5113894595</v>
      </c>
      <c r="M1115" s="460">
        <f t="shared" si="109"/>
        <v>0.05</v>
      </c>
      <c r="N1115" s="464">
        <f t="shared" si="110"/>
        <v>84982</v>
      </c>
    </row>
    <row r="1116" spans="7:14" ht="11.25" customHeight="1" x14ac:dyDescent="0.3">
      <c r="G1116" s="459">
        <f t="shared" si="117"/>
        <v>93</v>
      </c>
      <c r="H1116" s="459">
        <v>1109</v>
      </c>
      <c r="I1116" s="444">
        <f t="shared" ca="1" si="108"/>
        <v>-2225542.5113894595</v>
      </c>
      <c r="J1116" s="444">
        <f t="array" ref="J1116">IFERROR(INDEX('Retirement Calculator'!J:J,MATCH('Isaac 401k'!N1116,'Retirement Calculator'!A:A,0),0),0)</f>
        <v>7896.2379798201846</v>
      </c>
      <c r="K1116" s="444">
        <f t="shared" ca="1" si="105"/>
        <v>-9305.9947890386647</v>
      </c>
      <c r="L1116" s="444">
        <f t="shared" ca="1" si="106"/>
        <v>-2242744.7441583183</v>
      </c>
      <c r="M1116" s="460">
        <f t="shared" si="109"/>
        <v>0.05</v>
      </c>
      <c r="N1116" s="464">
        <f t="shared" si="110"/>
        <v>85012</v>
      </c>
    </row>
    <row r="1117" spans="7:14" ht="11.25" customHeight="1" x14ac:dyDescent="0.3">
      <c r="G1117" s="459">
        <f t="shared" si="117"/>
        <v>93</v>
      </c>
      <c r="H1117" s="459">
        <v>1110</v>
      </c>
      <c r="I1117" s="444">
        <f t="shared" ca="1" si="108"/>
        <v>-2242744.7441583183</v>
      </c>
      <c r="J1117" s="444">
        <f t="array" ref="J1117">IFERROR(INDEX('Retirement Calculator'!J:J,MATCH('Isaac 401k'!N1117,'Retirement Calculator'!A:A,0),0),0)</f>
        <v>7896.2379798201846</v>
      </c>
      <c r="K1117" s="444">
        <f t="shared" ca="1" si="105"/>
        <v>-9377.6707589089092</v>
      </c>
      <c r="L1117" s="444">
        <f t="shared" ca="1" si="106"/>
        <v>-2260018.6528970473</v>
      </c>
      <c r="M1117" s="460">
        <f t="shared" si="109"/>
        <v>0.05</v>
      </c>
      <c r="N1117" s="464">
        <f t="shared" si="110"/>
        <v>85043</v>
      </c>
    </row>
    <row r="1118" spans="7:14" ht="11.25" customHeight="1" x14ac:dyDescent="0.3">
      <c r="G1118" s="459">
        <f t="shared" si="117"/>
        <v>93</v>
      </c>
      <c r="H1118" s="459">
        <v>1111</v>
      </c>
      <c r="I1118" s="444">
        <f t="shared" ca="1" si="108"/>
        <v>-2260018.6528970473</v>
      </c>
      <c r="J1118" s="444">
        <f t="array" ref="J1118">IFERROR(INDEX('Retirement Calculator'!J:J,MATCH('Isaac 401k'!N1118,'Retirement Calculator'!A:A,0),0),0)</f>
        <v>7896.2379798201846</v>
      </c>
      <c r="K1118" s="444">
        <f t="shared" ca="1" si="105"/>
        <v>-9449.6453786536131</v>
      </c>
      <c r="L1118" s="444">
        <f t="shared" ca="1" si="106"/>
        <v>-2277364.5362555208</v>
      </c>
      <c r="M1118" s="460">
        <f t="shared" si="109"/>
        <v>0.05</v>
      </c>
      <c r="N1118" s="464">
        <f t="shared" si="110"/>
        <v>85073</v>
      </c>
    </row>
    <row r="1119" spans="7:14" ht="11.25" customHeight="1" x14ac:dyDescent="0.3">
      <c r="G1119" s="459">
        <f t="shared" si="117"/>
        <v>93</v>
      </c>
      <c r="H1119" s="459">
        <v>1112</v>
      </c>
      <c r="I1119" s="444">
        <f t="shared" ca="1" si="108"/>
        <v>-2277364.5362555208</v>
      </c>
      <c r="J1119" s="444">
        <f t="array" ref="J1119">IFERROR(INDEX('Retirement Calculator'!J:J,MATCH('Isaac 401k'!N1119,'Retirement Calculator'!A:A,0),0),0)</f>
        <v>7896.2379798201846</v>
      </c>
      <c r="K1119" s="444">
        <f t="shared" ca="1" si="105"/>
        <v>-9521.9198926472527</v>
      </c>
      <c r="L1119" s="444">
        <f t="shared" ca="1" si="106"/>
        <v>-2294782.6941279881</v>
      </c>
      <c r="M1119" s="460">
        <f t="shared" si="109"/>
        <v>0.05</v>
      </c>
      <c r="N1119" s="464">
        <f t="shared" si="110"/>
        <v>85104</v>
      </c>
    </row>
    <row r="1120" spans="7:14" ht="11.25" customHeight="1" x14ac:dyDescent="0.3">
      <c r="G1120" s="459">
        <f t="shared" si="117"/>
        <v>93</v>
      </c>
      <c r="H1120" s="459">
        <v>1113</v>
      </c>
      <c r="I1120" s="444">
        <f t="shared" ca="1" si="108"/>
        <v>-2294782.6941279881</v>
      </c>
      <c r="J1120" s="444">
        <f t="array" ref="J1120">IFERROR(INDEX('Retirement Calculator'!J:J,MATCH('Isaac 401k'!N1120,'Retirement Calculator'!A:A,0),0),0)</f>
        <v>7896.2379798201846</v>
      </c>
      <c r="K1120" s="444">
        <f t="shared" ca="1" si="105"/>
        <v>-9594.4955504492009</v>
      </c>
      <c r="L1120" s="444">
        <f t="shared" ca="1" si="106"/>
        <v>-2312273.4276582571</v>
      </c>
      <c r="M1120" s="460">
        <f t="shared" si="109"/>
        <v>0.05</v>
      </c>
      <c r="N1120" s="464">
        <f t="shared" si="110"/>
        <v>85135</v>
      </c>
    </row>
    <row r="1121" spans="7:14" ht="11.25" customHeight="1" x14ac:dyDescent="0.3">
      <c r="G1121" s="459">
        <f t="shared" si="117"/>
        <v>93</v>
      </c>
      <c r="H1121" s="459">
        <v>1114</v>
      </c>
      <c r="I1121" s="444">
        <f t="shared" ca="1" si="108"/>
        <v>-2312273.4276582571</v>
      </c>
      <c r="J1121" s="444">
        <f t="array" ref="J1121">IFERROR(INDEX('Retirement Calculator'!J:J,MATCH('Isaac 401k'!N1121,'Retirement Calculator'!A:A,0),0),0)</f>
        <v>7896.2379798201846</v>
      </c>
      <c r="K1121" s="444">
        <f t="shared" ca="1" si="105"/>
        <v>-9667.3736068253202</v>
      </c>
      <c r="L1121" s="444">
        <f t="shared" ca="1" si="106"/>
        <v>-2329837.0392449023</v>
      </c>
      <c r="M1121" s="460">
        <f t="shared" si="109"/>
        <v>0.05</v>
      </c>
      <c r="N1121" s="464">
        <f t="shared" si="110"/>
        <v>85163</v>
      </c>
    </row>
    <row r="1122" spans="7:14" ht="11.25" customHeight="1" x14ac:dyDescent="0.3">
      <c r="G1122" s="459">
        <f t="shared" si="117"/>
        <v>93</v>
      </c>
      <c r="H1122" s="459">
        <v>1115</v>
      </c>
      <c r="I1122" s="444">
        <f t="shared" ca="1" si="108"/>
        <v>-2329837.0392449023</v>
      </c>
      <c r="J1122" s="444">
        <f t="array" ref="J1122">IFERROR(INDEX('Retirement Calculator'!J:J,MATCH('Isaac 401k'!N1122,'Retirement Calculator'!A:A,0),0),0)</f>
        <v>7896.2379798201846</v>
      </c>
      <c r="K1122" s="444">
        <f t="shared" ca="1" si="105"/>
        <v>-9740.5553217696761</v>
      </c>
      <c r="L1122" s="444">
        <f t="shared" ca="1" si="106"/>
        <v>-2347473.8325464921</v>
      </c>
      <c r="M1122" s="460">
        <f t="shared" si="109"/>
        <v>0.05</v>
      </c>
      <c r="N1122" s="464">
        <f t="shared" si="110"/>
        <v>85194</v>
      </c>
    </row>
    <row r="1123" spans="7:14" ht="11.25" customHeight="1" x14ac:dyDescent="0.3">
      <c r="G1123" s="459">
        <f t="shared" si="117"/>
        <v>93</v>
      </c>
      <c r="H1123" s="459">
        <v>1116</v>
      </c>
      <c r="I1123" s="444">
        <f t="shared" ca="1" si="108"/>
        <v>-2347473.8325464921</v>
      </c>
      <c r="J1123" s="444">
        <f t="array" ref="J1123">IFERROR(INDEX('Retirement Calculator'!J:J,MATCH('Isaac 401k'!N1123,'Retirement Calculator'!A:A,0),0),0)</f>
        <v>7896.2379798201846</v>
      </c>
      <c r="K1123" s="444">
        <f t="shared" ca="1" si="105"/>
        <v>-9814.0419605262996</v>
      </c>
      <c r="L1123" s="444">
        <f t="shared" ca="1" si="106"/>
        <v>-2365184.1124868384</v>
      </c>
      <c r="M1123" s="460">
        <f t="shared" si="109"/>
        <v>0.05</v>
      </c>
      <c r="N1123" s="464">
        <f t="shared" si="110"/>
        <v>85224</v>
      </c>
    </row>
    <row r="1124" spans="7:14" ht="11.25" customHeight="1" x14ac:dyDescent="0.3">
      <c r="G1124" s="459">
        <f>G1123+1</f>
        <v>94</v>
      </c>
      <c r="H1124" s="459">
        <v>1117</v>
      </c>
      <c r="I1124" s="444">
        <f t="shared" ca="1" si="108"/>
        <v>-2365184.1124868384</v>
      </c>
      <c r="J1124" s="444">
        <f t="array" ref="J1124">IFERROR(INDEX('Retirement Calculator'!J:J,MATCH('Isaac 401k'!N1124,'Retirement Calculator'!A:A,0),0),0)</f>
        <v>7896.2379798201846</v>
      </c>
      <c r="K1124" s="444">
        <f t="shared" ca="1" si="105"/>
        <v>-9887.8347936110767</v>
      </c>
      <c r="L1124" s="444">
        <f t="shared" ca="1" si="106"/>
        <v>-2382968.1852602693</v>
      </c>
      <c r="M1124" s="460">
        <f t="shared" si="109"/>
        <v>0.05</v>
      </c>
      <c r="N1124" s="464">
        <f t="shared" si="110"/>
        <v>85255</v>
      </c>
    </row>
    <row r="1125" spans="7:14" ht="11.25" customHeight="1" x14ac:dyDescent="0.3">
      <c r="G1125" s="459">
        <f t="shared" ref="G1125:G1135" si="118">G1124</f>
        <v>94</v>
      </c>
      <c r="H1125" s="459">
        <v>1118</v>
      </c>
      <c r="I1125" s="444">
        <f t="shared" ca="1" si="108"/>
        <v>-2382968.1852602693</v>
      </c>
      <c r="J1125" s="444">
        <f t="array" ref="J1125">IFERROR(INDEX('Retirement Calculator'!J:J,MATCH('Isaac 401k'!N1125,'Retirement Calculator'!A:A,0),0),0)</f>
        <v>7896.2379798201846</v>
      </c>
      <c r="K1125" s="444">
        <f t="shared" ca="1" si="105"/>
        <v>-9961.9350968337058</v>
      </c>
      <c r="L1125" s="444">
        <f t="shared" ca="1" si="106"/>
        <v>-2400826.3583369232</v>
      </c>
      <c r="M1125" s="460">
        <f t="shared" si="109"/>
        <v>0.05</v>
      </c>
      <c r="N1125" s="464">
        <f t="shared" si="110"/>
        <v>85285</v>
      </c>
    </row>
    <row r="1126" spans="7:14" ht="11.25" customHeight="1" x14ac:dyDescent="0.3">
      <c r="G1126" s="459">
        <f t="shared" si="118"/>
        <v>94</v>
      </c>
      <c r="H1126" s="459">
        <v>1119</v>
      </c>
      <c r="I1126" s="444">
        <f t="shared" ca="1" si="108"/>
        <v>-2400826.3583369232</v>
      </c>
      <c r="J1126" s="444">
        <f t="array" ref="J1126">IFERROR(INDEX('Retirement Calculator'!J:J,MATCH('Isaac 401k'!N1126,'Retirement Calculator'!A:A,0),0),0)</f>
        <v>7896.2379798201846</v>
      </c>
      <c r="K1126" s="444">
        <f t="shared" ca="1" si="105"/>
        <v>-10036.344151319763</v>
      </c>
      <c r="L1126" s="444">
        <f t="shared" ca="1" si="106"/>
        <v>-2418758.9404680631</v>
      </c>
      <c r="M1126" s="460">
        <f t="shared" si="109"/>
        <v>0.05</v>
      </c>
      <c r="N1126" s="464">
        <f t="shared" si="110"/>
        <v>85316</v>
      </c>
    </row>
    <row r="1127" spans="7:14" ht="11.25" customHeight="1" x14ac:dyDescent="0.3">
      <c r="G1127" s="459">
        <f t="shared" si="118"/>
        <v>94</v>
      </c>
      <c r="H1127" s="459">
        <v>1120</v>
      </c>
      <c r="I1127" s="444">
        <f t="shared" ca="1" si="108"/>
        <v>-2418758.9404680631</v>
      </c>
      <c r="J1127" s="444">
        <f t="array" ref="J1127">IFERROR(INDEX('Retirement Calculator'!J:J,MATCH('Isaac 401k'!N1127,'Retirement Calculator'!A:A,0),0),0)</f>
        <v>7896.2379798201846</v>
      </c>
      <c r="K1127" s="444">
        <f t="shared" ca="1" si="105"/>
        <v>-10111.063243532846</v>
      </c>
      <c r="L1127" s="444">
        <f t="shared" ca="1" si="106"/>
        <v>-2436766.2416914161</v>
      </c>
      <c r="M1127" s="460">
        <f t="shared" si="109"/>
        <v>0.05</v>
      </c>
      <c r="N1127" s="464">
        <f t="shared" si="110"/>
        <v>85347</v>
      </c>
    </row>
    <row r="1128" spans="7:14" ht="11.25" customHeight="1" x14ac:dyDescent="0.3">
      <c r="G1128" s="459">
        <f t="shared" si="118"/>
        <v>94</v>
      </c>
      <c r="H1128" s="459">
        <v>1121</v>
      </c>
      <c r="I1128" s="444">
        <f t="shared" ca="1" si="108"/>
        <v>-2436766.2416914161</v>
      </c>
      <c r="J1128" s="444">
        <f t="array" ref="J1128">IFERROR(INDEX('Retirement Calculator'!J:J,MATCH('Isaac 401k'!N1128,'Retirement Calculator'!A:A,0),0),0)</f>
        <v>7896.2379798201846</v>
      </c>
      <c r="K1128" s="444">
        <f t="shared" ca="1" si="105"/>
        <v>-10186.093665296818</v>
      </c>
      <c r="L1128" s="444">
        <f t="shared" ca="1" si="106"/>
        <v>-2454848.5733365328</v>
      </c>
      <c r="M1128" s="460">
        <f t="shared" si="109"/>
        <v>0.05</v>
      </c>
      <c r="N1128" s="464">
        <f t="shared" si="110"/>
        <v>85377</v>
      </c>
    </row>
    <row r="1129" spans="7:14" ht="11.25" customHeight="1" x14ac:dyDescent="0.3">
      <c r="G1129" s="459">
        <f t="shared" si="118"/>
        <v>94</v>
      </c>
      <c r="H1129" s="459">
        <v>1122</v>
      </c>
      <c r="I1129" s="444">
        <f t="shared" ca="1" si="108"/>
        <v>-2454848.5733365328</v>
      </c>
      <c r="J1129" s="444">
        <f t="array" ref="J1129">IFERROR(INDEX('Retirement Calculator'!J:J,MATCH('Isaac 401k'!N1129,'Retirement Calculator'!A:A,0),0),0)</f>
        <v>7896.2379798201846</v>
      </c>
      <c r="K1129" s="444">
        <f t="shared" ca="1" si="105"/>
        <v>-10261.436713818137</v>
      </c>
      <c r="L1129" s="444">
        <f t="shared" ca="1" si="106"/>
        <v>-2473006.2480301708</v>
      </c>
      <c r="M1129" s="460">
        <f t="shared" si="109"/>
        <v>0.05</v>
      </c>
      <c r="N1129" s="464">
        <f t="shared" si="110"/>
        <v>85408</v>
      </c>
    </row>
    <row r="1130" spans="7:14" ht="11.25" customHeight="1" x14ac:dyDescent="0.3">
      <c r="G1130" s="459">
        <f t="shared" si="118"/>
        <v>94</v>
      </c>
      <c r="H1130" s="459">
        <v>1123</v>
      </c>
      <c r="I1130" s="444">
        <f t="shared" ca="1" si="108"/>
        <v>-2473006.2480301708</v>
      </c>
      <c r="J1130" s="444">
        <f t="array" ref="J1130">IFERROR(INDEX('Retirement Calculator'!J:J,MATCH('Isaac 401k'!N1130,'Retirement Calculator'!A:A,0),0),0)</f>
        <v>7896.2379798201846</v>
      </c>
      <c r="K1130" s="444">
        <f t="shared" ca="1" si="105"/>
        <v>-10337.093691708295</v>
      </c>
      <c r="L1130" s="444">
        <f t="shared" ca="1" si="106"/>
        <v>-2491239.5797016993</v>
      </c>
      <c r="M1130" s="460">
        <f t="shared" si="109"/>
        <v>0.05</v>
      </c>
      <c r="N1130" s="464">
        <f t="shared" si="110"/>
        <v>85438</v>
      </c>
    </row>
    <row r="1131" spans="7:14" ht="11.25" customHeight="1" x14ac:dyDescent="0.3">
      <c r="G1131" s="459">
        <f t="shared" si="118"/>
        <v>94</v>
      </c>
      <c r="H1131" s="459">
        <v>1124</v>
      </c>
      <c r="I1131" s="444">
        <f t="shared" ca="1" si="108"/>
        <v>-2491239.5797016993</v>
      </c>
      <c r="J1131" s="444">
        <f t="array" ref="J1131">IFERROR(INDEX('Retirement Calculator'!J:J,MATCH('Isaac 401k'!N1131,'Retirement Calculator'!A:A,0),0),0)</f>
        <v>7896.2379798201846</v>
      </c>
      <c r="K1131" s="444">
        <f t="shared" ca="1" si="105"/>
        <v>-10413.06590700633</v>
      </c>
      <c r="L1131" s="444">
        <f t="shared" ca="1" si="106"/>
        <v>-2509548.8835885255</v>
      </c>
      <c r="M1131" s="460">
        <f t="shared" si="109"/>
        <v>0.05</v>
      </c>
      <c r="N1131" s="464">
        <f t="shared" si="110"/>
        <v>85469</v>
      </c>
    </row>
    <row r="1132" spans="7:14" ht="11.25" customHeight="1" x14ac:dyDescent="0.3">
      <c r="G1132" s="459">
        <f t="shared" si="118"/>
        <v>94</v>
      </c>
      <c r="H1132" s="459">
        <v>1125</v>
      </c>
      <c r="I1132" s="444">
        <f t="shared" ca="1" si="108"/>
        <v>-2509548.8835885255</v>
      </c>
      <c r="J1132" s="444">
        <f t="array" ref="J1132">IFERROR(INDEX('Retirement Calculator'!J:J,MATCH('Isaac 401k'!N1132,'Retirement Calculator'!A:A,0),0),0)</f>
        <v>7896.2379798201846</v>
      </c>
      <c r="K1132" s="444">
        <f t="shared" ca="1" si="105"/>
        <v>-10489.35467320144</v>
      </c>
      <c r="L1132" s="444">
        <f t="shared" ca="1" si="106"/>
        <v>-2527934.4762415467</v>
      </c>
      <c r="M1132" s="460">
        <f t="shared" si="109"/>
        <v>0.05</v>
      </c>
      <c r="N1132" s="464">
        <f t="shared" si="110"/>
        <v>85500</v>
      </c>
    </row>
    <row r="1133" spans="7:14" ht="11.25" customHeight="1" x14ac:dyDescent="0.3">
      <c r="G1133" s="459">
        <f t="shared" si="118"/>
        <v>94</v>
      </c>
      <c r="H1133" s="459">
        <v>1126</v>
      </c>
      <c r="I1133" s="444">
        <f t="shared" ca="1" si="108"/>
        <v>-2527934.4762415467</v>
      </c>
      <c r="J1133" s="444">
        <f t="array" ref="J1133">IFERROR(INDEX('Retirement Calculator'!J:J,MATCH('Isaac 401k'!N1133,'Retirement Calculator'!A:A,0),0),0)</f>
        <v>7896.2379798201846</v>
      </c>
      <c r="K1133" s="444">
        <f t="shared" ca="1" si="105"/>
        <v>-10565.961309255694</v>
      </c>
      <c r="L1133" s="444">
        <f t="shared" ca="1" si="106"/>
        <v>-2546396.6755306222</v>
      </c>
      <c r="M1133" s="460">
        <f t="shared" si="109"/>
        <v>0.05</v>
      </c>
      <c r="N1133" s="464">
        <f t="shared" si="110"/>
        <v>85528</v>
      </c>
    </row>
    <row r="1134" spans="7:14" ht="11.25" customHeight="1" x14ac:dyDescent="0.3">
      <c r="G1134" s="459">
        <f t="shared" si="118"/>
        <v>94</v>
      </c>
      <c r="H1134" s="459">
        <v>1127</v>
      </c>
      <c r="I1134" s="444">
        <f t="shared" ca="1" si="108"/>
        <v>-2546396.6755306222</v>
      </c>
      <c r="J1134" s="444">
        <f t="array" ref="J1134">IFERROR(INDEX('Retirement Calculator'!J:J,MATCH('Isaac 401k'!N1134,'Retirement Calculator'!A:A,0),0),0)</f>
        <v>7896.2379798201846</v>
      </c>
      <c r="K1134" s="444">
        <f t="shared" ca="1" si="105"/>
        <v>-10642.887139626842</v>
      </c>
      <c r="L1134" s="444">
        <f t="shared" ca="1" si="106"/>
        <v>-2564935.800650069</v>
      </c>
      <c r="M1134" s="460">
        <f t="shared" si="109"/>
        <v>0.05</v>
      </c>
      <c r="N1134" s="464">
        <f t="shared" si="110"/>
        <v>85559</v>
      </c>
    </row>
    <row r="1135" spans="7:14" ht="11.25" customHeight="1" x14ac:dyDescent="0.3">
      <c r="G1135" s="459">
        <f t="shared" si="118"/>
        <v>94</v>
      </c>
      <c r="H1135" s="459">
        <v>1128</v>
      </c>
      <c r="I1135" s="444">
        <f t="shared" ca="1" si="108"/>
        <v>-2564935.800650069</v>
      </c>
      <c r="J1135" s="444">
        <f t="array" ref="J1135">IFERROR(INDEX('Retirement Calculator'!J:J,MATCH('Isaac 401k'!N1135,'Retirement Calculator'!A:A,0),0),0)</f>
        <v>7896.2379798201846</v>
      </c>
      <c r="K1135" s="444">
        <f t="shared" ca="1" si="105"/>
        <v>-10720.133494291204</v>
      </c>
      <c r="L1135" s="444">
        <f t="shared" ca="1" si="106"/>
        <v>-2583552.17212418</v>
      </c>
      <c r="M1135" s="460">
        <f t="shared" si="109"/>
        <v>0.05</v>
      </c>
      <c r="N1135" s="464">
        <f t="shared" si="110"/>
        <v>85589</v>
      </c>
    </row>
    <row r="1136" spans="7:14" ht="11.25" customHeight="1" x14ac:dyDescent="0.3">
      <c r="G1136" s="459">
        <f>G1135+1</f>
        <v>95</v>
      </c>
      <c r="H1136" s="459">
        <v>1129</v>
      </c>
      <c r="I1136" s="444">
        <f t="shared" ca="1" si="108"/>
        <v>-2583552.17212418</v>
      </c>
      <c r="J1136" s="444">
        <f t="array" ref="J1136">IFERROR(INDEX('Retirement Calculator'!J:J,MATCH('Isaac 401k'!N1136,'Retirement Calculator'!A:A,0),0),0)</f>
        <v>7896.2379798201846</v>
      </c>
      <c r="K1136" s="444">
        <f t="shared" ca="1" si="105"/>
        <v>-10797.701708766666</v>
      </c>
      <c r="L1136" s="444">
        <f t="shared" ca="1" si="106"/>
        <v>-2602246.1118127666</v>
      </c>
      <c r="M1136" s="460">
        <f t="shared" si="109"/>
        <v>0.05</v>
      </c>
      <c r="N1136" s="464">
        <f t="shared" si="110"/>
        <v>85620</v>
      </c>
    </row>
    <row r="1137" spans="7:14" ht="11.25" customHeight="1" x14ac:dyDescent="0.3">
      <c r="G1137" s="459">
        <f t="shared" ref="G1137:G1147" si="119">G1136</f>
        <v>95</v>
      </c>
      <c r="H1137" s="459">
        <v>1130</v>
      </c>
      <c r="I1137" s="444">
        <f t="shared" ca="1" si="108"/>
        <v>-2602246.1118127666</v>
      </c>
      <c r="J1137" s="444">
        <f t="array" ref="J1137">IFERROR(INDEX('Retirement Calculator'!J:J,MATCH('Isaac 401k'!N1137,'Retirement Calculator'!A:A,0),0),0)</f>
        <v>7896.2379798201846</v>
      </c>
      <c r="K1137" s="444">
        <f t="shared" ca="1" si="105"/>
        <v>-10875.593124135778</v>
      </c>
      <c r="L1137" s="444">
        <f t="shared" ca="1" si="106"/>
        <v>-2621017.9429167225</v>
      </c>
      <c r="M1137" s="460">
        <f t="shared" si="109"/>
        <v>0.05</v>
      </c>
      <c r="N1137" s="464">
        <f t="shared" si="110"/>
        <v>85650</v>
      </c>
    </row>
    <row r="1138" spans="7:14" ht="11.25" customHeight="1" x14ac:dyDescent="0.3">
      <c r="G1138" s="459">
        <f t="shared" si="119"/>
        <v>95</v>
      </c>
      <c r="H1138" s="459">
        <v>1131</v>
      </c>
      <c r="I1138" s="444">
        <f t="shared" ca="1" si="108"/>
        <v>-2621017.9429167225</v>
      </c>
      <c r="J1138" s="444">
        <f t="array" ref="J1138">IFERROR(INDEX('Retirement Calculator'!J:J,MATCH('Isaac 401k'!N1138,'Retirement Calculator'!A:A,0),0),0)</f>
        <v>7896.2379798201846</v>
      </c>
      <c r="K1138" s="444">
        <f t="shared" ca="1" si="105"/>
        <v>-10953.809087068927</v>
      </c>
      <c r="L1138" s="444">
        <f t="shared" ca="1" si="106"/>
        <v>-2639867.9899836113</v>
      </c>
      <c r="M1138" s="460">
        <f t="shared" si="109"/>
        <v>0.05</v>
      </c>
      <c r="N1138" s="464">
        <f t="shared" si="110"/>
        <v>85681</v>
      </c>
    </row>
    <row r="1139" spans="7:14" ht="11.25" customHeight="1" x14ac:dyDescent="0.3">
      <c r="G1139" s="459">
        <f t="shared" si="119"/>
        <v>95</v>
      </c>
      <c r="H1139" s="459">
        <v>1132</v>
      </c>
      <c r="I1139" s="444">
        <f t="shared" ca="1" si="108"/>
        <v>-2639867.9899836113</v>
      </c>
      <c r="J1139" s="444">
        <f t="array" ref="J1139">IFERROR(INDEX('Retirement Calculator'!J:J,MATCH('Isaac 401k'!N1139,'Retirement Calculator'!A:A,0),0),0)</f>
        <v>7896.2379798201846</v>
      </c>
      <c r="K1139" s="444">
        <f t="shared" ca="1" si="105"/>
        <v>-11032.350949847631</v>
      </c>
      <c r="L1139" s="444">
        <f t="shared" ca="1" si="106"/>
        <v>-2658796.5789132789</v>
      </c>
      <c r="M1139" s="460">
        <f t="shared" si="109"/>
        <v>0.05</v>
      </c>
      <c r="N1139" s="464">
        <f t="shared" si="110"/>
        <v>85712</v>
      </c>
    </row>
    <row r="1140" spans="7:14" ht="11.25" customHeight="1" x14ac:dyDescent="0.3">
      <c r="G1140" s="459">
        <f t="shared" si="119"/>
        <v>95</v>
      </c>
      <c r="H1140" s="459">
        <v>1133</v>
      </c>
      <c r="I1140" s="444">
        <f t="shared" ca="1" si="108"/>
        <v>-2658796.5789132789</v>
      </c>
      <c r="J1140" s="444">
        <f t="array" ref="J1140">IFERROR(INDEX('Retirement Calculator'!J:J,MATCH('Isaac 401k'!N1140,'Retirement Calculator'!A:A,0),0),0)</f>
        <v>7896.2379798201846</v>
      </c>
      <c r="K1140" s="444">
        <f t="shared" ca="1" si="105"/>
        <v>-11111.220070387912</v>
      </c>
      <c r="L1140" s="444">
        <f t="shared" ca="1" si="106"/>
        <v>-2677804.0369634866</v>
      </c>
      <c r="M1140" s="460">
        <f t="shared" si="109"/>
        <v>0.05</v>
      </c>
      <c r="N1140" s="464">
        <f t="shared" si="110"/>
        <v>85742</v>
      </c>
    </row>
    <row r="1141" spans="7:14" ht="11.25" customHeight="1" x14ac:dyDescent="0.3">
      <c r="G1141" s="459">
        <f t="shared" si="119"/>
        <v>95</v>
      </c>
      <c r="H1141" s="459">
        <v>1134</v>
      </c>
      <c r="I1141" s="444">
        <f t="shared" ca="1" si="108"/>
        <v>-2677804.0369634866</v>
      </c>
      <c r="J1141" s="444">
        <f t="array" ref="J1141">IFERROR(INDEX('Retirement Calculator'!J:J,MATCH('Isaac 401k'!N1141,'Retirement Calculator'!A:A,0),0),0)</f>
        <v>7896.2379798201846</v>
      </c>
      <c r="K1141" s="444">
        <f t="shared" ca="1" si="105"/>
        <v>-11190.417812263777</v>
      </c>
      <c r="L1141" s="444">
        <f t="shared" ca="1" si="106"/>
        <v>-2696890.6927555702</v>
      </c>
      <c r="M1141" s="460">
        <f t="shared" si="109"/>
        <v>0.05</v>
      </c>
      <c r="N1141" s="464">
        <f t="shared" si="110"/>
        <v>85773</v>
      </c>
    </row>
    <row r="1142" spans="7:14" ht="11.25" customHeight="1" x14ac:dyDescent="0.3">
      <c r="G1142" s="459">
        <f t="shared" si="119"/>
        <v>95</v>
      </c>
      <c r="H1142" s="459">
        <v>1135</v>
      </c>
      <c r="I1142" s="444">
        <f t="shared" ca="1" si="108"/>
        <v>-2696890.6927555702</v>
      </c>
      <c r="J1142" s="444">
        <f t="array" ref="J1142">IFERROR(INDEX('Retirement Calculator'!J:J,MATCH('Isaac 401k'!N1142,'Retirement Calculator'!A:A,0),0),0)</f>
        <v>7896.2379798201846</v>
      </c>
      <c r="K1142" s="444">
        <f t="shared" ca="1" si="105"/>
        <v>-11269.945544730792</v>
      </c>
      <c r="L1142" s="444">
        <f t="shared" ca="1" si="106"/>
        <v>-2716056.876280121</v>
      </c>
      <c r="M1142" s="460">
        <f t="shared" si="109"/>
        <v>0.05</v>
      </c>
      <c r="N1142" s="464">
        <f t="shared" si="110"/>
        <v>85803</v>
      </c>
    </row>
    <row r="1143" spans="7:14" ht="11.25" customHeight="1" x14ac:dyDescent="0.3">
      <c r="G1143" s="459">
        <f t="shared" si="119"/>
        <v>95</v>
      </c>
      <c r="H1143" s="459">
        <v>1136</v>
      </c>
      <c r="I1143" s="444">
        <f t="shared" ca="1" si="108"/>
        <v>-2716056.876280121</v>
      </c>
      <c r="J1143" s="444">
        <f t="array" ref="J1143">IFERROR(INDEX('Retirement Calculator'!J:J,MATCH('Isaac 401k'!N1143,'Retirement Calculator'!A:A,0),0),0)</f>
        <v>7896.2379798201846</v>
      </c>
      <c r="K1143" s="444">
        <f t="shared" ca="1" si="105"/>
        <v>-11349.804642749754</v>
      </c>
      <c r="L1143" s="444">
        <f t="shared" ca="1" si="106"/>
        <v>-2735302.918902691</v>
      </c>
      <c r="M1143" s="460">
        <f t="shared" si="109"/>
        <v>0.05</v>
      </c>
      <c r="N1143" s="464">
        <f t="shared" si="110"/>
        <v>85834</v>
      </c>
    </row>
    <row r="1144" spans="7:14" ht="11.25" customHeight="1" x14ac:dyDescent="0.3">
      <c r="G1144" s="459">
        <f t="shared" si="119"/>
        <v>95</v>
      </c>
      <c r="H1144" s="459">
        <v>1137</v>
      </c>
      <c r="I1144" s="444">
        <f t="shared" ca="1" si="108"/>
        <v>-2735302.918902691</v>
      </c>
      <c r="J1144" s="444">
        <f t="array" ref="J1144">IFERROR(INDEX('Retirement Calculator'!J:J,MATCH('Isaac 401k'!N1144,'Retirement Calculator'!A:A,0),0),0)</f>
        <v>7896.2379798201846</v>
      </c>
      <c r="K1144" s="444">
        <f t="shared" ca="1" si="105"/>
        <v>-11429.996487010463</v>
      </c>
      <c r="L1144" s="444">
        <f t="shared" ca="1" si="106"/>
        <v>-2754629.1533695213</v>
      </c>
      <c r="M1144" s="460">
        <f t="shared" si="109"/>
        <v>0.05</v>
      </c>
      <c r="N1144" s="464">
        <f t="shared" si="110"/>
        <v>85865</v>
      </c>
    </row>
    <row r="1145" spans="7:14" ht="11.25" customHeight="1" x14ac:dyDescent="0.3">
      <c r="G1145" s="459">
        <f t="shared" si="119"/>
        <v>95</v>
      </c>
      <c r="H1145" s="459">
        <v>1138</v>
      </c>
      <c r="I1145" s="444">
        <f t="shared" ca="1" si="108"/>
        <v>-2754629.1533695213</v>
      </c>
      <c r="J1145" s="444">
        <f t="array" ref="J1145">IFERROR(INDEX('Retirement Calculator'!J:J,MATCH('Isaac 401k'!N1145,'Retirement Calculator'!A:A,0),0),0)</f>
        <v>7896.2379798201846</v>
      </c>
      <c r="K1145" s="444">
        <f t="shared" ca="1" si="105"/>
        <v>-11510.522463955589</v>
      </c>
      <c r="L1145" s="444">
        <f t="shared" ca="1" si="106"/>
        <v>-2774035.9138132967</v>
      </c>
      <c r="M1145" s="460">
        <f t="shared" si="109"/>
        <v>0.05</v>
      </c>
      <c r="N1145" s="464">
        <f t="shared" si="110"/>
        <v>85893</v>
      </c>
    </row>
    <row r="1146" spans="7:14" ht="11.25" customHeight="1" x14ac:dyDescent="0.3">
      <c r="G1146" s="459">
        <f t="shared" si="119"/>
        <v>95</v>
      </c>
      <c r="H1146" s="459">
        <v>1139</v>
      </c>
      <c r="I1146" s="444">
        <f t="shared" ca="1" si="108"/>
        <v>-2774035.9138132967</v>
      </c>
      <c r="J1146" s="444">
        <f t="array" ref="J1146">IFERROR(INDEX('Retirement Calculator'!J:J,MATCH('Isaac 401k'!N1146,'Retirement Calculator'!A:A,0),0),0)</f>
        <v>7896.2379798201846</v>
      </c>
      <c r="K1146" s="444">
        <f t="shared" ca="1" si="105"/>
        <v>-11591.383965804653</v>
      </c>
      <c r="L1146" s="444">
        <f t="shared" ca="1" si="106"/>
        <v>-2793523.5357589214</v>
      </c>
      <c r="M1146" s="460">
        <f t="shared" si="109"/>
        <v>0.05</v>
      </c>
      <c r="N1146" s="464">
        <f t="shared" si="110"/>
        <v>85924</v>
      </c>
    </row>
    <row r="1147" spans="7:14" ht="11.25" customHeight="1" x14ac:dyDescent="0.3">
      <c r="G1147" s="459">
        <f t="shared" si="119"/>
        <v>95</v>
      </c>
      <c r="H1147" s="459">
        <v>1140</v>
      </c>
      <c r="I1147" s="444">
        <f t="shared" ca="1" si="108"/>
        <v>-2793523.5357589214</v>
      </c>
      <c r="J1147" s="444">
        <f t="array" ref="J1147">IFERROR(INDEX('Retirement Calculator'!J:J,MATCH('Isaac 401k'!N1147,'Retirement Calculator'!A:A,0),0),0)</f>
        <v>7896.2379798201846</v>
      </c>
      <c r="K1147" s="444">
        <f t="shared" ca="1" si="105"/>
        <v>-11672.582390578089</v>
      </c>
      <c r="L1147" s="444">
        <f t="shared" ca="1" si="106"/>
        <v>-2813092.3561293194</v>
      </c>
      <c r="M1147" s="460">
        <f t="shared" si="109"/>
        <v>0.05</v>
      </c>
      <c r="N1147" s="464">
        <f t="shared" si="110"/>
        <v>85954</v>
      </c>
    </row>
    <row r="1148" spans="7:14" ht="11.25" customHeight="1" x14ac:dyDescent="0.3">
      <c r="G1148" s="459">
        <f>G1147+1</f>
        <v>96</v>
      </c>
      <c r="H1148" s="459">
        <v>1141</v>
      </c>
      <c r="I1148" s="444">
        <f t="shared" ca="1" si="108"/>
        <v>-2813092.3561293194</v>
      </c>
      <c r="J1148" s="444">
        <f t="array" ref="J1148">IFERROR(INDEX('Retirement Calculator'!J:J,MATCH('Isaac 401k'!N1148,'Retirement Calculator'!A:A,0),0),0)</f>
        <v>7896.2379798201846</v>
      </c>
      <c r="K1148" s="444">
        <f t="shared" ca="1" si="105"/>
        <v>-11754.119142121413</v>
      </c>
      <c r="L1148" s="444">
        <f t="shared" ca="1" si="106"/>
        <v>-2832742.713251261</v>
      </c>
      <c r="M1148" s="460">
        <f t="shared" si="109"/>
        <v>0.05</v>
      </c>
      <c r="N1148" s="464">
        <f t="shared" si="110"/>
        <v>85985</v>
      </c>
    </row>
    <row r="1149" spans="7:14" ht="11.25" customHeight="1" x14ac:dyDescent="0.3">
      <c r="G1149" s="459">
        <f t="shared" ref="G1149:G1159" si="120">G1148</f>
        <v>96</v>
      </c>
      <c r="H1149" s="459">
        <v>1142</v>
      </c>
      <c r="I1149" s="444">
        <f t="shared" ca="1" si="108"/>
        <v>-2832742.713251261</v>
      </c>
      <c r="J1149" s="444">
        <f t="array" ref="J1149">IFERROR(INDEX('Retirement Calculator'!J:J,MATCH('Isaac 401k'!N1149,'Retirement Calculator'!A:A,0),0),0)</f>
        <v>7896.2379798201846</v>
      </c>
      <c r="K1149" s="444">
        <f t="shared" ca="1" si="105"/>
        <v>-11835.995630129504</v>
      </c>
      <c r="L1149" s="444">
        <f t="shared" ca="1" si="106"/>
        <v>-2852474.9468612107</v>
      </c>
      <c r="M1149" s="460">
        <f t="shared" si="109"/>
        <v>0.05</v>
      </c>
      <c r="N1149" s="464">
        <f t="shared" si="110"/>
        <v>86015</v>
      </c>
    </row>
    <row r="1150" spans="7:14" ht="11.25" customHeight="1" x14ac:dyDescent="0.3">
      <c r="G1150" s="459">
        <f t="shared" si="120"/>
        <v>96</v>
      </c>
      <c r="H1150" s="459">
        <v>1143</v>
      </c>
      <c r="I1150" s="444">
        <f t="shared" ca="1" si="108"/>
        <v>-2852474.9468612107</v>
      </c>
      <c r="J1150" s="444">
        <f t="array" ref="J1150">IFERROR(INDEX('Retirement Calculator'!J:J,MATCH('Isaac 401k'!N1150,'Retirement Calculator'!A:A,0),0),0)</f>
        <v>7896.2379798201846</v>
      </c>
      <c r="K1150" s="444">
        <f t="shared" ca="1" si="105"/>
        <v>-11918.213270170962</v>
      </c>
      <c r="L1150" s="444">
        <f t="shared" ca="1" si="106"/>
        <v>-2872289.3981112018</v>
      </c>
      <c r="M1150" s="460">
        <f t="shared" si="109"/>
        <v>0.05</v>
      </c>
      <c r="N1150" s="464">
        <f t="shared" si="110"/>
        <v>86046</v>
      </c>
    </row>
    <row r="1151" spans="7:14" ht="11.25" customHeight="1" x14ac:dyDescent="0.3">
      <c r="G1151" s="459">
        <f t="shared" si="120"/>
        <v>96</v>
      </c>
      <c r="H1151" s="459">
        <v>1144</v>
      </c>
      <c r="I1151" s="444">
        <f t="shared" ca="1" si="108"/>
        <v>-2872289.3981112018</v>
      </c>
      <c r="J1151" s="444">
        <f t="array" ref="J1151">IFERROR(INDEX('Retirement Calculator'!J:J,MATCH('Isaac 401k'!N1151,'Retirement Calculator'!A:A,0),0),0)</f>
        <v>7896.2379798201846</v>
      </c>
      <c r="K1151" s="444">
        <f t="shared" ca="1" si="105"/>
        <v>-12000.77348371259</v>
      </c>
      <c r="L1151" s="444">
        <f t="shared" ca="1" si="106"/>
        <v>-2892186.4095747345</v>
      </c>
      <c r="M1151" s="460">
        <f t="shared" si="109"/>
        <v>0.05</v>
      </c>
      <c r="N1151" s="464">
        <f t="shared" si="110"/>
        <v>86077</v>
      </c>
    </row>
    <row r="1152" spans="7:14" ht="11.25" customHeight="1" x14ac:dyDescent="0.3">
      <c r="G1152" s="459">
        <f t="shared" si="120"/>
        <v>96</v>
      </c>
      <c r="H1152" s="459">
        <v>1145</v>
      </c>
      <c r="I1152" s="444">
        <f t="shared" ca="1" si="108"/>
        <v>-2892186.4095747345</v>
      </c>
      <c r="J1152" s="444">
        <f t="array" ref="J1152">IFERROR(INDEX('Retirement Calculator'!J:J,MATCH('Isaac 401k'!N1152,'Retirement Calculator'!A:A,0),0),0)</f>
        <v>7896.2379798201846</v>
      </c>
      <c r="K1152" s="444">
        <f t="shared" ca="1" si="105"/>
        <v>-12083.677698143976</v>
      </c>
      <c r="L1152" s="444">
        <f t="shared" ca="1" si="106"/>
        <v>-2912166.3252526983</v>
      </c>
      <c r="M1152" s="460">
        <f t="shared" si="109"/>
        <v>0.05</v>
      </c>
      <c r="N1152" s="464">
        <f t="shared" si="110"/>
        <v>86107</v>
      </c>
    </row>
    <row r="1153" spans="7:14" ht="11.25" customHeight="1" x14ac:dyDescent="0.3">
      <c r="G1153" s="459">
        <f t="shared" si="120"/>
        <v>96</v>
      </c>
      <c r="H1153" s="459">
        <v>1146</v>
      </c>
      <c r="I1153" s="444">
        <f t="shared" ca="1" si="108"/>
        <v>-2912166.3252526983</v>
      </c>
      <c r="J1153" s="444">
        <f t="array" ref="J1153">IFERROR(INDEX('Retirement Calculator'!J:J,MATCH('Isaac 401k'!N1153,'Retirement Calculator'!A:A,0),0),0)</f>
        <v>7896.2379798201846</v>
      </c>
      <c r="K1153" s="444">
        <f t="shared" ca="1" si="105"/>
        <v>-12166.92734680216</v>
      </c>
      <c r="L1153" s="444">
        <f t="shared" ca="1" si="106"/>
        <v>-2932229.4905793206</v>
      </c>
      <c r="M1153" s="460">
        <f t="shared" si="109"/>
        <v>0.05</v>
      </c>
      <c r="N1153" s="464">
        <f t="shared" si="110"/>
        <v>86138</v>
      </c>
    </row>
    <row r="1154" spans="7:14" ht="11.25" customHeight="1" x14ac:dyDescent="0.3">
      <c r="G1154" s="459">
        <f t="shared" si="120"/>
        <v>96</v>
      </c>
      <c r="H1154" s="459">
        <v>1147</v>
      </c>
      <c r="I1154" s="444">
        <f t="shared" ca="1" si="108"/>
        <v>-2932229.4905793206</v>
      </c>
      <c r="J1154" s="444">
        <f t="array" ref="J1154">IFERROR(INDEX('Retirement Calculator'!J:J,MATCH('Isaac 401k'!N1154,'Retirement Calculator'!A:A,0),0),0)</f>
        <v>7896.2379798201846</v>
      </c>
      <c r="K1154" s="444">
        <f t="shared" ca="1" si="105"/>
        <v>-12250.523868996419</v>
      </c>
      <c r="L1154" s="444">
        <f t="shared" ca="1" si="106"/>
        <v>-2952376.2524281372</v>
      </c>
      <c r="M1154" s="460">
        <f t="shared" si="109"/>
        <v>0.05</v>
      </c>
      <c r="N1154" s="464">
        <f t="shared" si="110"/>
        <v>86168</v>
      </c>
    </row>
    <row r="1155" spans="7:14" ht="11.25" customHeight="1" x14ac:dyDescent="0.3">
      <c r="G1155" s="459">
        <f t="shared" si="120"/>
        <v>96</v>
      </c>
      <c r="H1155" s="459">
        <v>1148</v>
      </c>
      <c r="I1155" s="444">
        <f t="shared" ca="1" si="108"/>
        <v>-2952376.2524281372</v>
      </c>
      <c r="J1155" s="444">
        <f t="array" ref="J1155">IFERROR(INDEX('Retirement Calculator'!J:J,MATCH('Isaac 401k'!N1155,'Retirement Calculator'!A:A,0),0),0)</f>
        <v>7896.2379798201846</v>
      </c>
      <c r="K1155" s="444">
        <f t="shared" ca="1" si="105"/>
        <v>-12334.468710033156</v>
      </c>
      <c r="L1155" s="444">
        <f t="shared" ca="1" si="106"/>
        <v>-2972606.9591179905</v>
      </c>
      <c r="M1155" s="460">
        <f t="shared" si="109"/>
        <v>0.05</v>
      </c>
      <c r="N1155" s="464">
        <f t="shared" si="110"/>
        <v>86199</v>
      </c>
    </row>
    <row r="1156" spans="7:14" ht="11.25" customHeight="1" x14ac:dyDescent="0.3">
      <c r="G1156" s="459">
        <f t="shared" si="120"/>
        <v>96</v>
      </c>
      <c r="H1156" s="459">
        <v>1149</v>
      </c>
      <c r="I1156" s="444">
        <f t="shared" ca="1" si="108"/>
        <v>-2972606.9591179905</v>
      </c>
      <c r="J1156" s="444">
        <f t="array" ref="J1156">IFERROR(INDEX('Retirement Calculator'!J:J,MATCH('Isaac 401k'!N1156,'Retirement Calculator'!A:A,0),0),0)</f>
        <v>7896.2379798201846</v>
      </c>
      <c r="K1156" s="444">
        <f t="shared" ca="1" si="105"/>
        <v>-12418.763321240876</v>
      </c>
      <c r="L1156" s="444">
        <f t="shared" ca="1" si="106"/>
        <v>-2992921.9604190513</v>
      </c>
      <c r="M1156" s="460">
        <f t="shared" si="109"/>
        <v>0.05</v>
      </c>
      <c r="N1156" s="464">
        <f t="shared" si="110"/>
        <v>86230</v>
      </c>
    </row>
    <row r="1157" spans="7:14" ht="11.25" customHeight="1" x14ac:dyDescent="0.3">
      <c r="G1157" s="459">
        <f t="shared" si="120"/>
        <v>96</v>
      </c>
      <c r="H1157" s="459">
        <v>1150</v>
      </c>
      <c r="I1157" s="444">
        <f t="shared" ca="1" si="108"/>
        <v>-2992921.9604190513</v>
      </c>
      <c r="J1157" s="444">
        <f t="array" ref="J1157">IFERROR(INDEX('Retirement Calculator'!J:J,MATCH('Isaac 401k'!N1157,'Retirement Calculator'!A:A,0),0),0)</f>
        <v>7896.2379798201846</v>
      </c>
      <c r="K1157" s="444">
        <f t="shared" ca="1" si="105"/>
        <v>-12503.409159995297</v>
      </c>
      <c r="L1157" s="444">
        <f t="shared" ca="1" si="106"/>
        <v>-3013321.6075588665</v>
      </c>
      <c r="M1157" s="460">
        <f t="shared" si="109"/>
        <v>0.05</v>
      </c>
      <c r="N1157" s="464">
        <f t="shared" si="110"/>
        <v>86259</v>
      </c>
    </row>
    <row r="1158" spans="7:14" ht="11.25" customHeight="1" x14ac:dyDescent="0.3">
      <c r="G1158" s="459">
        <f t="shared" si="120"/>
        <v>96</v>
      </c>
      <c r="H1158" s="459">
        <v>1151</v>
      </c>
      <c r="I1158" s="444">
        <f t="shared" ca="1" si="108"/>
        <v>-3013321.6075588665</v>
      </c>
      <c r="J1158" s="444">
        <f t="array" ref="J1158">IFERROR(INDEX('Retirement Calculator'!J:J,MATCH('Isaac 401k'!N1158,'Retirement Calculator'!A:A,0),0),0)</f>
        <v>7896.2379798201846</v>
      </c>
      <c r="K1158" s="444">
        <f t="shared" ca="1" si="105"/>
        <v>-12588.407689744527</v>
      </c>
      <c r="L1158" s="444">
        <f t="shared" ca="1" si="106"/>
        <v>-3033806.2532284311</v>
      </c>
      <c r="M1158" s="460">
        <f t="shared" si="109"/>
        <v>0.05</v>
      </c>
      <c r="N1158" s="464">
        <f t="shared" si="110"/>
        <v>86290</v>
      </c>
    </row>
    <row r="1159" spans="7:14" ht="11.25" customHeight="1" x14ac:dyDescent="0.3">
      <c r="G1159" s="459">
        <f t="shared" si="120"/>
        <v>96</v>
      </c>
      <c r="H1159" s="459">
        <v>1152</v>
      </c>
      <c r="I1159" s="444">
        <f t="shared" ca="1" si="108"/>
        <v>-3033806.2532284311</v>
      </c>
      <c r="J1159" s="444">
        <f t="array" ref="J1159">IFERROR(INDEX('Retirement Calculator'!J:J,MATCH('Isaac 401k'!N1159,'Retirement Calculator'!A:A,0),0),0)</f>
        <v>7896.2379798201846</v>
      </c>
      <c r="K1159" s="444">
        <f t="shared" ca="1" si="105"/>
        <v>-12673.760380034379</v>
      </c>
      <c r="L1159" s="444">
        <f t="shared" ca="1" si="106"/>
        <v>-3054376.2515882854</v>
      </c>
      <c r="M1159" s="460">
        <f t="shared" si="109"/>
        <v>0.05</v>
      </c>
      <c r="N1159" s="464">
        <f t="shared" si="110"/>
        <v>86320</v>
      </c>
    </row>
    <row r="1160" spans="7:14" ht="11.25" customHeight="1" x14ac:dyDescent="0.3">
      <c r="G1160" s="459">
        <f>G1159+1</f>
        <v>97</v>
      </c>
      <c r="H1160" s="459">
        <v>1153</v>
      </c>
      <c r="I1160" s="444">
        <f t="shared" ca="1" si="108"/>
        <v>-3054376.2515882854</v>
      </c>
      <c r="J1160" s="444">
        <f t="array" ref="J1160">IFERROR(INDEX('Retirement Calculator'!J:J,MATCH('Isaac 401k'!N1160,'Retirement Calculator'!A:A,0),0),0)</f>
        <v>7896.2379798201846</v>
      </c>
      <c r="K1160" s="444">
        <f t="shared" ca="1" si="105"/>
        <v>-12759.468706533773</v>
      </c>
      <c r="L1160" s="444">
        <f t="shared" ca="1" si="106"/>
        <v>-3075031.9582746392</v>
      </c>
      <c r="M1160" s="460">
        <f t="shared" si="109"/>
        <v>0.05</v>
      </c>
      <c r="N1160" s="464">
        <f t="shared" si="110"/>
        <v>86351</v>
      </c>
    </row>
    <row r="1161" spans="7:14" ht="11.25" customHeight="1" x14ac:dyDescent="0.3">
      <c r="G1161" s="459">
        <f t="shared" ref="G1161:G1171" si="121">G1160</f>
        <v>97</v>
      </c>
      <c r="H1161" s="459">
        <v>1154</v>
      </c>
      <c r="I1161" s="444">
        <f t="shared" ca="1" si="108"/>
        <v>-3075031.9582746392</v>
      </c>
      <c r="J1161" s="444">
        <f t="array" ref="J1161">IFERROR(INDEX('Retirement Calculator'!J:J,MATCH('Isaac 401k'!N1161,'Retirement Calculator'!A:A,0),0),0)</f>
        <v>7896.2379798201846</v>
      </c>
      <c r="K1161" s="444">
        <f t="shared" ca="1" si="105"/>
        <v>-12845.534151060247</v>
      </c>
      <c r="L1161" s="444">
        <f t="shared" ca="1" si="106"/>
        <v>-3095773.7304055193</v>
      </c>
      <c r="M1161" s="460">
        <f t="shared" si="109"/>
        <v>0.05</v>
      </c>
      <c r="N1161" s="464">
        <f t="shared" si="110"/>
        <v>86381</v>
      </c>
    </row>
    <row r="1162" spans="7:14" ht="11.25" customHeight="1" x14ac:dyDescent="0.3">
      <c r="G1162" s="459">
        <f t="shared" si="121"/>
        <v>97</v>
      </c>
      <c r="H1162" s="459">
        <v>1155</v>
      </c>
      <c r="I1162" s="444">
        <f t="shared" ca="1" si="108"/>
        <v>-3095773.7304055193</v>
      </c>
      <c r="J1162" s="444">
        <f t="array" ref="J1162">IFERROR(INDEX('Retirement Calculator'!J:J,MATCH('Isaac 401k'!N1162,'Retirement Calculator'!A:A,0),0),0)</f>
        <v>7896.2379798201846</v>
      </c>
      <c r="K1162" s="444">
        <f t="shared" ca="1" si="105"/>
        <v>-12931.958201605579</v>
      </c>
      <c r="L1162" s="444">
        <f t="shared" ca="1" si="106"/>
        <v>-3116601.9265869446</v>
      </c>
      <c r="M1162" s="460">
        <f t="shared" si="109"/>
        <v>0.05</v>
      </c>
      <c r="N1162" s="464">
        <f t="shared" si="110"/>
        <v>86412</v>
      </c>
    </row>
    <row r="1163" spans="7:14" ht="11.25" customHeight="1" x14ac:dyDescent="0.3">
      <c r="G1163" s="459">
        <f t="shared" si="121"/>
        <v>97</v>
      </c>
      <c r="H1163" s="459">
        <v>1156</v>
      </c>
      <c r="I1163" s="444">
        <f t="shared" ca="1" si="108"/>
        <v>-3116601.9265869446</v>
      </c>
      <c r="J1163" s="444">
        <f t="array" ref="J1163">IFERROR(INDEX('Retirement Calculator'!J:J,MATCH('Isaac 401k'!N1163,'Retirement Calculator'!A:A,0),0),0)</f>
        <v>7896.2379798201846</v>
      </c>
      <c r="K1163" s="444">
        <f t="shared" ca="1" si="105"/>
        <v>-13018.74235236152</v>
      </c>
      <c r="L1163" s="444">
        <f t="shared" ca="1" si="106"/>
        <v>-3137516.9069191259</v>
      </c>
      <c r="M1163" s="460">
        <f t="shared" si="109"/>
        <v>0.05</v>
      </c>
      <c r="N1163" s="464">
        <f t="shared" si="110"/>
        <v>86443</v>
      </c>
    </row>
    <row r="1164" spans="7:14" ht="11.25" customHeight="1" x14ac:dyDescent="0.3">
      <c r="G1164" s="459">
        <f t="shared" si="121"/>
        <v>97</v>
      </c>
      <c r="H1164" s="459">
        <v>1157</v>
      </c>
      <c r="I1164" s="444">
        <f t="shared" ca="1" si="108"/>
        <v>-3137516.9069191259</v>
      </c>
      <c r="J1164" s="444">
        <f t="array" ref="J1164">IFERROR(INDEX('Retirement Calculator'!J:J,MATCH('Isaac 401k'!N1164,'Retirement Calculator'!A:A,0),0),0)</f>
        <v>7896.2379798201846</v>
      </c>
      <c r="K1164" s="444">
        <f t="shared" ca="1" si="105"/>
        <v>-13105.888103745609</v>
      </c>
      <c r="L1164" s="444">
        <f t="shared" ca="1" si="106"/>
        <v>-3158519.0330026913</v>
      </c>
      <c r="M1164" s="460">
        <f t="shared" si="109"/>
        <v>0.05</v>
      </c>
      <c r="N1164" s="464">
        <f t="shared" si="110"/>
        <v>86473</v>
      </c>
    </row>
    <row r="1165" spans="7:14" ht="11.25" customHeight="1" x14ac:dyDescent="0.3">
      <c r="G1165" s="459">
        <f t="shared" si="121"/>
        <v>97</v>
      </c>
      <c r="H1165" s="459">
        <v>1158</v>
      </c>
      <c r="I1165" s="444">
        <f t="shared" ca="1" si="108"/>
        <v>-3158519.0330026913</v>
      </c>
      <c r="J1165" s="444">
        <f t="array" ref="J1165">IFERROR(INDEX('Retirement Calculator'!J:J,MATCH('Isaac 401k'!N1165,'Retirement Calculator'!A:A,0),0),0)</f>
        <v>7896.2379798201846</v>
      </c>
      <c r="K1165" s="444">
        <f t="shared" ca="1" si="105"/>
        <v>-13193.39696242713</v>
      </c>
      <c r="L1165" s="444">
        <f t="shared" ca="1" si="106"/>
        <v>-3179608.6679449384</v>
      </c>
      <c r="M1165" s="460">
        <f t="shared" si="109"/>
        <v>0.05</v>
      </c>
      <c r="N1165" s="464">
        <f t="shared" si="110"/>
        <v>86504</v>
      </c>
    </row>
    <row r="1166" spans="7:14" ht="11.25" customHeight="1" x14ac:dyDescent="0.3">
      <c r="G1166" s="459">
        <f t="shared" si="121"/>
        <v>97</v>
      </c>
      <c r="H1166" s="459">
        <v>1159</v>
      </c>
      <c r="I1166" s="444">
        <f t="shared" ca="1" si="108"/>
        <v>-3179608.6679449384</v>
      </c>
      <c r="J1166" s="444">
        <f t="array" ref="J1166">IFERROR(INDEX('Retirement Calculator'!J:J,MATCH('Isaac 401k'!N1166,'Retirement Calculator'!A:A,0),0),0)</f>
        <v>7896.2379798201846</v>
      </c>
      <c r="K1166" s="444">
        <f t="shared" ca="1" si="105"/>
        <v>-13281.270441353159</v>
      </c>
      <c r="L1166" s="444">
        <f t="shared" ca="1" si="106"/>
        <v>-3200786.1763661117</v>
      </c>
      <c r="M1166" s="460">
        <f t="shared" si="109"/>
        <v>0.05</v>
      </c>
      <c r="N1166" s="464">
        <f t="shared" si="110"/>
        <v>86534</v>
      </c>
    </row>
    <row r="1167" spans="7:14" ht="11.25" customHeight="1" x14ac:dyDescent="0.3">
      <c r="G1167" s="459">
        <f t="shared" si="121"/>
        <v>97</v>
      </c>
      <c r="H1167" s="459">
        <v>1160</v>
      </c>
      <c r="I1167" s="444">
        <f t="shared" ca="1" si="108"/>
        <v>-3200786.1763661117</v>
      </c>
      <c r="J1167" s="444">
        <f t="array" ref="J1167">IFERROR(INDEX('Retirement Calculator'!J:J,MATCH('Isaac 401k'!N1167,'Retirement Calculator'!A:A,0),0),0)</f>
        <v>7896.2379798201846</v>
      </c>
      <c r="K1167" s="444">
        <f t="shared" ca="1" si="105"/>
        <v>-13369.510059774715</v>
      </c>
      <c r="L1167" s="444">
        <f t="shared" ca="1" si="106"/>
        <v>-3222051.9244057066</v>
      </c>
      <c r="M1167" s="460">
        <f t="shared" si="109"/>
        <v>0.05</v>
      </c>
      <c r="N1167" s="464">
        <f t="shared" si="110"/>
        <v>86565</v>
      </c>
    </row>
    <row r="1168" spans="7:14" ht="11.25" customHeight="1" x14ac:dyDescent="0.3">
      <c r="G1168" s="459">
        <f t="shared" si="121"/>
        <v>97</v>
      </c>
      <c r="H1168" s="459">
        <v>1161</v>
      </c>
      <c r="I1168" s="444">
        <f t="shared" ca="1" si="108"/>
        <v>-3222051.9244057066</v>
      </c>
      <c r="J1168" s="444">
        <f t="array" ref="J1168">IFERROR(INDEX('Retirement Calculator'!J:J,MATCH('Isaac 401k'!N1168,'Retirement Calculator'!A:A,0),0),0)</f>
        <v>7896.2379798201846</v>
      </c>
      <c r="K1168" s="444">
        <f t="shared" ca="1" si="105"/>
        <v>-13458.117343273027</v>
      </c>
      <c r="L1168" s="444">
        <f t="shared" ca="1" si="106"/>
        <v>-3243406.2797287996</v>
      </c>
      <c r="M1168" s="460">
        <f t="shared" si="109"/>
        <v>0.05</v>
      </c>
      <c r="N1168" s="464">
        <f t="shared" si="110"/>
        <v>86596</v>
      </c>
    </row>
    <row r="1169" spans="7:14" ht="11.25" customHeight="1" x14ac:dyDescent="0.3">
      <c r="G1169" s="459">
        <f t="shared" si="121"/>
        <v>97</v>
      </c>
      <c r="H1169" s="459">
        <v>1162</v>
      </c>
      <c r="I1169" s="444">
        <f t="shared" ca="1" si="108"/>
        <v>-3243406.2797287996</v>
      </c>
      <c r="J1169" s="444">
        <f t="array" ref="J1169">IFERROR(INDEX('Retirement Calculator'!J:J,MATCH('Isaac 401k'!N1169,'Retirement Calculator'!A:A,0),0),0)</f>
        <v>0</v>
      </c>
      <c r="K1169" s="444">
        <f t="shared" ca="1" si="105"/>
        <v>-13514.192832203331</v>
      </c>
      <c r="L1169" s="444">
        <f t="shared" ca="1" si="106"/>
        <v>-3256920.4725610027</v>
      </c>
      <c r="M1169" s="460">
        <f t="shared" si="109"/>
        <v>0.05</v>
      </c>
      <c r="N1169" s="464">
        <f t="shared" si="110"/>
        <v>86624</v>
      </c>
    </row>
    <row r="1170" spans="7:14" ht="11.25" customHeight="1" x14ac:dyDescent="0.3">
      <c r="G1170" s="459">
        <f t="shared" si="121"/>
        <v>97</v>
      </c>
      <c r="H1170" s="459">
        <v>1163</v>
      </c>
      <c r="I1170" s="444">
        <f t="shared" ca="1" si="108"/>
        <v>-3256920.4725610027</v>
      </c>
      <c r="J1170" s="444">
        <f t="array" ref="J1170">IFERROR(INDEX('Retirement Calculator'!J:J,MATCH('Isaac 401k'!N1170,'Retirement Calculator'!A:A,0),0),0)</f>
        <v>0</v>
      </c>
      <c r="K1170" s="444">
        <f t="shared" ca="1" si="105"/>
        <v>-13570.501969004177</v>
      </c>
      <c r="L1170" s="444">
        <f t="shared" ca="1" si="106"/>
        <v>-3270490.9745300068</v>
      </c>
      <c r="M1170" s="460">
        <f t="shared" si="109"/>
        <v>0.05</v>
      </c>
      <c r="N1170" s="464">
        <f t="shared" si="110"/>
        <v>86655</v>
      </c>
    </row>
    <row r="1171" spans="7:14" ht="11.25" customHeight="1" x14ac:dyDescent="0.3">
      <c r="G1171" s="459">
        <f t="shared" si="121"/>
        <v>97</v>
      </c>
      <c r="H1171" s="459">
        <v>1164</v>
      </c>
      <c r="I1171" s="444">
        <f t="shared" ca="1" si="108"/>
        <v>-3270490.9745300068</v>
      </c>
      <c r="J1171" s="444">
        <f t="array" ref="J1171">IFERROR(INDEX('Retirement Calculator'!J:J,MATCH('Isaac 401k'!N1171,'Retirement Calculator'!A:A,0),0),0)</f>
        <v>0</v>
      </c>
      <c r="K1171" s="444">
        <f t="shared" ca="1" si="105"/>
        <v>-13627.04572720836</v>
      </c>
      <c r="L1171" s="444">
        <f t="shared" ca="1" si="106"/>
        <v>-3284118.020257215</v>
      </c>
      <c r="M1171" s="460">
        <f t="shared" si="109"/>
        <v>0.05</v>
      </c>
      <c r="N1171" s="464">
        <f t="shared" si="110"/>
        <v>86685</v>
      </c>
    </row>
    <row r="1172" spans="7:14" ht="11.25" customHeight="1" x14ac:dyDescent="0.3">
      <c r="G1172" s="459">
        <f>G1171+1</f>
        <v>98</v>
      </c>
      <c r="H1172" s="459">
        <v>1165</v>
      </c>
      <c r="I1172" s="444">
        <f t="shared" ca="1" si="108"/>
        <v>-3284118.020257215</v>
      </c>
      <c r="J1172" s="444">
        <f t="array" ref="J1172">IFERROR(INDEX('Retirement Calculator'!J:J,MATCH('Isaac 401k'!N1172,'Retirement Calculator'!A:A,0),0),0)</f>
        <v>0</v>
      </c>
      <c r="K1172" s="444">
        <f t="shared" ca="1" si="105"/>
        <v>-13683.825084405062</v>
      </c>
      <c r="L1172" s="444">
        <f t="shared" ca="1" si="106"/>
        <v>-3297801.84534162</v>
      </c>
      <c r="M1172" s="460">
        <f t="shared" si="109"/>
        <v>0.05</v>
      </c>
      <c r="N1172" s="464">
        <f t="shared" si="110"/>
        <v>86716</v>
      </c>
    </row>
    <row r="1173" spans="7:14" ht="11.25" customHeight="1" x14ac:dyDescent="0.3">
      <c r="G1173" s="459">
        <f t="shared" ref="G1173:G1183" si="122">G1172</f>
        <v>98</v>
      </c>
      <c r="H1173" s="459">
        <v>1166</v>
      </c>
      <c r="I1173" s="444">
        <f t="shared" ca="1" si="108"/>
        <v>-3297801.84534162</v>
      </c>
      <c r="J1173" s="444">
        <f t="array" ref="J1173">IFERROR(INDEX('Retirement Calculator'!J:J,MATCH('Isaac 401k'!N1173,'Retirement Calculator'!A:A,0),0),0)</f>
        <v>0</v>
      </c>
      <c r="K1173" s="444">
        <f t="shared" ca="1" si="105"/>
        <v>-13740.841022256747</v>
      </c>
      <c r="L1173" s="444">
        <f t="shared" ca="1" si="106"/>
        <v>-3311542.6863638768</v>
      </c>
      <c r="M1173" s="460">
        <f t="shared" si="109"/>
        <v>0.05</v>
      </c>
      <c r="N1173" s="464">
        <f t="shared" si="110"/>
        <v>86746</v>
      </c>
    </row>
    <row r="1174" spans="7:14" ht="11.25" customHeight="1" x14ac:dyDescent="0.3">
      <c r="G1174" s="459">
        <f t="shared" si="122"/>
        <v>98</v>
      </c>
      <c r="H1174" s="459">
        <v>1167</v>
      </c>
      <c r="I1174" s="444">
        <f t="shared" ca="1" si="108"/>
        <v>-3311542.6863638768</v>
      </c>
      <c r="J1174" s="444">
        <f t="array" ref="J1174">IFERROR(INDEX('Retirement Calculator'!J:J,MATCH('Isaac 401k'!N1174,'Retirement Calculator'!A:A,0),0),0)</f>
        <v>0</v>
      </c>
      <c r="K1174" s="444">
        <f t="shared" ca="1" si="105"/>
        <v>-13798.094526516154</v>
      </c>
      <c r="L1174" s="444">
        <f t="shared" ca="1" si="106"/>
        <v>-3325340.7808903931</v>
      </c>
      <c r="M1174" s="460">
        <f t="shared" si="109"/>
        <v>0.05</v>
      </c>
      <c r="N1174" s="464">
        <f t="shared" si="110"/>
        <v>86777</v>
      </c>
    </row>
    <row r="1175" spans="7:14" ht="11.25" customHeight="1" x14ac:dyDescent="0.3">
      <c r="G1175" s="459">
        <f t="shared" si="122"/>
        <v>98</v>
      </c>
      <c r="H1175" s="459">
        <v>1168</v>
      </c>
      <c r="I1175" s="444">
        <f t="shared" ca="1" si="108"/>
        <v>-3325340.7808903931</v>
      </c>
      <c r="J1175" s="444">
        <f t="array" ref="J1175">IFERROR(INDEX('Retirement Calculator'!J:J,MATCH('Isaac 401k'!N1175,'Retirement Calculator'!A:A,0),0),0)</f>
        <v>0</v>
      </c>
      <c r="K1175" s="444">
        <f t="shared" ca="1" si="105"/>
        <v>-13855.586587043304</v>
      </c>
      <c r="L1175" s="444">
        <f t="shared" ca="1" si="106"/>
        <v>-3339196.3674774365</v>
      </c>
      <c r="M1175" s="460">
        <f t="shared" si="109"/>
        <v>0.05</v>
      </c>
      <c r="N1175" s="464">
        <f t="shared" si="110"/>
        <v>86808</v>
      </c>
    </row>
    <row r="1176" spans="7:14" ht="11.25" customHeight="1" x14ac:dyDescent="0.3">
      <c r="G1176" s="459">
        <f t="shared" si="122"/>
        <v>98</v>
      </c>
      <c r="H1176" s="459">
        <v>1169</v>
      </c>
      <c r="I1176" s="444">
        <f t="shared" ca="1" si="108"/>
        <v>-3339196.3674774365</v>
      </c>
      <c r="J1176" s="444">
        <f t="array" ref="J1176">IFERROR(INDEX('Retirement Calculator'!J:J,MATCH('Isaac 401k'!N1176,'Retirement Calculator'!A:A,0),0),0)</f>
        <v>0</v>
      </c>
      <c r="K1176" s="444">
        <f t="shared" ca="1" si="105"/>
        <v>-13913.318197822651</v>
      </c>
      <c r="L1176" s="444">
        <f t="shared" ca="1" si="106"/>
        <v>-3353109.6856752592</v>
      </c>
      <c r="M1176" s="460">
        <f t="shared" si="109"/>
        <v>0.05</v>
      </c>
      <c r="N1176" s="464">
        <f t="shared" si="110"/>
        <v>86838</v>
      </c>
    </row>
    <row r="1177" spans="7:14" ht="11.25" customHeight="1" x14ac:dyDescent="0.3">
      <c r="G1177" s="459">
        <f t="shared" si="122"/>
        <v>98</v>
      </c>
      <c r="H1177" s="459">
        <v>1170</v>
      </c>
      <c r="I1177" s="444">
        <f t="shared" ca="1" si="108"/>
        <v>-3353109.6856752592</v>
      </c>
      <c r="J1177" s="444">
        <f t="array" ref="J1177">IFERROR(INDEX('Retirement Calculator'!J:J,MATCH('Isaac 401k'!N1177,'Retirement Calculator'!A:A,0),0),0)</f>
        <v>0</v>
      </c>
      <c r="K1177" s="444">
        <f t="shared" ca="1" si="105"/>
        <v>-13971.290356980246</v>
      </c>
      <c r="L1177" s="444">
        <f t="shared" ca="1" si="106"/>
        <v>-3367080.9760322394</v>
      </c>
      <c r="M1177" s="460">
        <f t="shared" si="109"/>
        <v>0.05</v>
      </c>
      <c r="N1177" s="464">
        <f t="shared" si="110"/>
        <v>86869</v>
      </c>
    </row>
    <row r="1178" spans="7:14" ht="11.25" customHeight="1" x14ac:dyDescent="0.3">
      <c r="G1178" s="459">
        <f t="shared" si="122"/>
        <v>98</v>
      </c>
      <c r="H1178" s="459">
        <v>1171</v>
      </c>
      <c r="I1178" s="444">
        <f t="shared" ca="1" si="108"/>
        <v>-3367080.9760322394</v>
      </c>
      <c r="J1178" s="444">
        <f t="array" ref="J1178">IFERROR(INDEX('Retirement Calculator'!J:J,MATCH('Isaac 401k'!N1178,'Retirement Calculator'!A:A,0),0),0)</f>
        <v>0</v>
      </c>
      <c r="K1178" s="444">
        <f t="shared" ca="1" si="105"/>
        <v>-14029.504066800997</v>
      </c>
      <c r="L1178" s="444">
        <f t="shared" ca="1" si="106"/>
        <v>-3381110.4800990405</v>
      </c>
      <c r="M1178" s="460">
        <f t="shared" si="109"/>
        <v>0.05</v>
      </c>
      <c r="N1178" s="464">
        <f t="shared" si="110"/>
        <v>86899</v>
      </c>
    </row>
    <row r="1179" spans="7:14" ht="11.25" customHeight="1" x14ac:dyDescent="0.3">
      <c r="G1179" s="459">
        <f t="shared" si="122"/>
        <v>98</v>
      </c>
      <c r="H1179" s="459">
        <v>1172</v>
      </c>
      <c r="I1179" s="444">
        <f t="shared" ca="1" si="108"/>
        <v>-3381110.4800990405</v>
      </c>
      <c r="J1179" s="444">
        <f t="array" ref="J1179">IFERROR(INDEX('Retirement Calculator'!J:J,MATCH('Isaac 401k'!N1179,'Retirement Calculator'!A:A,0),0),0)</f>
        <v>0</v>
      </c>
      <c r="K1179" s="444">
        <f t="shared" ca="1" si="105"/>
        <v>-14087.960333745999</v>
      </c>
      <c r="L1179" s="444">
        <f t="shared" ca="1" si="106"/>
        <v>-3395198.4404327865</v>
      </c>
      <c r="M1179" s="460">
        <f t="shared" si="109"/>
        <v>0.05</v>
      </c>
      <c r="N1179" s="464">
        <f t="shared" si="110"/>
        <v>86930</v>
      </c>
    </row>
    <row r="1180" spans="7:14" ht="11.25" customHeight="1" x14ac:dyDescent="0.3">
      <c r="G1180" s="459">
        <f t="shared" si="122"/>
        <v>98</v>
      </c>
      <c r="H1180" s="459">
        <v>1173</v>
      </c>
      <c r="I1180" s="444">
        <f t="shared" ca="1" si="108"/>
        <v>-3395198.4404327865</v>
      </c>
      <c r="J1180" s="444">
        <f t="array" ref="J1180">IFERROR(INDEX('Retirement Calculator'!J:J,MATCH('Isaac 401k'!N1180,'Retirement Calculator'!A:A,0),0),0)</f>
        <v>0</v>
      </c>
      <c r="K1180" s="444">
        <f t="shared" ca="1" si="105"/>
        <v>-14146.660168469942</v>
      </c>
      <c r="L1180" s="444">
        <f t="shared" ca="1" si="106"/>
        <v>-3409345.1006012564</v>
      </c>
      <c r="M1180" s="460">
        <f t="shared" si="109"/>
        <v>0.05</v>
      </c>
      <c r="N1180" s="464">
        <f t="shared" si="110"/>
        <v>86961</v>
      </c>
    </row>
    <row r="1181" spans="7:14" ht="11.25" customHeight="1" x14ac:dyDescent="0.3">
      <c r="G1181" s="459">
        <f t="shared" si="122"/>
        <v>98</v>
      </c>
      <c r="H1181" s="459">
        <v>1174</v>
      </c>
      <c r="I1181" s="444">
        <f t="shared" ca="1" si="108"/>
        <v>-3409345.1006012564</v>
      </c>
      <c r="J1181" s="444">
        <f t="array" ref="J1181">IFERROR(INDEX('Retirement Calculator'!J:J,MATCH('Isaac 401k'!N1181,'Retirement Calculator'!A:A,0),0),0)</f>
        <v>0</v>
      </c>
      <c r="K1181" s="444">
        <f t="shared" ca="1" si="105"/>
        <v>-14205.604585838568</v>
      </c>
      <c r="L1181" s="444">
        <f t="shared" ca="1" si="106"/>
        <v>-3423550.7051870949</v>
      </c>
      <c r="M1181" s="460">
        <f t="shared" si="109"/>
        <v>0.05</v>
      </c>
      <c r="N1181" s="464">
        <f t="shared" si="110"/>
        <v>86989</v>
      </c>
    </row>
    <row r="1182" spans="7:14" ht="11.25" customHeight="1" x14ac:dyDescent="0.3">
      <c r="G1182" s="459">
        <f t="shared" si="122"/>
        <v>98</v>
      </c>
      <c r="H1182" s="459">
        <v>1175</v>
      </c>
      <c r="I1182" s="444">
        <f t="shared" ca="1" si="108"/>
        <v>-3423550.7051870949</v>
      </c>
      <c r="J1182" s="444">
        <f t="array" ref="J1182">IFERROR(INDEX('Retirement Calculator'!J:J,MATCH('Isaac 401k'!N1182,'Retirement Calculator'!A:A,0),0),0)</f>
        <v>0</v>
      </c>
      <c r="K1182" s="444">
        <f t="shared" ca="1" si="105"/>
        <v>-14264.794604946228</v>
      </c>
      <c r="L1182" s="444">
        <f t="shared" ca="1" si="106"/>
        <v>-3437815.4997920413</v>
      </c>
      <c r="M1182" s="460">
        <f t="shared" si="109"/>
        <v>0.05</v>
      </c>
      <c r="N1182" s="464">
        <f t="shared" si="110"/>
        <v>87020</v>
      </c>
    </row>
    <row r="1183" spans="7:14" ht="11.25" customHeight="1" x14ac:dyDescent="0.3">
      <c r="G1183" s="459">
        <f t="shared" si="122"/>
        <v>98</v>
      </c>
      <c r="H1183" s="459">
        <v>1176</v>
      </c>
      <c r="I1183" s="444">
        <f t="shared" ca="1" si="108"/>
        <v>-3437815.4997920413</v>
      </c>
      <c r="J1183" s="444">
        <f t="array" ref="J1183">IFERROR(INDEX('Retirement Calculator'!J:J,MATCH('Isaac 401k'!N1183,'Retirement Calculator'!A:A,0),0),0)</f>
        <v>0</v>
      </c>
      <c r="K1183" s="444">
        <f t="shared" ca="1" si="105"/>
        <v>-14324.231249133507</v>
      </c>
      <c r="L1183" s="444">
        <f t="shared" ca="1" si="106"/>
        <v>-3452139.7310411748</v>
      </c>
      <c r="M1183" s="460">
        <f t="shared" si="109"/>
        <v>0.05</v>
      </c>
      <c r="N1183" s="464">
        <f t="shared" si="110"/>
        <v>87050</v>
      </c>
    </row>
    <row r="1184" spans="7:14" ht="11.25" customHeight="1" x14ac:dyDescent="0.3">
      <c r="G1184" s="459">
        <f>G1183+1</f>
        <v>99</v>
      </c>
      <c r="H1184" s="459">
        <v>1177</v>
      </c>
      <c r="I1184" s="444">
        <f t="shared" ca="1" si="108"/>
        <v>-3452139.7310411748</v>
      </c>
      <c r="J1184" s="444">
        <f t="array" ref="J1184">IFERROR(INDEX('Retirement Calculator'!J:J,MATCH('Isaac 401k'!N1184,'Retirement Calculator'!A:A,0),0),0)</f>
        <v>0</v>
      </c>
      <c r="K1184" s="444">
        <f t="shared" ca="1" si="105"/>
        <v>-14383.915546004895</v>
      </c>
      <c r="L1184" s="444">
        <f t="shared" ca="1" si="106"/>
        <v>-3466523.64658718</v>
      </c>
      <c r="M1184" s="460">
        <f t="shared" si="109"/>
        <v>0.05</v>
      </c>
      <c r="N1184" s="464">
        <f t="shared" si="110"/>
        <v>87081</v>
      </c>
    </row>
    <row r="1185" spans="7:14" ht="11.25" customHeight="1" x14ac:dyDescent="0.3">
      <c r="G1185" s="459">
        <f t="shared" ref="G1185:G1195" si="123">G1184</f>
        <v>99</v>
      </c>
      <c r="H1185" s="459">
        <v>1178</v>
      </c>
      <c r="I1185" s="444">
        <f t="shared" ca="1" si="108"/>
        <v>-3466523.64658718</v>
      </c>
      <c r="J1185" s="444">
        <f t="array" ref="J1185">IFERROR(INDEX('Retirement Calculator'!J:J,MATCH('Isaac 401k'!N1185,'Retirement Calculator'!A:A,0),0),0)</f>
        <v>0</v>
      </c>
      <c r="K1185" s="444">
        <f t="shared" ca="1" si="105"/>
        <v>-14443.848527446586</v>
      </c>
      <c r="L1185" s="444">
        <f t="shared" ca="1" si="106"/>
        <v>-3480967.4951146264</v>
      </c>
      <c r="M1185" s="460">
        <f t="shared" si="109"/>
        <v>0.05</v>
      </c>
      <c r="N1185" s="464">
        <f t="shared" si="110"/>
        <v>87111</v>
      </c>
    </row>
    <row r="1186" spans="7:14" ht="11.25" customHeight="1" x14ac:dyDescent="0.3">
      <c r="G1186" s="459">
        <f t="shared" si="123"/>
        <v>99</v>
      </c>
      <c r="H1186" s="459">
        <v>1179</v>
      </c>
      <c r="I1186" s="444">
        <f t="shared" ca="1" si="108"/>
        <v>-3480967.4951146264</v>
      </c>
      <c r="J1186" s="444">
        <f t="array" ref="J1186">IFERROR(INDEX('Retirement Calculator'!J:J,MATCH('Isaac 401k'!N1186,'Retirement Calculator'!A:A,0),0),0)</f>
        <v>0</v>
      </c>
      <c r="K1186" s="444">
        <f t="shared" ca="1" si="105"/>
        <v>-14504.031229644277</v>
      </c>
      <c r="L1186" s="444">
        <f t="shared" ca="1" si="106"/>
        <v>-3495471.5263442704</v>
      </c>
      <c r="M1186" s="460">
        <f t="shared" si="109"/>
        <v>0.05</v>
      </c>
      <c r="N1186" s="464">
        <f t="shared" si="110"/>
        <v>87142</v>
      </c>
    </row>
    <row r="1187" spans="7:14" ht="11.25" customHeight="1" x14ac:dyDescent="0.3">
      <c r="G1187" s="459">
        <f t="shared" si="123"/>
        <v>99</v>
      </c>
      <c r="H1187" s="459">
        <v>1180</v>
      </c>
      <c r="I1187" s="444">
        <f t="shared" ca="1" si="108"/>
        <v>-3495471.5263442704</v>
      </c>
      <c r="J1187" s="444">
        <f t="array" ref="J1187">IFERROR(INDEX('Retirement Calculator'!J:J,MATCH('Isaac 401k'!N1187,'Retirement Calculator'!A:A,0),0),0)</f>
        <v>0</v>
      </c>
      <c r="K1187" s="444">
        <f t="shared" ca="1" si="105"/>
        <v>-14564.464693101127</v>
      </c>
      <c r="L1187" s="444">
        <f t="shared" ca="1" si="106"/>
        <v>-3510035.9910373716</v>
      </c>
      <c r="M1187" s="460">
        <f t="shared" si="109"/>
        <v>0.05</v>
      </c>
      <c r="N1187" s="464">
        <f t="shared" si="110"/>
        <v>87173</v>
      </c>
    </row>
    <row r="1188" spans="7:14" ht="11.25" customHeight="1" x14ac:dyDescent="0.3">
      <c r="G1188" s="459">
        <f t="shared" si="123"/>
        <v>99</v>
      </c>
      <c r="H1188" s="459">
        <v>1181</v>
      </c>
      <c r="I1188" s="444">
        <f t="shared" ca="1" si="108"/>
        <v>-3510035.9910373716</v>
      </c>
      <c r="J1188" s="444">
        <f t="array" ref="J1188">IFERROR(INDEX('Retirement Calculator'!J:J,MATCH('Isaac 401k'!N1188,'Retirement Calculator'!A:A,0),0),0)</f>
        <v>0</v>
      </c>
      <c r="K1188" s="444">
        <f t="shared" ca="1" si="105"/>
        <v>-14625.149962655716</v>
      </c>
      <c r="L1188" s="444">
        <f t="shared" ca="1" si="106"/>
        <v>-3524661.1410000273</v>
      </c>
      <c r="M1188" s="460">
        <f t="shared" si="109"/>
        <v>0.05</v>
      </c>
      <c r="N1188" s="464">
        <f t="shared" si="110"/>
        <v>87203</v>
      </c>
    </row>
    <row r="1189" spans="7:14" ht="11.25" customHeight="1" x14ac:dyDescent="0.3">
      <c r="G1189" s="459">
        <f t="shared" si="123"/>
        <v>99</v>
      </c>
      <c r="H1189" s="459">
        <v>1182</v>
      </c>
      <c r="I1189" s="444">
        <f t="shared" ca="1" si="108"/>
        <v>-3524661.1410000273</v>
      </c>
      <c r="J1189" s="444">
        <f t="array" ref="J1189">IFERROR(INDEX('Retirement Calculator'!J:J,MATCH('Isaac 401k'!N1189,'Retirement Calculator'!A:A,0),0),0)</f>
        <v>0</v>
      </c>
      <c r="K1189" s="444">
        <f t="shared" ca="1" si="105"/>
        <v>-14686.088087500115</v>
      </c>
      <c r="L1189" s="444">
        <f t="shared" ca="1" si="106"/>
        <v>-3539347.2290875274</v>
      </c>
      <c r="M1189" s="460">
        <f t="shared" si="109"/>
        <v>0.05</v>
      </c>
      <c r="N1189" s="464">
        <f t="shared" si="110"/>
        <v>87234</v>
      </c>
    </row>
    <row r="1190" spans="7:14" ht="11.25" customHeight="1" x14ac:dyDescent="0.3">
      <c r="G1190" s="459">
        <f t="shared" si="123"/>
        <v>99</v>
      </c>
      <c r="H1190" s="459">
        <v>1183</v>
      </c>
      <c r="I1190" s="444">
        <f t="shared" ca="1" si="108"/>
        <v>-3539347.2290875274</v>
      </c>
      <c r="J1190" s="444">
        <f t="array" ref="J1190">IFERROR(INDEX('Retirement Calculator'!J:J,MATCH('Isaac 401k'!N1190,'Retirement Calculator'!A:A,0),0),0)</f>
        <v>0</v>
      </c>
      <c r="K1190" s="444">
        <f t="shared" ca="1" si="105"/>
        <v>-14747.280121198031</v>
      </c>
      <c r="L1190" s="444">
        <f t="shared" ca="1" si="106"/>
        <v>-3554094.5092087253</v>
      </c>
      <c r="M1190" s="460">
        <f t="shared" si="109"/>
        <v>0.05</v>
      </c>
      <c r="N1190" s="464">
        <f t="shared" si="110"/>
        <v>87264</v>
      </c>
    </row>
    <row r="1191" spans="7:14" ht="11.25" customHeight="1" x14ac:dyDescent="0.3">
      <c r="G1191" s="459">
        <f t="shared" si="123"/>
        <v>99</v>
      </c>
      <c r="H1191" s="459">
        <v>1184</v>
      </c>
      <c r="I1191" s="444">
        <f t="shared" ca="1" si="108"/>
        <v>-3554094.5092087253</v>
      </c>
      <c r="J1191" s="444">
        <f t="array" ref="J1191">IFERROR(INDEX('Retirement Calculator'!J:J,MATCH('Isaac 401k'!N1191,'Retirement Calculator'!A:A,0),0),0)</f>
        <v>0</v>
      </c>
      <c r="K1191" s="444">
        <f t="shared" ca="1" si="105"/>
        <v>-14808.727121703021</v>
      </c>
      <c r="L1191" s="444">
        <f t="shared" ca="1" si="106"/>
        <v>-3568903.2363304282</v>
      </c>
      <c r="M1191" s="460">
        <f t="shared" si="109"/>
        <v>0.05</v>
      </c>
      <c r="N1191" s="464">
        <f t="shared" si="110"/>
        <v>87295</v>
      </c>
    </row>
    <row r="1192" spans="7:14" ht="11.25" customHeight="1" x14ac:dyDescent="0.3">
      <c r="G1192" s="459">
        <f t="shared" si="123"/>
        <v>99</v>
      </c>
      <c r="H1192" s="459">
        <v>1185</v>
      </c>
      <c r="I1192" s="444">
        <f t="shared" ca="1" si="108"/>
        <v>-3568903.2363304282</v>
      </c>
      <c r="J1192" s="444">
        <f t="array" ref="J1192">IFERROR(INDEX('Retirement Calculator'!J:J,MATCH('Isaac 401k'!N1192,'Retirement Calculator'!A:A,0),0),0)</f>
        <v>0</v>
      </c>
      <c r="K1192" s="444">
        <f t="shared" ca="1" si="105"/>
        <v>-14870.430151376786</v>
      </c>
      <c r="L1192" s="444">
        <f t="shared" ca="1" si="106"/>
        <v>-3583773.666481805</v>
      </c>
      <c r="M1192" s="460">
        <f t="shared" si="109"/>
        <v>0.05</v>
      </c>
      <c r="N1192" s="464">
        <f t="shared" si="110"/>
        <v>87326</v>
      </c>
    </row>
    <row r="1193" spans="7:14" ht="11.25" customHeight="1" x14ac:dyDescent="0.3">
      <c r="G1193" s="459">
        <f t="shared" si="123"/>
        <v>99</v>
      </c>
      <c r="H1193" s="459">
        <v>1186</v>
      </c>
      <c r="I1193" s="444">
        <f t="shared" ca="1" si="108"/>
        <v>-3583773.666481805</v>
      </c>
      <c r="J1193" s="444">
        <f t="array" ref="J1193">IFERROR(INDEX('Retirement Calculator'!J:J,MATCH('Isaac 401k'!N1193,'Retirement Calculator'!A:A,0),0),0)</f>
        <v>0</v>
      </c>
      <c r="K1193" s="444">
        <f t="shared" ca="1" si="105"/>
        <v>-14932.39027700752</v>
      </c>
      <c r="L1193" s="444">
        <f t="shared" ca="1" si="106"/>
        <v>-3598706.0567588126</v>
      </c>
      <c r="M1193" s="460">
        <f t="shared" si="109"/>
        <v>0.05</v>
      </c>
      <c r="N1193" s="464">
        <f t="shared" si="110"/>
        <v>87354</v>
      </c>
    </row>
    <row r="1194" spans="7:14" ht="11.25" customHeight="1" x14ac:dyDescent="0.3">
      <c r="G1194" s="459">
        <f t="shared" si="123"/>
        <v>99</v>
      </c>
      <c r="H1194" s="459">
        <v>1187</v>
      </c>
      <c r="I1194" s="444">
        <f t="shared" ca="1" si="108"/>
        <v>-3598706.0567588126</v>
      </c>
      <c r="J1194" s="444">
        <f t="array" ref="J1194">IFERROR(INDEX('Retirement Calculator'!J:J,MATCH('Isaac 401k'!N1194,'Retirement Calculator'!A:A,0),0),0)</f>
        <v>0</v>
      </c>
      <c r="K1194" s="444">
        <f t="shared" ca="1" si="105"/>
        <v>-14994.608569828388</v>
      </c>
      <c r="L1194" s="444">
        <f t="shared" ca="1" si="106"/>
        <v>-3613700.665328641</v>
      </c>
      <c r="M1194" s="460">
        <f t="shared" si="109"/>
        <v>0.05</v>
      </c>
      <c r="N1194" s="464">
        <f t="shared" si="110"/>
        <v>87385</v>
      </c>
    </row>
    <row r="1195" spans="7:14" ht="11.25" customHeight="1" x14ac:dyDescent="0.3">
      <c r="G1195" s="459">
        <f t="shared" si="123"/>
        <v>99</v>
      </c>
      <c r="H1195" s="459">
        <v>1188</v>
      </c>
      <c r="I1195" s="444">
        <f t="shared" ca="1" si="108"/>
        <v>-3613700.665328641</v>
      </c>
      <c r="J1195" s="444">
        <f t="array" ref="J1195">IFERROR(INDEX('Retirement Calculator'!J:J,MATCH('Isaac 401k'!N1195,'Retirement Calculator'!A:A,0),0),0)</f>
        <v>0</v>
      </c>
      <c r="K1195" s="444">
        <f t="shared" ca="1" si="105"/>
        <v>-15057.086105536006</v>
      </c>
      <c r="L1195" s="444">
        <f t="shared" ca="1" si="106"/>
        <v>-3628757.7514341772</v>
      </c>
      <c r="M1195" s="460">
        <f t="shared" si="109"/>
        <v>0.05</v>
      </c>
      <c r="N1195" s="464">
        <f t="shared" si="110"/>
        <v>87415</v>
      </c>
    </row>
    <row r="1196" spans="7:14" ht="11.25" customHeight="1" x14ac:dyDescent="0.3">
      <c r="G1196" s="459">
        <f>G1195+1</f>
        <v>100</v>
      </c>
      <c r="H1196" s="459">
        <v>1189</v>
      </c>
      <c r="I1196" s="444">
        <f t="shared" ca="1" si="108"/>
        <v>-3628757.7514341772</v>
      </c>
      <c r="J1196" s="444">
        <f t="array" ref="J1196">IFERROR(INDEX('Retirement Calculator'!J:J,MATCH('Isaac 401k'!N1196,'Retirement Calculator'!A:A,0),0),0)</f>
        <v>0</v>
      </c>
      <c r="K1196" s="444">
        <f t="shared" ca="1" si="105"/>
        <v>-15119.823964309071</v>
      </c>
      <c r="L1196" s="444">
        <f t="shared" ca="1" si="106"/>
        <v>-3643877.5753984861</v>
      </c>
      <c r="M1196" s="460">
        <f t="shared" si="109"/>
        <v>0.05</v>
      </c>
      <c r="N1196" s="464">
        <f t="shared" si="110"/>
        <v>87446</v>
      </c>
    </row>
    <row r="1197" spans="7:14" ht="11.25" customHeight="1" x14ac:dyDescent="0.3">
      <c r="G1197" s="459">
        <f t="shared" ref="G1197:G1207" si="124">G1196</f>
        <v>100</v>
      </c>
      <c r="H1197" s="459">
        <v>1190</v>
      </c>
      <c r="I1197" s="444">
        <f t="shared" ca="1" si="108"/>
        <v>-3643877.5753984861</v>
      </c>
      <c r="J1197" s="444">
        <f t="array" ref="J1197">IFERROR(INDEX('Retirement Calculator'!J:J,MATCH('Isaac 401k'!N1197,'Retirement Calculator'!A:A,0),0),0)</f>
        <v>0</v>
      </c>
      <c r="K1197" s="444">
        <f t="shared" ca="1" si="105"/>
        <v>-15182.823230827025</v>
      </c>
      <c r="L1197" s="444">
        <f t="shared" ca="1" si="106"/>
        <v>-3659060.3986293133</v>
      </c>
      <c r="M1197" s="460">
        <f t="shared" si="109"/>
        <v>0.05</v>
      </c>
      <c r="N1197" s="464">
        <f t="shared" si="110"/>
        <v>87476</v>
      </c>
    </row>
    <row r="1198" spans="7:14" ht="11.25" customHeight="1" x14ac:dyDescent="0.3">
      <c r="G1198" s="459">
        <f t="shared" si="124"/>
        <v>100</v>
      </c>
      <c r="H1198" s="459">
        <v>1191</v>
      </c>
      <c r="I1198" s="444">
        <f t="shared" ca="1" si="108"/>
        <v>-3659060.3986293133</v>
      </c>
      <c r="J1198" s="444">
        <f t="array" ref="J1198">IFERROR(INDEX('Retirement Calculator'!J:J,MATCH('Isaac 401k'!N1198,'Retirement Calculator'!A:A,0),0),0)</f>
        <v>0</v>
      </c>
      <c r="K1198" s="444">
        <f t="shared" ca="1" si="105"/>
        <v>-15246.084994288805</v>
      </c>
      <c r="L1198" s="444">
        <f t="shared" ca="1" si="106"/>
        <v>-3674306.483623602</v>
      </c>
      <c r="M1198" s="460">
        <f t="shared" si="109"/>
        <v>0.05</v>
      </c>
      <c r="N1198" s="464">
        <f t="shared" si="110"/>
        <v>87507</v>
      </c>
    </row>
    <row r="1199" spans="7:14" ht="11.25" customHeight="1" x14ac:dyDescent="0.3">
      <c r="G1199" s="459">
        <f t="shared" si="124"/>
        <v>100</v>
      </c>
      <c r="H1199" s="459">
        <v>1192</v>
      </c>
      <c r="I1199" s="444">
        <f t="shared" ca="1" si="108"/>
        <v>-3674306.483623602</v>
      </c>
      <c r="J1199" s="444">
        <f t="array" ref="J1199">IFERROR(INDEX('Retirement Calculator'!J:J,MATCH('Isaac 401k'!N1199,'Retirement Calculator'!A:A,0),0),0)</f>
        <v>0</v>
      </c>
      <c r="K1199" s="444">
        <f t="shared" ca="1" si="105"/>
        <v>-15309.610348431677</v>
      </c>
      <c r="L1199" s="444">
        <f t="shared" ca="1" si="106"/>
        <v>-3689616.0939720338</v>
      </c>
      <c r="M1199" s="460">
        <f t="shared" si="109"/>
        <v>0.05</v>
      </c>
      <c r="N1199" s="464">
        <f t="shared" si="110"/>
        <v>87538</v>
      </c>
    </row>
    <row r="1200" spans="7:14" ht="11.25" customHeight="1" x14ac:dyDescent="0.3">
      <c r="G1200" s="459">
        <f t="shared" si="124"/>
        <v>100</v>
      </c>
      <c r="H1200" s="459">
        <v>1193</v>
      </c>
      <c r="I1200" s="444">
        <f t="shared" ca="1" si="108"/>
        <v>-3689616.0939720338</v>
      </c>
      <c r="J1200" s="444">
        <f t="array" ref="J1200">IFERROR(INDEX('Retirement Calculator'!J:J,MATCH('Isaac 401k'!N1200,'Retirement Calculator'!A:A,0),0),0)</f>
        <v>0</v>
      </c>
      <c r="K1200" s="444">
        <f t="shared" ca="1" si="105"/>
        <v>-15373.40039155014</v>
      </c>
      <c r="L1200" s="444">
        <f t="shared" ca="1" si="106"/>
        <v>-3704989.4943635841</v>
      </c>
      <c r="M1200" s="460">
        <f t="shared" si="109"/>
        <v>0.05</v>
      </c>
      <c r="N1200" s="464">
        <f t="shared" si="110"/>
        <v>87568</v>
      </c>
    </row>
    <row r="1201" spans="7:14" ht="11.25" customHeight="1" x14ac:dyDescent="0.3">
      <c r="G1201" s="459">
        <f t="shared" si="124"/>
        <v>100</v>
      </c>
      <c r="H1201" s="459">
        <v>1194</v>
      </c>
      <c r="I1201" s="444">
        <f t="shared" ca="1" si="108"/>
        <v>-3704989.4943635841</v>
      </c>
      <c r="J1201" s="444">
        <f t="array" ref="J1201">IFERROR(INDEX('Retirement Calculator'!J:J,MATCH('Isaac 401k'!N1201,'Retirement Calculator'!A:A,0),0),0)</f>
        <v>0</v>
      </c>
      <c r="K1201" s="444">
        <f t="shared" ca="1" si="105"/>
        <v>-15437.456226514931</v>
      </c>
      <c r="L1201" s="444">
        <f t="shared" ca="1" si="106"/>
        <v>-3720426.9505900992</v>
      </c>
      <c r="M1201" s="460">
        <f t="shared" si="109"/>
        <v>0.05</v>
      </c>
      <c r="N1201" s="464">
        <f t="shared" si="110"/>
        <v>87599</v>
      </c>
    </row>
    <row r="1202" spans="7:14" ht="11.25" customHeight="1" x14ac:dyDescent="0.3">
      <c r="G1202" s="459">
        <f t="shared" si="124"/>
        <v>100</v>
      </c>
      <c r="H1202" s="459">
        <v>1195</v>
      </c>
      <c r="I1202" s="444">
        <f t="shared" ca="1" si="108"/>
        <v>-3720426.9505900992</v>
      </c>
      <c r="J1202" s="444">
        <f t="array" ref="J1202">IFERROR(INDEX('Retirement Calculator'!J:J,MATCH('Isaac 401k'!N1202,'Retirement Calculator'!A:A,0),0),0)</f>
        <v>0</v>
      </c>
      <c r="K1202" s="444">
        <f t="shared" ca="1" si="105"/>
        <v>-15501.778960792079</v>
      </c>
      <c r="L1202" s="444">
        <f t="shared" ca="1" si="106"/>
        <v>-3735928.7295508911</v>
      </c>
      <c r="M1202" s="460">
        <f t="shared" si="109"/>
        <v>0.05</v>
      </c>
      <c r="N1202" s="464">
        <f t="shared" si="110"/>
        <v>87629</v>
      </c>
    </row>
    <row r="1203" spans="7:14" ht="11.25" customHeight="1" x14ac:dyDescent="0.3">
      <c r="G1203" s="459">
        <f t="shared" si="124"/>
        <v>100</v>
      </c>
      <c r="H1203" s="459">
        <v>1196</v>
      </c>
      <c r="I1203" s="444">
        <f t="shared" ca="1" si="108"/>
        <v>-3735928.7295508911</v>
      </c>
      <c r="J1203" s="444">
        <f t="array" ref="J1203">IFERROR(INDEX('Retirement Calculator'!J:J,MATCH('Isaac 401k'!N1203,'Retirement Calculator'!A:A,0),0),0)</f>
        <v>0</v>
      </c>
      <c r="K1203" s="444">
        <f t="shared" ca="1" si="105"/>
        <v>-15566.369706462046</v>
      </c>
      <c r="L1203" s="444">
        <f t="shared" ca="1" si="106"/>
        <v>-3751495.0992573532</v>
      </c>
      <c r="M1203" s="460">
        <f t="shared" si="109"/>
        <v>0.05</v>
      </c>
      <c r="N1203" s="464">
        <f t="shared" si="110"/>
        <v>87660</v>
      </c>
    </row>
    <row r="1204" spans="7:14" ht="11.25" customHeight="1" x14ac:dyDescent="0.3">
      <c r="G1204" s="459">
        <f t="shared" si="124"/>
        <v>100</v>
      </c>
      <c r="H1204" s="459">
        <v>1197</v>
      </c>
      <c r="I1204" s="444">
        <f t="shared" ca="1" si="108"/>
        <v>-3751495.0992573532</v>
      </c>
      <c r="J1204" s="444">
        <f t="array" ref="J1204">IFERROR(INDEX('Retirement Calculator'!J:J,MATCH('Isaac 401k'!N1204,'Retirement Calculator'!A:A,0),0),0)</f>
        <v>0</v>
      </c>
      <c r="K1204" s="444">
        <f t="shared" ca="1" si="105"/>
        <v>-15631.229580238973</v>
      </c>
      <c r="L1204" s="444">
        <f t="shared" ca="1" si="106"/>
        <v>-3767126.3288375922</v>
      </c>
      <c r="M1204" s="460">
        <f t="shared" si="109"/>
        <v>0.05</v>
      </c>
      <c r="N1204" s="464">
        <f t="shared" si="110"/>
        <v>87691</v>
      </c>
    </row>
    <row r="1205" spans="7:14" ht="11.25" customHeight="1" x14ac:dyDescent="0.3">
      <c r="G1205" s="459">
        <f t="shared" si="124"/>
        <v>100</v>
      </c>
      <c r="H1205" s="459">
        <v>1198</v>
      </c>
      <c r="I1205" s="444">
        <f t="shared" ca="1" si="108"/>
        <v>-3767126.3288375922</v>
      </c>
      <c r="J1205" s="444">
        <f t="array" ref="J1205">IFERROR(INDEX('Retirement Calculator'!J:J,MATCH('Isaac 401k'!N1205,'Retirement Calculator'!A:A,0),0),0)</f>
        <v>0</v>
      </c>
      <c r="K1205" s="444">
        <f t="shared" ca="1" si="105"/>
        <v>-15696.359703489969</v>
      </c>
      <c r="L1205" s="444">
        <f t="shared" ca="1" si="106"/>
        <v>-3782822.6885410822</v>
      </c>
      <c r="M1205" s="460">
        <f t="shared" si="109"/>
        <v>0.05</v>
      </c>
      <c r="N1205" s="464">
        <f t="shared" si="110"/>
        <v>87720</v>
      </c>
    </row>
    <row r="1206" spans="7:14" ht="11.25" customHeight="1" x14ac:dyDescent="0.3">
      <c r="G1206" s="459">
        <f t="shared" si="124"/>
        <v>100</v>
      </c>
      <c r="H1206" s="459">
        <v>1199</v>
      </c>
      <c r="I1206" s="444">
        <f t="shared" ca="1" si="108"/>
        <v>-3782822.6885410822</v>
      </c>
      <c r="J1206" s="444">
        <f t="array" ref="J1206">IFERROR(INDEX('Retirement Calculator'!J:J,MATCH('Isaac 401k'!N1206,'Retirement Calculator'!A:A,0),0),0)</f>
        <v>0</v>
      </c>
      <c r="K1206" s="444">
        <f t="shared" ca="1" si="105"/>
        <v>-15761.761202254509</v>
      </c>
      <c r="L1206" s="444">
        <f t="shared" ca="1" si="106"/>
        <v>-3798584.4497433365</v>
      </c>
      <c r="M1206" s="460">
        <f t="shared" si="109"/>
        <v>0.05</v>
      </c>
      <c r="N1206" s="464">
        <f t="shared" si="110"/>
        <v>87751</v>
      </c>
    </row>
    <row r="1207" spans="7:14" ht="11.25" customHeight="1" x14ac:dyDescent="0.3">
      <c r="G1207" s="459">
        <f t="shared" si="124"/>
        <v>100</v>
      </c>
      <c r="H1207" s="459">
        <v>1200</v>
      </c>
      <c r="I1207" s="444">
        <f t="shared" ca="1" si="108"/>
        <v>-3798584.4497433365</v>
      </c>
      <c r="J1207" s="444">
        <f t="array" ref="J1207">IFERROR(INDEX('Retirement Calculator'!J:J,MATCH('Isaac 401k'!N1207,'Retirement Calculator'!A:A,0),0),0)</f>
        <v>0</v>
      </c>
      <c r="K1207" s="444">
        <f t="shared" ca="1" si="105"/>
        <v>-15827.435207263899</v>
      </c>
      <c r="L1207" s="444">
        <f t="shared" ca="1" si="106"/>
        <v>-3814411.8849506006</v>
      </c>
      <c r="M1207" s="460">
        <f t="shared" si="109"/>
        <v>0.05</v>
      </c>
      <c r="N1207" s="464">
        <f t="shared" si="110"/>
        <v>87781</v>
      </c>
    </row>
    <row r="1208" spans="7:14" ht="11.25" customHeight="1" x14ac:dyDescent="0.3">
      <c r="G1208" s="459">
        <f>G1207+1</f>
        <v>101</v>
      </c>
      <c r="H1208" s="459">
        <v>1201</v>
      </c>
      <c r="I1208" s="444">
        <f t="shared" ca="1" si="108"/>
        <v>-3814411.8849506006</v>
      </c>
      <c r="J1208" s="444">
        <f t="array" ref="J1208">IFERROR(INDEX('Retirement Calculator'!J:J,MATCH('Isaac 401k'!N1208,'Retirement Calculator'!A:A,0),0),0)</f>
        <v>0</v>
      </c>
      <c r="K1208" s="444">
        <f t="shared" ca="1" si="105"/>
        <v>-15893.382853960835</v>
      </c>
      <c r="L1208" s="444">
        <f t="shared" ca="1" si="106"/>
        <v>-3830305.2678045612</v>
      </c>
      <c r="M1208" s="460">
        <f t="shared" si="109"/>
        <v>0.05</v>
      </c>
      <c r="N1208" s="464">
        <f t="shared" si="110"/>
        <v>87812</v>
      </c>
    </row>
    <row r="1209" spans="7:14" ht="11.25" customHeight="1" x14ac:dyDescent="0.3">
      <c r="G1209" s="459">
        <f t="shared" ref="G1209:G1219" si="125">G1208</f>
        <v>101</v>
      </c>
      <c r="H1209" s="459">
        <v>1202</v>
      </c>
      <c r="I1209" s="444">
        <f t="shared" ca="1" si="108"/>
        <v>-3830305.2678045612</v>
      </c>
      <c r="J1209" s="444">
        <f t="array" ref="J1209">IFERROR(INDEX('Retirement Calculator'!J:J,MATCH('Isaac 401k'!N1209,'Retirement Calculator'!A:A,0),0),0)</f>
        <v>0</v>
      </c>
      <c r="K1209" s="444">
        <f t="shared" ca="1" si="105"/>
        <v>-15959.605282519005</v>
      </c>
      <c r="L1209" s="444">
        <f t="shared" ca="1" si="106"/>
        <v>-3846264.8730870802</v>
      </c>
      <c r="M1209" s="460">
        <f t="shared" si="109"/>
        <v>0.05</v>
      </c>
      <c r="N1209" s="464">
        <f t="shared" si="110"/>
        <v>87842</v>
      </c>
    </row>
    <row r="1210" spans="7:14" ht="11.25" customHeight="1" x14ac:dyDescent="0.3">
      <c r="G1210" s="459">
        <f t="shared" si="125"/>
        <v>101</v>
      </c>
      <c r="H1210" s="459">
        <v>1203</v>
      </c>
      <c r="I1210" s="444">
        <f t="shared" ca="1" si="108"/>
        <v>-3846264.8730870802</v>
      </c>
      <c r="J1210" s="444">
        <f t="array" ref="J1210">IFERROR(INDEX('Retirement Calculator'!J:J,MATCH('Isaac 401k'!N1210,'Retirement Calculator'!A:A,0),0),0)</f>
        <v>0</v>
      </c>
      <c r="K1210" s="444">
        <f t="shared" ca="1" si="105"/>
        <v>-16026.103637862832</v>
      </c>
      <c r="L1210" s="444">
        <f t="shared" ca="1" si="106"/>
        <v>-3862290.9767249431</v>
      </c>
      <c r="M1210" s="460">
        <f t="shared" si="109"/>
        <v>0.05</v>
      </c>
      <c r="N1210" s="464">
        <f t="shared" si="110"/>
        <v>87873</v>
      </c>
    </row>
    <row r="1211" spans="7:14" ht="11.25" customHeight="1" x14ac:dyDescent="0.3">
      <c r="G1211" s="459">
        <f t="shared" si="125"/>
        <v>101</v>
      </c>
      <c r="H1211" s="459">
        <v>1204</v>
      </c>
      <c r="I1211" s="444">
        <f t="shared" ca="1" si="108"/>
        <v>-3862290.9767249431</v>
      </c>
      <c r="J1211" s="444">
        <f t="array" ref="J1211">IFERROR(INDEX('Retirement Calculator'!J:J,MATCH('Isaac 401k'!N1211,'Retirement Calculator'!A:A,0),0),0)</f>
        <v>0</v>
      </c>
      <c r="K1211" s="444">
        <f t="shared" ca="1" si="105"/>
        <v>-16092.87906968726</v>
      </c>
      <c r="L1211" s="444">
        <f t="shared" ca="1" si="106"/>
        <v>-3878383.8557946305</v>
      </c>
      <c r="M1211" s="460">
        <f t="shared" si="109"/>
        <v>0.05</v>
      </c>
      <c r="N1211" s="464">
        <f t="shared" si="110"/>
        <v>87904</v>
      </c>
    </row>
    <row r="1212" spans="7:14" ht="11.25" customHeight="1" x14ac:dyDescent="0.3">
      <c r="G1212" s="459">
        <f t="shared" si="125"/>
        <v>101</v>
      </c>
      <c r="H1212" s="459">
        <v>1205</v>
      </c>
      <c r="I1212" s="444">
        <f t="shared" ca="1" si="108"/>
        <v>-3878383.8557946305</v>
      </c>
      <c r="J1212" s="444">
        <f t="array" ref="J1212">IFERROR(INDEX('Retirement Calculator'!J:J,MATCH('Isaac 401k'!N1212,'Retirement Calculator'!A:A,0),0),0)</f>
        <v>0</v>
      </c>
      <c r="K1212" s="444">
        <f t="shared" ca="1" si="105"/>
        <v>-16159.932732477626</v>
      </c>
      <c r="L1212" s="444">
        <f t="shared" ca="1" si="106"/>
        <v>-3894543.7885271083</v>
      </c>
      <c r="M1212" s="460">
        <f t="shared" si="109"/>
        <v>0.05</v>
      </c>
      <c r="N1212" s="464">
        <f t="shared" si="110"/>
        <v>87934</v>
      </c>
    </row>
    <row r="1213" spans="7:14" ht="11.25" customHeight="1" x14ac:dyDescent="0.3">
      <c r="G1213" s="459">
        <f t="shared" si="125"/>
        <v>101</v>
      </c>
      <c r="H1213" s="459">
        <v>1206</v>
      </c>
      <c r="I1213" s="444">
        <f t="shared" ca="1" si="108"/>
        <v>-3894543.7885271083</v>
      </c>
      <c r="J1213" s="444">
        <f t="array" ref="J1213">IFERROR(INDEX('Retirement Calculator'!J:J,MATCH('Isaac 401k'!N1213,'Retirement Calculator'!A:A,0),0),0)</f>
        <v>0</v>
      </c>
      <c r="K1213" s="444">
        <f t="shared" ca="1" si="105"/>
        <v>-16227.265785529618</v>
      </c>
      <c r="L1213" s="444">
        <f t="shared" ca="1" si="106"/>
        <v>-3910771.054312638</v>
      </c>
      <c r="M1213" s="460">
        <f t="shared" si="109"/>
        <v>0.05</v>
      </c>
      <c r="N1213" s="464">
        <f t="shared" si="110"/>
        <v>87965</v>
      </c>
    </row>
    <row r="1214" spans="7:14" ht="11.25" customHeight="1" x14ac:dyDescent="0.3">
      <c r="G1214" s="459">
        <f t="shared" si="125"/>
        <v>101</v>
      </c>
      <c r="H1214" s="459">
        <v>1207</v>
      </c>
      <c r="I1214" s="444">
        <f t="shared" ca="1" si="108"/>
        <v>-3910771.054312638</v>
      </c>
      <c r="J1214" s="444">
        <f t="array" ref="J1214">IFERROR(INDEX('Retirement Calculator'!J:J,MATCH('Isaac 401k'!N1214,'Retirement Calculator'!A:A,0),0),0)</f>
        <v>0</v>
      </c>
      <c r="K1214" s="444">
        <f t="shared" ca="1" si="105"/>
        <v>-16294.879392969326</v>
      </c>
      <c r="L1214" s="444">
        <f t="shared" ca="1" si="106"/>
        <v>-3927065.9337056074</v>
      </c>
      <c r="M1214" s="460">
        <f t="shared" si="109"/>
        <v>0.05</v>
      </c>
      <c r="N1214" s="464">
        <f t="shared" si="110"/>
        <v>87995</v>
      </c>
    </row>
    <row r="1215" spans="7:14" ht="11.25" customHeight="1" x14ac:dyDescent="0.3">
      <c r="G1215" s="459">
        <f t="shared" si="125"/>
        <v>101</v>
      </c>
      <c r="H1215" s="459">
        <v>1208</v>
      </c>
      <c r="I1215" s="444">
        <f t="shared" ca="1" si="108"/>
        <v>-3927065.9337056074</v>
      </c>
      <c r="J1215" s="444">
        <f t="array" ref="J1215">IFERROR(INDEX('Retirement Calculator'!J:J,MATCH('Isaac 401k'!N1215,'Retirement Calculator'!A:A,0),0),0)</f>
        <v>0</v>
      </c>
      <c r="K1215" s="444">
        <f t="shared" ca="1" si="105"/>
        <v>-16362.774723773366</v>
      </c>
      <c r="L1215" s="444">
        <f t="shared" ca="1" si="106"/>
        <v>-3943428.7084293808</v>
      </c>
      <c r="M1215" s="460">
        <f t="shared" si="109"/>
        <v>0.05</v>
      </c>
      <c r="N1215" s="464">
        <f t="shared" si="110"/>
        <v>88026</v>
      </c>
    </row>
    <row r="1216" spans="7:14" ht="11.25" customHeight="1" x14ac:dyDescent="0.3">
      <c r="G1216" s="459">
        <f t="shared" si="125"/>
        <v>101</v>
      </c>
      <c r="H1216" s="459">
        <v>1209</v>
      </c>
      <c r="I1216" s="444">
        <f t="shared" ca="1" si="108"/>
        <v>-3943428.7084293808</v>
      </c>
      <c r="J1216" s="444">
        <f t="array" ref="J1216">IFERROR(INDEX('Retirement Calculator'!J:J,MATCH('Isaac 401k'!N1216,'Retirement Calculator'!A:A,0),0),0)</f>
        <v>0</v>
      </c>
      <c r="K1216" s="444">
        <f t="shared" ca="1" si="105"/>
        <v>-16430.952951789088</v>
      </c>
      <c r="L1216" s="444">
        <f t="shared" ca="1" si="106"/>
        <v>-3959859.6613811697</v>
      </c>
      <c r="M1216" s="460">
        <f t="shared" si="109"/>
        <v>0.05</v>
      </c>
      <c r="N1216" s="464">
        <f t="shared" si="110"/>
        <v>88057</v>
      </c>
    </row>
    <row r="1217" spans="7:14" ht="11.25" customHeight="1" x14ac:dyDescent="0.3">
      <c r="G1217" s="459">
        <f t="shared" si="125"/>
        <v>101</v>
      </c>
      <c r="H1217" s="459">
        <v>1210</v>
      </c>
      <c r="I1217" s="444">
        <f t="shared" ca="1" si="108"/>
        <v>-3959859.6613811697</v>
      </c>
      <c r="J1217" s="444">
        <f t="array" ref="J1217">IFERROR(INDEX('Retirement Calculator'!J:J,MATCH('Isaac 401k'!N1217,'Retirement Calculator'!A:A,0),0),0)</f>
        <v>0</v>
      </c>
      <c r="K1217" s="444">
        <f t="shared" ca="1" si="105"/>
        <v>-16499.415255754873</v>
      </c>
      <c r="L1217" s="444">
        <f t="shared" ca="1" si="106"/>
        <v>-3976359.0766369244</v>
      </c>
      <c r="M1217" s="460">
        <f t="shared" si="109"/>
        <v>0.05</v>
      </c>
      <c r="N1217" s="464">
        <f t="shared" si="110"/>
        <v>88085</v>
      </c>
    </row>
    <row r="1218" spans="7:14" ht="11.25" customHeight="1" x14ac:dyDescent="0.3">
      <c r="G1218" s="459">
        <f t="shared" si="125"/>
        <v>101</v>
      </c>
      <c r="H1218" s="459">
        <v>1211</v>
      </c>
      <c r="I1218" s="444">
        <f t="shared" ca="1" si="108"/>
        <v>-3976359.0766369244</v>
      </c>
      <c r="J1218" s="444">
        <f t="array" ref="J1218">IFERROR(INDEX('Retirement Calculator'!J:J,MATCH('Isaac 401k'!N1218,'Retirement Calculator'!A:A,0),0),0)</f>
        <v>0</v>
      </c>
      <c r="K1218" s="444">
        <f t="shared" ca="1" si="105"/>
        <v>-16568.162819320518</v>
      </c>
      <c r="L1218" s="444">
        <f t="shared" ca="1" si="106"/>
        <v>-3992927.2394562447</v>
      </c>
      <c r="M1218" s="460">
        <f t="shared" si="109"/>
        <v>0.05</v>
      </c>
      <c r="N1218" s="464">
        <f t="shared" si="110"/>
        <v>88116</v>
      </c>
    </row>
    <row r="1219" spans="7:14" ht="11.25" customHeight="1" x14ac:dyDescent="0.3">
      <c r="G1219" s="459">
        <f t="shared" si="125"/>
        <v>101</v>
      </c>
      <c r="H1219" s="459">
        <v>1212</v>
      </c>
      <c r="I1219" s="444">
        <f t="shared" ca="1" si="108"/>
        <v>-3992927.2394562447</v>
      </c>
      <c r="J1219" s="444">
        <f t="array" ref="J1219">IFERROR(INDEX('Retirement Calculator'!J:J,MATCH('Isaac 401k'!N1219,'Retirement Calculator'!A:A,0),0),0)</f>
        <v>0</v>
      </c>
      <c r="K1219" s="444">
        <f t="shared" ca="1" si="105"/>
        <v>-16637.196831067686</v>
      </c>
      <c r="L1219" s="444">
        <f t="shared" ca="1" si="106"/>
        <v>-4009564.4362873123</v>
      </c>
      <c r="M1219" s="460">
        <f t="shared" si="109"/>
        <v>0.05</v>
      </c>
      <c r="N1219" s="464">
        <f t="shared" si="110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8"/>
        <v>-4009564.4362873123</v>
      </c>
      <c r="J1220" s="444">
        <f t="array" ref="J1220">IFERROR(INDEX('Retirement Calculator'!J:J,MATCH('Isaac 401k'!N1220,'Retirement Calculator'!A:A,0),0),0)</f>
        <v>0</v>
      </c>
      <c r="K1220" s="444">
        <f t="shared" ca="1" si="105"/>
        <v>-16706.518484530468</v>
      </c>
      <c r="L1220" s="444">
        <f t="shared" ca="1" si="106"/>
        <v>-4026270.9547718428</v>
      </c>
      <c r="M1220" s="460">
        <f t="shared" si="109"/>
        <v>0.05</v>
      </c>
      <c r="N1220" s="464">
        <f t="shared" si="110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8"/>
        <v>-4026270.9547718428</v>
      </c>
      <c r="J1221" s="444">
        <f t="array" ref="J1221">IFERROR(INDEX('Retirement Calculator'!J:J,MATCH('Isaac 401k'!N1221,'Retirement Calculator'!A:A,0),0),0)</f>
        <v>0</v>
      </c>
      <c r="K1221" s="444">
        <f t="shared" ca="1" si="105"/>
        <v>-16776.128978216013</v>
      </c>
      <c r="L1221" s="444">
        <f t="shared" ca="1" si="106"/>
        <v>-4043047.0837500589</v>
      </c>
      <c r="M1221" s="460">
        <f t="shared" si="109"/>
        <v>0.05</v>
      </c>
      <c r="N1221" s="464">
        <f t="shared" si="110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8"/>
        <v>-4043047.0837500589</v>
      </c>
      <c r="J1222" s="444">
        <f t="array" ref="J1222">IFERROR(INDEX('Retirement Calculator'!J:J,MATCH('Isaac 401k'!N1222,'Retirement Calculator'!A:A,0),0),0)</f>
        <v>0</v>
      </c>
      <c r="K1222" s="444">
        <f t="shared" ca="1" si="105"/>
        <v>-16846.029515625247</v>
      </c>
      <c r="L1222" s="444">
        <f t="shared" ca="1" si="106"/>
        <v>-4059893.1132656843</v>
      </c>
      <c r="M1222" s="460">
        <f t="shared" si="109"/>
        <v>0.05</v>
      </c>
      <c r="N1222" s="464">
        <f t="shared" si="110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8"/>
        <v>-4059893.1132656843</v>
      </c>
      <c r="J1223" s="444">
        <f t="array" ref="J1223">IFERROR(INDEX('Retirement Calculator'!J:J,MATCH('Isaac 401k'!N1223,'Retirement Calculator'!A:A,0),0),0)</f>
        <v>0</v>
      </c>
      <c r="K1223" s="444">
        <f t="shared" ca="1" si="105"/>
        <v>-16916.221305273684</v>
      </c>
      <c r="L1223" s="444">
        <f t="shared" ca="1" si="106"/>
        <v>-4076809.3345709578</v>
      </c>
      <c r="M1223" s="460">
        <f t="shared" si="109"/>
        <v>0.05</v>
      </c>
      <c r="N1223" s="464">
        <f t="shared" si="110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8"/>
        <v>-4076809.3345709578</v>
      </c>
      <c r="J1224" s="444">
        <f t="array" ref="J1224">IFERROR(INDEX('Retirement Calculator'!J:J,MATCH('Isaac 401k'!N1224,'Retirement Calculator'!A:A,0),0),0)</f>
        <v>0</v>
      </c>
      <c r="K1224" s="444">
        <f t="shared" ca="1" si="105"/>
        <v>-16986.705560712326</v>
      </c>
      <c r="L1224" s="444">
        <f t="shared" ca="1" si="106"/>
        <v>-4093796.04013167</v>
      </c>
      <c r="M1224" s="460">
        <f t="shared" si="109"/>
        <v>0.05</v>
      </c>
      <c r="N1224" s="464">
        <f t="shared" si="110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8"/>
        <v>-4093796.04013167</v>
      </c>
      <c r="J1225" s="444">
        <f t="array" ref="J1225">IFERROR(INDEX('Retirement Calculator'!J:J,MATCH('Isaac 401k'!N1225,'Retirement Calculator'!A:A,0),0),0)</f>
        <v>0</v>
      </c>
      <c r="K1225" s="444">
        <f t="shared" ca="1" si="105"/>
        <v>-17057.483500548624</v>
      </c>
      <c r="L1225" s="444">
        <f t="shared" ca="1" si="106"/>
        <v>-4110853.5236322186</v>
      </c>
      <c r="M1225" s="460">
        <f t="shared" si="109"/>
        <v>0.05</v>
      </c>
      <c r="N1225" s="464">
        <f t="shared" si="110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8"/>
        <v>-4110853.5236322186</v>
      </c>
      <c r="J1226" s="444">
        <f t="array" ref="J1226">IFERROR(INDEX('Retirement Calculator'!J:J,MATCH('Isaac 401k'!N1226,'Retirement Calculator'!A:A,0),0),0)</f>
        <v>0</v>
      </c>
      <c r="K1226" s="444">
        <f t="shared" ca="1" si="105"/>
        <v>-17128.55634846758</v>
      </c>
      <c r="L1226" s="444">
        <f t="shared" ca="1" si="106"/>
        <v>-4127982.0799806863</v>
      </c>
      <c r="M1226" s="460">
        <f t="shared" si="109"/>
        <v>0.05</v>
      </c>
      <c r="N1226" s="464">
        <f t="shared" si="110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8"/>
        <v>-4127982.0799806863</v>
      </c>
      <c r="J1227" s="444">
        <f t="array" ref="J1227">IFERROR(INDEX('Retirement Calculator'!J:J,MATCH('Isaac 401k'!N1227,'Retirement Calculator'!A:A,0),0),0)</f>
        <v>0</v>
      </c>
      <c r="K1227" s="444">
        <f t="shared" ca="1" si="105"/>
        <v>-17199.925333252861</v>
      </c>
      <c r="L1227" s="444">
        <f t="shared" ca="1" si="106"/>
        <v>-4145182.0053139389</v>
      </c>
      <c r="M1227" s="460">
        <f t="shared" si="109"/>
        <v>0.05</v>
      </c>
      <c r="N1227" s="464">
        <f t="shared" si="110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8"/>
        <v>-4145182.0053139389</v>
      </c>
      <c r="J1228" s="444">
        <f t="array" ref="J1228">IFERROR(INDEX('Retirement Calculator'!J:J,MATCH('Isaac 401k'!N1228,'Retirement Calculator'!A:A,0),0),0)</f>
        <v>0</v>
      </c>
      <c r="K1228" s="444">
        <f t="shared" ca="1" si="105"/>
        <v>-17271.591688808076</v>
      </c>
      <c r="L1228" s="444">
        <f t="shared" ca="1" si="106"/>
        <v>-4162453.597002747</v>
      </c>
      <c r="M1228" s="460">
        <f t="shared" si="109"/>
        <v>0.05</v>
      </c>
      <c r="N1228" s="464">
        <f t="shared" si="110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8"/>
        <v>-4162453.597002747</v>
      </c>
      <c r="J1229" s="444">
        <f t="array" ref="J1229">IFERROR(INDEX('Retirement Calculator'!J:J,MATCH('Isaac 401k'!N1229,'Retirement Calculator'!A:A,0),0),0)</f>
        <v>0</v>
      </c>
      <c r="K1229" s="444">
        <f t="shared" ca="1" si="105"/>
        <v>-17343.556654178112</v>
      </c>
      <c r="L1229" s="444">
        <f t="shared" ca="1" si="106"/>
        <v>-4179797.1536569251</v>
      </c>
      <c r="M1229" s="460">
        <f t="shared" si="109"/>
        <v>0.05</v>
      </c>
      <c r="N1229" s="464">
        <f t="shared" si="110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8"/>
        <v>-4179797.1536569251</v>
      </c>
      <c r="J1230" s="444">
        <f t="array" ref="J1230">IFERROR(INDEX('Retirement Calculator'!J:J,MATCH('Isaac 401k'!N1230,'Retirement Calculator'!A:A,0),0),0)</f>
        <v>0</v>
      </c>
      <c r="K1230" s="444">
        <f t="shared" ca="1" si="105"/>
        <v>-17415.821473570522</v>
      </c>
      <c r="L1230" s="444">
        <f t="shared" ca="1" si="106"/>
        <v>-4197212.9751304956</v>
      </c>
      <c r="M1230" s="460">
        <f t="shared" si="109"/>
        <v>0.05</v>
      </c>
      <c r="N1230" s="464">
        <f t="shared" si="110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8"/>
        <v>-4197212.9751304956</v>
      </c>
      <c r="J1231" s="444">
        <f t="array" ref="J1231">IFERROR(INDEX('Retirement Calculator'!J:J,MATCH('Isaac 401k'!N1231,'Retirement Calculator'!A:A,0),0),0)</f>
        <v>0</v>
      </c>
      <c r="K1231" s="444">
        <f t="shared" ca="1" si="105"/>
        <v>-17488.387396377064</v>
      </c>
      <c r="L1231" s="444">
        <f t="shared" ca="1" si="106"/>
        <v>-4214701.3625268731</v>
      </c>
      <c r="M1231" s="460">
        <f t="shared" si="109"/>
        <v>0.05</v>
      </c>
      <c r="N1231" s="464">
        <f t="shared" si="110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8"/>
        <v>-4214701.3625268731</v>
      </c>
      <c r="J1232" s="444">
        <f t="array" ref="J1232">IFERROR(INDEX('Retirement Calculator'!J:J,MATCH('Isaac 401k'!N1232,'Retirement Calculator'!A:A,0),0),0)</f>
        <v>0</v>
      </c>
      <c r="K1232" s="444">
        <f t="shared" ca="1" si="105"/>
        <v>-17561.255677195306</v>
      </c>
      <c r="L1232" s="444">
        <f t="shared" ca="1" si="106"/>
        <v>-4232262.6182040684</v>
      </c>
      <c r="M1232" s="460">
        <f t="shared" si="109"/>
        <v>0.05</v>
      </c>
      <c r="N1232" s="464">
        <f t="shared" si="110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8"/>
        <v>-4232262.6182040684</v>
      </c>
      <c r="J1233" s="444">
        <f t="array" ref="J1233">IFERROR(INDEX('Retirement Calculator'!J:J,MATCH('Isaac 401k'!N1233,'Retirement Calculator'!A:A,0),0),0)</f>
        <v>0</v>
      </c>
      <c r="K1233" s="444">
        <f t="shared" ca="1" si="105"/>
        <v>-17634.427575850284</v>
      </c>
      <c r="L1233" s="444">
        <f t="shared" ca="1" si="106"/>
        <v>-4249897.0457799183</v>
      </c>
      <c r="M1233" s="460">
        <f t="shared" si="109"/>
        <v>0.05</v>
      </c>
      <c r="N1233" s="464">
        <f t="shared" si="110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8"/>
        <v>-4249897.0457799183</v>
      </c>
      <c r="J1234" s="444">
        <f t="array" ref="J1234">IFERROR(INDEX('Retirement Calculator'!J:J,MATCH('Isaac 401k'!N1234,'Retirement Calculator'!A:A,0),0),0)</f>
        <v>0</v>
      </c>
      <c r="K1234" s="444">
        <f t="shared" ca="1" si="105"/>
        <v>-17707.904357416326</v>
      </c>
      <c r="L1234" s="444">
        <f t="shared" ca="1" si="106"/>
        <v>-4267604.9501373349</v>
      </c>
      <c r="M1234" s="460">
        <f t="shared" si="109"/>
        <v>0.05</v>
      </c>
      <c r="N1234" s="464">
        <f t="shared" si="110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8"/>
        <v>-4267604.9501373349</v>
      </c>
      <c r="J1235" s="444">
        <f t="array" ref="J1235">IFERROR(INDEX('Retirement Calculator'!J:J,MATCH('Isaac 401k'!N1235,'Retirement Calculator'!A:A,0),0),0)</f>
        <v>0</v>
      </c>
      <c r="K1235" s="444">
        <f t="shared" ca="1" si="105"/>
        <v>-17781.687292238894</v>
      </c>
      <c r="L1235" s="444">
        <f t="shared" ca="1" si="106"/>
        <v>-4285386.6374295736</v>
      </c>
      <c r="M1235" s="460">
        <f t="shared" si="109"/>
        <v>0.05</v>
      </c>
      <c r="N1235" s="464">
        <f t="shared" si="110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8"/>
        <v>-4285386.6374295736</v>
      </c>
      <c r="J1236" s="444">
        <f t="array" ref="J1236">IFERROR(INDEX('Retirement Calculator'!J:J,MATCH('Isaac 401k'!N1236,'Retirement Calculator'!A:A,0),0),0)</f>
        <v>0</v>
      </c>
      <c r="K1236" s="444">
        <f t="shared" ca="1" si="105"/>
        <v>-17855.777655956557</v>
      </c>
      <c r="L1236" s="444">
        <f t="shared" ca="1" si="106"/>
        <v>-4303242.4150855299</v>
      </c>
      <c r="M1236" s="460">
        <f t="shared" si="109"/>
        <v>0.05</v>
      </c>
      <c r="N1236" s="464">
        <f t="shared" si="110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8"/>
        <v>-4303242.4150855299</v>
      </c>
      <c r="J1237" s="444">
        <f t="array" ref="J1237">IFERROR(INDEX('Retirement Calculator'!J:J,MATCH('Isaac 401k'!N1237,'Retirement Calculator'!A:A,0),0),0)</f>
        <v>0</v>
      </c>
      <c r="K1237" s="444">
        <f t="shared" ca="1" si="105"/>
        <v>-17930.176729523042</v>
      </c>
      <c r="L1237" s="444">
        <f t="shared" ca="1" si="106"/>
        <v>-4321172.5918150526</v>
      </c>
      <c r="M1237" s="460">
        <f t="shared" si="109"/>
        <v>0.05</v>
      </c>
      <c r="N1237" s="464">
        <f t="shared" si="110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8"/>
        <v>-4321172.5918150526</v>
      </c>
      <c r="J1238" s="444">
        <f t="array" ref="J1238">IFERROR(INDEX('Retirement Calculator'!J:J,MATCH('Isaac 401k'!N1238,'Retirement Calculator'!A:A,0),0),0)</f>
        <v>0</v>
      </c>
      <c r="K1238" s="444">
        <f t="shared" ca="1" si="105"/>
        <v>-18004.885799229385</v>
      </c>
      <c r="L1238" s="444">
        <f t="shared" ca="1" si="106"/>
        <v>-4339177.4776142817</v>
      </c>
      <c r="M1238" s="460">
        <f t="shared" si="109"/>
        <v>0.05</v>
      </c>
      <c r="N1238" s="464">
        <f t="shared" si="110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8"/>
        <v>-4339177.4776142817</v>
      </c>
      <c r="J1239" s="444">
        <f t="array" ref="J1239">IFERROR(INDEX('Retirement Calculator'!J:J,MATCH('Isaac 401k'!N1239,'Retirement Calculator'!A:A,0),0),0)</f>
        <v>0</v>
      </c>
      <c r="K1239" s="444">
        <f t="shared" ca="1" si="105"/>
        <v>-18079.906156726174</v>
      </c>
      <c r="L1239" s="444">
        <f t="shared" ca="1" si="106"/>
        <v>-4357257.3837710079</v>
      </c>
      <c r="M1239" s="460">
        <f t="shared" si="109"/>
        <v>0.05</v>
      </c>
      <c r="N1239" s="464">
        <f t="shared" si="110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8"/>
        <v>-4357257.3837710079</v>
      </c>
      <c r="J1240" s="444">
        <f t="array" ref="J1240">IFERROR(INDEX('Retirement Calculator'!J:J,MATCH('Isaac 401k'!N1240,'Retirement Calculator'!A:A,0),0),0)</f>
        <v>0</v>
      </c>
      <c r="K1240" s="444">
        <f t="shared" ca="1" si="105"/>
        <v>-18155.239099045866</v>
      </c>
      <c r="L1240" s="444">
        <f t="shared" ca="1" si="106"/>
        <v>-4375412.6228700541</v>
      </c>
      <c r="M1240" s="460">
        <f t="shared" si="109"/>
        <v>0.05</v>
      </c>
      <c r="N1240" s="464">
        <f t="shared" si="110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8"/>
        <v>-4375412.6228700541</v>
      </c>
      <c r="J1241" s="444">
        <f t="array" ref="J1241">IFERROR(INDEX('Retirement Calculator'!J:J,MATCH('Isaac 401k'!N1241,'Retirement Calculator'!A:A,0),0),0)</f>
        <v>0</v>
      </c>
      <c r="K1241" s="444">
        <f t="shared" ca="1" si="105"/>
        <v>-18230.885928625226</v>
      </c>
      <c r="L1241" s="444">
        <f t="shared" ca="1" si="106"/>
        <v>-4393643.5087986793</v>
      </c>
      <c r="M1241" s="460">
        <f t="shared" si="109"/>
        <v>0.05</v>
      </c>
      <c r="N1241" s="464">
        <f t="shared" si="110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8"/>
        <v>-4393643.5087986793</v>
      </c>
      <c r="J1242" s="444">
        <f t="array" ref="J1242">IFERROR(INDEX('Retirement Calculator'!J:J,MATCH('Isaac 401k'!N1242,'Retirement Calculator'!A:A,0),0),0)</f>
        <v>0</v>
      </c>
      <c r="K1242" s="444">
        <f t="shared" ca="1" si="105"/>
        <v>-18306.84795332783</v>
      </c>
      <c r="L1242" s="444">
        <f t="shared" ca="1" si="106"/>
        <v>-4411950.3567520073</v>
      </c>
      <c r="M1242" s="460">
        <f t="shared" si="109"/>
        <v>0.05</v>
      </c>
      <c r="N1242" s="464">
        <f t="shared" si="110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8"/>
        <v>-4411950.3567520073</v>
      </c>
      <c r="J1243" s="444">
        <f t="array" ref="J1243">IFERROR(INDEX('Retirement Calculator'!J:J,MATCH('Isaac 401k'!N1243,'Retirement Calculator'!A:A,0),0),0)</f>
        <v>0</v>
      </c>
      <c r="K1243" s="444">
        <f t="shared" ca="1" si="105"/>
        <v>-18383.126486466695</v>
      </c>
      <c r="L1243" s="444">
        <f t="shared" ca="1" si="106"/>
        <v>-4430333.4832384735</v>
      </c>
      <c r="M1243" s="460">
        <f t="shared" si="109"/>
        <v>0.05</v>
      </c>
      <c r="N1243" s="464">
        <f t="shared" si="110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8"/>
        <v>-4430333.4832384735</v>
      </c>
      <c r="J1244" s="444">
        <f t="array" ref="J1244">IFERROR(INDEX('Retirement Calculator'!J:J,MATCH('Isaac 401k'!N1244,'Retirement Calculator'!A:A,0),0),0)</f>
        <v>0</v>
      </c>
      <c r="K1244" s="444">
        <f t="shared" ca="1" si="105"/>
        <v>-18459.722846826971</v>
      </c>
      <c r="L1244" s="444">
        <f t="shared" ca="1" si="106"/>
        <v>-4448793.2060853001</v>
      </c>
      <c r="M1244" s="460">
        <f t="shared" si="109"/>
        <v>0.05</v>
      </c>
      <c r="N1244" s="464">
        <f t="shared" si="110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8"/>
        <v>-4448793.2060853001</v>
      </c>
      <c r="J1245" s="444">
        <f t="array" ref="J1245">IFERROR(INDEX('Retirement Calculator'!J:J,MATCH('Isaac 401k'!N1245,'Retirement Calculator'!A:A,0),0),0)</f>
        <v>0</v>
      </c>
      <c r="K1245" s="444">
        <f t="shared" ca="1" si="105"/>
        <v>-18536.63835868875</v>
      </c>
      <c r="L1245" s="444">
        <f t="shared" ca="1" si="106"/>
        <v>-4467329.844443989</v>
      </c>
      <c r="M1245" s="460">
        <f t="shared" si="109"/>
        <v>0.05</v>
      </c>
      <c r="N1245" s="464">
        <f t="shared" si="110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8"/>
        <v>-4467329.844443989</v>
      </c>
      <c r="J1246" s="444">
        <f t="array" ref="J1246">IFERROR(INDEX('Retirement Calculator'!J:J,MATCH('Isaac 401k'!N1246,'Retirement Calculator'!A:A,0),0),0)</f>
        <v>0</v>
      </c>
      <c r="K1246" s="444">
        <f t="shared" ca="1" si="105"/>
        <v>-18613.874351849954</v>
      </c>
      <c r="L1246" s="444">
        <f t="shared" ca="1" si="106"/>
        <v>-4485943.7187958388</v>
      </c>
      <c r="M1246" s="460">
        <f t="shared" si="109"/>
        <v>0.05</v>
      </c>
      <c r="N1246" s="464">
        <f t="shared" si="110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8"/>
        <v>-4485943.7187958388</v>
      </c>
      <c r="J1247" s="444">
        <f t="array" ref="J1247">IFERROR(INDEX('Retirement Calculator'!J:J,MATCH('Isaac 401k'!N1247,'Retirement Calculator'!A:A,0),0),0)</f>
        <v>0</v>
      </c>
      <c r="K1247" s="444">
        <f t="shared" ca="1" si="105"/>
        <v>-18691.432161649329</v>
      </c>
      <c r="L1247" s="444">
        <f t="shared" ca="1" si="106"/>
        <v>-4504635.1509574885</v>
      </c>
      <c r="M1247" s="460">
        <f t="shared" si="109"/>
        <v>0.05</v>
      </c>
      <c r="N1247" s="464">
        <f t="shared" si="110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8"/>
        <v>-4504635.1509574885</v>
      </c>
      <c r="J1248" s="444">
        <f t="array" ref="J1248">IFERROR(INDEX('Retirement Calculator'!J:J,MATCH('Isaac 401k'!N1248,'Retirement Calculator'!A:A,0),0),0)</f>
        <v>0</v>
      </c>
      <c r="K1248" s="444">
        <f t="shared" ca="1" si="105"/>
        <v>-18769.313128989535</v>
      </c>
      <c r="L1248" s="444">
        <f t="shared" ca="1" si="106"/>
        <v>-4523404.4640864776</v>
      </c>
      <c r="M1248" s="460">
        <f t="shared" si="109"/>
        <v>0.05</v>
      </c>
      <c r="N1248" s="464">
        <f t="shared" si="110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8"/>
        <v>-4523404.4640864776</v>
      </c>
      <c r="J1249" s="444">
        <f t="array" ref="J1249">IFERROR(INDEX('Retirement Calculator'!J:J,MATCH('Isaac 401k'!N1249,'Retirement Calculator'!A:A,0),0),0)</f>
        <v>0</v>
      </c>
      <c r="K1249" s="444">
        <f t="shared" ca="1" si="105"/>
        <v>-18847.518600360323</v>
      </c>
      <c r="L1249" s="444">
        <f t="shared" ca="1" si="106"/>
        <v>-4542251.9826868381</v>
      </c>
      <c r="M1249" s="460">
        <f t="shared" si="109"/>
        <v>0.05</v>
      </c>
      <c r="N1249" s="464">
        <f t="shared" si="110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8"/>
        <v>-4542251.9826868381</v>
      </c>
      <c r="J1250" s="444">
        <f t="array" ref="J1250">IFERROR(INDEX('Retirement Calculator'!J:J,MATCH('Isaac 401k'!N1250,'Retirement Calculator'!A:A,0),0),0)</f>
        <v>0</v>
      </c>
      <c r="K1250" s="444">
        <f t="shared" ca="1" si="105"/>
        <v>-18926.049927861826</v>
      </c>
      <c r="L1250" s="444">
        <f t="shared" ca="1" si="106"/>
        <v>-4561178.0326146996</v>
      </c>
      <c r="M1250" s="460">
        <f t="shared" si="109"/>
        <v>0.05</v>
      </c>
      <c r="N1250" s="464">
        <f t="shared" si="110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8"/>
        <v>-4561178.0326146996</v>
      </c>
      <c r="J1251" s="444">
        <f t="array" ref="J1251">IFERROR(INDEX('Retirement Calculator'!J:J,MATCH('Isaac 401k'!N1251,'Retirement Calculator'!A:A,0),0),0)</f>
        <v>0</v>
      </c>
      <c r="K1251" s="444">
        <f t="shared" ca="1" si="105"/>
        <v>-19004.908469227914</v>
      </c>
      <c r="L1251" s="444">
        <f t="shared" ca="1" si="106"/>
        <v>-4580182.9410839276</v>
      </c>
      <c r="M1251" s="460">
        <f t="shared" si="109"/>
        <v>0.05</v>
      </c>
      <c r="N1251" s="464">
        <f t="shared" si="110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8"/>
        <v>-4580182.9410839276</v>
      </c>
      <c r="J1252" s="444">
        <f t="array" ref="J1252">IFERROR(INDEX('Retirement Calculator'!J:J,MATCH('Isaac 401k'!N1252,'Retirement Calculator'!A:A,0),0),0)</f>
        <v>0</v>
      </c>
      <c r="K1252" s="444">
        <f t="shared" ca="1" si="105"/>
        <v>-19084.095587849697</v>
      </c>
      <c r="L1252" s="444">
        <f t="shared" ca="1" si="106"/>
        <v>-4599267.0366717773</v>
      </c>
      <c r="M1252" s="460">
        <f t="shared" si="109"/>
        <v>0.05</v>
      </c>
      <c r="N1252" s="464">
        <f t="shared" si="110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8"/>
        <v>-4599267.0366717773</v>
      </c>
      <c r="J1253" s="444">
        <f t="array" ref="J1253">IFERROR(INDEX('Retirement Calculator'!J:J,MATCH('Isaac 401k'!N1253,'Retirement Calculator'!A:A,0),0),0)</f>
        <v>0</v>
      </c>
      <c r="K1253" s="444">
        <f t="shared" ca="1" si="105"/>
        <v>-19163.612652799071</v>
      </c>
      <c r="L1253" s="444">
        <f t="shared" ca="1" si="106"/>
        <v>-4618430.6493245764</v>
      </c>
      <c r="M1253" s="460">
        <f t="shared" si="109"/>
        <v>0.05</v>
      </c>
      <c r="N1253" s="464">
        <f t="shared" si="110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8"/>
        <v>-4618430.6493245764</v>
      </c>
      <c r="J1254" s="444">
        <f t="array" ref="J1254">IFERROR(INDEX('Retirement Calculator'!J:J,MATCH('Isaac 401k'!N1254,'Retirement Calculator'!A:A,0),0),0)</f>
        <v>0</v>
      </c>
      <c r="K1254" s="444">
        <f t="shared" ca="1" si="105"/>
        <v>-19243.461038852402</v>
      </c>
      <c r="L1254" s="444">
        <f t="shared" ca="1" si="106"/>
        <v>-4637674.1103634285</v>
      </c>
      <c r="M1254" s="460">
        <f t="shared" si="109"/>
        <v>0.05</v>
      </c>
      <c r="N1254" s="464">
        <f t="shared" si="110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8"/>
        <v>-4637674.1103634285</v>
      </c>
      <c r="J1255" s="444">
        <f t="array" ref="J1255">IFERROR(INDEX('Retirement Calculator'!J:J,MATCH('Isaac 401k'!N1255,'Retirement Calculator'!A:A,0),0),0)</f>
        <v>0</v>
      </c>
      <c r="K1255" s="444">
        <f t="shared" ca="1" si="105"/>
        <v>-19323.642126514285</v>
      </c>
      <c r="L1255" s="444">
        <f t="shared" ca="1" si="106"/>
        <v>-4656997.7524899431</v>
      </c>
      <c r="M1255" s="460">
        <f t="shared" si="109"/>
        <v>0.05</v>
      </c>
      <c r="N1255" s="464">
        <f t="shared" si="110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8"/>
        <v>-4656997.7524899431</v>
      </c>
      <c r="J1256" s="444">
        <f t="array" ref="J1256">IFERROR(INDEX('Retirement Calculator'!J:J,MATCH('Isaac 401k'!N1256,'Retirement Calculator'!A:A,0),0),0)</f>
        <v>0</v>
      </c>
      <c r="K1256" s="444">
        <f t="shared" ca="1" si="105"/>
        <v>-19404.157302041429</v>
      </c>
      <c r="L1256" s="444">
        <f t="shared" ca="1" si="106"/>
        <v>-4676401.9097919846</v>
      </c>
      <c r="M1256" s="460">
        <f t="shared" si="109"/>
        <v>0.05</v>
      </c>
      <c r="N1256" s="464">
        <f t="shared" si="110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8"/>
        <v>-4676401.9097919846</v>
      </c>
      <c r="J1257" s="444">
        <f t="array" ref="J1257">IFERROR(INDEX('Retirement Calculator'!J:J,MATCH('Isaac 401k'!N1257,'Retirement Calculator'!A:A,0),0),0)</f>
        <v>0</v>
      </c>
      <c r="K1257" s="444">
        <f t="shared" ca="1" si="105"/>
        <v>-19485.007957466602</v>
      </c>
      <c r="L1257" s="444">
        <f t="shared" ca="1" si="106"/>
        <v>-4695886.9177494515</v>
      </c>
      <c r="M1257" s="460">
        <f t="shared" si="109"/>
        <v>0.05</v>
      </c>
      <c r="N1257" s="464">
        <f t="shared" si="110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8"/>
        <v>-4695886.9177494515</v>
      </c>
      <c r="J1258" s="444">
        <f t="array" ref="J1258">IFERROR(INDEX('Retirement Calculator'!J:J,MATCH('Isaac 401k'!N1258,'Retirement Calculator'!A:A,0),0),0)</f>
        <v>0</v>
      </c>
      <c r="K1258" s="444">
        <f t="shared" ca="1" si="105"/>
        <v>-19566.195490622715</v>
      </c>
      <c r="L1258" s="444">
        <f t="shared" ca="1" si="106"/>
        <v>-4715453.1132400744</v>
      </c>
      <c r="M1258" s="460">
        <f t="shared" si="109"/>
        <v>0.05</v>
      </c>
      <c r="N1258" s="464">
        <f t="shared" si="110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8"/>
        <v>-4715453.1132400744</v>
      </c>
      <c r="J1259" s="444">
        <f t="array" ref="J1259">IFERROR(INDEX('Retirement Calculator'!J:J,MATCH('Isaac 401k'!N1259,'Retirement Calculator'!A:A,0),0),0)</f>
        <v>0</v>
      </c>
      <c r="K1259" s="444">
        <f t="shared" ca="1" si="105"/>
        <v>-19647.721305166975</v>
      </c>
      <c r="L1259" s="444">
        <f t="shared" ca="1" si="106"/>
        <v>-4735100.8345452417</v>
      </c>
      <c r="M1259" s="460">
        <f t="shared" si="109"/>
        <v>0.05</v>
      </c>
      <c r="N1259" s="464">
        <f t="shared" si="110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8"/>
        <v>-4735100.8345452417</v>
      </c>
      <c r="J1260" s="444">
        <f t="array" ref="J1260">IFERROR(INDEX('Retirement Calculator'!J:J,MATCH('Isaac 401k'!N1260,'Retirement Calculator'!A:A,0),0),0)</f>
        <v>0</v>
      </c>
      <c r="K1260" s="444">
        <f t="shared" ca="1" si="105"/>
        <v>-19729.586810605175</v>
      </c>
      <c r="L1260" s="444">
        <f t="shared" ca="1" si="106"/>
        <v>-4754830.4213558473</v>
      </c>
      <c r="M1260" s="460">
        <f t="shared" si="109"/>
        <v>0.05</v>
      </c>
      <c r="N1260" s="464">
        <f t="shared" si="110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8"/>
        <v>-4754830.4213558473</v>
      </c>
      <c r="J1261" s="444">
        <f t="array" ref="J1261">IFERROR(INDEX('Retirement Calculator'!J:J,MATCH('Isaac 401k'!N1261,'Retirement Calculator'!A:A,0),0),0)</f>
        <v>0</v>
      </c>
      <c r="K1261" s="444">
        <f t="shared" ca="1" si="105"/>
        <v>-19811.79342231603</v>
      </c>
      <c r="L1261" s="444">
        <f t="shared" ca="1" si="106"/>
        <v>-4774642.2147781635</v>
      </c>
      <c r="M1261" s="460">
        <f t="shared" si="109"/>
        <v>0.05</v>
      </c>
      <c r="N1261" s="464">
        <f t="shared" si="110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8"/>
        <v>-4774642.2147781635</v>
      </c>
      <c r="J1262" s="444">
        <f t="array" ref="J1262">IFERROR(INDEX('Retirement Calculator'!J:J,MATCH('Isaac 401k'!N1262,'Retirement Calculator'!A:A,0),0),0)</f>
        <v>0</v>
      </c>
      <c r="K1262" s="444">
        <f t="shared" ca="1" si="105"/>
        <v>-19894.342561575682</v>
      </c>
      <c r="L1262" s="444">
        <f t="shared" ca="1" si="106"/>
        <v>-4794536.5573397391</v>
      </c>
      <c r="M1262" s="460">
        <f t="shared" si="109"/>
        <v>0.05</v>
      </c>
      <c r="N1262" s="464">
        <f t="shared" si="110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8"/>
        <v>-4794536.5573397391</v>
      </c>
      <c r="J1263" s="444">
        <f t="array" ref="J1263">IFERROR(INDEX('Retirement Calculator'!J:J,MATCH('Isaac 401k'!N1263,'Retirement Calculator'!A:A,0),0),0)</f>
        <v>0</v>
      </c>
      <c r="K1263" s="444">
        <f t="shared" ca="1" si="105"/>
        <v>-19977.235655582244</v>
      </c>
      <c r="L1263" s="444">
        <f t="shared" ca="1" si="106"/>
        <v>-4814513.7929953216</v>
      </c>
      <c r="M1263" s="460">
        <f t="shared" si="109"/>
        <v>0.05</v>
      </c>
      <c r="N1263" s="464">
        <f t="shared" si="110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8"/>
        <v>-4814513.7929953216</v>
      </c>
      <c r="J1264" s="444">
        <f t="array" ref="J1264">IFERROR(INDEX('Retirement Calculator'!J:J,MATCH('Isaac 401k'!N1264,'Retirement Calculator'!A:A,0),0),0)</f>
        <v>0</v>
      </c>
      <c r="K1264" s="444">
        <f t="shared" ca="1" si="105"/>
        <v>-20060.474137480505</v>
      </c>
      <c r="L1264" s="444">
        <f t="shared" ca="1" si="106"/>
        <v>-4834574.2671328019</v>
      </c>
      <c r="M1264" s="460">
        <f t="shared" si="109"/>
        <v>0.05</v>
      </c>
      <c r="N1264" s="464">
        <f t="shared" si="110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8"/>
        <v>-4834574.2671328019</v>
      </c>
      <c r="J1265" s="444">
        <f t="array" ref="J1265">IFERROR(INDEX('Retirement Calculator'!J:J,MATCH('Isaac 401k'!N1265,'Retirement Calculator'!A:A,0),0),0)</f>
        <v>0</v>
      </c>
      <c r="K1265" s="444">
        <f t="shared" ca="1" si="105"/>
        <v>-20144.059446386673</v>
      </c>
      <c r="L1265" s="444">
        <f t="shared" ca="1" si="106"/>
        <v>-4854718.3265791889</v>
      </c>
      <c r="M1265" s="460">
        <f t="shared" si="109"/>
        <v>0.05</v>
      </c>
      <c r="N1265" s="464">
        <f t="shared" si="110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8"/>
        <v>-4854718.3265791889</v>
      </c>
      <c r="J1266" s="444">
        <f t="array" ref="J1266">IFERROR(INDEX('Retirement Calculator'!J:J,MATCH('Isaac 401k'!N1266,'Retirement Calculator'!A:A,0),0),0)</f>
        <v>0</v>
      </c>
      <c r="K1266" s="444">
        <f t="shared" ca="1" si="105"/>
        <v>-20227.993027413286</v>
      </c>
      <c r="L1266" s="444">
        <f t="shared" ca="1" si="106"/>
        <v>-4874946.3196066022</v>
      </c>
      <c r="M1266" s="460">
        <f t="shared" si="109"/>
        <v>0.05</v>
      </c>
      <c r="N1266" s="464">
        <f t="shared" si="110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8"/>
        <v>-4874946.3196066022</v>
      </c>
      <c r="J1267" s="444">
        <f t="array" ref="J1267">IFERROR(INDEX('Retirement Calculator'!J:J,MATCH('Isaac 401k'!N1267,'Retirement Calculator'!A:A,0),0),0)</f>
        <v>0</v>
      </c>
      <c r="K1267" s="444">
        <f t="shared" ca="1" si="105"/>
        <v>-20312.276331694175</v>
      </c>
      <c r="L1267" s="444">
        <f t="shared" ca="1" si="106"/>
        <v>-4895258.5959382961</v>
      </c>
      <c r="M1267" s="460">
        <f t="shared" si="109"/>
        <v>0.05</v>
      </c>
      <c r="N1267" s="464">
        <f t="shared" si="110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8"/>
        <v>-4895258.5959382961</v>
      </c>
      <c r="J1268" s="444">
        <f t="array" ref="J1268">IFERROR(INDEX('Retirement Calculator'!J:J,MATCH('Isaac 401k'!N1268,'Retirement Calculator'!A:A,0),0),0)</f>
        <v>0</v>
      </c>
      <c r="K1268" s="444">
        <f t="shared" ca="1" si="105"/>
        <v>-20396.910816409567</v>
      </c>
      <c r="L1268" s="444">
        <f t="shared" ca="1" si="106"/>
        <v>-4915655.5067547057</v>
      </c>
      <c r="M1268" s="460">
        <f t="shared" si="109"/>
        <v>0.05</v>
      </c>
      <c r="N1268" s="464">
        <f t="shared" si="110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8"/>
        <v>-4915655.5067547057</v>
      </c>
      <c r="J1269" s="444">
        <f t="array" ref="J1269">IFERROR(INDEX('Retirement Calculator'!J:J,MATCH('Isaac 401k'!N1269,'Retirement Calculator'!A:A,0),0),0)</f>
        <v>0</v>
      </c>
      <c r="K1269" s="444">
        <f t="shared" ca="1" si="105"/>
        <v>-20481.897944811273</v>
      </c>
      <c r="L1269" s="444">
        <f t="shared" ca="1" si="106"/>
        <v>-4936137.4046995174</v>
      </c>
      <c r="M1269" s="460">
        <f t="shared" si="109"/>
        <v>0.05</v>
      </c>
      <c r="N1269" s="464">
        <f t="shared" si="110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8"/>
        <v>-4936137.4046995174</v>
      </c>
      <c r="J1270" s="444">
        <f t="array" ref="J1270">IFERROR(INDEX('Retirement Calculator'!J:J,MATCH('Isaac 401k'!N1270,'Retirement Calculator'!A:A,0),0),0)</f>
        <v>0</v>
      </c>
      <c r="K1270" s="444">
        <f t="shared" ca="1" si="105"/>
        <v>-20567.239186247989</v>
      </c>
      <c r="L1270" s="444">
        <f t="shared" ca="1" si="106"/>
        <v>-4956704.6438857652</v>
      </c>
      <c r="M1270" s="460">
        <f t="shared" si="109"/>
        <v>0.05</v>
      </c>
      <c r="N1270" s="464">
        <f t="shared" si="110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8"/>
        <v>-4956704.6438857652</v>
      </c>
      <c r="J1271" s="444">
        <f t="array" ref="J1271">IFERROR(INDEX('Retirement Calculator'!J:J,MATCH('Isaac 401k'!N1271,'Retirement Calculator'!A:A,0),0),0)</f>
        <v>0</v>
      </c>
      <c r="K1271" s="444">
        <f t="shared" ca="1" si="105"/>
        <v>-20652.936016190688</v>
      </c>
      <c r="L1271" s="444">
        <f t="shared" ca="1" si="106"/>
        <v>-4977357.579901956</v>
      </c>
      <c r="M1271" s="460">
        <f t="shared" si="109"/>
        <v>0.05</v>
      </c>
      <c r="N1271" s="464">
        <f t="shared" si="110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8"/>
        <v>-4977357.579901956</v>
      </c>
      <c r="J1272" s="444">
        <f t="array" ref="J1272">IFERROR(INDEX('Retirement Calculator'!J:J,MATCH('Isaac 401k'!N1272,'Retirement Calculator'!A:A,0),0),0)</f>
        <v>0</v>
      </c>
      <c r="K1272" s="444">
        <f t="shared" ca="1" si="105"/>
        <v>-20738.98991625815</v>
      </c>
      <c r="L1272" s="444">
        <f t="shared" ca="1" si="106"/>
        <v>-4998096.5698182145</v>
      </c>
      <c r="M1272" s="460">
        <f t="shared" si="109"/>
        <v>0.05</v>
      </c>
      <c r="N1272" s="464">
        <f t="shared" si="110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8"/>
        <v>-4998096.5698182145</v>
      </c>
      <c r="J1273" s="444">
        <f t="array" ref="J1273">IFERROR(INDEX('Retirement Calculator'!J:J,MATCH('Isaac 401k'!N1273,'Retirement Calculator'!A:A,0),0),0)</f>
        <v>0</v>
      </c>
      <c r="K1273" s="444">
        <f t="shared" ca="1" si="105"/>
        <v>-20825.40237424256</v>
      </c>
      <c r="L1273" s="444">
        <f t="shared" ca="1" si="106"/>
        <v>-5018921.9721924569</v>
      </c>
      <c r="M1273" s="460">
        <f t="shared" si="109"/>
        <v>0.05</v>
      </c>
      <c r="N1273" s="464">
        <f t="shared" si="110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8"/>
        <v>-5018921.9721924569</v>
      </c>
      <c r="J1274" s="444">
        <f t="array" ref="J1274">IFERROR(INDEX('Retirement Calculator'!J:J,MATCH('Isaac 401k'!N1274,'Retirement Calculator'!A:A,0),0),0)</f>
        <v>0</v>
      </c>
      <c r="K1274" s="444">
        <f t="shared" ca="1" si="105"/>
        <v>-20912.174884135238</v>
      </c>
      <c r="L1274" s="444">
        <f t="shared" ca="1" si="106"/>
        <v>-5039834.1470765918</v>
      </c>
      <c r="M1274" s="460">
        <f t="shared" si="109"/>
        <v>0.05</v>
      </c>
      <c r="N1274" s="464">
        <f t="shared" si="110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8"/>
        <v>-5039834.1470765918</v>
      </c>
      <c r="J1275" s="444">
        <f t="array" ref="J1275">IFERROR(INDEX('Retirement Calculator'!J:J,MATCH('Isaac 401k'!N1275,'Retirement Calculator'!A:A,0),0),0)</f>
        <v>0</v>
      </c>
      <c r="K1275" s="444">
        <f t="shared" ca="1" si="105"/>
        <v>-20999.308946152465</v>
      </c>
      <c r="L1275" s="444">
        <f t="shared" ca="1" si="106"/>
        <v>-5060833.4560227441</v>
      </c>
      <c r="M1275" s="460">
        <f t="shared" si="109"/>
        <v>0.05</v>
      </c>
      <c r="N1275" s="464">
        <f t="shared" si="110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8"/>
        <v>-5060833.4560227441</v>
      </c>
      <c r="J1276" s="444">
        <f t="array" ref="J1276">IFERROR(INDEX('Retirement Calculator'!J:J,MATCH('Isaac 401k'!N1276,'Retirement Calculator'!A:A,0),0),0)</f>
        <v>0</v>
      </c>
      <c r="K1276" s="444">
        <f t="shared" ca="1" si="105"/>
        <v>-21086.806066761434</v>
      </c>
      <c r="L1276" s="444">
        <f t="shared" ca="1" si="106"/>
        <v>-5081920.2620895058</v>
      </c>
      <c r="M1276" s="460">
        <f t="shared" si="109"/>
        <v>0.05</v>
      </c>
      <c r="N1276" s="464">
        <f t="shared" si="110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8"/>
        <v>-5081920.2620895058</v>
      </c>
      <c r="J1277" s="444">
        <f t="array" ref="J1277">IFERROR(INDEX('Retirement Calculator'!J:J,MATCH('Isaac 401k'!N1277,'Retirement Calculator'!A:A,0),0),0)</f>
        <v>0</v>
      </c>
      <c r="K1277" s="444">
        <f t="shared" ca="1" si="105"/>
        <v>-21174.667758706273</v>
      </c>
      <c r="L1277" s="444">
        <f t="shared" ca="1" si="106"/>
        <v>-5103094.9298482118</v>
      </c>
      <c r="M1277" s="460">
        <f t="shared" si="109"/>
        <v>0.05</v>
      </c>
      <c r="N1277" s="464">
        <f t="shared" si="110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8"/>
        <v>-5103094.9298482118</v>
      </c>
      <c r="J1278" s="444">
        <f t="array" ref="J1278">IFERROR(INDEX('Retirement Calculator'!J:J,MATCH('Isaac 401k'!N1278,'Retirement Calculator'!A:A,0),0),0)</f>
        <v>0</v>
      </c>
      <c r="K1278" s="444">
        <f t="shared" ca="1" si="105"/>
        <v>-21262.895541034217</v>
      </c>
      <c r="L1278" s="444">
        <f t="shared" ca="1" si="106"/>
        <v>-5124357.8253892465</v>
      </c>
      <c r="M1278" s="460">
        <f t="shared" si="109"/>
        <v>0.05</v>
      </c>
      <c r="N1278" s="464">
        <f t="shared" si="110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8"/>
        <v>-5124357.8253892465</v>
      </c>
      <c r="J1279" s="444">
        <f t="array" ref="J1279">IFERROR(INDEX('Retirement Calculator'!J:J,MATCH('Isaac 401k'!N1279,'Retirement Calculator'!A:A,0),0),0)</f>
        <v>0</v>
      </c>
      <c r="K1279" s="444">
        <f t="shared" ca="1" si="105"/>
        <v>-21351.490939121861</v>
      </c>
      <c r="L1279" s="444">
        <f t="shared" ca="1" si="106"/>
        <v>-5145709.3163283681</v>
      </c>
      <c r="M1279" s="460">
        <f t="shared" si="109"/>
        <v>0.05</v>
      </c>
      <c r="N1279" s="464">
        <f t="shared" si="110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8"/>
        <v>-5145709.3163283681</v>
      </c>
      <c r="J1280" s="444">
        <f t="array" ref="J1280">IFERROR(INDEX('Retirement Calculator'!J:J,MATCH('Isaac 401k'!N1280,'Retirement Calculator'!A:A,0),0),0)</f>
        <v>0</v>
      </c>
      <c r="K1280" s="444">
        <f t="shared" ca="1" si="105"/>
        <v>-21440.455484701535</v>
      </c>
      <c r="L1280" s="444">
        <f t="shared" ca="1" si="106"/>
        <v>-5167149.7718130695</v>
      </c>
      <c r="M1280" s="460">
        <f t="shared" si="109"/>
        <v>0.05</v>
      </c>
      <c r="N1280" s="464">
        <f t="shared" si="110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8"/>
        <v>-5167149.7718130695</v>
      </c>
      <c r="J1281" s="444">
        <f t="array" ref="J1281">IFERROR(INDEX('Retirement Calculator'!J:J,MATCH('Isaac 401k'!N1281,'Retirement Calculator'!A:A,0),0),0)</f>
        <v>0</v>
      </c>
      <c r="K1281" s="444">
        <f t="shared" ca="1" si="105"/>
        <v>-21529.79071588779</v>
      </c>
      <c r="L1281" s="444">
        <f t="shared" ca="1" si="106"/>
        <v>-5188679.5625289576</v>
      </c>
      <c r="M1281" s="460">
        <f t="shared" si="109"/>
        <v>0.05</v>
      </c>
      <c r="N1281" s="464">
        <f t="shared" si="110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8"/>
        <v>-5188679.5625289576</v>
      </c>
      <c r="J1282" s="444">
        <f t="array" ref="J1282">IFERROR(INDEX('Retirement Calculator'!J:J,MATCH('Isaac 401k'!N1282,'Retirement Calculator'!A:A,0),0),0)</f>
        <v>0</v>
      </c>
      <c r="K1282" s="444">
        <f t="shared" ca="1" si="105"/>
        <v>-21619.49817720399</v>
      </c>
      <c r="L1282" s="444">
        <f t="shared" ca="1" si="106"/>
        <v>-5210299.0607061619</v>
      </c>
      <c r="M1282" s="460">
        <f t="shared" si="109"/>
        <v>0.05</v>
      </c>
      <c r="N1282" s="464">
        <f t="shared" si="110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8"/>
        <v>-5210299.0607061619</v>
      </c>
      <c r="J1283" s="444">
        <f t="array" ref="J1283">IFERROR(INDEX('Retirement Calculator'!J:J,MATCH('Isaac 401k'!N1283,'Retirement Calculator'!A:A,0),0),0)</f>
        <v>0</v>
      </c>
      <c r="K1283" s="444">
        <f t="shared" ref="K1283:K1537" ca="1" si="126">IPMT(M1283/12,1,12,-I1283+J1283,,0)</f>
        <v>-21709.579419609006</v>
      </c>
      <c r="L1283" s="444">
        <f t="shared" ref="L1283:L1537" ca="1" si="127">I1283-J1283+K1283</f>
        <v>-5232008.6401257711</v>
      </c>
      <c r="M1283" s="460">
        <f t="shared" si="109"/>
        <v>0.05</v>
      </c>
      <c r="N1283" s="464">
        <f t="shared" si="110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28">L1283</f>
        <v>-5232008.6401257711</v>
      </c>
      <c r="J1284" s="444">
        <f t="array" ref="J1284">IFERROR(INDEX('Retirement Calculator'!J:J,MATCH('Isaac 401k'!N1284,'Retirement Calculator'!A:A,0),0),0)</f>
        <v>0</v>
      </c>
      <c r="K1284" s="444">
        <f t="shared" ca="1" si="126"/>
        <v>-21800.036000524047</v>
      </c>
      <c r="L1284" s="444">
        <f t="shared" ca="1" si="127"/>
        <v>-5253808.6761262948</v>
      </c>
      <c r="M1284" s="460">
        <f t="shared" ref="M1284:M1538" si="129">M1283</f>
        <v>0.05</v>
      </c>
      <c r="N1284" s="464">
        <f t="shared" ref="N1284:N1538" si="130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28"/>
        <v>-5253808.6761262948</v>
      </c>
      <c r="J1285" s="444">
        <f t="array" ref="J1285">IFERROR(INDEX('Retirement Calculator'!J:J,MATCH('Isaac 401k'!N1285,'Retirement Calculator'!A:A,0),0),0)</f>
        <v>0</v>
      </c>
      <c r="K1285" s="444">
        <f t="shared" ca="1" si="126"/>
        <v>-21890.869483859562</v>
      </c>
      <c r="L1285" s="444">
        <f t="shared" ca="1" si="127"/>
        <v>-5275699.545610154</v>
      </c>
      <c r="M1285" s="460">
        <f t="shared" si="129"/>
        <v>0.05</v>
      </c>
      <c r="N1285" s="464">
        <f t="shared" si="130"/>
        <v>90156</v>
      </c>
    </row>
    <row r="1286" spans="7:14" ht="11.25" customHeight="1" x14ac:dyDescent="0.3">
      <c r="G1286" s="459"/>
      <c r="H1286" s="459">
        <v>1279</v>
      </c>
      <c r="I1286" s="444">
        <f t="shared" ca="1" si="128"/>
        <v>-5275699.545610154</v>
      </c>
      <c r="J1286" s="444">
        <f t="array" ref="J1286">IFERROR(INDEX('Retirement Calculator'!J:J,MATCH('Isaac 401k'!N1286,'Retirement Calculator'!A:A,0),0),0)</f>
        <v>0</v>
      </c>
      <c r="K1286" s="444">
        <f t="shared" ca="1" si="126"/>
        <v>-21982.081440042308</v>
      </c>
      <c r="L1286" s="444">
        <f t="shared" ca="1" si="127"/>
        <v>-5297681.6270501968</v>
      </c>
      <c r="M1286" s="460">
        <f t="shared" si="129"/>
        <v>0.05</v>
      </c>
      <c r="N1286" s="464">
        <f t="shared" si="130"/>
        <v>90186</v>
      </c>
    </row>
    <row r="1287" spans="7:14" ht="11.25" customHeight="1" x14ac:dyDescent="0.3">
      <c r="G1287" s="459"/>
      <c r="H1287" s="459">
        <v>1280</v>
      </c>
      <c r="I1287" s="444">
        <f t="shared" ca="1" si="128"/>
        <v>-5297681.6270501968</v>
      </c>
      <c r="J1287" s="444">
        <f t="array" ref="J1287">IFERROR(INDEX('Retirement Calculator'!J:J,MATCH('Isaac 401k'!N1287,'Retirement Calculator'!A:A,0),0),0)</f>
        <v>0</v>
      </c>
      <c r="K1287" s="444">
        <f t="shared" ca="1" si="126"/>
        <v>-22073.673446042485</v>
      </c>
      <c r="L1287" s="444">
        <f t="shared" ca="1" si="127"/>
        <v>-5319755.3004962392</v>
      </c>
      <c r="M1287" s="460">
        <f t="shared" si="129"/>
        <v>0.05</v>
      </c>
      <c r="N1287" s="464">
        <f t="shared" si="130"/>
        <v>90217</v>
      </c>
    </row>
    <row r="1288" spans="7:14" ht="11.25" customHeight="1" x14ac:dyDescent="0.3">
      <c r="G1288" s="459"/>
      <c r="H1288" s="459">
        <v>1281</v>
      </c>
      <c r="I1288" s="444">
        <f t="shared" ca="1" si="128"/>
        <v>-5319755.3004962392</v>
      </c>
      <c r="J1288" s="444">
        <f t="array" ref="J1288">IFERROR(INDEX('Retirement Calculator'!J:J,MATCH('Isaac 401k'!N1288,'Retirement Calculator'!A:A,0),0),0)</f>
        <v>0</v>
      </c>
      <c r="K1288" s="444">
        <f t="shared" ca="1" si="126"/>
        <v>-22165.647085400997</v>
      </c>
      <c r="L1288" s="444">
        <f t="shared" ca="1" si="127"/>
        <v>-5341920.9475816404</v>
      </c>
      <c r="M1288" s="460">
        <f t="shared" si="129"/>
        <v>0.05</v>
      </c>
      <c r="N1288" s="464">
        <f t="shared" si="130"/>
        <v>90248</v>
      </c>
    </row>
    <row r="1289" spans="7:14" ht="11.25" customHeight="1" x14ac:dyDescent="0.3">
      <c r="G1289" s="459"/>
      <c r="H1289" s="459">
        <v>1282</v>
      </c>
      <c r="I1289" s="444">
        <f t="shared" ca="1" si="128"/>
        <v>-5341920.9475816404</v>
      </c>
      <c r="J1289" s="444">
        <f t="array" ref="J1289">IFERROR(INDEX('Retirement Calculator'!J:J,MATCH('Isaac 401k'!N1289,'Retirement Calculator'!A:A,0),0),0)</f>
        <v>0</v>
      </c>
      <c r="K1289" s="444">
        <f t="shared" ca="1" si="126"/>
        <v>-22258.003948256835</v>
      </c>
      <c r="L1289" s="444">
        <f t="shared" ca="1" si="127"/>
        <v>-5364178.9515298968</v>
      </c>
      <c r="M1289" s="460">
        <f t="shared" si="129"/>
        <v>0.05</v>
      </c>
      <c r="N1289" s="464">
        <f t="shared" si="130"/>
        <v>90276</v>
      </c>
    </row>
    <row r="1290" spans="7:14" ht="11.25" customHeight="1" x14ac:dyDescent="0.3">
      <c r="G1290" s="459"/>
      <c r="H1290" s="459">
        <v>1283</v>
      </c>
      <c r="I1290" s="444">
        <f t="shared" ca="1" si="128"/>
        <v>-5364178.9515298968</v>
      </c>
      <c r="J1290" s="444">
        <f t="array" ref="J1290">IFERROR(INDEX('Retirement Calculator'!J:J,MATCH('Isaac 401k'!N1290,'Retirement Calculator'!A:A,0),0),0)</f>
        <v>0</v>
      </c>
      <c r="K1290" s="444">
        <f t="shared" ca="1" si="126"/>
        <v>-22350.745631374572</v>
      </c>
      <c r="L1290" s="444">
        <f t="shared" ca="1" si="127"/>
        <v>-5386529.6971612712</v>
      </c>
      <c r="M1290" s="460">
        <f t="shared" si="129"/>
        <v>0.05</v>
      </c>
      <c r="N1290" s="464">
        <f t="shared" si="130"/>
        <v>90307</v>
      </c>
    </row>
    <row r="1291" spans="7:14" ht="11.25" customHeight="1" x14ac:dyDescent="0.3">
      <c r="G1291" s="459"/>
      <c r="H1291" s="459">
        <v>1284</v>
      </c>
      <c r="I1291" s="444">
        <f t="shared" ca="1" si="128"/>
        <v>-5386529.6971612712</v>
      </c>
      <c r="J1291" s="444">
        <f t="array" ref="J1291">IFERROR(INDEX('Retirement Calculator'!J:J,MATCH('Isaac 401k'!N1291,'Retirement Calculator'!A:A,0),0),0)</f>
        <v>0</v>
      </c>
      <c r="K1291" s="444">
        <f t="shared" ca="1" si="126"/>
        <v>-22443.873738171962</v>
      </c>
      <c r="L1291" s="444">
        <f t="shared" ca="1" si="127"/>
        <v>-5408973.5708994428</v>
      </c>
      <c r="M1291" s="460">
        <f t="shared" si="129"/>
        <v>0.05</v>
      </c>
      <c r="N1291" s="464">
        <f t="shared" si="130"/>
        <v>90337</v>
      </c>
    </row>
    <row r="1292" spans="7:14" ht="11.25" customHeight="1" x14ac:dyDescent="0.3">
      <c r="G1292" s="459"/>
      <c r="H1292" s="459">
        <v>1285</v>
      </c>
      <c r="I1292" s="444">
        <f t="shared" ca="1" si="128"/>
        <v>-5408973.5708994428</v>
      </c>
      <c r="J1292" s="444">
        <f t="array" ref="J1292">IFERROR(INDEX('Retirement Calculator'!J:J,MATCH('Isaac 401k'!N1292,'Retirement Calculator'!A:A,0),0),0)</f>
        <v>0</v>
      </c>
      <c r="K1292" s="444">
        <f t="shared" ca="1" si="126"/>
        <v>-22537.389878747679</v>
      </c>
      <c r="L1292" s="444">
        <f t="shared" ca="1" si="127"/>
        <v>-5431510.9607781908</v>
      </c>
      <c r="M1292" s="460">
        <f t="shared" si="129"/>
        <v>0.05</v>
      </c>
      <c r="N1292" s="464">
        <f t="shared" si="130"/>
        <v>90368</v>
      </c>
    </row>
    <row r="1293" spans="7:14" ht="11.25" customHeight="1" x14ac:dyDescent="0.3">
      <c r="G1293" s="459"/>
      <c r="H1293" s="459">
        <v>1286</v>
      </c>
      <c r="I1293" s="444">
        <f t="shared" ca="1" si="128"/>
        <v>-5431510.9607781908</v>
      </c>
      <c r="J1293" s="444">
        <f t="array" ref="J1293">IFERROR(INDEX('Retirement Calculator'!J:J,MATCH('Isaac 401k'!N1293,'Retirement Calculator'!A:A,0),0),0)</f>
        <v>0</v>
      </c>
      <c r="K1293" s="444">
        <f t="shared" ca="1" si="126"/>
        <v>-22631.295669909126</v>
      </c>
      <c r="L1293" s="444">
        <f t="shared" ca="1" si="127"/>
        <v>-5454142.2564481003</v>
      </c>
      <c r="M1293" s="460">
        <f t="shared" si="129"/>
        <v>0.05</v>
      </c>
      <c r="N1293" s="464">
        <f t="shared" si="130"/>
        <v>90398</v>
      </c>
    </row>
    <row r="1294" spans="7:14" ht="11.25" customHeight="1" x14ac:dyDescent="0.3">
      <c r="G1294" s="459"/>
      <c r="H1294" s="459">
        <v>1287</v>
      </c>
      <c r="I1294" s="444">
        <f t="shared" ca="1" si="128"/>
        <v>-5454142.2564481003</v>
      </c>
      <c r="J1294" s="444">
        <f t="array" ref="J1294">IFERROR(INDEX('Retirement Calculator'!J:J,MATCH('Isaac 401k'!N1294,'Retirement Calculator'!A:A,0),0),0)</f>
        <v>0</v>
      </c>
      <c r="K1294" s="444">
        <f t="shared" ca="1" si="126"/>
        <v>-22725.592735200418</v>
      </c>
      <c r="L1294" s="444">
        <f t="shared" ca="1" si="127"/>
        <v>-5476867.8491833005</v>
      </c>
      <c r="M1294" s="460">
        <f t="shared" si="129"/>
        <v>0.05</v>
      </c>
      <c r="N1294" s="464">
        <f t="shared" si="130"/>
        <v>90429</v>
      </c>
    </row>
    <row r="1295" spans="7:14" ht="11.25" customHeight="1" x14ac:dyDescent="0.3">
      <c r="G1295" s="459"/>
      <c r="H1295" s="459">
        <v>1288</v>
      </c>
      <c r="I1295" s="444">
        <f t="shared" ca="1" si="128"/>
        <v>-5476867.8491833005</v>
      </c>
      <c r="J1295" s="444">
        <f t="array" ref="J1295">IFERROR(INDEX('Retirement Calculator'!J:J,MATCH('Isaac 401k'!N1295,'Retirement Calculator'!A:A,0),0),0)</f>
        <v>0</v>
      </c>
      <c r="K1295" s="444">
        <f t="shared" ca="1" si="126"/>
        <v>-22820.282704930418</v>
      </c>
      <c r="L1295" s="444">
        <f t="shared" ca="1" si="127"/>
        <v>-5499688.1318882313</v>
      </c>
      <c r="M1295" s="460">
        <f t="shared" si="129"/>
        <v>0.05</v>
      </c>
      <c r="N1295" s="464">
        <f t="shared" si="130"/>
        <v>90460</v>
      </c>
    </row>
    <row r="1296" spans="7:14" ht="11.25" customHeight="1" x14ac:dyDescent="0.3">
      <c r="G1296" s="459"/>
      <c r="H1296" s="459">
        <v>1289</v>
      </c>
      <c r="I1296" s="444">
        <f t="shared" ca="1" si="128"/>
        <v>-5499688.1318882313</v>
      </c>
      <c r="J1296" s="444">
        <f t="array" ref="J1296">IFERROR(INDEX('Retirement Calculator'!J:J,MATCH('Isaac 401k'!N1296,'Retirement Calculator'!A:A,0),0),0)</f>
        <v>0</v>
      </c>
      <c r="K1296" s="444">
        <f t="shared" ca="1" si="126"/>
        <v>-22915.367216200964</v>
      </c>
      <c r="L1296" s="444">
        <f t="shared" ca="1" si="127"/>
        <v>-5522603.4991044318</v>
      </c>
      <c r="M1296" s="460">
        <f t="shared" si="129"/>
        <v>0.05</v>
      </c>
      <c r="N1296" s="464">
        <f t="shared" si="130"/>
        <v>90490</v>
      </c>
    </row>
    <row r="1297" spans="7:14" ht="11.25" customHeight="1" x14ac:dyDescent="0.3">
      <c r="G1297" s="459"/>
      <c r="H1297" s="459">
        <v>1290</v>
      </c>
      <c r="I1297" s="444">
        <f t="shared" ca="1" si="128"/>
        <v>-5522603.4991044318</v>
      </c>
      <c r="J1297" s="444">
        <f t="array" ref="J1297">IFERROR(INDEX('Retirement Calculator'!J:J,MATCH('Isaac 401k'!N1297,'Retirement Calculator'!A:A,0),0),0)</f>
        <v>0</v>
      </c>
      <c r="K1297" s="444">
        <f t="shared" ca="1" si="126"/>
        <v>-23010.847912935133</v>
      </c>
      <c r="L1297" s="444">
        <f t="shared" ca="1" si="127"/>
        <v>-5545614.3470173674</v>
      </c>
      <c r="M1297" s="460">
        <f t="shared" si="129"/>
        <v>0.05</v>
      </c>
      <c r="N1297" s="464">
        <f t="shared" si="130"/>
        <v>90521</v>
      </c>
    </row>
    <row r="1298" spans="7:14" ht="11.25" customHeight="1" x14ac:dyDescent="0.3">
      <c r="G1298" s="459"/>
      <c r="H1298" s="459">
        <v>1291</v>
      </c>
      <c r="I1298" s="444">
        <f t="shared" ca="1" si="128"/>
        <v>-5545614.3470173674</v>
      </c>
      <c r="J1298" s="444">
        <f t="array" ref="J1298">IFERROR(INDEX('Retirement Calculator'!J:J,MATCH('Isaac 401k'!N1298,'Retirement Calculator'!A:A,0),0),0)</f>
        <v>0</v>
      </c>
      <c r="K1298" s="444">
        <f t="shared" ca="1" si="126"/>
        <v>-23106.726445905697</v>
      </c>
      <c r="L1298" s="444">
        <f t="shared" ca="1" si="127"/>
        <v>-5568721.0734632732</v>
      </c>
      <c r="M1298" s="460">
        <f t="shared" si="129"/>
        <v>0.05</v>
      </c>
      <c r="N1298" s="464">
        <f t="shared" si="130"/>
        <v>90551</v>
      </c>
    </row>
    <row r="1299" spans="7:14" ht="11.25" customHeight="1" x14ac:dyDescent="0.3">
      <c r="G1299" s="459"/>
      <c r="H1299" s="459">
        <v>1292</v>
      </c>
      <c r="I1299" s="444">
        <f t="shared" ca="1" si="128"/>
        <v>-5568721.0734632732</v>
      </c>
      <c r="J1299" s="444">
        <f t="array" ref="J1299">IFERROR(INDEX('Retirement Calculator'!J:J,MATCH('Isaac 401k'!N1299,'Retirement Calculator'!A:A,0),0),0)</f>
        <v>0</v>
      </c>
      <c r="K1299" s="444">
        <f t="shared" ca="1" si="126"/>
        <v>-23203.004472763638</v>
      </c>
      <c r="L1299" s="444">
        <f t="shared" ca="1" si="127"/>
        <v>-5591924.0779360365</v>
      </c>
      <c r="M1299" s="460">
        <f t="shared" si="129"/>
        <v>0.05</v>
      </c>
      <c r="N1299" s="464">
        <f t="shared" si="130"/>
        <v>90582</v>
      </c>
    </row>
    <row r="1300" spans="7:14" ht="11.25" customHeight="1" x14ac:dyDescent="0.3">
      <c r="G1300" s="459"/>
      <c r="H1300" s="459">
        <v>1293</v>
      </c>
      <c r="I1300" s="444">
        <f t="shared" ca="1" si="128"/>
        <v>-5591924.0779360365</v>
      </c>
      <c r="J1300" s="444">
        <f t="array" ref="J1300">IFERROR(INDEX('Retirement Calculator'!J:J,MATCH('Isaac 401k'!N1300,'Retirement Calculator'!A:A,0),0),0)</f>
        <v>0</v>
      </c>
      <c r="K1300" s="444">
        <f t="shared" ca="1" si="126"/>
        <v>-23299.683658066817</v>
      </c>
      <c r="L1300" s="444">
        <f t="shared" ca="1" si="127"/>
        <v>-5615223.7615941036</v>
      </c>
      <c r="M1300" s="460">
        <f t="shared" si="129"/>
        <v>0.05</v>
      </c>
      <c r="N1300" s="464">
        <f t="shared" si="130"/>
        <v>90613</v>
      </c>
    </row>
    <row r="1301" spans="7:14" ht="11.25" customHeight="1" x14ac:dyDescent="0.3">
      <c r="G1301" s="459"/>
      <c r="H1301" s="459">
        <v>1294</v>
      </c>
      <c r="I1301" s="444">
        <f t="shared" ca="1" si="128"/>
        <v>-5615223.7615941036</v>
      </c>
      <c r="J1301" s="444">
        <f t="array" ref="J1301">IFERROR(INDEX('Retirement Calculator'!J:J,MATCH('Isaac 401k'!N1301,'Retirement Calculator'!A:A,0),0),0)</f>
        <v>0</v>
      </c>
      <c r="K1301" s="444">
        <f t="shared" ca="1" si="126"/>
        <v>-23396.765673308764</v>
      </c>
      <c r="L1301" s="444">
        <f t="shared" ca="1" si="127"/>
        <v>-5638620.5272674123</v>
      </c>
      <c r="M1301" s="460">
        <f t="shared" si="129"/>
        <v>0.05</v>
      </c>
      <c r="N1301" s="464">
        <f t="shared" si="130"/>
        <v>90642</v>
      </c>
    </row>
    <row r="1302" spans="7:14" ht="11.25" customHeight="1" x14ac:dyDescent="0.3">
      <c r="G1302" s="459"/>
      <c r="H1302" s="459">
        <v>1295</v>
      </c>
      <c r="I1302" s="444">
        <f t="shared" ca="1" si="128"/>
        <v>-5638620.5272674123</v>
      </c>
      <c r="J1302" s="444">
        <f t="array" ref="J1302">IFERROR(INDEX('Retirement Calculator'!J:J,MATCH('Isaac 401k'!N1302,'Retirement Calculator'!A:A,0),0),0)</f>
        <v>0</v>
      </c>
      <c r="K1302" s="444">
        <f t="shared" ca="1" si="126"/>
        <v>-23494.252196947549</v>
      </c>
      <c r="L1302" s="444">
        <f t="shared" ca="1" si="127"/>
        <v>-5662114.7794643594</v>
      </c>
      <c r="M1302" s="460">
        <f t="shared" si="129"/>
        <v>0.05</v>
      </c>
      <c r="N1302" s="464">
        <f t="shared" si="130"/>
        <v>90673</v>
      </c>
    </row>
    <row r="1303" spans="7:14" ht="11.25" customHeight="1" x14ac:dyDescent="0.3">
      <c r="G1303" s="459"/>
      <c r="H1303" s="459">
        <v>1296</v>
      </c>
      <c r="I1303" s="444">
        <f t="shared" ca="1" si="128"/>
        <v>-5662114.7794643594</v>
      </c>
      <c r="J1303" s="444">
        <f t="array" ref="J1303">IFERROR(INDEX('Retirement Calculator'!J:J,MATCH('Isaac 401k'!N1303,'Retirement Calculator'!A:A,0),0),0)</f>
        <v>0</v>
      </c>
      <c r="K1303" s="444">
        <f t="shared" ca="1" si="126"/>
        <v>-23592.14491443483</v>
      </c>
      <c r="L1303" s="444">
        <f t="shared" ca="1" si="127"/>
        <v>-5685706.9243787946</v>
      </c>
      <c r="M1303" s="460">
        <f t="shared" si="129"/>
        <v>0.05</v>
      </c>
      <c r="N1303" s="464">
        <f t="shared" si="130"/>
        <v>90703</v>
      </c>
    </row>
    <row r="1304" spans="7:14" ht="11.25" customHeight="1" x14ac:dyDescent="0.3">
      <c r="G1304" s="459"/>
      <c r="H1304" s="459">
        <v>1297</v>
      </c>
      <c r="I1304" s="444">
        <f t="shared" ca="1" si="128"/>
        <v>-5685706.9243787946</v>
      </c>
      <c r="J1304" s="444">
        <f t="array" ref="J1304">IFERROR(INDEX('Retirement Calculator'!J:J,MATCH('Isaac 401k'!N1304,'Retirement Calculator'!A:A,0),0),0)</f>
        <v>0</v>
      </c>
      <c r="K1304" s="444">
        <f t="shared" ca="1" si="126"/>
        <v>-23690.445518244978</v>
      </c>
      <c r="L1304" s="444">
        <f t="shared" ca="1" si="127"/>
        <v>-5709397.3698970396</v>
      </c>
      <c r="M1304" s="460">
        <f t="shared" si="129"/>
        <v>0.05</v>
      </c>
      <c r="N1304" s="464">
        <f t="shared" si="130"/>
        <v>90734</v>
      </c>
    </row>
    <row r="1305" spans="7:14" ht="11.25" customHeight="1" x14ac:dyDescent="0.3">
      <c r="G1305" s="459"/>
      <c r="H1305" s="459">
        <v>1298</v>
      </c>
      <c r="I1305" s="444">
        <f t="shared" ca="1" si="128"/>
        <v>-5709397.3698970396</v>
      </c>
      <c r="J1305" s="444">
        <f t="array" ref="J1305">IFERROR(INDEX('Retirement Calculator'!J:J,MATCH('Isaac 401k'!N1305,'Retirement Calculator'!A:A,0),0),0)</f>
        <v>0</v>
      </c>
      <c r="K1305" s="444">
        <f t="shared" ca="1" si="126"/>
        <v>-23789.15570790433</v>
      </c>
      <c r="L1305" s="444">
        <f t="shared" ca="1" si="127"/>
        <v>-5733186.5256049437</v>
      </c>
      <c r="M1305" s="460">
        <f t="shared" si="129"/>
        <v>0.05</v>
      </c>
      <c r="N1305" s="464">
        <f t="shared" si="130"/>
        <v>90764</v>
      </c>
    </row>
    <row r="1306" spans="7:14" ht="11.25" customHeight="1" x14ac:dyDescent="0.3">
      <c r="G1306" s="459"/>
      <c r="H1306" s="459">
        <v>1299</v>
      </c>
      <c r="I1306" s="444">
        <f t="shared" ca="1" si="128"/>
        <v>-5733186.5256049437</v>
      </c>
      <c r="J1306" s="444">
        <f t="array" ref="J1306">IFERROR(INDEX('Retirement Calculator'!J:J,MATCH('Isaac 401k'!N1306,'Retirement Calculator'!A:A,0),0),0)</f>
        <v>0</v>
      </c>
      <c r="K1306" s="444">
        <f t="shared" ca="1" si="126"/>
        <v>-23888.277190020599</v>
      </c>
      <c r="L1306" s="444">
        <f t="shared" ca="1" si="127"/>
        <v>-5757074.8027949641</v>
      </c>
      <c r="M1306" s="460">
        <f t="shared" si="129"/>
        <v>0.05</v>
      </c>
      <c r="N1306" s="464">
        <f t="shared" si="130"/>
        <v>90795</v>
      </c>
    </row>
    <row r="1307" spans="7:14" ht="11.25" customHeight="1" x14ac:dyDescent="0.3">
      <c r="G1307" s="459"/>
      <c r="H1307" s="459">
        <v>1300</v>
      </c>
      <c r="I1307" s="444">
        <f t="shared" ca="1" si="128"/>
        <v>-5757074.8027949641</v>
      </c>
      <c r="J1307" s="444">
        <f t="array" ref="J1307">IFERROR(INDEX('Retirement Calculator'!J:J,MATCH('Isaac 401k'!N1307,'Retirement Calculator'!A:A,0),0),0)</f>
        <v>0</v>
      </c>
      <c r="K1307" s="444">
        <f t="shared" ca="1" si="126"/>
        <v>-23987.811678312351</v>
      </c>
      <c r="L1307" s="444">
        <f t="shared" ca="1" si="127"/>
        <v>-5781062.6144732768</v>
      </c>
      <c r="M1307" s="460">
        <f t="shared" si="129"/>
        <v>0.05</v>
      </c>
      <c r="N1307" s="464">
        <f t="shared" si="130"/>
        <v>90826</v>
      </c>
    </row>
    <row r="1308" spans="7:14" ht="11.25" customHeight="1" x14ac:dyDescent="0.3">
      <c r="G1308" s="459"/>
      <c r="H1308" s="459">
        <v>1301</v>
      </c>
      <c r="I1308" s="444">
        <f t="shared" ca="1" si="128"/>
        <v>-5781062.6144732768</v>
      </c>
      <c r="J1308" s="444">
        <f t="array" ref="J1308">IFERROR(INDEX('Retirement Calculator'!J:J,MATCH('Isaac 401k'!N1308,'Retirement Calculator'!A:A,0),0),0)</f>
        <v>0</v>
      </c>
      <c r="K1308" s="444">
        <f t="shared" ca="1" si="126"/>
        <v>-24087.760893638653</v>
      </c>
      <c r="L1308" s="444">
        <f t="shared" ca="1" si="127"/>
        <v>-5805150.375366915</v>
      </c>
      <c r="M1308" s="460">
        <f t="shared" si="129"/>
        <v>0.05</v>
      </c>
      <c r="N1308" s="464">
        <f t="shared" si="130"/>
        <v>90856</v>
      </c>
    </row>
    <row r="1309" spans="7:14" ht="11.25" customHeight="1" x14ac:dyDescent="0.3">
      <c r="G1309" s="459"/>
      <c r="H1309" s="459">
        <v>1302</v>
      </c>
      <c r="I1309" s="444">
        <f t="shared" ca="1" si="128"/>
        <v>-5805150.375366915</v>
      </c>
      <c r="J1309" s="444">
        <f t="array" ref="J1309">IFERROR(INDEX('Retirement Calculator'!J:J,MATCH('Isaac 401k'!N1309,'Retirement Calculator'!A:A,0),0),0)</f>
        <v>0</v>
      </c>
      <c r="K1309" s="444">
        <f t="shared" ca="1" si="126"/>
        <v>-24188.126564028811</v>
      </c>
      <c r="L1309" s="444">
        <f t="shared" ca="1" si="127"/>
        <v>-5829338.5019309437</v>
      </c>
      <c r="M1309" s="460">
        <f t="shared" si="129"/>
        <v>0.05</v>
      </c>
      <c r="N1309" s="464">
        <f t="shared" si="130"/>
        <v>90887</v>
      </c>
    </row>
    <row r="1310" spans="7:14" ht="11.25" customHeight="1" x14ac:dyDescent="0.3">
      <c r="G1310" s="459"/>
      <c r="H1310" s="459">
        <v>1303</v>
      </c>
      <c r="I1310" s="444">
        <f t="shared" ca="1" si="128"/>
        <v>-5829338.5019309437</v>
      </c>
      <c r="J1310" s="444">
        <f t="array" ref="J1310">IFERROR(INDEX('Retirement Calculator'!J:J,MATCH('Isaac 401k'!N1310,'Retirement Calculator'!A:A,0),0),0)</f>
        <v>0</v>
      </c>
      <c r="K1310" s="444">
        <f t="shared" ca="1" si="126"/>
        <v>-24288.910424712267</v>
      </c>
      <c r="L1310" s="444">
        <f t="shared" ca="1" si="127"/>
        <v>-5853627.4123556558</v>
      </c>
      <c r="M1310" s="460">
        <f t="shared" si="129"/>
        <v>0.05</v>
      </c>
      <c r="N1310" s="464">
        <f t="shared" si="130"/>
        <v>90917</v>
      </c>
    </row>
    <row r="1311" spans="7:14" ht="11.25" customHeight="1" x14ac:dyDescent="0.3">
      <c r="G1311" s="459"/>
      <c r="H1311" s="459">
        <v>1304</v>
      </c>
      <c r="I1311" s="444">
        <f t="shared" ca="1" si="128"/>
        <v>-5853627.4123556558</v>
      </c>
      <c r="J1311" s="444">
        <f t="array" ref="J1311">IFERROR(INDEX('Retirement Calculator'!J:J,MATCH('Isaac 401k'!N1311,'Retirement Calculator'!A:A,0),0),0)</f>
        <v>0</v>
      </c>
      <c r="K1311" s="444">
        <f t="shared" ca="1" si="126"/>
        <v>-24390.114218148567</v>
      </c>
      <c r="L1311" s="444">
        <f t="shared" ca="1" si="127"/>
        <v>-5878017.5265738042</v>
      </c>
      <c r="M1311" s="460">
        <f t="shared" si="129"/>
        <v>0.05</v>
      </c>
      <c r="N1311" s="464">
        <f t="shared" si="130"/>
        <v>90948</v>
      </c>
    </row>
    <row r="1312" spans="7:14" ht="11.25" customHeight="1" x14ac:dyDescent="0.3">
      <c r="G1312" s="459"/>
      <c r="H1312" s="459">
        <v>1305</v>
      </c>
      <c r="I1312" s="444">
        <f t="shared" ca="1" si="128"/>
        <v>-5878017.5265738042</v>
      </c>
      <c r="J1312" s="444">
        <f t="array" ref="J1312">IFERROR(INDEX('Retirement Calculator'!J:J,MATCH('Isaac 401k'!N1312,'Retirement Calculator'!A:A,0),0),0)</f>
        <v>0</v>
      </c>
      <c r="K1312" s="444">
        <f t="shared" ca="1" si="126"/>
        <v>-24491.739694057516</v>
      </c>
      <c r="L1312" s="444">
        <f t="shared" ca="1" si="127"/>
        <v>-5902509.2662678622</v>
      </c>
      <c r="M1312" s="460">
        <f t="shared" si="129"/>
        <v>0.05</v>
      </c>
      <c r="N1312" s="464">
        <f t="shared" si="130"/>
        <v>90979</v>
      </c>
    </row>
    <row r="1313" spans="7:14" ht="11.25" customHeight="1" x14ac:dyDescent="0.3">
      <c r="G1313" s="459"/>
      <c r="H1313" s="459">
        <v>1306</v>
      </c>
      <c r="I1313" s="444">
        <f t="shared" ca="1" si="128"/>
        <v>-5902509.2662678622</v>
      </c>
      <c r="J1313" s="444">
        <f t="array" ref="J1313">IFERROR(INDEX('Retirement Calculator'!J:J,MATCH('Isaac 401k'!N1313,'Retirement Calculator'!A:A,0),0),0)</f>
        <v>0</v>
      </c>
      <c r="K1313" s="444">
        <f t="shared" ca="1" si="126"/>
        <v>-24593.788609449424</v>
      </c>
      <c r="L1313" s="444">
        <f t="shared" ca="1" si="127"/>
        <v>-5927103.0548773119</v>
      </c>
      <c r="M1313" s="460">
        <f t="shared" si="129"/>
        <v>0.05</v>
      </c>
      <c r="N1313" s="464">
        <f t="shared" si="130"/>
        <v>91007</v>
      </c>
    </row>
    <row r="1314" spans="7:14" ht="11.25" customHeight="1" x14ac:dyDescent="0.3">
      <c r="G1314" s="459"/>
      <c r="H1314" s="459">
        <v>1307</v>
      </c>
      <c r="I1314" s="444">
        <f t="shared" ca="1" si="128"/>
        <v>-5927103.0548773119</v>
      </c>
      <c r="J1314" s="444">
        <f t="array" ref="J1314">IFERROR(INDEX('Retirement Calculator'!J:J,MATCH('Isaac 401k'!N1314,'Retirement Calculator'!A:A,0),0),0)</f>
        <v>0</v>
      </c>
      <c r="K1314" s="444">
        <f t="shared" ca="1" si="126"/>
        <v>-24696.262728655467</v>
      </c>
      <c r="L1314" s="444">
        <f t="shared" ca="1" si="127"/>
        <v>-5951799.3176059676</v>
      </c>
      <c r="M1314" s="460">
        <f t="shared" si="129"/>
        <v>0.05</v>
      </c>
      <c r="N1314" s="464">
        <f t="shared" si="130"/>
        <v>91038</v>
      </c>
    </row>
    <row r="1315" spans="7:14" ht="11.25" customHeight="1" x14ac:dyDescent="0.3">
      <c r="G1315" s="459"/>
      <c r="H1315" s="459">
        <v>1308</v>
      </c>
      <c r="I1315" s="444">
        <f t="shared" ca="1" si="128"/>
        <v>-5951799.3176059676</v>
      </c>
      <c r="J1315" s="444">
        <f t="array" ref="J1315">IFERROR(INDEX('Retirement Calculator'!J:J,MATCH('Isaac 401k'!N1315,'Retirement Calculator'!A:A,0),0),0)</f>
        <v>0</v>
      </c>
      <c r="K1315" s="444">
        <f t="shared" ca="1" si="126"/>
        <v>-24799.163823358198</v>
      </c>
      <c r="L1315" s="444">
        <f t="shared" ca="1" si="127"/>
        <v>-5976598.4814293254</v>
      </c>
      <c r="M1315" s="460">
        <f t="shared" si="129"/>
        <v>0.05</v>
      </c>
      <c r="N1315" s="464">
        <f t="shared" si="130"/>
        <v>91068</v>
      </c>
    </row>
    <row r="1316" spans="7:14" ht="11.25" customHeight="1" x14ac:dyDescent="0.3">
      <c r="G1316" s="459"/>
      <c r="H1316" s="459">
        <v>1309</v>
      </c>
      <c r="I1316" s="444">
        <f t="shared" ca="1" si="128"/>
        <v>-5976598.4814293254</v>
      </c>
      <c r="J1316" s="444">
        <f t="array" ref="J1316">IFERROR(INDEX('Retirement Calculator'!J:J,MATCH('Isaac 401k'!N1316,'Retirement Calculator'!A:A,0),0),0)</f>
        <v>0</v>
      </c>
      <c r="K1316" s="444">
        <f t="shared" ca="1" si="126"/>
        <v>-24902.493672622189</v>
      </c>
      <c r="L1316" s="444">
        <f t="shared" ca="1" si="127"/>
        <v>-6001500.9751019478</v>
      </c>
      <c r="M1316" s="460">
        <f t="shared" si="129"/>
        <v>0.05</v>
      </c>
      <c r="N1316" s="464">
        <f t="shared" si="130"/>
        <v>91099</v>
      </c>
    </row>
    <row r="1317" spans="7:14" ht="11.25" customHeight="1" x14ac:dyDescent="0.3">
      <c r="G1317" s="459"/>
      <c r="H1317" s="459">
        <v>1310</v>
      </c>
      <c r="I1317" s="444">
        <f t="shared" ca="1" si="128"/>
        <v>-6001500.9751019478</v>
      </c>
      <c r="J1317" s="444">
        <f t="array" ref="J1317">IFERROR(INDEX('Retirement Calculator'!J:J,MATCH('Isaac 401k'!N1317,'Retirement Calculator'!A:A,0),0),0)</f>
        <v>0</v>
      </c>
      <c r="K1317" s="444">
        <f t="shared" ca="1" si="126"/>
        <v>-25006.254062924781</v>
      </c>
      <c r="L1317" s="444">
        <f t="shared" ca="1" si="127"/>
        <v>-6026507.2291648723</v>
      </c>
      <c r="M1317" s="460">
        <f t="shared" si="129"/>
        <v>0.05</v>
      </c>
      <c r="N1317" s="464">
        <f t="shared" si="130"/>
        <v>91129</v>
      </c>
    </row>
    <row r="1318" spans="7:14" ht="11.25" customHeight="1" x14ac:dyDescent="0.3">
      <c r="G1318" s="459"/>
      <c r="H1318" s="459">
        <v>1311</v>
      </c>
      <c r="I1318" s="444">
        <f t="shared" ca="1" si="128"/>
        <v>-6026507.2291648723</v>
      </c>
      <c r="J1318" s="444">
        <f t="array" ref="J1318">IFERROR(INDEX('Retirement Calculator'!J:J,MATCH('Isaac 401k'!N1318,'Retirement Calculator'!A:A,0),0),0)</f>
        <v>0</v>
      </c>
      <c r="K1318" s="444">
        <f t="shared" ca="1" si="126"/>
        <v>-25110.446788186968</v>
      </c>
      <c r="L1318" s="444">
        <f t="shared" ca="1" si="127"/>
        <v>-6051617.6759530595</v>
      </c>
      <c r="M1318" s="460">
        <f t="shared" si="129"/>
        <v>0.05</v>
      </c>
      <c r="N1318" s="464">
        <f t="shared" si="130"/>
        <v>91160</v>
      </c>
    </row>
    <row r="1319" spans="7:14" ht="11.25" customHeight="1" x14ac:dyDescent="0.3">
      <c r="G1319" s="459"/>
      <c r="H1319" s="459">
        <v>1312</v>
      </c>
      <c r="I1319" s="444">
        <f t="shared" ca="1" si="128"/>
        <v>-6051617.6759530595</v>
      </c>
      <c r="J1319" s="444">
        <f t="array" ref="J1319">IFERROR(INDEX('Retirement Calculator'!J:J,MATCH('Isaac 401k'!N1319,'Retirement Calculator'!A:A,0),0),0)</f>
        <v>0</v>
      </c>
      <c r="K1319" s="444">
        <f t="shared" ca="1" si="126"/>
        <v>-25215.073649804413</v>
      </c>
      <c r="L1319" s="444">
        <f t="shared" ca="1" si="127"/>
        <v>-6076832.7496028636</v>
      </c>
      <c r="M1319" s="460">
        <f t="shared" si="129"/>
        <v>0.05</v>
      </c>
      <c r="N1319" s="464">
        <f t="shared" si="130"/>
        <v>91191</v>
      </c>
    </row>
    <row r="1320" spans="7:14" ht="11.25" customHeight="1" x14ac:dyDescent="0.3">
      <c r="G1320" s="459"/>
      <c r="H1320" s="459">
        <v>1313</v>
      </c>
      <c r="I1320" s="444">
        <f t="shared" ca="1" si="128"/>
        <v>-6076832.7496028636</v>
      </c>
      <c r="J1320" s="444">
        <f t="array" ref="J1320">IFERROR(INDEX('Retirement Calculator'!J:J,MATCH('Isaac 401k'!N1320,'Retirement Calculator'!A:A,0),0),0)</f>
        <v>0</v>
      </c>
      <c r="K1320" s="444">
        <f t="shared" ca="1" si="126"/>
        <v>-25320.1364566786</v>
      </c>
      <c r="L1320" s="444">
        <f t="shared" ca="1" si="127"/>
        <v>-6102152.8860595422</v>
      </c>
      <c r="M1320" s="460">
        <f t="shared" si="129"/>
        <v>0.05</v>
      </c>
      <c r="N1320" s="464">
        <f t="shared" si="130"/>
        <v>91221</v>
      </c>
    </row>
    <row r="1321" spans="7:14" ht="11.25" customHeight="1" x14ac:dyDescent="0.3">
      <c r="G1321" s="459"/>
      <c r="H1321" s="459">
        <v>1314</v>
      </c>
      <c r="I1321" s="444">
        <f t="shared" ca="1" si="128"/>
        <v>-6102152.8860595422</v>
      </c>
      <c r="J1321" s="444">
        <f t="array" ref="J1321">IFERROR(INDEX('Retirement Calculator'!J:J,MATCH('Isaac 401k'!N1321,'Retirement Calculator'!A:A,0),0),0)</f>
        <v>0</v>
      </c>
      <c r="K1321" s="444">
        <f t="shared" ca="1" si="126"/>
        <v>-25425.637025248092</v>
      </c>
      <c r="L1321" s="444">
        <f t="shared" ca="1" si="127"/>
        <v>-6127578.5230847904</v>
      </c>
      <c r="M1321" s="460">
        <f t="shared" si="129"/>
        <v>0.05</v>
      </c>
      <c r="N1321" s="464">
        <f t="shared" si="130"/>
        <v>91252</v>
      </c>
    </row>
    <row r="1322" spans="7:14" ht="11.25" customHeight="1" x14ac:dyDescent="0.3">
      <c r="G1322" s="459"/>
      <c r="H1322" s="459">
        <v>1315</v>
      </c>
      <c r="I1322" s="444">
        <f t="shared" ca="1" si="128"/>
        <v>-6127578.5230847904</v>
      </c>
      <c r="J1322" s="444">
        <f t="array" ref="J1322">IFERROR(INDEX('Retirement Calculator'!J:J,MATCH('Isaac 401k'!N1322,'Retirement Calculator'!A:A,0),0),0)</f>
        <v>0</v>
      </c>
      <c r="K1322" s="444">
        <f t="shared" ca="1" si="126"/>
        <v>-25531.577179519962</v>
      </c>
      <c r="L1322" s="444">
        <f t="shared" ca="1" si="127"/>
        <v>-6153110.1002643108</v>
      </c>
      <c r="M1322" s="460">
        <f t="shared" si="129"/>
        <v>0.05</v>
      </c>
      <c r="N1322" s="464">
        <f t="shared" si="130"/>
        <v>91282</v>
      </c>
    </row>
    <row r="1323" spans="7:14" ht="11.25" customHeight="1" x14ac:dyDescent="0.3">
      <c r="G1323" s="459"/>
      <c r="H1323" s="459">
        <v>1316</v>
      </c>
      <c r="I1323" s="444">
        <f t="shared" ca="1" si="128"/>
        <v>-6153110.1002643108</v>
      </c>
      <c r="J1323" s="444">
        <f t="array" ref="J1323">IFERROR(INDEX('Retirement Calculator'!J:J,MATCH('Isaac 401k'!N1323,'Retirement Calculator'!A:A,0),0),0)</f>
        <v>0</v>
      </c>
      <c r="K1323" s="444">
        <f t="shared" ca="1" si="126"/>
        <v>-25637.958751101294</v>
      </c>
      <c r="L1323" s="444">
        <f t="shared" ca="1" si="127"/>
        <v>-6178748.0590154119</v>
      </c>
      <c r="M1323" s="460">
        <f t="shared" si="129"/>
        <v>0.05</v>
      </c>
      <c r="N1323" s="464">
        <f t="shared" si="130"/>
        <v>91313</v>
      </c>
    </row>
    <row r="1324" spans="7:14" ht="11.25" customHeight="1" x14ac:dyDescent="0.3">
      <c r="G1324" s="459"/>
      <c r="H1324" s="459">
        <v>1317</v>
      </c>
      <c r="I1324" s="444">
        <f t="shared" ca="1" si="128"/>
        <v>-6178748.0590154119</v>
      </c>
      <c r="J1324" s="444">
        <f t="array" ref="J1324">IFERROR(INDEX('Retirement Calculator'!J:J,MATCH('Isaac 401k'!N1324,'Retirement Calculator'!A:A,0),0),0)</f>
        <v>0</v>
      </c>
      <c r="K1324" s="444">
        <f t="shared" ca="1" si="126"/>
        <v>-25744.783579230883</v>
      </c>
      <c r="L1324" s="444">
        <f t="shared" ca="1" si="127"/>
        <v>-6204492.8425946431</v>
      </c>
      <c r="M1324" s="460">
        <f t="shared" si="129"/>
        <v>0.05</v>
      </c>
      <c r="N1324" s="464">
        <f t="shared" si="130"/>
        <v>91344</v>
      </c>
    </row>
    <row r="1325" spans="7:14" ht="11.25" customHeight="1" x14ac:dyDescent="0.3">
      <c r="G1325" s="459"/>
      <c r="H1325" s="459">
        <v>1318</v>
      </c>
      <c r="I1325" s="444">
        <f t="shared" ca="1" si="128"/>
        <v>-6204492.8425946431</v>
      </c>
      <c r="J1325" s="444">
        <f t="array" ref="J1325">IFERROR(INDEX('Retirement Calculator'!J:J,MATCH('Isaac 401k'!N1325,'Retirement Calculator'!A:A,0),0),0)</f>
        <v>0</v>
      </c>
      <c r="K1325" s="444">
        <f t="shared" ca="1" si="126"/>
        <v>-25852.053510811013</v>
      </c>
      <c r="L1325" s="444">
        <f t="shared" ca="1" si="127"/>
        <v>-6230344.8961054543</v>
      </c>
      <c r="M1325" s="460">
        <f t="shared" si="129"/>
        <v>0.05</v>
      </c>
      <c r="N1325" s="464">
        <f t="shared" si="130"/>
        <v>91372</v>
      </c>
    </row>
    <row r="1326" spans="7:14" ht="11.25" customHeight="1" x14ac:dyDescent="0.3">
      <c r="G1326" s="459"/>
      <c r="H1326" s="459">
        <v>1319</v>
      </c>
      <c r="I1326" s="444">
        <f t="shared" ca="1" si="128"/>
        <v>-6230344.8961054543</v>
      </c>
      <c r="J1326" s="444">
        <f t="array" ref="J1326">IFERROR(INDEX('Retirement Calculator'!J:J,MATCH('Isaac 401k'!N1326,'Retirement Calculator'!A:A,0),0),0)</f>
        <v>0</v>
      </c>
      <c r="K1326" s="444">
        <f t="shared" ca="1" si="126"/>
        <v>-25959.770400439393</v>
      </c>
      <c r="L1326" s="444">
        <f t="shared" ca="1" si="127"/>
        <v>-6256304.6665058937</v>
      </c>
      <c r="M1326" s="460">
        <f t="shared" si="129"/>
        <v>0.05</v>
      </c>
      <c r="N1326" s="464">
        <f t="shared" si="130"/>
        <v>91403</v>
      </c>
    </row>
    <row r="1327" spans="7:14" ht="11.25" customHeight="1" x14ac:dyDescent="0.3">
      <c r="G1327" s="459"/>
      <c r="H1327" s="459">
        <v>1320</v>
      </c>
      <c r="I1327" s="444">
        <f t="shared" ca="1" si="128"/>
        <v>-6256304.6665058937</v>
      </c>
      <c r="J1327" s="444">
        <f t="array" ref="J1327">IFERROR(INDEX('Retirement Calculator'!J:J,MATCH('Isaac 401k'!N1327,'Retirement Calculator'!A:A,0),0),0)</f>
        <v>0</v>
      </c>
      <c r="K1327" s="444">
        <f t="shared" ca="1" si="126"/>
        <v>-26067.936110441224</v>
      </c>
      <c r="L1327" s="444">
        <f t="shared" ca="1" si="127"/>
        <v>-6282372.6026163353</v>
      </c>
      <c r="M1327" s="460">
        <f t="shared" si="129"/>
        <v>0.05</v>
      </c>
      <c r="N1327" s="464">
        <f t="shared" si="130"/>
        <v>91433</v>
      </c>
    </row>
    <row r="1328" spans="7:14" ht="11.25" customHeight="1" x14ac:dyDescent="0.3">
      <c r="G1328" s="459"/>
      <c r="H1328" s="459">
        <v>1321</v>
      </c>
      <c r="I1328" s="444">
        <f t="shared" ca="1" si="128"/>
        <v>-6282372.6026163353</v>
      </c>
      <c r="J1328" s="444">
        <f t="array" ref="J1328">IFERROR(INDEX('Retirement Calculator'!J:J,MATCH('Isaac 401k'!N1328,'Retirement Calculator'!A:A,0),0),0)</f>
        <v>0</v>
      </c>
      <c r="K1328" s="444">
        <f t="shared" ca="1" si="126"/>
        <v>-26176.552510901398</v>
      </c>
      <c r="L1328" s="444">
        <f t="shared" ca="1" si="127"/>
        <v>-6308549.1551272366</v>
      </c>
      <c r="M1328" s="460">
        <f t="shared" si="129"/>
        <v>0.05</v>
      </c>
      <c r="N1328" s="464">
        <f t="shared" si="130"/>
        <v>91464</v>
      </c>
    </row>
    <row r="1329" spans="7:14" ht="11.25" customHeight="1" x14ac:dyDescent="0.3">
      <c r="G1329" s="459"/>
      <c r="H1329" s="459">
        <v>1322</v>
      </c>
      <c r="I1329" s="444">
        <f t="shared" ca="1" si="128"/>
        <v>-6308549.1551272366</v>
      </c>
      <c r="J1329" s="444">
        <f t="array" ref="J1329">IFERROR(INDEX('Retirement Calculator'!J:J,MATCH('Isaac 401k'!N1329,'Retirement Calculator'!A:A,0),0),0)</f>
        <v>0</v>
      </c>
      <c r="K1329" s="444">
        <f t="shared" ca="1" si="126"/>
        <v>-26285.62147969682</v>
      </c>
      <c r="L1329" s="444">
        <f t="shared" ca="1" si="127"/>
        <v>-6334834.7766069332</v>
      </c>
      <c r="M1329" s="460">
        <f t="shared" si="129"/>
        <v>0.05</v>
      </c>
      <c r="N1329" s="464">
        <f t="shared" si="130"/>
        <v>91494</v>
      </c>
    </row>
    <row r="1330" spans="7:14" ht="11.25" customHeight="1" x14ac:dyDescent="0.3">
      <c r="G1330" s="459"/>
      <c r="H1330" s="459">
        <v>1323</v>
      </c>
      <c r="I1330" s="444">
        <f t="shared" ca="1" si="128"/>
        <v>-6334834.7766069332</v>
      </c>
      <c r="J1330" s="444">
        <f t="array" ref="J1330">IFERROR(INDEX('Retirement Calculator'!J:J,MATCH('Isaac 401k'!N1330,'Retirement Calculator'!A:A,0),0),0)</f>
        <v>0</v>
      </c>
      <c r="K1330" s="444">
        <f t="shared" ca="1" si="126"/>
        <v>-26395.144902528889</v>
      </c>
      <c r="L1330" s="444">
        <f t="shared" ca="1" si="127"/>
        <v>-6361229.9215094624</v>
      </c>
      <c r="M1330" s="460">
        <f t="shared" si="129"/>
        <v>0.05</v>
      </c>
      <c r="N1330" s="464">
        <f t="shared" si="130"/>
        <v>91525</v>
      </c>
    </row>
    <row r="1331" spans="7:14" ht="11.25" customHeight="1" x14ac:dyDescent="0.3">
      <c r="G1331" s="459"/>
      <c r="H1331" s="459">
        <v>1324</v>
      </c>
      <c r="I1331" s="444">
        <f t="shared" ca="1" si="128"/>
        <v>-6361229.9215094624</v>
      </c>
      <c r="J1331" s="444">
        <f t="array" ref="J1331">IFERROR(INDEX('Retirement Calculator'!J:J,MATCH('Isaac 401k'!N1331,'Retirement Calculator'!A:A,0),0),0)</f>
        <v>0</v>
      </c>
      <c r="K1331" s="444">
        <f t="shared" ca="1" si="126"/>
        <v>-26505.124672956092</v>
      </c>
      <c r="L1331" s="444">
        <f t="shared" ca="1" si="127"/>
        <v>-6387735.0461824182</v>
      </c>
      <c r="M1331" s="460">
        <f t="shared" si="129"/>
        <v>0.05</v>
      </c>
      <c r="N1331" s="464">
        <f t="shared" si="130"/>
        <v>91556</v>
      </c>
    </row>
    <row r="1332" spans="7:14" ht="11.25" customHeight="1" x14ac:dyDescent="0.3">
      <c r="G1332" s="459"/>
      <c r="H1332" s="459">
        <v>1325</v>
      </c>
      <c r="I1332" s="444">
        <f t="shared" ca="1" si="128"/>
        <v>-6387735.0461824182</v>
      </c>
      <c r="J1332" s="444">
        <f t="array" ref="J1332">IFERROR(INDEX('Retirement Calculator'!J:J,MATCH('Isaac 401k'!N1332,'Retirement Calculator'!A:A,0),0),0)</f>
        <v>0</v>
      </c>
      <c r="K1332" s="444">
        <f t="shared" ca="1" si="126"/>
        <v>-26615.562692426742</v>
      </c>
      <c r="L1332" s="444">
        <f t="shared" ca="1" si="127"/>
        <v>-6414350.6088748453</v>
      </c>
      <c r="M1332" s="460">
        <f t="shared" si="129"/>
        <v>0.05</v>
      </c>
      <c r="N1332" s="464">
        <f t="shared" si="130"/>
        <v>91586</v>
      </c>
    </row>
    <row r="1333" spans="7:14" ht="11.25" customHeight="1" x14ac:dyDescent="0.3">
      <c r="G1333" s="459"/>
      <c r="H1333" s="459">
        <v>1326</v>
      </c>
      <c r="I1333" s="444">
        <f t="shared" ca="1" si="128"/>
        <v>-6414350.6088748453</v>
      </c>
      <c r="J1333" s="444">
        <f t="array" ref="J1333">IFERROR(INDEX('Retirement Calculator'!J:J,MATCH('Isaac 401k'!N1333,'Retirement Calculator'!A:A,0),0),0)</f>
        <v>0</v>
      </c>
      <c r="K1333" s="444">
        <f t="shared" ca="1" si="126"/>
        <v>-26726.460870311854</v>
      </c>
      <c r="L1333" s="444">
        <f t="shared" ca="1" si="127"/>
        <v>-6441077.0697451569</v>
      </c>
      <c r="M1333" s="460">
        <f t="shared" si="129"/>
        <v>0.05</v>
      </c>
      <c r="N1333" s="464">
        <f t="shared" si="130"/>
        <v>91617</v>
      </c>
    </row>
    <row r="1334" spans="7:14" ht="11.25" customHeight="1" x14ac:dyDescent="0.3">
      <c r="G1334" s="459"/>
      <c r="H1334" s="459">
        <v>1327</v>
      </c>
      <c r="I1334" s="444">
        <f t="shared" ca="1" si="128"/>
        <v>-6441077.0697451569</v>
      </c>
      <c r="J1334" s="444">
        <f t="array" ref="J1334">IFERROR(INDEX('Retirement Calculator'!J:J,MATCH('Isaac 401k'!N1334,'Retirement Calculator'!A:A,0),0),0)</f>
        <v>0</v>
      </c>
      <c r="K1334" s="444">
        <f t="shared" ca="1" si="126"/>
        <v>-26837.821123938153</v>
      </c>
      <c r="L1334" s="444">
        <f t="shared" ca="1" si="127"/>
        <v>-6467914.890869095</v>
      </c>
      <c r="M1334" s="460">
        <f t="shared" si="129"/>
        <v>0.05</v>
      </c>
      <c r="N1334" s="464">
        <f t="shared" si="130"/>
        <v>91647</v>
      </c>
    </row>
    <row r="1335" spans="7:14" ht="11.25" customHeight="1" x14ac:dyDescent="0.3">
      <c r="G1335" s="459"/>
      <c r="H1335" s="459">
        <v>1328</v>
      </c>
      <c r="I1335" s="444">
        <f t="shared" ca="1" si="128"/>
        <v>-6467914.890869095</v>
      </c>
      <c r="J1335" s="444">
        <f t="array" ref="J1335">IFERROR(INDEX('Retirement Calculator'!J:J,MATCH('Isaac 401k'!N1335,'Retirement Calculator'!A:A,0),0),0)</f>
        <v>0</v>
      </c>
      <c r="K1335" s="444">
        <f t="shared" ca="1" si="126"/>
        <v>-26949.64537862123</v>
      </c>
      <c r="L1335" s="444">
        <f t="shared" ca="1" si="127"/>
        <v>-6494864.5362477163</v>
      </c>
      <c r="M1335" s="460">
        <f t="shared" si="129"/>
        <v>0.05</v>
      </c>
      <c r="N1335" s="464">
        <f t="shared" si="130"/>
        <v>91678</v>
      </c>
    </row>
    <row r="1336" spans="7:14" ht="11.25" customHeight="1" x14ac:dyDescent="0.3">
      <c r="G1336" s="459"/>
      <c r="H1336" s="459">
        <v>1329</v>
      </c>
      <c r="I1336" s="444">
        <f t="shared" ca="1" si="128"/>
        <v>-6494864.5362477163</v>
      </c>
      <c r="J1336" s="444">
        <f t="array" ref="J1336">IFERROR(INDEX('Retirement Calculator'!J:J,MATCH('Isaac 401k'!N1336,'Retirement Calculator'!A:A,0),0),0)</f>
        <v>0</v>
      </c>
      <c r="K1336" s="444">
        <f t="shared" ca="1" si="126"/>
        <v>-27061.935567698816</v>
      </c>
      <c r="L1336" s="444">
        <f t="shared" ca="1" si="127"/>
        <v>-6521926.4718154147</v>
      </c>
      <c r="M1336" s="460">
        <f t="shared" si="129"/>
        <v>0.05</v>
      </c>
      <c r="N1336" s="464">
        <f t="shared" si="130"/>
        <v>91709</v>
      </c>
    </row>
    <row r="1337" spans="7:14" ht="11.25" customHeight="1" x14ac:dyDescent="0.3">
      <c r="G1337" s="459"/>
      <c r="H1337" s="459">
        <v>1330</v>
      </c>
      <c r="I1337" s="444">
        <f t="shared" ca="1" si="128"/>
        <v>-6521926.4718154147</v>
      </c>
      <c r="J1337" s="444">
        <f t="array" ref="J1337">IFERROR(INDEX('Retirement Calculator'!J:J,MATCH('Isaac 401k'!N1337,'Retirement Calculator'!A:A,0),0),0)</f>
        <v>0</v>
      </c>
      <c r="K1337" s="444">
        <f t="shared" ca="1" si="126"/>
        <v>-27174.693632564227</v>
      </c>
      <c r="L1337" s="444">
        <f t="shared" ca="1" si="127"/>
        <v>-6549101.1654479792</v>
      </c>
      <c r="M1337" s="460">
        <f t="shared" si="129"/>
        <v>0.05</v>
      </c>
      <c r="N1337" s="464">
        <f t="shared" si="130"/>
        <v>91737</v>
      </c>
    </row>
    <row r="1338" spans="7:14" ht="11.25" customHeight="1" x14ac:dyDescent="0.3">
      <c r="G1338" s="459"/>
      <c r="H1338" s="459">
        <v>1331</v>
      </c>
      <c r="I1338" s="444">
        <f t="shared" ca="1" si="128"/>
        <v>-6549101.1654479792</v>
      </c>
      <c r="J1338" s="444">
        <f t="array" ref="J1338">IFERROR(INDEX('Retirement Calculator'!J:J,MATCH('Isaac 401k'!N1338,'Retirement Calculator'!A:A,0),0),0)</f>
        <v>0</v>
      </c>
      <c r="K1338" s="444">
        <f t="shared" ca="1" si="126"/>
        <v>-27287.921522699911</v>
      </c>
      <c r="L1338" s="444">
        <f t="shared" ca="1" si="127"/>
        <v>-6576389.0869706795</v>
      </c>
      <c r="M1338" s="460">
        <f t="shared" si="129"/>
        <v>0.05</v>
      </c>
      <c r="N1338" s="464">
        <f t="shared" si="130"/>
        <v>91768</v>
      </c>
    </row>
    <row r="1339" spans="7:14" ht="11.25" customHeight="1" x14ac:dyDescent="0.3">
      <c r="G1339" s="459"/>
      <c r="H1339" s="459">
        <v>1332</v>
      </c>
      <c r="I1339" s="444">
        <f t="shared" ca="1" si="128"/>
        <v>-6576389.0869706795</v>
      </c>
      <c r="J1339" s="444">
        <f t="array" ref="J1339">IFERROR(INDEX('Retirement Calculator'!J:J,MATCH('Isaac 401k'!N1339,'Retirement Calculator'!A:A,0),0),0)</f>
        <v>0</v>
      </c>
      <c r="K1339" s="444">
        <f t="shared" ca="1" si="126"/>
        <v>-27401.621195711163</v>
      </c>
      <c r="L1339" s="444">
        <f t="shared" ca="1" si="127"/>
        <v>-6603790.7081663907</v>
      </c>
      <c r="M1339" s="460">
        <f t="shared" si="129"/>
        <v>0.05</v>
      </c>
      <c r="N1339" s="464">
        <f t="shared" si="130"/>
        <v>91798</v>
      </c>
    </row>
    <row r="1340" spans="7:14" ht="11.25" customHeight="1" x14ac:dyDescent="0.3">
      <c r="G1340" s="459"/>
      <c r="H1340" s="459">
        <v>1333</v>
      </c>
      <c r="I1340" s="444">
        <f t="shared" ca="1" si="128"/>
        <v>-6603790.7081663907</v>
      </c>
      <c r="J1340" s="444">
        <f t="array" ref="J1340">IFERROR(INDEX('Retirement Calculator'!J:J,MATCH('Isaac 401k'!N1340,'Retirement Calculator'!A:A,0),0),0)</f>
        <v>0</v>
      </c>
      <c r="K1340" s="444">
        <f t="shared" ca="1" si="126"/>
        <v>-27515.794617359959</v>
      </c>
      <c r="L1340" s="444">
        <f t="shared" ca="1" si="127"/>
        <v>-6631306.5027837502</v>
      </c>
      <c r="M1340" s="460">
        <f t="shared" si="129"/>
        <v>0.05</v>
      </c>
      <c r="N1340" s="464">
        <f t="shared" si="130"/>
        <v>91829</v>
      </c>
    </row>
    <row r="1341" spans="7:14" ht="11.25" customHeight="1" x14ac:dyDescent="0.3">
      <c r="G1341" s="459"/>
      <c r="H1341" s="459">
        <v>1334</v>
      </c>
      <c r="I1341" s="444">
        <f t="shared" ca="1" si="128"/>
        <v>-6631306.5027837502</v>
      </c>
      <c r="J1341" s="444">
        <f t="array" ref="J1341">IFERROR(INDEX('Retirement Calculator'!J:J,MATCH('Isaac 401k'!N1341,'Retirement Calculator'!A:A,0),0),0)</f>
        <v>0</v>
      </c>
      <c r="K1341" s="444">
        <f t="shared" ca="1" si="126"/>
        <v>-27630.443761598963</v>
      </c>
      <c r="L1341" s="444">
        <f t="shared" ca="1" si="127"/>
        <v>-6658936.9465453494</v>
      </c>
      <c r="M1341" s="460">
        <f t="shared" si="129"/>
        <v>0.05</v>
      </c>
      <c r="N1341" s="464">
        <f t="shared" si="130"/>
        <v>91859</v>
      </c>
    </row>
    <row r="1342" spans="7:14" ht="11.25" customHeight="1" x14ac:dyDescent="0.3">
      <c r="G1342" s="459"/>
      <c r="H1342" s="459">
        <v>1335</v>
      </c>
      <c r="I1342" s="444">
        <f t="shared" ca="1" si="128"/>
        <v>-6658936.9465453494</v>
      </c>
      <c r="J1342" s="444">
        <f t="array" ref="J1342">IFERROR(INDEX('Retirement Calculator'!J:J,MATCH('Isaac 401k'!N1342,'Retirement Calculator'!A:A,0),0),0)</f>
        <v>0</v>
      </c>
      <c r="K1342" s="444">
        <f t="shared" ca="1" si="126"/>
        <v>-27745.57061060562</v>
      </c>
      <c r="L1342" s="444">
        <f t="shared" ca="1" si="127"/>
        <v>-6686682.5171559546</v>
      </c>
      <c r="M1342" s="460">
        <f t="shared" si="129"/>
        <v>0.05</v>
      </c>
      <c r="N1342" s="464">
        <f t="shared" si="130"/>
        <v>91890</v>
      </c>
    </row>
    <row r="1343" spans="7:14" ht="11.25" customHeight="1" x14ac:dyDescent="0.3">
      <c r="G1343" s="459"/>
      <c r="H1343" s="459">
        <v>1336</v>
      </c>
      <c r="I1343" s="444">
        <f t="shared" ca="1" si="128"/>
        <v>-6686682.5171559546</v>
      </c>
      <c r="J1343" s="444">
        <f t="array" ref="J1343">IFERROR(INDEX('Retirement Calculator'!J:J,MATCH('Isaac 401k'!N1343,'Retirement Calculator'!A:A,0),0),0)</f>
        <v>0</v>
      </c>
      <c r="K1343" s="444">
        <f t="shared" ca="1" si="126"/>
        <v>-27861.177154816472</v>
      </c>
      <c r="L1343" s="444">
        <f t="shared" ca="1" si="127"/>
        <v>-6714543.6943107713</v>
      </c>
      <c r="M1343" s="460">
        <f t="shared" si="129"/>
        <v>0.05</v>
      </c>
      <c r="N1343" s="464">
        <f t="shared" si="130"/>
        <v>91921</v>
      </c>
    </row>
    <row r="1344" spans="7:14" ht="11.25" customHeight="1" x14ac:dyDescent="0.3">
      <c r="G1344" s="459"/>
      <c r="H1344" s="459">
        <v>1337</v>
      </c>
      <c r="I1344" s="444">
        <f t="shared" ca="1" si="128"/>
        <v>-6714543.6943107713</v>
      </c>
      <c r="J1344" s="444">
        <f t="array" ref="J1344">IFERROR(INDEX('Retirement Calculator'!J:J,MATCH('Isaac 401k'!N1344,'Retirement Calculator'!A:A,0),0),0)</f>
        <v>0</v>
      </c>
      <c r="K1344" s="444">
        <f t="shared" ca="1" si="126"/>
        <v>-27977.265392961548</v>
      </c>
      <c r="L1344" s="444">
        <f t="shared" ca="1" si="127"/>
        <v>-6742520.9597037332</v>
      </c>
      <c r="M1344" s="460">
        <f t="shared" si="129"/>
        <v>0.05</v>
      </c>
      <c r="N1344" s="464">
        <f t="shared" si="130"/>
        <v>91951</v>
      </c>
    </row>
    <row r="1345" spans="7:14" ht="11.25" customHeight="1" x14ac:dyDescent="0.3">
      <c r="G1345" s="459"/>
      <c r="H1345" s="459">
        <v>1338</v>
      </c>
      <c r="I1345" s="444">
        <f t="shared" ca="1" si="128"/>
        <v>-6742520.9597037332</v>
      </c>
      <c r="J1345" s="444">
        <f t="array" ref="J1345">IFERROR(INDEX('Retirement Calculator'!J:J,MATCH('Isaac 401k'!N1345,'Retirement Calculator'!A:A,0),0),0)</f>
        <v>0</v>
      </c>
      <c r="K1345" s="444">
        <f t="shared" ca="1" si="126"/>
        <v>-28093.83733209889</v>
      </c>
      <c r="L1345" s="444">
        <f t="shared" ca="1" si="127"/>
        <v>-6770614.797035832</v>
      </c>
      <c r="M1345" s="460">
        <f t="shared" si="129"/>
        <v>0.05</v>
      </c>
      <c r="N1345" s="464">
        <f t="shared" si="130"/>
        <v>91982</v>
      </c>
    </row>
    <row r="1346" spans="7:14" ht="11.25" customHeight="1" x14ac:dyDescent="0.3">
      <c r="G1346" s="459"/>
      <c r="H1346" s="459">
        <v>1339</v>
      </c>
      <c r="I1346" s="444">
        <f t="shared" ca="1" si="128"/>
        <v>-6770614.797035832</v>
      </c>
      <c r="J1346" s="444">
        <f t="array" ref="J1346">IFERROR(INDEX('Retirement Calculator'!J:J,MATCH('Isaac 401k'!N1346,'Retirement Calculator'!A:A,0),0),0)</f>
        <v>0</v>
      </c>
      <c r="K1346" s="444">
        <f t="shared" ca="1" si="126"/>
        <v>-28210.894987649299</v>
      </c>
      <c r="L1346" s="444">
        <f t="shared" ca="1" si="127"/>
        <v>-6798825.6920234812</v>
      </c>
      <c r="M1346" s="460">
        <f t="shared" si="129"/>
        <v>0.05</v>
      </c>
      <c r="N1346" s="464">
        <f t="shared" si="130"/>
        <v>92012</v>
      </c>
    </row>
    <row r="1347" spans="7:14" ht="11.25" customHeight="1" x14ac:dyDescent="0.3">
      <c r="G1347" s="459"/>
      <c r="H1347" s="459">
        <v>1340</v>
      </c>
      <c r="I1347" s="444">
        <f t="shared" ca="1" si="128"/>
        <v>-6798825.6920234812</v>
      </c>
      <c r="J1347" s="444">
        <f t="array" ref="J1347">IFERROR(INDEX('Retirement Calculator'!J:J,MATCH('Isaac 401k'!N1347,'Retirement Calculator'!A:A,0),0),0)</f>
        <v>0</v>
      </c>
      <c r="K1347" s="444">
        <f t="shared" ca="1" si="126"/>
        <v>-28328.440383431171</v>
      </c>
      <c r="L1347" s="444">
        <f t="shared" ca="1" si="127"/>
        <v>-6827154.1324069127</v>
      </c>
      <c r="M1347" s="460">
        <f t="shared" si="129"/>
        <v>0.05</v>
      </c>
      <c r="N1347" s="464">
        <f t="shared" si="130"/>
        <v>92043</v>
      </c>
    </row>
    <row r="1348" spans="7:14" ht="11.25" customHeight="1" x14ac:dyDescent="0.3">
      <c r="G1348" s="459"/>
      <c r="H1348" s="459">
        <v>1341</v>
      </c>
      <c r="I1348" s="444">
        <f t="shared" ca="1" si="128"/>
        <v>-6827154.1324069127</v>
      </c>
      <c r="J1348" s="444">
        <f t="array" ref="J1348">IFERROR(INDEX('Retirement Calculator'!J:J,MATCH('Isaac 401k'!N1348,'Retirement Calculator'!A:A,0),0),0)</f>
        <v>0</v>
      </c>
      <c r="K1348" s="444">
        <f t="shared" ca="1" si="126"/>
        <v>-28446.475551695468</v>
      </c>
      <c r="L1348" s="444">
        <f t="shared" ca="1" si="127"/>
        <v>-6855600.6079586083</v>
      </c>
      <c r="M1348" s="460">
        <f t="shared" si="129"/>
        <v>0.05</v>
      </c>
      <c r="N1348" s="464">
        <f t="shared" si="130"/>
        <v>92074</v>
      </c>
    </row>
    <row r="1349" spans="7:14" ht="11.25" customHeight="1" x14ac:dyDescent="0.3">
      <c r="G1349" s="459"/>
      <c r="H1349" s="459">
        <v>1342</v>
      </c>
      <c r="I1349" s="444">
        <f t="shared" ca="1" si="128"/>
        <v>-6855600.6079586083</v>
      </c>
      <c r="J1349" s="444">
        <f t="array" ref="J1349">IFERROR(INDEX('Retirement Calculator'!J:J,MATCH('Isaac 401k'!N1349,'Retirement Calculator'!A:A,0),0),0)</f>
        <v>0</v>
      </c>
      <c r="K1349" s="444">
        <f t="shared" ca="1" si="126"/>
        <v>-28565.00253316087</v>
      </c>
      <c r="L1349" s="444">
        <f t="shared" ca="1" si="127"/>
        <v>-6884165.6104917694</v>
      </c>
      <c r="M1349" s="460">
        <f t="shared" si="129"/>
        <v>0.05</v>
      </c>
      <c r="N1349" s="464">
        <f t="shared" si="130"/>
        <v>92103</v>
      </c>
    </row>
    <row r="1350" spans="7:14" ht="11.25" customHeight="1" x14ac:dyDescent="0.3">
      <c r="G1350" s="459"/>
      <c r="H1350" s="459">
        <v>1343</v>
      </c>
      <c r="I1350" s="444">
        <f t="shared" ca="1" si="128"/>
        <v>-6884165.6104917694</v>
      </c>
      <c r="J1350" s="444">
        <f t="array" ref="J1350">IFERROR(INDEX('Retirement Calculator'!J:J,MATCH('Isaac 401k'!N1350,'Retirement Calculator'!A:A,0),0),0)</f>
        <v>0</v>
      </c>
      <c r="K1350" s="444">
        <f t="shared" ca="1" si="126"/>
        <v>-28684.023377049038</v>
      </c>
      <c r="L1350" s="444">
        <f t="shared" ca="1" si="127"/>
        <v>-6912849.6338688182</v>
      </c>
      <c r="M1350" s="460">
        <f t="shared" si="129"/>
        <v>0.05</v>
      </c>
      <c r="N1350" s="464">
        <f t="shared" si="130"/>
        <v>92134</v>
      </c>
    </row>
    <row r="1351" spans="7:14" ht="11.25" customHeight="1" x14ac:dyDescent="0.3">
      <c r="G1351" s="459"/>
      <c r="H1351" s="459">
        <v>1344</v>
      </c>
      <c r="I1351" s="444">
        <f t="shared" ca="1" si="128"/>
        <v>-6912849.6338688182</v>
      </c>
      <c r="J1351" s="444">
        <f t="array" ref="J1351">IFERROR(INDEX('Retirement Calculator'!J:J,MATCH('Isaac 401k'!N1351,'Retirement Calculator'!A:A,0),0),0)</f>
        <v>0</v>
      </c>
      <c r="K1351" s="444">
        <f t="shared" ca="1" si="126"/>
        <v>-28803.54014112008</v>
      </c>
      <c r="L1351" s="444">
        <f t="shared" ca="1" si="127"/>
        <v>-6941653.1740099378</v>
      </c>
      <c r="M1351" s="460">
        <f t="shared" si="129"/>
        <v>0.05</v>
      </c>
      <c r="N1351" s="464">
        <f t="shared" si="130"/>
        <v>92164</v>
      </c>
    </row>
    <row r="1352" spans="7:14" ht="11.25" customHeight="1" x14ac:dyDescent="0.3">
      <c r="G1352" s="459"/>
      <c r="H1352" s="459">
        <v>1345</v>
      </c>
      <c r="I1352" s="444">
        <f t="shared" ca="1" si="128"/>
        <v>-6941653.1740099378</v>
      </c>
      <c r="J1352" s="444">
        <f t="array" ref="J1352">IFERROR(INDEX('Retirement Calculator'!J:J,MATCH('Isaac 401k'!N1352,'Retirement Calculator'!A:A,0),0),0)</f>
        <v>0</v>
      </c>
      <c r="K1352" s="444">
        <f t="shared" ca="1" si="126"/>
        <v>-28923.554891708078</v>
      </c>
      <c r="L1352" s="444">
        <f t="shared" ca="1" si="127"/>
        <v>-6970576.7289016461</v>
      </c>
      <c r="M1352" s="460">
        <f t="shared" si="129"/>
        <v>0.05</v>
      </c>
      <c r="N1352" s="464">
        <f t="shared" si="130"/>
        <v>92195</v>
      </c>
    </row>
    <row r="1353" spans="7:14" ht="11.25" customHeight="1" x14ac:dyDescent="0.3">
      <c r="G1353" s="459"/>
      <c r="H1353" s="459">
        <v>1346</v>
      </c>
      <c r="I1353" s="444">
        <f t="shared" ca="1" si="128"/>
        <v>-6970576.7289016461</v>
      </c>
      <c r="J1353" s="444">
        <f t="array" ref="J1353">IFERROR(INDEX('Retirement Calculator'!J:J,MATCH('Isaac 401k'!N1353,'Retirement Calculator'!A:A,0),0),0)</f>
        <v>0</v>
      </c>
      <c r="K1353" s="444">
        <f t="shared" ca="1" si="126"/>
        <v>-29044.069703756857</v>
      </c>
      <c r="L1353" s="444">
        <f t="shared" ca="1" si="127"/>
        <v>-6999620.7986054029</v>
      </c>
      <c r="M1353" s="460">
        <f t="shared" si="129"/>
        <v>0.05</v>
      </c>
      <c r="N1353" s="464">
        <f t="shared" si="130"/>
        <v>92225</v>
      </c>
    </row>
    <row r="1354" spans="7:14" ht="11.25" customHeight="1" x14ac:dyDescent="0.3">
      <c r="G1354" s="459"/>
      <c r="H1354" s="459">
        <v>1347</v>
      </c>
      <c r="I1354" s="444">
        <f t="shared" ca="1" si="128"/>
        <v>-6999620.7986054029</v>
      </c>
      <c r="J1354" s="444">
        <f t="array" ref="J1354">IFERROR(INDEX('Retirement Calculator'!J:J,MATCH('Isaac 401k'!N1354,'Retirement Calculator'!A:A,0),0),0)</f>
        <v>0</v>
      </c>
      <c r="K1354" s="444">
        <f t="shared" ca="1" si="126"/>
        <v>-29165.086660855843</v>
      </c>
      <c r="L1354" s="444">
        <f t="shared" ca="1" si="127"/>
        <v>-7028785.8852662584</v>
      </c>
      <c r="M1354" s="460">
        <f t="shared" si="129"/>
        <v>0.05</v>
      </c>
      <c r="N1354" s="464">
        <f t="shared" si="130"/>
        <v>92256</v>
      </c>
    </row>
    <row r="1355" spans="7:14" ht="11.25" customHeight="1" x14ac:dyDescent="0.3">
      <c r="G1355" s="459"/>
      <c r="H1355" s="459">
        <v>1348</v>
      </c>
      <c r="I1355" s="444">
        <f t="shared" ca="1" si="128"/>
        <v>-7028785.8852662584</v>
      </c>
      <c r="J1355" s="444">
        <f t="array" ref="J1355">IFERROR(INDEX('Retirement Calculator'!J:J,MATCH('Isaac 401k'!N1355,'Retirement Calculator'!A:A,0),0),0)</f>
        <v>0</v>
      </c>
      <c r="K1355" s="444">
        <f t="shared" ca="1" si="126"/>
        <v>-29286.607855276077</v>
      </c>
      <c r="L1355" s="444">
        <f t="shared" ca="1" si="127"/>
        <v>-7058072.4931215346</v>
      </c>
      <c r="M1355" s="460">
        <f t="shared" si="129"/>
        <v>0.05</v>
      </c>
      <c r="N1355" s="464">
        <f t="shared" si="130"/>
        <v>92287</v>
      </c>
    </row>
    <row r="1356" spans="7:14" ht="11.25" customHeight="1" x14ac:dyDescent="0.3">
      <c r="G1356" s="459"/>
      <c r="H1356" s="459">
        <v>1349</v>
      </c>
      <c r="I1356" s="444">
        <f t="shared" ca="1" si="128"/>
        <v>-7058072.4931215346</v>
      </c>
      <c r="J1356" s="444">
        <f t="array" ref="J1356">IFERROR(INDEX('Retirement Calculator'!J:J,MATCH('Isaac 401k'!N1356,'Retirement Calculator'!A:A,0),0),0)</f>
        <v>0</v>
      </c>
      <c r="K1356" s="444">
        <f t="shared" ca="1" si="126"/>
        <v>-29408.635388006394</v>
      </c>
      <c r="L1356" s="444">
        <f t="shared" ca="1" si="127"/>
        <v>-7087481.128509541</v>
      </c>
      <c r="M1356" s="460">
        <f t="shared" si="129"/>
        <v>0.05</v>
      </c>
      <c r="N1356" s="464">
        <f t="shared" si="130"/>
        <v>92317</v>
      </c>
    </row>
    <row r="1357" spans="7:14" ht="11.25" customHeight="1" x14ac:dyDescent="0.3">
      <c r="G1357" s="459"/>
      <c r="H1357" s="459">
        <v>1350</v>
      </c>
      <c r="I1357" s="444">
        <f t="shared" ca="1" si="128"/>
        <v>-7087481.128509541</v>
      </c>
      <c r="J1357" s="444">
        <f t="array" ref="J1357">IFERROR(INDEX('Retirement Calculator'!J:J,MATCH('Isaac 401k'!N1357,'Retirement Calculator'!A:A,0),0),0)</f>
        <v>0</v>
      </c>
      <c r="K1357" s="444">
        <f t="shared" ca="1" si="126"/>
        <v>-29531.171368789754</v>
      </c>
      <c r="L1357" s="444">
        <f t="shared" ca="1" si="127"/>
        <v>-7117012.2998783309</v>
      </c>
      <c r="M1357" s="460">
        <f t="shared" si="129"/>
        <v>0.05</v>
      </c>
      <c r="N1357" s="464">
        <f t="shared" si="130"/>
        <v>92348</v>
      </c>
    </row>
    <row r="1358" spans="7:14" ht="11.25" customHeight="1" x14ac:dyDescent="0.3">
      <c r="G1358" s="459"/>
      <c r="H1358" s="459">
        <v>1351</v>
      </c>
      <c r="I1358" s="444">
        <f t="shared" ca="1" si="128"/>
        <v>-7117012.2998783309</v>
      </c>
      <c r="J1358" s="444">
        <f t="array" ref="J1358">IFERROR(INDEX('Retirement Calculator'!J:J,MATCH('Isaac 401k'!N1358,'Retirement Calculator'!A:A,0),0),0)</f>
        <v>0</v>
      </c>
      <c r="K1358" s="444">
        <f t="shared" ca="1" si="126"/>
        <v>-29654.217916159712</v>
      </c>
      <c r="L1358" s="444">
        <f t="shared" ca="1" si="127"/>
        <v>-7146666.5177944908</v>
      </c>
      <c r="M1358" s="460">
        <f t="shared" si="129"/>
        <v>0.05</v>
      </c>
      <c r="N1358" s="464">
        <f t="shared" si="130"/>
        <v>92378</v>
      </c>
    </row>
    <row r="1359" spans="7:14" ht="11.25" customHeight="1" x14ac:dyDescent="0.3">
      <c r="G1359" s="459"/>
      <c r="H1359" s="459">
        <v>1352</v>
      </c>
      <c r="I1359" s="444">
        <f t="shared" ca="1" si="128"/>
        <v>-7146666.5177944908</v>
      </c>
      <c r="J1359" s="444">
        <f t="array" ref="J1359">IFERROR(INDEX('Retirement Calculator'!J:J,MATCH('Isaac 401k'!N1359,'Retirement Calculator'!A:A,0),0),0)</f>
        <v>0</v>
      </c>
      <c r="K1359" s="444">
        <f t="shared" ca="1" si="126"/>
        <v>-29777.777157477045</v>
      </c>
      <c r="L1359" s="444">
        <f t="shared" ca="1" si="127"/>
        <v>-7176444.2949519679</v>
      </c>
      <c r="M1359" s="460">
        <f t="shared" si="129"/>
        <v>0.05</v>
      </c>
      <c r="N1359" s="464">
        <f t="shared" si="130"/>
        <v>92409</v>
      </c>
    </row>
    <row r="1360" spans="7:14" ht="11.25" customHeight="1" x14ac:dyDescent="0.3">
      <c r="G1360" s="459"/>
      <c r="H1360" s="459">
        <v>1353</v>
      </c>
      <c r="I1360" s="444">
        <f t="shared" ca="1" si="128"/>
        <v>-7176444.2949519679</v>
      </c>
      <c r="J1360" s="444">
        <f t="array" ref="J1360">IFERROR(INDEX('Retirement Calculator'!J:J,MATCH('Isaac 401k'!N1360,'Retirement Calculator'!A:A,0),0),0)</f>
        <v>0</v>
      </c>
      <c r="K1360" s="444">
        <f t="shared" ca="1" si="126"/>
        <v>-29901.851228966538</v>
      </c>
      <c r="L1360" s="444">
        <f t="shared" ca="1" si="127"/>
        <v>-7206346.1461809343</v>
      </c>
      <c r="M1360" s="460">
        <f t="shared" si="129"/>
        <v>0.05</v>
      </c>
      <c r="N1360" s="464">
        <f t="shared" si="130"/>
        <v>92440</v>
      </c>
    </row>
    <row r="1361" spans="7:14" ht="11.25" customHeight="1" x14ac:dyDescent="0.3">
      <c r="G1361" s="459"/>
      <c r="H1361" s="459">
        <v>1354</v>
      </c>
      <c r="I1361" s="444">
        <f t="shared" ca="1" si="128"/>
        <v>-7206346.1461809343</v>
      </c>
      <c r="J1361" s="444">
        <f t="array" ref="J1361">IFERROR(INDEX('Retirement Calculator'!J:J,MATCH('Isaac 401k'!N1361,'Retirement Calculator'!A:A,0),0),0)</f>
        <v>0</v>
      </c>
      <c r="K1361" s="444">
        <f t="shared" ca="1" si="126"/>
        <v>-30026.442275753896</v>
      </c>
      <c r="L1361" s="444">
        <f t="shared" ca="1" si="127"/>
        <v>-7236372.5884566884</v>
      </c>
      <c r="M1361" s="460">
        <f t="shared" si="129"/>
        <v>0.05</v>
      </c>
      <c r="N1361" s="464">
        <f t="shared" si="130"/>
        <v>92468</v>
      </c>
    </row>
    <row r="1362" spans="7:14" ht="11.25" customHeight="1" x14ac:dyDescent="0.3">
      <c r="G1362" s="459"/>
      <c r="H1362" s="459">
        <v>1355</v>
      </c>
      <c r="I1362" s="444">
        <f t="shared" ca="1" si="128"/>
        <v>-7236372.5884566884</v>
      </c>
      <c r="J1362" s="444">
        <f t="array" ref="J1362">IFERROR(INDEX('Retirement Calculator'!J:J,MATCH('Isaac 401k'!N1362,'Retirement Calculator'!A:A,0),0),0)</f>
        <v>0</v>
      </c>
      <c r="K1362" s="444">
        <f t="shared" ca="1" si="126"/>
        <v>-30151.55245190287</v>
      </c>
      <c r="L1362" s="444">
        <f t="shared" ca="1" si="127"/>
        <v>-7266524.1409085914</v>
      </c>
      <c r="M1362" s="460">
        <f t="shared" si="129"/>
        <v>0.05</v>
      </c>
      <c r="N1362" s="464">
        <f t="shared" si="130"/>
        <v>92499</v>
      </c>
    </row>
    <row r="1363" spans="7:14" ht="11.25" customHeight="1" x14ac:dyDescent="0.3">
      <c r="G1363" s="459"/>
      <c r="H1363" s="459">
        <v>1356</v>
      </c>
      <c r="I1363" s="444">
        <f t="shared" ca="1" si="128"/>
        <v>-7266524.1409085914</v>
      </c>
      <c r="J1363" s="444">
        <f t="array" ref="J1363">IFERROR(INDEX('Retirement Calculator'!J:J,MATCH('Isaac 401k'!N1363,'Retirement Calculator'!A:A,0),0),0)</f>
        <v>0</v>
      </c>
      <c r="K1363" s="444">
        <f t="shared" ca="1" si="126"/>
        <v>-30277.183920452459</v>
      </c>
      <c r="L1363" s="444">
        <f t="shared" ca="1" si="127"/>
        <v>-7296801.3248290438</v>
      </c>
      <c r="M1363" s="460">
        <f t="shared" si="129"/>
        <v>0.05</v>
      </c>
      <c r="N1363" s="464">
        <f t="shared" si="130"/>
        <v>92529</v>
      </c>
    </row>
    <row r="1364" spans="7:14" ht="11.25" customHeight="1" x14ac:dyDescent="0.3">
      <c r="G1364" s="459"/>
      <c r="H1364" s="459">
        <v>1357</v>
      </c>
      <c r="I1364" s="444">
        <f t="shared" ca="1" si="128"/>
        <v>-7296801.3248290438</v>
      </c>
      <c r="J1364" s="444">
        <f t="array" ref="J1364">IFERROR(INDEX('Retirement Calculator'!J:J,MATCH('Isaac 401k'!N1364,'Retirement Calculator'!A:A,0),0),0)</f>
        <v>0</v>
      </c>
      <c r="K1364" s="444">
        <f t="shared" ca="1" si="126"/>
        <v>-30403.338853454348</v>
      </c>
      <c r="L1364" s="444">
        <f t="shared" ca="1" si="127"/>
        <v>-7327204.663682498</v>
      </c>
      <c r="M1364" s="460">
        <f t="shared" si="129"/>
        <v>0.05</v>
      </c>
      <c r="N1364" s="464">
        <f t="shared" si="130"/>
        <v>92560</v>
      </c>
    </row>
    <row r="1365" spans="7:14" ht="11.25" customHeight="1" x14ac:dyDescent="0.3">
      <c r="G1365" s="459"/>
      <c r="H1365" s="459">
        <v>1358</v>
      </c>
      <c r="I1365" s="444">
        <f t="shared" ca="1" si="128"/>
        <v>-7327204.663682498</v>
      </c>
      <c r="J1365" s="444">
        <f t="array" ref="J1365">IFERROR(INDEX('Retirement Calculator'!J:J,MATCH('Isaac 401k'!N1365,'Retirement Calculator'!A:A,0),0),0)</f>
        <v>0</v>
      </c>
      <c r="K1365" s="444">
        <f t="shared" ca="1" si="126"/>
        <v>-30530.019432010409</v>
      </c>
      <c r="L1365" s="444">
        <f t="shared" ca="1" si="127"/>
        <v>-7357734.6831145082</v>
      </c>
      <c r="M1365" s="460">
        <f t="shared" si="129"/>
        <v>0.05</v>
      </c>
      <c r="N1365" s="464">
        <f t="shared" si="130"/>
        <v>92590</v>
      </c>
    </row>
    <row r="1366" spans="7:14" ht="11.25" customHeight="1" x14ac:dyDescent="0.3">
      <c r="G1366" s="459"/>
      <c r="H1366" s="459">
        <v>1359</v>
      </c>
      <c r="I1366" s="444">
        <f t="shared" ca="1" si="128"/>
        <v>-7357734.6831145082</v>
      </c>
      <c r="J1366" s="444">
        <f t="array" ref="J1366">IFERROR(INDEX('Retirement Calculator'!J:J,MATCH('Isaac 401k'!N1366,'Retirement Calculator'!A:A,0),0),0)</f>
        <v>0</v>
      </c>
      <c r="K1366" s="444">
        <f t="shared" ca="1" si="126"/>
        <v>-30657.227846310449</v>
      </c>
      <c r="L1366" s="444">
        <f t="shared" ca="1" si="127"/>
        <v>-7388391.9109608186</v>
      </c>
      <c r="M1366" s="460">
        <f t="shared" si="129"/>
        <v>0.05</v>
      </c>
      <c r="N1366" s="464">
        <f t="shared" si="130"/>
        <v>92621</v>
      </c>
    </row>
    <row r="1367" spans="7:14" ht="11.25" customHeight="1" x14ac:dyDescent="0.3">
      <c r="G1367" s="459"/>
      <c r="H1367" s="459">
        <v>1360</v>
      </c>
      <c r="I1367" s="444">
        <f t="shared" ca="1" si="128"/>
        <v>-7388391.9109608186</v>
      </c>
      <c r="J1367" s="444">
        <f t="array" ref="J1367">IFERROR(INDEX('Retirement Calculator'!J:J,MATCH('Isaac 401k'!N1367,'Retirement Calculator'!A:A,0),0),0)</f>
        <v>0</v>
      </c>
      <c r="K1367" s="444">
        <f t="shared" ca="1" si="126"/>
        <v>-30784.966295670078</v>
      </c>
      <c r="L1367" s="444">
        <f t="shared" ca="1" si="127"/>
        <v>-7419176.8772564884</v>
      </c>
      <c r="M1367" s="460">
        <f t="shared" si="129"/>
        <v>0.05</v>
      </c>
      <c r="N1367" s="464">
        <f t="shared" si="130"/>
        <v>92652</v>
      </c>
    </row>
    <row r="1368" spans="7:14" ht="11.25" customHeight="1" x14ac:dyDescent="0.3">
      <c r="G1368" s="459"/>
      <c r="H1368" s="459">
        <v>1361</v>
      </c>
      <c r="I1368" s="444">
        <f t="shared" ca="1" si="128"/>
        <v>-7419176.8772564884</v>
      </c>
      <c r="J1368" s="444">
        <f t="array" ref="J1368">IFERROR(INDEX('Retirement Calculator'!J:J,MATCH('Isaac 401k'!N1368,'Retirement Calculator'!A:A,0),0),0)</f>
        <v>0</v>
      </c>
      <c r="K1368" s="444">
        <f t="shared" ca="1" si="126"/>
        <v>-30913.2369885687</v>
      </c>
      <c r="L1368" s="444">
        <f t="shared" ca="1" si="127"/>
        <v>-7450090.1142450571</v>
      </c>
      <c r="M1368" s="460">
        <f t="shared" si="129"/>
        <v>0.05</v>
      </c>
      <c r="N1368" s="464">
        <f t="shared" si="130"/>
        <v>92682</v>
      </c>
    </row>
    <row r="1369" spans="7:14" ht="11.25" customHeight="1" x14ac:dyDescent="0.3">
      <c r="G1369" s="459"/>
      <c r="H1369" s="459">
        <v>1362</v>
      </c>
      <c r="I1369" s="444">
        <f t="shared" ca="1" si="128"/>
        <v>-7450090.1142450571</v>
      </c>
      <c r="J1369" s="444">
        <f t="array" ref="J1369">IFERROR(INDEX('Retirement Calculator'!J:J,MATCH('Isaac 401k'!N1369,'Retirement Calculator'!A:A,0),0),0)</f>
        <v>0</v>
      </c>
      <c r="K1369" s="444">
        <f t="shared" ca="1" si="126"/>
        <v>-31042.042142687736</v>
      </c>
      <c r="L1369" s="444">
        <f t="shared" ca="1" si="127"/>
        <v>-7481132.1563877445</v>
      </c>
      <c r="M1369" s="460">
        <f t="shared" si="129"/>
        <v>0.05</v>
      </c>
      <c r="N1369" s="464">
        <f t="shared" si="130"/>
        <v>92713</v>
      </c>
    </row>
    <row r="1370" spans="7:14" ht="11.25" customHeight="1" x14ac:dyDescent="0.3">
      <c r="G1370" s="459"/>
      <c r="H1370" s="459">
        <v>1363</v>
      </c>
      <c r="I1370" s="444">
        <f t="shared" ca="1" si="128"/>
        <v>-7481132.1563877445</v>
      </c>
      <c r="J1370" s="444">
        <f t="array" ref="J1370">IFERROR(INDEX('Retirement Calculator'!J:J,MATCH('Isaac 401k'!N1370,'Retirement Calculator'!A:A,0),0),0)</f>
        <v>0</v>
      </c>
      <c r="K1370" s="444">
        <f t="shared" ca="1" si="126"/>
        <v>-31171.383984948934</v>
      </c>
      <c r="L1370" s="444">
        <f t="shared" ca="1" si="127"/>
        <v>-7512303.540372693</v>
      </c>
      <c r="M1370" s="460">
        <f t="shared" si="129"/>
        <v>0.05</v>
      </c>
      <c r="N1370" s="464">
        <f t="shared" si="130"/>
        <v>92743</v>
      </c>
    </row>
    <row r="1371" spans="7:14" ht="11.25" customHeight="1" x14ac:dyDescent="0.3">
      <c r="G1371" s="459"/>
      <c r="H1371" s="459">
        <v>1364</v>
      </c>
      <c r="I1371" s="444">
        <f t="shared" ca="1" si="128"/>
        <v>-7512303.540372693</v>
      </c>
      <c r="J1371" s="444">
        <f t="array" ref="J1371">IFERROR(INDEX('Retirement Calculator'!J:J,MATCH('Isaac 401k'!N1371,'Retirement Calculator'!A:A,0),0),0)</f>
        <v>0</v>
      </c>
      <c r="K1371" s="444">
        <f t="shared" ca="1" si="126"/>
        <v>-31301.264751552888</v>
      </c>
      <c r="L1371" s="444">
        <f t="shared" ca="1" si="127"/>
        <v>-7543604.8051242456</v>
      </c>
      <c r="M1371" s="460">
        <f t="shared" si="129"/>
        <v>0.05</v>
      </c>
      <c r="N1371" s="464">
        <f t="shared" si="130"/>
        <v>92774</v>
      </c>
    </row>
    <row r="1372" spans="7:14" ht="11.25" customHeight="1" x14ac:dyDescent="0.3">
      <c r="G1372" s="459"/>
      <c r="H1372" s="459">
        <v>1365</v>
      </c>
      <c r="I1372" s="444">
        <f t="shared" ca="1" si="128"/>
        <v>-7543604.8051242456</v>
      </c>
      <c r="J1372" s="444">
        <f t="array" ref="J1372">IFERROR(INDEX('Retirement Calculator'!J:J,MATCH('Isaac 401k'!N1372,'Retirement Calculator'!A:A,0),0),0)</f>
        <v>0</v>
      </c>
      <c r="K1372" s="444">
        <f t="shared" ca="1" si="126"/>
        <v>-31431.686688017689</v>
      </c>
      <c r="L1372" s="444">
        <f t="shared" ca="1" si="127"/>
        <v>-7575036.4918122636</v>
      </c>
      <c r="M1372" s="460">
        <f t="shared" si="129"/>
        <v>0.05</v>
      </c>
      <c r="N1372" s="464">
        <f t="shared" si="130"/>
        <v>92805</v>
      </c>
    </row>
    <row r="1373" spans="7:14" ht="11.25" customHeight="1" x14ac:dyDescent="0.3">
      <c r="G1373" s="459"/>
      <c r="H1373" s="459">
        <v>1366</v>
      </c>
      <c r="I1373" s="444">
        <f t="shared" ca="1" si="128"/>
        <v>-7575036.4918122636</v>
      </c>
      <c r="J1373" s="444">
        <f t="array" ref="J1373">IFERROR(INDEX('Retirement Calculator'!J:J,MATCH('Isaac 401k'!N1373,'Retirement Calculator'!A:A,0),0),0)</f>
        <v>0</v>
      </c>
      <c r="K1373" s="444">
        <f t="shared" ca="1" si="126"/>
        <v>-31562.652049217766</v>
      </c>
      <c r="L1373" s="444">
        <f t="shared" ca="1" si="127"/>
        <v>-7606599.143861481</v>
      </c>
      <c r="M1373" s="460">
        <f t="shared" si="129"/>
        <v>0.05</v>
      </c>
      <c r="N1373" s="464">
        <f t="shared" si="130"/>
        <v>92833</v>
      </c>
    </row>
    <row r="1374" spans="7:14" ht="11.25" customHeight="1" x14ac:dyDescent="0.3">
      <c r="G1374" s="459"/>
      <c r="H1374" s="459">
        <v>1367</v>
      </c>
      <c r="I1374" s="444">
        <f t="shared" ca="1" si="128"/>
        <v>-7606599.143861481</v>
      </c>
      <c r="J1374" s="444">
        <f t="array" ref="J1374">IFERROR(INDEX('Retirement Calculator'!J:J,MATCH('Isaac 401k'!N1374,'Retirement Calculator'!A:A,0),0),0)</f>
        <v>0</v>
      </c>
      <c r="K1374" s="444">
        <f t="shared" ca="1" si="126"/>
        <v>-31694.163099422836</v>
      </c>
      <c r="L1374" s="444">
        <f t="shared" ca="1" si="127"/>
        <v>-7638293.306960904</v>
      </c>
      <c r="M1374" s="460">
        <f t="shared" si="129"/>
        <v>0.05</v>
      </c>
      <c r="N1374" s="464">
        <f t="shared" si="130"/>
        <v>92864</v>
      </c>
    </row>
    <row r="1375" spans="7:14" ht="11.25" customHeight="1" x14ac:dyDescent="0.3">
      <c r="G1375" s="459"/>
      <c r="H1375" s="459">
        <v>1368</v>
      </c>
      <c r="I1375" s="444">
        <f t="shared" ca="1" si="128"/>
        <v>-7638293.306960904</v>
      </c>
      <c r="J1375" s="444">
        <f t="array" ref="J1375">IFERROR(INDEX('Retirement Calculator'!J:J,MATCH('Isaac 401k'!N1375,'Retirement Calculator'!A:A,0),0),0)</f>
        <v>0</v>
      </c>
      <c r="K1375" s="444">
        <f t="shared" ca="1" si="126"/>
        <v>-31826.222112337098</v>
      </c>
      <c r="L1375" s="444">
        <f t="shared" ca="1" si="127"/>
        <v>-7670119.5290732412</v>
      </c>
      <c r="M1375" s="460">
        <f t="shared" si="129"/>
        <v>0.05</v>
      </c>
      <c r="N1375" s="464">
        <f t="shared" si="130"/>
        <v>92894</v>
      </c>
    </row>
    <row r="1376" spans="7:14" ht="11.25" customHeight="1" x14ac:dyDescent="0.3">
      <c r="G1376" s="459"/>
      <c r="H1376" s="459">
        <v>1369</v>
      </c>
      <c r="I1376" s="444">
        <f t="shared" ca="1" si="128"/>
        <v>-7670119.5290732412</v>
      </c>
      <c r="J1376" s="444">
        <f t="array" ref="J1376">IFERROR(INDEX('Retirement Calculator'!J:J,MATCH('Isaac 401k'!N1376,'Retirement Calculator'!A:A,0),0),0)</f>
        <v>0</v>
      </c>
      <c r="K1376" s="444">
        <f t="shared" ca="1" si="126"/>
        <v>-31958.831371138505</v>
      </c>
      <c r="L1376" s="444">
        <f t="shared" ca="1" si="127"/>
        <v>-7702078.36044438</v>
      </c>
      <c r="M1376" s="460">
        <f t="shared" si="129"/>
        <v>0.05</v>
      </c>
      <c r="N1376" s="464">
        <f t="shared" si="130"/>
        <v>92925</v>
      </c>
    </row>
    <row r="1377" spans="7:14" ht="11.25" customHeight="1" x14ac:dyDescent="0.3">
      <c r="G1377" s="459"/>
      <c r="H1377" s="459">
        <v>1370</v>
      </c>
      <c r="I1377" s="444">
        <f t="shared" ca="1" si="128"/>
        <v>-7702078.36044438</v>
      </c>
      <c r="J1377" s="444">
        <f t="array" ref="J1377">IFERROR(INDEX('Retirement Calculator'!J:J,MATCH('Isaac 401k'!N1377,'Retirement Calculator'!A:A,0),0),0)</f>
        <v>0</v>
      </c>
      <c r="K1377" s="444">
        <f t="shared" ca="1" si="126"/>
        <v>-32091.993168518249</v>
      </c>
      <c r="L1377" s="444">
        <f t="shared" ca="1" si="127"/>
        <v>-7734170.3536128979</v>
      </c>
      <c r="M1377" s="460">
        <f t="shared" si="129"/>
        <v>0.05</v>
      </c>
      <c r="N1377" s="464">
        <f t="shared" si="130"/>
        <v>92955</v>
      </c>
    </row>
    <row r="1378" spans="7:14" ht="11.25" customHeight="1" x14ac:dyDescent="0.3">
      <c r="G1378" s="459"/>
      <c r="H1378" s="459">
        <v>1371</v>
      </c>
      <c r="I1378" s="444">
        <f t="shared" ca="1" si="128"/>
        <v>-7734170.3536128979</v>
      </c>
      <c r="J1378" s="444">
        <f t="array" ref="J1378">IFERROR(INDEX('Retirement Calculator'!J:J,MATCH('Isaac 401k'!N1378,'Retirement Calculator'!A:A,0),0),0)</f>
        <v>0</v>
      </c>
      <c r="K1378" s="444">
        <f t="shared" ca="1" si="126"/>
        <v>-32225.709806720406</v>
      </c>
      <c r="L1378" s="444">
        <f t="shared" ca="1" si="127"/>
        <v>-7766396.0634196186</v>
      </c>
      <c r="M1378" s="460">
        <f t="shared" si="129"/>
        <v>0.05</v>
      </c>
      <c r="N1378" s="464">
        <f t="shared" si="130"/>
        <v>92986</v>
      </c>
    </row>
    <row r="1379" spans="7:14" ht="11.25" customHeight="1" x14ac:dyDescent="0.3">
      <c r="G1379" s="459"/>
      <c r="H1379" s="459">
        <v>1372</v>
      </c>
      <c r="I1379" s="444">
        <f t="shared" ca="1" si="128"/>
        <v>-7766396.0634196186</v>
      </c>
      <c r="J1379" s="444">
        <f t="array" ref="J1379">IFERROR(INDEX('Retirement Calculator'!J:J,MATCH('Isaac 401k'!N1379,'Retirement Calculator'!A:A,0),0),0)</f>
        <v>0</v>
      </c>
      <c r="K1379" s="444">
        <f t="shared" ca="1" si="126"/>
        <v>-32359.983597581744</v>
      </c>
      <c r="L1379" s="444">
        <f t="shared" ca="1" si="127"/>
        <v>-7798756.0470172008</v>
      </c>
      <c r="M1379" s="460">
        <f t="shared" si="129"/>
        <v>0.05</v>
      </c>
      <c r="N1379" s="464">
        <f t="shared" si="130"/>
        <v>93017</v>
      </c>
    </row>
    <row r="1380" spans="7:14" ht="11.25" customHeight="1" x14ac:dyDescent="0.3">
      <c r="G1380" s="459"/>
      <c r="H1380" s="459">
        <v>1373</v>
      </c>
      <c r="I1380" s="444">
        <f t="shared" ca="1" si="128"/>
        <v>-7798756.0470172008</v>
      </c>
      <c r="J1380" s="444">
        <f t="array" ref="J1380">IFERROR(INDEX('Retirement Calculator'!J:J,MATCH('Isaac 401k'!N1380,'Retirement Calculator'!A:A,0),0),0)</f>
        <v>0</v>
      </c>
      <c r="K1380" s="444">
        <f t="shared" ca="1" si="126"/>
        <v>-32494.816862571675</v>
      </c>
      <c r="L1380" s="444">
        <f t="shared" ca="1" si="127"/>
        <v>-7831250.8638797728</v>
      </c>
      <c r="M1380" s="460">
        <f t="shared" si="129"/>
        <v>0.05</v>
      </c>
      <c r="N1380" s="464">
        <f t="shared" si="130"/>
        <v>93047</v>
      </c>
    </row>
    <row r="1381" spans="7:14" ht="11.25" customHeight="1" x14ac:dyDescent="0.3">
      <c r="G1381" s="459"/>
      <c r="H1381" s="459">
        <v>1374</v>
      </c>
      <c r="I1381" s="444">
        <f t="shared" ca="1" si="128"/>
        <v>-7831250.8638797728</v>
      </c>
      <c r="J1381" s="444">
        <f t="array" ref="J1381">IFERROR(INDEX('Retirement Calculator'!J:J,MATCH('Isaac 401k'!N1381,'Retirement Calculator'!A:A,0),0),0)</f>
        <v>0</v>
      </c>
      <c r="K1381" s="444">
        <f t="shared" ca="1" si="126"/>
        <v>-32630.211932832386</v>
      </c>
      <c r="L1381" s="444">
        <f t="shared" ca="1" si="127"/>
        <v>-7863881.0758126052</v>
      </c>
      <c r="M1381" s="460">
        <f t="shared" si="129"/>
        <v>0.05</v>
      </c>
      <c r="N1381" s="464">
        <f t="shared" si="130"/>
        <v>93078</v>
      </c>
    </row>
    <row r="1382" spans="7:14" ht="11.25" customHeight="1" x14ac:dyDescent="0.3">
      <c r="G1382" s="459"/>
      <c r="H1382" s="459">
        <v>1375</v>
      </c>
      <c r="I1382" s="444">
        <f t="shared" ca="1" si="128"/>
        <v>-7863881.0758126052</v>
      </c>
      <c r="J1382" s="444">
        <f t="array" ref="J1382">IFERROR(INDEX('Retirement Calculator'!J:J,MATCH('Isaac 401k'!N1382,'Retirement Calculator'!A:A,0),0),0)</f>
        <v>0</v>
      </c>
      <c r="K1382" s="444">
        <f t="shared" ca="1" si="126"/>
        <v>-32766.171149219186</v>
      </c>
      <c r="L1382" s="444">
        <f t="shared" ca="1" si="127"/>
        <v>-7896647.2469618246</v>
      </c>
      <c r="M1382" s="460">
        <f t="shared" si="129"/>
        <v>0.05</v>
      </c>
      <c r="N1382" s="464">
        <f t="shared" si="130"/>
        <v>93108</v>
      </c>
    </row>
    <row r="1383" spans="7:14" ht="11.25" customHeight="1" x14ac:dyDescent="0.3">
      <c r="G1383" s="459"/>
      <c r="H1383" s="459">
        <v>1376</v>
      </c>
      <c r="I1383" s="444">
        <f t="shared" ca="1" si="128"/>
        <v>-7896647.2469618246</v>
      </c>
      <c r="J1383" s="444">
        <f t="array" ref="J1383">IFERROR(INDEX('Retirement Calculator'!J:J,MATCH('Isaac 401k'!N1383,'Retirement Calculator'!A:A,0),0),0)</f>
        <v>0</v>
      </c>
      <c r="K1383" s="444">
        <f t="shared" ca="1" si="126"/>
        <v>-32902.696862340941</v>
      </c>
      <c r="L1383" s="444">
        <f t="shared" ca="1" si="127"/>
        <v>-7929549.9438241655</v>
      </c>
      <c r="M1383" s="460">
        <f t="shared" si="129"/>
        <v>0.05</v>
      </c>
      <c r="N1383" s="464">
        <f t="shared" si="130"/>
        <v>93139</v>
      </c>
    </row>
    <row r="1384" spans="7:14" ht="11.25" customHeight="1" x14ac:dyDescent="0.3">
      <c r="G1384" s="459"/>
      <c r="H1384" s="459">
        <v>1377</v>
      </c>
      <c r="I1384" s="444">
        <f t="shared" ca="1" si="128"/>
        <v>-7929549.9438241655</v>
      </c>
      <c r="J1384" s="444">
        <f t="array" ref="J1384">IFERROR(INDEX('Retirement Calculator'!J:J,MATCH('Isaac 401k'!N1384,'Retirement Calculator'!A:A,0),0),0)</f>
        <v>0</v>
      </c>
      <c r="K1384" s="444">
        <f t="shared" ca="1" si="126"/>
        <v>-33039.791432600687</v>
      </c>
      <c r="L1384" s="444">
        <f t="shared" ca="1" si="127"/>
        <v>-7962589.735256766</v>
      </c>
      <c r="M1384" s="460">
        <f t="shared" si="129"/>
        <v>0.05</v>
      </c>
      <c r="N1384" s="464">
        <f t="shared" si="130"/>
        <v>93170</v>
      </c>
    </row>
    <row r="1385" spans="7:14" ht="11.25" customHeight="1" x14ac:dyDescent="0.3">
      <c r="G1385" s="459"/>
      <c r="H1385" s="459">
        <v>1378</v>
      </c>
      <c r="I1385" s="444">
        <f t="shared" ca="1" si="128"/>
        <v>-7962589.735256766</v>
      </c>
      <c r="J1385" s="444">
        <f t="array" ref="J1385">IFERROR(INDEX('Retirement Calculator'!J:J,MATCH('Isaac 401k'!N1385,'Retirement Calculator'!A:A,0),0),0)</f>
        <v>0</v>
      </c>
      <c r="K1385" s="444">
        <f t="shared" ca="1" si="126"/>
        <v>-33177.457230236527</v>
      </c>
      <c r="L1385" s="444">
        <f t="shared" ca="1" si="127"/>
        <v>-7995767.1924870024</v>
      </c>
      <c r="M1385" s="460">
        <f t="shared" si="129"/>
        <v>0.05</v>
      </c>
      <c r="N1385" s="464">
        <f t="shared" si="130"/>
        <v>93198</v>
      </c>
    </row>
    <row r="1386" spans="7:14" ht="11.25" customHeight="1" x14ac:dyDescent="0.3">
      <c r="G1386" s="459"/>
      <c r="H1386" s="459">
        <v>1379</v>
      </c>
      <c r="I1386" s="444">
        <f t="shared" ca="1" si="128"/>
        <v>-7995767.1924870024</v>
      </c>
      <c r="J1386" s="444">
        <f t="array" ref="J1386">IFERROR(INDEX('Retirement Calculator'!J:J,MATCH('Isaac 401k'!N1386,'Retirement Calculator'!A:A,0),0),0)</f>
        <v>0</v>
      </c>
      <c r="K1386" s="444">
        <f t="shared" ca="1" si="126"/>
        <v>-33315.69663536251</v>
      </c>
      <c r="L1386" s="444">
        <f t="shared" ca="1" si="127"/>
        <v>-8029082.889122365</v>
      </c>
      <c r="M1386" s="460">
        <f t="shared" si="129"/>
        <v>0.05</v>
      </c>
      <c r="N1386" s="464">
        <f t="shared" si="130"/>
        <v>93229</v>
      </c>
    </row>
    <row r="1387" spans="7:14" ht="11.25" customHeight="1" x14ac:dyDescent="0.3">
      <c r="G1387" s="459"/>
      <c r="H1387" s="459">
        <v>1380</v>
      </c>
      <c r="I1387" s="444">
        <f t="shared" ca="1" si="128"/>
        <v>-8029082.889122365</v>
      </c>
      <c r="J1387" s="444">
        <f t="array" ref="J1387">IFERROR(INDEX('Retirement Calculator'!J:J,MATCH('Isaac 401k'!N1387,'Retirement Calculator'!A:A,0),0),0)</f>
        <v>0</v>
      </c>
      <c r="K1387" s="444">
        <f t="shared" ca="1" si="126"/>
        <v>-33454.512038009852</v>
      </c>
      <c r="L1387" s="444">
        <f t="shared" ca="1" si="127"/>
        <v>-8062537.4011603752</v>
      </c>
      <c r="M1387" s="460">
        <f t="shared" si="129"/>
        <v>0.05</v>
      </c>
      <c r="N1387" s="464">
        <f t="shared" si="130"/>
        <v>93259</v>
      </c>
    </row>
    <row r="1388" spans="7:14" ht="11.25" customHeight="1" x14ac:dyDescent="0.3">
      <c r="G1388" s="459"/>
      <c r="H1388" s="459">
        <v>1381</v>
      </c>
      <c r="I1388" s="444">
        <f t="shared" ca="1" si="128"/>
        <v>-8062537.4011603752</v>
      </c>
      <c r="J1388" s="444">
        <f t="array" ref="J1388">IFERROR(INDEX('Retirement Calculator'!J:J,MATCH('Isaac 401k'!N1388,'Retirement Calculator'!A:A,0),0),0)</f>
        <v>0</v>
      </c>
      <c r="K1388" s="444">
        <f t="shared" ca="1" si="126"/>
        <v>-33593.905838168233</v>
      </c>
      <c r="L1388" s="444">
        <f t="shared" ca="1" si="127"/>
        <v>-8096131.3069985434</v>
      </c>
      <c r="M1388" s="460">
        <f t="shared" si="129"/>
        <v>0.05</v>
      </c>
      <c r="N1388" s="464">
        <f t="shared" si="130"/>
        <v>93290</v>
      </c>
    </row>
    <row r="1389" spans="7:14" ht="11.25" customHeight="1" x14ac:dyDescent="0.3">
      <c r="G1389" s="459"/>
      <c r="H1389" s="459">
        <v>1382</v>
      </c>
      <c r="I1389" s="444">
        <f t="shared" ca="1" si="128"/>
        <v>-8096131.3069985434</v>
      </c>
      <c r="J1389" s="444">
        <f t="array" ref="J1389">IFERROR(INDEX('Retirement Calculator'!J:J,MATCH('Isaac 401k'!N1389,'Retirement Calculator'!A:A,0),0),0)</f>
        <v>0</v>
      </c>
      <c r="K1389" s="444">
        <f t="shared" ca="1" si="126"/>
        <v>-33733.880445827264</v>
      </c>
      <c r="L1389" s="444">
        <f t="shared" ca="1" si="127"/>
        <v>-8129865.1874443702</v>
      </c>
      <c r="M1389" s="460">
        <f t="shared" si="129"/>
        <v>0.05</v>
      </c>
      <c r="N1389" s="464">
        <f t="shared" si="130"/>
        <v>93320</v>
      </c>
    </row>
    <row r="1390" spans="7:14" ht="11.25" customHeight="1" x14ac:dyDescent="0.3">
      <c r="G1390" s="459"/>
      <c r="H1390" s="459">
        <v>1383</v>
      </c>
      <c r="I1390" s="444">
        <f t="shared" ca="1" si="128"/>
        <v>-8129865.1874443702</v>
      </c>
      <c r="J1390" s="444">
        <f t="array" ref="J1390">IFERROR(INDEX('Retirement Calculator'!J:J,MATCH('Isaac 401k'!N1390,'Retirement Calculator'!A:A,0),0),0)</f>
        <v>0</v>
      </c>
      <c r="K1390" s="444">
        <f t="shared" ca="1" si="126"/>
        <v>-33874.438281018207</v>
      </c>
      <c r="L1390" s="444">
        <f t="shared" ca="1" si="127"/>
        <v>-8163739.6257253885</v>
      </c>
      <c r="M1390" s="460">
        <f t="shared" si="129"/>
        <v>0.05</v>
      </c>
      <c r="N1390" s="464">
        <f t="shared" si="130"/>
        <v>93351</v>
      </c>
    </row>
    <row r="1391" spans="7:14" ht="11.25" customHeight="1" x14ac:dyDescent="0.3">
      <c r="G1391" s="459"/>
      <c r="H1391" s="459">
        <v>1384</v>
      </c>
      <c r="I1391" s="444">
        <f t="shared" ca="1" si="128"/>
        <v>-8163739.6257253885</v>
      </c>
      <c r="J1391" s="444">
        <f t="array" ref="J1391">IFERROR(INDEX('Retirement Calculator'!J:J,MATCH('Isaac 401k'!N1391,'Retirement Calculator'!A:A,0),0),0)</f>
        <v>0</v>
      </c>
      <c r="K1391" s="444">
        <f t="shared" ca="1" si="126"/>
        <v>-34015.581773855782</v>
      </c>
      <c r="L1391" s="444">
        <f t="shared" ca="1" si="127"/>
        <v>-8197755.2074992443</v>
      </c>
      <c r="M1391" s="460">
        <f t="shared" si="129"/>
        <v>0.05</v>
      </c>
      <c r="N1391" s="464">
        <f t="shared" si="130"/>
        <v>93382</v>
      </c>
    </row>
    <row r="1392" spans="7:14" ht="11.25" customHeight="1" x14ac:dyDescent="0.3">
      <c r="G1392" s="459"/>
      <c r="H1392" s="459">
        <v>1385</v>
      </c>
      <c r="I1392" s="444">
        <f t="shared" ca="1" si="128"/>
        <v>-8197755.2074992443</v>
      </c>
      <c r="J1392" s="444">
        <f t="array" ref="J1392">IFERROR(INDEX('Retirement Calculator'!J:J,MATCH('Isaac 401k'!N1392,'Retirement Calculator'!A:A,0),0),0)</f>
        <v>0</v>
      </c>
      <c r="K1392" s="444">
        <f t="shared" ca="1" si="126"/>
        <v>-34157.313364580186</v>
      </c>
      <c r="L1392" s="444">
        <f t="shared" ca="1" si="127"/>
        <v>-8231912.5208638245</v>
      </c>
      <c r="M1392" s="460">
        <f t="shared" si="129"/>
        <v>0.05</v>
      </c>
      <c r="N1392" s="464">
        <f t="shared" si="130"/>
        <v>93412</v>
      </c>
    </row>
    <row r="1393" spans="7:14" ht="11.25" customHeight="1" x14ac:dyDescent="0.3">
      <c r="G1393" s="459"/>
      <c r="H1393" s="459">
        <v>1386</v>
      </c>
      <c r="I1393" s="444">
        <f t="shared" ca="1" si="128"/>
        <v>-8231912.5208638245</v>
      </c>
      <c r="J1393" s="444">
        <f t="array" ref="J1393">IFERROR(INDEX('Retirement Calculator'!J:J,MATCH('Isaac 401k'!N1393,'Retirement Calculator'!A:A,0),0),0)</f>
        <v>0</v>
      </c>
      <c r="K1393" s="444">
        <f t="shared" ca="1" si="126"/>
        <v>-34299.635503599267</v>
      </c>
      <c r="L1393" s="444">
        <f t="shared" ca="1" si="127"/>
        <v>-8266212.1563674239</v>
      </c>
      <c r="M1393" s="460">
        <f t="shared" si="129"/>
        <v>0.05</v>
      </c>
      <c r="N1393" s="464">
        <f t="shared" si="130"/>
        <v>93443</v>
      </c>
    </row>
    <row r="1394" spans="7:14" ht="11.25" customHeight="1" x14ac:dyDescent="0.3">
      <c r="G1394" s="459"/>
      <c r="H1394" s="459">
        <v>1387</v>
      </c>
      <c r="I1394" s="444">
        <f t="shared" ca="1" si="128"/>
        <v>-8266212.1563674239</v>
      </c>
      <c r="J1394" s="444">
        <f t="array" ref="J1394">IFERROR(INDEX('Retirement Calculator'!J:J,MATCH('Isaac 401k'!N1394,'Retirement Calculator'!A:A,0),0),0)</f>
        <v>0</v>
      </c>
      <c r="K1394" s="444">
        <f t="shared" ca="1" si="126"/>
        <v>-34442.550651530932</v>
      </c>
      <c r="L1394" s="444">
        <f t="shared" ca="1" si="127"/>
        <v>-8300654.7070189547</v>
      </c>
      <c r="M1394" s="460">
        <f t="shared" si="129"/>
        <v>0.05</v>
      </c>
      <c r="N1394" s="464">
        <f t="shared" si="130"/>
        <v>93473</v>
      </c>
    </row>
    <row r="1395" spans="7:14" ht="11.25" customHeight="1" x14ac:dyDescent="0.3">
      <c r="G1395" s="459"/>
      <c r="H1395" s="459">
        <v>1388</v>
      </c>
      <c r="I1395" s="444">
        <f t="shared" ca="1" si="128"/>
        <v>-8300654.7070189547</v>
      </c>
      <c r="J1395" s="444">
        <f t="array" ref="J1395">IFERROR(INDEX('Retirement Calculator'!J:J,MATCH('Isaac 401k'!N1395,'Retirement Calculator'!A:A,0),0),0)</f>
        <v>0</v>
      </c>
      <c r="K1395" s="444">
        <f t="shared" ca="1" si="126"/>
        <v>-34586.061279245645</v>
      </c>
      <c r="L1395" s="444">
        <f t="shared" ca="1" si="127"/>
        <v>-8335240.7682982003</v>
      </c>
      <c r="M1395" s="460">
        <f t="shared" si="129"/>
        <v>0.05</v>
      </c>
      <c r="N1395" s="464">
        <f t="shared" si="130"/>
        <v>93504</v>
      </c>
    </row>
    <row r="1396" spans="7:14" ht="11.25" customHeight="1" x14ac:dyDescent="0.3">
      <c r="G1396" s="459"/>
      <c r="H1396" s="459">
        <v>1389</v>
      </c>
      <c r="I1396" s="444">
        <f t="shared" ca="1" si="128"/>
        <v>-8335240.7682982003</v>
      </c>
      <c r="J1396" s="444">
        <f t="array" ref="J1396">IFERROR(INDEX('Retirement Calculator'!J:J,MATCH('Isaac 401k'!N1396,'Retirement Calculator'!A:A,0),0),0)</f>
        <v>0</v>
      </c>
      <c r="K1396" s="444">
        <f t="shared" ca="1" si="126"/>
        <v>-34730.169867909171</v>
      </c>
      <c r="L1396" s="444">
        <f t="shared" ca="1" si="127"/>
        <v>-8369970.9381661098</v>
      </c>
      <c r="M1396" s="460">
        <f t="shared" si="129"/>
        <v>0.05</v>
      </c>
      <c r="N1396" s="464">
        <f t="shared" si="130"/>
        <v>93535</v>
      </c>
    </row>
    <row r="1397" spans="7:14" ht="11.25" customHeight="1" x14ac:dyDescent="0.3">
      <c r="G1397" s="459"/>
      <c r="H1397" s="459">
        <v>1390</v>
      </c>
      <c r="I1397" s="444">
        <f t="shared" ca="1" si="128"/>
        <v>-8369970.9381661098</v>
      </c>
      <c r="J1397" s="444">
        <f t="array" ref="J1397">IFERROR(INDEX('Retirement Calculator'!J:J,MATCH('Isaac 401k'!N1397,'Retirement Calculator'!A:A,0),0),0)</f>
        <v>0</v>
      </c>
      <c r="K1397" s="444">
        <f t="shared" ca="1" si="126"/>
        <v>-34874.878909025458</v>
      </c>
      <c r="L1397" s="444">
        <f t="shared" ca="1" si="127"/>
        <v>-8404845.8170751352</v>
      </c>
      <c r="M1397" s="460">
        <f t="shared" si="129"/>
        <v>0.05</v>
      </c>
      <c r="N1397" s="464">
        <f t="shared" si="130"/>
        <v>93564</v>
      </c>
    </row>
    <row r="1398" spans="7:14" ht="11.25" customHeight="1" x14ac:dyDescent="0.3">
      <c r="G1398" s="459"/>
      <c r="H1398" s="459">
        <v>1391</v>
      </c>
      <c r="I1398" s="444">
        <f t="shared" ca="1" si="128"/>
        <v>-8404845.8170751352</v>
      </c>
      <c r="J1398" s="444">
        <f t="array" ref="J1398">IFERROR(INDEX('Retirement Calculator'!J:J,MATCH('Isaac 401k'!N1398,'Retirement Calculator'!A:A,0),0),0)</f>
        <v>0</v>
      </c>
      <c r="K1398" s="444">
        <f t="shared" ca="1" si="126"/>
        <v>-35020.190904479728</v>
      </c>
      <c r="L1398" s="444">
        <f t="shared" ca="1" si="127"/>
        <v>-8439866.0079796147</v>
      </c>
      <c r="M1398" s="460">
        <f t="shared" si="129"/>
        <v>0.05</v>
      </c>
      <c r="N1398" s="464">
        <f t="shared" si="130"/>
        <v>93595</v>
      </c>
    </row>
    <row r="1399" spans="7:14" ht="11.25" customHeight="1" x14ac:dyDescent="0.3">
      <c r="G1399" s="459"/>
      <c r="H1399" s="459">
        <v>1392</v>
      </c>
      <c r="I1399" s="444">
        <f t="shared" ca="1" si="128"/>
        <v>-8439866.0079796147</v>
      </c>
      <c r="J1399" s="444">
        <f t="array" ref="J1399">IFERROR(INDEX('Retirement Calculator'!J:J,MATCH('Isaac 401k'!N1399,'Retirement Calculator'!A:A,0),0),0)</f>
        <v>0</v>
      </c>
      <c r="K1399" s="444">
        <f t="shared" ca="1" si="126"/>
        <v>-35166.108366581728</v>
      </c>
      <c r="L1399" s="444">
        <f t="shared" ca="1" si="127"/>
        <v>-8475032.1163461972</v>
      </c>
      <c r="M1399" s="460">
        <f t="shared" si="129"/>
        <v>0.05</v>
      </c>
      <c r="N1399" s="464">
        <f t="shared" si="130"/>
        <v>93625</v>
      </c>
    </row>
    <row r="1400" spans="7:14" ht="11.25" customHeight="1" x14ac:dyDescent="0.3">
      <c r="G1400" s="459"/>
      <c r="H1400" s="459">
        <v>1393</v>
      </c>
      <c r="I1400" s="444">
        <f t="shared" ca="1" si="128"/>
        <v>-8475032.1163461972</v>
      </c>
      <c r="J1400" s="444">
        <f t="array" ref="J1400">IFERROR(INDEX('Retirement Calculator'!J:J,MATCH('Isaac 401k'!N1400,'Retirement Calculator'!A:A,0),0),0)</f>
        <v>0</v>
      </c>
      <c r="K1400" s="444">
        <f t="shared" ca="1" si="126"/>
        <v>-35312.633818109156</v>
      </c>
      <c r="L1400" s="444">
        <f t="shared" ca="1" si="127"/>
        <v>-8510344.7501643058</v>
      </c>
      <c r="M1400" s="460">
        <f t="shared" si="129"/>
        <v>0.05</v>
      </c>
      <c r="N1400" s="464">
        <f t="shared" si="130"/>
        <v>93656</v>
      </c>
    </row>
    <row r="1401" spans="7:14" ht="11.25" customHeight="1" x14ac:dyDescent="0.3">
      <c r="G1401" s="459"/>
      <c r="H1401" s="459">
        <v>1394</v>
      </c>
      <c r="I1401" s="444">
        <f t="shared" ca="1" si="128"/>
        <v>-8510344.7501643058</v>
      </c>
      <c r="J1401" s="444">
        <f t="array" ref="J1401">IFERROR(INDEX('Retirement Calculator'!J:J,MATCH('Isaac 401k'!N1401,'Retirement Calculator'!A:A,0),0),0)</f>
        <v>0</v>
      </c>
      <c r="K1401" s="444">
        <f t="shared" ca="1" si="126"/>
        <v>-35459.769792351275</v>
      </c>
      <c r="L1401" s="444">
        <f t="shared" ca="1" si="127"/>
        <v>-8545804.5199566577</v>
      </c>
      <c r="M1401" s="460">
        <f t="shared" si="129"/>
        <v>0.05</v>
      </c>
      <c r="N1401" s="464">
        <f t="shared" si="130"/>
        <v>93686</v>
      </c>
    </row>
    <row r="1402" spans="7:14" ht="11.25" customHeight="1" x14ac:dyDescent="0.3">
      <c r="G1402" s="459"/>
      <c r="H1402" s="459">
        <v>1395</v>
      </c>
      <c r="I1402" s="444">
        <f t="shared" ca="1" si="128"/>
        <v>-8545804.5199566577</v>
      </c>
      <c r="J1402" s="444">
        <f t="array" ref="J1402">IFERROR(INDEX('Retirement Calculator'!J:J,MATCH('Isaac 401k'!N1402,'Retirement Calculator'!A:A,0),0),0)</f>
        <v>0</v>
      </c>
      <c r="K1402" s="444">
        <f t="shared" ca="1" si="126"/>
        <v>-35607.518833152739</v>
      </c>
      <c r="L1402" s="444">
        <f t="shared" ca="1" si="127"/>
        <v>-8581412.0387898106</v>
      </c>
      <c r="M1402" s="460">
        <f t="shared" si="129"/>
        <v>0.05</v>
      </c>
      <c r="N1402" s="464">
        <f t="shared" si="130"/>
        <v>93717</v>
      </c>
    </row>
    <row r="1403" spans="7:14" ht="11.25" customHeight="1" x14ac:dyDescent="0.3">
      <c r="G1403" s="459"/>
      <c r="H1403" s="459">
        <v>1396</v>
      </c>
      <c r="I1403" s="444">
        <f t="shared" ca="1" si="128"/>
        <v>-8581412.0387898106</v>
      </c>
      <c r="J1403" s="444">
        <f t="array" ref="J1403">IFERROR(INDEX('Retirement Calculator'!J:J,MATCH('Isaac 401k'!N1403,'Retirement Calculator'!A:A,0),0),0)</f>
        <v>0</v>
      </c>
      <c r="K1403" s="444">
        <f t="shared" ca="1" si="126"/>
        <v>-35755.883494957547</v>
      </c>
      <c r="L1403" s="444">
        <f t="shared" ca="1" si="127"/>
        <v>-8617167.9222847689</v>
      </c>
      <c r="M1403" s="460">
        <f t="shared" si="129"/>
        <v>0.05</v>
      </c>
      <c r="N1403" s="464">
        <f t="shared" si="130"/>
        <v>93748</v>
      </c>
    </row>
    <row r="1404" spans="7:14" ht="11.25" customHeight="1" x14ac:dyDescent="0.3">
      <c r="G1404" s="459"/>
      <c r="H1404" s="459">
        <v>1397</v>
      </c>
      <c r="I1404" s="444">
        <f t="shared" ca="1" si="128"/>
        <v>-8617167.9222847689</v>
      </c>
      <c r="J1404" s="444">
        <f t="array" ref="J1404">IFERROR(INDEX('Retirement Calculator'!J:J,MATCH('Isaac 401k'!N1404,'Retirement Calculator'!A:A,0),0),0)</f>
        <v>0</v>
      </c>
      <c r="K1404" s="444">
        <f t="shared" ca="1" si="126"/>
        <v>-35904.866342853202</v>
      </c>
      <c r="L1404" s="444">
        <f t="shared" ca="1" si="127"/>
        <v>-8653072.7886276226</v>
      </c>
      <c r="M1404" s="460">
        <f t="shared" si="129"/>
        <v>0.05</v>
      </c>
      <c r="N1404" s="464">
        <f t="shared" si="130"/>
        <v>93778</v>
      </c>
    </row>
    <row r="1405" spans="7:14" ht="11.25" customHeight="1" x14ac:dyDescent="0.3">
      <c r="G1405" s="459"/>
      <c r="H1405" s="459">
        <v>1398</v>
      </c>
      <c r="I1405" s="444">
        <f t="shared" ca="1" si="128"/>
        <v>-8653072.7886276226</v>
      </c>
      <c r="J1405" s="444">
        <f t="array" ref="J1405">IFERROR(INDEX('Retirement Calculator'!J:J,MATCH('Isaac 401k'!N1405,'Retirement Calculator'!A:A,0),0),0)</f>
        <v>0</v>
      </c>
      <c r="K1405" s="444">
        <f t="shared" ca="1" si="126"/>
        <v>-36054.469952615094</v>
      </c>
      <c r="L1405" s="444">
        <f t="shared" ca="1" si="127"/>
        <v>-8689127.2585802376</v>
      </c>
      <c r="M1405" s="460">
        <f t="shared" si="129"/>
        <v>0.05</v>
      </c>
      <c r="N1405" s="464">
        <f t="shared" si="130"/>
        <v>93809</v>
      </c>
    </row>
    <row r="1406" spans="7:14" ht="11.25" customHeight="1" x14ac:dyDescent="0.3">
      <c r="G1406" s="459"/>
      <c r="H1406" s="459">
        <v>1399</v>
      </c>
      <c r="I1406" s="444">
        <f t="shared" ca="1" si="128"/>
        <v>-8689127.2585802376</v>
      </c>
      <c r="J1406" s="444">
        <f t="array" ref="J1406">IFERROR(INDEX('Retirement Calculator'!J:J,MATCH('Isaac 401k'!N1406,'Retirement Calculator'!A:A,0),0),0)</f>
        <v>0</v>
      </c>
      <c r="K1406" s="444">
        <f t="shared" ca="1" si="126"/>
        <v>-36204.696910750987</v>
      </c>
      <c r="L1406" s="444">
        <f t="shared" ca="1" si="127"/>
        <v>-8725331.9554909877</v>
      </c>
      <c r="M1406" s="460">
        <f t="shared" si="129"/>
        <v>0.05</v>
      </c>
      <c r="N1406" s="464">
        <f t="shared" si="130"/>
        <v>93839</v>
      </c>
    </row>
    <row r="1407" spans="7:14" ht="11.25" customHeight="1" x14ac:dyDescent="0.3">
      <c r="G1407" s="459"/>
      <c r="H1407" s="459">
        <v>1400</v>
      </c>
      <c r="I1407" s="444">
        <f t="shared" ca="1" si="128"/>
        <v>-8725331.9554909877</v>
      </c>
      <c r="J1407" s="444">
        <f t="array" ref="J1407">IFERROR(INDEX('Retirement Calculator'!J:J,MATCH('Isaac 401k'!N1407,'Retirement Calculator'!A:A,0),0),0)</f>
        <v>0</v>
      </c>
      <c r="K1407" s="444">
        <f t="shared" ca="1" si="126"/>
        <v>-36355.549814545782</v>
      </c>
      <c r="L1407" s="444">
        <f t="shared" ca="1" si="127"/>
        <v>-8761687.5053055342</v>
      </c>
      <c r="M1407" s="460">
        <f t="shared" si="129"/>
        <v>0.05</v>
      </c>
      <c r="N1407" s="464">
        <f t="shared" si="130"/>
        <v>93870</v>
      </c>
    </row>
    <row r="1408" spans="7:14" ht="11.25" customHeight="1" x14ac:dyDescent="0.3">
      <c r="G1408" s="459"/>
      <c r="H1408" s="459">
        <v>1401</v>
      </c>
      <c r="I1408" s="444">
        <f t="shared" ca="1" si="128"/>
        <v>-8761687.5053055342</v>
      </c>
      <c r="J1408" s="444">
        <f t="array" ref="J1408">IFERROR(INDEX('Retirement Calculator'!J:J,MATCH('Isaac 401k'!N1408,'Retirement Calculator'!A:A,0),0),0)</f>
        <v>0</v>
      </c>
      <c r="K1408" s="444">
        <f t="shared" ca="1" si="126"/>
        <v>-36507.031272106389</v>
      </c>
      <c r="L1408" s="444">
        <f t="shared" ca="1" si="127"/>
        <v>-8798194.5365776401</v>
      </c>
      <c r="M1408" s="460">
        <f t="shared" si="129"/>
        <v>0.05</v>
      </c>
      <c r="N1408" s="464">
        <f t="shared" si="130"/>
        <v>93901</v>
      </c>
    </row>
    <row r="1409" spans="7:14" ht="11.25" customHeight="1" x14ac:dyDescent="0.3">
      <c r="G1409" s="459"/>
      <c r="H1409" s="459">
        <v>1402</v>
      </c>
      <c r="I1409" s="444">
        <f t="shared" ca="1" si="128"/>
        <v>-8798194.5365776401</v>
      </c>
      <c r="J1409" s="444">
        <f t="array" ref="J1409">IFERROR(INDEX('Retirement Calculator'!J:J,MATCH('Isaac 401k'!N1409,'Retirement Calculator'!A:A,0),0),0)</f>
        <v>0</v>
      </c>
      <c r="K1409" s="444">
        <f t="shared" ca="1" si="126"/>
        <v>-36659.143902406831</v>
      </c>
      <c r="L1409" s="444">
        <f t="shared" ca="1" si="127"/>
        <v>-8834853.6804800462</v>
      </c>
      <c r="M1409" s="460">
        <f t="shared" si="129"/>
        <v>0.05</v>
      </c>
      <c r="N1409" s="464">
        <f t="shared" si="130"/>
        <v>93929</v>
      </c>
    </row>
    <row r="1410" spans="7:14" ht="11.25" customHeight="1" x14ac:dyDescent="0.3">
      <c r="G1410" s="459"/>
      <c r="H1410" s="459">
        <v>1403</v>
      </c>
      <c r="I1410" s="444">
        <f t="shared" ca="1" si="128"/>
        <v>-8834853.6804800462</v>
      </c>
      <c r="J1410" s="444">
        <f t="array" ref="J1410">IFERROR(INDEX('Retirement Calculator'!J:J,MATCH('Isaac 401k'!N1410,'Retirement Calculator'!A:A,0),0),0)</f>
        <v>0</v>
      </c>
      <c r="K1410" s="444">
        <f t="shared" ca="1" si="126"/>
        <v>-36811.890335333526</v>
      </c>
      <c r="L1410" s="444">
        <f t="shared" ca="1" si="127"/>
        <v>-8871665.5708153788</v>
      </c>
      <c r="M1410" s="460">
        <f t="shared" si="129"/>
        <v>0.05</v>
      </c>
      <c r="N1410" s="464">
        <f t="shared" si="130"/>
        <v>93960</v>
      </c>
    </row>
    <row r="1411" spans="7:14" ht="11.25" customHeight="1" x14ac:dyDescent="0.3">
      <c r="G1411" s="459"/>
      <c r="H1411" s="459">
        <v>1404</v>
      </c>
      <c r="I1411" s="444">
        <f t="shared" ca="1" si="128"/>
        <v>-8871665.5708153788</v>
      </c>
      <c r="J1411" s="444">
        <f t="array" ref="J1411">IFERROR(INDEX('Retirement Calculator'!J:J,MATCH('Isaac 401k'!N1411,'Retirement Calculator'!A:A,0),0),0)</f>
        <v>0</v>
      </c>
      <c r="K1411" s="444">
        <f t="shared" ca="1" si="126"/>
        <v>-36965.273211730746</v>
      </c>
      <c r="L1411" s="444">
        <f t="shared" ca="1" si="127"/>
        <v>-8908630.8440271094</v>
      </c>
      <c r="M1411" s="460">
        <f t="shared" si="129"/>
        <v>0.05</v>
      </c>
      <c r="N1411" s="464">
        <f t="shared" si="130"/>
        <v>93990</v>
      </c>
    </row>
    <row r="1412" spans="7:14" ht="11.25" customHeight="1" x14ac:dyDescent="0.3">
      <c r="G1412" s="459"/>
      <c r="H1412" s="459">
        <v>1405</v>
      </c>
      <c r="I1412" s="444">
        <f t="shared" ca="1" si="128"/>
        <v>-8908630.8440271094</v>
      </c>
      <c r="J1412" s="444">
        <f t="array" ref="J1412">IFERROR(INDEX('Retirement Calculator'!J:J,MATCH('Isaac 401k'!N1412,'Retirement Calculator'!A:A,0),0),0)</f>
        <v>0</v>
      </c>
      <c r="K1412" s="444">
        <f t="shared" ca="1" si="126"/>
        <v>-37119.295183446287</v>
      </c>
      <c r="L1412" s="444">
        <f t="shared" ca="1" si="127"/>
        <v>-8945750.1392105557</v>
      </c>
      <c r="M1412" s="460">
        <f t="shared" si="129"/>
        <v>0.05</v>
      </c>
      <c r="N1412" s="464">
        <f t="shared" si="130"/>
        <v>94021</v>
      </c>
    </row>
    <row r="1413" spans="7:14" ht="11.25" customHeight="1" x14ac:dyDescent="0.3">
      <c r="G1413" s="459"/>
      <c r="H1413" s="459">
        <v>1406</v>
      </c>
      <c r="I1413" s="444">
        <f t="shared" ca="1" si="128"/>
        <v>-8945750.1392105557</v>
      </c>
      <c r="J1413" s="444">
        <f t="array" ref="J1413">IFERROR(INDEX('Retirement Calculator'!J:J,MATCH('Isaac 401k'!N1413,'Retirement Calculator'!A:A,0),0),0)</f>
        <v>0</v>
      </c>
      <c r="K1413" s="444">
        <f t="shared" ca="1" si="126"/>
        <v>-37273.958913377312</v>
      </c>
      <c r="L1413" s="444">
        <f t="shared" ca="1" si="127"/>
        <v>-8983024.0981239323</v>
      </c>
      <c r="M1413" s="460">
        <f t="shared" si="129"/>
        <v>0.05</v>
      </c>
      <c r="N1413" s="464">
        <f t="shared" si="130"/>
        <v>94051</v>
      </c>
    </row>
    <row r="1414" spans="7:14" ht="11.25" customHeight="1" x14ac:dyDescent="0.3">
      <c r="G1414" s="459"/>
      <c r="H1414" s="459">
        <v>1407</v>
      </c>
      <c r="I1414" s="444">
        <f t="shared" ca="1" si="128"/>
        <v>-8983024.0981239323</v>
      </c>
      <c r="J1414" s="444">
        <f t="array" ref="J1414">IFERROR(INDEX('Retirement Calculator'!J:J,MATCH('Isaac 401k'!N1414,'Retirement Calculator'!A:A,0),0),0)</f>
        <v>0</v>
      </c>
      <c r="K1414" s="444">
        <f t="shared" ca="1" si="126"/>
        <v>-37429.267075516385</v>
      </c>
      <c r="L1414" s="444">
        <f t="shared" ca="1" si="127"/>
        <v>-9020453.3651994485</v>
      </c>
      <c r="M1414" s="460">
        <f t="shared" si="129"/>
        <v>0.05</v>
      </c>
      <c r="N1414" s="464">
        <f t="shared" si="130"/>
        <v>94082</v>
      </c>
    </row>
    <row r="1415" spans="7:14" ht="11.25" customHeight="1" x14ac:dyDescent="0.3">
      <c r="G1415" s="459"/>
      <c r="H1415" s="459">
        <v>1408</v>
      </c>
      <c r="I1415" s="444">
        <f t="shared" ca="1" si="128"/>
        <v>-9020453.3651994485</v>
      </c>
      <c r="J1415" s="444">
        <f t="array" ref="J1415">IFERROR(INDEX('Retirement Calculator'!J:J,MATCH('Isaac 401k'!N1415,'Retirement Calculator'!A:A,0),0),0)</f>
        <v>0</v>
      </c>
      <c r="K1415" s="444">
        <f t="shared" ca="1" si="126"/>
        <v>-37585.222354997699</v>
      </c>
      <c r="L1415" s="444">
        <f t="shared" ca="1" si="127"/>
        <v>-9058038.5875544455</v>
      </c>
      <c r="M1415" s="460">
        <f t="shared" si="129"/>
        <v>0.05</v>
      </c>
      <c r="N1415" s="464">
        <f t="shared" si="130"/>
        <v>94113</v>
      </c>
    </row>
    <row r="1416" spans="7:14" ht="11.25" customHeight="1" x14ac:dyDescent="0.3">
      <c r="G1416" s="459"/>
      <c r="H1416" s="459">
        <v>1409</v>
      </c>
      <c r="I1416" s="444">
        <f t="shared" ca="1" si="128"/>
        <v>-9058038.5875544455</v>
      </c>
      <c r="J1416" s="444">
        <f t="array" ref="J1416">IFERROR(INDEX('Retirement Calculator'!J:J,MATCH('Isaac 401k'!N1416,'Retirement Calculator'!A:A,0),0),0)</f>
        <v>0</v>
      </c>
      <c r="K1416" s="444">
        <f t="shared" ca="1" si="126"/>
        <v>-37741.827448143522</v>
      </c>
      <c r="L1416" s="444">
        <f t="shared" ca="1" si="127"/>
        <v>-9095780.4150025882</v>
      </c>
      <c r="M1416" s="460">
        <f t="shared" si="129"/>
        <v>0.05</v>
      </c>
      <c r="N1416" s="464">
        <f t="shared" si="130"/>
        <v>94143</v>
      </c>
    </row>
    <row r="1417" spans="7:14" ht="11.25" customHeight="1" x14ac:dyDescent="0.3">
      <c r="G1417" s="459"/>
      <c r="H1417" s="459">
        <v>1410</v>
      </c>
      <c r="I1417" s="444">
        <f t="shared" ca="1" si="128"/>
        <v>-9095780.4150025882</v>
      </c>
      <c r="J1417" s="444">
        <f t="array" ref="J1417">IFERROR(INDEX('Retirement Calculator'!J:J,MATCH('Isaac 401k'!N1417,'Retirement Calculator'!A:A,0),0),0)</f>
        <v>0</v>
      </c>
      <c r="K1417" s="444">
        <f t="shared" ca="1" si="126"/>
        <v>-37899.085062510785</v>
      </c>
      <c r="L1417" s="444">
        <f t="shared" ca="1" si="127"/>
        <v>-9133679.5000650994</v>
      </c>
      <c r="M1417" s="460">
        <f t="shared" si="129"/>
        <v>0.05</v>
      </c>
      <c r="N1417" s="464">
        <f t="shared" si="130"/>
        <v>94174</v>
      </c>
    </row>
    <row r="1418" spans="7:14" ht="11.25" customHeight="1" x14ac:dyDescent="0.3">
      <c r="G1418" s="459"/>
      <c r="H1418" s="459">
        <v>1411</v>
      </c>
      <c r="I1418" s="444">
        <f t="shared" ca="1" si="128"/>
        <v>-9133679.5000650994</v>
      </c>
      <c r="J1418" s="444">
        <f t="array" ref="J1418">IFERROR(INDEX('Retirement Calculator'!J:J,MATCH('Isaac 401k'!N1418,'Retirement Calculator'!A:A,0),0),0)</f>
        <v>0</v>
      </c>
      <c r="K1418" s="444">
        <f t="shared" ca="1" si="126"/>
        <v>-38056.997916937915</v>
      </c>
      <c r="L1418" s="444">
        <f t="shared" ca="1" si="127"/>
        <v>-9171736.4979820382</v>
      </c>
      <c r="M1418" s="460">
        <f t="shared" si="129"/>
        <v>0.05</v>
      </c>
      <c r="N1418" s="464">
        <f t="shared" si="130"/>
        <v>94204</v>
      </c>
    </row>
    <row r="1419" spans="7:14" ht="11.25" customHeight="1" x14ac:dyDescent="0.3">
      <c r="G1419" s="459"/>
      <c r="H1419" s="459">
        <v>1412</v>
      </c>
      <c r="I1419" s="444">
        <f t="shared" ca="1" si="128"/>
        <v>-9171736.4979820382</v>
      </c>
      <c r="J1419" s="444">
        <f t="array" ref="J1419">IFERROR(INDEX('Retirement Calculator'!J:J,MATCH('Isaac 401k'!N1419,'Retirement Calculator'!A:A,0),0),0)</f>
        <v>0</v>
      </c>
      <c r="K1419" s="444">
        <f t="shared" ca="1" si="126"/>
        <v>-38215.568741591822</v>
      </c>
      <c r="L1419" s="444">
        <f t="shared" ca="1" si="127"/>
        <v>-9209952.0667236298</v>
      </c>
      <c r="M1419" s="460">
        <f t="shared" si="129"/>
        <v>0.05</v>
      </c>
      <c r="N1419" s="464">
        <f t="shared" si="130"/>
        <v>94235</v>
      </c>
    </row>
    <row r="1420" spans="7:14" ht="11.25" customHeight="1" x14ac:dyDescent="0.3">
      <c r="G1420" s="459"/>
      <c r="H1420" s="459">
        <v>1413</v>
      </c>
      <c r="I1420" s="444">
        <f t="shared" ca="1" si="128"/>
        <v>-9209952.0667236298</v>
      </c>
      <c r="J1420" s="444">
        <f t="array" ref="J1420">IFERROR(INDEX('Retirement Calculator'!J:J,MATCH('Isaac 401k'!N1420,'Retirement Calculator'!A:A,0),0),0)</f>
        <v>0</v>
      </c>
      <c r="K1420" s="444">
        <f t="shared" ca="1" si="126"/>
        <v>-38374.800278015122</v>
      </c>
      <c r="L1420" s="444">
        <f t="shared" ca="1" si="127"/>
        <v>-9248326.8670016453</v>
      </c>
      <c r="M1420" s="460">
        <f t="shared" si="129"/>
        <v>0.05</v>
      </c>
      <c r="N1420" s="464">
        <f t="shared" si="130"/>
        <v>94266</v>
      </c>
    </row>
    <row r="1421" spans="7:14" ht="11.25" customHeight="1" x14ac:dyDescent="0.3">
      <c r="G1421" s="459"/>
      <c r="H1421" s="459">
        <v>1414</v>
      </c>
      <c r="I1421" s="444">
        <f t="shared" ca="1" si="128"/>
        <v>-9248326.8670016453</v>
      </c>
      <c r="J1421" s="444">
        <f t="array" ref="J1421">IFERROR(INDEX('Retirement Calculator'!J:J,MATCH('Isaac 401k'!N1421,'Retirement Calculator'!A:A,0),0),0)</f>
        <v>0</v>
      </c>
      <c r="K1421" s="444">
        <f t="shared" ca="1" si="126"/>
        <v>-38534.695279173524</v>
      </c>
      <c r="L1421" s="444">
        <f t="shared" ca="1" si="127"/>
        <v>-9286861.5622808188</v>
      </c>
      <c r="M1421" s="460">
        <f t="shared" si="129"/>
        <v>0.05</v>
      </c>
      <c r="N1421" s="464">
        <f t="shared" si="130"/>
        <v>94294</v>
      </c>
    </row>
    <row r="1422" spans="7:14" ht="11.25" customHeight="1" x14ac:dyDescent="0.3">
      <c r="G1422" s="459"/>
      <c r="H1422" s="459">
        <v>1415</v>
      </c>
      <c r="I1422" s="444">
        <f t="shared" ca="1" si="128"/>
        <v>-9286861.5622808188</v>
      </c>
      <c r="J1422" s="444">
        <f t="array" ref="J1422">IFERROR(INDEX('Retirement Calculator'!J:J,MATCH('Isaac 401k'!N1422,'Retirement Calculator'!A:A,0),0),0)</f>
        <v>0</v>
      </c>
      <c r="K1422" s="444">
        <f t="shared" ca="1" si="126"/>
        <v>-38695.256509503408</v>
      </c>
      <c r="L1422" s="444">
        <f t="shared" ca="1" si="127"/>
        <v>-9325556.8187903222</v>
      </c>
      <c r="M1422" s="460">
        <f t="shared" si="129"/>
        <v>0.05</v>
      </c>
      <c r="N1422" s="464">
        <f t="shared" si="130"/>
        <v>94325</v>
      </c>
    </row>
    <row r="1423" spans="7:14" ht="11.25" customHeight="1" x14ac:dyDescent="0.3">
      <c r="G1423" s="459"/>
      <c r="H1423" s="459">
        <v>1416</v>
      </c>
      <c r="I1423" s="444">
        <f t="shared" ca="1" si="128"/>
        <v>-9325556.8187903222</v>
      </c>
      <c r="J1423" s="444">
        <f t="array" ref="J1423">IFERROR(INDEX('Retirement Calculator'!J:J,MATCH('Isaac 401k'!N1423,'Retirement Calculator'!A:A,0),0),0)</f>
        <v>0</v>
      </c>
      <c r="K1423" s="444">
        <f t="shared" ca="1" si="126"/>
        <v>-38856.486744959679</v>
      </c>
      <c r="L1423" s="444">
        <f t="shared" ca="1" si="127"/>
        <v>-9364413.3055352811</v>
      </c>
      <c r="M1423" s="460">
        <f t="shared" si="129"/>
        <v>0.05</v>
      </c>
      <c r="N1423" s="464">
        <f t="shared" si="130"/>
        <v>94355</v>
      </c>
    </row>
    <row r="1424" spans="7:14" ht="11.25" customHeight="1" x14ac:dyDescent="0.3">
      <c r="G1424" s="459"/>
      <c r="H1424" s="459">
        <v>1417</v>
      </c>
      <c r="I1424" s="444">
        <f t="shared" ca="1" si="128"/>
        <v>-9364413.3055352811</v>
      </c>
      <c r="J1424" s="444">
        <f t="array" ref="J1424">IFERROR(INDEX('Retirement Calculator'!J:J,MATCH('Isaac 401k'!N1424,'Retirement Calculator'!A:A,0),0),0)</f>
        <v>0</v>
      </c>
      <c r="K1424" s="444">
        <f t="shared" ca="1" si="126"/>
        <v>-39018.388773063671</v>
      </c>
      <c r="L1424" s="444">
        <f t="shared" ca="1" si="127"/>
        <v>-9403431.6943083443</v>
      </c>
      <c r="M1424" s="460">
        <f t="shared" si="129"/>
        <v>0.05</v>
      </c>
      <c r="N1424" s="464">
        <f t="shared" si="130"/>
        <v>94386</v>
      </c>
    </row>
    <row r="1425" spans="7:14" ht="11.25" customHeight="1" x14ac:dyDescent="0.3">
      <c r="G1425" s="459"/>
      <c r="H1425" s="459">
        <v>1418</v>
      </c>
      <c r="I1425" s="444">
        <f t="shared" ca="1" si="128"/>
        <v>-9403431.6943083443</v>
      </c>
      <c r="J1425" s="444">
        <f t="array" ref="J1425">IFERROR(INDEX('Retirement Calculator'!J:J,MATCH('Isaac 401k'!N1425,'Retirement Calculator'!A:A,0),0),0)</f>
        <v>0</v>
      </c>
      <c r="K1425" s="444">
        <f t="shared" ca="1" si="126"/>
        <v>-39180.965392951432</v>
      </c>
      <c r="L1425" s="444">
        <f t="shared" ca="1" si="127"/>
        <v>-9442612.6597012952</v>
      </c>
      <c r="M1425" s="460">
        <f t="shared" si="129"/>
        <v>0.05</v>
      </c>
      <c r="N1425" s="464">
        <f t="shared" si="130"/>
        <v>94416</v>
      </c>
    </row>
    <row r="1426" spans="7:14" ht="11.25" customHeight="1" x14ac:dyDescent="0.3">
      <c r="G1426" s="459"/>
      <c r="H1426" s="459">
        <v>1419</v>
      </c>
      <c r="I1426" s="444">
        <f t="shared" ca="1" si="128"/>
        <v>-9442612.6597012952</v>
      </c>
      <c r="J1426" s="444">
        <f t="array" ref="J1426">IFERROR(INDEX('Retirement Calculator'!J:J,MATCH('Isaac 401k'!N1426,'Retirement Calculator'!A:A,0),0),0)</f>
        <v>0</v>
      </c>
      <c r="K1426" s="444">
        <f t="shared" ca="1" si="126"/>
        <v>-39344.219415422063</v>
      </c>
      <c r="L1426" s="444">
        <f t="shared" ca="1" si="127"/>
        <v>-9481956.8791167177</v>
      </c>
      <c r="M1426" s="460">
        <f t="shared" si="129"/>
        <v>0.05</v>
      </c>
      <c r="N1426" s="464">
        <f t="shared" si="130"/>
        <v>94447</v>
      </c>
    </row>
    <row r="1427" spans="7:14" ht="11.25" customHeight="1" x14ac:dyDescent="0.3">
      <c r="G1427" s="459"/>
      <c r="H1427" s="459">
        <v>1420</v>
      </c>
      <c r="I1427" s="444">
        <f t="shared" ca="1" si="128"/>
        <v>-9481956.8791167177</v>
      </c>
      <c r="J1427" s="444">
        <f t="array" ref="J1427">IFERROR(INDEX('Retirement Calculator'!J:J,MATCH('Isaac 401k'!N1427,'Retirement Calculator'!A:A,0),0),0)</f>
        <v>0</v>
      </c>
      <c r="K1427" s="444">
        <f t="shared" ca="1" si="126"/>
        <v>-39508.153662986326</v>
      </c>
      <c r="L1427" s="444">
        <f t="shared" ca="1" si="127"/>
        <v>-9521465.0327797048</v>
      </c>
      <c r="M1427" s="460">
        <f t="shared" si="129"/>
        <v>0.05</v>
      </c>
      <c r="N1427" s="464">
        <f t="shared" si="130"/>
        <v>94478</v>
      </c>
    </row>
    <row r="1428" spans="7:14" ht="11.25" customHeight="1" x14ac:dyDescent="0.3">
      <c r="G1428" s="459"/>
      <c r="H1428" s="459">
        <v>1421</v>
      </c>
      <c r="I1428" s="444">
        <f t="shared" ca="1" si="128"/>
        <v>-9521465.0327797048</v>
      </c>
      <c r="J1428" s="444">
        <f t="array" ref="J1428">IFERROR(INDEX('Retirement Calculator'!J:J,MATCH('Isaac 401k'!N1428,'Retirement Calculator'!A:A,0),0),0)</f>
        <v>0</v>
      </c>
      <c r="K1428" s="444">
        <f t="shared" ca="1" si="126"/>
        <v>-39672.770969915437</v>
      </c>
      <c r="L1428" s="444">
        <f t="shared" ca="1" si="127"/>
        <v>-9561137.8037496209</v>
      </c>
      <c r="M1428" s="460">
        <f t="shared" si="129"/>
        <v>0.05</v>
      </c>
      <c r="N1428" s="464">
        <f t="shared" si="130"/>
        <v>94508</v>
      </c>
    </row>
    <row r="1429" spans="7:14" ht="11.25" customHeight="1" x14ac:dyDescent="0.3">
      <c r="G1429" s="459"/>
      <c r="H1429" s="459">
        <v>1422</v>
      </c>
      <c r="I1429" s="444">
        <f t="shared" ca="1" si="128"/>
        <v>-9561137.8037496209</v>
      </c>
      <c r="J1429" s="444">
        <f t="array" ref="J1429">IFERROR(INDEX('Retirement Calculator'!J:J,MATCH('Isaac 401k'!N1429,'Retirement Calculator'!A:A,0),0),0)</f>
        <v>0</v>
      </c>
      <c r="K1429" s="444">
        <f t="shared" ca="1" si="126"/>
        <v>-39838.074182290089</v>
      </c>
      <c r="L1429" s="444">
        <f t="shared" ca="1" si="127"/>
        <v>-9600975.8779319115</v>
      </c>
      <c r="M1429" s="460">
        <f t="shared" si="129"/>
        <v>0.05</v>
      </c>
      <c r="N1429" s="464">
        <f t="shared" si="130"/>
        <v>94539</v>
      </c>
    </row>
    <row r="1430" spans="7:14" ht="11.25" customHeight="1" x14ac:dyDescent="0.3">
      <c r="G1430" s="459"/>
      <c r="H1430" s="459">
        <v>1423</v>
      </c>
      <c r="I1430" s="444">
        <f t="shared" ca="1" si="128"/>
        <v>-9600975.8779319115</v>
      </c>
      <c r="J1430" s="444">
        <f t="array" ref="J1430">IFERROR(INDEX('Retirement Calculator'!J:J,MATCH('Isaac 401k'!N1430,'Retirement Calculator'!A:A,0),0),0)</f>
        <v>0</v>
      </c>
      <c r="K1430" s="444">
        <f t="shared" ca="1" si="126"/>
        <v>-40004.066158049631</v>
      </c>
      <c r="L1430" s="444">
        <f t="shared" ca="1" si="127"/>
        <v>-9640979.9440899603</v>
      </c>
      <c r="M1430" s="460">
        <f t="shared" si="129"/>
        <v>0.05</v>
      </c>
      <c r="N1430" s="464">
        <f t="shared" si="130"/>
        <v>94569</v>
      </c>
    </row>
    <row r="1431" spans="7:14" ht="11.25" customHeight="1" x14ac:dyDescent="0.3">
      <c r="G1431" s="459"/>
      <c r="H1431" s="459">
        <v>1424</v>
      </c>
      <c r="I1431" s="444">
        <f t="shared" ca="1" si="128"/>
        <v>-9640979.9440899603</v>
      </c>
      <c r="J1431" s="444">
        <f t="array" ref="J1431">IFERROR(INDEX('Retirement Calculator'!J:J,MATCH('Isaac 401k'!N1431,'Retirement Calculator'!A:A,0),0),0)</f>
        <v>0</v>
      </c>
      <c r="K1431" s="444">
        <f t="shared" ca="1" si="126"/>
        <v>-40170.749767041503</v>
      </c>
      <c r="L1431" s="444">
        <f t="shared" ca="1" si="127"/>
        <v>-9681150.6938570011</v>
      </c>
      <c r="M1431" s="460">
        <f t="shared" si="129"/>
        <v>0.05</v>
      </c>
      <c r="N1431" s="464">
        <f t="shared" si="130"/>
        <v>94600</v>
      </c>
    </row>
    <row r="1432" spans="7:14" ht="11.25" customHeight="1" x14ac:dyDescent="0.3">
      <c r="G1432" s="459"/>
      <c r="H1432" s="459">
        <v>1425</v>
      </c>
      <c r="I1432" s="444">
        <f t="shared" ca="1" si="128"/>
        <v>-9681150.6938570011</v>
      </c>
      <c r="J1432" s="444">
        <f t="array" ref="J1432">IFERROR(INDEX('Retirement Calculator'!J:J,MATCH('Isaac 401k'!N1432,'Retirement Calculator'!A:A,0),0),0)</f>
        <v>0</v>
      </c>
      <c r="K1432" s="444">
        <f t="shared" ca="1" si="126"/>
        <v>-40338.127891070835</v>
      </c>
      <c r="L1432" s="444">
        <f t="shared" ca="1" si="127"/>
        <v>-9721488.8217480723</v>
      </c>
      <c r="M1432" s="460">
        <f t="shared" si="129"/>
        <v>0.05</v>
      </c>
      <c r="N1432" s="464">
        <f t="shared" si="130"/>
        <v>94631</v>
      </c>
    </row>
    <row r="1433" spans="7:14" ht="11.25" customHeight="1" x14ac:dyDescent="0.3">
      <c r="G1433" s="459"/>
      <c r="H1433" s="459">
        <v>1426</v>
      </c>
      <c r="I1433" s="444">
        <f t="shared" ca="1" si="128"/>
        <v>-9721488.8217480723</v>
      </c>
      <c r="J1433" s="444">
        <f t="array" ref="J1433">IFERROR(INDEX('Retirement Calculator'!J:J,MATCH('Isaac 401k'!N1433,'Retirement Calculator'!A:A,0),0),0)</f>
        <v>0</v>
      </c>
      <c r="K1433" s="444">
        <f t="shared" ca="1" si="126"/>
        <v>-40506.203423950297</v>
      </c>
      <c r="L1433" s="444">
        <f t="shared" ca="1" si="127"/>
        <v>-9761995.0251720231</v>
      </c>
      <c r="M1433" s="460">
        <f t="shared" si="129"/>
        <v>0.05</v>
      </c>
      <c r="N1433" s="464">
        <f t="shared" si="130"/>
        <v>94659</v>
      </c>
    </row>
    <row r="1434" spans="7:14" ht="11.25" customHeight="1" x14ac:dyDescent="0.3">
      <c r="G1434" s="459"/>
      <c r="H1434" s="459">
        <v>1427</v>
      </c>
      <c r="I1434" s="444">
        <f t="shared" ca="1" si="128"/>
        <v>-9761995.0251720231</v>
      </c>
      <c r="J1434" s="444">
        <f t="array" ref="J1434">IFERROR(INDEX('Retirement Calculator'!J:J,MATCH('Isaac 401k'!N1434,'Retirement Calculator'!A:A,0),0),0)</f>
        <v>0</v>
      </c>
      <c r="K1434" s="444">
        <f t="shared" ca="1" si="126"/>
        <v>-40674.979271550095</v>
      </c>
      <c r="L1434" s="444">
        <f t="shared" ca="1" si="127"/>
        <v>-9802670.0044435728</v>
      </c>
      <c r="M1434" s="460">
        <f t="shared" si="129"/>
        <v>0.05</v>
      </c>
      <c r="N1434" s="464">
        <f t="shared" si="130"/>
        <v>94690</v>
      </c>
    </row>
    <row r="1435" spans="7:14" ht="11.25" customHeight="1" x14ac:dyDescent="0.3">
      <c r="G1435" s="459"/>
      <c r="H1435" s="459">
        <v>1428</v>
      </c>
      <c r="I1435" s="444">
        <f t="shared" ca="1" si="128"/>
        <v>-9802670.0044435728</v>
      </c>
      <c r="J1435" s="444">
        <f t="array" ref="J1435">IFERROR(INDEX('Retirement Calculator'!J:J,MATCH('Isaac 401k'!N1435,'Retirement Calculator'!A:A,0),0),0)</f>
        <v>0</v>
      </c>
      <c r="K1435" s="444">
        <f t="shared" ca="1" si="126"/>
        <v>-40844.458351848218</v>
      </c>
      <c r="L1435" s="444">
        <f t="shared" ca="1" si="127"/>
        <v>-9843514.4627954215</v>
      </c>
      <c r="M1435" s="460">
        <f t="shared" si="129"/>
        <v>0.05</v>
      </c>
      <c r="N1435" s="464">
        <f t="shared" si="130"/>
        <v>94720</v>
      </c>
    </row>
    <row r="1436" spans="7:14" ht="11.25" customHeight="1" x14ac:dyDescent="0.3">
      <c r="G1436" s="459"/>
      <c r="H1436" s="459">
        <v>1429</v>
      </c>
      <c r="I1436" s="444">
        <f t="shared" ca="1" si="128"/>
        <v>-9843514.4627954215</v>
      </c>
      <c r="J1436" s="444">
        <f t="array" ref="J1436">IFERROR(INDEX('Retirement Calculator'!J:J,MATCH('Isaac 401k'!N1436,'Retirement Calculator'!A:A,0),0),0)</f>
        <v>0</v>
      </c>
      <c r="K1436" s="444">
        <f t="shared" ca="1" si="126"/>
        <v>-41014.643594980924</v>
      </c>
      <c r="L1436" s="444">
        <f t="shared" ca="1" si="127"/>
        <v>-9884529.1063904017</v>
      </c>
      <c r="M1436" s="460">
        <f t="shared" si="129"/>
        <v>0.05</v>
      </c>
      <c r="N1436" s="464">
        <f t="shared" si="130"/>
        <v>94751</v>
      </c>
    </row>
    <row r="1437" spans="7:14" ht="11.25" customHeight="1" x14ac:dyDescent="0.3">
      <c r="G1437" s="459"/>
      <c r="H1437" s="459">
        <v>1430</v>
      </c>
      <c r="I1437" s="444">
        <f t="shared" ca="1" si="128"/>
        <v>-9884529.1063904017</v>
      </c>
      <c r="J1437" s="444">
        <f t="array" ref="J1437">IFERROR(INDEX('Retirement Calculator'!J:J,MATCH('Isaac 401k'!N1437,'Retirement Calculator'!A:A,0),0),0)</f>
        <v>0</v>
      </c>
      <c r="K1437" s="444">
        <f t="shared" ca="1" si="126"/>
        <v>-41185.537943293341</v>
      </c>
      <c r="L1437" s="444">
        <f t="shared" ca="1" si="127"/>
        <v>-9925714.6443336941</v>
      </c>
      <c r="M1437" s="460">
        <f t="shared" si="129"/>
        <v>0.05</v>
      </c>
      <c r="N1437" s="464">
        <f t="shared" si="130"/>
        <v>94781</v>
      </c>
    </row>
    <row r="1438" spans="7:14" ht="11.25" customHeight="1" x14ac:dyDescent="0.3">
      <c r="G1438" s="459"/>
      <c r="H1438" s="459">
        <v>1431</v>
      </c>
      <c r="I1438" s="444">
        <f t="shared" ca="1" si="128"/>
        <v>-9925714.6443336941</v>
      </c>
      <c r="J1438" s="444">
        <f t="array" ref="J1438">IFERROR(INDEX('Retirement Calculator'!J:J,MATCH('Isaac 401k'!N1438,'Retirement Calculator'!A:A,0),0),0)</f>
        <v>0</v>
      </c>
      <c r="K1438" s="444">
        <f t="shared" ca="1" si="126"/>
        <v>-41357.144351390394</v>
      </c>
      <c r="L1438" s="444">
        <f t="shared" ca="1" si="127"/>
        <v>-9967071.7886850853</v>
      </c>
      <c r="M1438" s="460">
        <f t="shared" si="129"/>
        <v>0.05</v>
      </c>
      <c r="N1438" s="464">
        <f t="shared" si="130"/>
        <v>94812</v>
      </c>
    </row>
    <row r="1439" spans="7:14" ht="11.25" customHeight="1" x14ac:dyDescent="0.3">
      <c r="G1439" s="459"/>
      <c r="H1439" s="459">
        <v>1432</v>
      </c>
      <c r="I1439" s="444">
        <f t="shared" ca="1" si="128"/>
        <v>-9967071.7886850853</v>
      </c>
      <c r="J1439" s="444">
        <f t="array" ref="J1439">IFERROR(INDEX('Retirement Calculator'!J:J,MATCH('Isaac 401k'!N1439,'Retirement Calculator'!A:A,0),0),0)</f>
        <v>0</v>
      </c>
      <c r="K1439" s="444">
        <f t="shared" ca="1" si="126"/>
        <v>-41529.465786187851</v>
      </c>
      <c r="L1439" s="444">
        <f t="shared" ca="1" si="127"/>
        <v>-10008601.254471272</v>
      </c>
      <c r="M1439" s="460">
        <f t="shared" si="129"/>
        <v>0.05</v>
      </c>
      <c r="N1439" s="464">
        <f t="shared" si="130"/>
        <v>94843</v>
      </c>
    </row>
    <row r="1440" spans="7:14" ht="11.25" customHeight="1" x14ac:dyDescent="0.3">
      <c r="G1440" s="459"/>
      <c r="H1440" s="459">
        <v>1433</v>
      </c>
      <c r="I1440" s="444">
        <f t="shared" ca="1" si="128"/>
        <v>-10008601.254471272</v>
      </c>
      <c r="J1440" s="444">
        <f t="array" ref="J1440">IFERROR(INDEX('Retirement Calculator'!J:J,MATCH('Isaac 401k'!N1440,'Retirement Calculator'!A:A,0),0),0)</f>
        <v>0</v>
      </c>
      <c r="K1440" s="444">
        <f t="shared" ca="1" si="126"/>
        <v>-41702.505226963636</v>
      </c>
      <c r="L1440" s="444">
        <f t="shared" ca="1" si="127"/>
        <v>-10050303.759698236</v>
      </c>
      <c r="M1440" s="460">
        <f t="shared" si="129"/>
        <v>0.05</v>
      </c>
      <c r="N1440" s="464">
        <f t="shared" si="130"/>
        <v>94873</v>
      </c>
    </row>
    <row r="1441" spans="7:14" ht="11.25" customHeight="1" x14ac:dyDescent="0.3">
      <c r="G1441" s="459"/>
      <c r="H1441" s="459">
        <v>1434</v>
      </c>
      <c r="I1441" s="444">
        <f t="shared" ca="1" si="128"/>
        <v>-10050303.759698236</v>
      </c>
      <c r="J1441" s="444">
        <f t="array" ref="J1441">IFERROR(INDEX('Retirement Calculator'!J:J,MATCH('Isaac 401k'!N1441,'Retirement Calculator'!A:A,0),0),0)</f>
        <v>0</v>
      </c>
      <c r="K1441" s="444">
        <f t="shared" ca="1" si="126"/>
        <v>-41876.265665409315</v>
      </c>
      <c r="L1441" s="444">
        <f t="shared" ca="1" si="127"/>
        <v>-10092180.025363646</v>
      </c>
      <c r="M1441" s="460">
        <f t="shared" si="129"/>
        <v>0.05</v>
      </c>
      <c r="N1441" s="464">
        <f t="shared" si="130"/>
        <v>94904</v>
      </c>
    </row>
    <row r="1442" spans="7:14" ht="11.25" customHeight="1" x14ac:dyDescent="0.3">
      <c r="G1442" s="459"/>
      <c r="H1442" s="459">
        <v>1435</v>
      </c>
      <c r="I1442" s="444">
        <f t="shared" ca="1" si="128"/>
        <v>-10092180.025363646</v>
      </c>
      <c r="J1442" s="444">
        <f t="array" ref="J1442">IFERROR(INDEX('Retirement Calculator'!J:J,MATCH('Isaac 401k'!N1442,'Retirement Calculator'!A:A,0),0),0)</f>
        <v>0</v>
      </c>
      <c r="K1442" s="444">
        <f t="shared" ca="1" si="126"/>
        <v>-42050.750105681858</v>
      </c>
      <c r="L1442" s="444">
        <f t="shared" ca="1" si="127"/>
        <v>-10134230.775469329</v>
      </c>
      <c r="M1442" s="460">
        <f t="shared" si="129"/>
        <v>0.05</v>
      </c>
      <c r="N1442" s="464">
        <f t="shared" si="130"/>
        <v>94934</v>
      </c>
    </row>
    <row r="1443" spans="7:14" ht="11.25" customHeight="1" x14ac:dyDescent="0.3">
      <c r="G1443" s="459"/>
      <c r="H1443" s="459">
        <v>1436</v>
      </c>
      <c r="I1443" s="444">
        <f t="shared" ca="1" si="128"/>
        <v>-10134230.775469329</v>
      </c>
      <c r="J1443" s="444">
        <f t="array" ref="J1443">IFERROR(INDEX('Retirement Calculator'!J:J,MATCH('Isaac 401k'!N1443,'Retirement Calculator'!A:A,0),0),0)</f>
        <v>0</v>
      </c>
      <c r="K1443" s="444">
        <f t="shared" ca="1" si="126"/>
        <v>-42225.961564455538</v>
      </c>
      <c r="L1443" s="444">
        <f t="shared" ca="1" si="127"/>
        <v>-10176456.737033784</v>
      </c>
      <c r="M1443" s="460">
        <f t="shared" si="129"/>
        <v>0.05</v>
      </c>
      <c r="N1443" s="464">
        <f t="shared" si="130"/>
        <v>94965</v>
      </c>
    </row>
    <row r="1444" spans="7:14" ht="11.25" customHeight="1" x14ac:dyDescent="0.3">
      <c r="G1444" s="459"/>
      <c r="H1444" s="459">
        <v>1437</v>
      </c>
      <c r="I1444" s="444">
        <f t="shared" ca="1" si="128"/>
        <v>-10176456.737033784</v>
      </c>
      <c r="J1444" s="444">
        <f t="array" ref="J1444">IFERROR(INDEX('Retirement Calculator'!J:J,MATCH('Isaac 401k'!N1444,'Retirement Calculator'!A:A,0),0),0)</f>
        <v>0</v>
      </c>
      <c r="K1444" s="444">
        <f t="shared" ca="1" si="126"/>
        <v>-42401.903070974098</v>
      </c>
      <c r="L1444" s="444">
        <f t="shared" ca="1" si="127"/>
        <v>-10218858.640104758</v>
      </c>
      <c r="M1444" s="460">
        <f t="shared" si="129"/>
        <v>0.05</v>
      </c>
      <c r="N1444" s="464">
        <f t="shared" si="130"/>
        <v>94996</v>
      </c>
    </row>
    <row r="1445" spans="7:14" ht="11.25" customHeight="1" x14ac:dyDescent="0.3">
      <c r="G1445" s="459"/>
      <c r="H1445" s="459">
        <v>1438</v>
      </c>
      <c r="I1445" s="444">
        <f t="shared" ca="1" si="128"/>
        <v>-10218858.640104758</v>
      </c>
      <c r="J1445" s="444">
        <f t="array" ref="J1445">IFERROR(INDEX('Retirement Calculator'!J:J,MATCH('Isaac 401k'!N1445,'Retirement Calculator'!A:A,0),0),0)</f>
        <v>0</v>
      </c>
      <c r="K1445" s="444">
        <f t="shared" ca="1" si="126"/>
        <v>-42578.577667103156</v>
      </c>
      <c r="L1445" s="444">
        <f t="shared" ca="1" si="127"/>
        <v>-10261437.217771862</v>
      </c>
      <c r="M1445" s="460">
        <f t="shared" si="129"/>
        <v>0.05</v>
      </c>
      <c r="N1445" s="464">
        <f t="shared" si="130"/>
        <v>95025</v>
      </c>
    </row>
    <row r="1446" spans="7:14" ht="11.25" customHeight="1" x14ac:dyDescent="0.3">
      <c r="G1446" s="459"/>
      <c r="H1446" s="459">
        <v>1439</v>
      </c>
      <c r="I1446" s="444">
        <f t="shared" ca="1" si="128"/>
        <v>-10261437.217771862</v>
      </c>
      <c r="J1446" s="444">
        <f t="array" ref="J1446">IFERROR(INDEX('Retirement Calculator'!J:J,MATCH('Isaac 401k'!N1446,'Retirement Calculator'!A:A,0),0),0)</f>
        <v>0</v>
      </c>
      <c r="K1446" s="444">
        <f t="shared" ca="1" si="126"/>
        <v>-42755.988407382756</v>
      </c>
      <c r="L1446" s="444">
        <f t="shared" ca="1" si="127"/>
        <v>-10304193.206179244</v>
      </c>
      <c r="M1446" s="460">
        <f t="shared" si="129"/>
        <v>0.05</v>
      </c>
      <c r="N1446" s="464">
        <f t="shared" si="130"/>
        <v>95056</v>
      </c>
    </row>
    <row r="1447" spans="7:14" ht="11.25" customHeight="1" x14ac:dyDescent="0.3">
      <c r="G1447" s="459"/>
      <c r="H1447" s="459">
        <v>1440</v>
      </c>
      <c r="I1447" s="444">
        <f t="shared" ca="1" si="128"/>
        <v>-10304193.206179244</v>
      </c>
      <c r="J1447" s="444">
        <f t="array" ref="J1447">IFERROR(INDEX('Retirement Calculator'!J:J,MATCH('Isaac 401k'!N1447,'Retirement Calculator'!A:A,0),0),0)</f>
        <v>0</v>
      </c>
      <c r="K1447" s="444">
        <f t="shared" ca="1" si="126"/>
        <v>-42934.138359080185</v>
      </c>
      <c r="L1447" s="444">
        <f t="shared" ca="1" si="127"/>
        <v>-10347127.344538325</v>
      </c>
      <c r="M1447" s="460">
        <f t="shared" si="129"/>
        <v>0.05</v>
      </c>
      <c r="N1447" s="464">
        <f t="shared" si="130"/>
        <v>95086</v>
      </c>
    </row>
    <row r="1448" spans="7:14" ht="11.25" customHeight="1" x14ac:dyDescent="0.3">
      <c r="G1448" s="459"/>
      <c r="H1448" s="459">
        <v>1441</v>
      </c>
      <c r="I1448" s="444">
        <f t="shared" ca="1" si="128"/>
        <v>-10347127.344538325</v>
      </c>
      <c r="J1448" s="444">
        <f t="array" ref="J1448">IFERROR(INDEX('Retirement Calculator'!J:J,MATCH('Isaac 401k'!N1448,'Retirement Calculator'!A:A,0),0),0)</f>
        <v>0</v>
      </c>
      <c r="K1448" s="444">
        <f t="shared" ca="1" si="126"/>
        <v>-43113.030602243023</v>
      </c>
      <c r="L1448" s="444">
        <f t="shared" ca="1" si="127"/>
        <v>-10390240.375140568</v>
      </c>
      <c r="M1448" s="460">
        <f t="shared" si="129"/>
        <v>0.05</v>
      </c>
      <c r="N1448" s="464">
        <f t="shared" si="130"/>
        <v>95117</v>
      </c>
    </row>
    <row r="1449" spans="7:14" ht="11.25" customHeight="1" x14ac:dyDescent="0.3">
      <c r="G1449" s="459"/>
      <c r="H1449" s="459">
        <v>1442</v>
      </c>
      <c r="I1449" s="444">
        <f t="shared" ca="1" si="128"/>
        <v>-10390240.375140568</v>
      </c>
      <c r="J1449" s="444">
        <f t="array" ref="J1449">IFERROR(INDEX('Retirement Calculator'!J:J,MATCH('Isaac 401k'!N1449,'Retirement Calculator'!A:A,0),0),0)</f>
        <v>0</v>
      </c>
      <c r="K1449" s="444">
        <f t="shared" ca="1" si="126"/>
        <v>-43292.668229752366</v>
      </c>
      <c r="L1449" s="444">
        <f t="shared" ca="1" si="127"/>
        <v>-10433533.043370321</v>
      </c>
      <c r="M1449" s="460">
        <f t="shared" si="129"/>
        <v>0.05</v>
      </c>
      <c r="N1449" s="464">
        <f t="shared" si="130"/>
        <v>95147</v>
      </c>
    </row>
    <row r="1450" spans="7:14" ht="11.25" customHeight="1" x14ac:dyDescent="0.3">
      <c r="G1450" s="459"/>
      <c r="H1450" s="459">
        <v>1443</v>
      </c>
      <c r="I1450" s="444">
        <f t="shared" ca="1" si="128"/>
        <v>-10433533.043370321</v>
      </c>
      <c r="J1450" s="444">
        <f t="array" ref="J1450">IFERROR(INDEX('Retirement Calculator'!J:J,MATCH('Isaac 401k'!N1450,'Retirement Calculator'!A:A,0),0),0)</f>
        <v>0</v>
      </c>
      <c r="K1450" s="444">
        <f t="shared" ca="1" si="126"/>
        <v>-43473.054347376339</v>
      </c>
      <c r="L1450" s="444">
        <f t="shared" ca="1" si="127"/>
        <v>-10477006.097717699</v>
      </c>
      <c r="M1450" s="460">
        <f t="shared" si="129"/>
        <v>0.05</v>
      </c>
      <c r="N1450" s="464">
        <f t="shared" si="130"/>
        <v>95178</v>
      </c>
    </row>
    <row r="1451" spans="7:14" ht="11.25" customHeight="1" x14ac:dyDescent="0.3">
      <c r="G1451" s="459"/>
      <c r="H1451" s="459">
        <v>1444</v>
      </c>
      <c r="I1451" s="444">
        <f t="shared" ca="1" si="128"/>
        <v>-10477006.097717699</v>
      </c>
      <c r="J1451" s="444">
        <f t="array" ref="J1451">IFERROR(INDEX('Retirement Calculator'!J:J,MATCH('Isaac 401k'!N1451,'Retirement Calculator'!A:A,0),0),0)</f>
        <v>0</v>
      </c>
      <c r="K1451" s="444">
        <f t="shared" ca="1" si="126"/>
        <v>-43654.192073823746</v>
      </c>
      <c r="L1451" s="444">
        <f t="shared" ca="1" si="127"/>
        <v>-10520660.289791523</v>
      </c>
      <c r="M1451" s="460">
        <f t="shared" si="129"/>
        <v>0.05</v>
      </c>
      <c r="N1451" s="464">
        <f t="shared" si="130"/>
        <v>95209</v>
      </c>
    </row>
    <row r="1452" spans="7:14" ht="11.25" customHeight="1" x14ac:dyDescent="0.3">
      <c r="G1452" s="459"/>
      <c r="H1452" s="459">
        <v>1445</v>
      </c>
      <c r="I1452" s="444">
        <f t="shared" ca="1" si="128"/>
        <v>-10520660.289791523</v>
      </c>
      <c r="J1452" s="444">
        <f t="array" ref="J1452">IFERROR(INDEX('Retirement Calculator'!J:J,MATCH('Isaac 401k'!N1452,'Retirement Calculator'!A:A,0),0),0)</f>
        <v>0</v>
      </c>
      <c r="K1452" s="444">
        <f t="shared" ca="1" si="126"/>
        <v>-43836.084540798009</v>
      </c>
      <c r="L1452" s="444">
        <f t="shared" ca="1" si="127"/>
        <v>-10564496.37433232</v>
      </c>
      <c r="M1452" s="460">
        <f t="shared" si="129"/>
        <v>0.05</v>
      </c>
      <c r="N1452" s="464">
        <f t="shared" si="130"/>
        <v>95239</v>
      </c>
    </row>
    <row r="1453" spans="7:14" ht="11.25" customHeight="1" x14ac:dyDescent="0.3">
      <c r="G1453" s="459"/>
      <c r="H1453" s="459">
        <v>1446</v>
      </c>
      <c r="I1453" s="444">
        <f t="shared" ca="1" si="128"/>
        <v>-10564496.37433232</v>
      </c>
      <c r="J1453" s="444">
        <f t="array" ref="J1453">IFERROR(INDEX('Retirement Calculator'!J:J,MATCH('Isaac 401k'!N1453,'Retirement Calculator'!A:A,0),0),0)</f>
        <v>0</v>
      </c>
      <c r="K1453" s="444">
        <f t="shared" ca="1" si="126"/>
        <v>-44018.734893051333</v>
      </c>
      <c r="L1453" s="444">
        <f t="shared" ca="1" si="127"/>
        <v>-10608515.109225372</v>
      </c>
      <c r="M1453" s="460">
        <f t="shared" si="129"/>
        <v>0.05</v>
      </c>
      <c r="N1453" s="464">
        <f t="shared" si="130"/>
        <v>95270</v>
      </c>
    </row>
    <row r="1454" spans="7:14" ht="11.25" customHeight="1" x14ac:dyDescent="0.3">
      <c r="G1454" s="459"/>
      <c r="H1454" s="459">
        <v>1447</v>
      </c>
      <c r="I1454" s="444">
        <f t="shared" ca="1" si="128"/>
        <v>-10608515.109225372</v>
      </c>
      <c r="J1454" s="444">
        <f t="array" ref="J1454">IFERROR(INDEX('Retirement Calculator'!J:J,MATCH('Isaac 401k'!N1454,'Retirement Calculator'!A:A,0),0),0)</f>
        <v>0</v>
      </c>
      <c r="K1454" s="444">
        <f t="shared" ca="1" si="126"/>
        <v>-44202.146288439049</v>
      </c>
      <c r="L1454" s="444">
        <f t="shared" ca="1" si="127"/>
        <v>-10652717.255513811</v>
      </c>
      <c r="M1454" s="460">
        <f t="shared" si="129"/>
        <v>0.05</v>
      </c>
      <c r="N1454" s="464">
        <f t="shared" si="130"/>
        <v>95300</v>
      </c>
    </row>
    <row r="1455" spans="7:14" ht="11.25" customHeight="1" x14ac:dyDescent="0.3">
      <c r="G1455" s="459"/>
      <c r="H1455" s="459">
        <v>1448</v>
      </c>
      <c r="I1455" s="444">
        <f t="shared" ca="1" si="128"/>
        <v>-10652717.255513811</v>
      </c>
      <c r="J1455" s="444">
        <f t="array" ref="J1455">IFERROR(INDEX('Retirement Calculator'!J:J,MATCH('Isaac 401k'!N1455,'Retirement Calculator'!A:A,0),0),0)</f>
        <v>0</v>
      </c>
      <c r="K1455" s="444">
        <f t="shared" ca="1" si="126"/>
        <v>-44386.321897974216</v>
      </c>
      <c r="L1455" s="444">
        <f t="shared" ca="1" si="127"/>
        <v>-10697103.577411786</v>
      </c>
      <c r="M1455" s="460">
        <f t="shared" si="129"/>
        <v>0.05</v>
      </c>
      <c r="N1455" s="464">
        <f t="shared" si="130"/>
        <v>95331</v>
      </c>
    </row>
    <row r="1456" spans="7:14" ht="11.25" customHeight="1" x14ac:dyDescent="0.3">
      <c r="G1456" s="459"/>
      <c r="H1456" s="459">
        <v>1449</v>
      </c>
      <c r="I1456" s="444">
        <f t="shared" ca="1" si="128"/>
        <v>-10697103.577411786</v>
      </c>
      <c r="J1456" s="444">
        <f t="array" ref="J1456">IFERROR(INDEX('Retirement Calculator'!J:J,MATCH('Isaac 401k'!N1456,'Retirement Calculator'!A:A,0),0),0)</f>
        <v>0</v>
      </c>
      <c r="K1456" s="444">
        <f t="shared" ca="1" si="126"/>
        <v>-44571.264905882439</v>
      </c>
      <c r="L1456" s="444">
        <f t="shared" ca="1" si="127"/>
        <v>-10741674.842317669</v>
      </c>
      <c r="M1456" s="460">
        <f t="shared" si="129"/>
        <v>0.05</v>
      </c>
      <c r="N1456" s="464">
        <f t="shared" si="130"/>
        <v>95362</v>
      </c>
    </row>
    <row r="1457" spans="7:14" ht="11.25" customHeight="1" x14ac:dyDescent="0.3">
      <c r="G1457" s="459"/>
      <c r="H1457" s="459">
        <v>1450</v>
      </c>
      <c r="I1457" s="444">
        <f t="shared" ca="1" si="128"/>
        <v>-10741674.842317669</v>
      </c>
      <c r="J1457" s="444">
        <f t="array" ref="J1457">IFERROR(INDEX('Retirement Calculator'!J:J,MATCH('Isaac 401k'!N1457,'Retirement Calculator'!A:A,0),0),0)</f>
        <v>0</v>
      </c>
      <c r="K1457" s="444">
        <f t="shared" ca="1" si="126"/>
        <v>-44756.978509656954</v>
      </c>
      <c r="L1457" s="444">
        <f t="shared" ca="1" si="127"/>
        <v>-10786431.820827326</v>
      </c>
      <c r="M1457" s="460">
        <f t="shared" si="129"/>
        <v>0.05</v>
      </c>
      <c r="N1457" s="464">
        <f t="shared" si="130"/>
        <v>95390</v>
      </c>
    </row>
    <row r="1458" spans="7:14" ht="11.25" customHeight="1" x14ac:dyDescent="0.3">
      <c r="G1458" s="459"/>
      <c r="H1458" s="459">
        <v>1451</v>
      </c>
      <c r="I1458" s="444">
        <f t="shared" ca="1" si="128"/>
        <v>-10786431.820827326</v>
      </c>
      <c r="J1458" s="444">
        <f t="array" ref="J1458">IFERROR(INDEX('Retirement Calculator'!J:J,MATCH('Isaac 401k'!N1458,'Retirement Calculator'!A:A,0),0),0)</f>
        <v>0</v>
      </c>
      <c r="K1458" s="444">
        <f t="shared" ca="1" si="126"/>
        <v>-44943.465920113857</v>
      </c>
      <c r="L1458" s="444">
        <f t="shared" ca="1" si="127"/>
        <v>-10831375.286747439</v>
      </c>
      <c r="M1458" s="460">
        <f t="shared" si="129"/>
        <v>0.05</v>
      </c>
      <c r="N1458" s="464">
        <f t="shared" si="130"/>
        <v>95421</v>
      </c>
    </row>
    <row r="1459" spans="7:14" ht="11.25" customHeight="1" x14ac:dyDescent="0.3">
      <c r="G1459" s="459"/>
      <c r="H1459" s="459">
        <v>1452</v>
      </c>
      <c r="I1459" s="444">
        <f t="shared" ca="1" si="128"/>
        <v>-10831375.286747439</v>
      </c>
      <c r="J1459" s="444">
        <f t="array" ref="J1459">IFERROR(INDEX('Retirement Calculator'!J:J,MATCH('Isaac 401k'!N1459,'Retirement Calculator'!A:A,0),0),0)</f>
        <v>0</v>
      </c>
      <c r="K1459" s="444">
        <f t="shared" ca="1" si="126"/>
        <v>-45130.730361447662</v>
      </c>
      <c r="L1459" s="444">
        <f t="shared" ca="1" si="127"/>
        <v>-10876506.017108886</v>
      </c>
      <c r="M1459" s="460">
        <f t="shared" si="129"/>
        <v>0.05</v>
      </c>
      <c r="N1459" s="464">
        <f t="shared" si="130"/>
        <v>95451</v>
      </c>
    </row>
    <row r="1460" spans="7:14" ht="11.25" customHeight="1" x14ac:dyDescent="0.3">
      <c r="G1460" s="459"/>
      <c r="H1460" s="459">
        <v>1453</v>
      </c>
      <c r="I1460" s="444">
        <f t="shared" ca="1" si="128"/>
        <v>-10876506.017108886</v>
      </c>
      <c r="J1460" s="444">
        <f t="array" ref="J1460">IFERROR(INDEX('Retirement Calculator'!J:J,MATCH('Isaac 401k'!N1460,'Retirement Calculator'!A:A,0),0),0)</f>
        <v>0</v>
      </c>
      <c r="K1460" s="444">
        <f t="shared" ca="1" si="126"/>
        <v>-45318.775071287026</v>
      </c>
      <c r="L1460" s="444">
        <f t="shared" ca="1" si="127"/>
        <v>-10921824.792180173</v>
      </c>
      <c r="M1460" s="460">
        <f t="shared" si="129"/>
        <v>0.05</v>
      </c>
      <c r="N1460" s="464">
        <f t="shared" si="130"/>
        <v>95482</v>
      </c>
    </row>
    <row r="1461" spans="7:14" ht="11.25" customHeight="1" x14ac:dyDescent="0.3">
      <c r="G1461" s="459"/>
      <c r="H1461" s="459">
        <v>1454</v>
      </c>
      <c r="I1461" s="444">
        <f t="shared" ca="1" si="128"/>
        <v>-10921824.792180173</v>
      </c>
      <c r="J1461" s="444">
        <f t="array" ref="J1461">IFERROR(INDEX('Retirement Calculator'!J:J,MATCH('Isaac 401k'!N1461,'Retirement Calculator'!A:A,0),0),0)</f>
        <v>0</v>
      </c>
      <c r="K1461" s="444">
        <f t="shared" ca="1" si="126"/>
        <v>-45507.603300750721</v>
      </c>
      <c r="L1461" s="444">
        <f t="shared" ca="1" si="127"/>
        <v>-10967332.395480923</v>
      </c>
      <c r="M1461" s="460">
        <f t="shared" si="129"/>
        <v>0.05</v>
      </c>
      <c r="N1461" s="464">
        <f t="shared" si="130"/>
        <v>95512</v>
      </c>
    </row>
    <row r="1462" spans="7:14" ht="11.25" customHeight="1" x14ac:dyDescent="0.3">
      <c r="G1462" s="459"/>
      <c r="H1462" s="459">
        <v>1455</v>
      </c>
      <c r="I1462" s="444">
        <f t="shared" ca="1" si="128"/>
        <v>-10967332.395480923</v>
      </c>
      <c r="J1462" s="444">
        <f t="array" ref="J1462">IFERROR(INDEX('Retirement Calculator'!J:J,MATCH('Isaac 401k'!N1462,'Retirement Calculator'!A:A,0),0),0)</f>
        <v>0</v>
      </c>
      <c r="K1462" s="444">
        <f t="shared" ca="1" si="126"/>
        <v>-45697.218314503843</v>
      </c>
      <c r="L1462" s="444">
        <f t="shared" ca="1" si="127"/>
        <v>-11013029.613795428</v>
      </c>
      <c r="M1462" s="460">
        <f t="shared" si="129"/>
        <v>0.05</v>
      </c>
      <c r="N1462" s="464">
        <f t="shared" si="130"/>
        <v>95543</v>
      </c>
    </row>
    <row r="1463" spans="7:14" ht="11.25" customHeight="1" x14ac:dyDescent="0.3">
      <c r="G1463" s="459"/>
      <c r="H1463" s="459">
        <v>1456</v>
      </c>
      <c r="I1463" s="444">
        <f t="shared" ca="1" si="128"/>
        <v>-11013029.613795428</v>
      </c>
      <c r="J1463" s="444">
        <f t="array" ref="J1463">IFERROR(INDEX('Retirement Calculator'!J:J,MATCH('Isaac 401k'!N1463,'Retirement Calculator'!A:A,0),0),0)</f>
        <v>0</v>
      </c>
      <c r="K1463" s="444">
        <f t="shared" ca="1" si="126"/>
        <v>-45887.623390814282</v>
      </c>
      <c r="L1463" s="444">
        <f t="shared" ca="1" si="127"/>
        <v>-11058917.237186242</v>
      </c>
      <c r="M1463" s="460">
        <f t="shared" si="129"/>
        <v>0.05</v>
      </c>
      <c r="N1463" s="464">
        <f t="shared" si="130"/>
        <v>95574</v>
      </c>
    </row>
    <row r="1464" spans="7:14" ht="11.25" customHeight="1" x14ac:dyDescent="0.3">
      <c r="G1464" s="459"/>
      <c r="H1464" s="459">
        <v>1457</v>
      </c>
      <c r="I1464" s="444">
        <f t="shared" ca="1" si="128"/>
        <v>-11058917.237186242</v>
      </c>
      <c r="J1464" s="444">
        <f t="array" ref="J1464">IFERROR(INDEX('Retirement Calculator'!J:J,MATCH('Isaac 401k'!N1464,'Retirement Calculator'!A:A,0),0),0)</f>
        <v>0</v>
      </c>
      <c r="K1464" s="444">
        <f t="shared" ca="1" si="126"/>
        <v>-46078.821821609337</v>
      </c>
      <c r="L1464" s="444">
        <f t="shared" ca="1" si="127"/>
        <v>-11104996.059007851</v>
      </c>
      <c r="M1464" s="460">
        <f t="shared" si="129"/>
        <v>0.05</v>
      </c>
      <c r="N1464" s="464">
        <f t="shared" si="130"/>
        <v>95604</v>
      </c>
    </row>
    <row r="1465" spans="7:14" ht="11.25" customHeight="1" x14ac:dyDescent="0.3">
      <c r="G1465" s="459"/>
      <c r="H1465" s="459">
        <v>1458</v>
      </c>
      <c r="I1465" s="444">
        <f t="shared" ca="1" si="128"/>
        <v>-11104996.059007851</v>
      </c>
      <c r="J1465" s="444">
        <f t="array" ref="J1465">IFERROR(INDEX('Retirement Calculator'!J:J,MATCH('Isaac 401k'!N1465,'Retirement Calculator'!A:A,0),0),0)</f>
        <v>0</v>
      </c>
      <c r="K1465" s="444">
        <f t="shared" ca="1" si="126"/>
        <v>-46270.816912532711</v>
      </c>
      <c r="L1465" s="444">
        <f t="shared" ca="1" si="127"/>
        <v>-11151266.875920383</v>
      </c>
      <c r="M1465" s="460">
        <f t="shared" si="129"/>
        <v>0.05</v>
      </c>
      <c r="N1465" s="464">
        <f t="shared" si="130"/>
        <v>95635</v>
      </c>
    </row>
    <row r="1466" spans="7:14" ht="11.25" customHeight="1" x14ac:dyDescent="0.3">
      <c r="G1466" s="459"/>
      <c r="H1466" s="459">
        <v>1459</v>
      </c>
      <c r="I1466" s="444">
        <f t="shared" ca="1" si="128"/>
        <v>-11151266.875920383</v>
      </c>
      <c r="J1466" s="444">
        <f t="array" ref="J1466">IFERROR(INDEX('Retirement Calculator'!J:J,MATCH('Isaac 401k'!N1466,'Retirement Calculator'!A:A,0),0),0)</f>
        <v>0</v>
      </c>
      <c r="K1466" s="444">
        <f t="shared" ca="1" si="126"/>
        <v>-46463.611983001596</v>
      </c>
      <c r="L1466" s="444">
        <f t="shared" ca="1" si="127"/>
        <v>-11197730.487903384</v>
      </c>
      <c r="M1466" s="460">
        <f t="shared" si="129"/>
        <v>0.05</v>
      </c>
      <c r="N1466" s="464">
        <f t="shared" si="130"/>
        <v>95665</v>
      </c>
    </row>
    <row r="1467" spans="7:14" ht="11.25" customHeight="1" x14ac:dyDescent="0.3">
      <c r="G1467" s="459"/>
      <c r="H1467" s="459">
        <v>1460</v>
      </c>
      <c r="I1467" s="444">
        <f t="shared" ca="1" si="128"/>
        <v>-11197730.487903384</v>
      </c>
      <c r="J1467" s="444">
        <f t="array" ref="J1467">IFERROR(INDEX('Retirement Calculator'!J:J,MATCH('Isaac 401k'!N1467,'Retirement Calculator'!A:A,0),0),0)</f>
        <v>0</v>
      </c>
      <c r="K1467" s="444">
        <f t="shared" ca="1" si="126"/>
        <v>-46657.210366264102</v>
      </c>
      <c r="L1467" s="444">
        <f t="shared" ca="1" si="127"/>
        <v>-11244387.698269648</v>
      </c>
      <c r="M1467" s="460">
        <f t="shared" si="129"/>
        <v>0.05</v>
      </c>
      <c r="N1467" s="464">
        <f t="shared" si="130"/>
        <v>95696</v>
      </c>
    </row>
    <row r="1468" spans="7:14" ht="11.25" customHeight="1" x14ac:dyDescent="0.3">
      <c r="G1468" s="459"/>
      <c r="H1468" s="459">
        <v>1461</v>
      </c>
      <c r="I1468" s="444">
        <f t="shared" ca="1" si="128"/>
        <v>-11244387.698269648</v>
      </c>
      <c r="J1468" s="444">
        <f t="array" ref="J1468">IFERROR(INDEX('Retirement Calculator'!J:J,MATCH('Isaac 401k'!N1468,'Retirement Calculator'!A:A,0),0),0)</f>
        <v>0</v>
      </c>
      <c r="K1468" s="444">
        <f t="shared" ca="1" si="126"/>
        <v>-46851.61540945687</v>
      </c>
      <c r="L1468" s="444">
        <f t="shared" ca="1" si="127"/>
        <v>-11291239.313679105</v>
      </c>
      <c r="M1468" s="460">
        <f t="shared" si="129"/>
        <v>0.05</v>
      </c>
      <c r="N1468" s="464">
        <f t="shared" si="130"/>
        <v>95727</v>
      </c>
    </row>
    <row r="1469" spans="7:14" ht="11.25" customHeight="1" x14ac:dyDescent="0.3">
      <c r="G1469" s="459"/>
      <c r="H1469" s="459">
        <v>1462</v>
      </c>
      <c r="I1469" s="444">
        <f t="shared" ca="1" si="128"/>
        <v>-11291239.313679105</v>
      </c>
      <c r="J1469" s="444">
        <f t="array" ref="J1469">IFERROR(INDEX('Retirement Calculator'!J:J,MATCH('Isaac 401k'!N1469,'Retirement Calculator'!A:A,0),0),0)</f>
        <v>0</v>
      </c>
      <c r="K1469" s="444">
        <f t="shared" ca="1" si="126"/>
        <v>-47046.830473662936</v>
      </c>
      <c r="L1469" s="444">
        <f t="shared" ca="1" si="127"/>
        <v>-11338286.144152768</v>
      </c>
      <c r="M1469" s="460">
        <f t="shared" si="129"/>
        <v>0.05</v>
      </c>
      <c r="N1469" s="464">
        <f t="shared" si="130"/>
        <v>95755</v>
      </c>
    </row>
    <row r="1470" spans="7:14" ht="11.25" customHeight="1" x14ac:dyDescent="0.3">
      <c r="G1470" s="459"/>
      <c r="H1470" s="459">
        <v>1463</v>
      </c>
      <c r="I1470" s="444">
        <f t="shared" ca="1" si="128"/>
        <v>-11338286.144152768</v>
      </c>
      <c r="J1470" s="444">
        <f t="array" ref="J1470">IFERROR(INDEX('Retirement Calculator'!J:J,MATCH('Isaac 401k'!N1470,'Retirement Calculator'!A:A,0),0),0)</f>
        <v>0</v>
      </c>
      <c r="K1470" s="444">
        <f t="shared" ca="1" si="126"/>
        <v>-47242.858933969866</v>
      </c>
      <c r="L1470" s="444">
        <f t="shared" ca="1" si="127"/>
        <v>-11385529.003086738</v>
      </c>
      <c r="M1470" s="460">
        <f t="shared" si="129"/>
        <v>0.05</v>
      </c>
      <c r="N1470" s="464">
        <f t="shared" si="130"/>
        <v>95786</v>
      </c>
    </row>
    <row r="1471" spans="7:14" ht="11.25" customHeight="1" x14ac:dyDescent="0.3">
      <c r="G1471" s="459"/>
      <c r="H1471" s="459">
        <v>1464</v>
      </c>
      <c r="I1471" s="444">
        <f t="shared" ca="1" si="128"/>
        <v>-11385529.003086738</v>
      </c>
      <c r="J1471" s="444">
        <f t="array" ref="J1471">IFERROR(INDEX('Retirement Calculator'!J:J,MATCH('Isaac 401k'!N1471,'Retirement Calculator'!A:A,0),0),0)</f>
        <v>0</v>
      </c>
      <c r="K1471" s="444">
        <f t="shared" ca="1" si="126"/>
        <v>-47439.704179528075</v>
      </c>
      <c r="L1471" s="444">
        <f t="shared" ca="1" si="127"/>
        <v>-11432968.707266266</v>
      </c>
      <c r="M1471" s="460">
        <f t="shared" si="129"/>
        <v>0.05</v>
      </c>
      <c r="N1471" s="464">
        <f t="shared" si="130"/>
        <v>95816</v>
      </c>
    </row>
    <row r="1472" spans="7:14" ht="11.25" customHeight="1" x14ac:dyDescent="0.3">
      <c r="G1472" s="459"/>
      <c r="H1472" s="459">
        <v>1465</v>
      </c>
      <c r="I1472" s="444">
        <f t="shared" ca="1" si="128"/>
        <v>-11432968.707266266</v>
      </c>
      <c r="J1472" s="444">
        <f t="array" ref="J1472">IFERROR(INDEX('Retirement Calculator'!J:J,MATCH('Isaac 401k'!N1472,'Retirement Calculator'!A:A,0),0),0)</f>
        <v>0</v>
      </c>
      <c r="K1472" s="444">
        <f t="shared" ca="1" si="126"/>
        <v>-47637.369613609437</v>
      </c>
      <c r="L1472" s="444">
        <f t="shared" ca="1" si="127"/>
        <v>-11480606.076879876</v>
      </c>
      <c r="M1472" s="460">
        <f t="shared" si="129"/>
        <v>0.05</v>
      </c>
      <c r="N1472" s="464">
        <f t="shared" si="130"/>
        <v>95847</v>
      </c>
    </row>
    <row r="1473" spans="7:14" ht="11.25" customHeight="1" x14ac:dyDescent="0.3">
      <c r="G1473" s="459"/>
      <c r="H1473" s="459">
        <v>1466</v>
      </c>
      <c r="I1473" s="444">
        <f t="shared" ca="1" si="128"/>
        <v>-11480606.076879876</v>
      </c>
      <c r="J1473" s="444">
        <f t="array" ref="J1473">IFERROR(INDEX('Retirement Calculator'!J:J,MATCH('Isaac 401k'!N1473,'Retirement Calculator'!A:A,0),0),0)</f>
        <v>0</v>
      </c>
      <c r="K1473" s="444">
        <f t="shared" ca="1" si="126"/>
        <v>-47835.858653666146</v>
      </c>
      <c r="L1473" s="444">
        <f t="shared" ca="1" si="127"/>
        <v>-11528441.935533542</v>
      </c>
      <c r="M1473" s="460">
        <f t="shared" si="129"/>
        <v>0.05</v>
      </c>
      <c r="N1473" s="464">
        <f t="shared" si="130"/>
        <v>95877</v>
      </c>
    </row>
    <row r="1474" spans="7:14" ht="11.25" customHeight="1" x14ac:dyDescent="0.3">
      <c r="G1474" s="459"/>
      <c r="H1474" s="459">
        <v>1467</v>
      </c>
      <c r="I1474" s="444">
        <f t="shared" ca="1" si="128"/>
        <v>-11528441.935533542</v>
      </c>
      <c r="J1474" s="444">
        <f t="array" ref="J1474">IFERROR(INDEX('Retirement Calculator'!J:J,MATCH('Isaac 401k'!N1474,'Retirement Calculator'!A:A,0),0),0)</f>
        <v>0</v>
      </c>
      <c r="K1474" s="444">
        <f t="shared" ca="1" si="126"/>
        <v>-48035.174731389758</v>
      </c>
      <c r="L1474" s="444">
        <f t="shared" ca="1" si="127"/>
        <v>-11576477.110264933</v>
      </c>
      <c r="M1474" s="460">
        <f t="shared" si="129"/>
        <v>0.05</v>
      </c>
      <c r="N1474" s="464">
        <f t="shared" si="130"/>
        <v>95908</v>
      </c>
    </row>
    <row r="1475" spans="7:14" ht="11.25" customHeight="1" x14ac:dyDescent="0.3">
      <c r="G1475" s="459"/>
      <c r="H1475" s="459">
        <v>1468</v>
      </c>
      <c r="I1475" s="444">
        <f t="shared" ca="1" si="128"/>
        <v>-11576477.110264933</v>
      </c>
      <c r="J1475" s="444">
        <f t="array" ref="J1475">IFERROR(INDEX('Retirement Calculator'!J:J,MATCH('Isaac 401k'!N1475,'Retirement Calculator'!A:A,0),0),0)</f>
        <v>0</v>
      </c>
      <c r="K1475" s="444">
        <f t="shared" ca="1" si="126"/>
        <v>-48235.321292770554</v>
      </c>
      <c r="L1475" s="444">
        <f t="shared" ca="1" si="127"/>
        <v>-11624712.431557704</v>
      </c>
      <c r="M1475" s="460">
        <f t="shared" si="129"/>
        <v>0.05</v>
      </c>
      <c r="N1475" s="464">
        <f t="shared" si="130"/>
        <v>95939</v>
      </c>
    </row>
    <row r="1476" spans="7:14" ht="11.25" customHeight="1" x14ac:dyDescent="0.3">
      <c r="G1476" s="459"/>
      <c r="H1476" s="459">
        <v>1469</v>
      </c>
      <c r="I1476" s="444">
        <f t="shared" ca="1" si="128"/>
        <v>-11624712.431557704</v>
      </c>
      <c r="J1476" s="444">
        <f t="array" ref="J1476">IFERROR(INDEX('Retirement Calculator'!J:J,MATCH('Isaac 401k'!N1476,'Retirement Calculator'!A:A,0),0),0)</f>
        <v>0</v>
      </c>
      <c r="K1476" s="444">
        <f t="shared" ca="1" si="126"/>
        <v>-48436.301798157096</v>
      </c>
      <c r="L1476" s="444">
        <f t="shared" ca="1" si="127"/>
        <v>-11673148.733355861</v>
      </c>
      <c r="M1476" s="460">
        <f t="shared" si="129"/>
        <v>0.05</v>
      </c>
      <c r="N1476" s="464">
        <f t="shared" si="130"/>
        <v>95969</v>
      </c>
    </row>
    <row r="1477" spans="7:14" ht="11.25" customHeight="1" x14ac:dyDescent="0.3">
      <c r="G1477" s="459"/>
      <c r="H1477" s="459">
        <v>1470</v>
      </c>
      <c r="I1477" s="444">
        <f t="shared" ca="1" si="128"/>
        <v>-11673148.733355861</v>
      </c>
      <c r="J1477" s="444">
        <f t="array" ref="J1477">IFERROR(INDEX('Retirement Calculator'!J:J,MATCH('Isaac 401k'!N1477,'Retirement Calculator'!A:A,0),0),0)</f>
        <v>0</v>
      </c>
      <c r="K1477" s="444">
        <f t="shared" ca="1" si="126"/>
        <v>-48638.119722316085</v>
      </c>
      <c r="L1477" s="444">
        <f t="shared" ca="1" si="127"/>
        <v>-11721786.853078177</v>
      </c>
      <c r="M1477" s="460">
        <f t="shared" si="129"/>
        <v>0.05</v>
      </c>
      <c r="N1477" s="464">
        <f t="shared" si="130"/>
        <v>96000</v>
      </c>
    </row>
    <row r="1478" spans="7:14" ht="11.25" customHeight="1" x14ac:dyDescent="0.3">
      <c r="G1478" s="459"/>
      <c r="H1478" s="459">
        <v>1471</v>
      </c>
      <c r="I1478" s="444">
        <f t="shared" ca="1" si="128"/>
        <v>-11721786.853078177</v>
      </c>
      <c r="J1478" s="444">
        <f t="array" ref="J1478">IFERROR(INDEX('Retirement Calculator'!J:J,MATCH('Isaac 401k'!N1478,'Retirement Calculator'!A:A,0),0),0)</f>
        <v>0</v>
      </c>
      <c r="K1478" s="444">
        <f t="shared" ca="1" si="126"/>
        <v>-48840.778554492405</v>
      </c>
      <c r="L1478" s="444">
        <f t="shared" ca="1" si="127"/>
        <v>-11770627.631632669</v>
      </c>
      <c r="M1478" s="460">
        <f t="shared" si="129"/>
        <v>0.05</v>
      </c>
      <c r="N1478" s="464">
        <f t="shared" si="130"/>
        <v>96030</v>
      </c>
    </row>
    <row r="1479" spans="7:14" ht="11.25" customHeight="1" x14ac:dyDescent="0.3">
      <c r="G1479" s="459"/>
      <c r="H1479" s="459">
        <v>1472</v>
      </c>
      <c r="I1479" s="444">
        <f t="shared" ca="1" si="128"/>
        <v>-11770627.631632669</v>
      </c>
      <c r="J1479" s="444">
        <f t="array" ref="J1479">IFERROR(INDEX('Retirement Calculator'!J:J,MATCH('Isaac 401k'!N1479,'Retirement Calculator'!A:A,0),0),0)</f>
        <v>0</v>
      </c>
      <c r="K1479" s="444">
        <f t="shared" ca="1" si="126"/>
        <v>-49044.281798469456</v>
      </c>
      <c r="L1479" s="444">
        <f t="shared" ca="1" si="127"/>
        <v>-11819671.913431138</v>
      </c>
      <c r="M1479" s="460">
        <f t="shared" si="129"/>
        <v>0.05</v>
      </c>
      <c r="N1479" s="464">
        <f t="shared" si="130"/>
        <v>96061</v>
      </c>
    </row>
    <row r="1480" spans="7:14" ht="11.25" customHeight="1" x14ac:dyDescent="0.3">
      <c r="G1480" s="459"/>
      <c r="H1480" s="459">
        <v>1473</v>
      </c>
      <c r="I1480" s="444">
        <f t="shared" ca="1" si="128"/>
        <v>-11819671.913431138</v>
      </c>
      <c r="J1480" s="444">
        <f t="array" ref="J1480">IFERROR(INDEX('Retirement Calculator'!J:J,MATCH('Isaac 401k'!N1480,'Retirement Calculator'!A:A,0),0),0)</f>
        <v>0</v>
      </c>
      <c r="K1480" s="444">
        <f t="shared" ca="1" si="126"/>
        <v>-49248.632972629741</v>
      </c>
      <c r="L1480" s="444">
        <f t="shared" ca="1" si="127"/>
        <v>-11868920.546403768</v>
      </c>
      <c r="M1480" s="460">
        <f t="shared" si="129"/>
        <v>0.05</v>
      </c>
      <c r="N1480" s="464">
        <f t="shared" si="130"/>
        <v>96092</v>
      </c>
    </row>
    <row r="1481" spans="7:14" ht="11.25" customHeight="1" x14ac:dyDescent="0.3">
      <c r="G1481" s="459"/>
      <c r="H1481" s="459">
        <v>1474</v>
      </c>
      <c r="I1481" s="444">
        <f t="shared" ca="1" si="128"/>
        <v>-11868920.546403768</v>
      </c>
      <c r="J1481" s="444">
        <f t="array" ref="J1481">IFERROR(INDEX('Retirement Calculator'!J:J,MATCH('Isaac 401k'!N1481,'Retirement Calculator'!A:A,0),0),0)</f>
        <v>0</v>
      </c>
      <c r="K1481" s="444">
        <f t="shared" ca="1" si="126"/>
        <v>-49453.835610015696</v>
      </c>
      <c r="L1481" s="444">
        <f t="shared" ca="1" si="127"/>
        <v>-11918374.382013783</v>
      </c>
      <c r="M1481" s="460">
        <f t="shared" si="129"/>
        <v>0.05</v>
      </c>
      <c r="N1481" s="464">
        <f t="shared" si="130"/>
        <v>96120</v>
      </c>
    </row>
    <row r="1482" spans="7:14" ht="11.25" customHeight="1" x14ac:dyDescent="0.3">
      <c r="G1482" s="459"/>
      <c r="H1482" s="459">
        <v>1475</v>
      </c>
      <c r="I1482" s="444">
        <f t="shared" ca="1" si="128"/>
        <v>-11918374.382013783</v>
      </c>
      <c r="J1482" s="444">
        <f t="array" ref="J1482">IFERROR(INDEX('Retirement Calculator'!J:J,MATCH('Isaac 401k'!N1482,'Retirement Calculator'!A:A,0),0),0)</f>
        <v>0</v>
      </c>
      <c r="K1482" s="444">
        <f t="shared" ca="1" si="126"/>
        <v>-49659.893258390759</v>
      </c>
      <c r="L1482" s="444">
        <f t="shared" ca="1" si="127"/>
        <v>-11968034.275272174</v>
      </c>
      <c r="M1482" s="460">
        <f t="shared" si="129"/>
        <v>0.05</v>
      </c>
      <c r="N1482" s="464">
        <f t="shared" si="130"/>
        <v>96151</v>
      </c>
    </row>
    <row r="1483" spans="7:14" ht="11.25" customHeight="1" x14ac:dyDescent="0.3">
      <c r="G1483" s="459"/>
      <c r="H1483" s="459">
        <v>1476</v>
      </c>
      <c r="I1483" s="444">
        <f t="shared" ca="1" si="128"/>
        <v>-11968034.275272174</v>
      </c>
      <c r="J1483" s="444">
        <f t="array" ref="J1483">IFERROR(INDEX('Retirement Calculator'!J:J,MATCH('Isaac 401k'!N1483,'Retirement Calculator'!A:A,0),0),0)</f>
        <v>0</v>
      </c>
      <c r="K1483" s="444">
        <f t="shared" ca="1" si="126"/>
        <v>-49866.809480300726</v>
      </c>
      <c r="L1483" s="444">
        <f t="shared" ca="1" si="127"/>
        <v>-12017901.084752474</v>
      </c>
      <c r="M1483" s="460">
        <f t="shared" si="129"/>
        <v>0.05</v>
      </c>
      <c r="N1483" s="464">
        <f t="shared" si="130"/>
        <v>96181</v>
      </c>
    </row>
    <row r="1484" spans="7:14" ht="11.25" customHeight="1" x14ac:dyDescent="0.3">
      <c r="G1484" s="459"/>
      <c r="H1484" s="459">
        <v>1477</v>
      </c>
      <c r="I1484" s="444">
        <f t="shared" ca="1" si="128"/>
        <v>-12017901.084752474</v>
      </c>
      <c r="J1484" s="444">
        <f t="array" ref="J1484">IFERROR(INDEX('Retirement Calculator'!J:J,MATCH('Isaac 401k'!N1484,'Retirement Calculator'!A:A,0),0),0)</f>
        <v>0</v>
      </c>
      <c r="K1484" s="444">
        <f t="shared" ca="1" si="126"/>
        <v>-50074.587853135308</v>
      </c>
      <c r="L1484" s="444">
        <f t="shared" ca="1" si="127"/>
        <v>-12067975.67260561</v>
      </c>
      <c r="M1484" s="460">
        <f t="shared" si="129"/>
        <v>0.05</v>
      </c>
      <c r="N1484" s="464">
        <f t="shared" si="130"/>
        <v>96212</v>
      </c>
    </row>
    <row r="1485" spans="7:14" ht="11.25" customHeight="1" x14ac:dyDescent="0.3">
      <c r="G1485" s="459"/>
      <c r="H1485" s="459">
        <v>1478</v>
      </c>
      <c r="I1485" s="444">
        <f t="shared" ca="1" si="128"/>
        <v>-12067975.67260561</v>
      </c>
      <c r="J1485" s="444">
        <f t="array" ref="J1485">IFERROR(INDEX('Retirement Calculator'!J:J,MATCH('Isaac 401k'!N1485,'Retirement Calculator'!A:A,0),0),0)</f>
        <v>0</v>
      </c>
      <c r="K1485" s="444">
        <f t="shared" ca="1" si="126"/>
        <v>-50283.231969190041</v>
      </c>
      <c r="L1485" s="444">
        <f t="shared" ca="1" si="127"/>
        <v>-12118258.9045748</v>
      </c>
      <c r="M1485" s="460">
        <f t="shared" si="129"/>
        <v>0.05</v>
      </c>
      <c r="N1485" s="464">
        <f t="shared" si="130"/>
        <v>96242</v>
      </c>
    </row>
    <row r="1486" spans="7:14" ht="11.25" customHeight="1" x14ac:dyDescent="0.3">
      <c r="G1486" s="459"/>
      <c r="H1486" s="459">
        <v>1479</v>
      </c>
      <c r="I1486" s="444">
        <f t="shared" ca="1" si="128"/>
        <v>-12118258.9045748</v>
      </c>
      <c r="J1486" s="444">
        <f t="array" ref="J1486">IFERROR(INDEX('Retirement Calculator'!J:J,MATCH('Isaac 401k'!N1486,'Retirement Calculator'!A:A,0),0),0)</f>
        <v>0</v>
      </c>
      <c r="K1486" s="444">
        <f t="shared" ca="1" si="126"/>
        <v>-50492.745435728335</v>
      </c>
      <c r="L1486" s="444">
        <f t="shared" ca="1" si="127"/>
        <v>-12168751.650010528</v>
      </c>
      <c r="M1486" s="460">
        <f t="shared" si="129"/>
        <v>0.05</v>
      </c>
      <c r="N1486" s="464">
        <f t="shared" si="130"/>
        <v>96273</v>
      </c>
    </row>
    <row r="1487" spans="7:14" ht="11.25" customHeight="1" x14ac:dyDescent="0.3">
      <c r="G1487" s="459"/>
      <c r="H1487" s="459">
        <v>1480</v>
      </c>
      <c r="I1487" s="444">
        <f t="shared" ca="1" si="128"/>
        <v>-12168751.650010528</v>
      </c>
      <c r="J1487" s="444">
        <f t="array" ref="J1487">IFERROR(INDEX('Retirement Calculator'!J:J,MATCH('Isaac 401k'!N1487,'Retirement Calculator'!A:A,0),0),0)</f>
        <v>0</v>
      </c>
      <c r="K1487" s="444">
        <f t="shared" ca="1" si="126"/>
        <v>-50703.131875043866</v>
      </c>
      <c r="L1487" s="444">
        <f t="shared" ca="1" si="127"/>
        <v>-12219454.781885572</v>
      </c>
      <c r="M1487" s="460">
        <f t="shared" si="129"/>
        <v>0.05</v>
      </c>
      <c r="N1487" s="464">
        <f t="shared" si="130"/>
        <v>96304</v>
      </c>
    </row>
    <row r="1488" spans="7:14" ht="11.25" customHeight="1" x14ac:dyDescent="0.3">
      <c r="G1488" s="459"/>
      <c r="H1488" s="459">
        <v>1481</v>
      </c>
      <c r="I1488" s="444">
        <f t="shared" ca="1" si="128"/>
        <v>-12219454.781885572</v>
      </c>
      <c r="J1488" s="444">
        <f t="array" ref="J1488">IFERROR(INDEX('Retirement Calculator'!J:J,MATCH('Isaac 401k'!N1488,'Retirement Calculator'!A:A,0),0),0)</f>
        <v>0</v>
      </c>
      <c r="K1488" s="444">
        <f t="shared" ca="1" si="126"/>
        <v>-50914.394924523214</v>
      </c>
      <c r="L1488" s="444">
        <f t="shared" ca="1" si="127"/>
        <v>-12270369.176810095</v>
      </c>
      <c r="M1488" s="460">
        <f t="shared" si="129"/>
        <v>0.05</v>
      </c>
      <c r="N1488" s="464">
        <f t="shared" si="130"/>
        <v>96334</v>
      </c>
    </row>
    <row r="1489" spans="7:14" ht="11.25" customHeight="1" x14ac:dyDescent="0.3">
      <c r="G1489" s="459"/>
      <c r="H1489" s="459">
        <v>1482</v>
      </c>
      <c r="I1489" s="444">
        <f t="shared" ca="1" si="128"/>
        <v>-12270369.176810095</v>
      </c>
      <c r="J1489" s="444">
        <f t="array" ref="J1489">IFERROR(INDEX('Retirement Calculator'!J:J,MATCH('Isaac 401k'!N1489,'Retirement Calculator'!A:A,0),0),0)</f>
        <v>0</v>
      </c>
      <c r="K1489" s="444">
        <f t="shared" ca="1" si="126"/>
        <v>-51126.53823670873</v>
      </c>
      <c r="L1489" s="444">
        <f t="shared" ca="1" si="127"/>
        <v>-12321495.715046804</v>
      </c>
      <c r="M1489" s="460">
        <f t="shared" si="129"/>
        <v>0.05</v>
      </c>
      <c r="N1489" s="464">
        <f t="shared" si="130"/>
        <v>96365</v>
      </c>
    </row>
    <row r="1490" spans="7:14" ht="11.25" customHeight="1" x14ac:dyDescent="0.3">
      <c r="G1490" s="459"/>
      <c r="H1490" s="459">
        <v>1483</v>
      </c>
      <c r="I1490" s="444">
        <f t="shared" ca="1" si="128"/>
        <v>-12321495.715046804</v>
      </c>
      <c r="J1490" s="444">
        <f t="array" ref="J1490">IFERROR(INDEX('Retirement Calculator'!J:J,MATCH('Isaac 401k'!N1490,'Retirement Calculator'!A:A,0),0),0)</f>
        <v>0</v>
      </c>
      <c r="K1490" s="444">
        <f t="shared" ca="1" si="126"/>
        <v>-51339.565479361685</v>
      </c>
      <c r="L1490" s="444">
        <f t="shared" ca="1" si="127"/>
        <v>-12372835.280526167</v>
      </c>
      <c r="M1490" s="460">
        <f t="shared" si="129"/>
        <v>0.05</v>
      </c>
      <c r="N1490" s="464">
        <f t="shared" si="130"/>
        <v>96395</v>
      </c>
    </row>
    <row r="1491" spans="7:14" ht="11.25" customHeight="1" x14ac:dyDescent="0.3">
      <c r="G1491" s="459"/>
      <c r="H1491" s="459">
        <v>1484</v>
      </c>
      <c r="I1491" s="444">
        <f t="shared" ca="1" si="128"/>
        <v>-12372835.280526167</v>
      </c>
      <c r="J1491" s="444">
        <f t="array" ref="J1491">IFERROR(INDEX('Retirement Calculator'!J:J,MATCH('Isaac 401k'!N1491,'Retirement Calculator'!A:A,0),0),0)</f>
        <v>0</v>
      </c>
      <c r="K1491" s="444">
        <f t="shared" ca="1" si="126"/>
        <v>-51553.480335525695</v>
      </c>
      <c r="L1491" s="444">
        <f t="shared" ca="1" si="127"/>
        <v>-12424388.760861693</v>
      </c>
      <c r="M1491" s="460">
        <f t="shared" si="129"/>
        <v>0.05</v>
      </c>
      <c r="N1491" s="464">
        <f t="shared" si="130"/>
        <v>96426</v>
      </c>
    </row>
    <row r="1492" spans="7:14" ht="11.25" customHeight="1" x14ac:dyDescent="0.3">
      <c r="G1492" s="459"/>
      <c r="H1492" s="459">
        <v>1485</v>
      </c>
      <c r="I1492" s="444">
        <f t="shared" ca="1" si="128"/>
        <v>-12424388.760861693</v>
      </c>
      <c r="J1492" s="444">
        <f t="array" ref="J1492">IFERROR(INDEX('Retirement Calculator'!J:J,MATCH('Isaac 401k'!N1492,'Retirement Calculator'!A:A,0),0),0)</f>
        <v>0</v>
      </c>
      <c r="K1492" s="444">
        <f t="shared" ca="1" si="126"/>
        <v>-51768.286503590389</v>
      </c>
      <c r="L1492" s="444">
        <f t="shared" ca="1" si="127"/>
        <v>-12476157.047365284</v>
      </c>
      <c r="M1492" s="460">
        <f t="shared" si="129"/>
        <v>0.05</v>
      </c>
      <c r="N1492" s="464">
        <f t="shared" si="130"/>
        <v>96457</v>
      </c>
    </row>
    <row r="1493" spans="7:14" ht="11.25" customHeight="1" x14ac:dyDescent="0.3">
      <c r="G1493" s="459"/>
      <c r="H1493" s="459">
        <v>1486</v>
      </c>
      <c r="I1493" s="444">
        <f t="shared" ca="1" si="128"/>
        <v>-12476157.047365284</v>
      </c>
      <c r="J1493" s="444">
        <f t="array" ref="J1493">IFERROR(INDEX('Retirement Calculator'!J:J,MATCH('Isaac 401k'!N1493,'Retirement Calculator'!A:A,0),0),0)</f>
        <v>0</v>
      </c>
      <c r="K1493" s="444">
        <f t="shared" ca="1" si="126"/>
        <v>-51983.987697355347</v>
      </c>
      <c r="L1493" s="444">
        <f t="shared" ca="1" si="127"/>
        <v>-12528141.035062639</v>
      </c>
      <c r="M1493" s="460">
        <f t="shared" si="129"/>
        <v>0.05</v>
      </c>
      <c r="N1493" s="464">
        <f t="shared" si="130"/>
        <v>96486</v>
      </c>
    </row>
    <row r="1494" spans="7:14" ht="11.25" customHeight="1" x14ac:dyDescent="0.3">
      <c r="G1494" s="459"/>
      <c r="H1494" s="459">
        <v>1487</v>
      </c>
      <c r="I1494" s="444">
        <f t="shared" ca="1" si="128"/>
        <v>-12528141.035062639</v>
      </c>
      <c r="J1494" s="444">
        <f t="array" ref="J1494">IFERROR(INDEX('Retirement Calculator'!J:J,MATCH('Isaac 401k'!N1494,'Retirement Calculator'!A:A,0),0),0)</f>
        <v>0</v>
      </c>
      <c r="K1494" s="444">
        <f t="shared" ca="1" si="126"/>
        <v>-52200.587646094325</v>
      </c>
      <c r="L1494" s="444">
        <f t="shared" ca="1" si="127"/>
        <v>-12580341.622708734</v>
      </c>
      <c r="M1494" s="460">
        <f t="shared" si="129"/>
        <v>0.05</v>
      </c>
      <c r="N1494" s="464">
        <f t="shared" si="130"/>
        <v>96517</v>
      </c>
    </row>
    <row r="1495" spans="7:14" ht="11.25" customHeight="1" x14ac:dyDescent="0.3">
      <c r="G1495" s="459"/>
      <c r="H1495" s="459">
        <v>1488</v>
      </c>
      <c r="I1495" s="444">
        <f t="shared" ca="1" si="128"/>
        <v>-12580341.622708734</v>
      </c>
      <c r="J1495" s="444">
        <f t="array" ref="J1495">IFERROR(INDEX('Retirement Calculator'!J:J,MATCH('Isaac 401k'!N1495,'Retirement Calculator'!A:A,0),0),0)</f>
        <v>0</v>
      </c>
      <c r="K1495" s="444">
        <f t="shared" ca="1" si="126"/>
        <v>-52418.090094619722</v>
      </c>
      <c r="L1495" s="444">
        <f t="shared" ca="1" si="127"/>
        <v>-12632759.712803354</v>
      </c>
      <c r="M1495" s="460">
        <f t="shared" si="129"/>
        <v>0.05</v>
      </c>
      <c r="N1495" s="464">
        <f t="shared" si="130"/>
        <v>96547</v>
      </c>
    </row>
    <row r="1496" spans="7:14" ht="11.25" customHeight="1" x14ac:dyDescent="0.3">
      <c r="G1496" s="459"/>
      <c r="H1496" s="459">
        <v>1489</v>
      </c>
      <c r="I1496" s="444">
        <f t="shared" ca="1" si="128"/>
        <v>-12632759.712803354</v>
      </c>
      <c r="J1496" s="444">
        <f t="array" ref="J1496">IFERROR(INDEX('Retirement Calculator'!J:J,MATCH('Isaac 401k'!N1496,'Retirement Calculator'!A:A,0),0),0)</f>
        <v>0</v>
      </c>
      <c r="K1496" s="444">
        <f t="shared" ca="1" si="126"/>
        <v>-52636.498803347313</v>
      </c>
      <c r="L1496" s="444">
        <f t="shared" ca="1" si="127"/>
        <v>-12685396.211606702</v>
      </c>
      <c r="M1496" s="460">
        <f t="shared" si="129"/>
        <v>0.05</v>
      </c>
      <c r="N1496" s="464">
        <f t="shared" si="130"/>
        <v>96578</v>
      </c>
    </row>
    <row r="1497" spans="7:14" ht="11.25" customHeight="1" x14ac:dyDescent="0.3">
      <c r="G1497" s="459"/>
      <c r="H1497" s="459">
        <v>1490</v>
      </c>
      <c r="I1497" s="444">
        <f t="shared" ca="1" si="128"/>
        <v>-12685396.211606702</v>
      </c>
      <c r="J1497" s="444">
        <f t="array" ref="J1497">IFERROR(INDEX('Retirement Calculator'!J:J,MATCH('Isaac 401k'!N1497,'Retirement Calculator'!A:A,0),0),0)</f>
        <v>0</v>
      </c>
      <c r="K1497" s="444">
        <f t="shared" ca="1" si="126"/>
        <v>-52855.817548361258</v>
      </c>
      <c r="L1497" s="444">
        <f t="shared" ca="1" si="127"/>
        <v>-12738252.029155063</v>
      </c>
      <c r="M1497" s="460">
        <f t="shared" si="129"/>
        <v>0.05</v>
      </c>
      <c r="N1497" s="464">
        <f t="shared" si="130"/>
        <v>96608</v>
      </c>
    </row>
    <row r="1498" spans="7:14" ht="11.25" customHeight="1" x14ac:dyDescent="0.3">
      <c r="G1498" s="459"/>
      <c r="H1498" s="459">
        <v>1491</v>
      </c>
      <c r="I1498" s="444">
        <f t="shared" ca="1" si="128"/>
        <v>-12738252.029155063</v>
      </c>
      <c r="J1498" s="444">
        <f t="array" ref="J1498">IFERROR(INDEX('Retirement Calculator'!J:J,MATCH('Isaac 401k'!N1498,'Retirement Calculator'!A:A,0),0),0)</f>
        <v>0</v>
      </c>
      <c r="K1498" s="444">
        <f t="shared" ca="1" si="126"/>
        <v>-53076.050121479428</v>
      </c>
      <c r="L1498" s="444">
        <f t="shared" ca="1" si="127"/>
        <v>-12791328.079276541</v>
      </c>
      <c r="M1498" s="460">
        <f t="shared" si="129"/>
        <v>0.05</v>
      </c>
      <c r="N1498" s="464">
        <f t="shared" si="130"/>
        <v>96639</v>
      </c>
    </row>
    <row r="1499" spans="7:14" ht="11.25" customHeight="1" x14ac:dyDescent="0.3">
      <c r="G1499" s="459"/>
      <c r="H1499" s="459">
        <v>1492</v>
      </c>
      <c r="I1499" s="444">
        <f t="shared" ca="1" si="128"/>
        <v>-12791328.079276541</v>
      </c>
      <c r="J1499" s="444">
        <f t="array" ref="J1499">IFERROR(INDEX('Retirement Calculator'!J:J,MATCH('Isaac 401k'!N1499,'Retirement Calculator'!A:A,0),0),0)</f>
        <v>0</v>
      </c>
      <c r="K1499" s="444">
        <f t="shared" ca="1" si="126"/>
        <v>-53297.200330318919</v>
      </c>
      <c r="L1499" s="444">
        <f t="shared" ca="1" si="127"/>
        <v>-12844625.27960686</v>
      </c>
      <c r="M1499" s="460">
        <f t="shared" si="129"/>
        <v>0.05</v>
      </c>
      <c r="N1499" s="464">
        <f t="shared" si="130"/>
        <v>96670</v>
      </c>
    </row>
    <row r="1500" spans="7:14" ht="11.25" customHeight="1" x14ac:dyDescent="0.3">
      <c r="G1500" s="459"/>
      <c r="H1500" s="459">
        <v>1493</v>
      </c>
      <c r="I1500" s="444">
        <f t="shared" ca="1" si="128"/>
        <v>-12844625.27960686</v>
      </c>
      <c r="J1500" s="444">
        <f t="array" ref="J1500">IFERROR(INDEX('Retirement Calculator'!J:J,MATCH('Isaac 401k'!N1500,'Retirement Calculator'!A:A,0),0),0)</f>
        <v>0</v>
      </c>
      <c r="K1500" s="444">
        <f t="shared" ca="1" si="126"/>
        <v>-53519.271998361917</v>
      </c>
      <c r="L1500" s="444">
        <f t="shared" ca="1" si="127"/>
        <v>-12898144.551605223</v>
      </c>
      <c r="M1500" s="460">
        <f t="shared" si="129"/>
        <v>0.05</v>
      </c>
      <c r="N1500" s="464">
        <f t="shared" si="130"/>
        <v>96700</v>
      </c>
    </row>
    <row r="1501" spans="7:14" ht="11.25" customHeight="1" x14ac:dyDescent="0.3">
      <c r="G1501" s="459"/>
      <c r="H1501" s="459">
        <v>1494</v>
      </c>
      <c r="I1501" s="444">
        <f t="shared" ca="1" si="128"/>
        <v>-12898144.551605223</v>
      </c>
      <c r="J1501" s="444">
        <f t="array" ref="J1501">IFERROR(INDEX('Retirement Calculator'!J:J,MATCH('Isaac 401k'!N1501,'Retirement Calculator'!A:A,0),0),0)</f>
        <v>0</v>
      </c>
      <c r="K1501" s="444">
        <f t="shared" ca="1" si="126"/>
        <v>-53742.268965021758</v>
      </c>
      <c r="L1501" s="444">
        <f t="shared" ca="1" si="127"/>
        <v>-12951886.820570245</v>
      </c>
      <c r="M1501" s="460">
        <f t="shared" si="129"/>
        <v>0.05</v>
      </c>
      <c r="N1501" s="464">
        <f t="shared" si="130"/>
        <v>96731</v>
      </c>
    </row>
    <row r="1502" spans="7:14" ht="11.25" customHeight="1" x14ac:dyDescent="0.3">
      <c r="G1502" s="459"/>
      <c r="H1502" s="459">
        <v>1495</v>
      </c>
      <c r="I1502" s="444">
        <f t="shared" ca="1" si="128"/>
        <v>-12951886.820570245</v>
      </c>
      <c r="J1502" s="444">
        <f t="array" ref="J1502">IFERROR(INDEX('Retirement Calculator'!J:J,MATCH('Isaac 401k'!N1502,'Retirement Calculator'!A:A,0),0),0)</f>
        <v>0</v>
      </c>
      <c r="K1502" s="444">
        <f t="shared" ca="1" si="126"/>
        <v>-53966.195085709354</v>
      </c>
      <c r="L1502" s="444">
        <f t="shared" ca="1" si="127"/>
        <v>-13005853.015655955</v>
      </c>
      <c r="M1502" s="460">
        <f t="shared" si="129"/>
        <v>0.05</v>
      </c>
      <c r="N1502" s="464">
        <f t="shared" si="130"/>
        <v>96761</v>
      </c>
    </row>
    <row r="1503" spans="7:14" ht="11.25" customHeight="1" x14ac:dyDescent="0.3">
      <c r="G1503" s="459"/>
      <c r="H1503" s="459">
        <v>1496</v>
      </c>
      <c r="I1503" s="444">
        <f t="shared" ca="1" si="128"/>
        <v>-13005853.015655955</v>
      </c>
      <c r="J1503" s="444">
        <f t="array" ref="J1503">IFERROR(INDEX('Retirement Calculator'!J:J,MATCH('Isaac 401k'!N1503,'Retirement Calculator'!A:A,0),0),0)</f>
        <v>0</v>
      </c>
      <c r="K1503" s="444">
        <f t="shared" ca="1" si="126"/>
        <v>-54191.054231899812</v>
      </c>
      <c r="L1503" s="444">
        <f t="shared" ca="1" si="127"/>
        <v>-13060044.069887856</v>
      </c>
      <c r="M1503" s="460">
        <f t="shared" si="129"/>
        <v>0.05</v>
      </c>
      <c r="N1503" s="464">
        <f t="shared" si="130"/>
        <v>96792</v>
      </c>
    </row>
    <row r="1504" spans="7:14" ht="11.25" customHeight="1" x14ac:dyDescent="0.3">
      <c r="G1504" s="459"/>
      <c r="H1504" s="459">
        <v>1497</v>
      </c>
      <c r="I1504" s="444">
        <f t="shared" ca="1" si="128"/>
        <v>-13060044.069887856</v>
      </c>
      <c r="J1504" s="444">
        <f t="array" ref="J1504">IFERROR(INDEX('Retirement Calculator'!J:J,MATCH('Isaac 401k'!N1504,'Retirement Calculator'!A:A,0),0),0)</f>
        <v>0</v>
      </c>
      <c r="K1504" s="444">
        <f t="shared" ca="1" si="126"/>
        <v>-54416.8502911994</v>
      </c>
      <c r="L1504" s="444">
        <f t="shared" ca="1" si="127"/>
        <v>-13114460.920179056</v>
      </c>
      <c r="M1504" s="460">
        <f t="shared" si="129"/>
        <v>0.05</v>
      </c>
      <c r="N1504" s="464">
        <f t="shared" si="130"/>
        <v>96823</v>
      </c>
    </row>
    <row r="1505" spans="7:14" ht="11.25" customHeight="1" x14ac:dyDescent="0.3">
      <c r="G1505" s="459"/>
      <c r="H1505" s="459">
        <v>1498</v>
      </c>
      <c r="I1505" s="444">
        <f t="shared" ca="1" si="128"/>
        <v>-13114460.920179056</v>
      </c>
      <c r="J1505" s="444">
        <f t="array" ref="J1505">IFERROR(INDEX('Retirement Calculator'!J:J,MATCH('Isaac 401k'!N1505,'Retirement Calculator'!A:A,0),0),0)</f>
        <v>0</v>
      </c>
      <c r="K1505" s="444">
        <f t="shared" ca="1" si="126"/>
        <v>-54643.587167412734</v>
      </c>
      <c r="L1505" s="444">
        <f t="shared" ca="1" si="127"/>
        <v>-13169104.507346468</v>
      </c>
      <c r="M1505" s="460">
        <f t="shared" si="129"/>
        <v>0.05</v>
      </c>
      <c r="N1505" s="464">
        <f t="shared" si="130"/>
        <v>96851</v>
      </c>
    </row>
    <row r="1506" spans="7:14" ht="11.25" customHeight="1" x14ac:dyDescent="0.3">
      <c r="G1506" s="459"/>
      <c r="H1506" s="459">
        <v>1499</v>
      </c>
      <c r="I1506" s="444">
        <f t="shared" ca="1" si="128"/>
        <v>-13169104.507346468</v>
      </c>
      <c r="J1506" s="444">
        <f t="array" ref="J1506">IFERROR(INDEX('Retirement Calculator'!J:J,MATCH('Isaac 401k'!N1506,'Retirement Calculator'!A:A,0),0),0)</f>
        <v>0</v>
      </c>
      <c r="K1506" s="444">
        <f t="shared" ca="1" si="126"/>
        <v>-54871.268780610277</v>
      </c>
      <c r="L1506" s="444">
        <f t="shared" ca="1" si="127"/>
        <v>-13223975.776127078</v>
      </c>
      <c r="M1506" s="460">
        <f t="shared" si="129"/>
        <v>0.05</v>
      </c>
      <c r="N1506" s="464">
        <f t="shared" si="130"/>
        <v>96882</v>
      </c>
    </row>
    <row r="1507" spans="7:14" ht="11.25" customHeight="1" x14ac:dyDescent="0.3">
      <c r="G1507" s="459"/>
      <c r="H1507" s="459">
        <v>1500</v>
      </c>
      <c r="I1507" s="444">
        <f t="shared" ca="1" si="128"/>
        <v>-13223975.776127078</v>
      </c>
      <c r="J1507" s="444">
        <f t="array" ref="J1507">IFERROR(INDEX('Retirement Calculator'!J:J,MATCH('Isaac 401k'!N1507,'Retirement Calculator'!A:A,0),0),0)</f>
        <v>0</v>
      </c>
      <c r="K1507" s="444">
        <f t="shared" ca="1" si="126"/>
        <v>-55099.899067196151</v>
      </c>
      <c r="L1507" s="444">
        <f t="shared" ca="1" si="127"/>
        <v>-13279075.675194275</v>
      </c>
      <c r="M1507" s="460">
        <f t="shared" si="129"/>
        <v>0.05</v>
      </c>
      <c r="N1507" s="464">
        <f t="shared" si="130"/>
        <v>96912</v>
      </c>
    </row>
    <row r="1508" spans="7:14" ht="11.25" customHeight="1" x14ac:dyDescent="0.3">
      <c r="G1508" s="459"/>
      <c r="H1508" s="459">
        <v>1501</v>
      </c>
      <c r="I1508" s="444">
        <f t="shared" ca="1" si="128"/>
        <v>-13279075.675194275</v>
      </c>
      <c r="J1508" s="444">
        <f t="array" ref="J1508">IFERROR(INDEX('Retirement Calculator'!J:J,MATCH('Isaac 401k'!N1508,'Retirement Calculator'!A:A,0),0),0)</f>
        <v>0</v>
      </c>
      <c r="K1508" s="444">
        <f t="shared" ca="1" si="126"/>
        <v>-55329.481979976146</v>
      </c>
      <c r="L1508" s="444">
        <f t="shared" ca="1" si="127"/>
        <v>-13334405.15717425</v>
      </c>
      <c r="M1508" s="460">
        <f t="shared" si="129"/>
        <v>0.05</v>
      </c>
      <c r="N1508" s="464">
        <f t="shared" si="130"/>
        <v>96943</v>
      </c>
    </row>
    <row r="1509" spans="7:14" ht="11.25" customHeight="1" x14ac:dyDescent="0.3">
      <c r="G1509" s="459"/>
      <c r="H1509" s="459">
        <v>1502</v>
      </c>
      <c r="I1509" s="444">
        <f t="shared" ca="1" si="128"/>
        <v>-13334405.15717425</v>
      </c>
      <c r="J1509" s="444">
        <f t="array" ref="J1509">IFERROR(INDEX('Retirement Calculator'!J:J,MATCH('Isaac 401k'!N1509,'Retirement Calculator'!A:A,0),0),0)</f>
        <v>0</v>
      </c>
      <c r="K1509" s="444">
        <f t="shared" ca="1" si="126"/>
        <v>-55560.021488226041</v>
      </c>
      <c r="L1509" s="444">
        <f t="shared" ca="1" si="127"/>
        <v>-13389965.178662477</v>
      </c>
      <c r="M1509" s="460">
        <f t="shared" si="129"/>
        <v>0.05</v>
      </c>
      <c r="N1509" s="464">
        <f t="shared" si="130"/>
        <v>96973</v>
      </c>
    </row>
    <row r="1510" spans="7:14" ht="11.25" customHeight="1" x14ac:dyDescent="0.3">
      <c r="G1510" s="459"/>
      <c r="H1510" s="459">
        <v>1503</v>
      </c>
      <c r="I1510" s="444">
        <f t="shared" ca="1" si="128"/>
        <v>-13389965.178662477</v>
      </c>
      <c r="J1510" s="444">
        <f t="array" ref="J1510">IFERROR(INDEX('Retirement Calculator'!J:J,MATCH('Isaac 401k'!N1510,'Retirement Calculator'!A:A,0),0),0)</f>
        <v>0</v>
      </c>
      <c r="K1510" s="444">
        <f t="shared" ca="1" si="126"/>
        <v>-55791.52157776033</v>
      </c>
      <c r="L1510" s="444">
        <f t="shared" ca="1" si="127"/>
        <v>-13445756.700240238</v>
      </c>
      <c r="M1510" s="460">
        <f t="shared" si="129"/>
        <v>0.05</v>
      </c>
      <c r="N1510" s="464">
        <f t="shared" si="130"/>
        <v>97004</v>
      </c>
    </row>
    <row r="1511" spans="7:14" ht="11.25" customHeight="1" x14ac:dyDescent="0.3">
      <c r="G1511" s="459"/>
      <c r="H1511" s="459">
        <v>1504</v>
      </c>
      <c r="I1511" s="444">
        <f t="shared" ca="1" si="128"/>
        <v>-13445756.700240238</v>
      </c>
      <c r="J1511" s="444">
        <f t="array" ref="J1511">IFERROR(INDEX('Retirement Calculator'!J:J,MATCH('Isaac 401k'!N1511,'Retirement Calculator'!A:A,0),0),0)</f>
        <v>0</v>
      </c>
      <c r="K1511" s="444">
        <f t="shared" ca="1" si="126"/>
        <v>-56023.986251000992</v>
      </c>
      <c r="L1511" s="444">
        <f t="shared" ca="1" si="127"/>
        <v>-13501780.686491238</v>
      </c>
      <c r="M1511" s="460">
        <f t="shared" si="129"/>
        <v>0.05</v>
      </c>
      <c r="N1511" s="464">
        <f t="shared" si="130"/>
        <v>97035</v>
      </c>
    </row>
    <row r="1512" spans="7:14" ht="11.25" customHeight="1" x14ac:dyDescent="0.3">
      <c r="G1512" s="459"/>
      <c r="H1512" s="459">
        <v>1505</v>
      </c>
      <c r="I1512" s="444">
        <f t="shared" ca="1" si="128"/>
        <v>-13501780.686491238</v>
      </c>
      <c r="J1512" s="444">
        <f t="array" ref="J1512">IFERROR(INDEX('Retirement Calculator'!J:J,MATCH('Isaac 401k'!N1512,'Retirement Calculator'!A:A,0),0),0)</f>
        <v>0</v>
      </c>
      <c r="K1512" s="444">
        <f t="shared" ca="1" si="126"/>
        <v>-56257.419527046826</v>
      </c>
      <c r="L1512" s="444">
        <f t="shared" ca="1" si="127"/>
        <v>-13558038.106018284</v>
      </c>
      <c r="M1512" s="460">
        <f t="shared" si="129"/>
        <v>0.05</v>
      </c>
      <c r="N1512" s="464">
        <f t="shared" si="130"/>
        <v>97065</v>
      </c>
    </row>
    <row r="1513" spans="7:14" ht="11.25" customHeight="1" x14ac:dyDescent="0.3">
      <c r="G1513" s="459"/>
      <c r="H1513" s="459">
        <v>1506</v>
      </c>
      <c r="I1513" s="444">
        <f t="shared" ca="1" si="128"/>
        <v>-13558038.106018284</v>
      </c>
      <c r="J1513" s="444">
        <f t="array" ref="J1513">IFERROR(INDEX('Retirement Calculator'!J:J,MATCH('Isaac 401k'!N1513,'Retirement Calculator'!A:A,0),0),0)</f>
        <v>0</v>
      </c>
      <c r="K1513" s="444">
        <f t="shared" ca="1" si="126"/>
        <v>-56491.825441742862</v>
      </c>
      <c r="L1513" s="444">
        <f t="shared" ca="1" si="127"/>
        <v>-13614529.931460027</v>
      </c>
      <c r="M1513" s="460">
        <f t="shared" si="129"/>
        <v>0.05</v>
      </c>
      <c r="N1513" s="464">
        <f t="shared" si="130"/>
        <v>97096</v>
      </c>
    </row>
    <row r="1514" spans="7:14" ht="11.25" customHeight="1" x14ac:dyDescent="0.3">
      <c r="G1514" s="459"/>
      <c r="H1514" s="459">
        <v>1507</v>
      </c>
      <c r="I1514" s="444">
        <f t="shared" ca="1" si="128"/>
        <v>-13614529.931460027</v>
      </c>
      <c r="J1514" s="444">
        <f t="array" ref="J1514">IFERROR(INDEX('Retirement Calculator'!J:J,MATCH('Isaac 401k'!N1514,'Retirement Calculator'!A:A,0),0),0)</f>
        <v>0</v>
      </c>
      <c r="K1514" s="444">
        <f t="shared" ca="1" si="126"/>
        <v>-56727.208047750108</v>
      </c>
      <c r="L1514" s="444">
        <f t="shared" ca="1" si="127"/>
        <v>-13671257.139507776</v>
      </c>
      <c r="M1514" s="460">
        <f t="shared" si="129"/>
        <v>0.05</v>
      </c>
      <c r="N1514" s="464">
        <f t="shared" si="130"/>
        <v>97126</v>
      </c>
    </row>
    <row r="1515" spans="7:14" ht="11.25" customHeight="1" x14ac:dyDescent="0.3">
      <c r="G1515" s="459"/>
      <c r="H1515" s="459">
        <v>1508</v>
      </c>
      <c r="I1515" s="444">
        <f t="shared" ca="1" si="128"/>
        <v>-13671257.139507776</v>
      </c>
      <c r="J1515" s="444">
        <f t="array" ref="J1515">IFERROR(INDEX('Retirement Calculator'!J:J,MATCH('Isaac 401k'!N1515,'Retirement Calculator'!A:A,0),0),0)</f>
        <v>0</v>
      </c>
      <c r="K1515" s="444">
        <f t="shared" ca="1" si="126"/>
        <v>-56963.571414615741</v>
      </c>
      <c r="L1515" s="444">
        <f t="shared" ca="1" si="127"/>
        <v>-13728220.710922392</v>
      </c>
      <c r="M1515" s="460">
        <f t="shared" si="129"/>
        <v>0.05</v>
      </c>
      <c r="N1515" s="464">
        <f t="shared" si="130"/>
        <v>97157</v>
      </c>
    </row>
    <row r="1516" spans="7:14" ht="11.25" customHeight="1" x14ac:dyDescent="0.3">
      <c r="G1516" s="459"/>
      <c r="H1516" s="459">
        <v>1509</v>
      </c>
      <c r="I1516" s="444">
        <f t="shared" ca="1" si="128"/>
        <v>-13728220.710922392</v>
      </c>
      <c r="J1516" s="444">
        <f t="array" ref="J1516">IFERROR(INDEX('Retirement Calculator'!J:J,MATCH('Isaac 401k'!N1516,'Retirement Calculator'!A:A,0),0),0)</f>
        <v>0</v>
      </c>
      <c r="K1516" s="444">
        <f t="shared" ca="1" si="126"/>
        <v>-57200.919628843301</v>
      </c>
      <c r="L1516" s="444">
        <f t="shared" ca="1" si="127"/>
        <v>-13785421.630551236</v>
      </c>
      <c r="M1516" s="460">
        <f t="shared" si="129"/>
        <v>0.05</v>
      </c>
      <c r="N1516" s="464">
        <f t="shared" si="130"/>
        <v>97188</v>
      </c>
    </row>
    <row r="1517" spans="7:14" ht="11.25" customHeight="1" x14ac:dyDescent="0.3">
      <c r="G1517" s="459"/>
      <c r="H1517" s="459">
        <v>1510</v>
      </c>
      <c r="I1517" s="444">
        <f t="shared" ca="1" si="128"/>
        <v>-13785421.630551236</v>
      </c>
      <c r="J1517" s="444">
        <f t="array" ref="J1517">IFERROR(INDEX('Retirement Calculator'!J:J,MATCH('Isaac 401k'!N1517,'Retirement Calculator'!A:A,0),0),0)</f>
        <v>0</v>
      </c>
      <c r="K1517" s="444">
        <f t="shared" ca="1" si="126"/>
        <v>-57439.256793963476</v>
      </c>
      <c r="L1517" s="444">
        <f t="shared" ca="1" si="127"/>
        <v>-13842860.887345199</v>
      </c>
      <c r="M1517" s="460">
        <f t="shared" si="129"/>
        <v>0.05</v>
      </c>
      <c r="N1517" s="464">
        <f t="shared" si="130"/>
        <v>97216</v>
      </c>
    </row>
    <row r="1518" spans="7:14" ht="11.25" customHeight="1" x14ac:dyDescent="0.3">
      <c r="G1518" s="459"/>
      <c r="H1518" s="459">
        <v>1511</v>
      </c>
      <c r="I1518" s="444">
        <f t="shared" ca="1" si="128"/>
        <v>-13842860.887345199</v>
      </c>
      <c r="J1518" s="444">
        <f t="array" ref="J1518">IFERROR(INDEX('Retirement Calculator'!J:J,MATCH('Isaac 401k'!N1518,'Retirement Calculator'!A:A,0),0),0)</f>
        <v>0</v>
      </c>
      <c r="K1518" s="444">
        <f t="shared" ca="1" si="126"/>
        <v>-57678.587030604991</v>
      </c>
      <c r="L1518" s="444">
        <f t="shared" ca="1" si="127"/>
        <v>-13900539.474375803</v>
      </c>
      <c r="M1518" s="460">
        <f t="shared" si="129"/>
        <v>0.05</v>
      </c>
      <c r="N1518" s="464">
        <f t="shared" si="130"/>
        <v>97247</v>
      </c>
    </row>
    <row r="1519" spans="7:14" ht="11.25" customHeight="1" x14ac:dyDescent="0.3">
      <c r="G1519" s="459"/>
      <c r="H1519" s="459">
        <v>1512</v>
      </c>
      <c r="I1519" s="444">
        <f t="shared" ca="1" si="128"/>
        <v>-13900539.474375803</v>
      </c>
      <c r="J1519" s="444">
        <f t="array" ref="J1519">IFERROR(INDEX('Retirement Calculator'!J:J,MATCH('Isaac 401k'!N1519,'Retirement Calculator'!A:A,0),0),0)</f>
        <v>0</v>
      </c>
      <c r="K1519" s="444">
        <f t="shared" ca="1" si="126"/>
        <v>-57918.914476565842</v>
      </c>
      <c r="L1519" s="444">
        <f t="shared" ca="1" si="127"/>
        <v>-13958458.388852369</v>
      </c>
      <c r="M1519" s="460">
        <f t="shared" si="129"/>
        <v>0.05</v>
      </c>
      <c r="N1519" s="464">
        <f t="shared" si="130"/>
        <v>97277</v>
      </c>
    </row>
    <row r="1520" spans="7:14" ht="11.25" customHeight="1" x14ac:dyDescent="0.3">
      <c r="G1520" s="459"/>
      <c r="H1520" s="459">
        <v>1513</v>
      </c>
      <c r="I1520" s="444">
        <f t="shared" ca="1" si="128"/>
        <v>-13958458.388852369</v>
      </c>
      <c r="J1520" s="444">
        <f t="array" ref="J1520">IFERROR(INDEX('Retirement Calculator'!J:J,MATCH('Isaac 401k'!N1520,'Retirement Calculator'!A:A,0),0),0)</f>
        <v>0</v>
      </c>
      <c r="K1520" s="444">
        <f t="shared" ca="1" si="126"/>
        <v>-58160.24328688487</v>
      </c>
      <c r="L1520" s="444">
        <f t="shared" ca="1" si="127"/>
        <v>-14016618.632139254</v>
      </c>
      <c r="M1520" s="460">
        <f t="shared" si="129"/>
        <v>0.05</v>
      </c>
      <c r="N1520" s="464">
        <f t="shared" si="130"/>
        <v>97308</v>
      </c>
    </row>
    <row r="1521" spans="7:14" ht="11.25" customHeight="1" x14ac:dyDescent="0.3">
      <c r="G1521" s="459"/>
      <c r="H1521" s="459">
        <v>1514</v>
      </c>
      <c r="I1521" s="444">
        <f t="shared" ca="1" si="128"/>
        <v>-14016618.632139254</v>
      </c>
      <c r="J1521" s="444">
        <f t="array" ref="J1521">IFERROR(INDEX('Retirement Calculator'!J:J,MATCH('Isaac 401k'!N1521,'Retirement Calculator'!A:A,0),0),0)</f>
        <v>0</v>
      </c>
      <c r="K1521" s="444">
        <f t="shared" ca="1" si="126"/>
        <v>-58402.577633913555</v>
      </c>
      <c r="L1521" s="444">
        <f t="shared" ca="1" si="127"/>
        <v>-14075021.209773168</v>
      </c>
      <c r="M1521" s="460">
        <f t="shared" si="129"/>
        <v>0.05</v>
      </c>
      <c r="N1521" s="464">
        <f t="shared" si="130"/>
        <v>97338</v>
      </c>
    </row>
    <row r="1522" spans="7:14" ht="11.25" customHeight="1" x14ac:dyDescent="0.3">
      <c r="G1522" s="459"/>
      <c r="H1522" s="459">
        <v>1515</v>
      </c>
      <c r="I1522" s="444">
        <f t="shared" ca="1" si="128"/>
        <v>-14075021.209773168</v>
      </c>
      <c r="J1522" s="444">
        <f t="array" ref="J1522">IFERROR(INDEX('Retirement Calculator'!J:J,MATCH('Isaac 401k'!N1522,'Retirement Calculator'!A:A,0),0),0)</f>
        <v>0</v>
      </c>
      <c r="K1522" s="444">
        <f t="shared" ca="1" si="126"/>
        <v>-58645.921707388196</v>
      </c>
      <c r="L1522" s="444">
        <f t="shared" ca="1" si="127"/>
        <v>-14133667.131480556</v>
      </c>
      <c r="M1522" s="460">
        <f t="shared" si="129"/>
        <v>0.05</v>
      </c>
      <c r="N1522" s="464">
        <f t="shared" si="130"/>
        <v>97369</v>
      </c>
    </row>
    <row r="1523" spans="7:14" ht="11.25" customHeight="1" x14ac:dyDescent="0.3">
      <c r="G1523" s="459"/>
      <c r="H1523" s="459">
        <v>1516</v>
      </c>
      <c r="I1523" s="444">
        <f t="shared" ca="1" si="128"/>
        <v>-14133667.131480556</v>
      </c>
      <c r="J1523" s="444">
        <f t="array" ref="J1523">IFERROR(INDEX('Retirement Calculator'!J:J,MATCH('Isaac 401k'!N1523,'Retirement Calculator'!A:A,0),0),0)</f>
        <v>0</v>
      </c>
      <c r="K1523" s="444">
        <f t="shared" ca="1" si="126"/>
        <v>-58890.279714502314</v>
      </c>
      <c r="L1523" s="444">
        <f t="shared" ca="1" si="127"/>
        <v>-14192557.411195058</v>
      </c>
      <c r="M1523" s="460">
        <f t="shared" si="129"/>
        <v>0.05</v>
      </c>
      <c r="N1523" s="464">
        <f t="shared" si="130"/>
        <v>97400</v>
      </c>
    </row>
    <row r="1524" spans="7:14" ht="11.25" customHeight="1" x14ac:dyDescent="0.3">
      <c r="G1524" s="459"/>
      <c r="H1524" s="459">
        <v>1517</v>
      </c>
      <c r="I1524" s="444">
        <f t="shared" ca="1" si="128"/>
        <v>-14192557.411195058</v>
      </c>
      <c r="J1524" s="444">
        <f t="array" ref="J1524">IFERROR(INDEX('Retirement Calculator'!J:J,MATCH('Isaac 401k'!N1524,'Retirement Calculator'!A:A,0),0),0)</f>
        <v>0</v>
      </c>
      <c r="K1524" s="444">
        <f t="shared" ca="1" si="126"/>
        <v>-59135.6558799794</v>
      </c>
      <c r="L1524" s="444">
        <f t="shared" ca="1" si="127"/>
        <v>-14251693.067075038</v>
      </c>
      <c r="M1524" s="460">
        <f t="shared" si="129"/>
        <v>0.05</v>
      </c>
      <c r="N1524" s="464">
        <f t="shared" si="130"/>
        <v>97430</v>
      </c>
    </row>
    <row r="1525" spans="7:14" ht="11.25" customHeight="1" x14ac:dyDescent="0.3">
      <c r="G1525" s="459"/>
      <c r="H1525" s="459">
        <v>1518</v>
      </c>
      <c r="I1525" s="444">
        <f t="shared" ca="1" si="128"/>
        <v>-14251693.067075038</v>
      </c>
      <c r="J1525" s="444">
        <f t="array" ref="J1525">IFERROR(INDEX('Retirement Calculator'!J:J,MATCH('Isaac 401k'!N1525,'Retirement Calculator'!A:A,0),0),0)</f>
        <v>0</v>
      </c>
      <c r="K1525" s="444">
        <f t="shared" ca="1" si="126"/>
        <v>-59382.054446145994</v>
      </c>
      <c r="L1525" s="444">
        <f t="shared" ca="1" si="127"/>
        <v>-14311075.121521184</v>
      </c>
      <c r="M1525" s="460">
        <f t="shared" si="129"/>
        <v>0.05</v>
      </c>
      <c r="N1525" s="464">
        <f t="shared" si="130"/>
        <v>97461</v>
      </c>
    </row>
    <row r="1526" spans="7:14" ht="11.25" customHeight="1" x14ac:dyDescent="0.3">
      <c r="G1526" s="459"/>
      <c r="H1526" s="459">
        <v>1519</v>
      </c>
      <c r="I1526" s="444">
        <f t="shared" ca="1" si="128"/>
        <v>-14311075.121521184</v>
      </c>
      <c r="J1526" s="444">
        <f t="array" ref="J1526">IFERROR(INDEX('Retirement Calculator'!J:J,MATCH('Isaac 401k'!N1526,'Retirement Calculator'!A:A,0),0),0)</f>
        <v>0</v>
      </c>
      <c r="K1526" s="444">
        <f t="shared" ca="1" si="126"/>
        <v>-59629.479673004935</v>
      </c>
      <c r="L1526" s="444">
        <f t="shared" ca="1" si="127"/>
        <v>-14370704.60119419</v>
      </c>
      <c r="M1526" s="460">
        <f t="shared" si="129"/>
        <v>0.05</v>
      </c>
      <c r="N1526" s="464">
        <f t="shared" si="130"/>
        <v>97491</v>
      </c>
    </row>
    <row r="1527" spans="7:14" ht="11.25" customHeight="1" x14ac:dyDescent="0.3">
      <c r="G1527" s="459"/>
      <c r="H1527" s="459">
        <v>1520</v>
      </c>
      <c r="I1527" s="444">
        <f t="shared" ca="1" si="128"/>
        <v>-14370704.60119419</v>
      </c>
      <c r="J1527" s="444">
        <f t="array" ref="J1527">IFERROR(INDEX('Retirement Calculator'!J:J,MATCH('Isaac 401k'!N1527,'Retirement Calculator'!A:A,0),0),0)</f>
        <v>0</v>
      </c>
      <c r="K1527" s="444">
        <f t="shared" ca="1" si="126"/>
        <v>-59877.935838309124</v>
      </c>
      <c r="L1527" s="444">
        <f t="shared" ca="1" si="127"/>
        <v>-14430582.5370325</v>
      </c>
      <c r="M1527" s="460">
        <f t="shared" si="129"/>
        <v>0.05</v>
      </c>
      <c r="N1527" s="464">
        <f t="shared" si="130"/>
        <v>97522</v>
      </c>
    </row>
    <row r="1528" spans="7:14" ht="11.25" customHeight="1" x14ac:dyDescent="0.3">
      <c r="G1528" s="459"/>
      <c r="H1528" s="459">
        <v>1521</v>
      </c>
      <c r="I1528" s="444">
        <f t="shared" ca="1" si="128"/>
        <v>-14430582.5370325</v>
      </c>
      <c r="J1528" s="444">
        <f t="array" ref="J1528">IFERROR(INDEX('Retirement Calculator'!J:J,MATCH('Isaac 401k'!N1528,'Retirement Calculator'!A:A,0),0),0)</f>
        <v>0</v>
      </c>
      <c r="K1528" s="444">
        <f t="shared" ca="1" si="126"/>
        <v>-60127.427237635413</v>
      </c>
      <c r="L1528" s="444">
        <f t="shared" ca="1" si="127"/>
        <v>-14490709.964270135</v>
      </c>
      <c r="M1528" s="460">
        <f t="shared" si="129"/>
        <v>0.05</v>
      </c>
      <c r="N1528" s="464">
        <f t="shared" si="130"/>
        <v>97553</v>
      </c>
    </row>
    <row r="1529" spans="7:14" ht="11.25" customHeight="1" x14ac:dyDescent="0.3">
      <c r="G1529" s="459"/>
      <c r="H1529" s="459">
        <v>1522</v>
      </c>
      <c r="I1529" s="444">
        <f t="shared" ca="1" si="128"/>
        <v>-14490709.964270135</v>
      </c>
      <c r="J1529" s="444">
        <f t="array" ref="J1529">IFERROR(INDEX('Retirement Calculator'!J:J,MATCH('Isaac 401k'!N1529,'Retirement Calculator'!A:A,0),0),0)</f>
        <v>0</v>
      </c>
      <c r="K1529" s="444">
        <f t="shared" ca="1" si="126"/>
        <v>-60377.958184458897</v>
      </c>
      <c r="L1529" s="444">
        <f t="shared" ca="1" si="127"/>
        <v>-14551087.922454594</v>
      </c>
      <c r="M1529" s="460">
        <f t="shared" si="129"/>
        <v>0.05</v>
      </c>
      <c r="N1529" s="464">
        <f t="shared" si="130"/>
        <v>97581</v>
      </c>
    </row>
    <row r="1530" spans="7:14" ht="11.25" customHeight="1" x14ac:dyDescent="0.3">
      <c r="G1530" s="459"/>
      <c r="H1530" s="459">
        <v>1523</v>
      </c>
      <c r="I1530" s="444">
        <f t="shared" ca="1" si="128"/>
        <v>-14551087.922454594</v>
      </c>
      <c r="J1530" s="444">
        <f t="array" ref="J1530">IFERROR(INDEX('Retirement Calculator'!J:J,MATCH('Isaac 401k'!N1530,'Retirement Calculator'!A:A,0),0),0)</f>
        <v>0</v>
      </c>
      <c r="K1530" s="444">
        <f t="shared" ca="1" si="126"/>
        <v>-60629.533010227482</v>
      </c>
      <c r="L1530" s="444">
        <f t="shared" ca="1" si="127"/>
        <v>-14611717.455464821</v>
      </c>
      <c r="M1530" s="460">
        <f t="shared" si="129"/>
        <v>0.05</v>
      </c>
      <c r="N1530" s="464">
        <f t="shared" si="130"/>
        <v>97612</v>
      </c>
    </row>
    <row r="1531" spans="7:14" ht="11.25" customHeight="1" x14ac:dyDescent="0.3">
      <c r="G1531" s="459"/>
      <c r="H1531" s="459">
        <v>1524</v>
      </c>
      <c r="I1531" s="444">
        <f t="shared" ca="1" si="128"/>
        <v>-14611717.455464821</v>
      </c>
      <c r="J1531" s="444">
        <f t="array" ref="J1531">IFERROR(INDEX('Retirement Calculator'!J:J,MATCH('Isaac 401k'!N1531,'Retirement Calculator'!A:A,0),0),0)</f>
        <v>0</v>
      </c>
      <c r="K1531" s="444">
        <f t="shared" ca="1" si="126"/>
        <v>-60882.156064436756</v>
      </c>
      <c r="L1531" s="444">
        <f t="shared" ca="1" si="127"/>
        <v>-14672599.611529257</v>
      </c>
      <c r="M1531" s="460">
        <f t="shared" si="129"/>
        <v>0.05</v>
      </c>
      <c r="N1531" s="464">
        <f t="shared" si="130"/>
        <v>97642</v>
      </c>
    </row>
    <row r="1532" spans="7:14" ht="11.25" customHeight="1" x14ac:dyDescent="0.3">
      <c r="G1532" s="459"/>
      <c r="H1532" s="459">
        <v>1525</v>
      </c>
      <c r="I1532" s="444">
        <f t="shared" ca="1" si="128"/>
        <v>-14672599.611529257</v>
      </c>
      <c r="J1532" s="444">
        <f t="array" ref="J1532">IFERROR(INDEX('Retirement Calculator'!J:J,MATCH('Isaac 401k'!N1532,'Retirement Calculator'!A:A,0),0),0)</f>
        <v>0</v>
      </c>
      <c r="K1532" s="444">
        <f t="shared" ca="1" si="126"/>
        <v>-61135.831714705237</v>
      </c>
      <c r="L1532" s="444">
        <f t="shared" ca="1" si="127"/>
        <v>-14733735.443243962</v>
      </c>
      <c r="M1532" s="460">
        <f t="shared" si="129"/>
        <v>0.05</v>
      </c>
      <c r="N1532" s="464">
        <f t="shared" si="130"/>
        <v>97673</v>
      </c>
    </row>
    <row r="1533" spans="7:14" ht="11.25" customHeight="1" x14ac:dyDescent="0.3">
      <c r="G1533" s="459"/>
      <c r="H1533" s="459">
        <v>1526</v>
      </c>
      <c r="I1533" s="444">
        <f t="shared" ca="1" si="128"/>
        <v>-14733735.443243962</v>
      </c>
      <c r="J1533" s="444">
        <f t="array" ref="J1533">IFERROR(INDEX('Retirement Calculator'!J:J,MATCH('Isaac 401k'!N1533,'Retirement Calculator'!A:A,0),0),0)</f>
        <v>0</v>
      </c>
      <c r="K1533" s="444">
        <f t="shared" ca="1" si="126"/>
        <v>-61390.564346849838</v>
      </c>
      <c r="L1533" s="444">
        <f t="shared" ca="1" si="127"/>
        <v>-14795126.007590812</v>
      </c>
      <c r="M1533" s="460">
        <f t="shared" si="129"/>
        <v>0.05</v>
      </c>
      <c r="N1533" s="464">
        <f t="shared" si="130"/>
        <v>97703</v>
      </c>
    </row>
    <row r="1534" spans="7:14" ht="11.25" customHeight="1" x14ac:dyDescent="0.3">
      <c r="G1534" s="459"/>
      <c r="H1534" s="459">
        <v>1527</v>
      </c>
      <c r="I1534" s="444">
        <f t="shared" ca="1" si="128"/>
        <v>-14795126.007590812</v>
      </c>
      <c r="J1534" s="444">
        <f t="array" ref="J1534">IFERROR(INDEX('Retirement Calculator'!J:J,MATCH('Isaac 401k'!N1534,'Retirement Calculator'!A:A,0),0),0)</f>
        <v>0</v>
      </c>
      <c r="K1534" s="444">
        <f t="shared" ca="1" si="126"/>
        <v>-61646.358364961707</v>
      </c>
      <c r="L1534" s="444">
        <f t="shared" ca="1" si="127"/>
        <v>-14856772.365955774</v>
      </c>
      <c r="M1534" s="460">
        <f t="shared" si="129"/>
        <v>0.05</v>
      </c>
      <c r="N1534" s="464">
        <f t="shared" si="130"/>
        <v>97734</v>
      </c>
    </row>
    <row r="1535" spans="7:14" ht="11.25" customHeight="1" x14ac:dyDescent="0.3">
      <c r="G1535" s="459"/>
      <c r="H1535" s="459">
        <v>1528</v>
      </c>
      <c r="I1535" s="444">
        <f t="shared" ca="1" si="128"/>
        <v>-14856772.365955774</v>
      </c>
      <c r="J1535" s="444">
        <f t="array" ref="J1535">IFERROR(INDEX('Retirement Calculator'!J:J,MATCH('Isaac 401k'!N1535,'Retirement Calculator'!A:A,0),0),0)</f>
        <v>0</v>
      </c>
      <c r="K1535" s="444">
        <f t="shared" ca="1" si="126"/>
        <v>-61903.218191482381</v>
      </c>
      <c r="L1535" s="444">
        <f t="shared" ca="1" si="127"/>
        <v>-14918675.584147256</v>
      </c>
      <c r="M1535" s="460">
        <f t="shared" si="129"/>
        <v>0.05</v>
      </c>
      <c r="N1535" s="464">
        <f t="shared" si="130"/>
        <v>97765</v>
      </c>
    </row>
    <row r="1536" spans="7:14" ht="11.25" customHeight="1" x14ac:dyDescent="0.3">
      <c r="G1536" s="459"/>
      <c r="H1536" s="459">
        <v>1529</v>
      </c>
      <c r="I1536" s="444">
        <f t="shared" ca="1" si="128"/>
        <v>-14918675.584147256</v>
      </c>
      <c r="J1536" s="444">
        <f t="array" ref="J1536">IFERROR(INDEX('Retirement Calculator'!J:J,MATCH('Isaac 401k'!N1536,'Retirement Calculator'!A:A,0),0),0)</f>
        <v>0</v>
      </c>
      <c r="K1536" s="444">
        <f t="shared" ca="1" si="126"/>
        <v>-62161.148267280223</v>
      </c>
      <c r="L1536" s="444">
        <f t="shared" ca="1" si="127"/>
        <v>-14980836.732414536</v>
      </c>
      <c r="M1536" s="460">
        <f t="shared" si="129"/>
        <v>0.05</v>
      </c>
      <c r="N1536" s="464">
        <f t="shared" si="130"/>
        <v>97795</v>
      </c>
    </row>
    <row r="1537" spans="7:14" ht="11.25" customHeight="1" x14ac:dyDescent="0.3">
      <c r="G1537" s="459"/>
      <c r="H1537" s="459">
        <v>1530</v>
      </c>
      <c r="I1537" s="444">
        <f t="shared" ca="1" si="128"/>
        <v>-14980836.732414536</v>
      </c>
      <c r="J1537" s="444">
        <f t="array" ref="J1537">IFERROR(INDEX('Retirement Calculator'!J:J,MATCH('Isaac 401k'!N1537,'Retirement Calculator'!A:A,0),0),0)</f>
        <v>0</v>
      </c>
      <c r="K1537" s="444">
        <f t="shared" ca="1" si="126"/>
        <v>-62420.15305172724</v>
      </c>
      <c r="L1537" s="444">
        <f t="shared" ca="1" si="127"/>
        <v>-15043256.885466263</v>
      </c>
      <c r="M1537" s="460">
        <f t="shared" si="129"/>
        <v>0.05</v>
      </c>
      <c r="N1537" s="464">
        <f t="shared" si="130"/>
        <v>97826</v>
      </c>
    </row>
    <row r="1538" spans="7:14" ht="11.25" customHeight="1" x14ac:dyDescent="0.3">
      <c r="G1538" s="459"/>
      <c r="H1538" s="459">
        <v>1531</v>
      </c>
      <c r="I1538" s="444">
        <f t="shared" ca="1" si="128"/>
        <v>-15043256.885466263</v>
      </c>
      <c r="J1538" s="444">
        <f t="array" ref="J1538">IFERROR(INDEX('Retirement Calculator'!J:J,MATCH('Isaac 401k'!N1538,'Retirement Calculator'!A:A,0),0),0)</f>
        <v>0</v>
      </c>
      <c r="K1538" s="444">
        <f t="shared" ref="K1538:K1792" ca="1" si="131">IPMT(M1538/12,1,12,-I1538+J1538,,0)</f>
        <v>-62680.237022776091</v>
      </c>
      <c r="L1538" s="444">
        <f t="shared" ref="L1538:L1792" ca="1" si="132">I1538-J1538+K1538</f>
        <v>-15105937.122489039</v>
      </c>
      <c r="M1538" s="460">
        <f t="shared" si="129"/>
        <v>0.05</v>
      </c>
      <c r="N1538" s="464">
        <f t="shared" si="130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33">L1538</f>
        <v>-15105937.122489039</v>
      </c>
      <c r="J1539" s="444">
        <f t="array" ref="J1539">IFERROR(INDEX('Retirement Calculator'!J:J,MATCH('Isaac 401k'!N1539,'Retirement Calculator'!A:A,0),0),0)</f>
        <v>0</v>
      </c>
      <c r="K1539" s="444">
        <f t="shared" ca="1" si="131"/>
        <v>-62941.404677037652</v>
      </c>
      <c r="L1539" s="444">
        <f t="shared" ca="1" si="132"/>
        <v>-15168878.527166076</v>
      </c>
      <c r="M1539" s="460">
        <f t="shared" ref="M1539:M1793" si="134">M1538</f>
        <v>0.05</v>
      </c>
      <c r="N1539" s="464">
        <f t="shared" ref="N1539:N1793" si="135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33"/>
        <v>-15168878.527166076</v>
      </c>
      <c r="J1540" s="444">
        <f t="array" ref="J1540">IFERROR(INDEX('Retirement Calculator'!J:J,MATCH('Isaac 401k'!N1540,'Retirement Calculator'!A:A,0),0),0)</f>
        <v>0</v>
      </c>
      <c r="K1540" s="444">
        <f t="shared" ca="1" si="131"/>
        <v>-63203.660529858651</v>
      </c>
      <c r="L1540" s="444">
        <f t="shared" ca="1" si="132"/>
        <v>-15232082.187695935</v>
      </c>
      <c r="M1540" s="460">
        <f t="shared" si="134"/>
        <v>0.05</v>
      </c>
      <c r="N1540" s="464">
        <f t="shared" si="135"/>
        <v>97918</v>
      </c>
    </row>
    <row r="1541" spans="7:14" ht="11.25" customHeight="1" x14ac:dyDescent="0.3">
      <c r="G1541" s="459"/>
      <c r="H1541" s="459">
        <v>1534</v>
      </c>
      <c r="I1541" s="444">
        <f t="shared" ca="1" si="133"/>
        <v>-15232082.187695935</v>
      </c>
      <c r="J1541" s="444">
        <f t="array" ref="J1541">IFERROR(INDEX('Retirement Calculator'!J:J,MATCH('Isaac 401k'!N1541,'Retirement Calculator'!A:A,0),0),0)</f>
        <v>0</v>
      </c>
      <c r="K1541" s="444">
        <f t="shared" ca="1" si="131"/>
        <v>-63467.009115399727</v>
      </c>
      <c r="L1541" s="444">
        <f t="shared" ca="1" si="132"/>
        <v>-15295549.196811335</v>
      </c>
      <c r="M1541" s="460">
        <f t="shared" si="134"/>
        <v>0.05</v>
      </c>
      <c r="N1541" s="464">
        <f t="shared" si="135"/>
        <v>97947</v>
      </c>
    </row>
    <row r="1542" spans="7:14" ht="11.25" customHeight="1" x14ac:dyDescent="0.3">
      <c r="G1542" s="459"/>
      <c r="H1542" s="459">
        <v>1535</v>
      </c>
      <c r="I1542" s="444">
        <f t="shared" ca="1" si="133"/>
        <v>-15295549.196811335</v>
      </c>
      <c r="J1542" s="444">
        <f t="array" ref="J1542">IFERROR(INDEX('Retirement Calculator'!J:J,MATCH('Isaac 401k'!N1542,'Retirement Calculator'!A:A,0),0),0)</f>
        <v>0</v>
      </c>
      <c r="K1542" s="444">
        <f t="shared" ca="1" si="131"/>
        <v>-63731.454986713885</v>
      </c>
      <c r="L1542" s="444">
        <f t="shared" ca="1" si="132"/>
        <v>-15359280.651798049</v>
      </c>
      <c r="M1542" s="460">
        <f t="shared" si="134"/>
        <v>0.05</v>
      </c>
      <c r="N1542" s="464">
        <f t="shared" si="135"/>
        <v>97978</v>
      </c>
    </row>
    <row r="1543" spans="7:14" ht="11.25" customHeight="1" x14ac:dyDescent="0.3">
      <c r="G1543" s="459"/>
      <c r="H1543" s="459">
        <v>1536</v>
      </c>
      <c r="I1543" s="444">
        <f t="shared" ca="1" si="133"/>
        <v>-15359280.651798049</v>
      </c>
      <c r="J1543" s="444">
        <f t="array" ref="J1543">IFERROR(INDEX('Retirement Calculator'!J:J,MATCH('Isaac 401k'!N1543,'Retirement Calculator'!A:A,0),0),0)</f>
        <v>0</v>
      </c>
      <c r="K1543" s="444">
        <f t="shared" ca="1" si="131"/>
        <v>-63997.002715825205</v>
      </c>
      <c r="L1543" s="444">
        <f t="shared" ca="1" si="132"/>
        <v>-15423277.654513875</v>
      </c>
      <c r="M1543" s="460">
        <f t="shared" si="134"/>
        <v>0.05</v>
      </c>
      <c r="N1543" s="464">
        <f t="shared" si="135"/>
        <v>98008</v>
      </c>
    </row>
    <row r="1544" spans="7:14" ht="11.25" customHeight="1" x14ac:dyDescent="0.3">
      <c r="G1544" s="459"/>
      <c r="H1544" s="459">
        <v>1537</v>
      </c>
      <c r="I1544" s="444">
        <f t="shared" ca="1" si="133"/>
        <v>-15423277.654513875</v>
      </c>
      <c r="J1544" s="444">
        <f t="array" ref="J1544">IFERROR(INDEX('Retirement Calculator'!J:J,MATCH('Isaac 401k'!N1544,'Retirement Calculator'!A:A,0),0),0)</f>
        <v>0</v>
      </c>
      <c r="K1544" s="444">
        <f t="shared" ca="1" si="131"/>
        <v>-64263.656893807813</v>
      </c>
      <c r="L1544" s="444">
        <f t="shared" ca="1" si="132"/>
        <v>-15487541.311407683</v>
      </c>
      <c r="M1544" s="460">
        <f t="shared" si="134"/>
        <v>0.05</v>
      </c>
      <c r="N1544" s="464">
        <f t="shared" si="135"/>
        <v>98039</v>
      </c>
    </row>
    <row r="1545" spans="7:14" ht="11.25" customHeight="1" x14ac:dyDescent="0.3">
      <c r="G1545" s="459"/>
      <c r="H1545" s="459">
        <v>1538</v>
      </c>
      <c r="I1545" s="444">
        <f t="shared" ca="1" si="133"/>
        <v>-15487541.311407683</v>
      </c>
      <c r="J1545" s="444">
        <f t="array" ref="J1545">IFERROR(INDEX('Retirement Calculator'!J:J,MATCH('Isaac 401k'!N1545,'Retirement Calculator'!A:A,0),0),0)</f>
        <v>0</v>
      </c>
      <c r="K1545" s="444">
        <f t="shared" ca="1" si="131"/>
        <v>-64531.422130865336</v>
      </c>
      <c r="L1545" s="444">
        <f t="shared" ca="1" si="132"/>
        <v>-15552072.733538549</v>
      </c>
      <c r="M1545" s="460">
        <f t="shared" si="134"/>
        <v>0.05</v>
      </c>
      <c r="N1545" s="464">
        <f t="shared" si="135"/>
        <v>98069</v>
      </c>
    </row>
    <row r="1546" spans="7:14" ht="11.25" customHeight="1" x14ac:dyDescent="0.3">
      <c r="G1546" s="459"/>
      <c r="H1546" s="459">
        <v>1539</v>
      </c>
      <c r="I1546" s="444">
        <f t="shared" ca="1" si="133"/>
        <v>-15552072.733538549</v>
      </c>
      <c r="J1546" s="444">
        <f t="array" ref="J1546">IFERROR(INDEX('Retirement Calculator'!J:J,MATCH('Isaac 401k'!N1546,'Retirement Calculator'!A:A,0),0),0)</f>
        <v>0</v>
      </c>
      <c r="K1546" s="444">
        <f t="shared" ca="1" si="131"/>
        <v>-64800.303056410623</v>
      </c>
      <c r="L1546" s="444">
        <f t="shared" ca="1" si="132"/>
        <v>-15616873.036594961</v>
      </c>
      <c r="M1546" s="460">
        <f t="shared" si="134"/>
        <v>0.05</v>
      </c>
      <c r="N1546" s="464">
        <f t="shared" si="135"/>
        <v>98100</v>
      </c>
    </row>
    <row r="1547" spans="7:14" ht="11.25" customHeight="1" x14ac:dyDescent="0.3">
      <c r="G1547" s="459"/>
      <c r="H1547" s="459">
        <v>1540</v>
      </c>
      <c r="I1547" s="444">
        <f t="shared" ca="1" si="133"/>
        <v>-15616873.036594961</v>
      </c>
      <c r="J1547" s="444">
        <f t="array" ref="J1547">IFERROR(INDEX('Retirement Calculator'!J:J,MATCH('Isaac 401k'!N1547,'Retirement Calculator'!A:A,0),0),0)</f>
        <v>0</v>
      </c>
      <c r="K1547" s="444">
        <f t="shared" ca="1" si="131"/>
        <v>-65070.304319145667</v>
      </c>
      <c r="L1547" s="444">
        <f t="shared" ca="1" si="132"/>
        <v>-15681943.340914106</v>
      </c>
      <c r="M1547" s="460">
        <f t="shared" si="134"/>
        <v>0.05</v>
      </c>
      <c r="N1547" s="464">
        <f t="shared" si="135"/>
        <v>98131</v>
      </c>
    </row>
    <row r="1548" spans="7:14" ht="11.25" customHeight="1" x14ac:dyDescent="0.3">
      <c r="G1548" s="459"/>
      <c r="H1548" s="459">
        <v>1541</v>
      </c>
      <c r="I1548" s="444">
        <f t="shared" ca="1" si="133"/>
        <v>-15681943.340914106</v>
      </c>
      <c r="J1548" s="444">
        <f t="array" ref="J1548">IFERROR(INDEX('Retirement Calculator'!J:J,MATCH('Isaac 401k'!N1548,'Retirement Calculator'!A:A,0),0),0)</f>
        <v>0</v>
      </c>
      <c r="K1548" s="444">
        <f t="shared" ca="1" si="131"/>
        <v>-65341.430587142117</v>
      </c>
      <c r="L1548" s="444">
        <f t="shared" ca="1" si="132"/>
        <v>-15747284.771501249</v>
      </c>
      <c r="M1548" s="460">
        <f t="shared" si="134"/>
        <v>0.05</v>
      </c>
      <c r="N1548" s="464">
        <f t="shared" si="135"/>
        <v>98161</v>
      </c>
    </row>
    <row r="1549" spans="7:14" ht="11.25" customHeight="1" x14ac:dyDescent="0.3">
      <c r="G1549" s="459"/>
      <c r="H1549" s="459">
        <v>1542</v>
      </c>
      <c r="I1549" s="444">
        <f t="shared" ca="1" si="133"/>
        <v>-15747284.771501249</v>
      </c>
      <c r="J1549" s="444">
        <f t="array" ref="J1549">IFERROR(INDEX('Retirement Calculator'!J:J,MATCH('Isaac 401k'!N1549,'Retirement Calculator'!A:A,0),0),0)</f>
        <v>0</v>
      </c>
      <c r="K1549" s="444">
        <f t="shared" ca="1" si="131"/>
        <v>-65613.686547921883</v>
      </c>
      <c r="L1549" s="444">
        <f t="shared" ca="1" si="132"/>
        <v>-15812898.458049171</v>
      </c>
      <c r="M1549" s="460">
        <f t="shared" si="134"/>
        <v>0.05</v>
      </c>
      <c r="N1549" s="464">
        <f t="shared" si="135"/>
        <v>98192</v>
      </c>
    </row>
    <row r="1550" spans="7:14" ht="11.25" customHeight="1" x14ac:dyDescent="0.3">
      <c r="G1550" s="459"/>
      <c r="H1550" s="459">
        <v>1543</v>
      </c>
      <c r="I1550" s="444">
        <f t="shared" ca="1" si="133"/>
        <v>-15812898.458049171</v>
      </c>
      <c r="J1550" s="444">
        <f t="array" ref="J1550">IFERROR(INDEX('Retirement Calculator'!J:J,MATCH('Isaac 401k'!N1550,'Retirement Calculator'!A:A,0),0),0)</f>
        <v>0</v>
      </c>
      <c r="K1550" s="444">
        <f t="shared" ca="1" si="131"/>
        <v>-65887.076908538205</v>
      </c>
      <c r="L1550" s="444">
        <f t="shared" ca="1" si="132"/>
        <v>-15878785.534957709</v>
      </c>
      <c r="M1550" s="460">
        <f t="shared" si="134"/>
        <v>0.05</v>
      </c>
      <c r="N1550" s="464">
        <f t="shared" si="135"/>
        <v>98222</v>
      </c>
    </row>
    <row r="1551" spans="7:14" ht="11.25" customHeight="1" x14ac:dyDescent="0.3">
      <c r="G1551" s="459"/>
      <c r="H1551" s="459">
        <v>1544</v>
      </c>
      <c r="I1551" s="444">
        <f t="shared" ca="1" si="133"/>
        <v>-15878785.534957709</v>
      </c>
      <c r="J1551" s="444">
        <f t="array" ref="J1551">IFERROR(INDEX('Retirement Calculator'!J:J,MATCH('Isaac 401k'!N1551,'Retirement Calculator'!A:A,0),0),0)</f>
        <v>0</v>
      </c>
      <c r="K1551" s="444">
        <f t="shared" ca="1" si="131"/>
        <v>-66161.606395657131</v>
      </c>
      <c r="L1551" s="444">
        <f t="shared" ca="1" si="132"/>
        <v>-15944947.141353365</v>
      </c>
      <c r="M1551" s="460">
        <f t="shared" si="134"/>
        <v>0.05</v>
      </c>
      <c r="N1551" s="464">
        <f t="shared" si="135"/>
        <v>98253</v>
      </c>
    </row>
    <row r="1552" spans="7:14" ht="11.25" customHeight="1" x14ac:dyDescent="0.3">
      <c r="G1552" s="459"/>
      <c r="H1552" s="459">
        <v>1545</v>
      </c>
      <c r="I1552" s="444">
        <f t="shared" ca="1" si="133"/>
        <v>-15944947.141353365</v>
      </c>
      <c r="J1552" s="444">
        <f t="array" ref="J1552">IFERROR(INDEX('Retirement Calculator'!J:J,MATCH('Isaac 401k'!N1552,'Retirement Calculator'!A:A,0),0),0)</f>
        <v>0</v>
      </c>
      <c r="K1552" s="444">
        <f t="shared" ca="1" si="131"/>
        <v>-66437.279755639014</v>
      </c>
      <c r="L1552" s="444">
        <f t="shared" ca="1" si="132"/>
        <v>-16011384.421109004</v>
      </c>
      <c r="M1552" s="460">
        <f t="shared" si="134"/>
        <v>0.05</v>
      </c>
      <c r="N1552" s="464">
        <f t="shared" si="135"/>
        <v>98284</v>
      </c>
    </row>
    <row r="1553" spans="7:14" ht="11.25" customHeight="1" x14ac:dyDescent="0.3">
      <c r="G1553" s="459"/>
      <c r="H1553" s="459">
        <v>1546</v>
      </c>
      <c r="I1553" s="444">
        <f t="shared" ca="1" si="133"/>
        <v>-16011384.421109004</v>
      </c>
      <c r="J1553" s="444">
        <f t="array" ref="J1553">IFERROR(INDEX('Retirement Calculator'!J:J,MATCH('Isaac 401k'!N1553,'Retirement Calculator'!A:A,0),0),0)</f>
        <v>0</v>
      </c>
      <c r="K1553" s="444">
        <f t="shared" ca="1" si="131"/>
        <v>-66714.101754620846</v>
      </c>
      <c r="L1553" s="444">
        <f t="shared" ca="1" si="132"/>
        <v>-16078098.522863625</v>
      </c>
      <c r="M1553" s="460">
        <f t="shared" si="134"/>
        <v>0.05</v>
      </c>
      <c r="N1553" s="464">
        <f t="shared" si="135"/>
        <v>98312</v>
      </c>
    </row>
    <row r="1554" spans="7:14" ht="11.25" customHeight="1" x14ac:dyDescent="0.3">
      <c r="G1554" s="459"/>
      <c r="H1554" s="459">
        <v>1547</v>
      </c>
      <c r="I1554" s="444">
        <f t="shared" ca="1" si="133"/>
        <v>-16078098.522863625</v>
      </c>
      <c r="J1554" s="444">
        <f t="array" ref="J1554">IFERROR(INDEX('Retirement Calculator'!J:J,MATCH('Isaac 401k'!N1554,'Retirement Calculator'!A:A,0),0),0)</f>
        <v>0</v>
      </c>
      <c r="K1554" s="444">
        <f t="shared" ca="1" si="131"/>
        <v>-66992.07717859844</v>
      </c>
      <c r="L1554" s="444">
        <f t="shared" ca="1" si="132"/>
        <v>-16145090.600042224</v>
      </c>
      <c r="M1554" s="460">
        <f t="shared" si="134"/>
        <v>0.05</v>
      </c>
      <c r="N1554" s="464">
        <f t="shared" si="135"/>
        <v>98343</v>
      </c>
    </row>
    <row r="1555" spans="7:14" ht="11.25" customHeight="1" x14ac:dyDescent="0.3">
      <c r="G1555" s="459"/>
      <c r="H1555" s="459">
        <v>1548</v>
      </c>
      <c r="I1555" s="444">
        <f t="shared" ca="1" si="133"/>
        <v>-16145090.600042224</v>
      </c>
      <c r="J1555" s="444">
        <f t="array" ref="J1555">IFERROR(INDEX('Retirement Calculator'!J:J,MATCH('Isaac 401k'!N1555,'Retirement Calculator'!A:A,0),0),0)</f>
        <v>0</v>
      </c>
      <c r="K1555" s="444">
        <f t="shared" ca="1" si="131"/>
        <v>-67271.210833509263</v>
      </c>
      <c r="L1555" s="444">
        <f t="shared" ca="1" si="132"/>
        <v>-16212361.810875732</v>
      </c>
      <c r="M1555" s="460">
        <f t="shared" si="134"/>
        <v>0.05</v>
      </c>
      <c r="N1555" s="464">
        <f t="shared" si="135"/>
        <v>98373</v>
      </c>
    </row>
    <row r="1556" spans="7:14" ht="11.25" customHeight="1" x14ac:dyDescent="0.3">
      <c r="G1556" s="459"/>
      <c r="H1556" s="459">
        <v>1549</v>
      </c>
      <c r="I1556" s="444">
        <f t="shared" ca="1" si="133"/>
        <v>-16212361.810875732</v>
      </c>
      <c r="J1556" s="444">
        <f t="array" ref="J1556">IFERROR(INDEX('Retirement Calculator'!J:J,MATCH('Isaac 401k'!N1556,'Retirement Calculator'!A:A,0),0),0)</f>
        <v>0</v>
      </c>
      <c r="K1556" s="444">
        <f t="shared" ca="1" si="131"/>
        <v>-67551.507545315559</v>
      </c>
      <c r="L1556" s="444">
        <f t="shared" ca="1" si="132"/>
        <v>-16279913.318421047</v>
      </c>
      <c r="M1556" s="460">
        <f t="shared" si="134"/>
        <v>0.05</v>
      </c>
      <c r="N1556" s="464">
        <f t="shared" si="135"/>
        <v>98404</v>
      </c>
    </row>
    <row r="1557" spans="7:14" ht="11.25" customHeight="1" x14ac:dyDescent="0.3">
      <c r="G1557" s="459"/>
      <c r="H1557" s="459">
        <v>1550</v>
      </c>
      <c r="I1557" s="444">
        <f t="shared" ca="1" si="133"/>
        <v>-16279913.318421047</v>
      </c>
      <c r="J1557" s="444">
        <f t="array" ref="J1557">IFERROR(INDEX('Retirement Calculator'!J:J,MATCH('Isaac 401k'!N1557,'Retirement Calculator'!A:A,0),0),0)</f>
        <v>0</v>
      </c>
      <c r="K1557" s="444">
        <f t="shared" ca="1" si="131"/>
        <v>-67832.972160087695</v>
      </c>
      <c r="L1557" s="444">
        <f t="shared" ca="1" si="132"/>
        <v>-16347746.290581135</v>
      </c>
      <c r="M1557" s="460">
        <f t="shared" si="134"/>
        <v>0.05</v>
      </c>
      <c r="N1557" s="464">
        <f t="shared" si="135"/>
        <v>98434</v>
      </c>
    </row>
    <row r="1558" spans="7:14" ht="11.25" customHeight="1" x14ac:dyDescent="0.3">
      <c r="G1558" s="459"/>
      <c r="H1558" s="459">
        <v>1551</v>
      </c>
      <c r="I1558" s="444">
        <f t="shared" ca="1" si="133"/>
        <v>-16347746.290581135</v>
      </c>
      <c r="J1558" s="444">
        <f t="array" ref="J1558">IFERROR(INDEX('Retirement Calculator'!J:J,MATCH('Isaac 401k'!N1558,'Retirement Calculator'!A:A,0),0),0)</f>
        <v>0</v>
      </c>
      <c r="K1558" s="444">
        <f t="shared" ca="1" si="131"/>
        <v>-68115.60954408806</v>
      </c>
      <c r="L1558" s="444">
        <f t="shared" ca="1" si="132"/>
        <v>-16415861.900125222</v>
      </c>
      <c r="M1558" s="460">
        <f t="shared" si="134"/>
        <v>0.05</v>
      </c>
      <c r="N1558" s="464">
        <f t="shared" si="135"/>
        <v>98465</v>
      </c>
    </row>
    <row r="1559" spans="7:14" ht="11.25" customHeight="1" x14ac:dyDescent="0.3">
      <c r="G1559" s="459"/>
      <c r="H1559" s="459">
        <v>1552</v>
      </c>
      <c r="I1559" s="444">
        <f t="shared" ca="1" si="133"/>
        <v>-16415861.900125222</v>
      </c>
      <c r="J1559" s="444">
        <f t="array" ref="J1559">IFERROR(INDEX('Retirement Calculator'!J:J,MATCH('Isaac 401k'!N1559,'Retirement Calculator'!A:A,0),0),0)</f>
        <v>0</v>
      </c>
      <c r="K1559" s="444">
        <f t="shared" ca="1" si="131"/>
        <v>-68399.424583855085</v>
      </c>
      <c r="L1559" s="444">
        <f t="shared" ca="1" si="132"/>
        <v>-16484261.324709076</v>
      </c>
      <c r="M1559" s="460">
        <f t="shared" si="134"/>
        <v>0.05</v>
      </c>
      <c r="N1559" s="464">
        <f t="shared" si="135"/>
        <v>98496</v>
      </c>
    </row>
    <row r="1560" spans="7:14" ht="11.25" customHeight="1" x14ac:dyDescent="0.3">
      <c r="G1560" s="459"/>
      <c r="H1560" s="459">
        <v>1553</v>
      </c>
      <c r="I1560" s="444">
        <f t="shared" ca="1" si="133"/>
        <v>-16484261.324709076</v>
      </c>
      <c r="J1560" s="444">
        <f t="array" ref="J1560">IFERROR(INDEX('Retirement Calculator'!J:J,MATCH('Isaac 401k'!N1560,'Retirement Calculator'!A:A,0),0),0)</f>
        <v>0</v>
      </c>
      <c r="K1560" s="444">
        <f t="shared" ca="1" si="131"/>
        <v>-68684.422186287818</v>
      </c>
      <c r="L1560" s="444">
        <f t="shared" ca="1" si="132"/>
        <v>-16552945.746895364</v>
      </c>
      <c r="M1560" s="460">
        <f t="shared" si="134"/>
        <v>0.05</v>
      </c>
      <c r="N1560" s="464">
        <f t="shared" si="135"/>
        <v>98526</v>
      </c>
    </row>
    <row r="1561" spans="7:14" ht="11.25" customHeight="1" x14ac:dyDescent="0.3">
      <c r="G1561" s="459"/>
      <c r="H1561" s="459">
        <v>1554</v>
      </c>
      <c r="I1561" s="444">
        <f t="shared" ca="1" si="133"/>
        <v>-16552945.746895364</v>
      </c>
      <c r="J1561" s="444">
        <f t="array" ref="J1561">IFERROR(INDEX('Retirement Calculator'!J:J,MATCH('Isaac 401k'!N1561,'Retirement Calculator'!A:A,0),0),0)</f>
        <v>0</v>
      </c>
      <c r="K1561" s="444">
        <f t="shared" ca="1" si="131"/>
        <v>-68970.607278730677</v>
      </c>
      <c r="L1561" s="444">
        <f t="shared" ca="1" si="132"/>
        <v>-16621916.354174094</v>
      </c>
      <c r="M1561" s="460">
        <f t="shared" si="134"/>
        <v>0.05</v>
      </c>
      <c r="N1561" s="464">
        <f t="shared" si="135"/>
        <v>98557</v>
      </c>
    </row>
    <row r="1562" spans="7:14" ht="11.25" customHeight="1" x14ac:dyDescent="0.3">
      <c r="G1562" s="459"/>
      <c r="H1562" s="459">
        <v>1555</v>
      </c>
      <c r="I1562" s="444">
        <f t="shared" ca="1" si="133"/>
        <v>-16621916.354174094</v>
      </c>
      <c r="J1562" s="444">
        <f t="array" ref="J1562">IFERROR(INDEX('Retirement Calculator'!J:J,MATCH('Isaac 401k'!N1562,'Retirement Calculator'!A:A,0),0),0)</f>
        <v>0</v>
      </c>
      <c r="K1562" s="444">
        <f t="shared" ca="1" si="131"/>
        <v>-69257.984809058718</v>
      </c>
      <c r="L1562" s="444">
        <f t="shared" ca="1" si="132"/>
        <v>-16691174.338983152</v>
      </c>
      <c r="M1562" s="460">
        <f t="shared" si="134"/>
        <v>0.05</v>
      </c>
      <c r="N1562" s="464">
        <f t="shared" si="135"/>
        <v>98587</v>
      </c>
    </row>
    <row r="1563" spans="7:14" ht="11.25" customHeight="1" x14ac:dyDescent="0.3">
      <c r="G1563" s="459"/>
      <c r="H1563" s="459">
        <v>1556</v>
      </c>
      <c r="I1563" s="444">
        <f t="shared" ca="1" si="133"/>
        <v>-16691174.338983152</v>
      </c>
      <c r="J1563" s="444">
        <f t="array" ref="J1563">IFERROR(INDEX('Retirement Calculator'!J:J,MATCH('Isaac 401k'!N1563,'Retirement Calculator'!A:A,0),0),0)</f>
        <v>0</v>
      </c>
      <c r="K1563" s="444">
        <f t="shared" ca="1" si="131"/>
        <v>-69546.559745763137</v>
      </c>
      <c r="L1563" s="444">
        <f t="shared" ca="1" si="132"/>
        <v>-16760720.898728915</v>
      </c>
      <c r="M1563" s="460">
        <f t="shared" si="134"/>
        <v>0.05</v>
      </c>
      <c r="N1563" s="464">
        <f t="shared" si="135"/>
        <v>98618</v>
      </c>
    </row>
    <row r="1564" spans="7:14" ht="11.25" customHeight="1" x14ac:dyDescent="0.3">
      <c r="G1564" s="459"/>
      <c r="H1564" s="459">
        <v>1557</v>
      </c>
      <c r="I1564" s="444">
        <f t="shared" ca="1" si="133"/>
        <v>-16760720.898728915</v>
      </c>
      <c r="J1564" s="444">
        <f t="array" ref="J1564">IFERROR(INDEX('Retirement Calculator'!J:J,MATCH('Isaac 401k'!N1564,'Retirement Calculator'!A:A,0),0),0)</f>
        <v>0</v>
      </c>
      <c r="K1564" s="444">
        <f t="shared" ca="1" si="131"/>
        <v>-69836.337078037148</v>
      </c>
      <c r="L1564" s="444">
        <f t="shared" ca="1" si="132"/>
        <v>-16830557.235806953</v>
      </c>
      <c r="M1564" s="460">
        <f t="shared" si="134"/>
        <v>0.05</v>
      </c>
      <c r="N1564" s="464">
        <f t="shared" si="135"/>
        <v>98649</v>
      </c>
    </row>
    <row r="1565" spans="7:14" ht="11.25" customHeight="1" x14ac:dyDescent="0.3">
      <c r="G1565" s="459"/>
      <c r="H1565" s="459">
        <v>1558</v>
      </c>
      <c r="I1565" s="444">
        <f t="shared" ca="1" si="133"/>
        <v>-16830557.235806953</v>
      </c>
      <c r="J1565" s="444">
        <f t="array" ref="J1565">IFERROR(INDEX('Retirement Calculator'!J:J,MATCH('Isaac 401k'!N1565,'Retirement Calculator'!A:A,0),0),0)</f>
        <v>0</v>
      </c>
      <c r="K1565" s="444">
        <f t="shared" ca="1" si="131"/>
        <v>-70127.321815862306</v>
      </c>
      <c r="L1565" s="444">
        <f t="shared" ca="1" si="132"/>
        <v>-16900684.557622816</v>
      </c>
      <c r="M1565" s="460">
        <f t="shared" si="134"/>
        <v>0.05</v>
      </c>
      <c r="N1565" s="464">
        <f t="shared" si="135"/>
        <v>98677</v>
      </c>
    </row>
    <row r="1566" spans="7:14" ht="11.25" customHeight="1" x14ac:dyDescent="0.3">
      <c r="G1566" s="459"/>
      <c r="H1566" s="459">
        <v>1559</v>
      </c>
      <c r="I1566" s="444">
        <f t="shared" ca="1" si="133"/>
        <v>-16900684.557622816</v>
      </c>
      <c r="J1566" s="444">
        <f t="array" ref="J1566">IFERROR(INDEX('Retirement Calculator'!J:J,MATCH('Isaac 401k'!N1566,'Retirement Calculator'!A:A,0),0),0)</f>
        <v>0</v>
      </c>
      <c r="K1566" s="444">
        <f t="shared" ca="1" si="131"/>
        <v>-70419.518990095065</v>
      </c>
      <c r="L1566" s="444">
        <f t="shared" ca="1" si="132"/>
        <v>-16971104.076612912</v>
      </c>
      <c r="M1566" s="460">
        <f t="shared" si="134"/>
        <v>0.05</v>
      </c>
      <c r="N1566" s="464">
        <f t="shared" si="135"/>
        <v>98708</v>
      </c>
    </row>
    <row r="1567" spans="7:14" ht="11.25" customHeight="1" x14ac:dyDescent="0.3">
      <c r="G1567" s="459"/>
      <c r="H1567" s="459">
        <v>1560</v>
      </c>
      <c r="I1567" s="444">
        <f t="shared" ca="1" si="133"/>
        <v>-16971104.076612912</v>
      </c>
      <c r="J1567" s="444">
        <f t="array" ref="J1567">IFERROR(INDEX('Retirement Calculator'!J:J,MATCH('Isaac 401k'!N1567,'Retirement Calculator'!A:A,0),0),0)</f>
        <v>0</v>
      </c>
      <c r="K1567" s="444">
        <f t="shared" ca="1" si="131"/>
        <v>-70712.933652553795</v>
      </c>
      <c r="L1567" s="444">
        <f t="shared" ca="1" si="132"/>
        <v>-17041817.010265466</v>
      </c>
      <c r="M1567" s="460">
        <f t="shared" si="134"/>
        <v>0.05</v>
      </c>
      <c r="N1567" s="464">
        <f t="shared" si="135"/>
        <v>98738</v>
      </c>
    </row>
    <row r="1568" spans="7:14" ht="11.25" customHeight="1" x14ac:dyDescent="0.3">
      <c r="G1568" s="459"/>
      <c r="H1568" s="459">
        <v>1561</v>
      </c>
      <c r="I1568" s="444">
        <f t="shared" ca="1" si="133"/>
        <v>-17041817.010265466</v>
      </c>
      <c r="J1568" s="444">
        <f t="array" ref="J1568">IFERROR(INDEX('Retirement Calculator'!J:J,MATCH('Isaac 401k'!N1568,'Retirement Calculator'!A:A,0),0),0)</f>
        <v>0</v>
      </c>
      <c r="K1568" s="444">
        <f t="shared" ca="1" si="131"/>
        <v>-71007.570876106111</v>
      </c>
      <c r="L1568" s="444">
        <f t="shared" ca="1" si="132"/>
        <v>-17112824.581141572</v>
      </c>
      <c r="M1568" s="460">
        <f t="shared" si="134"/>
        <v>0.05</v>
      </c>
      <c r="N1568" s="464">
        <f t="shared" si="135"/>
        <v>98769</v>
      </c>
    </row>
    <row r="1569" spans="7:14" ht="11.25" customHeight="1" x14ac:dyDescent="0.3">
      <c r="G1569" s="459"/>
      <c r="H1569" s="459">
        <v>1562</v>
      </c>
      <c r="I1569" s="444">
        <f t="shared" ca="1" si="133"/>
        <v>-17112824.581141572</v>
      </c>
      <c r="J1569" s="444">
        <f t="array" ref="J1569">IFERROR(INDEX('Retirement Calculator'!J:J,MATCH('Isaac 401k'!N1569,'Retirement Calculator'!A:A,0),0),0)</f>
        <v>0</v>
      </c>
      <c r="K1569" s="444">
        <f t="shared" ca="1" si="131"/>
        <v>-71303.435754756545</v>
      </c>
      <c r="L1569" s="444">
        <f t="shared" ca="1" si="132"/>
        <v>-17184128.01689633</v>
      </c>
      <c r="M1569" s="460">
        <f t="shared" si="134"/>
        <v>0.05</v>
      </c>
      <c r="N1569" s="464">
        <f t="shared" si="135"/>
        <v>98799</v>
      </c>
    </row>
    <row r="1570" spans="7:14" ht="11.25" customHeight="1" x14ac:dyDescent="0.3">
      <c r="G1570" s="459"/>
      <c r="H1570" s="459">
        <v>1563</v>
      </c>
      <c r="I1570" s="444">
        <f t="shared" ca="1" si="133"/>
        <v>-17184128.01689633</v>
      </c>
      <c r="J1570" s="444">
        <f t="array" ref="J1570">IFERROR(INDEX('Retirement Calculator'!J:J,MATCH('Isaac 401k'!N1570,'Retirement Calculator'!A:A,0),0),0)</f>
        <v>0</v>
      </c>
      <c r="K1570" s="444">
        <f t="shared" ca="1" si="131"/>
        <v>-71600.533403734706</v>
      </c>
      <c r="L1570" s="444">
        <f t="shared" ca="1" si="132"/>
        <v>-17255728.550300065</v>
      </c>
      <c r="M1570" s="460">
        <f t="shared" si="134"/>
        <v>0.05</v>
      </c>
      <c r="N1570" s="464">
        <f t="shared" si="135"/>
        <v>98830</v>
      </c>
    </row>
    <row r="1571" spans="7:14" ht="11.25" customHeight="1" x14ac:dyDescent="0.3">
      <c r="G1571" s="459"/>
      <c r="H1571" s="459">
        <v>1564</v>
      </c>
      <c r="I1571" s="444">
        <f t="shared" ca="1" si="133"/>
        <v>-17255728.550300065</v>
      </c>
      <c r="J1571" s="444">
        <f t="array" ref="J1571">IFERROR(INDEX('Retirement Calculator'!J:J,MATCH('Isaac 401k'!N1571,'Retirement Calculator'!A:A,0),0),0)</f>
        <v>0</v>
      </c>
      <c r="K1571" s="444">
        <f t="shared" ca="1" si="131"/>
        <v>-71898.868959583604</v>
      </c>
      <c r="L1571" s="444">
        <f t="shared" ca="1" si="132"/>
        <v>-17327627.419259649</v>
      </c>
      <c r="M1571" s="460">
        <f t="shared" si="134"/>
        <v>0.05</v>
      </c>
      <c r="N1571" s="464">
        <f t="shared" si="135"/>
        <v>98861</v>
      </c>
    </row>
    <row r="1572" spans="7:14" ht="11.25" customHeight="1" x14ac:dyDescent="0.3">
      <c r="G1572" s="459"/>
      <c r="H1572" s="459">
        <v>1565</v>
      </c>
      <c r="I1572" s="444">
        <f t="shared" ca="1" si="133"/>
        <v>-17327627.419259649</v>
      </c>
      <c r="J1572" s="444">
        <f t="array" ref="J1572">IFERROR(INDEX('Retirement Calculator'!J:J,MATCH('Isaac 401k'!N1572,'Retirement Calculator'!A:A,0),0),0)</f>
        <v>0</v>
      </c>
      <c r="K1572" s="444">
        <f t="shared" ca="1" si="131"/>
        <v>-72198.447580248539</v>
      </c>
      <c r="L1572" s="444">
        <f t="shared" ca="1" si="132"/>
        <v>-17399825.866839897</v>
      </c>
      <c r="M1572" s="460">
        <f t="shared" si="134"/>
        <v>0.05</v>
      </c>
      <c r="N1572" s="464">
        <f t="shared" si="135"/>
        <v>98891</v>
      </c>
    </row>
    <row r="1573" spans="7:14" ht="11.25" customHeight="1" x14ac:dyDescent="0.3">
      <c r="G1573" s="459"/>
      <c r="H1573" s="459">
        <v>1566</v>
      </c>
      <c r="I1573" s="444">
        <f t="shared" ca="1" si="133"/>
        <v>-17399825.866839897</v>
      </c>
      <c r="J1573" s="444">
        <f t="array" ref="J1573">IFERROR(INDEX('Retirement Calculator'!J:J,MATCH('Isaac 401k'!N1573,'Retirement Calculator'!A:A,0),0),0)</f>
        <v>0</v>
      </c>
      <c r="K1573" s="444">
        <f t="shared" ca="1" si="131"/>
        <v>-72499.274445166229</v>
      </c>
      <c r="L1573" s="444">
        <f t="shared" ca="1" si="132"/>
        <v>-17472325.141285062</v>
      </c>
      <c r="M1573" s="460">
        <f t="shared" si="134"/>
        <v>0.05</v>
      </c>
      <c r="N1573" s="464">
        <f t="shared" si="135"/>
        <v>98922</v>
      </c>
    </row>
    <row r="1574" spans="7:14" ht="11.25" customHeight="1" x14ac:dyDescent="0.3">
      <c r="G1574" s="459"/>
      <c r="H1574" s="459">
        <v>1567</v>
      </c>
      <c r="I1574" s="444">
        <f t="shared" ca="1" si="133"/>
        <v>-17472325.141285062</v>
      </c>
      <c r="J1574" s="444">
        <f t="array" ref="J1574">IFERROR(INDEX('Retirement Calculator'!J:J,MATCH('Isaac 401k'!N1574,'Retirement Calculator'!A:A,0),0),0)</f>
        <v>0</v>
      </c>
      <c r="K1574" s="444">
        <f t="shared" ca="1" si="131"/>
        <v>-72801.354755354419</v>
      </c>
      <c r="L1574" s="444">
        <f t="shared" ca="1" si="132"/>
        <v>-17545126.496040415</v>
      </c>
      <c r="M1574" s="460">
        <f t="shared" si="134"/>
        <v>0.05</v>
      </c>
      <c r="N1574" s="464">
        <f t="shared" si="135"/>
        <v>98952</v>
      </c>
    </row>
    <row r="1575" spans="7:14" ht="11.25" customHeight="1" x14ac:dyDescent="0.3">
      <c r="G1575" s="459"/>
      <c r="H1575" s="459">
        <v>1568</v>
      </c>
      <c r="I1575" s="444">
        <f t="shared" ca="1" si="133"/>
        <v>-17545126.496040415</v>
      </c>
      <c r="J1575" s="444">
        <f t="array" ref="J1575">IFERROR(INDEX('Retirement Calculator'!J:J,MATCH('Isaac 401k'!N1575,'Retirement Calculator'!A:A,0),0),0)</f>
        <v>0</v>
      </c>
      <c r="K1575" s="444">
        <f t="shared" ca="1" si="131"/>
        <v>-73104.693733501728</v>
      </c>
      <c r="L1575" s="444">
        <f t="shared" ca="1" si="132"/>
        <v>-17618231.189773917</v>
      </c>
      <c r="M1575" s="460">
        <f t="shared" si="134"/>
        <v>0.05</v>
      </c>
      <c r="N1575" s="464">
        <f t="shared" si="135"/>
        <v>98983</v>
      </c>
    </row>
    <row r="1576" spans="7:14" ht="11.25" customHeight="1" x14ac:dyDescent="0.3">
      <c r="G1576" s="459"/>
      <c r="H1576" s="459">
        <v>1569</v>
      </c>
      <c r="I1576" s="444">
        <f t="shared" ca="1" si="133"/>
        <v>-17618231.189773917</v>
      </c>
      <c r="J1576" s="444">
        <f t="array" ref="J1576">IFERROR(INDEX('Retirement Calculator'!J:J,MATCH('Isaac 401k'!N1576,'Retirement Calculator'!A:A,0),0),0)</f>
        <v>0</v>
      </c>
      <c r="K1576" s="444">
        <f t="shared" ca="1" si="131"/>
        <v>-73409.296624057984</v>
      </c>
      <c r="L1576" s="444">
        <f t="shared" ca="1" si="132"/>
        <v>-17691640.486397974</v>
      </c>
      <c r="M1576" s="460">
        <f t="shared" si="134"/>
        <v>0.05</v>
      </c>
      <c r="N1576" s="464">
        <f t="shared" si="135"/>
        <v>99014</v>
      </c>
    </row>
    <row r="1577" spans="7:14" ht="11.25" customHeight="1" x14ac:dyDescent="0.3">
      <c r="G1577" s="459"/>
      <c r="H1577" s="459">
        <v>1570</v>
      </c>
      <c r="I1577" s="444">
        <f t="shared" ca="1" si="133"/>
        <v>-17691640.486397974</v>
      </c>
      <c r="J1577" s="444">
        <f t="array" ref="J1577">IFERROR(INDEX('Retirement Calculator'!J:J,MATCH('Isaac 401k'!N1577,'Retirement Calculator'!A:A,0),0),0)</f>
        <v>0</v>
      </c>
      <c r="K1577" s="444">
        <f t="shared" ca="1" si="131"/>
        <v>-73715.168693324886</v>
      </c>
      <c r="L1577" s="444">
        <f t="shared" ca="1" si="132"/>
        <v>-17765355.655091301</v>
      </c>
      <c r="M1577" s="460">
        <f t="shared" si="134"/>
        <v>0.05</v>
      </c>
      <c r="N1577" s="464">
        <f t="shared" si="135"/>
        <v>99042</v>
      </c>
    </row>
    <row r="1578" spans="7:14" ht="11.25" customHeight="1" x14ac:dyDescent="0.3">
      <c r="G1578" s="459"/>
      <c r="H1578" s="459">
        <v>1571</v>
      </c>
      <c r="I1578" s="444">
        <f t="shared" ca="1" si="133"/>
        <v>-17765355.655091301</v>
      </c>
      <c r="J1578" s="444">
        <f t="array" ref="J1578">IFERROR(INDEX('Retirement Calculator'!J:J,MATCH('Isaac 401k'!N1578,'Retirement Calculator'!A:A,0),0),0)</f>
        <v>0</v>
      </c>
      <c r="K1578" s="444">
        <f t="shared" ca="1" si="131"/>
        <v>-74022.315229547079</v>
      </c>
      <c r="L1578" s="444">
        <f t="shared" ca="1" si="132"/>
        <v>-17839377.970320847</v>
      </c>
      <c r="M1578" s="460">
        <f t="shared" si="134"/>
        <v>0.05</v>
      </c>
      <c r="N1578" s="464">
        <f t="shared" si="135"/>
        <v>99073</v>
      </c>
    </row>
    <row r="1579" spans="7:14" ht="11.25" customHeight="1" x14ac:dyDescent="0.3">
      <c r="G1579" s="459"/>
      <c r="H1579" s="459">
        <v>1572</v>
      </c>
      <c r="I1579" s="444">
        <f t="shared" ca="1" si="133"/>
        <v>-17839377.970320847</v>
      </c>
      <c r="J1579" s="444">
        <f t="array" ref="J1579">IFERROR(INDEX('Retirement Calculator'!J:J,MATCH('Isaac 401k'!N1579,'Retirement Calculator'!A:A,0),0),0)</f>
        <v>0</v>
      </c>
      <c r="K1579" s="444">
        <f t="shared" ca="1" si="131"/>
        <v>-74330.741543003533</v>
      </c>
      <c r="L1579" s="444">
        <f t="shared" ca="1" si="132"/>
        <v>-17913708.711863849</v>
      </c>
      <c r="M1579" s="460">
        <f t="shared" si="134"/>
        <v>0.05</v>
      </c>
      <c r="N1579" s="464">
        <f t="shared" si="135"/>
        <v>99103</v>
      </c>
    </row>
    <row r="1580" spans="7:14" ht="11.25" customHeight="1" x14ac:dyDescent="0.3">
      <c r="G1580" s="459"/>
      <c r="H1580" s="459">
        <v>1573</v>
      </c>
      <c r="I1580" s="444">
        <f t="shared" ca="1" si="133"/>
        <v>-17913708.711863849</v>
      </c>
      <c r="J1580" s="444">
        <f t="array" ref="J1580">IFERROR(INDEX('Retirement Calculator'!J:J,MATCH('Isaac 401k'!N1580,'Retirement Calculator'!A:A,0),0),0)</f>
        <v>0</v>
      </c>
      <c r="K1580" s="444">
        <f t="shared" ca="1" si="131"/>
        <v>-74640.452966099372</v>
      </c>
      <c r="L1580" s="444">
        <f t="shared" ca="1" si="132"/>
        <v>-17988349.164829947</v>
      </c>
      <c r="M1580" s="460">
        <f t="shared" si="134"/>
        <v>0.05</v>
      </c>
      <c r="N1580" s="464">
        <f t="shared" si="135"/>
        <v>99134</v>
      </c>
    </row>
    <row r="1581" spans="7:14" ht="11.25" customHeight="1" x14ac:dyDescent="0.3">
      <c r="G1581" s="459"/>
      <c r="H1581" s="459">
        <v>1574</v>
      </c>
      <c r="I1581" s="444">
        <f t="shared" ca="1" si="133"/>
        <v>-17988349.164829947</v>
      </c>
      <c r="J1581" s="444">
        <f t="array" ref="J1581">IFERROR(INDEX('Retirement Calculator'!J:J,MATCH('Isaac 401k'!N1581,'Retirement Calculator'!A:A,0),0),0)</f>
        <v>0</v>
      </c>
      <c r="K1581" s="444">
        <f t="shared" ca="1" si="131"/>
        <v>-74951.454853458112</v>
      </c>
      <c r="L1581" s="444">
        <f t="shared" ca="1" si="132"/>
        <v>-18063300.619683404</v>
      </c>
      <c r="M1581" s="460">
        <f t="shared" si="134"/>
        <v>0.05</v>
      </c>
      <c r="N1581" s="464">
        <f t="shared" si="135"/>
        <v>99164</v>
      </c>
    </row>
    <row r="1582" spans="7:14" ht="11.25" customHeight="1" x14ac:dyDescent="0.3">
      <c r="G1582" s="459"/>
      <c r="H1582" s="459">
        <v>1575</v>
      </c>
      <c r="I1582" s="444">
        <f t="shared" ca="1" si="133"/>
        <v>-18063300.619683404</v>
      </c>
      <c r="J1582" s="444">
        <f t="array" ref="J1582">IFERROR(INDEX('Retirement Calculator'!J:J,MATCH('Isaac 401k'!N1582,'Retirement Calculator'!A:A,0),0),0)</f>
        <v>0</v>
      </c>
      <c r="K1582" s="444">
        <f t="shared" ca="1" si="131"/>
        <v>-75263.752582014175</v>
      </c>
      <c r="L1582" s="444">
        <f t="shared" ca="1" si="132"/>
        <v>-18138564.372265417</v>
      </c>
      <c r="M1582" s="460">
        <f t="shared" si="134"/>
        <v>0.05</v>
      </c>
      <c r="N1582" s="464">
        <f t="shared" si="135"/>
        <v>99195</v>
      </c>
    </row>
    <row r="1583" spans="7:14" ht="11.25" customHeight="1" x14ac:dyDescent="0.3">
      <c r="G1583" s="459"/>
      <c r="H1583" s="459">
        <v>1576</v>
      </c>
      <c r="I1583" s="444">
        <f t="shared" ca="1" si="133"/>
        <v>-18138564.372265417</v>
      </c>
      <c r="J1583" s="444">
        <f t="array" ref="J1583">IFERROR(INDEX('Retirement Calculator'!J:J,MATCH('Isaac 401k'!N1583,'Retirement Calculator'!A:A,0),0),0)</f>
        <v>0</v>
      </c>
      <c r="K1583" s="444">
        <f t="shared" ca="1" si="131"/>
        <v>-75577.351551105909</v>
      </c>
      <c r="L1583" s="444">
        <f t="shared" ca="1" si="132"/>
        <v>-18214141.723816521</v>
      </c>
      <c r="M1583" s="460">
        <f t="shared" si="134"/>
        <v>0.05</v>
      </c>
      <c r="N1583" s="464">
        <f t="shared" si="135"/>
        <v>99226</v>
      </c>
    </row>
    <row r="1584" spans="7:14" ht="11.25" customHeight="1" x14ac:dyDescent="0.3">
      <c r="G1584" s="459"/>
      <c r="H1584" s="459">
        <v>1577</v>
      </c>
      <c r="I1584" s="444">
        <f t="shared" ca="1" si="133"/>
        <v>-18214141.723816521</v>
      </c>
      <c r="J1584" s="444">
        <f t="array" ref="J1584">IFERROR(INDEX('Retirement Calculator'!J:J,MATCH('Isaac 401k'!N1584,'Retirement Calculator'!A:A,0),0),0)</f>
        <v>0</v>
      </c>
      <c r="K1584" s="444">
        <f t="shared" ca="1" si="131"/>
        <v>-75892.257182568836</v>
      </c>
      <c r="L1584" s="444">
        <f t="shared" ca="1" si="132"/>
        <v>-18290033.98099909</v>
      </c>
      <c r="M1584" s="460">
        <f t="shared" si="134"/>
        <v>0.05</v>
      </c>
      <c r="N1584" s="464">
        <f t="shared" si="135"/>
        <v>99256</v>
      </c>
    </row>
    <row r="1585" spans="7:14" ht="11.25" customHeight="1" x14ac:dyDescent="0.3">
      <c r="G1585" s="459"/>
      <c r="H1585" s="459">
        <v>1578</v>
      </c>
      <c r="I1585" s="444">
        <f t="shared" ca="1" si="133"/>
        <v>-18290033.98099909</v>
      </c>
      <c r="J1585" s="444">
        <f t="array" ref="J1585">IFERROR(INDEX('Retirement Calculator'!J:J,MATCH('Isaac 401k'!N1585,'Retirement Calculator'!A:A,0),0),0)</f>
        <v>0</v>
      </c>
      <c r="K1585" s="444">
        <f t="shared" ca="1" si="131"/>
        <v>-76208.47492082954</v>
      </c>
      <c r="L1585" s="444">
        <f t="shared" ca="1" si="132"/>
        <v>-18366242.455919918</v>
      </c>
      <c r="M1585" s="460">
        <f t="shared" si="134"/>
        <v>0.05</v>
      </c>
      <c r="N1585" s="464">
        <f t="shared" si="135"/>
        <v>99287</v>
      </c>
    </row>
    <row r="1586" spans="7:14" ht="11.25" customHeight="1" x14ac:dyDescent="0.3">
      <c r="G1586" s="459"/>
      <c r="H1586" s="459">
        <v>1579</v>
      </c>
      <c r="I1586" s="444">
        <f t="shared" ca="1" si="133"/>
        <v>-18366242.455919918</v>
      </c>
      <c r="J1586" s="444">
        <f t="array" ref="J1586">IFERROR(INDEX('Retirement Calculator'!J:J,MATCH('Isaac 401k'!N1586,'Retirement Calculator'!A:A,0),0),0)</f>
        <v>0</v>
      </c>
      <c r="K1586" s="444">
        <f t="shared" ca="1" si="131"/>
        <v>-76526.010232999659</v>
      </c>
      <c r="L1586" s="444">
        <f t="shared" ca="1" si="132"/>
        <v>-18442768.466152918</v>
      </c>
      <c r="M1586" s="460">
        <f t="shared" si="134"/>
        <v>0.05</v>
      </c>
      <c r="N1586" s="464">
        <f t="shared" si="135"/>
        <v>99317</v>
      </c>
    </row>
    <row r="1587" spans="7:14" ht="11.25" customHeight="1" x14ac:dyDescent="0.3">
      <c r="G1587" s="459"/>
      <c r="H1587" s="459">
        <v>1580</v>
      </c>
      <c r="I1587" s="444">
        <f t="shared" ca="1" si="133"/>
        <v>-18442768.466152918</v>
      </c>
      <c r="J1587" s="444">
        <f t="array" ref="J1587">IFERROR(INDEX('Retirement Calculator'!J:J,MATCH('Isaac 401k'!N1587,'Retirement Calculator'!A:A,0),0),0)</f>
        <v>0</v>
      </c>
      <c r="K1587" s="444">
        <f t="shared" ca="1" si="131"/>
        <v>-76844.868608970486</v>
      </c>
      <c r="L1587" s="444">
        <f t="shared" ca="1" si="132"/>
        <v>-18519613.334761888</v>
      </c>
      <c r="M1587" s="460">
        <f t="shared" si="134"/>
        <v>0.05</v>
      </c>
      <c r="N1587" s="464">
        <f t="shared" si="135"/>
        <v>99348</v>
      </c>
    </row>
    <row r="1588" spans="7:14" ht="11.25" customHeight="1" x14ac:dyDescent="0.3">
      <c r="G1588" s="459"/>
      <c r="H1588" s="459">
        <v>1581</v>
      </c>
      <c r="I1588" s="444">
        <f t="shared" ca="1" si="133"/>
        <v>-18519613.334761888</v>
      </c>
      <c r="J1588" s="444">
        <f t="array" ref="J1588">IFERROR(INDEX('Retirement Calculator'!J:J,MATCH('Isaac 401k'!N1588,'Retirement Calculator'!A:A,0),0),0)</f>
        <v>0</v>
      </c>
      <c r="K1588" s="444">
        <f t="shared" ca="1" si="131"/>
        <v>-77165.055561507863</v>
      </c>
      <c r="L1588" s="444">
        <f t="shared" ca="1" si="132"/>
        <v>-18596778.390323397</v>
      </c>
      <c r="M1588" s="460">
        <f t="shared" si="134"/>
        <v>0.05</v>
      </c>
      <c r="N1588" s="464">
        <f t="shared" si="135"/>
        <v>99379</v>
      </c>
    </row>
    <row r="1589" spans="7:14" ht="11.25" customHeight="1" x14ac:dyDescent="0.3">
      <c r="G1589" s="459"/>
      <c r="H1589" s="459">
        <v>1582</v>
      </c>
      <c r="I1589" s="444">
        <f t="shared" ca="1" si="133"/>
        <v>-18596778.390323397</v>
      </c>
      <c r="J1589" s="444">
        <f t="array" ref="J1589">IFERROR(INDEX('Retirement Calculator'!J:J,MATCH('Isaac 401k'!N1589,'Retirement Calculator'!A:A,0),0),0)</f>
        <v>0</v>
      </c>
      <c r="K1589" s="444">
        <f t="shared" ca="1" si="131"/>
        <v>-77486.57662634748</v>
      </c>
      <c r="L1589" s="444">
        <f t="shared" ca="1" si="132"/>
        <v>-18674264.966949746</v>
      </c>
      <c r="M1589" s="460">
        <f t="shared" si="134"/>
        <v>0.05</v>
      </c>
      <c r="N1589" s="464">
        <f t="shared" si="135"/>
        <v>99408</v>
      </c>
    </row>
    <row r="1590" spans="7:14" ht="11.25" customHeight="1" x14ac:dyDescent="0.3">
      <c r="G1590" s="459"/>
      <c r="H1590" s="459">
        <v>1583</v>
      </c>
      <c r="I1590" s="444">
        <f t="shared" ca="1" si="133"/>
        <v>-18674264.966949746</v>
      </c>
      <c r="J1590" s="444">
        <f t="array" ref="J1590">IFERROR(INDEX('Retirement Calculator'!J:J,MATCH('Isaac 401k'!N1590,'Retirement Calculator'!A:A,0),0),0)</f>
        <v>0</v>
      </c>
      <c r="K1590" s="444">
        <f t="shared" ca="1" si="131"/>
        <v>-77809.437362290613</v>
      </c>
      <c r="L1590" s="444">
        <f t="shared" ca="1" si="132"/>
        <v>-18752074.404312037</v>
      </c>
      <c r="M1590" s="460">
        <f t="shared" si="134"/>
        <v>0.05</v>
      </c>
      <c r="N1590" s="464">
        <f t="shared" si="135"/>
        <v>99439</v>
      </c>
    </row>
    <row r="1591" spans="7:14" ht="11.25" customHeight="1" x14ac:dyDescent="0.3">
      <c r="G1591" s="459"/>
      <c r="H1591" s="459">
        <v>1584</v>
      </c>
      <c r="I1591" s="444">
        <f t="shared" ca="1" si="133"/>
        <v>-18752074.404312037</v>
      </c>
      <c r="J1591" s="444">
        <f t="array" ref="J1591">IFERROR(INDEX('Retirement Calculator'!J:J,MATCH('Isaac 401k'!N1591,'Retirement Calculator'!A:A,0),0),0)</f>
        <v>0</v>
      </c>
      <c r="K1591" s="444">
        <f t="shared" ca="1" si="131"/>
        <v>-78133.643351300154</v>
      </c>
      <c r="L1591" s="444">
        <f t="shared" ca="1" si="132"/>
        <v>-18830208.047663338</v>
      </c>
      <c r="M1591" s="460">
        <f t="shared" si="134"/>
        <v>0.05</v>
      </c>
      <c r="N1591" s="464">
        <f t="shared" si="135"/>
        <v>99469</v>
      </c>
    </row>
    <row r="1592" spans="7:14" ht="11.25" customHeight="1" x14ac:dyDescent="0.3">
      <c r="G1592" s="459"/>
      <c r="H1592" s="459">
        <v>1585</v>
      </c>
      <c r="I1592" s="444">
        <f t="shared" ca="1" si="133"/>
        <v>-18830208.047663338</v>
      </c>
      <c r="J1592" s="444">
        <f t="array" ref="J1592">IFERROR(INDEX('Retirement Calculator'!J:J,MATCH('Isaac 401k'!N1592,'Retirement Calculator'!A:A,0),0),0)</f>
        <v>0</v>
      </c>
      <c r="K1592" s="444">
        <f t="shared" ca="1" si="131"/>
        <v>-78459.200198597246</v>
      </c>
      <c r="L1592" s="444">
        <f t="shared" ca="1" si="132"/>
        <v>-18908667.247861937</v>
      </c>
      <c r="M1592" s="460">
        <f t="shared" si="134"/>
        <v>0.05</v>
      </c>
      <c r="N1592" s="464">
        <f t="shared" si="135"/>
        <v>99500</v>
      </c>
    </row>
    <row r="1593" spans="7:14" ht="11.25" customHeight="1" x14ac:dyDescent="0.3">
      <c r="G1593" s="459"/>
      <c r="H1593" s="459">
        <v>1586</v>
      </c>
      <c r="I1593" s="444">
        <f t="shared" ca="1" si="133"/>
        <v>-18908667.247861937</v>
      </c>
      <c r="J1593" s="444">
        <f t="array" ref="J1593">IFERROR(INDEX('Retirement Calculator'!J:J,MATCH('Isaac 401k'!N1593,'Retirement Calculator'!A:A,0),0),0)</f>
        <v>0</v>
      </c>
      <c r="K1593" s="444">
        <f t="shared" ca="1" si="131"/>
        <v>-78786.113532758071</v>
      </c>
      <c r="L1593" s="444">
        <f t="shared" ca="1" si="132"/>
        <v>-18987453.361394696</v>
      </c>
      <c r="M1593" s="460">
        <f t="shared" si="134"/>
        <v>0.05</v>
      </c>
      <c r="N1593" s="464">
        <f t="shared" si="135"/>
        <v>99530</v>
      </c>
    </row>
    <row r="1594" spans="7:14" ht="11.25" customHeight="1" x14ac:dyDescent="0.3">
      <c r="G1594" s="459"/>
      <c r="H1594" s="459">
        <v>1587</v>
      </c>
      <c r="I1594" s="444">
        <f t="shared" ca="1" si="133"/>
        <v>-18987453.361394696</v>
      </c>
      <c r="J1594" s="444">
        <f t="array" ref="J1594">IFERROR(INDEX('Retirement Calculator'!J:J,MATCH('Isaac 401k'!N1594,'Retirement Calculator'!A:A,0),0),0)</f>
        <v>0</v>
      </c>
      <c r="K1594" s="444">
        <f t="shared" ca="1" si="131"/>
        <v>-79114.38900581123</v>
      </c>
      <c r="L1594" s="444">
        <f t="shared" ca="1" si="132"/>
        <v>-19066567.750400506</v>
      </c>
      <c r="M1594" s="460">
        <f t="shared" si="134"/>
        <v>0.05</v>
      </c>
      <c r="N1594" s="464">
        <f t="shared" si="135"/>
        <v>99561</v>
      </c>
    </row>
    <row r="1595" spans="7:14" ht="11.25" customHeight="1" x14ac:dyDescent="0.3">
      <c r="G1595" s="459"/>
      <c r="H1595" s="459">
        <v>1588</v>
      </c>
      <c r="I1595" s="444">
        <f t="shared" ca="1" si="133"/>
        <v>-19066567.750400506</v>
      </c>
      <c r="J1595" s="444">
        <f t="array" ref="J1595">IFERROR(INDEX('Retirement Calculator'!J:J,MATCH('Isaac 401k'!N1595,'Retirement Calculator'!A:A,0),0),0)</f>
        <v>0</v>
      </c>
      <c r="K1595" s="444">
        <f t="shared" ca="1" si="131"/>
        <v>-79444.032293335447</v>
      </c>
      <c r="L1595" s="444">
        <f t="shared" ca="1" si="132"/>
        <v>-19146011.782693841</v>
      </c>
      <c r="M1595" s="460">
        <f t="shared" si="134"/>
        <v>0.05</v>
      </c>
      <c r="N1595" s="464">
        <f t="shared" si="135"/>
        <v>99592</v>
      </c>
    </row>
    <row r="1596" spans="7:14" ht="11.25" customHeight="1" x14ac:dyDescent="0.3">
      <c r="G1596" s="459"/>
      <c r="H1596" s="459">
        <v>1589</v>
      </c>
      <c r="I1596" s="444">
        <f t="shared" ca="1" si="133"/>
        <v>-19146011.782693841</v>
      </c>
      <c r="J1596" s="444">
        <f t="array" ref="J1596">IFERROR(INDEX('Retirement Calculator'!J:J,MATCH('Isaac 401k'!N1596,'Retirement Calculator'!A:A,0),0),0)</f>
        <v>0</v>
      </c>
      <c r="K1596" s="444">
        <f t="shared" ca="1" si="131"/>
        <v>-79775.049094557675</v>
      </c>
      <c r="L1596" s="444">
        <f t="shared" ca="1" si="132"/>
        <v>-19225786.831788398</v>
      </c>
      <c r="M1596" s="460">
        <f t="shared" si="134"/>
        <v>0.05</v>
      </c>
      <c r="N1596" s="464">
        <f t="shared" si="135"/>
        <v>99622</v>
      </c>
    </row>
    <row r="1597" spans="7:14" ht="11.25" customHeight="1" x14ac:dyDescent="0.3">
      <c r="G1597" s="459"/>
      <c r="H1597" s="459">
        <v>1590</v>
      </c>
      <c r="I1597" s="444">
        <f t="shared" ca="1" si="133"/>
        <v>-19225786.831788398</v>
      </c>
      <c r="J1597" s="444">
        <f t="array" ref="J1597">IFERROR(INDEX('Retirement Calculator'!J:J,MATCH('Isaac 401k'!N1597,'Retirement Calculator'!A:A,0),0),0)</f>
        <v>0</v>
      </c>
      <c r="K1597" s="444">
        <f t="shared" ca="1" si="131"/>
        <v>-80107.445132451656</v>
      </c>
      <c r="L1597" s="444">
        <f t="shared" ca="1" si="132"/>
        <v>-19305894.276920851</v>
      </c>
      <c r="M1597" s="460">
        <f t="shared" si="134"/>
        <v>0.05</v>
      </c>
      <c r="N1597" s="464">
        <f t="shared" si="135"/>
        <v>99653</v>
      </c>
    </row>
    <row r="1598" spans="7:14" ht="11.25" customHeight="1" x14ac:dyDescent="0.3">
      <c r="G1598" s="459"/>
      <c r="H1598" s="459">
        <v>1591</v>
      </c>
      <c r="I1598" s="444">
        <f t="shared" ca="1" si="133"/>
        <v>-19305894.276920851</v>
      </c>
      <c r="J1598" s="444">
        <f t="array" ref="J1598">IFERROR(INDEX('Retirement Calculator'!J:J,MATCH('Isaac 401k'!N1598,'Retirement Calculator'!A:A,0),0),0)</f>
        <v>0</v>
      </c>
      <c r="K1598" s="444">
        <f t="shared" ca="1" si="131"/>
        <v>-80441.226153836877</v>
      </c>
      <c r="L1598" s="444">
        <f t="shared" ca="1" si="132"/>
        <v>-19386335.503074687</v>
      </c>
      <c r="M1598" s="460">
        <f t="shared" si="134"/>
        <v>0.05</v>
      </c>
      <c r="N1598" s="464">
        <f t="shared" si="135"/>
        <v>99683</v>
      </c>
    </row>
    <row r="1599" spans="7:14" ht="11.25" customHeight="1" x14ac:dyDescent="0.3">
      <c r="G1599" s="459"/>
      <c r="H1599" s="459">
        <v>1592</v>
      </c>
      <c r="I1599" s="444">
        <f t="shared" ca="1" si="133"/>
        <v>-19386335.503074687</v>
      </c>
      <c r="J1599" s="444">
        <f t="array" ref="J1599">IFERROR(INDEX('Retirement Calculator'!J:J,MATCH('Isaac 401k'!N1599,'Retirement Calculator'!A:A,0),0),0)</f>
        <v>0</v>
      </c>
      <c r="K1599" s="444">
        <f t="shared" ca="1" si="131"/>
        <v>-80776.397929477855</v>
      </c>
      <c r="L1599" s="444">
        <f t="shared" ca="1" si="132"/>
        <v>-19467111.901004165</v>
      </c>
      <c r="M1599" s="460">
        <f t="shared" si="134"/>
        <v>0.05</v>
      </c>
      <c r="N1599" s="464">
        <f t="shared" si="135"/>
        <v>99714</v>
      </c>
    </row>
    <row r="1600" spans="7:14" ht="11.25" customHeight="1" x14ac:dyDescent="0.3">
      <c r="G1600" s="459"/>
      <c r="H1600" s="459">
        <v>1593</v>
      </c>
      <c r="I1600" s="444">
        <f t="shared" ca="1" si="133"/>
        <v>-19467111.901004165</v>
      </c>
      <c r="J1600" s="444">
        <f t="array" ref="J1600">IFERROR(INDEX('Retirement Calculator'!J:J,MATCH('Isaac 401k'!N1600,'Retirement Calculator'!A:A,0),0),0)</f>
        <v>0</v>
      </c>
      <c r="K1600" s="444">
        <f t="shared" ca="1" si="131"/>
        <v>-81112.966254184023</v>
      </c>
      <c r="L1600" s="444">
        <f t="shared" ca="1" si="132"/>
        <v>-19548224.867258348</v>
      </c>
      <c r="M1600" s="460">
        <f t="shared" si="134"/>
        <v>0.05</v>
      </c>
      <c r="N1600" s="464">
        <f t="shared" si="135"/>
        <v>99745</v>
      </c>
    </row>
    <row r="1601" spans="7:14" ht="11.25" customHeight="1" x14ac:dyDescent="0.3">
      <c r="G1601" s="459"/>
      <c r="H1601" s="459">
        <v>1594</v>
      </c>
      <c r="I1601" s="444">
        <f t="shared" ca="1" si="133"/>
        <v>-19548224.867258348</v>
      </c>
      <c r="J1601" s="444">
        <f t="array" ref="J1601">IFERROR(INDEX('Retirement Calculator'!J:J,MATCH('Isaac 401k'!N1601,'Retirement Calculator'!A:A,0),0),0)</f>
        <v>0</v>
      </c>
      <c r="K1601" s="444">
        <f t="shared" ca="1" si="131"/>
        <v>-81450.936946909787</v>
      </c>
      <c r="L1601" s="444">
        <f t="shared" ca="1" si="132"/>
        <v>-19629675.804205257</v>
      </c>
      <c r="M1601" s="460">
        <f t="shared" si="134"/>
        <v>0.05</v>
      </c>
      <c r="N1601" s="464">
        <f t="shared" si="135"/>
        <v>99773</v>
      </c>
    </row>
    <row r="1602" spans="7:14" ht="11.25" customHeight="1" x14ac:dyDescent="0.3">
      <c r="G1602" s="459"/>
      <c r="H1602" s="459">
        <v>1595</v>
      </c>
      <c r="I1602" s="444">
        <f t="shared" ca="1" si="133"/>
        <v>-19629675.804205257</v>
      </c>
      <c r="J1602" s="444">
        <f t="array" ref="J1602">IFERROR(INDEX('Retirement Calculator'!J:J,MATCH('Isaac 401k'!N1602,'Retirement Calculator'!A:A,0),0),0)</f>
        <v>0</v>
      </c>
      <c r="K1602" s="444">
        <f t="shared" ca="1" si="131"/>
        <v>-81790.315850855244</v>
      </c>
      <c r="L1602" s="444">
        <f t="shared" ca="1" si="132"/>
        <v>-19711466.120056111</v>
      </c>
      <c r="M1602" s="460">
        <f t="shared" si="134"/>
        <v>0.05</v>
      </c>
      <c r="N1602" s="464">
        <f t="shared" si="135"/>
        <v>99804</v>
      </c>
    </row>
    <row r="1603" spans="7:14" ht="11.25" customHeight="1" x14ac:dyDescent="0.3">
      <c r="G1603" s="459"/>
      <c r="H1603" s="459">
        <v>1596</v>
      </c>
      <c r="I1603" s="444">
        <f t="shared" ca="1" si="133"/>
        <v>-19711466.120056111</v>
      </c>
      <c r="J1603" s="444">
        <f t="array" ref="J1603">IFERROR(INDEX('Retirement Calculator'!J:J,MATCH('Isaac 401k'!N1603,'Retirement Calculator'!A:A,0),0),0)</f>
        <v>0</v>
      </c>
      <c r="K1603" s="444">
        <f t="shared" ca="1" si="131"/>
        <v>-82131.108833567123</v>
      </c>
      <c r="L1603" s="444">
        <f t="shared" ca="1" si="132"/>
        <v>-19793597.228889678</v>
      </c>
      <c r="M1603" s="460">
        <f t="shared" si="134"/>
        <v>0.05</v>
      </c>
      <c r="N1603" s="464">
        <f t="shared" si="135"/>
        <v>99834</v>
      </c>
    </row>
    <row r="1604" spans="7:14" ht="11.25" customHeight="1" x14ac:dyDescent="0.3">
      <c r="G1604" s="459"/>
      <c r="H1604" s="459">
        <v>1597</v>
      </c>
      <c r="I1604" s="444">
        <f t="shared" ca="1" si="133"/>
        <v>-19793597.228889678</v>
      </c>
      <c r="J1604" s="444">
        <f t="array" ref="J1604">IFERROR(INDEX('Retirement Calculator'!J:J,MATCH('Isaac 401k'!N1604,'Retirement Calculator'!A:A,0),0),0)</f>
        <v>0</v>
      </c>
      <c r="K1604" s="444">
        <f t="shared" ca="1" si="131"/>
        <v>-82473.321787040317</v>
      </c>
      <c r="L1604" s="444">
        <f t="shared" ca="1" si="132"/>
        <v>-19876070.550676718</v>
      </c>
      <c r="M1604" s="460">
        <f t="shared" si="134"/>
        <v>0.05</v>
      </c>
      <c r="N1604" s="464">
        <f t="shared" si="135"/>
        <v>99865</v>
      </c>
    </row>
    <row r="1605" spans="7:14" ht="11.25" customHeight="1" x14ac:dyDescent="0.3">
      <c r="G1605" s="459"/>
      <c r="H1605" s="459">
        <v>1598</v>
      </c>
      <c r="I1605" s="444">
        <f t="shared" ca="1" si="133"/>
        <v>-19876070.550676718</v>
      </c>
      <c r="J1605" s="444">
        <f t="array" ref="J1605">IFERROR(INDEX('Retirement Calculator'!J:J,MATCH('Isaac 401k'!N1605,'Retirement Calculator'!A:A,0),0),0)</f>
        <v>0</v>
      </c>
      <c r="K1605" s="444">
        <f t="shared" ca="1" si="131"/>
        <v>-82816.960627819659</v>
      </c>
      <c r="L1605" s="444">
        <f t="shared" ca="1" si="132"/>
        <v>-19958887.511304539</v>
      </c>
      <c r="M1605" s="460">
        <f t="shared" si="134"/>
        <v>0.05</v>
      </c>
      <c r="N1605" s="464">
        <f t="shared" si="135"/>
        <v>99895</v>
      </c>
    </row>
    <row r="1606" spans="7:14" ht="11.25" customHeight="1" x14ac:dyDescent="0.3">
      <c r="G1606" s="459"/>
      <c r="H1606" s="459">
        <v>1599</v>
      </c>
      <c r="I1606" s="444">
        <f t="shared" ca="1" si="133"/>
        <v>-19958887.511304539</v>
      </c>
      <c r="J1606" s="444">
        <f t="array" ref="J1606">IFERROR(INDEX('Retirement Calculator'!J:J,MATCH('Isaac 401k'!N1606,'Retirement Calculator'!A:A,0),0),0)</f>
        <v>0</v>
      </c>
      <c r="K1606" s="444">
        <f t="shared" ca="1" si="131"/>
        <v>-83162.03129710225</v>
      </c>
      <c r="L1606" s="444">
        <f t="shared" ca="1" si="132"/>
        <v>-20042049.542601641</v>
      </c>
      <c r="M1606" s="460">
        <f t="shared" si="134"/>
        <v>0.05</v>
      </c>
      <c r="N1606" s="464">
        <f t="shared" si="135"/>
        <v>99926</v>
      </c>
    </row>
    <row r="1607" spans="7:14" ht="11.25" customHeight="1" x14ac:dyDescent="0.3">
      <c r="G1607" s="459"/>
      <c r="H1607" s="459">
        <v>1600</v>
      </c>
      <c r="I1607" s="444">
        <f t="shared" ca="1" si="133"/>
        <v>-20042049.542601641</v>
      </c>
      <c r="J1607" s="444">
        <f t="array" ref="J1607">IFERROR(INDEX('Retirement Calculator'!J:J,MATCH('Isaac 401k'!N1607,'Retirement Calculator'!A:A,0),0),0)</f>
        <v>0</v>
      </c>
      <c r="K1607" s="444">
        <f t="shared" ca="1" si="131"/>
        <v>-83508.539760840169</v>
      </c>
      <c r="L1607" s="444">
        <f t="shared" ca="1" si="132"/>
        <v>-20125558.08236248</v>
      </c>
      <c r="M1607" s="460">
        <f t="shared" si="134"/>
        <v>0.05</v>
      </c>
      <c r="N1607" s="464">
        <f t="shared" si="135"/>
        <v>99957</v>
      </c>
    </row>
    <row r="1608" spans="7:14" ht="11.25" customHeight="1" x14ac:dyDescent="0.3">
      <c r="G1608" s="459"/>
      <c r="H1608" s="459">
        <v>1601</v>
      </c>
      <c r="I1608" s="444">
        <f t="shared" ca="1" si="133"/>
        <v>-20125558.08236248</v>
      </c>
      <c r="J1608" s="444">
        <f t="array" ref="J1608">IFERROR(INDEX('Retirement Calculator'!J:J,MATCH('Isaac 401k'!N1608,'Retirement Calculator'!A:A,0),0),0)</f>
        <v>0</v>
      </c>
      <c r="K1608" s="444">
        <f t="shared" ca="1" si="131"/>
        <v>-83856.492009843671</v>
      </c>
      <c r="L1608" s="444">
        <f t="shared" ca="1" si="132"/>
        <v>-20209414.574372325</v>
      </c>
      <c r="M1608" s="460">
        <f t="shared" si="134"/>
        <v>0.05</v>
      </c>
      <c r="N1608" s="464">
        <f t="shared" si="135"/>
        <v>99987</v>
      </c>
    </row>
    <row r="1609" spans="7:14" ht="11.25" customHeight="1" x14ac:dyDescent="0.3">
      <c r="G1609" s="459"/>
      <c r="H1609" s="459">
        <v>1602</v>
      </c>
      <c r="I1609" s="444">
        <f t="shared" ca="1" si="133"/>
        <v>-20209414.574372325</v>
      </c>
      <c r="J1609" s="444">
        <f t="array" ref="J1609">IFERROR(INDEX('Retirement Calculator'!J:J,MATCH('Isaac 401k'!N1609,'Retirement Calculator'!A:A,0),0),0)</f>
        <v>0</v>
      </c>
      <c r="K1609" s="444">
        <f t="shared" ca="1" si="131"/>
        <v>-84205.894059884682</v>
      </c>
      <c r="L1609" s="444">
        <f t="shared" ca="1" si="132"/>
        <v>-20293620.46843221</v>
      </c>
      <c r="M1609" s="460">
        <f t="shared" si="134"/>
        <v>0.05</v>
      </c>
      <c r="N1609" s="464">
        <f t="shared" si="135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33"/>
        <v>-20293620.46843221</v>
      </c>
      <c r="J1610" s="444">
        <f t="array" ref="J1610">IFERROR(INDEX('Retirement Calculator'!J:J,MATCH('Isaac 401k'!N1610,'Retirement Calculator'!A:A,0),0),0)</f>
        <v>0</v>
      </c>
      <c r="K1610" s="444">
        <f t="shared" ca="1" si="131"/>
        <v>-84556.751951800878</v>
      </c>
      <c r="L1610" s="444">
        <f t="shared" ca="1" si="132"/>
        <v>-20378177.220384013</v>
      </c>
      <c r="M1610" s="460">
        <f t="shared" si="134"/>
        <v>0.05</v>
      </c>
      <c r="N1610" s="464">
        <f t="shared" si="135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33"/>
        <v>-20378177.220384013</v>
      </c>
      <c r="J1611" s="444">
        <f t="array" ref="J1611">IFERROR(INDEX('Retirement Calculator'!J:J,MATCH('Isaac 401k'!N1611,'Retirement Calculator'!A:A,0),0),0)</f>
        <v>0</v>
      </c>
      <c r="K1611" s="444">
        <f t="shared" ca="1" si="131"/>
        <v>-84909.071751600059</v>
      </c>
      <c r="L1611" s="444">
        <f t="shared" ca="1" si="132"/>
        <v>-20463086.292135611</v>
      </c>
      <c r="M1611" s="460">
        <f t="shared" si="134"/>
        <v>0.05</v>
      </c>
      <c r="N1611" s="464">
        <f t="shared" si="135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33"/>
        <v>-20463086.292135611</v>
      </c>
      <c r="J1612" s="444">
        <f t="array" ref="J1612">IFERROR(INDEX('Retirement Calculator'!J:J,MATCH('Isaac 401k'!N1612,'Retirement Calculator'!A:A,0),0),0)</f>
        <v>0</v>
      </c>
      <c r="K1612" s="444">
        <f t="shared" ca="1" si="131"/>
        <v>-85262.859550565045</v>
      </c>
      <c r="L1612" s="444">
        <f t="shared" ca="1" si="132"/>
        <v>-20548349.151686177</v>
      </c>
      <c r="M1612" s="460">
        <f t="shared" si="134"/>
        <v>0.05</v>
      </c>
      <c r="N1612" s="464">
        <f t="shared" si="135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33"/>
        <v>-20548349.151686177</v>
      </c>
      <c r="J1613" s="444">
        <f t="array" ref="J1613">IFERROR(INDEX('Retirement Calculator'!J:J,MATCH('Isaac 401k'!N1613,'Retirement Calculator'!A:A,0),0),0)</f>
        <v>0</v>
      </c>
      <c r="K1613" s="444">
        <f t="shared" ca="1" si="131"/>
        <v>-85618.121465359072</v>
      </c>
      <c r="L1613" s="444">
        <f t="shared" ca="1" si="132"/>
        <v>-20633967.273151536</v>
      </c>
      <c r="M1613" s="460">
        <f t="shared" si="134"/>
        <v>0.05</v>
      </c>
      <c r="N1613" s="464">
        <f t="shared" si="135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33"/>
        <v>-20633967.273151536</v>
      </c>
      <c r="J1614" s="444">
        <f t="array" ref="J1614">IFERROR(INDEX('Retirement Calculator'!J:J,MATCH('Isaac 401k'!N1614,'Retirement Calculator'!A:A,0),0),0)</f>
        <v>0</v>
      </c>
      <c r="K1614" s="444">
        <f t="shared" ca="1" si="131"/>
        <v>-85974.863638131399</v>
      </c>
      <c r="L1614" s="444">
        <f t="shared" ca="1" si="132"/>
        <v>-20719942.136789668</v>
      </c>
      <c r="M1614" s="460">
        <f t="shared" si="134"/>
        <v>0.05</v>
      </c>
      <c r="N1614" s="464">
        <f t="shared" si="135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33"/>
        <v>-20719942.136789668</v>
      </c>
      <c r="J1615" s="444">
        <f t="array" ref="J1615">IFERROR(INDEX('Retirement Calculator'!J:J,MATCH('Isaac 401k'!N1615,'Retirement Calculator'!A:A,0),0),0)</f>
        <v>0</v>
      </c>
      <c r="K1615" s="444">
        <f t="shared" ca="1" si="131"/>
        <v>-86333.092236623619</v>
      </c>
      <c r="L1615" s="444">
        <f t="shared" ca="1" si="132"/>
        <v>-20806275.229026292</v>
      </c>
      <c r="M1615" s="460">
        <f t="shared" si="134"/>
        <v>0.05</v>
      </c>
      <c r="N1615" s="464">
        <f t="shared" si="135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33"/>
        <v>-20806275.229026292</v>
      </c>
      <c r="J1616" s="444">
        <f t="array" ref="J1616">IFERROR(INDEX('Retirement Calculator'!J:J,MATCH('Isaac 401k'!N1616,'Retirement Calculator'!A:A,0),0),0)</f>
        <v>0</v>
      </c>
      <c r="K1616" s="444">
        <f t="shared" ca="1" si="131"/>
        <v>-86692.813454276213</v>
      </c>
      <c r="L1616" s="444">
        <f t="shared" ca="1" si="132"/>
        <v>-20892968.042480569</v>
      </c>
      <c r="M1616" s="460">
        <f t="shared" si="134"/>
        <v>0.05</v>
      </c>
      <c r="N1616" s="464">
        <f t="shared" si="135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33"/>
        <v>-20892968.042480569</v>
      </c>
      <c r="J1617" s="444">
        <f t="array" ref="J1617">IFERROR(INDEX('Retirement Calculator'!J:J,MATCH('Isaac 401k'!N1617,'Retirement Calculator'!A:A,0),0),0)</f>
        <v>0</v>
      </c>
      <c r="K1617" s="444">
        <f t="shared" ca="1" si="131"/>
        <v>-87054.033510335707</v>
      </c>
      <c r="L1617" s="444">
        <f t="shared" ca="1" si="132"/>
        <v>-20980022.075990904</v>
      </c>
      <c r="M1617" s="460">
        <f t="shared" si="134"/>
        <v>0.05</v>
      </c>
      <c r="N1617" s="464">
        <f t="shared" si="135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33"/>
        <v>-20980022.075990904</v>
      </c>
      <c r="J1618" s="444">
        <f t="array" ref="J1618">IFERROR(INDEX('Retirement Calculator'!J:J,MATCH('Isaac 401k'!N1618,'Retirement Calculator'!A:A,0),0),0)</f>
        <v>0</v>
      </c>
      <c r="K1618" s="444">
        <f t="shared" ca="1" si="131"/>
        <v>-87416.758649962096</v>
      </c>
      <c r="L1618" s="444">
        <f t="shared" ca="1" si="132"/>
        <v>-21067438.834640868</v>
      </c>
      <c r="M1618" s="460">
        <f t="shared" si="134"/>
        <v>0.05</v>
      </c>
      <c r="N1618" s="464">
        <f t="shared" si="135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33"/>
        <v>-21067438.834640868</v>
      </c>
      <c r="J1619" s="444">
        <f t="array" ref="J1619">IFERROR(INDEX('Retirement Calculator'!J:J,MATCH('Isaac 401k'!N1619,'Retirement Calculator'!A:A,0),0),0)</f>
        <v>0</v>
      </c>
      <c r="K1619" s="444">
        <f t="shared" ca="1" si="131"/>
        <v>-87780.99514433695</v>
      </c>
      <c r="L1619" s="444">
        <f t="shared" ca="1" si="132"/>
        <v>-21155219.829785205</v>
      </c>
      <c r="M1619" s="460">
        <f t="shared" si="134"/>
        <v>0.05</v>
      </c>
      <c r="N1619" s="464">
        <f t="shared" si="135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33"/>
        <v>-21155219.829785205</v>
      </c>
      <c r="J1620" s="444">
        <f t="array" ref="J1620">IFERROR(INDEX('Retirement Calculator'!J:J,MATCH('Isaac 401k'!N1620,'Retirement Calculator'!A:A,0),0),0)</f>
        <v>0</v>
      </c>
      <c r="K1620" s="444">
        <f t="shared" ca="1" si="131"/>
        <v>-88146.749290771695</v>
      </c>
      <c r="L1620" s="444">
        <f t="shared" ca="1" si="132"/>
        <v>-21243366.579075977</v>
      </c>
      <c r="M1620" s="460">
        <f t="shared" si="134"/>
        <v>0.05</v>
      </c>
      <c r="N1620" s="464">
        <f t="shared" si="135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33"/>
        <v>-21243366.579075977</v>
      </c>
      <c r="J1621" s="444">
        <f t="array" ref="J1621">IFERROR(INDEX('Retirement Calculator'!J:J,MATCH('Isaac 401k'!N1621,'Retirement Calculator'!A:A,0),0),0)</f>
        <v>0</v>
      </c>
      <c r="K1621" s="444">
        <f t="shared" ca="1" si="131"/>
        <v>-88514.027412816577</v>
      </c>
      <c r="L1621" s="444">
        <f t="shared" ca="1" si="132"/>
        <v>-21331880.606488794</v>
      </c>
      <c r="M1621" s="460">
        <f t="shared" si="134"/>
        <v>0.05</v>
      </c>
      <c r="N1621" s="464">
        <f t="shared" si="135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33"/>
        <v>-21331880.606488794</v>
      </c>
      <c r="J1622" s="444">
        <f t="array" ref="J1622">IFERROR(INDEX('Retirement Calculator'!J:J,MATCH('Isaac 401k'!N1622,'Retirement Calculator'!A:A,0),0),0)</f>
        <v>0</v>
      </c>
      <c r="K1622" s="444">
        <f t="shared" ca="1" si="131"/>
        <v>-88882.835860369974</v>
      </c>
      <c r="L1622" s="444">
        <f t="shared" ca="1" si="132"/>
        <v>-21420763.442349166</v>
      </c>
      <c r="M1622" s="460">
        <f t="shared" si="134"/>
        <v>0.05</v>
      </c>
      <c r="N1622" s="464">
        <f t="shared" si="135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33"/>
        <v>-21420763.442349166</v>
      </c>
      <c r="J1623" s="444">
        <f t="array" ref="J1623">IFERROR(INDEX('Retirement Calculator'!J:J,MATCH('Isaac 401k'!N1623,'Retirement Calculator'!A:A,0),0),0)</f>
        <v>0</v>
      </c>
      <c r="K1623" s="444">
        <f t="shared" ca="1" si="131"/>
        <v>-89253.181009788183</v>
      </c>
      <c r="L1623" s="444">
        <f t="shared" ca="1" si="132"/>
        <v>-21510016.623358954</v>
      </c>
      <c r="M1623" s="460">
        <f t="shared" si="134"/>
        <v>0.05</v>
      </c>
      <c r="N1623" s="464">
        <f t="shared" si="135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33"/>
        <v>-21510016.623358954</v>
      </c>
      <c r="J1624" s="444">
        <f t="array" ref="J1624">IFERROR(INDEX('Retirement Calculator'!J:J,MATCH('Isaac 401k'!N1624,'Retirement Calculator'!A:A,0),0),0)</f>
        <v>0</v>
      </c>
      <c r="K1624" s="444">
        <f t="shared" ca="1" si="131"/>
        <v>-89625.06926399564</v>
      </c>
      <c r="L1624" s="444">
        <f t="shared" ca="1" si="132"/>
        <v>-21599641.692622948</v>
      </c>
      <c r="M1624" s="460">
        <f t="shared" si="134"/>
        <v>0.05</v>
      </c>
      <c r="N1624" s="464">
        <f t="shared" si="135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33"/>
        <v>-21599641.692622948</v>
      </c>
      <c r="J1625" s="444">
        <f t="array" ref="J1625">IFERROR(INDEX('Retirement Calculator'!J:J,MATCH('Isaac 401k'!N1625,'Retirement Calculator'!A:A,0),0),0)</f>
        <v>0</v>
      </c>
      <c r="K1625" s="444">
        <f t="shared" ca="1" si="131"/>
        <v>-89998.507052595611</v>
      </c>
      <c r="L1625" s="444">
        <f t="shared" ca="1" si="132"/>
        <v>-21689640.199675545</v>
      </c>
      <c r="M1625" s="460">
        <f t="shared" si="134"/>
        <v>0.05</v>
      </c>
      <c r="N1625" s="464">
        <f t="shared" si="135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33"/>
        <v>-21689640.199675545</v>
      </c>
      <c r="J1626" s="444">
        <f t="array" ref="J1626">IFERROR(INDEX('Retirement Calculator'!J:J,MATCH('Isaac 401k'!N1626,'Retirement Calculator'!A:A,0),0),0)</f>
        <v>0</v>
      </c>
      <c r="K1626" s="444">
        <f t="shared" ca="1" si="131"/>
        <v>-90373.500831981437</v>
      </c>
      <c r="L1626" s="444">
        <f t="shared" ca="1" si="132"/>
        <v>-21780013.700507525</v>
      </c>
      <c r="M1626" s="460">
        <f t="shared" si="134"/>
        <v>0.05</v>
      </c>
      <c r="N1626" s="464">
        <f t="shared" si="135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33"/>
        <v>-21780013.700507525</v>
      </c>
      <c r="J1627" s="444">
        <f t="array" ref="J1627">IFERROR(INDEX('Retirement Calculator'!J:J,MATCH('Isaac 401k'!N1627,'Retirement Calculator'!A:A,0),0),0)</f>
        <v>0</v>
      </c>
      <c r="K1627" s="444">
        <f t="shared" ca="1" si="131"/>
        <v>-90750.057085448017</v>
      </c>
      <c r="L1627" s="444">
        <f t="shared" ca="1" si="132"/>
        <v>-21870763.757592972</v>
      </c>
      <c r="M1627" s="460">
        <f t="shared" si="134"/>
        <v>0.05</v>
      </c>
      <c r="N1627" s="464">
        <f t="shared" si="135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33"/>
        <v>-21870763.757592972</v>
      </c>
      <c r="J1628" s="444">
        <f t="array" ref="J1628">IFERROR(INDEX('Retirement Calculator'!J:J,MATCH('Isaac 401k'!N1628,'Retirement Calculator'!A:A,0),0),0)</f>
        <v>0</v>
      </c>
      <c r="K1628" s="444">
        <f t="shared" ca="1" si="131"/>
        <v>-91128.182323304049</v>
      </c>
      <c r="L1628" s="444">
        <f t="shared" ca="1" si="132"/>
        <v>-21961891.939916275</v>
      </c>
      <c r="M1628" s="460">
        <f t="shared" si="134"/>
        <v>0.05</v>
      </c>
      <c r="N1628" s="464">
        <f t="shared" si="135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33"/>
        <v>-21961891.939916275</v>
      </c>
      <c r="J1629" s="444">
        <f t="array" ref="J1629">IFERROR(INDEX('Retirement Calculator'!J:J,MATCH('Isaac 401k'!N1629,'Retirement Calculator'!A:A,0),0),0)</f>
        <v>0</v>
      </c>
      <c r="K1629" s="444">
        <f t="shared" ca="1" si="131"/>
        <v>-91507.883082984481</v>
      </c>
      <c r="L1629" s="444">
        <f t="shared" ca="1" si="132"/>
        <v>-22053399.822999261</v>
      </c>
      <c r="M1629" s="460">
        <f t="shared" si="134"/>
        <v>0.05</v>
      </c>
      <c r="N1629" s="464">
        <f t="shared" si="135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33"/>
        <v>-22053399.822999261</v>
      </c>
      <c r="J1630" s="444">
        <f t="array" ref="J1630">IFERROR(INDEX('Retirement Calculator'!J:J,MATCH('Isaac 401k'!N1630,'Retirement Calculator'!A:A,0),0),0)</f>
        <v>0</v>
      </c>
      <c r="K1630" s="444">
        <f t="shared" ca="1" si="131"/>
        <v>-91889.165929163588</v>
      </c>
      <c r="L1630" s="444">
        <f t="shared" ca="1" si="132"/>
        <v>-22145288.988928426</v>
      </c>
      <c r="M1630" s="460">
        <f t="shared" si="134"/>
        <v>0.05</v>
      </c>
      <c r="N1630" s="464">
        <f t="shared" si="135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33"/>
        <v>-22145288.988928426</v>
      </c>
      <c r="J1631" s="444">
        <f t="array" ref="J1631">IFERROR(INDEX('Retirement Calculator'!J:J,MATCH('Isaac 401k'!N1631,'Retirement Calculator'!A:A,0),0),0)</f>
        <v>0</v>
      </c>
      <c r="K1631" s="444">
        <f t="shared" ca="1" si="131"/>
        <v>-92272.037453868441</v>
      </c>
      <c r="L1631" s="444">
        <f t="shared" ca="1" si="132"/>
        <v>-22237561.026382294</v>
      </c>
      <c r="M1631" s="460">
        <f t="shared" si="134"/>
        <v>0.05</v>
      </c>
      <c r="N1631" s="464">
        <f t="shared" si="135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33"/>
        <v>-22237561.026382294</v>
      </c>
      <c r="J1632" s="444">
        <f t="array" ref="J1632">IFERROR(INDEX('Retirement Calculator'!J:J,MATCH('Isaac 401k'!N1632,'Retirement Calculator'!A:A,0),0),0)</f>
        <v>0</v>
      </c>
      <c r="K1632" s="444">
        <f t="shared" ca="1" si="131"/>
        <v>-92656.504276592896</v>
      </c>
      <c r="L1632" s="444">
        <f t="shared" ca="1" si="132"/>
        <v>-22330217.530658886</v>
      </c>
      <c r="M1632" s="460">
        <f t="shared" si="134"/>
        <v>0.05</v>
      </c>
      <c r="N1632" s="464">
        <f t="shared" si="135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33"/>
        <v>-22330217.530658886</v>
      </c>
      <c r="J1633" s="444">
        <f t="array" ref="J1633">IFERROR(INDEX('Retirement Calculator'!J:J,MATCH('Isaac 401k'!N1633,'Retirement Calculator'!A:A,0),0),0)</f>
        <v>0</v>
      </c>
      <c r="K1633" s="444">
        <f t="shared" ca="1" si="131"/>
        <v>-93042.573044412027</v>
      </c>
      <c r="L1633" s="444">
        <f t="shared" ca="1" si="132"/>
        <v>-22423260.103703298</v>
      </c>
      <c r="M1633" s="460">
        <f t="shared" si="134"/>
        <v>0.05</v>
      </c>
      <c r="N1633" s="464">
        <f t="shared" si="135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33"/>
        <v>-22423260.103703298</v>
      </c>
      <c r="J1634" s="444">
        <f t="array" ref="J1634">IFERROR(INDEX('Retirement Calculator'!J:J,MATCH('Isaac 401k'!N1634,'Retirement Calculator'!A:A,0),0),0)</f>
        <v>0</v>
      </c>
      <c r="K1634" s="444">
        <f t="shared" ca="1" si="131"/>
        <v>-93430.250432097077</v>
      </c>
      <c r="L1634" s="444">
        <f t="shared" ca="1" si="132"/>
        <v>-22516690.354135394</v>
      </c>
      <c r="M1634" s="460">
        <f t="shared" si="134"/>
        <v>0.05</v>
      </c>
      <c r="N1634" s="464">
        <f t="shared" si="135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33"/>
        <v>-22516690.354135394</v>
      </c>
      <c r="J1635" s="444">
        <f t="array" ref="J1635">IFERROR(INDEX('Retirement Calculator'!J:J,MATCH('Isaac 401k'!N1635,'Retirement Calculator'!A:A,0),0),0)</f>
        <v>0</v>
      </c>
      <c r="K1635" s="444">
        <f t="shared" ca="1" si="131"/>
        <v>-93819.543142230803</v>
      </c>
      <c r="L1635" s="444">
        <f t="shared" ca="1" si="132"/>
        <v>-22610509.897277623</v>
      </c>
      <c r="M1635" s="460">
        <f t="shared" si="134"/>
        <v>0.05</v>
      </c>
      <c r="N1635" s="464">
        <f t="shared" si="135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33"/>
        <v>-22610509.897277623</v>
      </c>
      <c r="J1636" s="444">
        <f t="array" ref="J1636">IFERROR(INDEX('Retirement Calculator'!J:J,MATCH('Isaac 401k'!N1636,'Retirement Calculator'!A:A,0),0),0)</f>
        <v>0</v>
      </c>
      <c r="K1636" s="444">
        <f t="shared" ca="1" si="131"/>
        <v>-94210.457905323434</v>
      </c>
      <c r="L1636" s="444">
        <f t="shared" ca="1" si="132"/>
        <v>-22704720.355182946</v>
      </c>
      <c r="M1636" s="460">
        <f t="shared" si="134"/>
        <v>0.05</v>
      </c>
      <c r="N1636" s="464">
        <f t="shared" si="135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33"/>
        <v>-22704720.355182946</v>
      </c>
      <c r="J1637" s="444">
        <f t="array" ref="J1637">IFERROR(INDEX('Retirement Calculator'!J:J,MATCH('Isaac 401k'!N1637,'Retirement Calculator'!A:A,0),0),0)</f>
        <v>0</v>
      </c>
      <c r="K1637" s="444">
        <f t="shared" ca="1" si="131"/>
        <v>-94603.001479928935</v>
      </c>
      <c r="L1637" s="444">
        <f t="shared" ca="1" si="132"/>
        <v>-22799323.356662873</v>
      </c>
      <c r="M1637" s="460">
        <f t="shared" si="134"/>
        <v>0.05</v>
      </c>
      <c r="N1637" s="464">
        <f t="shared" si="135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33"/>
        <v>-22799323.356662873</v>
      </c>
      <c r="J1638" s="444">
        <f t="array" ref="J1638">IFERROR(INDEX('Retirement Calculator'!J:J,MATCH('Isaac 401k'!N1638,'Retirement Calculator'!A:A,0),0),0)</f>
        <v>0</v>
      </c>
      <c r="K1638" s="444">
        <f t="shared" ca="1" si="131"/>
        <v>-94997.180652761977</v>
      </c>
      <c r="L1638" s="444">
        <f t="shared" ca="1" si="132"/>
        <v>-22894320.537315637</v>
      </c>
      <c r="M1638" s="460">
        <f t="shared" si="134"/>
        <v>0.05</v>
      </c>
      <c r="N1638" s="464">
        <f t="shared" si="135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33"/>
        <v>-22894320.537315637</v>
      </c>
      <c r="J1639" s="444">
        <f t="array" ref="J1639">IFERROR(INDEX('Retirement Calculator'!J:J,MATCH('Isaac 401k'!N1639,'Retirement Calculator'!A:A,0),0),0)</f>
        <v>0</v>
      </c>
      <c r="K1639" s="444">
        <f t="shared" ca="1" si="131"/>
        <v>-95393.002238815156</v>
      </c>
      <c r="L1639" s="444">
        <f t="shared" ca="1" si="132"/>
        <v>-22989713.539554451</v>
      </c>
      <c r="M1639" s="460">
        <f t="shared" si="134"/>
        <v>0.05</v>
      </c>
      <c r="N1639" s="464">
        <f t="shared" si="135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33"/>
        <v>-22989713.539554451</v>
      </c>
      <c r="J1640" s="444">
        <f t="array" ref="J1640">IFERROR(INDEX('Retirement Calculator'!J:J,MATCH('Isaac 401k'!N1640,'Retirement Calculator'!A:A,0),0),0)</f>
        <v>0</v>
      </c>
      <c r="K1640" s="444">
        <f t="shared" ca="1" si="131"/>
        <v>-95790.47308147687</v>
      </c>
      <c r="L1640" s="444">
        <f t="shared" ca="1" si="132"/>
        <v>-23085504.012635928</v>
      </c>
      <c r="M1640" s="460">
        <f t="shared" si="134"/>
        <v>0.05</v>
      </c>
      <c r="N1640" s="464">
        <f t="shared" si="135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33"/>
        <v>-23085504.012635928</v>
      </c>
      <c r="J1641" s="444">
        <f t="array" ref="J1641">IFERROR(INDEX('Retirement Calculator'!J:J,MATCH('Isaac 401k'!N1641,'Retirement Calculator'!A:A,0),0),0)</f>
        <v>0</v>
      </c>
      <c r="K1641" s="444">
        <f t="shared" ca="1" si="131"/>
        <v>-96189.600052649694</v>
      </c>
      <c r="L1641" s="444">
        <f t="shared" ca="1" si="132"/>
        <v>-23181693.612688579</v>
      </c>
      <c r="M1641" s="460">
        <f t="shared" si="134"/>
        <v>0.05</v>
      </c>
      <c r="N1641" s="464">
        <f t="shared" si="135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33"/>
        <v>-23181693.612688579</v>
      </c>
      <c r="J1642" s="444">
        <f t="array" ref="J1642">IFERROR(INDEX('Retirement Calculator'!J:J,MATCH('Isaac 401k'!N1642,'Retirement Calculator'!A:A,0),0),0)</f>
        <v>0</v>
      </c>
      <c r="K1642" s="444">
        <f t="shared" ca="1" si="131"/>
        <v>-96590.390052869072</v>
      </c>
      <c r="L1642" s="444">
        <f t="shared" ca="1" si="132"/>
        <v>-23278284.002741449</v>
      </c>
      <c r="M1642" s="460">
        <f t="shared" si="134"/>
        <v>0.05</v>
      </c>
      <c r="N1642" s="464">
        <f t="shared" si="135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33"/>
        <v>-23278284.002741449</v>
      </c>
      <c r="J1643" s="444">
        <f t="array" ref="J1643">IFERROR(INDEX('Retirement Calculator'!J:J,MATCH('Isaac 401k'!N1643,'Retirement Calculator'!A:A,0),0),0)</f>
        <v>0</v>
      </c>
      <c r="K1643" s="444">
        <f t="shared" ca="1" si="131"/>
        <v>-96992.850011422706</v>
      </c>
      <c r="L1643" s="444">
        <f t="shared" ca="1" si="132"/>
        <v>-23375276.852752872</v>
      </c>
      <c r="M1643" s="460">
        <f t="shared" si="134"/>
        <v>0.05</v>
      </c>
      <c r="N1643" s="464">
        <f t="shared" si="135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33"/>
        <v>-23375276.852752872</v>
      </c>
      <c r="J1644" s="444">
        <f t="array" ref="J1644">IFERROR(INDEX('Retirement Calculator'!J:J,MATCH('Isaac 401k'!N1644,'Retirement Calculator'!A:A,0),0),0)</f>
        <v>0</v>
      </c>
      <c r="K1644" s="444">
        <f t="shared" ca="1" si="131"/>
        <v>-97396.986886470302</v>
      </c>
      <c r="L1644" s="444">
        <f t="shared" ca="1" si="132"/>
        <v>-23472673.839639343</v>
      </c>
      <c r="M1644" s="460">
        <f t="shared" si="134"/>
        <v>0.05</v>
      </c>
      <c r="N1644" s="464">
        <f t="shared" si="135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33"/>
        <v>-23472673.839639343</v>
      </c>
      <c r="J1645" s="444">
        <f t="array" ref="J1645">IFERROR(INDEX('Retirement Calculator'!J:J,MATCH('Isaac 401k'!N1645,'Retirement Calculator'!A:A,0),0),0)</f>
        <v>0</v>
      </c>
      <c r="K1645" s="444">
        <f t="shared" ca="1" si="131"/>
        <v>-97802.807665163928</v>
      </c>
      <c r="L1645" s="444">
        <f t="shared" ca="1" si="132"/>
        <v>-23570476.647304509</v>
      </c>
      <c r="M1645" s="460">
        <f t="shared" si="134"/>
        <v>0.05</v>
      </c>
      <c r="N1645" s="464">
        <f t="shared" si="135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33"/>
        <v>-23570476.647304509</v>
      </c>
      <c r="J1646" s="444">
        <f t="array" ref="J1646">IFERROR(INDEX('Retirement Calculator'!J:J,MATCH('Isaac 401k'!N1646,'Retirement Calculator'!A:A,0),0),0)</f>
        <v>0</v>
      </c>
      <c r="K1646" s="444">
        <f t="shared" ca="1" si="131"/>
        <v>-98210.31936376878</v>
      </c>
      <c r="L1646" s="444">
        <f t="shared" ca="1" si="132"/>
        <v>-23668686.966668278</v>
      </c>
      <c r="M1646" s="460">
        <f t="shared" si="134"/>
        <v>0.05</v>
      </c>
      <c r="N1646" s="464">
        <f t="shared" si="135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33"/>
        <v>-23668686.966668278</v>
      </c>
      <c r="J1647" s="444">
        <f t="array" ref="J1647">IFERROR(INDEX('Retirement Calculator'!J:J,MATCH('Isaac 401k'!N1647,'Retirement Calculator'!A:A,0),0),0)</f>
        <v>0</v>
      </c>
      <c r="K1647" s="444">
        <f t="shared" ca="1" si="131"/>
        <v>-98619.529027784491</v>
      </c>
      <c r="L1647" s="444">
        <f t="shared" ca="1" si="132"/>
        <v>-23767306.495696064</v>
      </c>
      <c r="M1647" s="460">
        <f t="shared" si="134"/>
        <v>0.05</v>
      </c>
      <c r="N1647" s="464">
        <f t="shared" si="135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33"/>
        <v>-23767306.495696064</v>
      </c>
      <c r="J1648" s="444">
        <f t="array" ref="J1648">IFERROR(INDEX('Retirement Calculator'!J:J,MATCH('Isaac 401k'!N1648,'Retirement Calculator'!A:A,0),0),0)</f>
        <v>0</v>
      </c>
      <c r="K1648" s="444">
        <f t="shared" ca="1" si="131"/>
        <v>-99030.443732066939</v>
      </c>
      <c r="L1648" s="444">
        <f t="shared" ca="1" si="132"/>
        <v>-23866336.939428132</v>
      </c>
      <c r="M1648" s="460">
        <f t="shared" si="134"/>
        <v>0.05</v>
      </c>
      <c r="N1648" s="464">
        <f t="shared" si="135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33"/>
        <v>-23866336.939428132</v>
      </c>
      <c r="J1649" s="444">
        <f t="array" ref="J1649">IFERROR(INDEX('Retirement Calculator'!J:J,MATCH('Isaac 401k'!N1649,'Retirement Calculator'!A:A,0),0),0)</f>
        <v>0</v>
      </c>
      <c r="K1649" s="444">
        <f t="shared" ca="1" si="131"/>
        <v>-99443.070580950545</v>
      </c>
      <c r="L1649" s="444">
        <f t="shared" ca="1" si="132"/>
        <v>-23965780.010009084</v>
      </c>
      <c r="M1649" s="460">
        <f t="shared" si="134"/>
        <v>0.05</v>
      </c>
      <c r="N1649" s="464">
        <f t="shared" si="135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33"/>
        <v>-23965780.010009084</v>
      </c>
      <c r="J1650" s="444">
        <f t="array" ref="J1650">IFERROR(INDEX('Retirement Calculator'!J:J,MATCH('Isaac 401k'!N1650,'Retirement Calculator'!A:A,0),0),0)</f>
        <v>0</v>
      </c>
      <c r="K1650" s="444">
        <f t="shared" ca="1" si="131"/>
        <v>-99857.41670837118</v>
      </c>
      <c r="L1650" s="444">
        <f t="shared" ca="1" si="132"/>
        <v>-24065637.426717456</v>
      </c>
      <c r="M1650" s="460">
        <f t="shared" si="134"/>
        <v>0.05</v>
      </c>
      <c r="N1650" s="464">
        <f t="shared" si="135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33"/>
        <v>-24065637.426717456</v>
      </c>
      <c r="J1651" s="444">
        <f t="array" ref="J1651">IFERROR(INDEX('Retirement Calculator'!J:J,MATCH('Isaac 401k'!N1651,'Retirement Calculator'!A:A,0),0),0)</f>
        <v>0</v>
      </c>
      <c r="K1651" s="444">
        <f t="shared" ca="1" si="131"/>
        <v>-100273.4892779894</v>
      </c>
      <c r="L1651" s="444">
        <f t="shared" ca="1" si="132"/>
        <v>-24165910.915995445</v>
      </c>
      <c r="M1651" s="460">
        <f t="shared" si="134"/>
        <v>0.05</v>
      </c>
      <c r="N1651" s="464">
        <f t="shared" si="135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33"/>
        <v>-24165910.915995445</v>
      </c>
      <c r="J1652" s="444">
        <f t="array" ref="J1652">IFERROR(INDEX('Retirement Calculator'!J:J,MATCH('Isaac 401k'!N1652,'Retirement Calculator'!A:A,0),0),0)</f>
        <v>0</v>
      </c>
      <c r="K1652" s="444">
        <f t="shared" ca="1" si="131"/>
        <v>-100691.29548331436</v>
      </c>
      <c r="L1652" s="444">
        <f t="shared" ca="1" si="132"/>
        <v>-24266602.211478759</v>
      </c>
      <c r="M1652" s="460">
        <f t="shared" si="134"/>
        <v>0.05</v>
      </c>
      <c r="N1652" s="464">
        <f t="shared" si="135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33"/>
        <v>-24266602.211478759</v>
      </c>
      <c r="J1653" s="444">
        <f t="array" ref="J1653">IFERROR(INDEX('Retirement Calculator'!J:J,MATCH('Isaac 401k'!N1653,'Retirement Calculator'!A:A,0),0),0)</f>
        <v>0</v>
      </c>
      <c r="K1653" s="444">
        <f t="shared" ca="1" si="131"/>
        <v>-101110.84254782816</v>
      </c>
      <c r="L1653" s="444">
        <f t="shared" ca="1" si="132"/>
        <v>-24367713.054026585</v>
      </c>
      <c r="M1653" s="460">
        <f t="shared" si="134"/>
        <v>0.05</v>
      </c>
      <c r="N1653" s="464">
        <f t="shared" si="135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33"/>
        <v>-24367713.054026585</v>
      </c>
      <c r="J1654" s="444">
        <f t="array" ref="J1654">IFERROR(INDEX('Retirement Calculator'!J:J,MATCH('Isaac 401k'!N1654,'Retirement Calculator'!A:A,0),0),0)</f>
        <v>0</v>
      </c>
      <c r="K1654" s="444">
        <f t="shared" ca="1" si="131"/>
        <v>-101532.13772511078</v>
      </c>
      <c r="L1654" s="444">
        <f t="shared" ca="1" si="132"/>
        <v>-24469245.191751696</v>
      </c>
      <c r="M1654" s="460">
        <f t="shared" si="134"/>
        <v>0.05</v>
      </c>
      <c r="N1654" s="464">
        <f t="shared" si="135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33"/>
        <v>-24469245.191751696</v>
      </c>
      <c r="J1655" s="444">
        <f t="array" ref="J1655">IFERROR(INDEX('Retirement Calculator'!J:J,MATCH('Isaac 401k'!N1655,'Retirement Calculator'!A:A,0),0),0)</f>
        <v>0</v>
      </c>
      <c r="K1655" s="444">
        <f t="shared" ca="1" si="131"/>
        <v>-101955.1882989654</v>
      </c>
      <c r="L1655" s="444">
        <f t="shared" ca="1" si="132"/>
        <v>-24571200.380050663</v>
      </c>
      <c r="M1655" s="460">
        <f t="shared" si="134"/>
        <v>0.05</v>
      </c>
      <c r="N1655" s="464">
        <f t="shared" si="135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33"/>
        <v>-24571200.380050663</v>
      </c>
      <c r="J1656" s="444">
        <f t="array" ref="J1656">IFERROR(INDEX('Retirement Calculator'!J:J,MATCH('Isaac 401k'!N1656,'Retirement Calculator'!A:A,0),0),0)</f>
        <v>0</v>
      </c>
      <c r="K1656" s="444">
        <f t="shared" ca="1" si="131"/>
        <v>-102380.00158354442</v>
      </c>
      <c r="L1656" s="444">
        <f t="shared" ca="1" si="132"/>
        <v>-24673580.381634206</v>
      </c>
      <c r="M1656" s="460">
        <f t="shared" si="134"/>
        <v>0.05</v>
      </c>
      <c r="N1656" s="464">
        <f t="shared" si="135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33"/>
        <v>-24673580.381634206</v>
      </c>
      <c r="J1657" s="444">
        <f t="array" ref="J1657">IFERROR(INDEX('Retirement Calculator'!J:J,MATCH('Isaac 401k'!N1657,'Retirement Calculator'!A:A,0),0),0)</f>
        <v>0</v>
      </c>
      <c r="K1657" s="444">
        <f t="shared" ca="1" si="131"/>
        <v>-102806.58492347585</v>
      </c>
      <c r="L1657" s="444">
        <f t="shared" ca="1" si="132"/>
        <v>-24776386.966557682</v>
      </c>
      <c r="M1657" s="460">
        <f t="shared" si="134"/>
        <v>0.05</v>
      </c>
      <c r="N1657" s="464">
        <f t="shared" si="135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33"/>
        <v>-24776386.966557682</v>
      </c>
      <c r="J1658" s="444">
        <f t="array" ref="J1658">IFERROR(INDEX('Retirement Calculator'!J:J,MATCH('Isaac 401k'!N1658,'Retirement Calculator'!A:A,0),0),0)</f>
        <v>0</v>
      </c>
      <c r="K1658" s="444">
        <f t="shared" ca="1" si="131"/>
        <v>-103234.94569399033</v>
      </c>
      <c r="L1658" s="444">
        <f t="shared" ca="1" si="132"/>
        <v>-24879621.912251674</v>
      </c>
      <c r="M1658" s="460">
        <f t="shared" si="134"/>
        <v>0.05</v>
      </c>
      <c r="N1658" s="464">
        <f t="shared" si="135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33"/>
        <v>-24879621.912251674</v>
      </c>
      <c r="J1659" s="444">
        <f t="array" ref="J1659">IFERROR(INDEX('Retirement Calculator'!J:J,MATCH('Isaac 401k'!N1659,'Retirement Calculator'!A:A,0),0),0)</f>
        <v>0</v>
      </c>
      <c r="K1659" s="444">
        <f t="shared" ca="1" si="131"/>
        <v>-103665.09130104864</v>
      </c>
      <c r="L1659" s="444">
        <f t="shared" ca="1" si="132"/>
        <v>-24983287.003552724</v>
      </c>
      <c r="M1659" s="460">
        <f t="shared" si="134"/>
        <v>0.05</v>
      </c>
      <c r="N1659" s="464">
        <f t="shared" si="135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33"/>
        <v>-24983287.003552724</v>
      </c>
      <c r="J1660" s="444">
        <f t="array" ref="J1660">IFERROR(INDEX('Retirement Calculator'!J:J,MATCH('Isaac 401k'!N1660,'Retirement Calculator'!A:A,0),0),0)</f>
        <v>0</v>
      </c>
      <c r="K1660" s="444">
        <f t="shared" ca="1" si="131"/>
        <v>-104097.02918146968</v>
      </c>
      <c r="L1660" s="444">
        <f t="shared" ca="1" si="132"/>
        <v>-25087384.032734193</v>
      </c>
      <c r="M1660" s="460">
        <f t="shared" si="134"/>
        <v>0.05</v>
      </c>
      <c r="N1660" s="464">
        <f t="shared" si="135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33"/>
        <v>-25087384.032734193</v>
      </c>
      <c r="J1661" s="444">
        <f t="array" ref="J1661">IFERROR(INDEX('Retirement Calculator'!J:J,MATCH('Isaac 401k'!N1661,'Retirement Calculator'!A:A,0),0),0)</f>
        <v>0</v>
      </c>
      <c r="K1661" s="444">
        <f t="shared" ca="1" si="131"/>
        <v>-104530.76680305913</v>
      </c>
      <c r="L1661" s="444">
        <f t="shared" ca="1" si="132"/>
        <v>-25191914.799537253</v>
      </c>
      <c r="M1661" s="460">
        <f t="shared" si="134"/>
        <v>0.05</v>
      </c>
      <c r="N1661" s="464">
        <f t="shared" si="135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33"/>
        <v>-25191914.799537253</v>
      </c>
      <c r="J1662" s="444">
        <f t="array" ref="J1662">IFERROR(INDEX('Retirement Calculator'!J:J,MATCH('Isaac 401k'!N1662,'Retirement Calculator'!A:A,0),0),0)</f>
        <v>0</v>
      </c>
      <c r="K1662" s="444">
        <f t="shared" ca="1" si="131"/>
        <v>-104966.31166473855</v>
      </c>
      <c r="L1662" s="444">
        <f t="shared" ca="1" si="132"/>
        <v>-25296881.11120199</v>
      </c>
      <c r="M1662" s="460">
        <f t="shared" si="134"/>
        <v>0.05</v>
      </c>
      <c r="N1662" s="464">
        <f t="shared" si="135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33"/>
        <v>-25296881.11120199</v>
      </c>
      <c r="J1663" s="444">
        <f t="array" ref="J1663">IFERROR(INDEX('Retirement Calculator'!J:J,MATCH('Isaac 401k'!N1663,'Retirement Calculator'!A:A,0),0),0)</f>
        <v>0</v>
      </c>
      <c r="K1663" s="444">
        <f t="shared" ca="1" si="131"/>
        <v>-105403.67129667496</v>
      </c>
      <c r="L1663" s="444">
        <f t="shared" ca="1" si="132"/>
        <v>-25402284.782498665</v>
      </c>
      <c r="M1663" s="460">
        <f t="shared" si="134"/>
        <v>0.05</v>
      </c>
      <c r="N1663" s="464">
        <f t="shared" si="135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33"/>
        <v>-25402284.782498665</v>
      </c>
      <c r="J1664" s="444">
        <f t="array" ref="J1664">IFERROR(INDEX('Retirement Calculator'!J:J,MATCH('Isaac 401k'!N1664,'Retirement Calculator'!A:A,0),0),0)</f>
        <v>0</v>
      </c>
      <c r="K1664" s="444">
        <f t="shared" ca="1" si="131"/>
        <v>-105842.85326041111</v>
      </c>
      <c r="L1664" s="444">
        <f t="shared" ca="1" si="132"/>
        <v>-25508127.635759078</v>
      </c>
      <c r="M1664" s="460">
        <f t="shared" si="134"/>
        <v>0.05</v>
      </c>
      <c r="N1664" s="464">
        <f t="shared" si="135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33"/>
        <v>-25508127.635759078</v>
      </c>
      <c r="J1665" s="444">
        <f t="array" ref="J1665">IFERROR(INDEX('Retirement Calculator'!J:J,MATCH('Isaac 401k'!N1665,'Retirement Calculator'!A:A,0),0),0)</f>
        <v>0</v>
      </c>
      <c r="K1665" s="444">
        <f t="shared" ca="1" si="131"/>
        <v>-106283.86514899616</v>
      </c>
      <c r="L1665" s="444">
        <f t="shared" ca="1" si="132"/>
        <v>-25614411.500908073</v>
      </c>
      <c r="M1665" s="460">
        <f t="shared" si="134"/>
        <v>0.05</v>
      </c>
      <c r="N1665" s="464">
        <f t="shared" si="135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33"/>
        <v>-25614411.500908073</v>
      </c>
      <c r="J1666" s="444">
        <f t="array" ref="J1666">IFERROR(INDEX('Retirement Calculator'!J:J,MATCH('Isaac 401k'!N1666,'Retirement Calculator'!A:A,0),0),0)</f>
        <v>0</v>
      </c>
      <c r="K1666" s="444">
        <f t="shared" ca="1" si="131"/>
        <v>-106726.71458711696</v>
      </c>
      <c r="L1666" s="444">
        <f t="shared" ca="1" si="132"/>
        <v>-25721138.215495192</v>
      </c>
      <c r="M1666" s="460">
        <f t="shared" si="134"/>
        <v>0.05</v>
      </c>
      <c r="N1666" s="464">
        <f t="shared" si="135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33"/>
        <v>-25721138.215495192</v>
      </c>
      <c r="J1667" s="444">
        <f t="array" ref="J1667">IFERROR(INDEX('Retirement Calculator'!J:J,MATCH('Isaac 401k'!N1667,'Retirement Calculator'!A:A,0),0),0)</f>
        <v>0</v>
      </c>
      <c r="K1667" s="444">
        <f t="shared" ca="1" si="131"/>
        <v>-107171.40923122996</v>
      </c>
      <c r="L1667" s="444">
        <f t="shared" ca="1" si="132"/>
        <v>-25828309.624726422</v>
      </c>
      <c r="M1667" s="460">
        <f t="shared" si="134"/>
        <v>0.05</v>
      </c>
      <c r="N1667" s="464">
        <f t="shared" si="135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33"/>
        <v>-25828309.624726422</v>
      </c>
      <c r="J1668" s="444">
        <f t="array" ref="J1668">IFERROR(INDEX('Retirement Calculator'!J:J,MATCH('Isaac 401k'!N1668,'Retirement Calculator'!A:A,0),0),0)</f>
        <v>0</v>
      </c>
      <c r="K1668" s="444">
        <f t="shared" ca="1" si="131"/>
        <v>-107617.95676969342</v>
      </c>
      <c r="L1668" s="444">
        <f t="shared" ca="1" si="132"/>
        <v>-25935927.581496116</v>
      </c>
      <c r="M1668" s="460">
        <f t="shared" si="134"/>
        <v>0.05</v>
      </c>
      <c r="N1668" s="464">
        <f t="shared" si="135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33"/>
        <v>-25935927.581496116</v>
      </c>
      <c r="J1669" s="444">
        <f t="array" ref="J1669">IFERROR(INDEX('Retirement Calculator'!J:J,MATCH('Isaac 401k'!N1669,'Retirement Calculator'!A:A,0),0),0)</f>
        <v>0</v>
      </c>
      <c r="K1669" s="444">
        <f t="shared" ca="1" si="131"/>
        <v>-108066.36492290048</v>
      </c>
      <c r="L1669" s="444">
        <f t="shared" ca="1" si="132"/>
        <v>-26043993.946419016</v>
      </c>
      <c r="M1669" s="460">
        <f t="shared" si="134"/>
        <v>0.05</v>
      </c>
      <c r="N1669" s="464">
        <f t="shared" si="135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33"/>
        <v>-26043993.946419016</v>
      </c>
      <c r="J1670" s="444">
        <f t="array" ref="J1670">IFERROR(INDEX('Retirement Calculator'!J:J,MATCH('Isaac 401k'!N1670,'Retirement Calculator'!A:A,0),0),0)</f>
        <v>0</v>
      </c>
      <c r="K1670" s="444">
        <f t="shared" ca="1" si="131"/>
        <v>-108516.64144341256</v>
      </c>
      <c r="L1670" s="444">
        <f t="shared" ca="1" si="132"/>
        <v>-26152510.587862428</v>
      </c>
      <c r="M1670" s="460">
        <f t="shared" si="134"/>
        <v>0.05</v>
      </c>
      <c r="N1670" s="464">
        <f t="shared" si="135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33"/>
        <v>-26152510.587862428</v>
      </c>
      <c r="J1671" s="444">
        <f t="array" ref="J1671">IFERROR(INDEX('Retirement Calculator'!J:J,MATCH('Isaac 401k'!N1671,'Retirement Calculator'!A:A,0),0),0)</f>
        <v>0</v>
      </c>
      <c r="K1671" s="444">
        <f t="shared" ca="1" si="131"/>
        <v>-108968.79411609344</v>
      </c>
      <c r="L1671" s="444">
        <f t="shared" ca="1" si="132"/>
        <v>-26261479.381978523</v>
      </c>
      <c r="M1671" s="460">
        <f t="shared" si="134"/>
        <v>0.05</v>
      </c>
      <c r="N1671" s="464">
        <f t="shared" si="135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33"/>
        <v>-26261479.381978523</v>
      </c>
      <c r="J1672" s="444">
        <f t="array" ref="J1672">IFERROR(INDEX('Retirement Calculator'!J:J,MATCH('Isaac 401k'!N1672,'Retirement Calculator'!A:A,0),0),0)</f>
        <v>0</v>
      </c>
      <c r="K1672" s="444">
        <f t="shared" ca="1" si="131"/>
        <v>-109422.83075824384</v>
      </c>
      <c r="L1672" s="444">
        <f t="shared" ca="1" si="132"/>
        <v>-26370902.212736767</v>
      </c>
      <c r="M1672" s="460">
        <f t="shared" si="134"/>
        <v>0.05</v>
      </c>
      <c r="N1672" s="464">
        <f t="shared" si="135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33"/>
        <v>-26370902.212736767</v>
      </c>
      <c r="J1673" s="444">
        <f t="array" ref="J1673">IFERROR(INDEX('Retirement Calculator'!J:J,MATCH('Isaac 401k'!N1673,'Retirement Calculator'!A:A,0),0),0)</f>
        <v>0</v>
      </c>
      <c r="K1673" s="444">
        <f t="shared" ca="1" si="131"/>
        <v>-109878.75921973652</v>
      </c>
      <c r="L1673" s="444">
        <f t="shared" ca="1" si="132"/>
        <v>-26480780.971956503</v>
      </c>
      <c r="M1673" s="460">
        <f t="shared" si="134"/>
        <v>0.05</v>
      </c>
      <c r="N1673" s="464">
        <f t="shared" si="135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33"/>
        <v>-26480780.971956503</v>
      </c>
      <c r="J1674" s="444">
        <f t="array" ref="J1674">IFERROR(INDEX('Retirement Calculator'!J:J,MATCH('Isaac 401k'!N1674,'Retirement Calculator'!A:A,0),0),0)</f>
        <v>0</v>
      </c>
      <c r="K1674" s="444">
        <f t="shared" ca="1" si="131"/>
        <v>-110336.58738315207</v>
      </c>
      <c r="L1674" s="444">
        <f t="shared" ca="1" si="132"/>
        <v>-26591117.559339654</v>
      </c>
      <c r="M1674" s="460">
        <f t="shared" si="134"/>
        <v>0.05</v>
      </c>
      <c r="N1674" s="464">
        <f t="shared" si="135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33"/>
        <v>-26591117.559339654</v>
      </c>
      <c r="J1675" s="444">
        <f t="array" ref="J1675">IFERROR(INDEX('Retirement Calculator'!J:J,MATCH('Isaac 401k'!N1675,'Retirement Calculator'!A:A,0),0),0)</f>
        <v>0</v>
      </c>
      <c r="K1675" s="444">
        <f t="shared" ca="1" si="131"/>
        <v>-110796.32316391522</v>
      </c>
      <c r="L1675" s="444">
        <f t="shared" ca="1" si="132"/>
        <v>-26701913.882503569</v>
      </c>
      <c r="M1675" s="460">
        <f t="shared" si="134"/>
        <v>0.05</v>
      </c>
      <c r="N1675" s="464">
        <f t="shared" si="135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33"/>
        <v>-26701913.882503569</v>
      </c>
      <c r="J1676" s="444">
        <f t="array" ref="J1676">IFERROR(INDEX('Retirement Calculator'!J:J,MATCH('Isaac 401k'!N1676,'Retirement Calculator'!A:A,0),0),0)</f>
        <v>0</v>
      </c>
      <c r="K1676" s="444">
        <f t="shared" ca="1" si="131"/>
        <v>-111257.97451043154</v>
      </c>
      <c r="L1676" s="444">
        <f t="shared" ca="1" si="132"/>
        <v>-26813171.857014</v>
      </c>
      <c r="M1676" s="460">
        <f t="shared" si="134"/>
        <v>0.05</v>
      </c>
      <c r="N1676" s="464">
        <f t="shared" si="135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33"/>
        <v>-26813171.857014</v>
      </c>
      <c r="J1677" s="444">
        <f t="array" ref="J1677">IFERROR(INDEX('Retirement Calculator'!J:J,MATCH('Isaac 401k'!N1677,'Retirement Calculator'!A:A,0),0),0)</f>
        <v>0</v>
      </c>
      <c r="K1677" s="444">
        <f t="shared" ca="1" si="131"/>
        <v>-111721.54940422501</v>
      </c>
      <c r="L1677" s="444">
        <f t="shared" ca="1" si="132"/>
        <v>-26924893.406418227</v>
      </c>
      <c r="M1677" s="460">
        <f t="shared" si="134"/>
        <v>0.05</v>
      </c>
      <c r="N1677" s="464">
        <f t="shared" si="135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33"/>
        <v>-26924893.406418227</v>
      </c>
      <c r="J1678" s="444">
        <f t="array" ref="J1678">IFERROR(INDEX('Retirement Calculator'!J:J,MATCH('Isaac 401k'!N1678,'Retirement Calculator'!A:A,0),0),0)</f>
        <v>0</v>
      </c>
      <c r="K1678" s="444">
        <f t="shared" ca="1" si="131"/>
        <v>-112187.05586007594</v>
      </c>
      <c r="L1678" s="444">
        <f t="shared" ca="1" si="132"/>
        <v>-27037080.462278303</v>
      </c>
      <c r="M1678" s="460">
        <f t="shared" si="134"/>
        <v>0.05</v>
      </c>
      <c r="N1678" s="464">
        <f t="shared" si="135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33"/>
        <v>-27037080.462278303</v>
      </c>
      <c r="J1679" s="444">
        <f t="array" ref="J1679">IFERROR(INDEX('Retirement Calculator'!J:J,MATCH('Isaac 401k'!N1679,'Retirement Calculator'!A:A,0),0),0)</f>
        <v>0</v>
      </c>
      <c r="K1679" s="444">
        <f t="shared" ca="1" si="131"/>
        <v>-112654.50192615959</v>
      </c>
      <c r="L1679" s="444">
        <f t="shared" ca="1" si="132"/>
        <v>-27149734.964204464</v>
      </c>
      <c r="M1679" s="460">
        <f t="shared" si="134"/>
        <v>0.05</v>
      </c>
      <c r="N1679" s="464">
        <f t="shared" si="135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33"/>
        <v>-27149734.964204464</v>
      </c>
      <c r="J1680" s="444">
        <f t="array" ref="J1680">IFERROR(INDEX('Retirement Calculator'!J:J,MATCH('Isaac 401k'!N1680,'Retirement Calculator'!A:A,0),0),0)</f>
        <v>0</v>
      </c>
      <c r="K1680" s="444">
        <f t="shared" ca="1" si="131"/>
        <v>-113123.89568418526</v>
      </c>
      <c r="L1680" s="444">
        <f t="shared" ca="1" si="132"/>
        <v>-27262858.85988865</v>
      </c>
      <c r="M1680" s="460">
        <f t="shared" si="134"/>
        <v>0.05</v>
      </c>
      <c r="N1680" s="464">
        <f t="shared" si="135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33"/>
        <v>-27262858.85988865</v>
      </c>
      <c r="J1681" s="444">
        <f t="array" ref="J1681">IFERROR(INDEX('Retirement Calculator'!J:J,MATCH('Isaac 401k'!N1681,'Retirement Calculator'!A:A,0),0),0)</f>
        <v>0</v>
      </c>
      <c r="K1681" s="444">
        <f t="shared" ca="1" si="131"/>
        <v>-113595.24524953605</v>
      </c>
      <c r="L1681" s="444">
        <f t="shared" ca="1" si="132"/>
        <v>-27376454.105138186</v>
      </c>
      <c r="M1681" s="460">
        <f t="shared" si="134"/>
        <v>0.05</v>
      </c>
      <c r="N1681" s="464">
        <f t="shared" si="135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33"/>
        <v>-27376454.105138186</v>
      </c>
      <c r="J1682" s="444">
        <f t="array" ref="J1682">IFERROR(INDEX('Retirement Calculator'!J:J,MATCH('Isaac 401k'!N1682,'Retirement Calculator'!A:A,0),0),0)</f>
        <v>0</v>
      </c>
      <c r="K1682" s="444">
        <f t="shared" ca="1" si="131"/>
        <v>-114068.55877140911</v>
      </c>
      <c r="L1682" s="444">
        <f t="shared" ca="1" si="132"/>
        <v>-27490522.663909595</v>
      </c>
      <c r="M1682" s="460">
        <f t="shared" si="134"/>
        <v>0.05</v>
      </c>
      <c r="N1682" s="464">
        <f t="shared" si="135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33"/>
        <v>-27490522.663909595</v>
      </c>
      <c r="J1683" s="444">
        <f t="array" ref="J1683">IFERROR(INDEX('Retirement Calculator'!J:J,MATCH('Isaac 401k'!N1683,'Retirement Calculator'!A:A,0),0),0)</f>
        <v>0</v>
      </c>
      <c r="K1683" s="444">
        <f t="shared" ca="1" si="131"/>
        <v>-114543.84443295664</v>
      </c>
      <c r="L1683" s="444">
        <f t="shared" ca="1" si="132"/>
        <v>-27605066.508342553</v>
      </c>
      <c r="M1683" s="460">
        <f t="shared" si="134"/>
        <v>0.05</v>
      </c>
      <c r="N1683" s="464">
        <f t="shared" si="135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33"/>
        <v>-27605066.508342553</v>
      </c>
      <c r="J1684" s="444">
        <f t="array" ref="J1684">IFERROR(INDEX('Retirement Calculator'!J:J,MATCH('Isaac 401k'!N1684,'Retirement Calculator'!A:A,0),0),0)</f>
        <v>0</v>
      </c>
      <c r="K1684" s="444">
        <f t="shared" ca="1" si="131"/>
        <v>-115021.1104514273</v>
      </c>
      <c r="L1684" s="444">
        <f t="shared" ca="1" si="132"/>
        <v>-27720087.618793979</v>
      </c>
      <c r="M1684" s="460">
        <f t="shared" si="134"/>
        <v>0.05</v>
      </c>
      <c r="N1684" s="464">
        <f t="shared" si="135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33"/>
        <v>-27720087.618793979</v>
      </c>
      <c r="J1685" s="444">
        <f t="array" ref="J1685">IFERROR(INDEX('Retirement Calculator'!J:J,MATCH('Isaac 401k'!N1685,'Retirement Calculator'!A:A,0),0),0)</f>
        <v>0</v>
      </c>
      <c r="K1685" s="444">
        <f t="shared" ca="1" si="131"/>
        <v>-115500.36507830824</v>
      </c>
      <c r="L1685" s="444">
        <f t="shared" ca="1" si="132"/>
        <v>-27835587.983872287</v>
      </c>
      <c r="M1685" s="460">
        <f t="shared" si="134"/>
        <v>0.05</v>
      </c>
      <c r="N1685" s="464">
        <f t="shared" si="135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33"/>
        <v>-27835587.983872287</v>
      </c>
      <c r="J1686" s="444">
        <f t="array" ref="J1686">IFERROR(INDEX('Retirement Calculator'!J:J,MATCH('Isaac 401k'!N1686,'Retirement Calculator'!A:A,0),0),0)</f>
        <v>0</v>
      </c>
      <c r="K1686" s="444">
        <f t="shared" ca="1" si="131"/>
        <v>-115981.61659946786</v>
      </c>
      <c r="L1686" s="444">
        <f t="shared" ca="1" si="132"/>
        <v>-27951569.600471754</v>
      </c>
      <c r="M1686" s="460">
        <f t="shared" si="134"/>
        <v>0.05</v>
      </c>
      <c r="N1686" s="464">
        <f t="shared" si="135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33"/>
        <v>-27951569.600471754</v>
      </c>
      <c r="J1687" s="444">
        <f t="array" ref="J1687">IFERROR(INDEX('Retirement Calculator'!J:J,MATCH('Isaac 401k'!N1687,'Retirement Calculator'!A:A,0),0),0)</f>
        <v>0</v>
      </c>
      <c r="K1687" s="444">
        <f t="shared" ca="1" si="131"/>
        <v>-116464.87333529898</v>
      </c>
      <c r="L1687" s="444">
        <f t="shared" ca="1" si="132"/>
        <v>-28068034.473807052</v>
      </c>
      <c r="M1687" s="460">
        <f t="shared" si="134"/>
        <v>0.05</v>
      </c>
      <c r="N1687" s="464">
        <f t="shared" si="135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33"/>
        <v>-28068034.473807052</v>
      </c>
      <c r="J1688" s="444">
        <f t="array" ref="J1688">IFERROR(INDEX('Retirement Calculator'!J:J,MATCH('Isaac 401k'!N1688,'Retirement Calculator'!A:A,0),0),0)</f>
        <v>0</v>
      </c>
      <c r="K1688" s="444">
        <f t="shared" ca="1" si="131"/>
        <v>-116950.14364086273</v>
      </c>
      <c r="L1688" s="444">
        <f t="shared" ca="1" si="132"/>
        <v>-28184984.617447913</v>
      </c>
      <c r="M1688" s="460">
        <f t="shared" si="134"/>
        <v>0.05</v>
      </c>
      <c r="N1688" s="464">
        <f t="shared" si="135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33"/>
        <v>-28184984.617447913</v>
      </c>
      <c r="J1689" s="444">
        <f t="array" ref="J1689">IFERROR(INDEX('Retirement Calculator'!J:J,MATCH('Isaac 401k'!N1689,'Retirement Calculator'!A:A,0),0),0)</f>
        <v>0</v>
      </c>
      <c r="K1689" s="444">
        <f t="shared" ca="1" si="131"/>
        <v>-117437.43590603296</v>
      </c>
      <c r="L1689" s="444">
        <f t="shared" ca="1" si="132"/>
        <v>-28302422.053353947</v>
      </c>
      <c r="M1689" s="460">
        <f t="shared" si="134"/>
        <v>0.05</v>
      </c>
      <c r="N1689" s="464">
        <f t="shared" si="135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33"/>
        <v>-28302422.053353947</v>
      </c>
      <c r="J1690" s="444">
        <f t="array" ref="J1690">IFERROR(INDEX('Retirement Calculator'!J:J,MATCH('Isaac 401k'!N1690,'Retirement Calculator'!A:A,0),0),0)</f>
        <v>0</v>
      </c>
      <c r="K1690" s="444">
        <f t="shared" ca="1" si="131"/>
        <v>-117926.75855564144</v>
      </c>
      <c r="L1690" s="444">
        <f t="shared" ca="1" si="132"/>
        <v>-28420348.81190959</v>
      </c>
      <c r="M1690" s="460">
        <f t="shared" si="134"/>
        <v>0.05</v>
      </c>
      <c r="N1690" s="464">
        <f t="shared" si="135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33"/>
        <v>-28420348.81190959</v>
      </c>
      <c r="J1691" s="444">
        <f t="array" ref="J1691">IFERROR(INDEX('Retirement Calculator'!J:J,MATCH('Isaac 401k'!N1691,'Retirement Calculator'!A:A,0),0),0)</f>
        <v>0</v>
      </c>
      <c r="K1691" s="444">
        <f t="shared" ca="1" si="131"/>
        <v>-118418.12004962329</v>
      </c>
      <c r="L1691" s="444">
        <f t="shared" ca="1" si="132"/>
        <v>-28538766.931959212</v>
      </c>
      <c r="M1691" s="460">
        <f t="shared" si="134"/>
        <v>0.05</v>
      </c>
      <c r="N1691" s="464">
        <f t="shared" si="135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33"/>
        <v>-28538766.931959212</v>
      </c>
      <c r="J1692" s="444">
        <f t="array" ref="J1692">IFERROR(INDEX('Retirement Calculator'!J:J,MATCH('Isaac 401k'!N1692,'Retirement Calculator'!A:A,0),0),0)</f>
        <v>0</v>
      </c>
      <c r="K1692" s="444">
        <f t="shared" ca="1" si="131"/>
        <v>-118911.52888316338</v>
      </c>
      <c r="L1692" s="444">
        <f t="shared" ca="1" si="132"/>
        <v>-28657678.460842375</v>
      </c>
      <c r="M1692" s="460">
        <f t="shared" si="134"/>
        <v>0.05</v>
      </c>
      <c r="N1692" s="464">
        <f t="shared" si="135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33"/>
        <v>-28657678.460842375</v>
      </c>
      <c r="J1693" s="444">
        <f t="array" ref="J1693">IFERROR(INDEX('Retirement Calculator'!J:J,MATCH('Isaac 401k'!N1693,'Retirement Calculator'!A:A,0),0),0)</f>
        <v>0</v>
      </c>
      <c r="K1693" s="444">
        <f t="shared" ca="1" si="131"/>
        <v>-119406.99358684322</v>
      </c>
      <c r="L1693" s="444">
        <f t="shared" ca="1" si="132"/>
        <v>-28777085.454429217</v>
      </c>
      <c r="M1693" s="460">
        <f t="shared" si="134"/>
        <v>0.05</v>
      </c>
      <c r="N1693" s="464">
        <f t="shared" si="135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33"/>
        <v>-28777085.454429217</v>
      </c>
      <c r="J1694" s="444">
        <f t="array" ref="J1694">IFERROR(INDEX('Retirement Calculator'!J:J,MATCH('Isaac 401k'!N1694,'Retirement Calculator'!A:A,0),0),0)</f>
        <v>0</v>
      </c>
      <c r="K1694" s="444">
        <f t="shared" ca="1" si="131"/>
        <v>-119904.5227267884</v>
      </c>
      <c r="L1694" s="444">
        <f t="shared" ca="1" si="132"/>
        <v>-28896989.977156006</v>
      </c>
      <c r="M1694" s="460">
        <f t="shared" si="134"/>
        <v>0.05</v>
      </c>
      <c r="N1694" s="464">
        <f t="shared" si="135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33"/>
        <v>-28896989.977156006</v>
      </c>
      <c r="J1695" s="444">
        <f t="array" ref="J1695">IFERROR(INDEX('Retirement Calculator'!J:J,MATCH('Isaac 401k'!N1695,'Retirement Calculator'!A:A,0),0),0)</f>
        <v>0</v>
      </c>
      <c r="K1695" s="444">
        <f t="shared" ca="1" si="131"/>
        <v>-120404.12490481669</v>
      </c>
      <c r="L1695" s="444">
        <f t="shared" ca="1" si="132"/>
        <v>-29017394.102060821</v>
      </c>
      <c r="M1695" s="460">
        <f t="shared" si="134"/>
        <v>0.05</v>
      </c>
      <c r="N1695" s="464">
        <f t="shared" si="135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33"/>
        <v>-29017394.102060821</v>
      </c>
      <c r="J1696" s="444">
        <f t="array" ref="J1696">IFERROR(INDEX('Retirement Calculator'!J:J,MATCH('Isaac 401k'!N1696,'Retirement Calculator'!A:A,0),0),0)</f>
        <v>0</v>
      </c>
      <c r="K1696" s="444">
        <f t="shared" ca="1" si="131"/>
        <v>-120905.80875858675</v>
      </c>
      <c r="L1696" s="444">
        <f t="shared" ca="1" si="132"/>
        <v>-29138299.910819408</v>
      </c>
      <c r="M1696" s="460">
        <f t="shared" si="134"/>
        <v>0.05</v>
      </c>
      <c r="N1696" s="464">
        <f t="shared" si="135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33"/>
        <v>-29138299.910819408</v>
      </c>
      <c r="J1697" s="444">
        <f t="array" ref="J1697">IFERROR(INDEX('Retirement Calculator'!J:J,MATCH('Isaac 401k'!N1697,'Retirement Calculator'!A:A,0),0),0)</f>
        <v>0</v>
      </c>
      <c r="K1697" s="444">
        <f t="shared" ca="1" si="131"/>
        <v>-121409.58296174752</v>
      </c>
      <c r="L1697" s="444">
        <f t="shared" ca="1" si="132"/>
        <v>-29259709.493781157</v>
      </c>
      <c r="M1697" s="460">
        <f t="shared" si="134"/>
        <v>0.05</v>
      </c>
      <c r="N1697" s="464">
        <f t="shared" si="135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33"/>
        <v>-29259709.493781157</v>
      </c>
      <c r="J1698" s="444">
        <f t="array" ref="J1698">IFERROR(INDEX('Retirement Calculator'!J:J,MATCH('Isaac 401k'!N1698,'Retirement Calculator'!A:A,0),0),0)</f>
        <v>0</v>
      </c>
      <c r="K1698" s="444">
        <f t="shared" ca="1" si="131"/>
        <v>-121915.45622408815</v>
      </c>
      <c r="L1698" s="444">
        <f t="shared" ca="1" si="132"/>
        <v>-29381624.950005244</v>
      </c>
      <c r="M1698" s="460">
        <f t="shared" si="134"/>
        <v>0.05</v>
      </c>
      <c r="N1698" s="464">
        <f t="shared" si="135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33"/>
        <v>-29381624.950005244</v>
      </c>
      <c r="J1699" s="444">
        <f t="array" ref="J1699">IFERROR(INDEX('Retirement Calculator'!J:J,MATCH('Isaac 401k'!N1699,'Retirement Calculator'!A:A,0),0),0)</f>
        <v>0</v>
      </c>
      <c r="K1699" s="444">
        <f t="shared" ca="1" si="131"/>
        <v>-122423.43729168852</v>
      </c>
      <c r="L1699" s="444">
        <f t="shared" ca="1" si="132"/>
        <v>-29504048.387296934</v>
      </c>
      <c r="M1699" s="460">
        <f t="shared" si="134"/>
        <v>0.05</v>
      </c>
      <c r="N1699" s="464">
        <f t="shared" si="135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33"/>
        <v>-29504048.387296934</v>
      </c>
      <c r="J1700" s="444">
        <f t="array" ref="J1700">IFERROR(INDEX('Retirement Calculator'!J:J,MATCH('Isaac 401k'!N1700,'Retirement Calculator'!A:A,0),0),0)</f>
        <v>0</v>
      </c>
      <c r="K1700" s="444">
        <f t="shared" ca="1" si="131"/>
        <v>-122933.53494707057</v>
      </c>
      <c r="L1700" s="444">
        <f t="shared" ca="1" si="132"/>
        <v>-29626981.922244005</v>
      </c>
      <c r="M1700" s="460">
        <f t="shared" si="134"/>
        <v>0.05</v>
      </c>
      <c r="N1700" s="464">
        <f t="shared" si="135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33"/>
        <v>-29626981.922244005</v>
      </c>
      <c r="J1701" s="444">
        <f t="array" ref="J1701">IFERROR(INDEX('Retirement Calculator'!J:J,MATCH('Isaac 401k'!N1701,'Retirement Calculator'!A:A,0),0),0)</f>
        <v>0</v>
      </c>
      <c r="K1701" s="444">
        <f t="shared" ca="1" si="131"/>
        <v>-123445.75800935001</v>
      </c>
      <c r="L1701" s="444">
        <f t="shared" ca="1" si="132"/>
        <v>-29750427.680253357</v>
      </c>
      <c r="M1701" s="460">
        <f t="shared" si="134"/>
        <v>0.05</v>
      </c>
      <c r="N1701" s="464">
        <f t="shared" si="135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33"/>
        <v>-29750427.680253357</v>
      </c>
      <c r="J1702" s="444">
        <f t="array" ref="J1702">IFERROR(INDEX('Retirement Calculator'!J:J,MATCH('Isaac 401k'!N1702,'Retirement Calculator'!A:A,0),0),0)</f>
        <v>0</v>
      </c>
      <c r="K1702" s="444">
        <f t="shared" ca="1" si="131"/>
        <v>-123960.11533438899</v>
      </c>
      <c r="L1702" s="444">
        <f t="shared" ca="1" si="132"/>
        <v>-29874387.795587745</v>
      </c>
      <c r="M1702" s="460">
        <f t="shared" si="134"/>
        <v>0.05</v>
      </c>
      <c r="N1702" s="464">
        <f t="shared" si="135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33"/>
        <v>-29874387.795587745</v>
      </c>
      <c r="J1703" s="444">
        <f t="array" ref="J1703">IFERROR(INDEX('Retirement Calculator'!J:J,MATCH('Isaac 401k'!N1703,'Retirement Calculator'!A:A,0),0),0)</f>
        <v>0</v>
      </c>
      <c r="K1703" s="444">
        <f t="shared" ca="1" si="131"/>
        <v>-124476.61581494893</v>
      </c>
      <c r="L1703" s="444">
        <f t="shared" ca="1" si="132"/>
        <v>-29998864.411402695</v>
      </c>
      <c r="M1703" s="460">
        <f t="shared" si="134"/>
        <v>0.05</v>
      </c>
      <c r="N1703" s="464">
        <f t="shared" si="135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33"/>
        <v>-29998864.411402695</v>
      </c>
      <c r="J1704" s="444">
        <f t="array" ref="J1704">IFERROR(INDEX('Retirement Calculator'!J:J,MATCH('Isaac 401k'!N1704,'Retirement Calculator'!A:A,0),0),0)</f>
        <v>0</v>
      </c>
      <c r="K1704" s="444">
        <f t="shared" ca="1" si="131"/>
        <v>-124995.26838084457</v>
      </c>
      <c r="L1704" s="444">
        <f t="shared" ca="1" si="132"/>
        <v>-30123859.679783538</v>
      </c>
      <c r="M1704" s="460">
        <f t="shared" si="134"/>
        <v>0.05</v>
      </c>
      <c r="N1704" s="464">
        <f t="shared" si="135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33"/>
        <v>-30123859.679783538</v>
      </c>
      <c r="J1705" s="444">
        <f t="array" ref="J1705">IFERROR(INDEX('Retirement Calculator'!J:J,MATCH('Isaac 401k'!N1705,'Retirement Calculator'!A:A,0),0),0)</f>
        <v>0</v>
      </c>
      <c r="K1705" s="444">
        <f t="shared" ca="1" si="131"/>
        <v>-125516.08199909808</v>
      </c>
      <c r="L1705" s="444">
        <f t="shared" ca="1" si="132"/>
        <v>-30249375.761782635</v>
      </c>
      <c r="M1705" s="460">
        <f t="shared" si="134"/>
        <v>0.05</v>
      </c>
      <c r="N1705" s="464">
        <f t="shared" si="135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33"/>
        <v>-30249375.761782635</v>
      </c>
      <c r="J1706" s="444">
        <f t="array" ref="J1706">IFERROR(INDEX('Retirement Calculator'!J:J,MATCH('Isaac 401k'!N1706,'Retirement Calculator'!A:A,0),0),0)</f>
        <v>0</v>
      </c>
      <c r="K1706" s="444">
        <f t="shared" ca="1" si="131"/>
        <v>-126039.06567409431</v>
      </c>
      <c r="L1706" s="444">
        <f t="shared" ca="1" si="132"/>
        <v>-30375414.827456728</v>
      </c>
      <c r="M1706" s="460">
        <f t="shared" si="134"/>
        <v>0.05</v>
      </c>
      <c r="N1706" s="464">
        <f t="shared" si="135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33"/>
        <v>-30375414.827456728</v>
      </c>
      <c r="J1707" s="444">
        <f t="array" ref="J1707">IFERROR(INDEX('Retirement Calculator'!J:J,MATCH('Isaac 401k'!N1707,'Retirement Calculator'!A:A,0),0),0)</f>
        <v>0</v>
      </c>
      <c r="K1707" s="444">
        <f t="shared" ca="1" si="131"/>
        <v>-126564.22844773636</v>
      </c>
      <c r="L1707" s="444">
        <f t="shared" ca="1" si="132"/>
        <v>-30501979.055904463</v>
      </c>
      <c r="M1707" s="460">
        <f t="shared" si="134"/>
        <v>0.05</v>
      </c>
      <c r="N1707" s="464">
        <f t="shared" si="135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33"/>
        <v>-30501979.055904463</v>
      </c>
      <c r="J1708" s="444">
        <f t="array" ref="J1708">IFERROR(INDEX('Retirement Calculator'!J:J,MATCH('Isaac 401k'!N1708,'Retirement Calculator'!A:A,0),0),0)</f>
        <v>0</v>
      </c>
      <c r="K1708" s="444">
        <f t="shared" ca="1" si="131"/>
        <v>-127091.57939960192</v>
      </c>
      <c r="L1708" s="444">
        <f t="shared" ca="1" si="132"/>
        <v>-30629070.635304064</v>
      </c>
      <c r="M1708" s="460">
        <f t="shared" si="134"/>
        <v>0.05</v>
      </c>
      <c r="N1708" s="464">
        <f t="shared" si="135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33"/>
        <v>-30629070.635304064</v>
      </c>
      <c r="J1709" s="444">
        <f t="array" ref="J1709">IFERROR(INDEX('Retirement Calculator'!J:J,MATCH('Isaac 401k'!N1709,'Retirement Calculator'!A:A,0),0),0)</f>
        <v>0</v>
      </c>
      <c r="K1709" s="444">
        <f t="shared" ca="1" si="131"/>
        <v>-127621.12764710028</v>
      </c>
      <c r="L1709" s="444">
        <f t="shared" ca="1" si="132"/>
        <v>-30756691.762951165</v>
      </c>
      <c r="M1709" s="460">
        <f t="shared" si="134"/>
        <v>0.05</v>
      </c>
      <c r="N1709" s="464">
        <f t="shared" si="135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33"/>
        <v>-30756691.762951165</v>
      </c>
      <c r="J1710" s="444">
        <f t="array" ref="J1710">IFERROR(INDEX('Retirement Calculator'!J:J,MATCH('Isaac 401k'!N1710,'Retirement Calculator'!A:A,0),0),0)</f>
        <v>0</v>
      </c>
      <c r="K1710" s="444">
        <f t="shared" ca="1" si="131"/>
        <v>-128152.88234562986</v>
      </c>
      <c r="L1710" s="444">
        <f t="shared" ca="1" si="132"/>
        <v>-30884844.645296797</v>
      </c>
      <c r="M1710" s="460">
        <f t="shared" si="134"/>
        <v>0.05</v>
      </c>
      <c r="N1710" s="464">
        <f t="shared" si="135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33"/>
        <v>-30884844.645296797</v>
      </c>
      <c r="J1711" s="444">
        <f t="array" ref="J1711">IFERROR(INDEX('Retirement Calculator'!J:J,MATCH('Isaac 401k'!N1711,'Retirement Calculator'!A:A,0),0),0)</f>
        <v>0</v>
      </c>
      <c r="K1711" s="444">
        <f t="shared" ca="1" si="131"/>
        <v>-128686.85268873665</v>
      </c>
      <c r="L1711" s="444">
        <f t="shared" ca="1" si="132"/>
        <v>-31013531.497985534</v>
      </c>
      <c r="M1711" s="460">
        <f t="shared" si="134"/>
        <v>0.05</v>
      </c>
      <c r="N1711" s="464">
        <f t="shared" si="135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33"/>
        <v>-31013531.497985534</v>
      </c>
      <c r="J1712" s="444">
        <f t="array" ref="J1712">IFERROR(INDEX('Retirement Calculator'!J:J,MATCH('Isaac 401k'!N1712,'Retirement Calculator'!A:A,0),0),0)</f>
        <v>0</v>
      </c>
      <c r="K1712" s="444">
        <f t="shared" ca="1" si="131"/>
        <v>-129223.04790827306</v>
      </c>
      <c r="L1712" s="444">
        <f t="shared" ca="1" si="132"/>
        <v>-31142754.545893807</v>
      </c>
      <c r="M1712" s="460">
        <f t="shared" si="134"/>
        <v>0.05</v>
      </c>
      <c r="N1712" s="464">
        <f t="shared" si="135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33"/>
        <v>-31142754.545893807</v>
      </c>
      <c r="J1713" s="444">
        <f t="array" ref="J1713">IFERROR(INDEX('Retirement Calculator'!J:J,MATCH('Isaac 401k'!N1713,'Retirement Calculator'!A:A,0),0),0)</f>
        <v>0</v>
      </c>
      <c r="K1713" s="444">
        <f t="shared" ca="1" si="131"/>
        <v>-129761.47727455753</v>
      </c>
      <c r="L1713" s="444">
        <f t="shared" ca="1" si="132"/>
        <v>-31272516.023168363</v>
      </c>
      <c r="M1713" s="460">
        <f t="shared" si="134"/>
        <v>0.05</v>
      </c>
      <c r="N1713" s="464">
        <f t="shared" si="135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33"/>
        <v>-31272516.023168363</v>
      </c>
      <c r="J1714" s="444">
        <f t="array" ref="J1714">IFERROR(INDEX('Retirement Calculator'!J:J,MATCH('Isaac 401k'!N1714,'Retirement Calculator'!A:A,0),0),0)</f>
        <v>0</v>
      </c>
      <c r="K1714" s="444">
        <f t="shared" ca="1" si="131"/>
        <v>-130302.15009653484</v>
      </c>
      <c r="L1714" s="444">
        <f t="shared" ca="1" si="132"/>
        <v>-31402818.173264898</v>
      </c>
      <c r="M1714" s="460">
        <f t="shared" si="134"/>
        <v>0.05</v>
      </c>
      <c r="N1714" s="464">
        <f t="shared" si="135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33"/>
        <v>-31402818.173264898</v>
      </c>
      <c r="J1715" s="444">
        <f t="array" ref="J1715">IFERROR(INDEX('Retirement Calculator'!J:J,MATCH('Isaac 401k'!N1715,'Retirement Calculator'!A:A,0),0),0)</f>
        <v>0</v>
      </c>
      <c r="K1715" s="444">
        <f t="shared" ca="1" si="131"/>
        <v>-130845.07572193707</v>
      </c>
      <c r="L1715" s="444">
        <f t="shared" ca="1" si="132"/>
        <v>-31533663.248986837</v>
      </c>
      <c r="M1715" s="460">
        <f t="shared" si="134"/>
        <v>0.05</v>
      </c>
      <c r="N1715" s="464">
        <f t="shared" si="135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33"/>
        <v>-31533663.248986837</v>
      </c>
      <c r="J1716" s="444">
        <f t="array" ref="J1716">IFERROR(INDEX('Retirement Calculator'!J:J,MATCH('Isaac 401k'!N1716,'Retirement Calculator'!A:A,0),0),0)</f>
        <v>0</v>
      </c>
      <c r="K1716" s="444">
        <f t="shared" ca="1" si="131"/>
        <v>-131390.26353744516</v>
      </c>
      <c r="L1716" s="444">
        <f t="shared" ca="1" si="132"/>
        <v>-31665053.512524281</v>
      </c>
      <c r="M1716" s="460">
        <f t="shared" si="134"/>
        <v>0.05</v>
      </c>
      <c r="N1716" s="464">
        <f t="shared" si="135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33"/>
        <v>-31665053.512524281</v>
      </c>
      <c r="J1717" s="444">
        <f t="array" ref="J1717">IFERROR(INDEX('Retirement Calculator'!J:J,MATCH('Isaac 401k'!N1717,'Retirement Calculator'!A:A,0),0),0)</f>
        <v>0</v>
      </c>
      <c r="K1717" s="444">
        <f t="shared" ca="1" si="131"/>
        <v>-131937.72296885116</v>
      </c>
      <c r="L1717" s="444">
        <f t="shared" ca="1" si="132"/>
        <v>-31796991.235493131</v>
      </c>
      <c r="M1717" s="460">
        <f t="shared" si="134"/>
        <v>0.05</v>
      </c>
      <c r="N1717" s="464">
        <f t="shared" si="135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33"/>
        <v>-31796991.235493131</v>
      </c>
      <c r="J1718" s="444">
        <f t="array" ref="J1718">IFERROR(INDEX('Retirement Calculator'!J:J,MATCH('Isaac 401k'!N1718,'Retirement Calculator'!A:A,0),0),0)</f>
        <v>0</v>
      </c>
      <c r="K1718" s="444">
        <f t="shared" ca="1" si="131"/>
        <v>-132487.46348122135</v>
      </c>
      <c r="L1718" s="444">
        <f t="shared" ca="1" si="132"/>
        <v>-31929478.698974352</v>
      </c>
      <c r="M1718" s="460">
        <f t="shared" si="134"/>
        <v>0.05</v>
      </c>
      <c r="N1718" s="464">
        <f t="shared" si="135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33"/>
        <v>-31929478.698974352</v>
      </c>
      <c r="J1719" s="444">
        <f t="array" ref="J1719">IFERROR(INDEX('Retirement Calculator'!J:J,MATCH('Isaac 401k'!N1719,'Retirement Calculator'!A:A,0),0),0)</f>
        <v>0</v>
      </c>
      <c r="K1719" s="444">
        <f t="shared" ca="1" si="131"/>
        <v>-133039.4945790598</v>
      </c>
      <c r="L1719" s="444">
        <f t="shared" ca="1" si="132"/>
        <v>-32062518.19355341</v>
      </c>
      <c r="M1719" s="460">
        <f t="shared" si="134"/>
        <v>0.05</v>
      </c>
      <c r="N1719" s="464">
        <f t="shared" si="135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33"/>
        <v>-32062518.19355341</v>
      </c>
      <c r="J1720" s="444">
        <f t="array" ref="J1720">IFERROR(INDEX('Retirement Calculator'!J:J,MATCH('Isaac 401k'!N1720,'Retirement Calculator'!A:A,0),0),0)</f>
        <v>0</v>
      </c>
      <c r="K1720" s="444">
        <f t="shared" ca="1" si="131"/>
        <v>-133593.82580647254</v>
      </c>
      <c r="L1720" s="444">
        <f t="shared" ca="1" si="132"/>
        <v>-32196112.019359883</v>
      </c>
      <c r="M1720" s="460">
        <f t="shared" si="134"/>
        <v>0.05</v>
      </c>
      <c r="N1720" s="464">
        <f t="shared" si="135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33"/>
        <v>-32196112.019359883</v>
      </c>
      <c r="J1721" s="444">
        <f t="array" ref="J1721">IFERROR(INDEX('Retirement Calculator'!J:J,MATCH('Isaac 401k'!N1721,'Retirement Calculator'!A:A,0),0),0)</f>
        <v>0</v>
      </c>
      <c r="K1721" s="444">
        <f t="shared" ca="1" si="131"/>
        <v>-134150.46674733283</v>
      </c>
      <c r="L1721" s="444">
        <f t="shared" ca="1" si="132"/>
        <v>-32330262.486107215</v>
      </c>
      <c r="M1721" s="460">
        <f t="shared" si="134"/>
        <v>0.05</v>
      </c>
      <c r="N1721" s="464">
        <f t="shared" si="135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33"/>
        <v>-32330262.486107215</v>
      </c>
      <c r="J1722" s="444">
        <f t="array" ref="J1722">IFERROR(INDEX('Retirement Calculator'!J:J,MATCH('Isaac 401k'!N1722,'Retirement Calculator'!A:A,0),0),0)</f>
        <v>0</v>
      </c>
      <c r="K1722" s="444">
        <f t="shared" ca="1" si="131"/>
        <v>-134709.42702544673</v>
      </c>
      <c r="L1722" s="444">
        <f t="shared" ca="1" si="132"/>
        <v>-32464971.913132664</v>
      </c>
      <c r="M1722" s="460">
        <f t="shared" si="134"/>
        <v>0.05</v>
      </c>
      <c r="N1722" s="464">
        <f t="shared" si="135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33"/>
        <v>-32464971.913132664</v>
      </c>
      <c r="J1723" s="444">
        <f t="array" ref="J1723">IFERROR(INDEX('Retirement Calculator'!J:J,MATCH('Isaac 401k'!N1723,'Retirement Calculator'!A:A,0),0),0)</f>
        <v>0</v>
      </c>
      <c r="K1723" s="444">
        <f t="shared" ca="1" si="131"/>
        <v>-135270.71630471942</v>
      </c>
      <c r="L1723" s="444">
        <f t="shared" ca="1" si="132"/>
        <v>-32600242.629437383</v>
      </c>
      <c r="M1723" s="460">
        <f t="shared" si="134"/>
        <v>0.05</v>
      </c>
      <c r="N1723" s="464">
        <f t="shared" si="135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33"/>
        <v>-32600242.629437383</v>
      </c>
      <c r="J1724" s="444">
        <f t="array" ref="J1724">IFERROR(INDEX('Retirement Calculator'!J:J,MATCH('Isaac 401k'!N1724,'Retirement Calculator'!A:A,0),0),0)</f>
        <v>0</v>
      </c>
      <c r="K1724" s="444">
        <f t="shared" ca="1" si="131"/>
        <v>-135834.34428932244</v>
      </c>
      <c r="L1724" s="444">
        <f t="shared" ca="1" si="132"/>
        <v>-32736076.973726705</v>
      </c>
      <c r="M1724" s="460">
        <f t="shared" si="134"/>
        <v>0.05</v>
      </c>
      <c r="N1724" s="464">
        <f t="shared" si="135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33"/>
        <v>-32736076.973726705</v>
      </c>
      <c r="J1725" s="444">
        <f t="array" ref="J1725">IFERROR(INDEX('Retirement Calculator'!J:J,MATCH('Isaac 401k'!N1725,'Retirement Calculator'!A:A,0),0),0)</f>
        <v>0</v>
      </c>
      <c r="K1725" s="444">
        <f t="shared" ca="1" si="131"/>
        <v>-136400.32072386125</v>
      </c>
      <c r="L1725" s="444">
        <f t="shared" ca="1" si="132"/>
        <v>-32872477.294450566</v>
      </c>
      <c r="M1725" s="460">
        <f t="shared" si="134"/>
        <v>0.05</v>
      </c>
      <c r="N1725" s="464">
        <f t="shared" si="135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33"/>
        <v>-32872477.294450566</v>
      </c>
      <c r="J1726" s="444">
        <f t="array" ref="J1726">IFERROR(INDEX('Retirement Calculator'!J:J,MATCH('Isaac 401k'!N1726,'Retirement Calculator'!A:A,0),0),0)</f>
        <v>0</v>
      </c>
      <c r="K1726" s="444">
        <f t="shared" ca="1" si="131"/>
        <v>-136968.65539354403</v>
      </c>
      <c r="L1726" s="444">
        <f t="shared" ca="1" si="132"/>
        <v>-33009445.949844111</v>
      </c>
      <c r="M1726" s="460">
        <f t="shared" si="134"/>
        <v>0.05</v>
      </c>
      <c r="N1726" s="464">
        <f t="shared" si="135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33"/>
        <v>-33009445.949844111</v>
      </c>
      <c r="J1727" s="444">
        <f t="array" ref="J1727">IFERROR(INDEX('Retirement Calculator'!J:J,MATCH('Isaac 401k'!N1727,'Retirement Calculator'!A:A,0),0),0)</f>
        <v>0</v>
      </c>
      <c r="K1727" s="444">
        <f t="shared" ca="1" si="131"/>
        <v>-137539.35812435043</v>
      </c>
      <c r="L1727" s="444">
        <f t="shared" ca="1" si="132"/>
        <v>-33146985.30796846</v>
      </c>
      <c r="M1727" s="460">
        <f t="shared" si="134"/>
        <v>0.05</v>
      </c>
      <c r="N1727" s="464">
        <f t="shared" si="135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33"/>
        <v>-33146985.30796846</v>
      </c>
      <c r="J1728" s="444">
        <f t="array" ref="J1728">IFERROR(INDEX('Retirement Calculator'!J:J,MATCH('Isaac 401k'!N1728,'Retirement Calculator'!A:A,0),0),0)</f>
        <v>0</v>
      </c>
      <c r="K1728" s="444">
        <f t="shared" ca="1" si="131"/>
        <v>-138112.43878320191</v>
      </c>
      <c r="L1728" s="444">
        <f t="shared" ca="1" si="132"/>
        <v>-33285097.746751662</v>
      </c>
      <c r="M1728" s="460">
        <f t="shared" si="134"/>
        <v>0.05</v>
      </c>
      <c r="N1728" s="464">
        <f t="shared" si="135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33"/>
        <v>-33285097.746751662</v>
      </c>
      <c r="J1729" s="444">
        <f t="array" ref="J1729">IFERROR(INDEX('Retirement Calculator'!J:J,MATCH('Isaac 401k'!N1729,'Retirement Calculator'!A:A,0),0),0)</f>
        <v>0</v>
      </c>
      <c r="K1729" s="444">
        <f t="shared" ca="1" si="131"/>
        <v>-138687.90727813193</v>
      </c>
      <c r="L1729" s="444">
        <f t="shared" ca="1" si="132"/>
        <v>-33423785.654029794</v>
      </c>
      <c r="M1729" s="460">
        <f t="shared" si="134"/>
        <v>0.05</v>
      </c>
      <c r="N1729" s="464">
        <f t="shared" si="135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33"/>
        <v>-33423785.654029794</v>
      </c>
      <c r="J1730" s="444">
        <f t="array" ref="J1730">IFERROR(INDEX('Retirement Calculator'!J:J,MATCH('Isaac 401k'!N1730,'Retirement Calculator'!A:A,0),0),0)</f>
        <v>0</v>
      </c>
      <c r="K1730" s="444">
        <f t="shared" ca="1" si="131"/>
        <v>-139265.7735584575</v>
      </c>
      <c r="L1730" s="444">
        <f t="shared" ca="1" si="132"/>
        <v>-33563051.427588254</v>
      </c>
      <c r="M1730" s="460">
        <f t="shared" si="134"/>
        <v>0.05</v>
      </c>
      <c r="N1730" s="464">
        <f t="shared" si="135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33"/>
        <v>-33563051.427588254</v>
      </c>
      <c r="J1731" s="444">
        <f t="array" ref="J1731">IFERROR(INDEX('Retirement Calculator'!J:J,MATCH('Isaac 401k'!N1731,'Retirement Calculator'!A:A,0),0),0)</f>
        <v>0</v>
      </c>
      <c r="K1731" s="444">
        <f t="shared" ca="1" si="131"/>
        <v>-139846.04761495107</v>
      </c>
      <c r="L1731" s="444">
        <f t="shared" ca="1" si="132"/>
        <v>-33702897.475203209</v>
      </c>
      <c r="M1731" s="460">
        <f t="shared" si="134"/>
        <v>0.05</v>
      </c>
      <c r="N1731" s="464">
        <f t="shared" si="135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33"/>
        <v>-33702897.475203209</v>
      </c>
      <c r="J1732" s="444">
        <f t="array" ref="J1732">IFERROR(INDEX('Retirement Calculator'!J:J,MATCH('Isaac 401k'!N1732,'Retirement Calculator'!A:A,0),0),0)</f>
        <v>0</v>
      </c>
      <c r="K1732" s="444">
        <f t="shared" ca="1" si="131"/>
        <v>-140428.73948001338</v>
      </c>
      <c r="L1732" s="444">
        <f t="shared" ca="1" si="132"/>
        <v>-33843326.21468322</v>
      </c>
      <c r="M1732" s="460">
        <f t="shared" si="134"/>
        <v>0.05</v>
      </c>
      <c r="N1732" s="464">
        <f t="shared" si="135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33"/>
        <v>-33843326.21468322</v>
      </c>
      <c r="J1733" s="444">
        <f t="array" ref="J1733">IFERROR(INDEX('Retirement Calculator'!J:J,MATCH('Isaac 401k'!N1733,'Retirement Calculator'!A:A,0),0),0)</f>
        <v>0</v>
      </c>
      <c r="K1733" s="444">
        <f t="shared" ca="1" si="131"/>
        <v>-141013.85922784675</v>
      </c>
      <c r="L1733" s="444">
        <f t="shared" ca="1" si="132"/>
        <v>-33984340.073911063</v>
      </c>
      <c r="M1733" s="460">
        <f t="shared" si="134"/>
        <v>0.05</v>
      </c>
      <c r="N1733" s="464">
        <f t="shared" si="135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33"/>
        <v>-33984340.073911063</v>
      </c>
      <c r="J1734" s="444">
        <f t="array" ref="J1734">IFERROR(INDEX('Retirement Calculator'!J:J,MATCH('Isaac 401k'!N1734,'Retirement Calculator'!A:A,0),0),0)</f>
        <v>0</v>
      </c>
      <c r="K1734" s="444">
        <f t="shared" ca="1" si="131"/>
        <v>-141601.41697462942</v>
      </c>
      <c r="L1734" s="444">
        <f t="shared" ca="1" si="132"/>
        <v>-34125941.49088569</v>
      </c>
      <c r="M1734" s="460">
        <f t="shared" si="134"/>
        <v>0.05</v>
      </c>
      <c r="N1734" s="464">
        <f t="shared" si="135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33"/>
        <v>-34125941.49088569</v>
      </c>
      <c r="J1735" s="444">
        <f t="array" ref="J1735">IFERROR(INDEX('Retirement Calculator'!J:J,MATCH('Isaac 401k'!N1735,'Retirement Calculator'!A:A,0),0),0)</f>
        <v>0</v>
      </c>
      <c r="K1735" s="444">
        <f t="shared" ca="1" si="131"/>
        <v>-142191.42287869038</v>
      </c>
      <c r="L1735" s="444">
        <f t="shared" ca="1" si="132"/>
        <v>-34268132.91376438</v>
      </c>
      <c r="M1735" s="460">
        <f t="shared" si="134"/>
        <v>0.05</v>
      </c>
      <c r="N1735" s="464">
        <f t="shared" si="135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33"/>
        <v>-34268132.91376438</v>
      </c>
      <c r="J1736" s="444">
        <f t="array" ref="J1736">IFERROR(INDEX('Retirement Calculator'!J:J,MATCH('Isaac 401k'!N1736,'Retirement Calculator'!A:A,0),0),0)</f>
        <v>0</v>
      </c>
      <c r="K1736" s="444">
        <f t="shared" ca="1" si="131"/>
        <v>-142783.88714068491</v>
      </c>
      <c r="L1736" s="444">
        <f t="shared" ca="1" si="132"/>
        <v>-34410916.800905064</v>
      </c>
      <c r="M1736" s="460">
        <f t="shared" si="134"/>
        <v>0.05</v>
      </c>
      <c r="N1736" s="464">
        <f t="shared" si="135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33"/>
        <v>-34410916.800905064</v>
      </c>
      <c r="J1737" s="444">
        <f t="array" ref="J1737">IFERROR(INDEX('Retirement Calculator'!J:J,MATCH('Isaac 401k'!N1737,'Retirement Calculator'!A:A,0),0),0)</f>
        <v>0</v>
      </c>
      <c r="K1737" s="444">
        <f t="shared" ca="1" si="131"/>
        <v>-143378.82000377111</v>
      </c>
      <c r="L1737" s="444">
        <f t="shared" ca="1" si="132"/>
        <v>-34554295.620908834</v>
      </c>
      <c r="M1737" s="460">
        <f t="shared" si="134"/>
        <v>0.05</v>
      </c>
      <c r="N1737" s="464">
        <f t="shared" si="135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33"/>
        <v>-34554295.620908834</v>
      </c>
      <c r="J1738" s="444">
        <f t="array" ref="J1738">IFERROR(INDEX('Retirement Calculator'!J:J,MATCH('Isaac 401k'!N1738,'Retirement Calculator'!A:A,0),0),0)</f>
        <v>0</v>
      </c>
      <c r="K1738" s="444">
        <f t="shared" ca="1" si="131"/>
        <v>-143976.23175378679</v>
      </c>
      <c r="L1738" s="444">
        <f t="shared" ca="1" si="132"/>
        <v>-34698271.852662623</v>
      </c>
      <c r="M1738" s="460">
        <f t="shared" si="134"/>
        <v>0.05</v>
      </c>
      <c r="N1738" s="464">
        <f t="shared" si="135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33"/>
        <v>-34698271.852662623</v>
      </c>
      <c r="J1739" s="444">
        <f t="array" ref="J1739">IFERROR(INDEX('Retirement Calculator'!J:J,MATCH('Isaac 401k'!N1739,'Retirement Calculator'!A:A,0),0),0)</f>
        <v>0</v>
      </c>
      <c r="K1739" s="444">
        <f t="shared" ca="1" si="131"/>
        <v>-144576.13271942758</v>
      </c>
      <c r="L1739" s="444">
        <f t="shared" ca="1" si="132"/>
        <v>-34842847.98538205</v>
      </c>
      <c r="M1739" s="460">
        <f t="shared" si="134"/>
        <v>0.05</v>
      </c>
      <c r="N1739" s="464">
        <f t="shared" si="135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33"/>
        <v>-34842847.98538205</v>
      </c>
      <c r="J1740" s="444">
        <f t="array" ref="J1740">IFERROR(INDEX('Retirement Calculator'!J:J,MATCH('Isaac 401k'!N1740,'Retirement Calculator'!A:A,0),0),0)</f>
        <v>0</v>
      </c>
      <c r="K1740" s="444">
        <f t="shared" ca="1" si="131"/>
        <v>-145178.53327242521</v>
      </c>
      <c r="L1740" s="444">
        <f t="shared" ca="1" si="132"/>
        <v>-34988026.518654473</v>
      </c>
      <c r="M1740" s="460">
        <f t="shared" si="134"/>
        <v>0.05</v>
      </c>
      <c r="N1740" s="464">
        <f t="shared" si="135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33"/>
        <v>-34988026.518654473</v>
      </c>
      <c r="J1741" s="444">
        <f t="array" ref="J1741">IFERROR(INDEX('Retirement Calculator'!J:J,MATCH('Isaac 401k'!N1741,'Retirement Calculator'!A:A,0),0),0)</f>
        <v>0</v>
      </c>
      <c r="K1741" s="444">
        <f t="shared" ca="1" si="131"/>
        <v>-145783.44382772697</v>
      </c>
      <c r="L1741" s="444">
        <f t="shared" ca="1" si="132"/>
        <v>-35133809.962482199</v>
      </c>
      <c r="M1741" s="460">
        <f t="shared" si="134"/>
        <v>0.05</v>
      </c>
      <c r="N1741" s="464">
        <f t="shared" si="135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33"/>
        <v>-35133809.962482199</v>
      </c>
      <c r="J1742" s="444">
        <f t="array" ref="J1742">IFERROR(INDEX('Retirement Calculator'!J:J,MATCH('Isaac 401k'!N1742,'Retirement Calculator'!A:A,0),0),0)</f>
        <v>0</v>
      </c>
      <c r="K1742" s="444">
        <f t="shared" ca="1" si="131"/>
        <v>-146390.87484367582</v>
      </c>
      <c r="L1742" s="444">
        <f t="shared" ca="1" si="132"/>
        <v>-35280200.837325878</v>
      </c>
      <c r="M1742" s="460">
        <f t="shared" si="134"/>
        <v>0.05</v>
      </c>
      <c r="N1742" s="464">
        <f t="shared" si="135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33"/>
        <v>-35280200.837325878</v>
      </c>
      <c r="J1743" s="444">
        <f t="array" ref="J1743">IFERROR(INDEX('Retirement Calculator'!J:J,MATCH('Isaac 401k'!N1743,'Retirement Calculator'!A:A,0),0),0)</f>
        <v>0</v>
      </c>
      <c r="K1743" s="444">
        <f t="shared" ca="1" si="131"/>
        <v>-147000.83682219117</v>
      </c>
      <c r="L1743" s="444">
        <f t="shared" ca="1" si="132"/>
        <v>-35427201.674148068</v>
      </c>
      <c r="M1743" s="460">
        <f t="shared" si="134"/>
        <v>0.05</v>
      </c>
      <c r="N1743" s="464">
        <f t="shared" si="135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33"/>
        <v>-35427201.674148068</v>
      </c>
      <c r="J1744" s="444">
        <f t="array" ref="J1744">IFERROR(INDEX('Retirement Calculator'!J:J,MATCH('Isaac 401k'!N1744,'Retirement Calculator'!A:A,0),0),0)</f>
        <v>0</v>
      </c>
      <c r="K1744" s="444">
        <f t="shared" ca="1" si="131"/>
        <v>-147613.34030895028</v>
      </c>
      <c r="L1744" s="444">
        <f t="shared" ca="1" si="132"/>
        <v>-35574815.014457017</v>
      </c>
      <c r="M1744" s="460">
        <f t="shared" si="134"/>
        <v>0.05</v>
      </c>
      <c r="N1744" s="464">
        <f t="shared" si="135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33"/>
        <v>-35574815.014457017</v>
      </c>
      <c r="J1745" s="444">
        <f t="array" ref="J1745">IFERROR(INDEX('Retirement Calculator'!J:J,MATCH('Isaac 401k'!N1745,'Retirement Calculator'!A:A,0),0),0)</f>
        <v>0</v>
      </c>
      <c r="K1745" s="444">
        <f t="shared" ca="1" si="131"/>
        <v>-148228.39589357091</v>
      </c>
      <c r="L1745" s="444">
        <f t="shared" ca="1" si="132"/>
        <v>-35723043.410350591</v>
      </c>
      <c r="M1745" s="460">
        <f t="shared" si="134"/>
        <v>0.05</v>
      </c>
      <c r="N1745" s="464">
        <f t="shared" si="135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33"/>
        <v>-35723043.410350591</v>
      </c>
      <c r="J1746" s="444">
        <f t="array" ref="J1746">IFERROR(INDEX('Retirement Calculator'!J:J,MATCH('Isaac 401k'!N1746,'Retirement Calculator'!A:A,0),0),0)</f>
        <v>0</v>
      </c>
      <c r="K1746" s="444">
        <f t="shared" ca="1" si="131"/>
        <v>-148846.01420979411</v>
      </c>
      <c r="L1746" s="444">
        <f t="shared" ca="1" si="132"/>
        <v>-35871889.424560383</v>
      </c>
      <c r="M1746" s="460">
        <f t="shared" si="134"/>
        <v>0.05</v>
      </c>
      <c r="N1746" s="464">
        <f t="shared" si="135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33"/>
        <v>-35871889.424560383</v>
      </c>
      <c r="J1747" s="444">
        <f t="array" ref="J1747">IFERROR(INDEX('Retirement Calculator'!J:J,MATCH('Isaac 401k'!N1747,'Retirement Calculator'!A:A,0),0),0)</f>
        <v>0</v>
      </c>
      <c r="K1747" s="444">
        <f t="shared" ca="1" si="131"/>
        <v>-149466.20593566826</v>
      </c>
      <c r="L1747" s="444">
        <f t="shared" ca="1" si="132"/>
        <v>-36021355.630496055</v>
      </c>
      <c r="M1747" s="460">
        <f t="shared" si="134"/>
        <v>0.05</v>
      </c>
      <c r="N1747" s="464">
        <f t="shared" si="135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33"/>
        <v>-36021355.630496055</v>
      </c>
      <c r="J1748" s="444">
        <f t="array" ref="J1748">IFERROR(INDEX('Retirement Calculator'!J:J,MATCH('Isaac 401k'!N1748,'Retirement Calculator'!A:A,0),0),0)</f>
        <v>0</v>
      </c>
      <c r="K1748" s="444">
        <f t="shared" ca="1" si="131"/>
        <v>-150088.98179373355</v>
      </c>
      <c r="L1748" s="444">
        <f t="shared" ca="1" si="132"/>
        <v>-36171444.612289786</v>
      </c>
      <c r="M1748" s="460">
        <f t="shared" si="134"/>
        <v>0.05</v>
      </c>
      <c r="N1748" s="464">
        <f t="shared" si="135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33"/>
        <v>-36171444.612289786</v>
      </c>
      <c r="J1749" s="444">
        <f t="array" ref="J1749">IFERROR(INDEX('Retirement Calculator'!J:J,MATCH('Isaac 401k'!N1749,'Retirement Calculator'!A:A,0),0),0)</f>
        <v>0</v>
      </c>
      <c r="K1749" s="444">
        <f t="shared" ca="1" si="131"/>
        <v>-150714.35255120744</v>
      </c>
      <c r="L1749" s="444">
        <f t="shared" ca="1" si="132"/>
        <v>-36322158.964840993</v>
      </c>
      <c r="M1749" s="460">
        <f t="shared" si="134"/>
        <v>0.05</v>
      </c>
      <c r="N1749" s="464">
        <f t="shared" si="135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33"/>
        <v>-36322158.964840993</v>
      </c>
      <c r="J1750" s="444">
        <f t="array" ref="J1750">IFERROR(INDEX('Retirement Calculator'!J:J,MATCH('Isaac 401k'!N1750,'Retirement Calculator'!A:A,0),0),0)</f>
        <v>0</v>
      </c>
      <c r="K1750" s="444">
        <f t="shared" ca="1" si="131"/>
        <v>-151342.32902017082</v>
      </c>
      <c r="L1750" s="444">
        <f t="shared" ca="1" si="132"/>
        <v>-36473501.293861166</v>
      </c>
      <c r="M1750" s="460">
        <f t="shared" si="134"/>
        <v>0.05</v>
      </c>
      <c r="N1750" s="464">
        <f t="shared" si="135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33"/>
        <v>-36473501.293861166</v>
      </c>
      <c r="J1751" s="444">
        <f t="array" ref="J1751">IFERROR(INDEX('Retirement Calculator'!J:J,MATCH('Isaac 401k'!N1751,'Retirement Calculator'!A:A,0),0),0)</f>
        <v>0</v>
      </c>
      <c r="K1751" s="444">
        <f t="shared" ca="1" si="131"/>
        <v>-151972.92205775485</v>
      </c>
      <c r="L1751" s="444">
        <f t="shared" ca="1" si="132"/>
        <v>-36625474.215918921</v>
      </c>
      <c r="M1751" s="460">
        <f t="shared" si="134"/>
        <v>0.05</v>
      </c>
      <c r="N1751" s="464">
        <f t="shared" si="135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33"/>
        <v>-36625474.215918921</v>
      </c>
      <c r="J1752" s="444">
        <f t="array" ref="J1752">IFERROR(INDEX('Retirement Calculator'!J:J,MATCH('Isaac 401k'!N1752,'Retirement Calculator'!A:A,0),0),0)</f>
        <v>0</v>
      </c>
      <c r="K1752" s="444">
        <f t="shared" ca="1" si="131"/>
        <v>-152606.14256632884</v>
      </c>
      <c r="L1752" s="444">
        <f t="shared" ca="1" si="132"/>
        <v>-36778080.358485252</v>
      </c>
      <c r="M1752" s="460">
        <f t="shared" si="134"/>
        <v>0.05</v>
      </c>
      <c r="N1752" s="464">
        <f t="shared" si="135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33"/>
        <v>-36778080.358485252</v>
      </c>
      <c r="J1753" s="444">
        <f t="array" ref="J1753">IFERROR(INDEX('Retirement Calculator'!J:J,MATCH('Isaac 401k'!N1753,'Retirement Calculator'!A:A,0),0),0)</f>
        <v>0</v>
      </c>
      <c r="K1753" s="444">
        <f t="shared" ca="1" si="131"/>
        <v>-153242.00149368856</v>
      </c>
      <c r="L1753" s="444">
        <f t="shared" ca="1" si="132"/>
        <v>-36931322.359978937</v>
      </c>
      <c r="M1753" s="460">
        <f t="shared" si="134"/>
        <v>0.05</v>
      </c>
      <c r="N1753" s="464">
        <f t="shared" si="135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33"/>
        <v>-36931322.359978937</v>
      </c>
      <c r="J1754" s="444">
        <f t="array" ref="J1754">IFERROR(INDEX('Retirement Calculator'!J:J,MATCH('Isaac 401k'!N1754,'Retirement Calculator'!A:A,0),0),0)</f>
        <v>0</v>
      </c>
      <c r="K1754" s="444">
        <f t="shared" ca="1" si="131"/>
        <v>-153880.50983324557</v>
      </c>
      <c r="L1754" s="444">
        <f t="shared" ca="1" si="132"/>
        <v>-37085202.869812183</v>
      </c>
      <c r="M1754" s="460">
        <f t="shared" si="134"/>
        <v>0.05</v>
      </c>
      <c r="N1754" s="464">
        <f t="shared" si="135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33"/>
        <v>-37085202.869812183</v>
      </c>
      <c r="J1755" s="444">
        <f t="array" ref="J1755">IFERROR(INDEX('Retirement Calculator'!J:J,MATCH('Isaac 401k'!N1755,'Retirement Calculator'!A:A,0),0),0)</f>
        <v>0</v>
      </c>
      <c r="K1755" s="444">
        <f t="shared" ca="1" si="131"/>
        <v>-154521.67862421743</v>
      </c>
      <c r="L1755" s="444">
        <f t="shared" ca="1" si="132"/>
        <v>-37239724.548436403</v>
      </c>
      <c r="M1755" s="460">
        <f t="shared" si="134"/>
        <v>0.05</v>
      </c>
      <c r="N1755" s="464">
        <f t="shared" si="135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33"/>
        <v>-37239724.548436403</v>
      </c>
      <c r="J1756" s="444">
        <f t="array" ref="J1756">IFERROR(INDEX('Retirement Calculator'!J:J,MATCH('Isaac 401k'!N1756,'Retirement Calculator'!A:A,0),0),0)</f>
        <v>0</v>
      </c>
      <c r="K1756" s="444">
        <f t="shared" ca="1" si="131"/>
        <v>-155165.51895181835</v>
      </c>
      <c r="L1756" s="444">
        <f t="shared" ca="1" si="132"/>
        <v>-37394890.067388222</v>
      </c>
      <c r="M1756" s="460">
        <f t="shared" si="134"/>
        <v>0.05</v>
      </c>
      <c r="N1756" s="464">
        <f t="shared" si="135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33"/>
        <v>-37394890.067388222</v>
      </c>
      <c r="J1757" s="444">
        <f t="array" ref="J1757">IFERROR(INDEX('Retirement Calculator'!J:J,MATCH('Isaac 401k'!N1757,'Retirement Calculator'!A:A,0),0),0)</f>
        <v>0</v>
      </c>
      <c r="K1757" s="444">
        <f t="shared" ca="1" si="131"/>
        <v>-155812.04194745093</v>
      </c>
      <c r="L1757" s="444">
        <f t="shared" ca="1" si="132"/>
        <v>-37550702.109335676</v>
      </c>
      <c r="M1757" s="460">
        <f t="shared" si="134"/>
        <v>0.05</v>
      </c>
      <c r="N1757" s="464">
        <f t="shared" si="135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33"/>
        <v>-37550702.109335676</v>
      </c>
      <c r="J1758" s="444">
        <f t="array" ref="J1758">IFERROR(INDEX('Retirement Calculator'!J:J,MATCH('Isaac 401k'!N1758,'Retirement Calculator'!A:A,0),0),0)</f>
        <v>0</v>
      </c>
      <c r="K1758" s="444">
        <f t="shared" ca="1" si="131"/>
        <v>-156461.25878889865</v>
      </c>
      <c r="L1758" s="444">
        <f t="shared" ca="1" si="132"/>
        <v>-37707163.368124574</v>
      </c>
      <c r="M1758" s="460">
        <f t="shared" si="134"/>
        <v>0.05</v>
      </c>
      <c r="N1758" s="464">
        <f t="shared" si="135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33"/>
        <v>-37707163.368124574</v>
      </c>
      <c r="J1759" s="444">
        <f t="array" ref="J1759">IFERROR(INDEX('Retirement Calculator'!J:J,MATCH('Isaac 401k'!N1759,'Retirement Calculator'!A:A,0),0),0)</f>
        <v>0</v>
      </c>
      <c r="K1759" s="444">
        <f t="shared" ca="1" si="131"/>
        <v>-157113.18070051906</v>
      </c>
      <c r="L1759" s="444">
        <f t="shared" ca="1" si="132"/>
        <v>-37864276.548825093</v>
      </c>
      <c r="M1759" s="460">
        <f t="shared" si="134"/>
        <v>0.05</v>
      </c>
      <c r="N1759" s="464">
        <f t="shared" si="135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33"/>
        <v>-37864276.548825093</v>
      </c>
      <c r="J1760" s="444">
        <f t="array" ref="J1760">IFERROR(INDEX('Retirement Calculator'!J:J,MATCH('Isaac 401k'!N1760,'Retirement Calculator'!A:A,0),0),0)</f>
        <v>0</v>
      </c>
      <c r="K1760" s="444">
        <f t="shared" ca="1" si="131"/>
        <v>-157767.81895343788</v>
      </c>
      <c r="L1760" s="444">
        <f t="shared" ca="1" si="132"/>
        <v>-38022044.367778532</v>
      </c>
      <c r="M1760" s="460">
        <f t="shared" si="134"/>
        <v>0.05</v>
      </c>
      <c r="N1760" s="464">
        <f t="shared" si="135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33"/>
        <v>-38022044.367778532</v>
      </c>
      <c r="J1761" s="444">
        <f t="array" ref="J1761">IFERROR(INDEX('Retirement Calculator'!J:J,MATCH('Isaac 401k'!N1761,'Retirement Calculator'!A:A,0),0),0)</f>
        <v>0</v>
      </c>
      <c r="K1761" s="444">
        <f t="shared" ca="1" si="131"/>
        <v>-158425.18486574388</v>
      </c>
      <c r="L1761" s="444">
        <f t="shared" ca="1" si="132"/>
        <v>-38180469.552644275</v>
      </c>
      <c r="M1761" s="460">
        <f t="shared" si="134"/>
        <v>0.05</v>
      </c>
      <c r="N1761" s="464">
        <f t="shared" si="135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33"/>
        <v>-38180469.552644275</v>
      </c>
      <c r="J1762" s="444">
        <f t="array" ref="J1762">IFERROR(INDEX('Retirement Calculator'!J:J,MATCH('Isaac 401k'!N1762,'Retirement Calculator'!A:A,0),0),0)</f>
        <v>0</v>
      </c>
      <c r="K1762" s="444">
        <f t="shared" ca="1" si="131"/>
        <v>-159085.28980268448</v>
      </c>
      <c r="L1762" s="444">
        <f t="shared" ca="1" si="132"/>
        <v>-38339554.842446961</v>
      </c>
      <c r="M1762" s="460">
        <f t="shared" si="134"/>
        <v>0.05</v>
      </c>
      <c r="N1762" s="464">
        <f t="shared" si="135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33"/>
        <v>-38339554.842446961</v>
      </c>
      <c r="J1763" s="444">
        <f t="array" ref="J1763">IFERROR(INDEX('Retirement Calculator'!J:J,MATCH('Isaac 401k'!N1763,'Retirement Calculator'!A:A,0),0),0)</f>
        <v>0</v>
      </c>
      <c r="K1763" s="444">
        <f t="shared" ca="1" si="131"/>
        <v>-159748.14517686234</v>
      </c>
      <c r="L1763" s="444">
        <f t="shared" ca="1" si="132"/>
        <v>-38499302.987623826</v>
      </c>
      <c r="M1763" s="460">
        <f t="shared" si="134"/>
        <v>0.05</v>
      </c>
      <c r="N1763" s="464">
        <f t="shared" si="135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33"/>
        <v>-38499302.987623826</v>
      </c>
      <c r="J1764" s="444">
        <f t="array" ref="J1764">IFERROR(INDEX('Retirement Calculator'!J:J,MATCH('Isaac 401k'!N1764,'Retirement Calculator'!A:A,0),0),0)</f>
        <v>0</v>
      </c>
      <c r="K1764" s="444">
        <f t="shared" ca="1" si="131"/>
        <v>-160413.76244843259</v>
      </c>
      <c r="L1764" s="444">
        <f t="shared" ca="1" si="132"/>
        <v>-38659716.750072256</v>
      </c>
      <c r="M1764" s="460">
        <f t="shared" si="134"/>
        <v>0.05</v>
      </c>
      <c r="N1764" s="464">
        <f t="shared" si="135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33"/>
        <v>-38659716.750072256</v>
      </c>
      <c r="J1765" s="444">
        <f t="array" ref="J1765">IFERROR(INDEX('Retirement Calculator'!J:J,MATCH('Isaac 401k'!N1765,'Retirement Calculator'!A:A,0),0),0)</f>
        <v>0</v>
      </c>
      <c r="K1765" s="444">
        <f t="shared" ca="1" si="131"/>
        <v>-161082.15312530106</v>
      </c>
      <c r="L1765" s="444">
        <f t="shared" ca="1" si="132"/>
        <v>-38820798.903197557</v>
      </c>
      <c r="M1765" s="460">
        <f t="shared" si="134"/>
        <v>0.05</v>
      </c>
      <c r="N1765" s="464">
        <f t="shared" si="135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33"/>
        <v>-38820798.903197557</v>
      </c>
      <c r="J1766" s="444">
        <f t="array" ref="J1766">IFERROR(INDEX('Retirement Calculator'!J:J,MATCH('Isaac 401k'!N1766,'Retirement Calculator'!A:A,0),0),0)</f>
        <v>0</v>
      </c>
      <c r="K1766" s="444">
        <f t="shared" ca="1" si="131"/>
        <v>-161753.32876332314</v>
      </c>
      <c r="L1766" s="444">
        <f t="shared" ca="1" si="132"/>
        <v>-38982552.231960878</v>
      </c>
      <c r="M1766" s="460">
        <f t="shared" si="134"/>
        <v>0.05</v>
      </c>
      <c r="N1766" s="464">
        <f t="shared" si="135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33"/>
        <v>-38982552.231960878</v>
      </c>
      <c r="J1767" s="444">
        <f t="array" ref="J1767">IFERROR(INDEX('Retirement Calculator'!J:J,MATCH('Isaac 401k'!N1767,'Retirement Calculator'!A:A,0),0),0)</f>
        <v>0</v>
      </c>
      <c r="K1767" s="444">
        <f t="shared" ca="1" si="131"/>
        <v>-162427.30096650365</v>
      </c>
      <c r="L1767" s="444">
        <f t="shared" ca="1" si="132"/>
        <v>-39144979.532927379</v>
      </c>
      <c r="M1767" s="460">
        <f t="shared" si="134"/>
        <v>0.05</v>
      </c>
      <c r="N1767" s="464">
        <f t="shared" si="135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33"/>
        <v>-39144979.532927379</v>
      </c>
      <c r="J1768" s="444">
        <f t="array" ref="J1768">IFERROR(INDEX('Retirement Calculator'!J:J,MATCH('Isaac 401k'!N1768,'Retirement Calculator'!A:A,0),0),0)</f>
        <v>0</v>
      </c>
      <c r="K1768" s="444">
        <f t="shared" ca="1" si="131"/>
        <v>-163104.08138719742</v>
      </c>
      <c r="L1768" s="444">
        <f t="shared" ca="1" si="132"/>
        <v>-39308083.614314578</v>
      </c>
      <c r="M1768" s="460">
        <f t="shared" si="134"/>
        <v>0.05</v>
      </c>
      <c r="N1768" s="464">
        <f t="shared" si="135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33"/>
        <v>-39308083.614314578</v>
      </c>
      <c r="J1769" s="444">
        <f t="array" ref="J1769">IFERROR(INDEX('Retirement Calculator'!J:J,MATCH('Isaac 401k'!N1769,'Retirement Calculator'!A:A,0),0),0)</f>
        <v>0</v>
      </c>
      <c r="K1769" s="444">
        <f t="shared" ca="1" si="131"/>
        <v>-163783.68172631075</v>
      </c>
      <c r="L1769" s="444">
        <f t="shared" ca="1" si="132"/>
        <v>-39471867.296040893</v>
      </c>
      <c r="M1769" s="460">
        <f t="shared" si="134"/>
        <v>0.05</v>
      </c>
      <c r="N1769" s="464">
        <f t="shared" si="135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33"/>
        <v>-39471867.296040893</v>
      </c>
      <c r="J1770" s="444">
        <f t="array" ref="J1770">IFERROR(INDEX('Retirement Calculator'!J:J,MATCH('Isaac 401k'!N1770,'Retirement Calculator'!A:A,0),0),0)</f>
        <v>0</v>
      </c>
      <c r="K1770" s="444">
        <f t="shared" ca="1" si="131"/>
        <v>-164466.11373350371</v>
      </c>
      <c r="L1770" s="444">
        <f t="shared" ca="1" si="132"/>
        <v>-39636333.409774393</v>
      </c>
      <c r="M1770" s="460">
        <f t="shared" si="134"/>
        <v>0.05</v>
      </c>
      <c r="N1770" s="464">
        <f t="shared" si="135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33"/>
        <v>-39636333.409774393</v>
      </c>
      <c r="J1771" s="444">
        <f t="array" ref="J1771">IFERROR(INDEX('Retirement Calculator'!J:J,MATCH('Isaac 401k'!N1771,'Retirement Calculator'!A:A,0),0),0)</f>
        <v>0</v>
      </c>
      <c r="K1771" s="444">
        <f t="shared" ca="1" si="131"/>
        <v>-165151.38920739331</v>
      </c>
      <c r="L1771" s="444">
        <f t="shared" ca="1" si="132"/>
        <v>-39801484.798981786</v>
      </c>
      <c r="M1771" s="460">
        <f t="shared" si="134"/>
        <v>0.05</v>
      </c>
      <c r="N1771" s="464">
        <f t="shared" si="135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33"/>
        <v>-39801484.798981786</v>
      </c>
      <c r="J1772" s="444">
        <f t="array" ref="J1772">IFERROR(INDEX('Retirement Calculator'!J:J,MATCH('Isaac 401k'!N1772,'Retirement Calculator'!A:A,0),0),0)</f>
        <v>0</v>
      </c>
      <c r="K1772" s="444">
        <f t="shared" ca="1" si="131"/>
        <v>-165839.51999575744</v>
      </c>
      <c r="L1772" s="444">
        <f t="shared" ca="1" si="132"/>
        <v>-39967324.318977542</v>
      </c>
      <c r="M1772" s="460">
        <f t="shared" si="134"/>
        <v>0.05</v>
      </c>
      <c r="N1772" s="464">
        <f t="shared" si="135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33"/>
        <v>-39967324.318977542</v>
      </c>
      <c r="J1773" s="444">
        <f t="array" ref="J1773">IFERROR(INDEX('Retirement Calculator'!J:J,MATCH('Isaac 401k'!N1773,'Retirement Calculator'!A:A,0),0),0)</f>
        <v>0</v>
      </c>
      <c r="K1773" s="444">
        <f t="shared" ca="1" si="131"/>
        <v>-166530.51799573976</v>
      </c>
      <c r="L1773" s="444">
        <f t="shared" ca="1" si="132"/>
        <v>-40133854.83697328</v>
      </c>
      <c r="M1773" s="460">
        <f t="shared" si="134"/>
        <v>0.05</v>
      </c>
      <c r="N1773" s="464">
        <f t="shared" si="135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33"/>
        <v>-40133854.83697328</v>
      </c>
      <c r="J1774" s="444">
        <f t="array" ref="J1774">IFERROR(INDEX('Retirement Calculator'!J:J,MATCH('Isaac 401k'!N1774,'Retirement Calculator'!A:A,0),0),0)</f>
        <v>0</v>
      </c>
      <c r="K1774" s="444">
        <f t="shared" ca="1" si="131"/>
        <v>-167224.39515405532</v>
      </c>
      <c r="L1774" s="444">
        <f t="shared" ca="1" si="132"/>
        <v>-40301079.232127339</v>
      </c>
      <c r="M1774" s="460">
        <f t="shared" si="134"/>
        <v>0.05</v>
      </c>
      <c r="N1774" s="464">
        <f t="shared" si="135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33"/>
        <v>-40301079.232127339</v>
      </c>
      <c r="J1775" s="444">
        <f t="array" ref="J1775">IFERROR(INDEX('Retirement Calculator'!J:J,MATCH('Isaac 401k'!N1775,'Retirement Calculator'!A:A,0),0),0)</f>
        <v>0</v>
      </c>
      <c r="K1775" s="444">
        <f t="shared" ca="1" si="131"/>
        <v>-167921.16346719724</v>
      </c>
      <c r="L1775" s="444">
        <f t="shared" ca="1" si="132"/>
        <v>-40469000.395594537</v>
      </c>
      <c r="M1775" s="460">
        <f t="shared" si="134"/>
        <v>0.05</v>
      </c>
      <c r="N1775" s="464">
        <f t="shared" si="135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33"/>
        <v>-40469000.395594537</v>
      </c>
      <c r="J1776" s="444">
        <f t="array" ref="J1776">IFERROR(INDEX('Retirement Calculator'!J:J,MATCH('Isaac 401k'!N1776,'Retirement Calculator'!A:A,0),0),0)</f>
        <v>0</v>
      </c>
      <c r="K1776" s="444">
        <f t="shared" ca="1" si="131"/>
        <v>-168620.83498164391</v>
      </c>
      <c r="L1776" s="444">
        <f t="shared" ca="1" si="132"/>
        <v>-40637621.23057618</v>
      </c>
      <c r="M1776" s="460">
        <f t="shared" si="134"/>
        <v>0.05</v>
      </c>
      <c r="N1776" s="464">
        <f t="shared" si="135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33"/>
        <v>-40637621.23057618</v>
      </c>
      <c r="J1777" s="444">
        <f t="array" ref="J1777">IFERROR(INDEX('Retirement Calculator'!J:J,MATCH('Isaac 401k'!N1777,'Retirement Calculator'!A:A,0),0),0)</f>
        <v>0</v>
      </c>
      <c r="K1777" s="444">
        <f t="shared" ca="1" si="131"/>
        <v>-169323.42179406743</v>
      </c>
      <c r="L1777" s="444">
        <f t="shared" ca="1" si="132"/>
        <v>-40806944.652370244</v>
      </c>
      <c r="M1777" s="460">
        <f t="shared" si="134"/>
        <v>0.05</v>
      </c>
      <c r="N1777" s="464">
        <f t="shared" si="135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33"/>
        <v>-40806944.652370244</v>
      </c>
      <c r="J1778" s="444">
        <f t="array" ref="J1778">IFERROR(INDEX('Retirement Calculator'!J:J,MATCH('Isaac 401k'!N1778,'Retirement Calculator'!A:A,0),0),0)</f>
        <v>0</v>
      </c>
      <c r="K1778" s="444">
        <f t="shared" ca="1" si="131"/>
        <v>-170028.9360515427</v>
      </c>
      <c r="L1778" s="444">
        <f t="shared" ca="1" si="132"/>
        <v>-40976973.588421784</v>
      </c>
      <c r="M1778" s="460">
        <f t="shared" si="134"/>
        <v>0.05</v>
      </c>
      <c r="N1778" s="464">
        <f t="shared" si="135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33"/>
        <v>-40976973.588421784</v>
      </c>
      <c r="J1779" s="444">
        <f t="array" ref="J1779">IFERROR(INDEX('Retirement Calculator'!J:J,MATCH('Isaac 401k'!N1779,'Retirement Calculator'!A:A,0),0),0)</f>
        <v>0</v>
      </c>
      <c r="K1779" s="444">
        <f t="shared" ca="1" si="131"/>
        <v>-170737.38995175745</v>
      </c>
      <c r="L1779" s="444">
        <f t="shared" ca="1" si="132"/>
        <v>-41147710.978373542</v>
      </c>
      <c r="M1779" s="460">
        <f t="shared" si="134"/>
        <v>0.05</v>
      </c>
      <c r="N1779" s="464">
        <f t="shared" si="135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33"/>
        <v>-41147710.978373542</v>
      </c>
      <c r="J1780" s="444">
        <f t="array" ref="J1780">IFERROR(INDEX('Retirement Calculator'!J:J,MATCH('Isaac 401k'!N1780,'Retirement Calculator'!A:A,0),0),0)</f>
        <v>0</v>
      </c>
      <c r="K1780" s="444">
        <f t="shared" ca="1" si="131"/>
        <v>-171448.79574322311</v>
      </c>
      <c r="L1780" s="444">
        <f t="shared" ca="1" si="132"/>
        <v>-41319159.774116762</v>
      </c>
      <c r="M1780" s="460">
        <f t="shared" si="134"/>
        <v>0.05</v>
      </c>
      <c r="N1780" s="464">
        <f t="shared" si="135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33"/>
        <v>-41319159.774116762</v>
      </c>
      <c r="J1781" s="444">
        <f t="array" ref="J1781">IFERROR(INDEX('Retirement Calculator'!J:J,MATCH('Isaac 401k'!N1781,'Retirement Calculator'!A:A,0),0),0)</f>
        <v>0</v>
      </c>
      <c r="K1781" s="444">
        <f t="shared" ca="1" si="131"/>
        <v>-172163.1657254865</v>
      </c>
      <c r="L1781" s="444">
        <f t="shared" ca="1" si="132"/>
        <v>-41491322.939842246</v>
      </c>
      <c r="M1781" s="460">
        <f t="shared" si="134"/>
        <v>0.05</v>
      </c>
      <c r="N1781" s="464">
        <f t="shared" si="135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33"/>
        <v>-41491322.939842246</v>
      </c>
      <c r="J1782" s="444">
        <f t="array" ref="J1782">IFERROR(INDEX('Retirement Calculator'!J:J,MATCH('Isaac 401k'!N1782,'Retirement Calculator'!A:A,0),0),0)</f>
        <v>0</v>
      </c>
      <c r="K1782" s="444">
        <f t="shared" ca="1" si="131"/>
        <v>-172880.51224934269</v>
      </c>
      <c r="L1782" s="444">
        <f t="shared" ca="1" si="132"/>
        <v>-41664203.45209159</v>
      </c>
      <c r="M1782" s="460">
        <f t="shared" si="134"/>
        <v>0.05</v>
      </c>
      <c r="N1782" s="464">
        <f t="shared" si="135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33"/>
        <v>-41664203.45209159</v>
      </c>
      <c r="J1783" s="444">
        <f t="array" ref="J1783">IFERROR(INDEX('Retirement Calculator'!J:J,MATCH('Isaac 401k'!N1783,'Retirement Calculator'!A:A,0),0),0)</f>
        <v>0</v>
      </c>
      <c r="K1783" s="444">
        <f t="shared" ca="1" si="131"/>
        <v>-173600.84771704828</v>
      </c>
      <c r="L1783" s="444">
        <f t="shared" ca="1" si="132"/>
        <v>-41837804.299808636</v>
      </c>
      <c r="M1783" s="460">
        <f t="shared" si="134"/>
        <v>0.05</v>
      </c>
      <c r="N1783" s="464">
        <f t="shared" si="135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33"/>
        <v>-41837804.299808636</v>
      </c>
      <c r="J1784" s="444">
        <f t="array" ref="J1784">IFERROR(INDEX('Retirement Calculator'!J:J,MATCH('Isaac 401k'!N1784,'Retirement Calculator'!A:A,0),0),0)</f>
        <v>0</v>
      </c>
      <c r="K1784" s="444">
        <f t="shared" ca="1" si="131"/>
        <v>-174324.18458253599</v>
      </c>
      <c r="L1784" s="444">
        <f t="shared" ca="1" si="132"/>
        <v>-42012128.484391175</v>
      </c>
      <c r="M1784" s="460">
        <f t="shared" si="134"/>
        <v>0.05</v>
      </c>
      <c r="N1784" s="464">
        <f t="shared" si="135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33"/>
        <v>-42012128.484391175</v>
      </c>
      <c r="J1785" s="444">
        <f t="array" ref="J1785">IFERROR(INDEX('Retirement Calculator'!J:J,MATCH('Isaac 401k'!N1785,'Retirement Calculator'!A:A,0),0),0)</f>
        <v>0</v>
      </c>
      <c r="K1785" s="444">
        <f t="shared" ca="1" si="131"/>
        <v>-175050.53535162989</v>
      </c>
      <c r="L1785" s="444">
        <f t="shared" ca="1" si="132"/>
        <v>-42187179.019742802</v>
      </c>
      <c r="M1785" s="460">
        <f t="shared" si="134"/>
        <v>0.05</v>
      </c>
      <c r="N1785" s="464">
        <f t="shared" si="135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33"/>
        <v>-42187179.019742802</v>
      </c>
      <c r="J1786" s="444">
        <f t="array" ref="J1786">IFERROR(INDEX('Retirement Calculator'!J:J,MATCH('Isaac 401k'!N1786,'Retirement Calculator'!A:A,0),0),0)</f>
        <v>0</v>
      </c>
      <c r="K1786" s="444">
        <f t="shared" ca="1" si="131"/>
        <v>-175779.91258226166</v>
      </c>
      <c r="L1786" s="444">
        <f t="shared" ca="1" si="132"/>
        <v>-42362958.932325065</v>
      </c>
      <c r="M1786" s="460">
        <f t="shared" si="134"/>
        <v>0.05</v>
      </c>
      <c r="N1786" s="464">
        <f t="shared" si="135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33"/>
        <v>-42362958.932325065</v>
      </c>
      <c r="J1787" s="444">
        <f t="array" ref="J1787">IFERROR(INDEX('Retirement Calculator'!J:J,MATCH('Isaac 401k'!N1787,'Retirement Calculator'!A:A,0),0),0)</f>
        <v>0</v>
      </c>
      <c r="K1787" s="444">
        <f t="shared" ca="1" si="131"/>
        <v>-176512.32888468777</v>
      </c>
      <c r="L1787" s="444">
        <f t="shared" ca="1" si="132"/>
        <v>-42539471.261209756</v>
      </c>
      <c r="M1787" s="460">
        <f t="shared" si="134"/>
        <v>0.05</v>
      </c>
      <c r="N1787" s="464">
        <f t="shared" si="135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33"/>
        <v>-42539471.261209756</v>
      </c>
      <c r="J1788" s="444">
        <f t="array" ref="J1788">IFERROR(INDEX('Retirement Calculator'!J:J,MATCH('Isaac 401k'!N1788,'Retirement Calculator'!A:A,0),0),0)</f>
        <v>0</v>
      </c>
      <c r="K1788" s="444">
        <f t="shared" ca="1" si="131"/>
        <v>-177247.79692170731</v>
      </c>
      <c r="L1788" s="444">
        <f t="shared" ca="1" si="132"/>
        <v>-42716719.058131464</v>
      </c>
      <c r="M1788" s="460">
        <f t="shared" si="134"/>
        <v>0.05</v>
      </c>
      <c r="N1788" s="464">
        <f t="shared" si="135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33"/>
        <v>-42716719.058131464</v>
      </c>
      <c r="J1789" s="444">
        <f t="array" ref="J1789">IFERROR(INDEX('Retirement Calculator'!J:J,MATCH('Isaac 401k'!N1789,'Retirement Calculator'!A:A,0),0),0)</f>
        <v>0</v>
      </c>
      <c r="K1789" s="444">
        <f t="shared" ca="1" si="131"/>
        <v>-177986.32940888111</v>
      </c>
      <c r="L1789" s="444">
        <f t="shared" ca="1" si="132"/>
        <v>-42894705.387540348</v>
      </c>
      <c r="M1789" s="460">
        <f t="shared" si="134"/>
        <v>0.05</v>
      </c>
      <c r="N1789" s="464">
        <f t="shared" si="135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33"/>
        <v>-42894705.387540348</v>
      </c>
      <c r="J1790" s="444">
        <f t="array" ref="J1790">IFERROR(INDEX('Retirement Calculator'!J:J,MATCH('Isaac 401k'!N1790,'Retirement Calculator'!A:A,0),0),0)</f>
        <v>0</v>
      </c>
      <c r="K1790" s="444">
        <f t="shared" ca="1" si="131"/>
        <v>-178727.93911475144</v>
      </c>
      <c r="L1790" s="444">
        <f t="shared" ca="1" si="132"/>
        <v>-43073433.326655097</v>
      </c>
      <c r="M1790" s="460">
        <f t="shared" si="134"/>
        <v>0.05</v>
      </c>
      <c r="N1790" s="464">
        <f t="shared" si="135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33"/>
        <v>-43073433.326655097</v>
      </c>
      <c r="J1791" s="444">
        <f t="array" ref="J1791">IFERROR(INDEX('Retirement Calculator'!J:J,MATCH('Isaac 401k'!N1791,'Retirement Calculator'!A:A,0),0),0)</f>
        <v>0</v>
      </c>
      <c r="K1791" s="444">
        <f t="shared" ca="1" si="131"/>
        <v>-179472.63886106291</v>
      </c>
      <c r="L1791" s="444">
        <f t="shared" ca="1" si="132"/>
        <v>-43252905.965516157</v>
      </c>
      <c r="M1791" s="460">
        <f t="shared" si="134"/>
        <v>0.05</v>
      </c>
      <c r="N1791" s="464">
        <f t="shared" si="135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33"/>
        <v>-43252905.965516157</v>
      </c>
      <c r="J1792" s="444">
        <f t="array" ref="J1792">IFERROR(INDEX('Retirement Calculator'!J:J,MATCH('Isaac 401k'!N1792,'Retirement Calculator'!A:A,0),0),0)</f>
        <v>0</v>
      </c>
      <c r="K1792" s="444">
        <f t="shared" ca="1" si="131"/>
        <v>-180220.44152298398</v>
      </c>
      <c r="L1792" s="444">
        <f t="shared" ca="1" si="132"/>
        <v>-43433126.407039143</v>
      </c>
      <c r="M1792" s="460">
        <f t="shared" si="134"/>
        <v>0.05</v>
      </c>
      <c r="N1792" s="464">
        <f t="shared" si="135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33"/>
        <v>-43433126.407039143</v>
      </c>
      <c r="J1793" s="444">
        <f t="array" ref="J1793">IFERROR(INDEX('Retirement Calculator'!J:J,MATCH('Isaac 401k'!N1793,'Retirement Calculator'!A:A,0),0),0)</f>
        <v>0</v>
      </c>
      <c r="K1793" s="444">
        <f t="shared" ref="K1793:K2047" ca="1" si="136">IPMT(M1793/12,1,12,-I1793+J1793,,0)</f>
        <v>-180971.36002932975</v>
      </c>
      <c r="L1793" s="444">
        <f t="shared" ref="L1793:L2047" ca="1" si="137">I1793-J1793+K1793</f>
        <v>-43614097.767068475</v>
      </c>
      <c r="M1793" s="460">
        <f t="shared" si="134"/>
        <v>0.05</v>
      </c>
      <c r="N1793" s="464">
        <f t="shared" si="135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38">L1793</f>
        <v>-43614097.767068475</v>
      </c>
      <c r="J1794" s="444">
        <f t="array" ref="J1794">IFERROR(INDEX('Retirement Calculator'!J:J,MATCH('Isaac 401k'!N1794,'Retirement Calculator'!A:A,0),0),0)</f>
        <v>0</v>
      </c>
      <c r="K1794" s="444">
        <f t="shared" ca="1" si="136"/>
        <v>-181725.40736278531</v>
      </c>
      <c r="L1794" s="444">
        <f t="shared" ca="1" si="137"/>
        <v>-43795823.174431264</v>
      </c>
      <c r="M1794" s="460">
        <f t="shared" ref="M1794:M2048" si="139">M1793</f>
        <v>0.05</v>
      </c>
      <c r="N1794" s="464">
        <f t="shared" ref="N1794:N2048" si="140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38"/>
        <v>-43795823.174431264</v>
      </c>
      <c r="J1795" s="444">
        <f t="array" ref="J1795">IFERROR(INDEX('Retirement Calculator'!J:J,MATCH('Isaac 401k'!N1795,'Retirement Calculator'!A:A,0),0),0)</f>
        <v>0</v>
      </c>
      <c r="K1795" s="444">
        <f t="shared" ca="1" si="136"/>
        <v>-182482.59656013027</v>
      </c>
      <c r="L1795" s="444">
        <f t="shared" ca="1" si="137"/>
        <v>-43978305.770991392</v>
      </c>
      <c r="M1795" s="460">
        <f t="shared" si="139"/>
        <v>0.05</v>
      </c>
      <c r="N1795" s="464">
        <f t="shared" si="140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38"/>
        <v>-43978305.770991392</v>
      </c>
      <c r="J1796" s="444">
        <f t="array" ref="J1796">IFERROR(INDEX('Retirement Calculator'!J:J,MATCH('Isaac 401k'!N1796,'Retirement Calculator'!A:A,0),0),0)</f>
        <v>0</v>
      </c>
      <c r="K1796" s="444">
        <f t="shared" ca="1" si="136"/>
        <v>-183242.94071246413</v>
      </c>
      <c r="L1796" s="444">
        <f t="shared" ca="1" si="137"/>
        <v>-44161548.711703859</v>
      </c>
      <c r="M1796" s="460">
        <f t="shared" si="139"/>
        <v>0.05</v>
      </c>
      <c r="N1796" s="464">
        <f t="shared" si="140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38"/>
        <v>-44161548.711703859</v>
      </c>
      <c r="J1797" s="444">
        <f t="array" ref="J1797">IFERROR(INDEX('Retirement Calculator'!J:J,MATCH('Isaac 401k'!N1797,'Retirement Calculator'!A:A,0),0),0)</f>
        <v>0</v>
      </c>
      <c r="K1797" s="444">
        <f t="shared" ca="1" si="136"/>
        <v>-184006.45296543275</v>
      </c>
      <c r="L1797" s="444">
        <f t="shared" ca="1" si="137"/>
        <v>-44345555.16466929</v>
      </c>
      <c r="M1797" s="460">
        <f t="shared" si="139"/>
        <v>0.05</v>
      </c>
      <c r="N1797" s="464">
        <f t="shared" si="140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38"/>
        <v>-44345555.16466929</v>
      </c>
      <c r="J1798" s="444">
        <f t="array" ref="J1798">IFERROR(INDEX('Retirement Calculator'!J:J,MATCH('Isaac 401k'!N1798,'Retirement Calculator'!A:A,0),0),0)</f>
        <v>0</v>
      </c>
      <c r="K1798" s="444">
        <f t="shared" ca="1" si="136"/>
        <v>-184773.14651945536</v>
      </c>
      <c r="L1798" s="444">
        <f t="shared" ca="1" si="137"/>
        <v>-44530328.311188743</v>
      </c>
      <c r="M1798" s="460">
        <f t="shared" si="139"/>
        <v>0.05</v>
      </c>
      <c r="N1798" s="464">
        <f t="shared" si="140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38"/>
        <v>-44530328.311188743</v>
      </c>
      <c r="J1799" s="444">
        <f t="array" ref="J1799">IFERROR(INDEX('Retirement Calculator'!J:J,MATCH('Isaac 401k'!N1799,'Retirement Calculator'!A:A,0),0),0)</f>
        <v>0</v>
      </c>
      <c r="K1799" s="444">
        <f t="shared" ca="1" si="136"/>
        <v>-185543.03462995309</v>
      </c>
      <c r="L1799" s="444">
        <f t="shared" ca="1" si="137"/>
        <v>-44715871.345818698</v>
      </c>
      <c r="M1799" s="460">
        <f t="shared" si="139"/>
        <v>0.05</v>
      </c>
      <c r="N1799" s="464">
        <f t="shared" si="140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38"/>
        <v>-44715871.345818698</v>
      </c>
      <c r="J1800" s="444">
        <f t="array" ref="J1800">IFERROR(INDEX('Retirement Calculator'!J:J,MATCH('Isaac 401k'!N1800,'Retirement Calculator'!A:A,0),0),0)</f>
        <v>0</v>
      </c>
      <c r="K1800" s="444">
        <f t="shared" ca="1" si="136"/>
        <v>-186316.13060757791</v>
      </c>
      <c r="L1800" s="444">
        <f t="shared" ca="1" si="137"/>
        <v>-44902187.476426274</v>
      </c>
      <c r="M1800" s="460">
        <f t="shared" si="139"/>
        <v>0.05</v>
      </c>
      <c r="N1800" s="464">
        <f t="shared" si="140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38"/>
        <v>-44902187.476426274</v>
      </c>
      <c r="J1801" s="444">
        <f t="array" ref="J1801">IFERROR(INDEX('Retirement Calculator'!J:J,MATCH('Isaac 401k'!N1801,'Retirement Calculator'!A:A,0),0),0)</f>
        <v>0</v>
      </c>
      <c r="K1801" s="444">
        <f t="shared" ca="1" si="136"/>
        <v>-187092.4478184428</v>
      </c>
      <c r="L1801" s="444">
        <f t="shared" ca="1" si="137"/>
        <v>-45089279.924244717</v>
      </c>
      <c r="M1801" s="460">
        <f t="shared" si="139"/>
        <v>0.05</v>
      </c>
      <c r="N1801" s="464">
        <f t="shared" si="140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38"/>
        <v>-45089279.924244717</v>
      </c>
      <c r="J1802" s="444">
        <f t="array" ref="J1802">IFERROR(INDEX('Retirement Calculator'!J:J,MATCH('Isaac 401k'!N1802,'Retirement Calculator'!A:A,0),0),0)</f>
        <v>0</v>
      </c>
      <c r="K1802" s="444">
        <f t="shared" ca="1" si="136"/>
        <v>-187871.99968435298</v>
      </c>
      <c r="L1802" s="444">
        <f t="shared" ca="1" si="137"/>
        <v>-45277151.923929073</v>
      </c>
      <c r="M1802" s="460">
        <f t="shared" si="139"/>
        <v>0.05</v>
      </c>
      <c r="N1802" s="464">
        <f t="shared" si="140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38"/>
        <v>-45277151.923929073</v>
      </c>
      <c r="J1803" s="444">
        <f t="array" ref="J1803">IFERROR(INDEX('Retirement Calculator'!J:J,MATCH('Isaac 401k'!N1803,'Retirement Calculator'!A:A,0),0),0)</f>
        <v>0</v>
      </c>
      <c r="K1803" s="444">
        <f t="shared" ca="1" si="136"/>
        <v>-188654.7996830378</v>
      </c>
      <c r="L1803" s="444">
        <f t="shared" ca="1" si="137"/>
        <v>-45465806.723612107</v>
      </c>
      <c r="M1803" s="460">
        <f t="shared" si="139"/>
        <v>0.05</v>
      </c>
      <c r="N1803" s="464">
        <f t="shared" si="140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38"/>
        <v>-45465806.723612107</v>
      </c>
      <c r="J1804" s="444">
        <f t="array" ref="J1804">IFERROR(INDEX('Retirement Calculator'!J:J,MATCH('Isaac 401k'!N1804,'Retirement Calculator'!A:A,0),0),0)</f>
        <v>0</v>
      </c>
      <c r="K1804" s="444">
        <f t="shared" ca="1" si="136"/>
        <v>-189440.86134838377</v>
      </c>
      <c r="L1804" s="444">
        <f t="shared" ca="1" si="137"/>
        <v>-45655247.58496049</v>
      </c>
      <c r="M1804" s="460">
        <f t="shared" si="139"/>
        <v>0.05</v>
      </c>
      <c r="N1804" s="464">
        <f t="shared" si="140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38"/>
        <v>-45655247.58496049</v>
      </c>
      <c r="J1805" s="444">
        <f t="array" ref="J1805">IFERROR(INDEX('Retirement Calculator'!J:J,MATCH('Isaac 401k'!N1805,'Retirement Calculator'!A:A,0),0),0)</f>
        <v>0</v>
      </c>
      <c r="K1805" s="444">
        <f t="shared" ca="1" si="136"/>
        <v>-190230.19827066871</v>
      </c>
      <c r="L1805" s="444">
        <f t="shared" ca="1" si="137"/>
        <v>-45845477.783231162</v>
      </c>
      <c r="M1805" s="460">
        <f t="shared" si="139"/>
        <v>0.05</v>
      </c>
      <c r="N1805" s="464">
        <f t="shared" si="140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38"/>
        <v>-45845477.783231162</v>
      </c>
      <c r="J1806" s="444">
        <f t="array" ref="J1806">IFERROR(INDEX('Retirement Calculator'!J:J,MATCH('Isaac 401k'!N1806,'Retirement Calculator'!A:A,0),0),0)</f>
        <v>0</v>
      </c>
      <c r="K1806" s="444">
        <f t="shared" ca="1" si="136"/>
        <v>-191022.82409679651</v>
      </c>
      <c r="L1806" s="444">
        <f t="shared" ca="1" si="137"/>
        <v>-46036500.60732796</v>
      </c>
      <c r="M1806" s="460">
        <f t="shared" si="139"/>
        <v>0.05</v>
      </c>
      <c r="N1806" s="464">
        <f t="shared" si="140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38"/>
        <v>-46036500.60732796</v>
      </c>
      <c r="J1807" s="444">
        <f t="array" ref="J1807">IFERROR(INDEX('Retirement Calculator'!J:J,MATCH('Isaac 401k'!N1807,'Retirement Calculator'!A:A,0),0),0)</f>
        <v>0</v>
      </c>
      <c r="K1807" s="444">
        <f t="shared" ca="1" si="136"/>
        <v>-191818.75253053318</v>
      </c>
      <c r="L1807" s="444">
        <f t="shared" ca="1" si="137"/>
        <v>-46228319.359858491</v>
      </c>
      <c r="M1807" s="460">
        <f t="shared" si="139"/>
        <v>0.05</v>
      </c>
      <c r="N1807" s="464">
        <f t="shared" si="140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38"/>
        <v>-46228319.359858491</v>
      </c>
      <c r="J1808" s="444">
        <f t="array" ref="J1808">IFERROR(INDEX('Retirement Calculator'!J:J,MATCH('Isaac 401k'!N1808,'Retirement Calculator'!A:A,0),0),0)</f>
        <v>0</v>
      </c>
      <c r="K1808" s="444">
        <f t="shared" ca="1" si="136"/>
        <v>-192617.99733274372</v>
      </c>
      <c r="L1808" s="444">
        <f t="shared" ca="1" si="137"/>
        <v>-46420937.357191235</v>
      </c>
      <c r="M1808" s="460">
        <f t="shared" si="139"/>
        <v>0.05</v>
      </c>
      <c r="N1808" s="464">
        <f t="shared" si="140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38"/>
        <v>-46420937.357191235</v>
      </c>
      <c r="J1809" s="444">
        <f t="array" ref="J1809">IFERROR(INDEX('Retirement Calculator'!J:J,MATCH('Isaac 401k'!N1809,'Retirement Calculator'!A:A,0),0),0)</f>
        <v>0</v>
      </c>
      <c r="K1809" s="444">
        <f t="shared" ca="1" si="136"/>
        <v>-193420.57232163014</v>
      </c>
      <c r="L1809" s="444">
        <f t="shared" ca="1" si="137"/>
        <v>-46614357.929512866</v>
      </c>
      <c r="M1809" s="460">
        <f t="shared" si="139"/>
        <v>0.05</v>
      </c>
      <c r="N1809" s="464">
        <f t="shared" si="140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38"/>
        <v>-46614357.929512866</v>
      </c>
      <c r="J1810" s="444">
        <f t="array" ref="J1810">IFERROR(INDEX('Retirement Calculator'!J:J,MATCH('Isaac 401k'!N1810,'Retirement Calculator'!A:A,0),0),0)</f>
        <v>0</v>
      </c>
      <c r="K1810" s="444">
        <f t="shared" ca="1" si="136"/>
        <v>-194226.49137297028</v>
      </c>
      <c r="L1810" s="444">
        <f t="shared" ca="1" si="137"/>
        <v>-46808584.420885839</v>
      </c>
      <c r="M1810" s="460">
        <f t="shared" si="139"/>
        <v>0.05</v>
      </c>
      <c r="N1810" s="464">
        <f t="shared" si="140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38"/>
        <v>-46808584.420885839</v>
      </c>
      <c r="J1811" s="444">
        <f t="array" ref="J1811">IFERROR(INDEX('Retirement Calculator'!J:J,MATCH('Isaac 401k'!N1811,'Retirement Calculator'!A:A,0),0),0)</f>
        <v>0</v>
      </c>
      <c r="K1811" s="444">
        <f t="shared" ca="1" si="136"/>
        <v>-195035.76842035766</v>
      </c>
      <c r="L1811" s="444">
        <f t="shared" ca="1" si="137"/>
        <v>-47003620.1893062</v>
      </c>
      <c r="M1811" s="460">
        <f t="shared" si="139"/>
        <v>0.05</v>
      </c>
      <c r="N1811" s="464">
        <f t="shared" si="140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38"/>
        <v>-47003620.1893062</v>
      </c>
      <c r="J1812" s="444">
        <f t="array" ref="J1812">IFERROR(INDEX('Retirement Calculator'!J:J,MATCH('Isaac 401k'!N1812,'Retirement Calculator'!A:A,0),0),0)</f>
        <v>0</v>
      </c>
      <c r="K1812" s="444">
        <f t="shared" ca="1" si="136"/>
        <v>-195848.41745544248</v>
      </c>
      <c r="L1812" s="444">
        <f t="shared" ca="1" si="137"/>
        <v>-47199468.606761642</v>
      </c>
      <c r="M1812" s="460">
        <f t="shared" si="139"/>
        <v>0.05</v>
      </c>
      <c r="N1812" s="464">
        <f t="shared" si="140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38"/>
        <v>-47199468.606761642</v>
      </c>
      <c r="J1813" s="444">
        <f t="array" ref="J1813">IFERROR(INDEX('Retirement Calculator'!J:J,MATCH('Isaac 401k'!N1813,'Retirement Calculator'!A:A,0),0),0)</f>
        <v>0</v>
      </c>
      <c r="K1813" s="444">
        <f t="shared" ca="1" si="136"/>
        <v>-196664.45252817351</v>
      </c>
      <c r="L1813" s="444">
        <f t="shared" ca="1" si="137"/>
        <v>-47396133.059289813</v>
      </c>
      <c r="M1813" s="460">
        <f t="shared" si="139"/>
        <v>0.05</v>
      </c>
      <c r="N1813" s="464">
        <f t="shared" si="140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38"/>
        <v>-47396133.059289813</v>
      </c>
      <c r="J1814" s="444">
        <f t="array" ref="J1814">IFERROR(INDEX('Retirement Calculator'!J:J,MATCH('Isaac 401k'!N1814,'Retirement Calculator'!A:A,0),0),0)</f>
        <v>0</v>
      </c>
      <c r="K1814" s="444">
        <f t="shared" ca="1" si="136"/>
        <v>-197483.88774704089</v>
      </c>
      <c r="L1814" s="444">
        <f t="shared" ca="1" si="137"/>
        <v>-47593616.947036855</v>
      </c>
      <c r="M1814" s="460">
        <f t="shared" si="139"/>
        <v>0.05</v>
      </c>
      <c r="N1814" s="464">
        <f t="shared" si="140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38"/>
        <v>-47593616.947036855</v>
      </c>
      <c r="J1815" s="444">
        <f t="array" ref="J1815">IFERROR(INDEX('Retirement Calculator'!J:J,MATCH('Isaac 401k'!N1815,'Retirement Calculator'!A:A,0),0),0)</f>
        <v>0</v>
      </c>
      <c r="K1815" s="444">
        <f t="shared" ca="1" si="136"/>
        <v>-198306.73727932022</v>
      </c>
      <c r="L1815" s="444">
        <f t="shared" ca="1" si="137"/>
        <v>-47791923.684316173</v>
      </c>
      <c r="M1815" s="460">
        <f t="shared" si="139"/>
        <v>0.05</v>
      </c>
      <c r="N1815" s="464">
        <f t="shared" si="140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38"/>
        <v>-47791923.684316173</v>
      </c>
      <c r="J1816" s="444">
        <f t="array" ref="J1816">IFERROR(INDEX('Retirement Calculator'!J:J,MATCH('Isaac 401k'!N1816,'Retirement Calculator'!A:A,0),0),0)</f>
        <v>0</v>
      </c>
      <c r="K1816" s="444">
        <f t="shared" ca="1" si="136"/>
        <v>-199133.01535131739</v>
      </c>
      <c r="L1816" s="444">
        <f t="shared" ca="1" si="137"/>
        <v>-47991056.699667491</v>
      </c>
      <c r="M1816" s="460">
        <f t="shared" si="139"/>
        <v>0.05</v>
      </c>
      <c r="N1816" s="464">
        <f t="shared" si="140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38"/>
        <v>-47991056.699667491</v>
      </c>
      <c r="J1817" s="444">
        <f t="array" ref="J1817">IFERROR(INDEX('Retirement Calculator'!J:J,MATCH('Isaac 401k'!N1817,'Retirement Calculator'!A:A,0),0),0)</f>
        <v>0</v>
      </c>
      <c r="K1817" s="444">
        <f t="shared" ca="1" si="136"/>
        <v>-199962.73624861456</v>
      </c>
      <c r="L1817" s="444">
        <f t="shared" ca="1" si="137"/>
        <v>-48191019.435916103</v>
      </c>
      <c r="M1817" s="460">
        <f t="shared" si="139"/>
        <v>0.05</v>
      </c>
      <c r="N1817" s="464">
        <f t="shared" si="140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38"/>
        <v>-48191019.435916103</v>
      </c>
      <c r="J1818" s="444">
        <f t="array" ref="J1818">IFERROR(INDEX('Retirement Calculator'!J:J,MATCH('Isaac 401k'!N1818,'Retirement Calculator'!A:A,0),0),0)</f>
        <v>0</v>
      </c>
      <c r="K1818" s="444">
        <f t="shared" ca="1" si="136"/>
        <v>-200795.9143163171</v>
      </c>
      <c r="L1818" s="444">
        <f t="shared" ca="1" si="137"/>
        <v>-48391815.350232422</v>
      </c>
      <c r="M1818" s="460">
        <f t="shared" si="139"/>
        <v>0.05</v>
      </c>
      <c r="N1818" s="464">
        <f t="shared" si="140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38"/>
        <v>-48391815.350232422</v>
      </c>
      <c r="J1819" s="444">
        <f t="array" ref="J1819">IFERROR(INDEX('Retirement Calculator'!J:J,MATCH('Isaac 401k'!N1819,'Retirement Calculator'!A:A,0),0),0)</f>
        <v>0</v>
      </c>
      <c r="K1819" s="444">
        <f t="shared" ca="1" si="136"/>
        <v>-201632.56395930177</v>
      </c>
      <c r="L1819" s="444">
        <f t="shared" ca="1" si="137"/>
        <v>-48593447.914191723</v>
      </c>
      <c r="M1819" s="460">
        <f t="shared" si="139"/>
        <v>0.05</v>
      </c>
      <c r="N1819" s="464">
        <f t="shared" si="140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38"/>
        <v>-48593447.914191723</v>
      </c>
      <c r="J1820" s="444">
        <f t="array" ref="J1820">IFERROR(INDEX('Retirement Calculator'!J:J,MATCH('Isaac 401k'!N1820,'Retirement Calculator'!A:A,0),0),0)</f>
        <v>0</v>
      </c>
      <c r="K1820" s="444">
        <f t="shared" ca="1" si="136"/>
        <v>-202472.69964246551</v>
      </c>
      <c r="L1820" s="444">
        <f t="shared" ca="1" si="137"/>
        <v>-48795920.613834187</v>
      </c>
      <c r="M1820" s="460">
        <f t="shared" si="139"/>
        <v>0.05</v>
      </c>
      <c r="N1820" s="464">
        <f t="shared" si="140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38"/>
        <v>-48795920.613834187</v>
      </c>
      <c r="J1821" s="444">
        <f t="array" ref="J1821">IFERROR(INDEX('Retirement Calculator'!J:J,MATCH('Isaac 401k'!N1821,'Retirement Calculator'!A:A,0),0),0)</f>
        <v>0</v>
      </c>
      <c r="K1821" s="444">
        <f t="shared" ca="1" si="136"/>
        <v>-203316.33589097578</v>
      </c>
      <c r="L1821" s="444">
        <f t="shared" ca="1" si="137"/>
        <v>-48999236.949725166</v>
      </c>
      <c r="M1821" s="460">
        <f t="shared" si="139"/>
        <v>0.05</v>
      </c>
      <c r="N1821" s="464">
        <f t="shared" si="140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38"/>
        <v>-48999236.949725166</v>
      </c>
      <c r="J1822" s="444">
        <f t="array" ref="J1822">IFERROR(INDEX('Retirement Calculator'!J:J,MATCH('Isaac 401k'!N1822,'Retirement Calculator'!A:A,0),0),0)</f>
        <v>0</v>
      </c>
      <c r="K1822" s="444">
        <f t="shared" ca="1" si="136"/>
        <v>-204163.48729052153</v>
      </c>
      <c r="L1822" s="444">
        <f t="shared" ca="1" si="137"/>
        <v>-49203400.43701569</v>
      </c>
      <c r="M1822" s="460">
        <f t="shared" si="139"/>
        <v>0.05</v>
      </c>
      <c r="N1822" s="464">
        <f t="shared" si="140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38"/>
        <v>-49203400.43701569</v>
      </c>
      <c r="J1823" s="444">
        <f t="array" ref="J1823">IFERROR(INDEX('Retirement Calculator'!J:J,MATCH('Isaac 401k'!N1823,'Retirement Calculator'!A:A,0),0),0)</f>
        <v>0</v>
      </c>
      <c r="K1823" s="444">
        <f t="shared" ca="1" si="136"/>
        <v>-205014.16848756536</v>
      </c>
      <c r="L1823" s="444">
        <f t="shared" ca="1" si="137"/>
        <v>-49408414.605503254</v>
      </c>
      <c r="M1823" s="460">
        <f t="shared" si="139"/>
        <v>0.05</v>
      </c>
      <c r="N1823" s="464">
        <f t="shared" si="140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38"/>
        <v>-49408414.605503254</v>
      </c>
      <c r="J1824" s="444">
        <f t="array" ref="J1824">IFERROR(INDEX('Retirement Calculator'!J:J,MATCH('Isaac 401k'!N1824,'Retirement Calculator'!A:A,0),0),0)</f>
        <v>0</v>
      </c>
      <c r="K1824" s="444">
        <f t="shared" ca="1" si="136"/>
        <v>-205868.39418959687</v>
      </c>
      <c r="L1824" s="444">
        <f t="shared" ca="1" si="137"/>
        <v>-49614282.99969285</v>
      </c>
      <c r="M1824" s="460">
        <f t="shared" si="139"/>
        <v>0.05</v>
      </c>
      <c r="N1824" s="464">
        <f t="shared" si="140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38"/>
        <v>-49614282.99969285</v>
      </c>
      <c r="J1825" s="444">
        <f t="array" ref="J1825">IFERROR(INDEX('Retirement Calculator'!J:J,MATCH('Isaac 401k'!N1825,'Retirement Calculator'!A:A,0),0),0)</f>
        <v>0</v>
      </c>
      <c r="K1825" s="444">
        <f t="shared" ca="1" si="136"/>
        <v>-206726.17916538689</v>
      </c>
      <c r="L1825" s="444">
        <f t="shared" ca="1" si="137"/>
        <v>-49821009.178858235</v>
      </c>
      <c r="M1825" s="460">
        <f t="shared" si="139"/>
        <v>0.05</v>
      </c>
      <c r="N1825" s="464">
        <f t="shared" si="140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38"/>
        <v>-49821009.178858235</v>
      </c>
      <c r="J1826" s="444">
        <f t="array" ref="J1826">IFERROR(INDEX('Retirement Calculator'!J:J,MATCH('Isaac 401k'!N1826,'Retirement Calculator'!A:A,0),0),0)</f>
        <v>0</v>
      </c>
      <c r="K1826" s="444">
        <f t="shared" ca="1" si="136"/>
        <v>-207587.53824524264</v>
      </c>
      <c r="L1826" s="444">
        <f t="shared" ca="1" si="137"/>
        <v>-50028596.717103481</v>
      </c>
      <c r="M1826" s="460">
        <f t="shared" si="139"/>
        <v>0.05</v>
      </c>
      <c r="N1826" s="464">
        <f t="shared" si="140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38"/>
        <v>-50028596.717103481</v>
      </c>
      <c r="J1827" s="444">
        <f t="array" ref="J1827">IFERROR(INDEX('Retirement Calculator'!J:J,MATCH('Isaac 401k'!N1827,'Retirement Calculator'!A:A,0),0),0)</f>
        <v>0</v>
      </c>
      <c r="K1827" s="444">
        <f t="shared" ca="1" si="136"/>
        <v>-208452.4863212645</v>
      </c>
      <c r="L1827" s="444">
        <f t="shared" ca="1" si="137"/>
        <v>-50237049.203424744</v>
      </c>
      <c r="M1827" s="460">
        <f t="shared" si="139"/>
        <v>0.05</v>
      </c>
      <c r="N1827" s="464">
        <f t="shared" si="140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38"/>
        <v>-50237049.203424744</v>
      </c>
      <c r="J1828" s="444">
        <f t="array" ref="J1828">IFERROR(INDEX('Retirement Calculator'!J:J,MATCH('Isaac 401k'!N1828,'Retirement Calculator'!A:A,0),0),0)</f>
        <v>0</v>
      </c>
      <c r="K1828" s="444">
        <f t="shared" ca="1" si="136"/>
        <v>-209321.03834760311</v>
      </c>
      <c r="L1828" s="444">
        <f t="shared" ca="1" si="137"/>
        <v>-50446370.241772346</v>
      </c>
      <c r="M1828" s="460">
        <f t="shared" si="139"/>
        <v>0.05</v>
      </c>
      <c r="N1828" s="464">
        <f t="shared" si="140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38"/>
        <v>-50446370.241772346</v>
      </c>
      <c r="J1829" s="444">
        <f t="array" ref="J1829">IFERROR(INDEX('Retirement Calculator'!J:J,MATCH('Isaac 401k'!N1829,'Retirement Calculator'!A:A,0),0),0)</f>
        <v>0</v>
      </c>
      <c r="K1829" s="444">
        <f t="shared" ca="1" si="136"/>
        <v>-210193.20934071811</v>
      </c>
      <c r="L1829" s="444">
        <f t="shared" ca="1" si="137"/>
        <v>-50656563.451113068</v>
      </c>
      <c r="M1829" s="460">
        <f t="shared" si="139"/>
        <v>0.05</v>
      </c>
      <c r="N1829" s="464">
        <f t="shared" si="140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38"/>
        <v>-50656563.451113068</v>
      </c>
      <c r="J1830" s="444">
        <f t="array" ref="J1830">IFERROR(INDEX('Retirement Calculator'!J:J,MATCH('Isaac 401k'!N1830,'Retirement Calculator'!A:A,0),0),0)</f>
        <v>0</v>
      </c>
      <c r="K1830" s="444">
        <f t="shared" ca="1" si="136"/>
        <v>-211069.01437963778</v>
      </c>
      <c r="L1830" s="444">
        <f t="shared" ca="1" si="137"/>
        <v>-50867632.465492703</v>
      </c>
      <c r="M1830" s="460">
        <f t="shared" si="139"/>
        <v>0.05</v>
      </c>
      <c r="N1830" s="464">
        <f t="shared" si="140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38"/>
        <v>-50867632.465492703</v>
      </c>
      <c r="J1831" s="444">
        <f t="array" ref="J1831">IFERROR(INDEX('Retirement Calculator'!J:J,MATCH('Isaac 401k'!N1831,'Retirement Calculator'!A:A,0),0),0)</f>
        <v>0</v>
      </c>
      <c r="K1831" s="444">
        <f t="shared" ca="1" si="136"/>
        <v>-211948.4686062196</v>
      </c>
      <c r="L1831" s="444">
        <f t="shared" ca="1" si="137"/>
        <v>-51079580.934098922</v>
      </c>
      <c r="M1831" s="460">
        <f t="shared" si="139"/>
        <v>0.05</v>
      </c>
      <c r="N1831" s="464">
        <f t="shared" si="140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38"/>
        <v>-51079580.934098922</v>
      </c>
      <c r="J1832" s="444">
        <f t="array" ref="J1832">IFERROR(INDEX('Retirement Calculator'!J:J,MATCH('Isaac 401k'!N1832,'Retirement Calculator'!A:A,0),0),0)</f>
        <v>0</v>
      </c>
      <c r="K1832" s="444">
        <f t="shared" ca="1" si="136"/>
        <v>-212831.58722541216</v>
      </c>
      <c r="L1832" s="444">
        <f t="shared" ca="1" si="137"/>
        <v>-51292412.521324337</v>
      </c>
      <c r="M1832" s="460">
        <f t="shared" si="139"/>
        <v>0.05</v>
      </c>
      <c r="N1832" s="464">
        <f t="shared" si="140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38"/>
        <v>-51292412.521324337</v>
      </c>
      <c r="J1833" s="444">
        <f t="array" ref="J1833">IFERROR(INDEX('Retirement Calculator'!J:J,MATCH('Isaac 401k'!N1833,'Retirement Calculator'!A:A,0),0),0)</f>
        <v>0</v>
      </c>
      <c r="K1833" s="444">
        <f t="shared" ca="1" si="136"/>
        <v>-213718.38550551806</v>
      </c>
      <c r="L1833" s="444">
        <f t="shared" ca="1" si="137"/>
        <v>-51506130.906829856</v>
      </c>
      <c r="M1833" s="460">
        <f t="shared" si="139"/>
        <v>0.05</v>
      </c>
      <c r="N1833" s="464">
        <f t="shared" si="140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38"/>
        <v>-51506130.906829856</v>
      </c>
      <c r="J1834" s="444">
        <f t="array" ref="J1834">IFERROR(INDEX('Retirement Calculator'!J:J,MATCH('Isaac 401k'!N1834,'Retirement Calculator'!A:A,0),0),0)</f>
        <v>0</v>
      </c>
      <c r="K1834" s="444">
        <f t="shared" ca="1" si="136"/>
        <v>-214608.87877845773</v>
      </c>
      <c r="L1834" s="444">
        <f t="shared" ca="1" si="137"/>
        <v>-51720739.785608314</v>
      </c>
      <c r="M1834" s="460">
        <f t="shared" si="139"/>
        <v>0.05</v>
      </c>
      <c r="N1834" s="464">
        <f t="shared" si="140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38"/>
        <v>-51720739.785608314</v>
      </c>
      <c r="J1835" s="444">
        <f t="array" ref="J1835">IFERROR(INDEX('Retirement Calculator'!J:J,MATCH('Isaac 401k'!N1835,'Retirement Calculator'!A:A,0),0),0)</f>
        <v>0</v>
      </c>
      <c r="K1835" s="444">
        <f t="shared" ca="1" si="136"/>
        <v>-215503.08244003463</v>
      </c>
      <c r="L1835" s="444">
        <f t="shared" ca="1" si="137"/>
        <v>-51936242.868048348</v>
      </c>
      <c r="M1835" s="460">
        <f t="shared" si="139"/>
        <v>0.05</v>
      </c>
      <c r="N1835" s="464">
        <f t="shared" si="140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38"/>
        <v>-51936242.868048348</v>
      </c>
      <c r="J1836" s="444">
        <f t="array" ref="J1836">IFERROR(INDEX('Retirement Calculator'!J:J,MATCH('Isaac 401k'!N1836,'Retirement Calculator'!A:A,0),0),0)</f>
        <v>0</v>
      </c>
      <c r="K1836" s="444">
        <f t="shared" ca="1" si="136"/>
        <v>-216401.01195020144</v>
      </c>
      <c r="L1836" s="444">
        <f t="shared" ca="1" si="137"/>
        <v>-52152643.87999855</v>
      </c>
      <c r="M1836" s="460">
        <f t="shared" si="139"/>
        <v>0.05</v>
      </c>
      <c r="N1836" s="464">
        <f t="shared" si="140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38"/>
        <v>-52152643.87999855</v>
      </c>
      <c r="J1837" s="444">
        <f t="array" ref="J1837">IFERROR(INDEX('Retirement Calculator'!J:J,MATCH('Isaac 401k'!N1837,'Retirement Calculator'!A:A,0),0),0)</f>
        <v>0</v>
      </c>
      <c r="K1837" s="444">
        <f t="shared" ca="1" si="136"/>
        <v>-217302.6828333273</v>
      </c>
      <c r="L1837" s="444">
        <f t="shared" ca="1" si="137"/>
        <v>-52369946.562831879</v>
      </c>
      <c r="M1837" s="460">
        <f t="shared" si="139"/>
        <v>0.05</v>
      </c>
      <c r="N1837" s="464">
        <f t="shared" si="140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38"/>
        <v>-52369946.562831879</v>
      </c>
      <c r="J1838" s="444">
        <f t="array" ref="J1838">IFERROR(INDEX('Retirement Calculator'!J:J,MATCH('Isaac 401k'!N1838,'Retirement Calculator'!A:A,0),0),0)</f>
        <v>0</v>
      </c>
      <c r="K1838" s="444">
        <f t="shared" ca="1" si="136"/>
        <v>-218208.11067846615</v>
      </c>
      <c r="L1838" s="444">
        <f t="shared" ca="1" si="137"/>
        <v>-52588154.673510343</v>
      </c>
      <c r="M1838" s="460">
        <f t="shared" si="139"/>
        <v>0.05</v>
      </c>
      <c r="N1838" s="464">
        <f t="shared" si="140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38"/>
        <v>-52588154.673510343</v>
      </c>
      <c r="J1839" s="444">
        <f t="array" ref="J1839">IFERROR(INDEX('Retirement Calculator'!J:J,MATCH('Isaac 401k'!N1839,'Retirement Calculator'!A:A,0),0),0)</f>
        <v>0</v>
      </c>
      <c r="K1839" s="444">
        <f t="shared" ca="1" si="136"/>
        <v>-219117.31113962643</v>
      </c>
      <c r="L1839" s="444">
        <f t="shared" ca="1" si="137"/>
        <v>-52807271.984649971</v>
      </c>
      <c r="M1839" s="460">
        <f t="shared" si="139"/>
        <v>0.05</v>
      </c>
      <c r="N1839" s="464">
        <f t="shared" si="140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38"/>
        <v>-52807271.984649971</v>
      </c>
      <c r="J1840" s="444">
        <f t="array" ref="J1840">IFERROR(INDEX('Retirement Calculator'!J:J,MATCH('Isaac 401k'!N1840,'Retirement Calculator'!A:A,0),0),0)</f>
        <v>0</v>
      </c>
      <c r="K1840" s="444">
        <f t="shared" ca="1" si="136"/>
        <v>-220030.29993604156</v>
      </c>
      <c r="L1840" s="444">
        <f t="shared" ca="1" si="137"/>
        <v>-53027302.284586012</v>
      </c>
      <c r="M1840" s="460">
        <f t="shared" si="139"/>
        <v>0.05</v>
      </c>
      <c r="N1840" s="464">
        <f t="shared" si="140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38"/>
        <v>-53027302.284586012</v>
      </c>
      <c r="J1841" s="444">
        <f t="array" ref="J1841">IFERROR(INDEX('Retirement Calculator'!J:J,MATCH('Isaac 401k'!N1841,'Retirement Calculator'!A:A,0),0),0)</f>
        <v>0</v>
      </c>
      <c r="K1841" s="444">
        <f t="shared" ca="1" si="136"/>
        <v>-220947.09285244171</v>
      </c>
      <c r="L1841" s="444">
        <f t="shared" ca="1" si="137"/>
        <v>-53248249.377438456</v>
      </c>
      <c r="M1841" s="460">
        <f t="shared" si="139"/>
        <v>0.05</v>
      </c>
      <c r="N1841" s="464">
        <f t="shared" si="140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38"/>
        <v>-53248249.377438456</v>
      </c>
      <c r="J1842" s="444">
        <f t="array" ref="J1842">IFERROR(INDEX('Retirement Calculator'!J:J,MATCH('Isaac 401k'!N1842,'Retirement Calculator'!A:A,0),0),0)</f>
        <v>0</v>
      </c>
      <c r="K1842" s="444">
        <f t="shared" ca="1" si="136"/>
        <v>-221867.70573932689</v>
      </c>
      <c r="L1842" s="444">
        <f t="shared" ca="1" si="137"/>
        <v>-53470117.083177783</v>
      </c>
      <c r="M1842" s="460">
        <f t="shared" si="139"/>
        <v>0.05</v>
      </c>
      <c r="N1842" s="464">
        <f t="shared" si="140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38"/>
        <v>-53470117.083177783</v>
      </c>
      <c r="J1843" s="444">
        <f t="array" ref="J1843">IFERROR(INDEX('Retirement Calculator'!J:J,MATCH('Isaac 401k'!N1843,'Retirement Calculator'!A:A,0),0),0)</f>
        <v>0</v>
      </c>
      <c r="K1843" s="444">
        <f t="shared" ca="1" si="136"/>
        <v>-222792.15451324079</v>
      </c>
      <c r="L1843" s="444">
        <f t="shared" ca="1" si="137"/>
        <v>-53692909.237691022</v>
      </c>
      <c r="M1843" s="460">
        <f t="shared" si="139"/>
        <v>0.05</v>
      </c>
      <c r="N1843" s="464">
        <f t="shared" si="140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38"/>
        <v>-53692909.237691022</v>
      </c>
      <c r="J1844" s="444">
        <f t="array" ref="J1844">IFERROR(INDEX('Retirement Calculator'!J:J,MATCH('Isaac 401k'!N1844,'Retirement Calculator'!A:A,0),0),0)</f>
        <v>0</v>
      </c>
      <c r="K1844" s="444">
        <f t="shared" ca="1" si="136"/>
        <v>-223720.45515704592</v>
      </c>
      <c r="L1844" s="444">
        <f t="shared" ca="1" si="137"/>
        <v>-53916629.692848071</v>
      </c>
      <c r="M1844" s="460">
        <f t="shared" si="139"/>
        <v>0.05</v>
      </c>
      <c r="N1844" s="464">
        <f t="shared" si="140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38"/>
        <v>-53916629.692848071</v>
      </c>
      <c r="J1845" s="444">
        <f t="array" ref="J1845">IFERROR(INDEX('Retirement Calculator'!J:J,MATCH('Isaac 401k'!N1845,'Retirement Calculator'!A:A,0),0),0)</f>
        <v>0</v>
      </c>
      <c r="K1845" s="444">
        <f t="shared" ca="1" si="136"/>
        <v>-224652.62372020032</v>
      </c>
      <c r="L1845" s="444">
        <f t="shared" ca="1" si="137"/>
        <v>-54141282.31656827</v>
      </c>
      <c r="M1845" s="460">
        <f t="shared" si="139"/>
        <v>0.05</v>
      </c>
      <c r="N1845" s="464">
        <f t="shared" si="140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38"/>
        <v>-54141282.31656827</v>
      </c>
      <c r="J1846" s="444">
        <f t="array" ref="J1846">IFERROR(INDEX('Retirement Calculator'!J:J,MATCH('Isaac 401k'!N1846,'Retirement Calculator'!A:A,0),0),0)</f>
        <v>0</v>
      </c>
      <c r="K1846" s="444">
        <f t="shared" ca="1" si="136"/>
        <v>-225588.67631903448</v>
      </c>
      <c r="L1846" s="444">
        <f t="shared" ca="1" si="137"/>
        <v>-54366870.992887303</v>
      </c>
      <c r="M1846" s="460">
        <f t="shared" si="139"/>
        <v>0.05</v>
      </c>
      <c r="N1846" s="464">
        <f t="shared" si="140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38"/>
        <v>-54366870.992887303</v>
      </c>
      <c r="J1847" s="444">
        <f t="array" ref="J1847">IFERROR(INDEX('Retirement Calculator'!J:J,MATCH('Isaac 401k'!N1847,'Retirement Calculator'!A:A,0),0),0)</f>
        <v>0</v>
      </c>
      <c r="K1847" s="444">
        <f t="shared" ca="1" si="136"/>
        <v>-226528.62913703042</v>
      </c>
      <c r="L1847" s="444">
        <f t="shared" ca="1" si="137"/>
        <v>-54593399.622024335</v>
      </c>
      <c r="M1847" s="460">
        <f t="shared" si="139"/>
        <v>0.05</v>
      </c>
      <c r="N1847" s="464">
        <f t="shared" si="140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38"/>
        <v>-54593399.622024335</v>
      </c>
      <c r="J1848" s="444">
        <f t="array" ref="J1848">IFERROR(INDEX('Retirement Calculator'!J:J,MATCH('Isaac 401k'!N1848,'Retirement Calculator'!A:A,0),0),0)</f>
        <v>0</v>
      </c>
      <c r="K1848" s="444">
        <f t="shared" ca="1" si="136"/>
        <v>-227472.49842510142</v>
      </c>
      <c r="L1848" s="444">
        <f t="shared" ca="1" si="137"/>
        <v>-54820872.120449439</v>
      </c>
      <c r="M1848" s="460">
        <f t="shared" si="139"/>
        <v>0.05</v>
      </c>
      <c r="N1848" s="464">
        <f t="shared" si="140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38"/>
        <v>-54820872.120449439</v>
      </c>
      <c r="J1849" s="444">
        <f t="array" ref="J1849">IFERROR(INDEX('Retirement Calculator'!J:J,MATCH('Isaac 401k'!N1849,'Retirement Calculator'!A:A,0),0),0)</f>
        <v>0</v>
      </c>
      <c r="K1849" s="444">
        <f t="shared" ca="1" si="136"/>
        <v>-228420.30050187267</v>
      </c>
      <c r="L1849" s="444">
        <f t="shared" ca="1" si="137"/>
        <v>-55049292.420951314</v>
      </c>
      <c r="M1849" s="460">
        <f t="shared" si="139"/>
        <v>0.05</v>
      </c>
      <c r="N1849" s="464">
        <f t="shared" si="140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38"/>
        <v>-55049292.420951314</v>
      </c>
      <c r="J1850" s="444">
        <f t="array" ref="J1850">IFERROR(INDEX('Retirement Calculator'!J:J,MATCH('Isaac 401k'!N1850,'Retirement Calculator'!A:A,0),0),0)</f>
        <v>0</v>
      </c>
      <c r="K1850" s="444">
        <f t="shared" ca="1" si="136"/>
        <v>-229372.05175396384</v>
      </c>
      <c r="L1850" s="444">
        <f t="shared" ca="1" si="137"/>
        <v>-55278664.472705275</v>
      </c>
      <c r="M1850" s="460">
        <f t="shared" si="139"/>
        <v>0.05</v>
      </c>
      <c r="N1850" s="464">
        <f t="shared" si="140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38"/>
        <v>-55278664.472705275</v>
      </c>
      <c r="J1851" s="444">
        <f t="array" ref="J1851">IFERROR(INDEX('Retirement Calculator'!J:J,MATCH('Isaac 401k'!N1851,'Retirement Calculator'!A:A,0),0),0)</f>
        <v>0</v>
      </c>
      <c r="K1851" s="444">
        <f t="shared" ca="1" si="136"/>
        <v>-230327.76863627197</v>
      </c>
      <c r="L1851" s="444">
        <f t="shared" ca="1" si="137"/>
        <v>-55508992.241341546</v>
      </c>
      <c r="M1851" s="460">
        <f t="shared" si="139"/>
        <v>0.05</v>
      </c>
      <c r="N1851" s="464">
        <f t="shared" si="140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38"/>
        <v>-55508992.241341546</v>
      </c>
      <c r="J1852" s="444">
        <f t="array" ref="J1852">IFERROR(INDEX('Retirement Calculator'!J:J,MATCH('Isaac 401k'!N1852,'Retirement Calculator'!A:A,0),0),0)</f>
        <v>0</v>
      </c>
      <c r="K1852" s="444">
        <f t="shared" ca="1" si="136"/>
        <v>-231287.46767225643</v>
      </c>
      <c r="L1852" s="444">
        <f t="shared" ca="1" si="137"/>
        <v>-55740279.709013805</v>
      </c>
      <c r="M1852" s="460">
        <f t="shared" si="139"/>
        <v>0.05</v>
      </c>
      <c r="N1852" s="464">
        <f t="shared" si="140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38"/>
        <v>-55740279.709013805</v>
      </c>
      <c r="J1853" s="444">
        <f t="array" ref="J1853">IFERROR(INDEX('Retirement Calculator'!J:J,MATCH('Isaac 401k'!N1853,'Retirement Calculator'!A:A,0),0),0)</f>
        <v>0</v>
      </c>
      <c r="K1853" s="444">
        <f t="shared" ca="1" si="136"/>
        <v>-232251.16545422419</v>
      </c>
      <c r="L1853" s="444">
        <f t="shared" ca="1" si="137"/>
        <v>-55972530.874468029</v>
      </c>
      <c r="M1853" s="460">
        <f t="shared" si="139"/>
        <v>0.05</v>
      </c>
      <c r="N1853" s="464">
        <f t="shared" si="140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38"/>
        <v>-55972530.874468029</v>
      </c>
      <c r="J1854" s="444">
        <f t="array" ref="J1854">IFERROR(INDEX('Retirement Calculator'!J:J,MATCH('Isaac 401k'!N1854,'Retirement Calculator'!A:A,0),0),0)</f>
        <v>0</v>
      </c>
      <c r="K1854" s="444">
        <f t="shared" ca="1" si="136"/>
        <v>-233218.87864361677</v>
      </c>
      <c r="L1854" s="444">
        <f t="shared" ca="1" si="137"/>
        <v>-56205749.753111646</v>
      </c>
      <c r="M1854" s="460">
        <f t="shared" si="139"/>
        <v>0.05</v>
      </c>
      <c r="N1854" s="464">
        <f t="shared" si="140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38"/>
        <v>-56205749.753111646</v>
      </c>
      <c r="J1855" s="444">
        <f t="array" ref="J1855">IFERROR(INDEX('Retirement Calculator'!J:J,MATCH('Isaac 401k'!N1855,'Retirement Calculator'!A:A,0),0),0)</f>
        <v>0</v>
      </c>
      <c r="K1855" s="444">
        <f t="shared" ca="1" si="136"/>
        <v>-234190.62397129851</v>
      </c>
      <c r="L1855" s="444">
        <f t="shared" ca="1" si="137"/>
        <v>-56439940.377082944</v>
      </c>
      <c r="M1855" s="460">
        <f t="shared" si="139"/>
        <v>0.05</v>
      </c>
      <c r="N1855" s="464">
        <f t="shared" si="140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38"/>
        <v>-56439940.377082944</v>
      </c>
      <c r="J1856" s="444">
        <f t="array" ref="J1856">IFERROR(INDEX('Retirement Calculator'!J:J,MATCH('Isaac 401k'!N1856,'Retirement Calculator'!A:A,0),0),0)</f>
        <v>0</v>
      </c>
      <c r="K1856" s="444">
        <f t="shared" ca="1" si="136"/>
        <v>-235166.41823784559</v>
      </c>
      <c r="L1856" s="444">
        <f t="shared" ca="1" si="137"/>
        <v>-56675106.795320787</v>
      </c>
      <c r="M1856" s="460">
        <f t="shared" si="139"/>
        <v>0.05</v>
      </c>
      <c r="N1856" s="464">
        <f t="shared" si="140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38"/>
        <v>-56675106.795320787</v>
      </c>
      <c r="J1857" s="444">
        <f t="array" ref="J1857">IFERROR(INDEX('Retirement Calculator'!J:J,MATCH('Isaac 401k'!N1857,'Retirement Calculator'!A:A,0),0),0)</f>
        <v>0</v>
      </c>
      <c r="K1857" s="444">
        <f t="shared" ca="1" si="136"/>
        <v>-236146.27831383661</v>
      </c>
      <c r="L1857" s="444">
        <f t="shared" ca="1" si="137"/>
        <v>-56911253.073634624</v>
      </c>
      <c r="M1857" s="460">
        <f t="shared" si="139"/>
        <v>0.05</v>
      </c>
      <c r="N1857" s="464">
        <f t="shared" si="140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38"/>
        <v>-56911253.073634624</v>
      </c>
      <c r="J1858" s="444">
        <f t="array" ref="J1858">IFERROR(INDEX('Retirement Calculator'!J:J,MATCH('Isaac 401k'!N1858,'Retirement Calculator'!A:A,0),0),0)</f>
        <v>0</v>
      </c>
      <c r="K1858" s="444">
        <f t="shared" ca="1" si="136"/>
        <v>-237130.22114014428</v>
      </c>
      <c r="L1858" s="444">
        <f t="shared" ca="1" si="137"/>
        <v>-57148383.294774771</v>
      </c>
      <c r="M1858" s="460">
        <f t="shared" si="139"/>
        <v>0.05</v>
      </c>
      <c r="N1858" s="464">
        <f t="shared" si="140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38"/>
        <v>-57148383.294774771</v>
      </c>
      <c r="J1859" s="444">
        <f t="array" ref="J1859">IFERROR(INDEX('Retirement Calculator'!J:J,MATCH('Isaac 401k'!N1859,'Retirement Calculator'!A:A,0),0),0)</f>
        <v>0</v>
      </c>
      <c r="K1859" s="444">
        <f t="shared" ca="1" si="136"/>
        <v>-238118.26372822819</v>
      </c>
      <c r="L1859" s="444">
        <f t="shared" ca="1" si="137"/>
        <v>-57386501.558503002</v>
      </c>
      <c r="M1859" s="460">
        <f t="shared" si="139"/>
        <v>0.05</v>
      </c>
      <c r="N1859" s="464">
        <f t="shared" si="140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38"/>
        <v>-57386501.558503002</v>
      </c>
      <c r="J1860" s="444">
        <f t="array" ref="J1860">IFERROR(INDEX('Retirement Calculator'!J:J,MATCH('Isaac 401k'!N1860,'Retirement Calculator'!A:A,0),0),0)</f>
        <v>0</v>
      </c>
      <c r="K1860" s="444">
        <f t="shared" ca="1" si="136"/>
        <v>-239110.4231604292</v>
      </c>
      <c r="L1860" s="444">
        <f t="shared" ca="1" si="137"/>
        <v>-57625611.981663428</v>
      </c>
      <c r="M1860" s="460">
        <f t="shared" si="139"/>
        <v>0.05</v>
      </c>
      <c r="N1860" s="464">
        <f t="shared" si="140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38"/>
        <v>-57625611.981663428</v>
      </c>
      <c r="J1861" s="444">
        <f t="array" ref="J1861">IFERROR(INDEX('Retirement Calculator'!J:J,MATCH('Isaac 401k'!N1861,'Retirement Calculator'!A:A,0),0),0)</f>
        <v>0</v>
      </c>
      <c r="K1861" s="444">
        <f t="shared" ca="1" si="136"/>
        <v>-240106.71659026429</v>
      </c>
      <c r="L1861" s="444">
        <f t="shared" ca="1" si="137"/>
        <v>-57865718.698253691</v>
      </c>
      <c r="M1861" s="460">
        <f t="shared" si="139"/>
        <v>0.05</v>
      </c>
      <c r="N1861" s="464">
        <f t="shared" si="140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38"/>
        <v>-57865718.698253691</v>
      </c>
      <c r="J1862" s="444">
        <f t="array" ref="J1862">IFERROR(INDEX('Retirement Calculator'!J:J,MATCH('Isaac 401k'!N1862,'Retirement Calculator'!A:A,0),0),0)</f>
        <v>0</v>
      </c>
      <c r="K1862" s="444">
        <f t="shared" ca="1" si="136"/>
        <v>-241107.16124272373</v>
      </c>
      <c r="L1862" s="444">
        <f t="shared" ca="1" si="137"/>
        <v>-58106825.859496415</v>
      </c>
      <c r="M1862" s="460">
        <f t="shared" si="139"/>
        <v>0.05</v>
      </c>
      <c r="N1862" s="464">
        <f t="shared" si="140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38"/>
        <v>-58106825.859496415</v>
      </c>
      <c r="J1863" s="444">
        <f t="array" ref="J1863">IFERROR(INDEX('Retirement Calculator'!J:J,MATCH('Isaac 401k'!N1863,'Retirement Calculator'!A:A,0),0),0)</f>
        <v>0</v>
      </c>
      <c r="K1863" s="444">
        <f t="shared" ca="1" si="136"/>
        <v>-242111.77441456838</v>
      </c>
      <c r="L1863" s="444">
        <f t="shared" ca="1" si="137"/>
        <v>-58348937.633910984</v>
      </c>
      <c r="M1863" s="460">
        <f t="shared" si="139"/>
        <v>0.05</v>
      </c>
      <c r="N1863" s="464">
        <f t="shared" si="140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38"/>
        <v>-58348937.633910984</v>
      </c>
      <c r="J1864" s="444">
        <f t="array" ref="J1864">IFERROR(INDEX('Retirement Calculator'!J:J,MATCH('Isaac 401k'!N1864,'Retirement Calculator'!A:A,0),0),0)</f>
        <v>0</v>
      </c>
      <c r="K1864" s="444">
        <f t="shared" ca="1" si="136"/>
        <v>-243120.57347462905</v>
      </c>
      <c r="L1864" s="444">
        <f t="shared" ca="1" si="137"/>
        <v>-58592058.207385615</v>
      </c>
      <c r="M1864" s="460">
        <f t="shared" si="139"/>
        <v>0.05</v>
      </c>
      <c r="N1864" s="464">
        <f t="shared" si="140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38"/>
        <v>-58592058.207385615</v>
      </c>
      <c r="J1865" s="444">
        <f t="array" ref="J1865">IFERROR(INDEX('Retirement Calculator'!J:J,MATCH('Isaac 401k'!N1865,'Retirement Calculator'!A:A,0),0),0)</f>
        <v>0</v>
      </c>
      <c r="K1865" s="444">
        <f t="shared" ca="1" si="136"/>
        <v>-244133.57586410677</v>
      </c>
      <c r="L1865" s="444">
        <f t="shared" ca="1" si="137"/>
        <v>-58836191.783249721</v>
      </c>
      <c r="M1865" s="460">
        <f t="shared" si="139"/>
        <v>0.05</v>
      </c>
      <c r="N1865" s="464">
        <f t="shared" si="140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38"/>
        <v>-58836191.783249721</v>
      </c>
      <c r="J1866" s="444">
        <f t="array" ref="J1866">IFERROR(INDEX('Retirement Calculator'!J:J,MATCH('Isaac 401k'!N1866,'Retirement Calculator'!A:A,0),0),0)</f>
        <v>0</v>
      </c>
      <c r="K1866" s="444">
        <f t="shared" ca="1" si="136"/>
        <v>-245150.79909687384</v>
      </c>
      <c r="L1866" s="444">
        <f t="shared" ca="1" si="137"/>
        <v>-59081342.582346596</v>
      </c>
      <c r="M1866" s="460">
        <f t="shared" si="139"/>
        <v>0.05</v>
      </c>
      <c r="N1866" s="464">
        <f t="shared" si="140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38"/>
        <v>-59081342.582346596</v>
      </c>
      <c r="J1867" s="444">
        <f t="array" ref="J1867">IFERROR(INDEX('Retirement Calculator'!J:J,MATCH('Isaac 401k'!N1867,'Retirement Calculator'!A:A,0),0),0)</f>
        <v>0</v>
      </c>
      <c r="K1867" s="444">
        <f t="shared" ca="1" si="136"/>
        <v>-246172.26075977748</v>
      </c>
      <c r="L1867" s="444">
        <f t="shared" ca="1" si="137"/>
        <v>-59327514.843106374</v>
      </c>
      <c r="M1867" s="460">
        <f t="shared" si="139"/>
        <v>0.05</v>
      </c>
      <c r="N1867" s="464">
        <f t="shared" si="140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38"/>
        <v>-59327514.843106374</v>
      </c>
      <c r="J1868" s="444">
        <f t="array" ref="J1868">IFERROR(INDEX('Retirement Calculator'!J:J,MATCH('Isaac 401k'!N1868,'Retirement Calculator'!A:A,0),0),0)</f>
        <v>0</v>
      </c>
      <c r="K1868" s="444">
        <f t="shared" ca="1" si="136"/>
        <v>-247197.97851294326</v>
      </c>
      <c r="L1868" s="444">
        <f t="shared" ca="1" si="137"/>
        <v>-59574712.821619317</v>
      </c>
      <c r="M1868" s="460">
        <f t="shared" si="139"/>
        <v>0.05</v>
      </c>
      <c r="N1868" s="464">
        <f t="shared" si="140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38"/>
        <v>-59574712.821619317</v>
      </c>
      <c r="J1869" s="444">
        <f t="array" ref="J1869">IFERROR(INDEX('Retirement Calculator'!J:J,MATCH('Isaac 401k'!N1869,'Retirement Calculator'!A:A,0),0),0)</f>
        <v>0</v>
      </c>
      <c r="K1869" s="444">
        <f t="shared" ca="1" si="136"/>
        <v>-248227.97009008046</v>
      </c>
      <c r="L1869" s="444">
        <f t="shared" ca="1" si="137"/>
        <v>-59822940.791709401</v>
      </c>
      <c r="M1869" s="460">
        <f t="shared" si="139"/>
        <v>0.05</v>
      </c>
      <c r="N1869" s="464">
        <f t="shared" si="140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38"/>
        <v>-59822940.791709401</v>
      </c>
      <c r="J1870" s="444">
        <f t="array" ref="J1870">IFERROR(INDEX('Retirement Calculator'!J:J,MATCH('Isaac 401k'!N1870,'Retirement Calculator'!A:A,0),0),0)</f>
        <v>0</v>
      </c>
      <c r="K1870" s="444">
        <f t="shared" ca="1" si="136"/>
        <v>-249262.25329878918</v>
      </c>
      <c r="L1870" s="444">
        <f t="shared" ca="1" si="137"/>
        <v>-60072203.04500819</v>
      </c>
      <c r="M1870" s="460">
        <f t="shared" si="139"/>
        <v>0.05</v>
      </c>
      <c r="N1870" s="464">
        <f t="shared" si="140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38"/>
        <v>-60072203.04500819</v>
      </c>
      <c r="J1871" s="444">
        <f t="array" ref="J1871">IFERROR(INDEX('Retirement Calculator'!J:J,MATCH('Isaac 401k'!N1871,'Retirement Calculator'!A:A,0),0),0)</f>
        <v>0</v>
      </c>
      <c r="K1871" s="444">
        <f t="shared" ca="1" si="136"/>
        <v>-250300.84602086747</v>
      </c>
      <c r="L1871" s="444">
        <f t="shared" ca="1" si="137"/>
        <v>-60322503.89102906</v>
      </c>
      <c r="M1871" s="460">
        <f t="shared" si="139"/>
        <v>0.05</v>
      </c>
      <c r="N1871" s="464">
        <f t="shared" si="140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38"/>
        <v>-60322503.89102906</v>
      </c>
      <c r="J1872" s="444">
        <f t="array" ref="J1872">IFERROR(INDEX('Retirement Calculator'!J:J,MATCH('Isaac 401k'!N1872,'Retirement Calculator'!A:A,0),0),0)</f>
        <v>0</v>
      </c>
      <c r="K1872" s="444">
        <f t="shared" ca="1" si="136"/>
        <v>-251343.76621262109</v>
      </c>
      <c r="L1872" s="444">
        <f t="shared" ca="1" si="137"/>
        <v>-60573847.65724168</v>
      </c>
      <c r="M1872" s="460">
        <f t="shared" si="139"/>
        <v>0.05</v>
      </c>
      <c r="N1872" s="464">
        <f t="shared" si="140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38"/>
        <v>-60573847.65724168</v>
      </c>
      <c r="J1873" s="444">
        <f t="array" ref="J1873">IFERROR(INDEX('Retirement Calculator'!J:J,MATCH('Isaac 401k'!N1873,'Retirement Calculator'!A:A,0),0),0)</f>
        <v>0</v>
      </c>
      <c r="K1873" s="444">
        <f t="shared" ca="1" si="136"/>
        <v>-252391.03190517367</v>
      </c>
      <c r="L1873" s="444">
        <f t="shared" ca="1" si="137"/>
        <v>-60826238.689146854</v>
      </c>
      <c r="M1873" s="460">
        <f t="shared" si="139"/>
        <v>0.05</v>
      </c>
      <c r="N1873" s="464">
        <f t="shared" si="140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38"/>
        <v>-60826238.689146854</v>
      </c>
      <c r="J1874" s="444">
        <f t="array" ref="J1874">IFERROR(INDEX('Retirement Calculator'!J:J,MATCH('Isaac 401k'!N1874,'Retirement Calculator'!A:A,0),0),0)</f>
        <v>0</v>
      </c>
      <c r="K1874" s="444">
        <f t="shared" ca="1" si="136"/>
        <v>-253442.66120477856</v>
      </c>
      <c r="L1874" s="444">
        <f t="shared" ca="1" si="137"/>
        <v>-61079681.350351632</v>
      </c>
      <c r="M1874" s="460">
        <f t="shared" si="139"/>
        <v>0.05</v>
      </c>
      <c r="N1874" s="464">
        <f t="shared" si="140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38"/>
        <v>-61079681.350351632</v>
      </c>
      <c r="J1875" s="444">
        <f t="array" ref="J1875">IFERROR(INDEX('Retirement Calculator'!J:J,MATCH('Isaac 401k'!N1875,'Retirement Calculator'!A:A,0),0),0)</f>
        <v>0</v>
      </c>
      <c r="K1875" s="444">
        <f t="shared" ca="1" si="136"/>
        <v>-254498.67229313179</v>
      </c>
      <c r="L1875" s="444">
        <f t="shared" ca="1" si="137"/>
        <v>-61334180.022644766</v>
      </c>
      <c r="M1875" s="460">
        <f t="shared" si="139"/>
        <v>0.05</v>
      </c>
      <c r="N1875" s="464">
        <f t="shared" si="140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38"/>
        <v>-61334180.022644766</v>
      </c>
      <c r="J1876" s="444">
        <f t="array" ref="J1876">IFERROR(INDEX('Retirement Calculator'!J:J,MATCH('Isaac 401k'!N1876,'Retirement Calculator'!A:A,0),0),0)</f>
        <v>0</v>
      </c>
      <c r="K1876" s="444">
        <f t="shared" ca="1" si="136"/>
        <v>-255559.08342768648</v>
      </c>
      <c r="L1876" s="444">
        <f t="shared" ca="1" si="137"/>
        <v>-61589739.106072456</v>
      </c>
      <c r="M1876" s="460">
        <f t="shared" si="139"/>
        <v>0.05</v>
      </c>
      <c r="N1876" s="464">
        <f t="shared" si="140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38"/>
        <v>-61589739.106072456</v>
      </c>
      <c r="J1877" s="444">
        <f t="array" ref="J1877">IFERROR(INDEX('Retirement Calculator'!J:J,MATCH('Isaac 401k'!N1877,'Retirement Calculator'!A:A,0),0),0)</f>
        <v>0</v>
      </c>
      <c r="K1877" s="444">
        <f t="shared" ca="1" si="136"/>
        <v>-256623.91294196856</v>
      </c>
      <c r="L1877" s="444">
        <f t="shared" ca="1" si="137"/>
        <v>-61846363.019014426</v>
      </c>
      <c r="M1877" s="460">
        <f t="shared" si="139"/>
        <v>0.05</v>
      </c>
      <c r="N1877" s="464">
        <f t="shared" si="140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38"/>
        <v>-61846363.019014426</v>
      </c>
      <c r="J1878" s="444">
        <f t="array" ref="J1878">IFERROR(INDEX('Retirement Calculator'!J:J,MATCH('Isaac 401k'!N1878,'Retirement Calculator'!A:A,0),0),0)</f>
        <v>0</v>
      </c>
      <c r="K1878" s="444">
        <f t="shared" ca="1" si="136"/>
        <v>-257693.17924589344</v>
      </c>
      <c r="L1878" s="444">
        <f t="shared" ca="1" si="137"/>
        <v>-62104056.198260322</v>
      </c>
      <c r="M1878" s="460">
        <f t="shared" si="139"/>
        <v>0.05</v>
      </c>
      <c r="N1878" s="464">
        <f t="shared" si="140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38"/>
        <v>-62104056.198260322</v>
      </c>
      <c r="J1879" s="444">
        <f t="array" ref="J1879">IFERROR(INDEX('Retirement Calculator'!J:J,MATCH('Isaac 401k'!N1879,'Retirement Calculator'!A:A,0),0),0)</f>
        <v>0</v>
      </c>
      <c r="K1879" s="444">
        <f t="shared" ca="1" si="136"/>
        <v>-258766.90082608466</v>
      </c>
      <c r="L1879" s="444">
        <f t="shared" ca="1" si="137"/>
        <v>-62362823.099086404</v>
      </c>
      <c r="M1879" s="460">
        <f t="shared" si="139"/>
        <v>0.05</v>
      </c>
      <c r="N1879" s="464">
        <f t="shared" si="140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38"/>
        <v>-62362823.099086404</v>
      </c>
      <c r="J1880" s="444">
        <f t="array" ref="J1880">IFERROR(INDEX('Retirement Calculator'!J:J,MATCH('Isaac 401k'!N1880,'Retirement Calculator'!A:A,0),0),0)</f>
        <v>0</v>
      </c>
      <c r="K1880" s="444">
        <f t="shared" ca="1" si="136"/>
        <v>-259845.09624619334</v>
      </c>
      <c r="L1880" s="444">
        <f t="shared" ca="1" si="137"/>
        <v>-62622668.195332594</v>
      </c>
      <c r="M1880" s="460">
        <f t="shared" si="139"/>
        <v>0.05</v>
      </c>
      <c r="N1880" s="464">
        <f t="shared" si="140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38"/>
        <v>-62622668.195332594</v>
      </c>
      <c r="J1881" s="444">
        <f t="array" ref="J1881">IFERROR(INDEX('Retirement Calculator'!J:J,MATCH('Isaac 401k'!N1881,'Retirement Calculator'!A:A,0),0),0)</f>
        <v>0</v>
      </c>
      <c r="K1881" s="444">
        <f t="shared" ca="1" si="136"/>
        <v>-260927.78414721912</v>
      </c>
      <c r="L1881" s="444">
        <f t="shared" ca="1" si="137"/>
        <v>-62883595.979479812</v>
      </c>
      <c r="M1881" s="460">
        <f t="shared" si="139"/>
        <v>0.05</v>
      </c>
      <c r="N1881" s="464">
        <f t="shared" si="140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38"/>
        <v>-62883595.979479812</v>
      </c>
      <c r="J1882" s="444">
        <f t="array" ref="J1882">IFERROR(INDEX('Retirement Calculator'!J:J,MATCH('Isaac 401k'!N1882,'Retirement Calculator'!A:A,0),0),0)</f>
        <v>0</v>
      </c>
      <c r="K1882" s="444">
        <f t="shared" ca="1" si="136"/>
        <v>-262014.98324783254</v>
      </c>
      <c r="L1882" s="444">
        <f t="shared" ca="1" si="137"/>
        <v>-63145610.962727644</v>
      </c>
      <c r="M1882" s="460">
        <f t="shared" si="139"/>
        <v>0.05</v>
      </c>
      <c r="N1882" s="464">
        <f t="shared" si="140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38"/>
        <v>-63145610.962727644</v>
      </c>
      <c r="J1883" s="444">
        <f t="array" ref="J1883">IFERROR(INDEX('Retirement Calculator'!J:J,MATCH('Isaac 401k'!N1883,'Retirement Calculator'!A:A,0),0),0)</f>
        <v>0</v>
      </c>
      <c r="K1883" s="444">
        <f t="shared" ca="1" si="136"/>
        <v>-263106.71234469849</v>
      </c>
      <c r="L1883" s="444">
        <f t="shared" ca="1" si="137"/>
        <v>-63408717.675072342</v>
      </c>
      <c r="M1883" s="460">
        <f t="shared" si="139"/>
        <v>0.05</v>
      </c>
      <c r="N1883" s="464">
        <f t="shared" si="140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38"/>
        <v>-63408717.675072342</v>
      </c>
      <c r="J1884" s="444">
        <f t="array" ref="J1884">IFERROR(INDEX('Retirement Calculator'!J:J,MATCH('Isaac 401k'!N1884,'Retirement Calculator'!A:A,0),0),0)</f>
        <v>0</v>
      </c>
      <c r="K1884" s="444">
        <f t="shared" ca="1" si="136"/>
        <v>-264202.99031280138</v>
      </c>
      <c r="L1884" s="444">
        <f t="shared" ca="1" si="137"/>
        <v>-63672920.665385142</v>
      </c>
      <c r="M1884" s="460">
        <f t="shared" si="139"/>
        <v>0.05</v>
      </c>
      <c r="N1884" s="464">
        <f t="shared" si="140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38"/>
        <v>-63672920.665385142</v>
      </c>
      <c r="J1885" s="444">
        <f t="array" ref="J1885">IFERROR(INDEX('Retirement Calculator'!J:J,MATCH('Isaac 401k'!N1885,'Retirement Calculator'!A:A,0),0),0)</f>
        <v>0</v>
      </c>
      <c r="K1885" s="444">
        <f t="shared" ca="1" si="136"/>
        <v>-265303.83610577136</v>
      </c>
      <c r="L1885" s="444">
        <f t="shared" ca="1" si="137"/>
        <v>-63938224.501490913</v>
      </c>
      <c r="M1885" s="460">
        <f t="shared" si="139"/>
        <v>0.05</v>
      </c>
      <c r="N1885" s="464">
        <f t="shared" si="140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38"/>
        <v>-63938224.501490913</v>
      </c>
      <c r="J1886" s="444">
        <f t="array" ref="J1886">IFERROR(INDEX('Retirement Calculator'!J:J,MATCH('Isaac 401k'!N1886,'Retirement Calculator'!A:A,0),0),0)</f>
        <v>0</v>
      </c>
      <c r="K1886" s="444">
        <f t="shared" ca="1" si="136"/>
        <v>-266409.26875621214</v>
      </c>
      <c r="L1886" s="444">
        <f t="shared" ca="1" si="137"/>
        <v>-64204633.770247124</v>
      </c>
      <c r="M1886" s="460">
        <f t="shared" si="139"/>
        <v>0.05</v>
      </c>
      <c r="N1886" s="464">
        <f t="shared" si="140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38"/>
        <v>-64204633.770247124</v>
      </c>
      <c r="J1887" s="444">
        <f t="array" ref="J1887">IFERROR(INDEX('Retirement Calculator'!J:J,MATCH('Isaac 401k'!N1887,'Retirement Calculator'!A:A,0),0),0)</f>
        <v>0</v>
      </c>
      <c r="K1887" s="444">
        <f t="shared" ca="1" si="136"/>
        <v>-267519.30737602967</v>
      </c>
      <c r="L1887" s="444">
        <f t="shared" ca="1" si="137"/>
        <v>-64472153.077623151</v>
      </c>
      <c r="M1887" s="460">
        <f t="shared" si="139"/>
        <v>0.05</v>
      </c>
      <c r="N1887" s="464">
        <f t="shared" si="140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38"/>
        <v>-64472153.077623151</v>
      </c>
      <c r="J1888" s="444">
        <f t="array" ref="J1888">IFERROR(INDEX('Retirement Calculator'!J:J,MATCH('Isaac 401k'!N1888,'Retirement Calculator'!A:A,0),0),0)</f>
        <v>0</v>
      </c>
      <c r="K1888" s="444">
        <f t="shared" ca="1" si="136"/>
        <v>-268633.97115676315</v>
      </c>
      <c r="L1888" s="444">
        <f t="shared" ca="1" si="137"/>
        <v>-64740787.048779912</v>
      </c>
      <c r="M1888" s="460">
        <f t="shared" si="139"/>
        <v>0.05</v>
      </c>
      <c r="N1888" s="464">
        <f t="shared" si="140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38"/>
        <v>-64740787.048779912</v>
      </c>
      <c r="J1889" s="444">
        <f t="array" ref="J1889">IFERROR(INDEX('Retirement Calculator'!J:J,MATCH('Isaac 401k'!N1889,'Retirement Calculator'!A:A,0),0),0)</f>
        <v>0</v>
      </c>
      <c r="K1889" s="444">
        <f t="shared" ca="1" si="136"/>
        <v>-269753.2793699163</v>
      </c>
      <c r="L1889" s="444">
        <f t="shared" ca="1" si="137"/>
        <v>-65010540.328149825</v>
      </c>
      <c r="M1889" s="460">
        <f t="shared" si="139"/>
        <v>0.05</v>
      </c>
      <c r="N1889" s="464">
        <f t="shared" si="140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38"/>
        <v>-65010540.328149825</v>
      </c>
      <c r="J1890" s="444">
        <f t="array" ref="J1890">IFERROR(INDEX('Retirement Calculator'!J:J,MATCH('Isaac 401k'!N1890,'Retirement Calculator'!A:A,0),0),0)</f>
        <v>0</v>
      </c>
      <c r="K1890" s="444">
        <f t="shared" ca="1" si="136"/>
        <v>-270877.25136729091</v>
      </c>
      <c r="L1890" s="444">
        <f t="shared" ca="1" si="137"/>
        <v>-65281417.579517119</v>
      </c>
      <c r="M1890" s="460">
        <f t="shared" si="139"/>
        <v>0.05</v>
      </c>
      <c r="N1890" s="464">
        <f t="shared" si="140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38"/>
        <v>-65281417.579517119</v>
      </c>
      <c r="J1891" s="444">
        <f t="array" ref="J1891">IFERROR(INDEX('Retirement Calculator'!J:J,MATCH('Isaac 401k'!N1891,'Retirement Calculator'!A:A,0),0),0)</f>
        <v>0</v>
      </c>
      <c r="K1891" s="444">
        <f t="shared" ca="1" si="136"/>
        <v>-272005.90658132132</v>
      </c>
      <c r="L1891" s="444">
        <f t="shared" ca="1" si="137"/>
        <v>-65553423.486098439</v>
      </c>
      <c r="M1891" s="460">
        <f t="shared" si="139"/>
        <v>0.05</v>
      </c>
      <c r="N1891" s="464">
        <f t="shared" si="140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38"/>
        <v>-65553423.486098439</v>
      </c>
      <c r="J1892" s="444">
        <f t="array" ref="J1892">IFERROR(INDEX('Retirement Calculator'!J:J,MATCH('Isaac 401k'!N1892,'Retirement Calculator'!A:A,0),0),0)</f>
        <v>0</v>
      </c>
      <c r="K1892" s="444">
        <f t="shared" ca="1" si="136"/>
        <v>-273139.26452541014</v>
      </c>
      <c r="L1892" s="444">
        <f t="shared" ca="1" si="137"/>
        <v>-65826562.750623852</v>
      </c>
      <c r="M1892" s="460">
        <f t="shared" si="139"/>
        <v>0.05</v>
      </c>
      <c r="N1892" s="464">
        <f t="shared" si="140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38"/>
        <v>-65826562.750623852</v>
      </c>
      <c r="J1893" s="444">
        <f t="array" ref="J1893">IFERROR(INDEX('Retirement Calculator'!J:J,MATCH('Isaac 401k'!N1893,'Retirement Calculator'!A:A,0),0),0)</f>
        <v>0</v>
      </c>
      <c r="K1893" s="444">
        <f t="shared" ca="1" si="136"/>
        <v>-274277.34479426604</v>
      </c>
      <c r="L1893" s="444">
        <f t="shared" ca="1" si="137"/>
        <v>-66100840.095418118</v>
      </c>
      <c r="M1893" s="460">
        <f t="shared" si="139"/>
        <v>0.05</v>
      </c>
      <c r="N1893" s="464">
        <f t="shared" si="140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38"/>
        <v>-66100840.095418118</v>
      </c>
      <c r="J1894" s="444">
        <f t="array" ref="J1894">IFERROR(INDEX('Retirement Calculator'!J:J,MATCH('Isaac 401k'!N1894,'Retirement Calculator'!A:A,0),0),0)</f>
        <v>0</v>
      </c>
      <c r="K1894" s="444">
        <f t="shared" ca="1" si="136"/>
        <v>-275420.16706424218</v>
      </c>
      <c r="L1894" s="444">
        <f t="shared" ca="1" si="137"/>
        <v>-66376260.26248236</v>
      </c>
      <c r="M1894" s="460">
        <f t="shared" si="139"/>
        <v>0.05</v>
      </c>
      <c r="N1894" s="464">
        <f t="shared" si="140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38"/>
        <v>-66376260.26248236</v>
      </c>
      <c r="J1895" s="444">
        <f t="array" ref="J1895">IFERROR(INDEX('Retirement Calculator'!J:J,MATCH('Isaac 401k'!N1895,'Retirement Calculator'!A:A,0),0),0)</f>
        <v>0</v>
      </c>
      <c r="K1895" s="444">
        <f t="shared" ca="1" si="136"/>
        <v>-276567.75109367649</v>
      </c>
      <c r="L1895" s="444">
        <f t="shared" ca="1" si="137"/>
        <v>-66652828.013576038</v>
      </c>
      <c r="M1895" s="460">
        <f t="shared" si="139"/>
        <v>0.05</v>
      </c>
      <c r="N1895" s="464">
        <f t="shared" si="140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38"/>
        <v>-66652828.013576038</v>
      </c>
      <c r="J1896" s="444">
        <f t="array" ref="J1896">IFERROR(INDEX('Retirement Calculator'!J:J,MATCH('Isaac 401k'!N1896,'Retirement Calculator'!A:A,0),0),0)</f>
        <v>0</v>
      </c>
      <c r="K1896" s="444">
        <f t="shared" ca="1" si="136"/>
        <v>-277720.11672323348</v>
      </c>
      <c r="L1896" s="444">
        <f t="shared" ca="1" si="137"/>
        <v>-66930548.13029927</v>
      </c>
      <c r="M1896" s="460">
        <f t="shared" si="139"/>
        <v>0.05</v>
      </c>
      <c r="N1896" s="464">
        <f t="shared" si="140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38"/>
        <v>-66930548.13029927</v>
      </c>
      <c r="J1897" s="444">
        <f t="array" ref="J1897">IFERROR(INDEX('Retirement Calculator'!J:J,MATCH('Isaac 401k'!N1897,'Retirement Calculator'!A:A,0),0),0)</f>
        <v>0</v>
      </c>
      <c r="K1897" s="444">
        <f t="shared" ca="1" si="136"/>
        <v>-278877.28387624695</v>
      </c>
      <c r="L1897" s="444">
        <f t="shared" ca="1" si="137"/>
        <v>-67209425.41417551</v>
      </c>
      <c r="M1897" s="460">
        <f t="shared" si="139"/>
        <v>0.05</v>
      </c>
      <c r="N1897" s="464">
        <f t="shared" si="140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38"/>
        <v>-67209425.41417551</v>
      </c>
      <c r="J1898" s="444">
        <f t="array" ref="J1898">IFERROR(INDEX('Retirement Calculator'!J:J,MATCH('Isaac 401k'!N1898,'Retirement Calculator'!A:A,0),0),0)</f>
        <v>0</v>
      </c>
      <c r="K1898" s="444">
        <f t="shared" ca="1" si="136"/>
        <v>-280039.27255906462</v>
      </c>
      <c r="L1898" s="444">
        <f t="shared" ca="1" si="137"/>
        <v>-67489464.686734572</v>
      </c>
      <c r="M1898" s="460">
        <f t="shared" si="139"/>
        <v>0.05</v>
      </c>
      <c r="N1898" s="464">
        <f t="shared" si="140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38"/>
        <v>-67489464.686734572</v>
      </c>
      <c r="J1899" s="444">
        <f t="array" ref="J1899">IFERROR(INDEX('Retirement Calculator'!J:J,MATCH('Isaac 401k'!N1899,'Retirement Calculator'!A:A,0),0),0)</f>
        <v>0</v>
      </c>
      <c r="K1899" s="444">
        <f t="shared" ca="1" si="136"/>
        <v>-281206.10286139406</v>
      </c>
      <c r="L1899" s="444">
        <f t="shared" ca="1" si="137"/>
        <v>-67770670.789595962</v>
      </c>
      <c r="M1899" s="460">
        <f t="shared" si="139"/>
        <v>0.05</v>
      </c>
      <c r="N1899" s="464">
        <f t="shared" si="140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38"/>
        <v>-67770670.789595962</v>
      </c>
      <c r="J1900" s="444">
        <f t="array" ref="J1900">IFERROR(INDEX('Retirement Calculator'!J:J,MATCH('Isaac 401k'!N1900,'Retirement Calculator'!A:A,0),0),0)</f>
        <v>0</v>
      </c>
      <c r="K1900" s="444">
        <f t="shared" ca="1" si="136"/>
        <v>-282377.79495664983</v>
      </c>
      <c r="L1900" s="444">
        <f t="shared" ca="1" si="137"/>
        <v>-68053048.584552616</v>
      </c>
      <c r="M1900" s="460">
        <f t="shared" si="139"/>
        <v>0.05</v>
      </c>
      <c r="N1900" s="464">
        <f t="shared" si="140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38"/>
        <v>-68053048.584552616</v>
      </c>
      <c r="J1901" s="444">
        <f t="array" ref="J1901">IFERROR(INDEX('Retirement Calculator'!J:J,MATCH('Isaac 401k'!N1901,'Retirement Calculator'!A:A,0),0),0)</f>
        <v>0</v>
      </c>
      <c r="K1901" s="444">
        <f t="shared" ca="1" si="136"/>
        <v>-283554.36910230259</v>
      </c>
      <c r="L1901" s="444">
        <f t="shared" ca="1" si="137"/>
        <v>-68336602.953654915</v>
      </c>
      <c r="M1901" s="460">
        <f t="shared" si="139"/>
        <v>0.05</v>
      </c>
      <c r="N1901" s="464">
        <f t="shared" si="140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38"/>
        <v>-68336602.953654915</v>
      </c>
      <c r="J1902" s="444">
        <f t="array" ref="J1902">IFERROR(INDEX('Retirement Calculator'!J:J,MATCH('Isaac 401k'!N1902,'Retirement Calculator'!A:A,0),0),0)</f>
        <v>0</v>
      </c>
      <c r="K1902" s="444">
        <f t="shared" ca="1" si="136"/>
        <v>-284735.84564022883</v>
      </c>
      <c r="L1902" s="444">
        <f t="shared" ca="1" si="137"/>
        <v>-68621338.799295142</v>
      </c>
      <c r="M1902" s="460">
        <f t="shared" si="139"/>
        <v>0.05</v>
      </c>
      <c r="N1902" s="464">
        <f t="shared" si="140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38"/>
        <v>-68621338.799295142</v>
      </c>
      <c r="J1903" s="444">
        <f t="array" ref="J1903">IFERROR(INDEX('Retirement Calculator'!J:J,MATCH('Isaac 401k'!N1903,'Retirement Calculator'!A:A,0),0),0)</f>
        <v>0</v>
      </c>
      <c r="K1903" s="444">
        <f t="shared" ca="1" si="136"/>
        <v>-285922.24499706307</v>
      </c>
      <c r="L1903" s="444">
        <f t="shared" ca="1" si="137"/>
        <v>-68907261.044292212</v>
      </c>
      <c r="M1903" s="460">
        <f t="shared" si="139"/>
        <v>0.05</v>
      </c>
      <c r="N1903" s="464">
        <f t="shared" si="140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38"/>
        <v>-68907261.044292212</v>
      </c>
      <c r="J1904" s="444">
        <f t="array" ref="J1904">IFERROR(INDEX('Retirement Calculator'!J:J,MATCH('Isaac 401k'!N1904,'Retirement Calculator'!A:A,0),0),0)</f>
        <v>0</v>
      </c>
      <c r="K1904" s="444">
        <f t="shared" ca="1" si="136"/>
        <v>-287113.5876845509</v>
      </c>
      <c r="L1904" s="444">
        <f t="shared" ca="1" si="137"/>
        <v>-69194374.631976768</v>
      </c>
      <c r="M1904" s="460">
        <f t="shared" si="139"/>
        <v>0.05</v>
      </c>
      <c r="N1904" s="464">
        <f t="shared" si="140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38"/>
        <v>-69194374.631976768</v>
      </c>
      <c r="J1905" s="444">
        <f t="array" ref="J1905">IFERROR(INDEX('Retirement Calculator'!J:J,MATCH('Isaac 401k'!N1905,'Retirement Calculator'!A:A,0),0),0)</f>
        <v>0</v>
      </c>
      <c r="K1905" s="444">
        <f t="shared" ca="1" si="136"/>
        <v>-288309.89429990319</v>
      </c>
      <c r="L1905" s="444">
        <f t="shared" ca="1" si="137"/>
        <v>-69482684.526276678</v>
      </c>
      <c r="M1905" s="460">
        <f t="shared" si="139"/>
        <v>0.05</v>
      </c>
      <c r="N1905" s="464">
        <f t="shared" si="140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38"/>
        <v>-69482684.526276678</v>
      </c>
      <c r="J1906" s="444">
        <f t="array" ref="J1906">IFERROR(INDEX('Retirement Calculator'!J:J,MATCH('Isaac 401k'!N1906,'Retirement Calculator'!A:A,0),0),0)</f>
        <v>0</v>
      </c>
      <c r="K1906" s="444">
        <f t="shared" ca="1" si="136"/>
        <v>-289511.18552615284</v>
      </c>
      <c r="L1906" s="444">
        <f t="shared" ca="1" si="137"/>
        <v>-69772195.711802825</v>
      </c>
      <c r="M1906" s="460">
        <f t="shared" si="139"/>
        <v>0.05</v>
      </c>
      <c r="N1906" s="464">
        <f t="shared" si="140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38"/>
        <v>-69772195.711802825</v>
      </c>
      <c r="J1907" s="444">
        <f t="array" ref="J1907">IFERROR(INDEX('Retirement Calculator'!J:J,MATCH('Isaac 401k'!N1907,'Retirement Calculator'!A:A,0),0),0)</f>
        <v>0</v>
      </c>
      <c r="K1907" s="444">
        <f t="shared" ca="1" si="136"/>
        <v>-290717.4821325118</v>
      </c>
      <c r="L1907" s="444">
        <f t="shared" ca="1" si="137"/>
        <v>-70062913.193935335</v>
      </c>
      <c r="M1907" s="460">
        <f t="shared" si="139"/>
        <v>0.05</v>
      </c>
      <c r="N1907" s="464">
        <f t="shared" si="140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38"/>
        <v>-70062913.193935335</v>
      </c>
      <c r="J1908" s="444">
        <f t="array" ref="J1908">IFERROR(INDEX('Retirement Calculator'!J:J,MATCH('Isaac 401k'!N1908,'Retirement Calculator'!A:A,0),0),0)</f>
        <v>0</v>
      </c>
      <c r="K1908" s="444">
        <f t="shared" ca="1" si="136"/>
        <v>-291928.80497473053</v>
      </c>
      <c r="L1908" s="444">
        <f t="shared" ca="1" si="137"/>
        <v>-70354841.998910069</v>
      </c>
      <c r="M1908" s="460">
        <f t="shared" si="139"/>
        <v>0.05</v>
      </c>
      <c r="N1908" s="464">
        <f t="shared" si="140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38"/>
        <v>-70354841.998910069</v>
      </c>
      <c r="J1909" s="444">
        <f t="array" ref="J1909">IFERROR(INDEX('Retirement Calculator'!J:J,MATCH('Isaac 401k'!N1909,'Retirement Calculator'!A:A,0),0),0)</f>
        <v>0</v>
      </c>
      <c r="K1909" s="444">
        <f t="shared" ca="1" si="136"/>
        <v>-293145.17499545863</v>
      </c>
      <c r="L1909" s="444">
        <f t="shared" ca="1" si="137"/>
        <v>-70647987.173905522</v>
      </c>
      <c r="M1909" s="460">
        <f t="shared" si="139"/>
        <v>0.05</v>
      </c>
      <c r="N1909" s="464">
        <f t="shared" si="140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38"/>
        <v>-70647987.173905522</v>
      </c>
      <c r="J1910" s="444">
        <f t="array" ref="J1910">IFERROR(INDEX('Retirement Calculator'!J:J,MATCH('Isaac 401k'!N1910,'Retirement Calculator'!A:A,0),0),0)</f>
        <v>0</v>
      </c>
      <c r="K1910" s="444">
        <f t="shared" ca="1" si="136"/>
        <v>-294366.61322460632</v>
      </c>
      <c r="L1910" s="444">
        <f t="shared" ca="1" si="137"/>
        <v>-70942353.787130132</v>
      </c>
      <c r="M1910" s="460">
        <f t="shared" si="139"/>
        <v>0.05</v>
      </c>
      <c r="N1910" s="464">
        <f t="shared" si="140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38"/>
        <v>-70942353.787130132</v>
      </c>
      <c r="J1911" s="444">
        <f t="array" ref="J1911">IFERROR(INDEX('Retirement Calculator'!J:J,MATCH('Isaac 401k'!N1911,'Retirement Calculator'!A:A,0),0),0)</f>
        <v>0</v>
      </c>
      <c r="K1911" s="444">
        <f t="shared" ca="1" si="136"/>
        <v>-295593.14077970886</v>
      </c>
      <c r="L1911" s="444">
        <f t="shared" ca="1" si="137"/>
        <v>-71237946.927909836</v>
      </c>
      <c r="M1911" s="460">
        <f t="shared" si="139"/>
        <v>0.05</v>
      </c>
      <c r="N1911" s="464">
        <f t="shared" si="140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38"/>
        <v>-71237946.927909836</v>
      </c>
      <c r="J1912" s="444">
        <f t="array" ref="J1912">IFERROR(INDEX('Retirement Calculator'!J:J,MATCH('Isaac 401k'!N1912,'Retirement Calculator'!A:A,0),0),0)</f>
        <v>0</v>
      </c>
      <c r="K1912" s="444">
        <f t="shared" ca="1" si="136"/>
        <v>-296824.77886629099</v>
      </c>
      <c r="L1912" s="444">
        <f t="shared" ca="1" si="137"/>
        <v>-71534771.706776127</v>
      </c>
      <c r="M1912" s="460">
        <f t="shared" si="139"/>
        <v>0.05</v>
      </c>
      <c r="N1912" s="464">
        <f t="shared" si="140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38"/>
        <v>-71534771.706776127</v>
      </c>
      <c r="J1913" s="444">
        <f t="array" ref="J1913">IFERROR(INDEX('Retirement Calculator'!J:J,MATCH('Isaac 401k'!N1913,'Retirement Calculator'!A:A,0),0),0)</f>
        <v>0</v>
      </c>
      <c r="K1913" s="444">
        <f t="shared" ca="1" si="136"/>
        <v>-298061.54877823388</v>
      </c>
      <c r="L1913" s="444">
        <f t="shared" ca="1" si="137"/>
        <v>-71832833.255554363</v>
      </c>
      <c r="M1913" s="460">
        <f t="shared" si="139"/>
        <v>0.05</v>
      </c>
      <c r="N1913" s="464">
        <f t="shared" si="140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38"/>
        <v>-71832833.255554363</v>
      </c>
      <c r="J1914" s="444">
        <f t="array" ref="J1914">IFERROR(INDEX('Retirement Calculator'!J:J,MATCH('Isaac 401k'!N1914,'Retirement Calculator'!A:A,0),0),0)</f>
        <v>0</v>
      </c>
      <c r="K1914" s="444">
        <f t="shared" ca="1" si="136"/>
        <v>-299303.47189814318</v>
      </c>
      <c r="L1914" s="444">
        <f t="shared" ca="1" si="137"/>
        <v>-72132136.727452502</v>
      </c>
      <c r="M1914" s="460">
        <f t="shared" si="139"/>
        <v>0.05</v>
      </c>
      <c r="N1914" s="464">
        <f t="shared" si="140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38"/>
        <v>-72132136.727452502</v>
      </c>
      <c r="J1915" s="444">
        <f t="array" ref="J1915">IFERROR(INDEX('Retirement Calculator'!J:J,MATCH('Isaac 401k'!N1915,'Retirement Calculator'!A:A,0),0),0)</f>
        <v>0</v>
      </c>
      <c r="K1915" s="444">
        <f t="shared" ca="1" si="136"/>
        <v>-300550.56969771878</v>
      </c>
      <c r="L1915" s="444">
        <f t="shared" ca="1" si="137"/>
        <v>-72432687.297150224</v>
      </c>
      <c r="M1915" s="460">
        <f t="shared" si="139"/>
        <v>0.05</v>
      </c>
      <c r="N1915" s="464">
        <f t="shared" si="140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38"/>
        <v>-72432687.297150224</v>
      </c>
      <c r="J1916" s="444">
        <f t="array" ref="J1916">IFERROR(INDEX('Retirement Calculator'!J:J,MATCH('Isaac 401k'!N1916,'Retirement Calculator'!A:A,0),0),0)</f>
        <v>0</v>
      </c>
      <c r="K1916" s="444">
        <f t="shared" ca="1" si="136"/>
        <v>-301802.86373812595</v>
      </c>
      <c r="L1916" s="444">
        <f t="shared" ca="1" si="137"/>
        <v>-72734490.160888344</v>
      </c>
      <c r="M1916" s="460">
        <f t="shared" si="139"/>
        <v>0.05</v>
      </c>
      <c r="N1916" s="464">
        <f t="shared" si="140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38"/>
        <v>-72734490.160888344</v>
      </c>
      <c r="J1917" s="444">
        <f t="array" ref="J1917">IFERROR(INDEX('Retirement Calculator'!J:J,MATCH('Isaac 401k'!N1917,'Retirement Calculator'!A:A,0),0),0)</f>
        <v>0</v>
      </c>
      <c r="K1917" s="444">
        <f t="shared" ca="1" si="136"/>
        <v>-303060.37567036808</v>
      </c>
      <c r="L1917" s="444">
        <f t="shared" ca="1" si="137"/>
        <v>-73037550.536558717</v>
      </c>
      <c r="M1917" s="460">
        <f t="shared" si="139"/>
        <v>0.05</v>
      </c>
      <c r="N1917" s="464">
        <f t="shared" si="140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38"/>
        <v>-73037550.536558717</v>
      </c>
      <c r="J1918" s="444">
        <f t="array" ref="J1918">IFERROR(INDEX('Retirement Calculator'!J:J,MATCH('Isaac 401k'!N1918,'Retirement Calculator'!A:A,0),0),0)</f>
        <v>0</v>
      </c>
      <c r="K1918" s="444">
        <f t="shared" ca="1" si="136"/>
        <v>-304323.12723566132</v>
      </c>
      <c r="L1918" s="444">
        <f t="shared" ca="1" si="137"/>
        <v>-73341873.663794383</v>
      </c>
      <c r="M1918" s="460">
        <f t="shared" si="139"/>
        <v>0.05</v>
      </c>
      <c r="N1918" s="464">
        <f t="shared" si="140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38"/>
        <v>-73341873.663794383</v>
      </c>
      <c r="J1919" s="444">
        <f t="array" ref="J1919">IFERROR(INDEX('Retirement Calculator'!J:J,MATCH('Isaac 401k'!N1919,'Retirement Calculator'!A:A,0),0),0)</f>
        <v>0</v>
      </c>
      <c r="K1919" s="444">
        <f t="shared" ca="1" si="136"/>
        <v>-305591.14026580995</v>
      </c>
      <c r="L1919" s="444">
        <f t="shared" ca="1" si="137"/>
        <v>-73647464.804060191</v>
      </c>
      <c r="M1919" s="460">
        <f t="shared" si="139"/>
        <v>0.05</v>
      </c>
      <c r="N1919" s="464">
        <f t="shared" si="140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38"/>
        <v>-73647464.804060191</v>
      </c>
      <c r="J1920" s="444">
        <f t="array" ref="J1920">IFERROR(INDEX('Retirement Calculator'!J:J,MATCH('Isaac 401k'!N1920,'Retirement Calculator'!A:A,0),0),0)</f>
        <v>0</v>
      </c>
      <c r="K1920" s="444">
        <f t="shared" ca="1" si="136"/>
        <v>-306864.43668358412</v>
      </c>
      <c r="L1920" s="444">
        <f t="shared" ca="1" si="137"/>
        <v>-73954329.240743771</v>
      </c>
      <c r="M1920" s="460">
        <f t="shared" si="139"/>
        <v>0.05</v>
      </c>
      <c r="N1920" s="464">
        <f t="shared" si="140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38"/>
        <v>-73954329.240743771</v>
      </c>
      <c r="J1921" s="444">
        <f t="array" ref="J1921">IFERROR(INDEX('Retirement Calculator'!J:J,MATCH('Isaac 401k'!N1921,'Retirement Calculator'!A:A,0),0),0)</f>
        <v>0</v>
      </c>
      <c r="K1921" s="444">
        <f t="shared" ca="1" si="136"/>
        <v>-308143.03850309906</v>
      </c>
      <c r="L1921" s="444">
        <f t="shared" ca="1" si="137"/>
        <v>-74262472.279246867</v>
      </c>
      <c r="M1921" s="460">
        <f t="shared" si="139"/>
        <v>0.05</v>
      </c>
      <c r="N1921" s="464">
        <f t="shared" si="140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38"/>
        <v>-74262472.279246867</v>
      </c>
      <c r="J1922" s="444">
        <f t="array" ref="J1922">IFERROR(INDEX('Retirement Calculator'!J:J,MATCH('Isaac 401k'!N1922,'Retirement Calculator'!A:A,0),0),0)</f>
        <v>0</v>
      </c>
      <c r="K1922" s="444">
        <f t="shared" ca="1" si="136"/>
        <v>-309426.96783019527</v>
      </c>
      <c r="L1922" s="444">
        <f t="shared" ca="1" si="137"/>
        <v>-74571899.247077063</v>
      </c>
      <c r="M1922" s="460">
        <f t="shared" si="139"/>
        <v>0.05</v>
      </c>
      <c r="N1922" s="464">
        <f t="shared" si="140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38"/>
        <v>-74571899.247077063</v>
      </c>
      <c r="J1923" s="444">
        <f t="array" ref="J1923">IFERROR(INDEX('Retirement Calculator'!J:J,MATCH('Isaac 401k'!N1923,'Retirement Calculator'!A:A,0),0),0)</f>
        <v>0</v>
      </c>
      <c r="K1923" s="444">
        <f t="shared" ca="1" si="136"/>
        <v>-310716.24686282111</v>
      </c>
      <c r="L1923" s="444">
        <f t="shared" ca="1" si="137"/>
        <v>-74882615.493939877</v>
      </c>
      <c r="M1923" s="460">
        <f t="shared" si="139"/>
        <v>0.05</v>
      </c>
      <c r="N1923" s="464">
        <f t="shared" si="140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38"/>
        <v>-74882615.493939877</v>
      </c>
      <c r="J1924" s="444">
        <f t="array" ref="J1924">IFERROR(INDEX('Retirement Calculator'!J:J,MATCH('Isaac 401k'!N1924,'Retirement Calculator'!A:A,0),0),0)</f>
        <v>0</v>
      </c>
      <c r="K1924" s="444">
        <f t="shared" ca="1" si="136"/>
        <v>-312010.89789141616</v>
      </c>
      <c r="L1924" s="444">
        <f t="shared" ca="1" si="137"/>
        <v>-75194626.391831294</v>
      </c>
      <c r="M1924" s="460">
        <f t="shared" si="139"/>
        <v>0.05</v>
      </c>
      <c r="N1924" s="464">
        <f t="shared" si="140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38"/>
        <v>-75194626.391831294</v>
      </c>
      <c r="J1925" s="444">
        <f t="array" ref="J1925">IFERROR(INDEX('Retirement Calculator'!J:J,MATCH('Isaac 401k'!N1925,'Retirement Calculator'!A:A,0),0),0)</f>
        <v>0</v>
      </c>
      <c r="K1925" s="444">
        <f t="shared" ca="1" si="136"/>
        <v>-313310.94329929707</v>
      </c>
      <c r="L1925" s="444">
        <f t="shared" ca="1" si="137"/>
        <v>-75507937.335130587</v>
      </c>
      <c r="M1925" s="460">
        <f t="shared" si="139"/>
        <v>0.05</v>
      </c>
      <c r="N1925" s="464">
        <f t="shared" si="140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38"/>
        <v>-75507937.335130587</v>
      </c>
      <c r="J1926" s="444">
        <f t="array" ref="J1926">IFERROR(INDEX('Retirement Calculator'!J:J,MATCH('Isaac 401k'!N1926,'Retirement Calculator'!A:A,0),0),0)</f>
        <v>0</v>
      </c>
      <c r="K1926" s="444">
        <f t="shared" ca="1" si="136"/>
        <v>-314616.40556304413</v>
      </c>
      <c r="L1926" s="444">
        <f t="shared" ca="1" si="137"/>
        <v>-75822553.740693629</v>
      </c>
      <c r="M1926" s="460">
        <f t="shared" si="139"/>
        <v>0.05</v>
      </c>
      <c r="N1926" s="464">
        <f t="shared" si="140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38"/>
        <v>-75822553.740693629</v>
      </c>
      <c r="J1927" s="444">
        <f t="array" ref="J1927">IFERROR(INDEX('Retirement Calculator'!J:J,MATCH('Isaac 401k'!N1927,'Retirement Calculator'!A:A,0),0),0)</f>
        <v>0</v>
      </c>
      <c r="K1927" s="444">
        <f t="shared" ca="1" si="136"/>
        <v>-315927.30725289014</v>
      </c>
      <c r="L1927" s="444">
        <f t="shared" ca="1" si="137"/>
        <v>-76138481.047946513</v>
      </c>
      <c r="M1927" s="460">
        <f t="shared" si="139"/>
        <v>0.05</v>
      </c>
      <c r="N1927" s="464">
        <f t="shared" si="140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38"/>
        <v>-76138481.047946513</v>
      </c>
      <c r="J1928" s="444">
        <f t="array" ref="J1928">IFERROR(INDEX('Retirement Calculator'!J:J,MATCH('Isaac 401k'!N1928,'Retirement Calculator'!A:A,0),0),0)</f>
        <v>0</v>
      </c>
      <c r="K1928" s="444">
        <f t="shared" ca="1" si="136"/>
        <v>-317243.67103311047</v>
      </c>
      <c r="L1928" s="444">
        <f t="shared" ca="1" si="137"/>
        <v>-76455724.718979627</v>
      </c>
      <c r="M1928" s="460">
        <f t="shared" si="139"/>
        <v>0.05</v>
      </c>
      <c r="N1928" s="464">
        <f t="shared" si="140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38"/>
        <v>-76455724.718979627</v>
      </c>
      <c r="J1929" s="444">
        <f t="array" ref="J1929">IFERROR(INDEX('Retirement Calculator'!J:J,MATCH('Isaac 401k'!N1929,'Retirement Calculator'!A:A,0),0),0)</f>
        <v>0</v>
      </c>
      <c r="K1929" s="444">
        <f t="shared" ca="1" si="136"/>
        <v>-318565.51966241508</v>
      </c>
      <c r="L1929" s="444">
        <f t="shared" ca="1" si="137"/>
        <v>-76774290.238642037</v>
      </c>
      <c r="M1929" s="460">
        <f t="shared" si="139"/>
        <v>0.05</v>
      </c>
      <c r="N1929" s="464">
        <f t="shared" si="140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38"/>
        <v>-76774290.238642037</v>
      </c>
      <c r="J1930" s="444">
        <f t="array" ref="J1930">IFERROR(INDEX('Retirement Calculator'!J:J,MATCH('Isaac 401k'!N1930,'Retirement Calculator'!A:A,0),0),0)</f>
        <v>0</v>
      </c>
      <c r="K1930" s="444">
        <f t="shared" ca="1" si="136"/>
        <v>-319892.8759943418</v>
      </c>
      <c r="L1930" s="444">
        <f t="shared" ca="1" si="137"/>
        <v>-77094183.114636377</v>
      </c>
      <c r="M1930" s="460">
        <f t="shared" si="139"/>
        <v>0.05</v>
      </c>
      <c r="N1930" s="464">
        <f t="shared" si="140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38"/>
        <v>-77094183.114636377</v>
      </c>
      <c r="J1931" s="444">
        <f t="array" ref="J1931">IFERROR(INDEX('Retirement Calculator'!J:J,MATCH('Isaac 401k'!N1931,'Retirement Calculator'!A:A,0),0),0)</f>
        <v>0</v>
      </c>
      <c r="K1931" s="444">
        <f t="shared" ca="1" si="136"/>
        <v>-321225.76297765155</v>
      </c>
      <c r="L1931" s="444">
        <f t="shared" ca="1" si="137"/>
        <v>-77415408.877614021</v>
      </c>
      <c r="M1931" s="460">
        <f t="shared" si="139"/>
        <v>0.05</v>
      </c>
      <c r="N1931" s="464">
        <f t="shared" si="140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38"/>
        <v>-77415408.877614021</v>
      </c>
      <c r="J1932" s="444">
        <f t="array" ref="J1932">IFERROR(INDEX('Retirement Calculator'!J:J,MATCH('Isaac 401k'!N1932,'Retirement Calculator'!A:A,0),0),0)</f>
        <v>0</v>
      </c>
      <c r="K1932" s="444">
        <f t="shared" ca="1" si="136"/>
        <v>-322564.20365672506</v>
      </c>
      <c r="L1932" s="444">
        <f t="shared" ca="1" si="137"/>
        <v>-77737973.081270739</v>
      </c>
      <c r="M1932" s="460">
        <f t="shared" si="139"/>
        <v>0.05</v>
      </c>
      <c r="N1932" s="464">
        <f t="shared" si="140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38"/>
        <v>-77737973.081270739</v>
      </c>
      <c r="J1933" s="444">
        <f t="array" ref="J1933">IFERROR(INDEX('Retirement Calculator'!J:J,MATCH('Isaac 401k'!N1933,'Retirement Calculator'!A:A,0),0),0)</f>
        <v>0</v>
      </c>
      <c r="K1933" s="444">
        <f t="shared" ca="1" si="136"/>
        <v>-323908.2211719614</v>
      </c>
      <c r="L1933" s="444">
        <f t="shared" ca="1" si="137"/>
        <v>-78061881.3024427</v>
      </c>
      <c r="M1933" s="460">
        <f t="shared" si="139"/>
        <v>0.05</v>
      </c>
      <c r="N1933" s="464">
        <f t="shared" si="140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38"/>
        <v>-78061881.3024427</v>
      </c>
      <c r="J1934" s="444">
        <f t="array" ref="J1934">IFERROR(INDEX('Retirement Calculator'!J:J,MATCH('Isaac 401k'!N1934,'Retirement Calculator'!A:A,0),0),0)</f>
        <v>0</v>
      </c>
      <c r="K1934" s="444">
        <f t="shared" ca="1" si="136"/>
        <v>-325257.8387601779</v>
      </c>
      <c r="L1934" s="444">
        <f t="shared" ca="1" si="137"/>
        <v>-78387139.141202882</v>
      </c>
      <c r="M1934" s="460">
        <f t="shared" si="139"/>
        <v>0.05</v>
      </c>
      <c r="N1934" s="464">
        <f t="shared" si="140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38"/>
        <v>-78387139.141202882</v>
      </c>
      <c r="J1935" s="444">
        <f t="array" ref="J1935">IFERROR(INDEX('Retirement Calculator'!J:J,MATCH('Isaac 401k'!N1935,'Retirement Calculator'!A:A,0),0),0)</f>
        <v>0</v>
      </c>
      <c r="K1935" s="444">
        <f t="shared" ca="1" si="136"/>
        <v>-326613.079755012</v>
      </c>
      <c r="L1935" s="444">
        <f t="shared" ca="1" si="137"/>
        <v>-78713752.22095789</v>
      </c>
      <c r="M1935" s="460">
        <f t="shared" si="139"/>
        <v>0.05</v>
      </c>
      <c r="N1935" s="464">
        <f t="shared" si="140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38"/>
        <v>-78713752.22095789</v>
      </c>
      <c r="J1936" s="444">
        <f t="array" ref="J1936">IFERROR(INDEX('Retirement Calculator'!J:J,MATCH('Isaac 401k'!N1936,'Retirement Calculator'!A:A,0),0),0)</f>
        <v>0</v>
      </c>
      <c r="K1936" s="444">
        <f t="shared" ca="1" si="136"/>
        <v>-327973.96758732456</v>
      </c>
      <c r="L1936" s="444">
        <f t="shared" ca="1" si="137"/>
        <v>-79041726.188545212</v>
      </c>
      <c r="M1936" s="460">
        <f t="shared" si="139"/>
        <v>0.05</v>
      </c>
      <c r="N1936" s="464">
        <f t="shared" si="140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38"/>
        <v>-79041726.188545212</v>
      </c>
      <c r="J1937" s="444">
        <f t="array" ref="J1937">IFERROR(INDEX('Retirement Calculator'!J:J,MATCH('Isaac 401k'!N1937,'Retirement Calculator'!A:A,0),0),0)</f>
        <v>0</v>
      </c>
      <c r="K1937" s="444">
        <f t="shared" ca="1" si="136"/>
        <v>-329340.52578560507</v>
      </c>
      <c r="L1937" s="444">
        <f t="shared" ca="1" si="137"/>
        <v>-79371066.714330822</v>
      </c>
      <c r="M1937" s="460">
        <f t="shared" si="139"/>
        <v>0.05</v>
      </c>
      <c r="N1937" s="464">
        <f t="shared" si="140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38"/>
        <v>-79371066.714330822</v>
      </c>
      <c r="J1938" s="444">
        <f t="array" ref="J1938">IFERROR(INDEX('Retirement Calculator'!J:J,MATCH('Isaac 401k'!N1938,'Retirement Calculator'!A:A,0),0),0)</f>
        <v>0</v>
      </c>
      <c r="K1938" s="444">
        <f t="shared" ca="1" si="136"/>
        <v>-330712.77797637845</v>
      </c>
      <c r="L1938" s="444">
        <f t="shared" ca="1" si="137"/>
        <v>-79701779.492307201</v>
      </c>
      <c r="M1938" s="460">
        <f t="shared" si="139"/>
        <v>0.05</v>
      </c>
      <c r="N1938" s="464">
        <f t="shared" si="140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38"/>
        <v>-79701779.492307201</v>
      </c>
      <c r="J1939" s="444">
        <f t="array" ref="J1939">IFERROR(INDEX('Retirement Calculator'!J:J,MATCH('Isaac 401k'!N1939,'Retirement Calculator'!A:A,0),0),0)</f>
        <v>0</v>
      </c>
      <c r="K1939" s="444">
        <f t="shared" ca="1" si="136"/>
        <v>-332090.74788461335</v>
      </c>
      <c r="L1939" s="444">
        <f t="shared" ca="1" si="137"/>
        <v>-80033870.240191817</v>
      </c>
      <c r="M1939" s="460">
        <f t="shared" si="139"/>
        <v>0.05</v>
      </c>
      <c r="N1939" s="464">
        <f t="shared" si="140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38"/>
        <v>-80033870.240191817</v>
      </c>
      <c r="J1940" s="444">
        <f t="array" ref="J1940">IFERROR(INDEX('Retirement Calculator'!J:J,MATCH('Isaac 401k'!N1940,'Retirement Calculator'!A:A,0),0),0)</f>
        <v>0</v>
      </c>
      <c r="K1940" s="444">
        <f t="shared" ca="1" si="136"/>
        <v>-333474.45933413255</v>
      </c>
      <c r="L1940" s="444">
        <f t="shared" ca="1" si="137"/>
        <v>-80367344.699525952</v>
      </c>
      <c r="M1940" s="460">
        <f t="shared" si="139"/>
        <v>0.05</v>
      </c>
      <c r="N1940" s="464">
        <f t="shared" si="140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38"/>
        <v>-80367344.699525952</v>
      </c>
      <c r="J1941" s="444">
        <f t="array" ref="J1941">IFERROR(INDEX('Retirement Calculator'!J:J,MATCH('Isaac 401k'!N1941,'Retirement Calculator'!A:A,0),0),0)</f>
        <v>0</v>
      </c>
      <c r="K1941" s="444">
        <f t="shared" ca="1" si="136"/>
        <v>-334863.93624802481</v>
      </c>
      <c r="L1941" s="444">
        <f t="shared" ca="1" si="137"/>
        <v>-80702208.635773972</v>
      </c>
      <c r="M1941" s="460">
        <f t="shared" si="139"/>
        <v>0.05</v>
      </c>
      <c r="N1941" s="464">
        <f t="shared" si="140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38"/>
        <v>-80702208.635773972</v>
      </c>
      <c r="J1942" s="444">
        <f t="array" ref="J1942">IFERROR(INDEX('Retirement Calculator'!J:J,MATCH('Isaac 401k'!N1942,'Retirement Calculator'!A:A,0),0),0)</f>
        <v>0</v>
      </c>
      <c r="K1942" s="444">
        <f t="shared" ca="1" si="136"/>
        <v>-336259.20264905819</v>
      </c>
      <c r="L1942" s="444">
        <f t="shared" ca="1" si="137"/>
        <v>-81038467.838423029</v>
      </c>
      <c r="M1942" s="460">
        <f t="shared" si="139"/>
        <v>0.05</v>
      </c>
      <c r="N1942" s="464">
        <f t="shared" si="140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38"/>
        <v>-81038467.838423029</v>
      </c>
      <c r="J1943" s="444">
        <f t="array" ref="J1943">IFERROR(INDEX('Retirement Calculator'!J:J,MATCH('Isaac 401k'!N1943,'Retirement Calculator'!A:A,0),0),0)</f>
        <v>0</v>
      </c>
      <c r="K1943" s="444">
        <f t="shared" ca="1" si="136"/>
        <v>-337660.28266009595</v>
      </c>
      <c r="L1943" s="444">
        <f t="shared" ca="1" si="137"/>
        <v>-81376128.121083125</v>
      </c>
      <c r="M1943" s="460">
        <f t="shared" si="139"/>
        <v>0.05</v>
      </c>
      <c r="N1943" s="464">
        <f t="shared" si="140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38"/>
        <v>-81376128.121083125</v>
      </c>
      <c r="J1944" s="444">
        <f t="array" ref="J1944">IFERROR(INDEX('Retirement Calculator'!J:J,MATCH('Isaac 401k'!N1944,'Retirement Calculator'!A:A,0),0),0)</f>
        <v>0</v>
      </c>
      <c r="K1944" s="444">
        <f t="shared" ca="1" si="136"/>
        <v>-339067.20050451299</v>
      </c>
      <c r="L1944" s="444">
        <f t="shared" ca="1" si="137"/>
        <v>-81715195.321587637</v>
      </c>
      <c r="M1944" s="460">
        <f t="shared" si="139"/>
        <v>0.05</v>
      </c>
      <c r="N1944" s="464">
        <f t="shared" si="140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38"/>
        <v>-81715195.321587637</v>
      </c>
      <c r="J1945" s="444">
        <f t="array" ref="J1945">IFERROR(INDEX('Retirement Calculator'!J:J,MATCH('Isaac 401k'!N1945,'Retirement Calculator'!A:A,0),0),0)</f>
        <v>0</v>
      </c>
      <c r="K1945" s="444">
        <f t="shared" ca="1" si="136"/>
        <v>-340479.98050661513</v>
      </c>
      <c r="L1945" s="444">
        <f t="shared" ca="1" si="137"/>
        <v>-82055675.302094251</v>
      </c>
      <c r="M1945" s="460">
        <f t="shared" si="139"/>
        <v>0.05</v>
      </c>
      <c r="N1945" s="464">
        <f t="shared" si="140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38"/>
        <v>-82055675.302094251</v>
      </c>
      <c r="J1946" s="444">
        <f t="array" ref="J1946">IFERROR(INDEX('Retirement Calculator'!J:J,MATCH('Isaac 401k'!N1946,'Retirement Calculator'!A:A,0),0),0)</f>
        <v>0</v>
      </c>
      <c r="K1946" s="444">
        <f t="shared" ca="1" si="136"/>
        <v>-341898.64709205937</v>
      </c>
      <c r="L1946" s="444">
        <f t="shared" ca="1" si="137"/>
        <v>-82397573.94918631</v>
      </c>
      <c r="M1946" s="460">
        <f t="shared" si="139"/>
        <v>0.05</v>
      </c>
      <c r="N1946" s="464">
        <f t="shared" si="140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38"/>
        <v>-82397573.94918631</v>
      </c>
      <c r="J1947" s="444">
        <f t="array" ref="J1947">IFERROR(INDEX('Retirement Calculator'!J:J,MATCH('Isaac 401k'!N1947,'Retirement Calculator'!A:A,0),0),0)</f>
        <v>0</v>
      </c>
      <c r="K1947" s="444">
        <f t="shared" ca="1" si="136"/>
        <v>-343323.2247882763</v>
      </c>
      <c r="L1947" s="444">
        <f t="shared" ca="1" si="137"/>
        <v>-82740897.173974589</v>
      </c>
      <c r="M1947" s="460">
        <f t="shared" si="139"/>
        <v>0.05</v>
      </c>
      <c r="N1947" s="464">
        <f t="shared" si="140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38"/>
        <v>-82740897.173974589</v>
      </c>
      <c r="J1948" s="444">
        <f t="array" ref="J1948">IFERROR(INDEX('Retirement Calculator'!J:J,MATCH('Isaac 401k'!N1948,'Retirement Calculator'!A:A,0),0),0)</f>
        <v>0</v>
      </c>
      <c r="K1948" s="444">
        <f t="shared" ca="1" si="136"/>
        <v>-344753.7382248941</v>
      </c>
      <c r="L1948" s="444">
        <f t="shared" ca="1" si="137"/>
        <v>-83085650.912199482</v>
      </c>
      <c r="M1948" s="460">
        <f t="shared" si="139"/>
        <v>0.05</v>
      </c>
      <c r="N1948" s="464">
        <f t="shared" si="140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38"/>
        <v>-83085650.912199482</v>
      </c>
      <c r="J1949" s="444">
        <f t="array" ref="J1949">IFERROR(INDEX('Retirement Calculator'!J:J,MATCH('Isaac 401k'!N1949,'Retirement Calculator'!A:A,0),0),0)</f>
        <v>0</v>
      </c>
      <c r="K1949" s="444">
        <f t="shared" ca="1" si="136"/>
        <v>-346190.21213416453</v>
      </c>
      <c r="L1949" s="444">
        <f t="shared" ca="1" si="137"/>
        <v>-83431841.12433365</v>
      </c>
      <c r="M1949" s="460">
        <f t="shared" si="139"/>
        <v>0.05</v>
      </c>
      <c r="N1949" s="464">
        <f t="shared" si="140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38"/>
        <v>-83431841.12433365</v>
      </c>
      <c r="J1950" s="444">
        <f t="array" ref="J1950">IFERROR(INDEX('Retirement Calculator'!J:J,MATCH('Isaac 401k'!N1950,'Retirement Calculator'!A:A,0),0),0)</f>
        <v>0</v>
      </c>
      <c r="K1950" s="444">
        <f t="shared" ca="1" si="136"/>
        <v>-347632.67135139019</v>
      </c>
      <c r="L1950" s="444">
        <f t="shared" ca="1" si="137"/>
        <v>-83779473.795685038</v>
      </c>
      <c r="M1950" s="460">
        <f t="shared" si="139"/>
        <v>0.05</v>
      </c>
      <c r="N1950" s="464">
        <f t="shared" si="140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38"/>
        <v>-83779473.795685038</v>
      </c>
      <c r="J1951" s="444">
        <f t="array" ref="J1951">IFERROR(INDEX('Retirement Calculator'!J:J,MATCH('Isaac 401k'!N1951,'Retirement Calculator'!A:A,0),0),0)</f>
        <v>0</v>
      </c>
      <c r="K1951" s="444">
        <f t="shared" ca="1" si="136"/>
        <v>-349081.1408153543</v>
      </c>
      <c r="L1951" s="444">
        <f t="shared" ca="1" si="137"/>
        <v>-84128554.936500385</v>
      </c>
      <c r="M1951" s="460">
        <f t="shared" si="139"/>
        <v>0.05</v>
      </c>
      <c r="N1951" s="464">
        <f t="shared" si="140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38"/>
        <v>-84128554.936500385</v>
      </c>
      <c r="J1952" s="444">
        <f t="array" ref="J1952">IFERROR(INDEX('Retirement Calculator'!J:J,MATCH('Isaac 401k'!N1952,'Retirement Calculator'!A:A,0),0),0)</f>
        <v>0</v>
      </c>
      <c r="K1952" s="444">
        <f t="shared" ca="1" si="136"/>
        <v>-350535.64556875161</v>
      </c>
      <c r="L1952" s="444">
        <f t="shared" ca="1" si="137"/>
        <v>-84479090.582069144</v>
      </c>
      <c r="M1952" s="460">
        <f t="shared" si="139"/>
        <v>0.05</v>
      </c>
      <c r="N1952" s="464">
        <f t="shared" si="140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38"/>
        <v>-84479090.582069144</v>
      </c>
      <c r="J1953" s="444">
        <f t="array" ref="J1953">IFERROR(INDEX('Retirement Calculator'!J:J,MATCH('Isaac 401k'!N1953,'Retirement Calculator'!A:A,0),0),0)</f>
        <v>0</v>
      </c>
      <c r="K1953" s="444">
        <f t="shared" ca="1" si="136"/>
        <v>-351996.21075862146</v>
      </c>
      <c r="L1953" s="444">
        <f t="shared" ca="1" si="137"/>
        <v>-84831086.79282777</v>
      </c>
      <c r="M1953" s="460">
        <f t="shared" si="139"/>
        <v>0.05</v>
      </c>
      <c r="N1953" s="464">
        <f t="shared" si="140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38"/>
        <v>-84831086.79282777</v>
      </c>
      <c r="J1954" s="444">
        <f t="array" ref="J1954">IFERROR(INDEX('Retirement Calculator'!J:J,MATCH('Isaac 401k'!N1954,'Retirement Calculator'!A:A,0),0),0)</f>
        <v>0</v>
      </c>
      <c r="K1954" s="444">
        <f t="shared" ca="1" si="136"/>
        <v>-353462.86163678236</v>
      </c>
      <c r="L1954" s="444">
        <f t="shared" ca="1" si="137"/>
        <v>-85184549.654464558</v>
      </c>
      <c r="M1954" s="460">
        <f t="shared" si="139"/>
        <v>0.05</v>
      </c>
      <c r="N1954" s="464">
        <f t="shared" si="140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38"/>
        <v>-85184549.654464558</v>
      </c>
      <c r="J1955" s="444">
        <f t="array" ref="J1955">IFERROR(INDEX('Retirement Calculator'!J:J,MATCH('Isaac 401k'!N1955,'Retirement Calculator'!A:A,0),0),0)</f>
        <v>0</v>
      </c>
      <c r="K1955" s="444">
        <f t="shared" ca="1" si="136"/>
        <v>-354935.62356026901</v>
      </c>
      <c r="L1955" s="444">
        <f t="shared" ca="1" si="137"/>
        <v>-85539485.278024822</v>
      </c>
      <c r="M1955" s="460">
        <f t="shared" si="139"/>
        <v>0.05</v>
      </c>
      <c r="N1955" s="464">
        <f t="shared" si="140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38"/>
        <v>-85539485.278024822</v>
      </c>
      <c r="J1956" s="444">
        <f t="array" ref="J1956">IFERROR(INDEX('Retirement Calculator'!J:J,MATCH('Isaac 401k'!N1956,'Retirement Calculator'!A:A,0),0),0)</f>
        <v>0</v>
      </c>
      <c r="K1956" s="444">
        <f t="shared" ca="1" si="136"/>
        <v>-356414.52199177007</v>
      </c>
      <c r="L1956" s="444">
        <f t="shared" ca="1" si="137"/>
        <v>-85895899.800016597</v>
      </c>
      <c r="M1956" s="460">
        <f t="shared" si="139"/>
        <v>0.05</v>
      </c>
      <c r="N1956" s="464">
        <f t="shared" si="140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38"/>
        <v>-85895899.800016597</v>
      </c>
      <c r="J1957" s="444">
        <f t="array" ref="J1957">IFERROR(INDEX('Retirement Calculator'!J:J,MATCH('Isaac 401k'!N1957,'Retirement Calculator'!A:A,0),0),0)</f>
        <v>0</v>
      </c>
      <c r="K1957" s="444">
        <f t="shared" ca="1" si="136"/>
        <v>-357899.58250006917</v>
      </c>
      <c r="L1957" s="444">
        <f t="shared" ca="1" si="137"/>
        <v>-86253799.382516667</v>
      </c>
      <c r="M1957" s="460">
        <f t="shared" si="139"/>
        <v>0.05</v>
      </c>
      <c r="N1957" s="464">
        <f t="shared" si="140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38"/>
        <v>-86253799.382516667</v>
      </c>
      <c r="J1958" s="444">
        <f t="array" ref="J1958">IFERROR(INDEX('Retirement Calculator'!J:J,MATCH('Isaac 401k'!N1958,'Retirement Calculator'!A:A,0),0),0)</f>
        <v>0</v>
      </c>
      <c r="K1958" s="444">
        <f t="shared" ca="1" si="136"/>
        <v>-359390.83076048613</v>
      </c>
      <c r="L1958" s="444">
        <f t="shared" ca="1" si="137"/>
        <v>-86613190.213277146</v>
      </c>
      <c r="M1958" s="460">
        <f t="shared" si="139"/>
        <v>0.05</v>
      </c>
      <c r="N1958" s="464">
        <f t="shared" si="140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38"/>
        <v>-86613190.213277146</v>
      </c>
      <c r="J1959" s="444">
        <f t="array" ref="J1959">IFERROR(INDEX('Retirement Calculator'!J:J,MATCH('Isaac 401k'!N1959,'Retirement Calculator'!A:A,0),0),0)</f>
        <v>0</v>
      </c>
      <c r="K1959" s="444">
        <f t="shared" ca="1" si="136"/>
        <v>-360888.29255532142</v>
      </c>
      <c r="L1959" s="444">
        <f t="shared" ca="1" si="137"/>
        <v>-86974078.505832464</v>
      </c>
      <c r="M1959" s="460">
        <f t="shared" si="139"/>
        <v>0.05</v>
      </c>
      <c r="N1959" s="464">
        <f t="shared" si="140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38"/>
        <v>-86974078.505832464</v>
      </c>
      <c r="J1960" s="444">
        <f t="array" ref="J1960">IFERROR(INDEX('Retirement Calculator'!J:J,MATCH('Isaac 401k'!N1960,'Retirement Calculator'!A:A,0),0),0)</f>
        <v>0</v>
      </c>
      <c r="K1960" s="444">
        <f t="shared" ca="1" si="136"/>
        <v>-362391.99377430195</v>
      </c>
      <c r="L1960" s="444">
        <f t="shared" ca="1" si="137"/>
        <v>-87336470.499606758</v>
      </c>
      <c r="M1960" s="460">
        <f t="shared" si="139"/>
        <v>0.05</v>
      </c>
      <c r="N1960" s="464">
        <f t="shared" si="140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38"/>
        <v>-87336470.499606758</v>
      </c>
      <c r="J1961" s="444">
        <f t="array" ref="J1961">IFERROR(INDEX('Retirement Calculator'!J:J,MATCH('Isaac 401k'!N1961,'Retirement Calculator'!A:A,0),0),0)</f>
        <v>0</v>
      </c>
      <c r="K1961" s="444">
        <f t="shared" ca="1" si="136"/>
        <v>-363901.96041502815</v>
      </c>
      <c r="L1961" s="444">
        <f t="shared" ca="1" si="137"/>
        <v>-87700372.460021794</v>
      </c>
      <c r="M1961" s="460">
        <f t="shared" si="139"/>
        <v>0.05</v>
      </c>
      <c r="N1961" s="464">
        <f t="shared" si="140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38"/>
        <v>-87700372.460021794</v>
      </c>
      <c r="J1962" s="444">
        <f t="array" ref="J1962">IFERROR(INDEX('Retirement Calculator'!J:J,MATCH('Isaac 401k'!N1962,'Retirement Calculator'!A:A,0),0),0)</f>
        <v>0</v>
      </c>
      <c r="K1962" s="444">
        <f t="shared" ca="1" si="136"/>
        <v>-365418.21858342411</v>
      </c>
      <c r="L1962" s="444">
        <f t="shared" ca="1" si="137"/>
        <v>-88065790.678605214</v>
      </c>
      <c r="M1962" s="460">
        <f t="shared" si="139"/>
        <v>0.05</v>
      </c>
      <c r="N1962" s="464">
        <f t="shared" si="140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38"/>
        <v>-88065790.678605214</v>
      </c>
      <c r="J1963" s="444">
        <f t="array" ref="J1963">IFERROR(INDEX('Retirement Calculator'!J:J,MATCH('Isaac 401k'!N1963,'Retirement Calculator'!A:A,0),0),0)</f>
        <v>0</v>
      </c>
      <c r="K1963" s="444">
        <f t="shared" ca="1" si="136"/>
        <v>-366940.79449418839</v>
      </c>
      <c r="L1963" s="444">
        <f t="shared" ca="1" si="137"/>
        <v>-88432731.473099396</v>
      </c>
      <c r="M1963" s="460">
        <f t="shared" si="139"/>
        <v>0.05</v>
      </c>
      <c r="N1963" s="464">
        <f t="shared" si="140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38"/>
        <v>-88432731.473099396</v>
      </c>
      <c r="J1964" s="444">
        <f t="array" ref="J1964">IFERROR(INDEX('Retirement Calculator'!J:J,MATCH('Isaac 401k'!N1964,'Retirement Calculator'!A:A,0),0),0)</f>
        <v>0</v>
      </c>
      <c r="K1964" s="444">
        <f t="shared" ca="1" si="136"/>
        <v>-368469.71447124745</v>
      </c>
      <c r="L1964" s="444">
        <f t="shared" ca="1" si="137"/>
        <v>-88801201.187570646</v>
      </c>
      <c r="M1964" s="460">
        <f t="shared" si="139"/>
        <v>0.05</v>
      </c>
      <c r="N1964" s="464">
        <f t="shared" si="140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38"/>
        <v>-88801201.187570646</v>
      </c>
      <c r="J1965" s="444">
        <f t="array" ref="J1965">IFERROR(INDEX('Retirement Calculator'!J:J,MATCH('Isaac 401k'!N1965,'Retirement Calculator'!A:A,0),0),0)</f>
        <v>0</v>
      </c>
      <c r="K1965" s="444">
        <f t="shared" ca="1" si="136"/>
        <v>-370005.00494821102</v>
      </c>
      <c r="L1965" s="444">
        <f t="shared" ca="1" si="137"/>
        <v>-89171206.19251886</v>
      </c>
      <c r="M1965" s="460">
        <f t="shared" si="139"/>
        <v>0.05</v>
      </c>
      <c r="N1965" s="464">
        <f t="shared" si="140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38"/>
        <v>-89171206.19251886</v>
      </c>
      <c r="J1966" s="444">
        <f t="array" ref="J1966">IFERROR(INDEX('Retirement Calculator'!J:J,MATCH('Isaac 401k'!N1966,'Retirement Calculator'!A:A,0),0),0)</f>
        <v>0</v>
      </c>
      <c r="K1966" s="444">
        <f t="shared" ca="1" si="136"/>
        <v>-371546.69246882858</v>
      </c>
      <c r="L1966" s="444">
        <f t="shared" ca="1" si="137"/>
        <v>-89542752.884987682</v>
      </c>
      <c r="M1966" s="460">
        <f t="shared" si="139"/>
        <v>0.05</v>
      </c>
      <c r="N1966" s="464">
        <f t="shared" si="140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38"/>
        <v>-89542752.884987682</v>
      </c>
      <c r="J1967" s="444">
        <f t="array" ref="J1967">IFERROR(INDEX('Retirement Calculator'!J:J,MATCH('Isaac 401k'!N1967,'Retirement Calculator'!A:A,0),0),0)</f>
        <v>0</v>
      </c>
      <c r="K1967" s="444">
        <f t="shared" ca="1" si="136"/>
        <v>-373094.80368744867</v>
      </c>
      <c r="L1967" s="444">
        <f t="shared" ca="1" si="137"/>
        <v>-89915847.688675135</v>
      </c>
      <c r="M1967" s="460">
        <f t="shared" si="139"/>
        <v>0.05</v>
      </c>
      <c r="N1967" s="464">
        <f t="shared" si="140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38"/>
        <v>-89915847.688675135</v>
      </c>
      <c r="J1968" s="444">
        <f t="array" ref="J1968">IFERROR(INDEX('Retirement Calculator'!J:J,MATCH('Isaac 401k'!N1968,'Retirement Calculator'!A:A,0),0),0)</f>
        <v>0</v>
      </c>
      <c r="K1968" s="444">
        <f t="shared" ca="1" si="136"/>
        <v>-374649.36536947975</v>
      </c>
      <c r="L1968" s="444">
        <f t="shared" ca="1" si="137"/>
        <v>-90290497.054044619</v>
      </c>
      <c r="M1968" s="460">
        <f t="shared" si="139"/>
        <v>0.05</v>
      </c>
      <c r="N1968" s="464">
        <f t="shared" si="140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38"/>
        <v>-90290497.054044619</v>
      </c>
      <c r="J1969" s="444">
        <f t="array" ref="J1969">IFERROR(INDEX('Retirement Calculator'!J:J,MATCH('Isaac 401k'!N1969,'Retirement Calculator'!A:A,0),0),0)</f>
        <v>0</v>
      </c>
      <c r="K1969" s="444">
        <f t="shared" ca="1" si="136"/>
        <v>-376210.40439185256</v>
      </c>
      <c r="L1969" s="444">
        <f t="shared" ca="1" si="137"/>
        <v>-90666707.458436474</v>
      </c>
      <c r="M1969" s="460">
        <f t="shared" si="139"/>
        <v>0.05</v>
      </c>
      <c r="N1969" s="464">
        <f t="shared" si="140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38"/>
        <v>-90666707.458436474</v>
      </c>
      <c r="J1970" s="444">
        <f t="array" ref="J1970">IFERROR(INDEX('Retirement Calculator'!J:J,MATCH('Isaac 401k'!N1970,'Retirement Calculator'!A:A,0),0),0)</f>
        <v>0</v>
      </c>
      <c r="K1970" s="444">
        <f t="shared" ca="1" si="136"/>
        <v>-377777.94774348533</v>
      </c>
      <c r="L1970" s="444">
        <f t="shared" ca="1" si="137"/>
        <v>-91044485.406179965</v>
      </c>
      <c r="M1970" s="460">
        <f t="shared" si="139"/>
        <v>0.05</v>
      </c>
      <c r="N1970" s="464">
        <f t="shared" si="140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38"/>
        <v>-91044485.406179965</v>
      </c>
      <c r="J1971" s="444">
        <f t="array" ref="J1971">IFERROR(INDEX('Retirement Calculator'!J:J,MATCH('Isaac 401k'!N1971,'Retirement Calculator'!A:A,0),0),0)</f>
        <v>0</v>
      </c>
      <c r="K1971" s="444">
        <f t="shared" ca="1" si="136"/>
        <v>-379352.02252574987</v>
      </c>
      <c r="L1971" s="444">
        <f t="shared" ca="1" si="137"/>
        <v>-91423837.428705707</v>
      </c>
      <c r="M1971" s="460">
        <f t="shared" si="139"/>
        <v>0.05</v>
      </c>
      <c r="N1971" s="464">
        <f t="shared" si="140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38"/>
        <v>-91423837.428705707</v>
      </c>
      <c r="J1972" s="444">
        <f t="array" ref="J1972">IFERROR(INDEX('Retirement Calculator'!J:J,MATCH('Isaac 401k'!N1972,'Retirement Calculator'!A:A,0),0),0)</f>
        <v>0</v>
      </c>
      <c r="K1972" s="444">
        <f t="shared" ca="1" si="136"/>
        <v>-380932.65595294046</v>
      </c>
      <c r="L1972" s="444">
        <f t="shared" ca="1" si="137"/>
        <v>-91804770.084658653</v>
      </c>
      <c r="M1972" s="460">
        <f t="shared" si="139"/>
        <v>0.05</v>
      </c>
      <c r="N1972" s="464">
        <f t="shared" si="140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38"/>
        <v>-91804770.084658653</v>
      </c>
      <c r="J1973" s="444">
        <f t="array" ref="J1973">IFERROR(INDEX('Retirement Calculator'!J:J,MATCH('Isaac 401k'!N1973,'Retirement Calculator'!A:A,0),0),0)</f>
        <v>0</v>
      </c>
      <c r="K1973" s="444">
        <f t="shared" ca="1" si="136"/>
        <v>-382519.87535274436</v>
      </c>
      <c r="L1973" s="444">
        <f t="shared" ca="1" si="137"/>
        <v>-92187289.960011393</v>
      </c>
      <c r="M1973" s="460">
        <f t="shared" si="139"/>
        <v>0.05</v>
      </c>
      <c r="N1973" s="464">
        <f t="shared" si="140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38"/>
        <v>-92187289.960011393</v>
      </c>
      <c r="J1974" s="444">
        <f t="array" ref="J1974">IFERROR(INDEX('Retirement Calculator'!J:J,MATCH('Isaac 401k'!N1974,'Retirement Calculator'!A:A,0),0),0)</f>
        <v>0</v>
      </c>
      <c r="K1974" s="444">
        <f t="shared" ca="1" si="136"/>
        <v>-384113.70816671412</v>
      </c>
      <c r="L1974" s="444">
        <f t="shared" ca="1" si="137"/>
        <v>-92571403.668178111</v>
      </c>
      <c r="M1974" s="460">
        <f t="shared" si="139"/>
        <v>0.05</v>
      </c>
      <c r="N1974" s="464">
        <f t="shared" si="140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38"/>
        <v>-92571403.668178111</v>
      </c>
      <c r="J1975" s="444">
        <f t="array" ref="J1975">IFERROR(INDEX('Retirement Calculator'!J:J,MATCH('Isaac 401k'!N1975,'Retirement Calculator'!A:A,0),0),0)</f>
        <v>0</v>
      </c>
      <c r="K1975" s="444">
        <f t="shared" ca="1" si="136"/>
        <v>-385714.18195074215</v>
      </c>
      <c r="L1975" s="444">
        <f t="shared" ca="1" si="137"/>
        <v>-92957117.850128859</v>
      </c>
      <c r="M1975" s="460">
        <f t="shared" si="139"/>
        <v>0.05</v>
      </c>
      <c r="N1975" s="464">
        <f t="shared" si="140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38"/>
        <v>-92957117.850128859</v>
      </c>
      <c r="J1976" s="444">
        <f t="array" ref="J1976">IFERROR(INDEX('Retirement Calculator'!J:J,MATCH('Isaac 401k'!N1976,'Retirement Calculator'!A:A,0),0),0)</f>
        <v>0</v>
      </c>
      <c r="K1976" s="444">
        <f t="shared" ca="1" si="136"/>
        <v>-387321.32437553693</v>
      </c>
      <c r="L1976" s="444">
        <f t="shared" ca="1" si="137"/>
        <v>-93344439.174504399</v>
      </c>
      <c r="M1976" s="460">
        <f t="shared" si="139"/>
        <v>0.05</v>
      </c>
      <c r="N1976" s="464">
        <f t="shared" si="140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38"/>
        <v>-93344439.174504399</v>
      </c>
      <c r="J1977" s="444">
        <f t="array" ref="J1977">IFERROR(INDEX('Retirement Calculator'!J:J,MATCH('Isaac 401k'!N1977,'Retirement Calculator'!A:A,0),0),0)</f>
        <v>0</v>
      </c>
      <c r="K1977" s="444">
        <f t="shared" ca="1" si="136"/>
        <v>-388935.16322710167</v>
      </c>
      <c r="L1977" s="444">
        <f t="shared" ca="1" si="137"/>
        <v>-93733374.337731495</v>
      </c>
      <c r="M1977" s="460">
        <f t="shared" si="139"/>
        <v>0.05</v>
      </c>
      <c r="N1977" s="464">
        <f t="shared" si="140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38"/>
        <v>-93733374.337731495</v>
      </c>
      <c r="J1978" s="444">
        <f t="array" ref="J1978">IFERROR(INDEX('Retirement Calculator'!J:J,MATCH('Isaac 401k'!N1978,'Retirement Calculator'!A:A,0),0),0)</f>
        <v>0</v>
      </c>
      <c r="K1978" s="444">
        <f t="shared" ca="1" si="136"/>
        <v>-390555.72640721453</v>
      </c>
      <c r="L1978" s="444">
        <f t="shared" ca="1" si="137"/>
        <v>-94123930.06413871</v>
      </c>
      <c r="M1978" s="460">
        <f t="shared" si="139"/>
        <v>0.05</v>
      </c>
      <c r="N1978" s="464">
        <f t="shared" si="140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38"/>
        <v>-94123930.06413871</v>
      </c>
      <c r="J1979" s="444">
        <f t="array" ref="J1979">IFERROR(INDEX('Retirement Calculator'!J:J,MATCH('Isaac 401k'!N1979,'Retirement Calculator'!A:A,0),0),0)</f>
        <v>0</v>
      </c>
      <c r="K1979" s="444">
        <f t="shared" ca="1" si="136"/>
        <v>-392183.04193391127</v>
      </c>
      <c r="L1979" s="444">
        <f t="shared" ca="1" si="137"/>
        <v>-94516113.10607262</v>
      </c>
      <c r="M1979" s="460">
        <f t="shared" si="139"/>
        <v>0.05</v>
      </c>
      <c r="N1979" s="464">
        <f t="shared" si="140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38"/>
        <v>-94516113.10607262</v>
      </c>
      <c r="J1980" s="444">
        <f t="array" ref="J1980">IFERROR(INDEX('Retirement Calculator'!J:J,MATCH('Isaac 401k'!N1980,'Retirement Calculator'!A:A,0),0),0)</f>
        <v>0</v>
      </c>
      <c r="K1980" s="444">
        <f t="shared" ca="1" si="136"/>
        <v>-393817.13794196927</v>
      </c>
      <c r="L1980" s="444">
        <f t="shared" ca="1" si="137"/>
        <v>-94909930.244014591</v>
      </c>
      <c r="M1980" s="460">
        <f t="shared" si="139"/>
        <v>0.05</v>
      </c>
      <c r="N1980" s="464">
        <f t="shared" si="140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38"/>
        <v>-94909930.244014591</v>
      </c>
      <c r="J1981" s="444">
        <f t="array" ref="J1981">IFERROR(INDEX('Retirement Calculator'!J:J,MATCH('Isaac 401k'!N1981,'Retirement Calculator'!A:A,0),0),0)</f>
        <v>0</v>
      </c>
      <c r="K1981" s="444">
        <f t="shared" ca="1" si="136"/>
        <v>-395458.0426833941</v>
      </c>
      <c r="L1981" s="444">
        <f t="shared" ca="1" si="137"/>
        <v>-95305388.286697984</v>
      </c>
      <c r="M1981" s="460">
        <f t="shared" si="139"/>
        <v>0.05</v>
      </c>
      <c r="N1981" s="464">
        <f t="shared" si="140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38"/>
        <v>-95305388.286697984</v>
      </c>
      <c r="J1982" s="444">
        <f t="array" ref="J1982">IFERROR(INDEX('Retirement Calculator'!J:J,MATCH('Isaac 401k'!N1982,'Retirement Calculator'!A:A,0),0),0)</f>
        <v>0</v>
      </c>
      <c r="K1982" s="444">
        <f t="shared" ca="1" si="136"/>
        <v>-397105.78452790825</v>
      </c>
      <c r="L1982" s="444">
        <f t="shared" ca="1" si="137"/>
        <v>-95702494.071225896</v>
      </c>
      <c r="M1982" s="460">
        <f t="shared" si="139"/>
        <v>0.05</v>
      </c>
      <c r="N1982" s="464">
        <f t="shared" si="140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38"/>
        <v>-95702494.071225896</v>
      </c>
      <c r="J1983" s="444">
        <f t="array" ref="J1983">IFERROR(INDEX('Retirement Calculator'!J:J,MATCH('Isaac 401k'!N1983,'Retirement Calculator'!A:A,0),0),0)</f>
        <v>0</v>
      </c>
      <c r="K1983" s="444">
        <f t="shared" ca="1" si="136"/>
        <v>-398760.39196344122</v>
      </c>
      <c r="L1983" s="444">
        <f t="shared" ca="1" si="137"/>
        <v>-96101254.463189334</v>
      </c>
      <c r="M1983" s="460">
        <f t="shared" si="139"/>
        <v>0.05</v>
      </c>
      <c r="N1983" s="464">
        <f t="shared" si="140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38"/>
        <v>-96101254.463189334</v>
      </c>
      <c r="J1984" s="444">
        <f t="array" ref="J1984">IFERROR(INDEX('Retirement Calculator'!J:J,MATCH('Isaac 401k'!N1984,'Retirement Calculator'!A:A,0),0),0)</f>
        <v>0</v>
      </c>
      <c r="K1984" s="444">
        <f t="shared" ca="1" si="136"/>
        <v>-400421.89359662222</v>
      </c>
      <c r="L1984" s="444">
        <f t="shared" ca="1" si="137"/>
        <v>-96501676.356785953</v>
      </c>
      <c r="M1984" s="460">
        <f t="shared" si="139"/>
        <v>0.05</v>
      </c>
      <c r="N1984" s="464">
        <f t="shared" si="140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38"/>
        <v>-96501676.356785953</v>
      </c>
      <c r="J1985" s="444">
        <f t="array" ref="J1985">IFERROR(INDEX('Retirement Calculator'!J:J,MATCH('Isaac 401k'!N1985,'Retirement Calculator'!A:A,0),0),0)</f>
        <v>0</v>
      </c>
      <c r="K1985" s="444">
        <f t="shared" ca="1" si="136"/>
        <v>-402090.31815327483</v>
      </c>
      <c r="L1985" s="444">
        <f t="shared" ca="1" si="137"/>
        <v>-96903766.67493923</v>
      </c>
      <c r="M1985" s="460">
        <f t="shared" si="139"/>
        <v>0.05</v>
      </c>
      <c r="N1985" s="464">
        <f t="shared" si="140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38"/>
        <v>-96903766.67493923</v>
      </c>
      <c r="J1986" s="444">
        <f t="array" ref="J1986">IFERROR(INDEX('Retirement Calculator'!J:J,MATCH('Isaac 401k'!N1986,'Retirement Calculator'!A:A,0),0),0)</f>
        <v>0</v>
      </c>
      <c r="K1986" s="444">
        <f t="shared" ca="1" si="136"/>
        <v>-403765.69447891344</v>
      </c>
      <c r="L1986" s="444">
        <f t="shared" ca="1" si="137"/>
        <v>-97307532.369418144</v>
      </c>
      <c r="M1986" s="460">
        <f t="shared" si="139"/>
        <v>0.05</v>
      </c>
      <c r="N1986" s="464">
        <f t="shared" si="140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38"/>
        <v>-97307532.369418144</v>
      </c>
      <c r="J1987" s="444">
        <f t="array" ref="J1987">IFERROR(INDEX('Retirement Calculator'!J:J,MATCH('Isaac 401k'!N1987,'Retirement Calculator'!A:A,0),0),0)</f>
        <v>0</v>
      </c>
      <c r="K1987" s="444">
        <f t="shared" ca="1" si="136"/>
        <v>-405448.05153924227</v>
      </c>
      <c r="L1987" s="444">
        <f t="shared" ca="1" si="137"/>
        <v>-97712980.420957386</v>
      </c>
      <c r="M1987" s="460">
        <f t="shared" si="139"/>
        <v>0.05</v>
      </c>
      <c r="N1987" s="464">
        <f t="shared" si="140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38"/>
        <v>-97712980.420957386</v>
      </c>
      <c r="J1988" s="444">
        <f t="array" ref="J1988">IFERROR(INDEX('Retirement Calculator'!J:J,MATCH('Isaac 401k'!N1988,'Retirement Calculator'!A:A,0),0),0)</f>
        <v>0</v>
      </c>
      <c r="K1988" s="444">
        <f t="shared" ca="1" si="136"/>
        <v>-407137.41842065577</v>
      </c>
      <c r="L1988" s="444">
        <f t="shared" ca="1" si="137"/>
        <v>-98120117.839378044</v>
      </c>
      <c r="M1988" s="460">
        <f t="shared" si="139"/>
        <v>0.05</v>
      </c>
      <c r="N1988" s="464">
        <f t="shared" si="140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38"/>
        <v>-98120117.839378044</v>
      </c>
      <c r="J1989" s="444">
        <f t="array" ref="J1989">IFERROR(INDEX('Retirement Calculator'!J:J,MATCH('Isaac 401k'!N1989,'Retirement Calculator'!A:A,0),0),0)</f>
        <v>0</v>
      </c>
      <c r="K1989" s="444">
        <f t="shared" ca="1" si="136"/>
        <v>-408833.82433074183</v>
      </c>
      <c r="L1989" s="444">
        <f t="shared" ca="1" si="137"/>
        <v>-98528951.663708791</v>
      </c>
      <c r="M1989" s="460">
        <f t="shared" si="139"/>
        <v>0.05</v>
      </c>
      <c r="N1989" s="464">
        <f t="shared" si="140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38"/>
        <v>-98528951.663708791</v>
      </c>
      <c r="J1990" s="444">
        <f t="array" ref="J1990">IFERROR(INDEX('Retirement Calculator'!J:J,MATCH('Isaac 401k'!N1990,'Retirement Calculator'!A:A,0),0),0)</f>
        <v>0</v>
      </c>
      <c r="K1990" s="444">
        <f t="shared" ca="1" si="136"/>
        <v>-410537.29859878664</v>
      </c>
      <c r="L1990" s="444">
        <f t="shared" ca="1" si="137"/>
        <v>-98939488.962307572</v>
      </c>
      <c r="M1990" s="460">
        <f t="shared" si="139"/>
        <v>0.05</v>
      </c>
      <c r="N1990" s="464">
        <f t="shared" si="140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38"/>
        <v>-98939488.962307572</v>
      </c>
      <c r="J1991" s="444">
        <f t="array" ref="J1991">IFERROR(INDEX('Retirement Calculator'!J:J,MATCH('Isaac 401k'!N1991,'Retirement Calculator'!A:A,0),0),0)</f>
        <v>0</v>
      </c>
      <c r="K1991" s="444">
        <f t="shared" ca="1" si="136"/>
        <v>-412247.87067628157</v>
      </c>
      <c r="L1991" s="444">
        <f t="shared" ca="1" si="137"/>
        <v>-99351736.832983851</v>
      </c>
      <c r="M1991" s="460">
        <f t="shared" si="139"/>
        <v>0.05</v>
      </c>
      <c r="N1991" s="464">
        <f t="shared" si="140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38"/>
        <v>-99351736.832983851</v>
      </c>
      <c r="J1992" s="444">
        <f t="array" ref="J1992">IFERROR(INDEX('Retirement Calculator'!J:J,MATCH('Isaac 401k'!N1992,'Retirement Calculator'!A:A,0),0),0)</f>
        <v>0</v>
      </c>
      <c r="K1992" s="444">
        <f t="shared" ca="1" si="136"/>
        <v>-413965.57013743272</v>
      </c>
      <c r="L1992" s="444">
        <f t="shared" ca="1" si="137"/>
        <v>-99765702.403121278</v>
      </c>
      <c r="M1992" s="460">
        <f t="shared" si="139"/>
        <v>0.05</v>
      </c>
      <c r="N1992" s="464">
        <f t="shared" si="140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38"/>
        <v>-99765702.403121278</v>
      </c>
      <c r="J1993" s="444">
        <f t="array" ref="J1993">IFERROR(INDEX('Retirement Calculator'!J:J,MATCH('Isaac 401k'!N1993,'Retirement Calculator'!A:A,0),0),0)</f>
        <v>0</v>
      </c>
      <c r="K1993" s="444">
        <f t="shared" ca="1" si="136"/>
        <v>-415690.42667967197</v>
      </c>
      <c r="L1993" s="444">
        <f t="shared" ca="1" si="137"/>
        <v>-100181392.82980095</v>
      </c>
      <c r="M1993" s="460">
        <f t="shared" si="139"/>
        <v>0.05</v>
      </c>
      <c r="N1993" s="464">
        <f t="shared" si="140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38"/>
        <v>-100181392.82980095</v>
      </c>
      <c r="J1994" s="444">
        <f t="array" ref="J1994">IFERROR(INDEX('Retirement Calculator'!J:J,MATCH('Isaac 401k'!N1994,'Retirement Calculator'!A:A,0),0),0)</f>
        <v>0</v>
      </c>
      <c r="K1994" s="444">
        <f t="shared" ca="1" si="136"/>
        <v>-417422.47012417059</v>
      </c>
      <c r="L1994" s="444">
        <f t="shared" ca="1" si="137"/>
        <v>-100598815.29992512</v>
      </c>
      <c r="M1994" s="460">
        <f t="shared" si="139"/>
        <v>0.05</v>
      </c>
      <c r="N1994" s="464">
        <f t="shared" si="140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38"/>
        <v>-100598815.29992512</v>
      </c>
      <c r="J1995" s="444">
        <f t="array" ref="J1995">IFERROR(INDEX('Retirement Calculator'!J:J,MATCH('Isaac 401k'!N1995,'Retirement Calculator'!A:A,0),0),0)</f>
        <v>0</v>
      </c>
      <c r="K1995" s="444">
        <f t="shared" ca="1" si="136"/>
        <v>-419161.73041635467</v>
      </c>
      <c r="L1995" s="444">
        <f t="shared" ca="1" si="137"/>
        <v>-101017977.03034148</v>
      </c>
      <c r="M1995" s="460">
        <f t="shared" si="139"/>
        <v>0.05</v>
      </c>
      <c r="N1995" s="464">
        <f t="shared" si="140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38"/>
        <v>-101017977.03034148</v>
      </c>
      <c r="J1996" s="444">
        <f t="array" ref="J1996">IFERROR(INDEX('Retirement Calculator'!J:J,MATCH('Isaac 401k'!N1996,'Retirement Calculator'!A:A,0),0),0)</f>
        <v>0</v>
      </c>
      <c r="K1996" s="444">
        <f t="shared" ca="1" si="136"/>
        <v>-420908.23762642284</v>
      </c>
      <c r="L1996" s="444">
        <f t="shared" ca="1" si="137"/>
        <v>-101438885.26796789</v>
      </c>
      <c r="M1996" s="460">
        <f t="shared" si="139"/>
        <v>0.05</v>
      </c>
      <c r="N1996" s="464">
        <f t="shared" si="140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38"/>
        <v>-101438885.26796789</v>
      </c>
      <c r="J1997" s="444">
        <f t="array" ref="J1997">IFERROR(INDEX('Retirement Calculator'!J:J,MATCH('Isaac 401k'!N1997,'Retirement Calculator'!A:A,0),0),0)</f>
        <v>0</v>
      </c>
      <c r="K1997" s="444">
        <f t="shared" ca="1" si="136"/>
        <v>-422662.0219498662</v>
      </c>
      <c r="L1997" s="444">
        <f t="shared" ca="1" si="137"/>
        <v>-101861547.28991777</v>
      </c>
      <c r="M1997" s="460">
        <f t="shared" si="139"/>
        <v>0.05</v>
      </c>
      <c r="N1997" s="464">
        <f t="shared" si="140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38"/>
        <v>-101861547.28991777</v>
      </c>
      <c r="J1998" s="444">
        <f t="array" ref="J1998">IFERROR(INDEX('Retirement Calculator'!J:J,MATCH('Isaac 401k'!N1998,'Retirement Calculator'!A:A,0),0),0)</f>
        <v>0</v>
      </c>
      <c r="K1998" s="444">
        <f t="shared" ca="1" si="136"/>
        <v>-424423.11370799068</v>
      </c>
      <c r="L1998" s="444">
        <f t="shared" ca="1" si="137"/>
        <v>-102285970.40362576</v>
      </c>
      <c r="M1998" s="460">
        <f t="shared" si="139"/>
        <v>0.05</v>
      </c>
      <c r="N1998" s="464">
        <f t="shared" si="140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38"/>
        <v>-102285970.40362576</v>
      </c>
      <c r="J1999" s="444">
        <f t="array" ref="J1999">IFERROR(INDEX('Retirement Calculator'!J:J,MATCH('Isaac 401k'!N1999,'Retirement Calculator'!A:A,0),0),0)</f>
        <v>0</v>
      </c>
      <c r="K1999" s="444">
        <f t="shared" ca="1" si="136"/>
        <v>-426191.54334844067</v>
      </c>
      <c r="L1999" s="444">
        <f t="shared" ca="1" si="137"/>
        <v>-102712161.9469742</v>
      </c>
      <c r="M1999" s="460">
        <f t="shared" si="139"/>
        <v>0.05</v>
      </c>
      <c r="N1999" s="464">
        <f t="shared" si="140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38"/>
        <v>-102712161.9469742</v>
      </c>
      <c r="J2000" s="444">
        <f t="array" ref="J2000">IFERROR(INDEX('Retirement Calculator'!J:J,MATCH('Isaac 401k'!N2000,'Retirement Calculator'!A:A,0),0),0)</f>
        <v>0</v>
      </c>
      <c r="K2000" s="444">
        <f t="shared" ca="1" si="136"/>
        <v>-427967.34144572582</v>
      </c>
      <c r="L2000" s="444">
        <f t="shared" ca="1" si="137"/>
        <v>-103140129.28841993</v>
      </c>
      <c r="M2000" s="460">
        <f t="shared" si="139"/>
        <v>0.05</v>
      </c>
      <c r="N2000" s="464">
        <f t="shared" si="140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38"/>
        <v>-103140129.28841993</v>
      </c>
      <c r="J2001" s="444">
        <f t="array" ref="J2001">IFERROR(INDEX('Retirement Calculator'!J:J,MATCH('Isaac 401k'!N2001,'Retirement Calculator'!A:A,0),0),0)</f>
        <v>0</v>
      </c>
      <c r="K2001" s="444">
        <f t="shared" ca="1" si="136"/>
        <v>-429750.5387017497</v>
      </c>
      <c r="L2001" s="444">
        <f t="shared" ca="1" si="137"/>
        <v>-103569879.82712168</v>
      </c>
      <c r="M2001" s="460">
        <f t="shared" si="139"/>
        <v>0.05</v>
      </c>
      <c r="N2001" s="464">
        <f t="shared" si="140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38"/>
        <v>-103569879.82712168</v>
      </c>
      <c r="J2002" s="444">
        <f t="array" ref="J2002">IFERROR(INDEX('Retirement Calculator'!J:J,MATCH('Isaac 401k'!N2002,'Retirement Calculator'!A:A,0),0),0)</f>
        <v>0</v>
      </c>
      <c r="K2002" s="444">
        <f t="shared" ca="1" si="136"/>
        <v>-431541.1659463403</v>
      </c>
      <c r="L2002" s="444">
        <f t="shared" ca="1" si="137"/>
        <v>-104001420.99306801</v>
      </c>
      <c r="M2002" s="460">
        <f t="shared" si="139"/>
        <v>0.05</v>
      </c>
      <c r="N2002" s="464">
        <f t="shared" si="140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38"/>
        <v>-104001420.99306801</v>
      </c>
      <c r="J2003" s="444">
        <f t="array" ref="J2003">IFERROR(INDEX('Retirement Calculator'!J:J,MATCH('Isaac 401k'!N2003,'Retirement Calculator'!A:A,0),0),0)</f>
        <v>0</v>
      </c>
      <c r="K2003" s="444">
        <f t="shared" ca="1" si="136"/>
        <v>-433339.25413778337</v>
      </c>
      <c r="L2003" s="444">
        <f t="shared" ca="1" si="137"/>
        <v>-104434760.24720579</v>
      </c>
      <c r="M2003" s="460">
        <f t="shared" si="139"/>
        <v>0.05</v>
      </c>
      <c r="N2003" s="464">
        <f t="shared" si="140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38"/>
        <v>-104434760.24720579</v>
      </c>
      <c r="J2004" s="444">
        <f t="array" ref="J2004">IFERROR(INDEX('Retirement Calculator'!J:J,MATCH('Isaac 401k'!N2004,'Retirement Calculator'!A:A,0),0),0)</f>
        <v>0</v>
      </c>
      <c r="K2004" s="444">
        <f t="shared" ca="1" si="136"/>
        <v>-435144.83436335746</v>
      </c>
      <c r="L2004" s="444">
        <f t="shared" ca="1" si="137"/>
        <v>-104869905.08156915</v>
      </c>
      <c r="M2004" s="460">
        <f t="shared" si="139"/>
        <v>0.05</v>
      </c>
      <c r="N2004" s="464">
        <f t="shared" si="140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38"/>
        <v>-104869905.08156915</v>
      </c>
      <c r="J2005" s="444">
        <f t="array" ref="J2005">IFERROR(INDEX('Retirement Calculator'!J:J,MATCH('Isaac 401k'!N2005,'Retirement Calculator'!A:A,0),0),0)</f>
        <v>0</v>
      </c>
      <c r="K2005" s="444">
        <f t="shared" ca="1" si="136"/>
        <v>-436957.93783987145</v>
      </c>
      <c r="L2005" s="444">
        <f t="shared" ca="1" si="137"/>
        <v>-105306863.01940902</v>
      </c>
      <c r="M2005" s="460">
        <f t="shared" si="139"/>
        <v>0.05</v>
      </c>
      <c r="N2005" s="464">
        <f t="shared" si="140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38"/>
        <v>-105306863.01940902</v>
      </c>
      <c r="J2006" s="444">
        <f t="array" ref="J2006">IFERROR(INDEX('Retirement Calculator'!J:J,MATCH('Isaac 401k'!N2006,'Retirement Calculator'!A:A,0),0),0)</f>
        <v>0</v>
      </c>
      <c r="K2006" s="444">
        <f t="shared" ca="1" si="136"/>
        <v>-438778.59591420414</v>
      </c>
      <c r="L2006" s="444">
        <f t="shared" ca="1" si="137"/>
        <v>-105745641.61532322</v>
      </c>
      <c r="M2006" s="460">
        <f t="shared" si="139"/>
        <v>0.05</v>
      </c>
      <c r="N2006" s="464">
        <f t="shared" si="140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38"/>
        <v>-105745641.61532322</v>
      </c>
      <c r="J2007" s="444">
        <f t="array" ref="J2007">IFERROR(INDEX('Retirement Calculator'!J:J,MATCH('Isaac 401k'!N2007,'Retirement Calculator'!A:A,0),0),0)</f>
        <v>0</v>
      </c>
      <c r="K2007" s="444">
        <f t="shared" ca="1" si="136"/>
        <v>-440606.84006384673</v>
      </c>
      <c r="L2007" s="444">
        <f t="shared" ca="1" si="137"/>
        <v>-106186248.45538706</v>
      </c>
      <c r="M2007" s="460">
        <f t="shared" si="139"/>
        <v>0.05</v>
      </c>
      <c r="N2007" s="464">
        <f t="shared" si="140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38"/>
        <v>-106186248.45538706</v>
      </c>
      <c r="J2008" s="444">
        <f t="array" ref="J2008">IFERROR(INDEX('Retirement Calculator'!J:J,MATCH('Isaac 401k'!N2008,'Retirement Calculator'!A:A,0),0),0)</f>
        <v>0</v>
      </c>
      <c r="K2008" s="444">
        <f t="shared" ca="1" si="136"/>
        <v>-442442.70189744601</v>
      </c>
      <c r="L2008" s="444">
        <f t="shared" ca="1" si="137"/>
        <v>-106628691.1572845</v>
      </c>
      <c r="M2008" s="460">
        <f t="shared" si="139"/>
        <v>0.05</v>
      </c>
      <c r="N2008" s="464">
        <f t="shared" si="140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38"/>
        <v>-106628691.1572845</v>
      </c>
      <c r="J2009" s="444">
        <f t="array" ref="J2009">IFERROR(INDEX('Retirement Calculator'!J:J,MATCH('Isaac 401k'!N2009,'Retirement Calculator'!A:A,0),0),0)</f>
        <v>0</v>
      </c>
      <c r="K2009" s="444">
        <f t="shared" ca="1" si="136"/>
        <v>-444286.21315535199</v>
      </c>
      <c r="L2009" s="444">
        <f t="shared" ca="1" si="137"/>
        <v>-107072977.37043986</v>
      </c>
      <c r="M2009" s="460">
        <f t="shared" si="139"/>
        <v>0.05</v>
      </c>
      <c r="N2009" s="464">
        <f t="shared" si="140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38"/>
        <v>-107072977.37043986</v>
      </c>
      <c r="J2010" s="444">
        <f t="array" ref="J2010">IFERROR(INDEX('Retirement Calculator'!J:J,MATCH('Isaac 401k'!N2010,'Retirement Calculator'!A:A,0),0),0)</f>
        <v>0</v>
      </c>
      <c r="K2010" s="444">
        <f t="shared" ca="1" si="136"/>
        <v>-446137.40571016615</v>
      </c>
      <c r="L2010" s="444">
        <f t="shared" ca="1" si="137"/>
        <v>-107519114.77615002</v>
      </c>
      <c r="M2010" s="460">
        <f t="shared" si="139"/>
        <v>0.05</v>
      </c>
      <c r="N2010" s="464">
        <f t="shared" si="140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38"/>
        <v>-107519114.77615002</v>
      </c>
      <c r="J2011" s="444">
        <f t="array" ref="J2011">IFERROR(INDEX('Retirement Calculator'!J:J,MATCH('Isaac 401k'!N2011,'Retirement Calculator'!A:A,0),0),0)</f>
        <v>0</v>
      </c>
      <c r="K2011" s="444">
        <f t="shared" ca="1" si="136"/>
        <v>-447996.31156729173</v>
      </c>
      <c r="L2011" s="444">
        <f t="shared" ca="1" si="137"/>
        <v>-107967111.08771731</v>
      </c>
      <c r="M2011" s="460">
        <f t="shared" si="139"/>
        <v>0.05</v>
      </c>
      <c r="N2011" s="464">
        <f t="shared" si="140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38"/>
        <v>-107967111.08771731</v>
      </c>
      <c r="J2012" s="444">
        <f t="array" ref="J2012">IFERROR(INDEX('Retirement Calculator'!J:J,MATCH('Isaac 401k'!N2012,'Retirement Calculator'!A:A,0),0),0)</f>
        <v>0</v>
      </c>
      <c r="K2012" s="444">
        <f t="shared" ca="1" si="136"/>
        <v>-449862.96286548878</v>
      </c>
      <c r="L2012" s="444">
        <f t="shared" ca="1" si="137"/>
        <v>-108416974.0505828</v>
      </c>
      <c r="M2012" s="460">
        <f t="shared" si="139"/>
        <v>0.05</v>
      </c>
      <c r="N2012" s="464">
        <f t="shared" si="140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38"/>
        <v>-108416974.0505828</v>
      </c>
      <c r="J2013" s="444">
        <f t="array" ref="J2013">IFERROR(INDEX('Retirement Calculator'!J:J,MATCH('Isaac 401k'!N2013,'Retirement Calculator'!A:A,0),0),0)</f>
        <v>0</v>
      </c>
      <c r="K2013" s="444">
        <f t="shared" ca="1" si="136"/>
        <v>-451737.39187742822</v>
      </c>
      <c r="L2013" s="444">
        <f t="shared" ca="1" si="137"/>
        <v>-108868711.44246022</v>
      </c>
      <c r="M2013" s="460">
        <f t="shared" si="139"/>
        <v>0.05</v>
      </c>
      <c r="N2013" s="464">
        <f t="shared" si="140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38"/>
        <v>-108868711.44246022</v>
      </c>
      <c r="J2014" s="444">
        <f t="array" ref="J2014">IFERROR(INDEX('Retirement Calculator'!J:J,MATCH('Isaac 401k'!N2014,'Retirement Calculator'!A:A,0),0),0)</f>
        <v>0</v>
      </c>
      <c r="K2014" s="444">
        <f t="shared" ca="1" si="136"/>
        <v>-453619.63101025095</v>
      </c>
      <c r="L2014" s="444">
        <f t="shared" ca="1" si="137"/>
        <v>-109322331.07347047</v>
      </c>
      <c r="M2014" s="460">
        <f t="shared" si="139"/>
        <v>0.05</v>
      </c>
      <c r="N2014" s="464">
        <f t="shared" si="140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38"/>
        <v>-109322331.07347047</v>
      </c>
      <c r="J2015" s="444">
        <f t="array" ref="J2015">IFERROR(INDEX('Retirement Calculator'!J:J,MATCH('Isaac 401k'!N2015,'Retirement Calculator'!A:A,0),0),0)</f>
        <v>0</v>
      </c>
      <c r="K2015" s="444">
        <f t="shared" ca="1" si="136"/>
        <v>-455509.71280612698</v>
      </c>
      <c r="L2015" s="444">
        <f t="shared" ca="1" si="137"/>
        <v>-109777840.78627659</v>
      </c>
      <c r="M2015" s="460">
        <f t="shared" si="139"/>
        <v>0.05</v>
      </c>
      <c r="N2015" s="464">
        <f t="shared" si="140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38"/>
        <v>-109777840.78627659</v>
      </c>
      <c r="J2016" s="444">
        <f t="array" ref="J2016">IFERROR(INDEX('Retirement Calculator'!J:J,MATCH('Isaac 401k'!N2016,'Retirement Calculator'!A:A,0),0),0)</f>
        <v>0</v>
      </c>
      <c r="K2016" s="444">
        <f t="shared" ca="1" si="136"/>
        <v>-457407.66994281922</v>
      </c>
      <c r="L2016" s="444">
        <f t="shared" ca="1" si="137"/>
        <v>-110235248.45621942</v>
      </c>
      <c r="M2016" s="460">
        <f t="shared" si="139"/>
        <v>0.05</v>
      </c>
      <c r="N2016" s="464">
        <f t="shared" si="140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38"/>
        <v>-110235248.45621942</v>
      </c>
      <c r="J2017" s="444">
        <f t="array" ref="J2017">IFERROR(INDEX('Retirement Calculator'!J:J,MATCH('Isaac 401k'!N2017,'Retirement Calculator'!A:A,0),0),0)</f>
        <v>0</v>
      </c>
      <c r="K2017" s="444">
        <f t="shared" ca="1" si="136"/>
        <v>-459313.53523424757</v>
      </c>
      <c r="L2017" s="444">
        <f t="shared" ca="1" si="137"/>
        <v>-110694561.99145366</v>
      </c>
      <c r="M2017" s="460">
        <f t="shared" si="139"/>
        <v>0.05</v>
      </c>
      <c r="N2017" s="464">
        <f t="shared" si="140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38"/>
        <v>-110694561.99145366</v>
      </c>
      <c r="J2018" s="444">
        <f t="array" ref="J2018">IFERROR(INDEX('Retirement Calculator'!J:J,MATCH('Isaac 401k'!N2018,'Retirement Calculator'!A:A,0),0),0)</f>
        <v>0</v>
      </c>
      <c r="K2018" s="444">
        <f t="shared" ca="1" si="136"/>
        <v>-461227.34163105697</v>
      </c>
      <c r="L2018" s="444">
        <f t="shared" ca="1" si="137"/>
        <v>-111155789.33308472</v>
      </c>
      <c r="M2018" s="460">
        <f t="shared" si="139"/>
        <v>0.05</v>
      </c>
      <c r="N2018" s="464">
        <f t="shared" si="140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38"/>
        <v>-111155789.33308472</v>
      </c>
      <c r="J2019" s="444">
        <f t="array" ref="J2019">IFERROR(INDEX('Retirement Calculator'!J:J,MATCH('Isaac 401k'!N2019,'Retirement Calculator'!A:A,0),0),0)</f>
        <v>0</v>
      </c>
      <c r="K2019" s="444">
        <f t="shared" ca="1" si="136"/>
        <v>-463149.12222118635</v>
      </c>
      <c r="L2019" s="444">
        <f t="shared" ca="1" si="137"/>
        <v>-111618938.4553059</v>
      </c>
      <c r="M2019" s="460">
        <f t="shared" si="139"/>
        <v>0.05</v>
      </c>
      <c r="N2019" s="464">
        <f t="shared" si="140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38"/>
        <v>-111618938.4553059</v>
      </c>
      <c r="J2020" s="444">
        <f t="array" ref="J2020">IFERROR(INDEX('Retirement Calculator'!J:J,MATCH('Isaac 401k'!N2020,'Retirement Calculator'!A:A,0),0),0)</f>
        <v>0</v>
      </c>
      <c r="K2020" s="444">
        <f t="shared" ca="1" si="136"/>
        <v>-465078.91023044131</v>
      </c>
      <c r="L2020" s="444">
        <f t="shared" ca="1" si="137"/>
        <v>-112084017.36553635</v>
      </c>
      <c r="M2020" s="460">
        <f t="shared" si="139"/>
        <v>0.05</v>
      </c>
      <c r="N2020" s="464">
        <f t="shared" si="140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38"/>
        <v>-112084017.36553635</v>
      </c>
      <c r="J2021" s="444">
        <f t="array" ref="J2021">IFERROR(INDEX('Retirement Calculator'!J:J,MATCH('Isaac 401k'!N2021,'Retirement Calculator'!A:A,0),0),0)</f>
        <v>0</v>
      </c>
      <c r="K2021" s="444">
        <f t="shared" ca="1" si="136"/>
        <v>-467016.73902306805</v>
      </c>
      <c r="L2021" s="444">
        <f t="shared" ca="1" si="137"/>
        <v>-112551034.10455942</v>
      </c>
      <c r="M2021" s="460">
        <f t="shared" si="139"/>
        <v>0.05</v>
      </c>
      <c r="N2021" s="464">
        <f t="shared" si="140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38"/>
        <v>-112551034.10455942</v>
      </c>
      <c r="J2022" s="444">
        <f t="array" ref="J2022">IFERROR(INDEX('Retirement Calculator'!J:J,MATCH('Isaac 401k'!N2022,'Retirement Calculator'!A:A,0),0),0)</f>
        <v>0</v>
      </c>
      <c r="K2022" s="444">
        <f t="shared" ca="1" si="136"/>
        <v>-468962.64210233086</v>
      </c>
      <c r="L2022" s="444">
        <f t="shared" ca="1" si="137"/>
        <v>-113019996.74666175</v>
      </c>
      <c r="M2022" s="460">
        <f t="shared" si="139"/>
        <v>0.05</v>
      </c>
      <c r="N2022" s="464">
        <f t="shared" si="140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38"/>
        <v>-113019996.74666175</v>
      </c>
      <c r="J2023" s="444">
        <f t="array" ref="J2023">IFERROR(INDEX('Retirement Calculator'!J:J,MATCH('Isaac 401k'!N2023,'Retirement Calculator'!A:A,0),0),0)</f>
        <v>0</v>
      </c>
      <c r="K2023" s="444">
        <f t="shared" ca="1" si="136"/>
        <v>-470916.65311109065</v>
      </c>
      <c r="L2023" s="444">
        <f t="shared" ca="1" si="137"/>
        <v>-113490913.39977284</v>
      </c>
      <c r="M2023" s="460">
        <f t="shared" si="139"/>
        <v>0.05</v>
      </c>
      <c r="N2023" s="464">
        <f t="shared" si="140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38"/>
        <v>-113490913.39977284</v>
      </c>
      <c r="J2024" s="444">
        <f t="array" ref="J2024">IFERROR(INDEX('Retirement Calculator'!J:J,MATCH('Isaac 401k'!N2024,'Retirement Calculator'!A:A,0),0),0)</f>
        <v>0</v>
      </c>
      <c r="K2024" s="444">
        <f t="shared" ca="1" si="136"/>
        <v>-472878.80583238683</v>
      </c>
      <c r="L2024" s="444">
        <f t="shared" ca="1" si="137"/>
        <v>-113963792.20560522</v>
      </c>
      <c r="M2024" s="460">
        <f t="shared" si="139"/>
        <v>0.05</v>
      </c>
      <c r="N2024" s="464">
        <f t="shared" si="140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38"/>
        <v>-113963792.20560522</v>
      </c>
      <c r="J2025" s="444">
        <f t="array" ref="J2025">IFERROR(INDEX('Retirement Calculator'!J:J,MATCH('Isaac 401k'!N2025,'Retirement Calculator'!A:A,0),0),0)</f>
        <v>0</v>
      </c>
      <c r="K2025" s="444">
        <f t="shared" ca="1" si="136"/>
        <v>-474849.13419002184</v>
      </c>
      <c r="L2025" s="444">
        <f t="shared" ca="1" si="137"/>
        <v>-114438641.33979525</v>
      </c>
      <c r="M2025" s="460">
        <f t="shared" si="139"/>
        <v>0.05</v>
      </c>
      <c r="N2025" s="464">
        <f t="shared" si="140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38"/>
        <v>-114438641.33979525</v>
      </c>
      <c r="J2026" s="444">
        <f t="array" ref="J2026">IFERROR(INDEX('Retirement Calculator'!J:J,MATCH('Isaac 401k'!N2026,'Retirement Calculator'!A:A,0),0),0)</f>
        <v>0</v>
      </c>
      <c r="K2026" s="444">
        <f t="shared" ca="1" si="136"/>
        <v>-476827.6722491468</v>
      </c>
      <c r="L2026" s="444">
        <f t="shared" ca="1" si="137"/>
        <v>-114915469.0120444</v>
      </c>
      <c r="M2026" s="460">
        <f t="shared" si="139"/>
        <v>0.05</v>
      </c>
      <c r="N2026" s="464">
        <f t="shared" si="140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38"/>
        <v>-114915469.0120444</v>
      </c>
      <c r="J2027" s="444">
        <f t="array" ref="J2027">IFERROR(INDEX('Retirement Calculator'!J:J,MATCH('Isaac 401k'!N2027,'Retirement Calculator'!A:A,0),0),0)</f>
        <v>0</v>
      </c>
      <c r="K2027" s="444">
        <f t="shared" ca="1" si="136"/>
        <v>-478814.45421685168</v>
      </c>
      <c r="L2027" s="444">
        <f t="shared" ca="1" si="137"/>
        <v>-115394283.46626125</v>
      </c>
      <c r="M2027" s="460">
        <f t="shared" si="139"/>
        <v>0.05</v>
      </c>
      <c r="N2027" s="464">
        <f t="shared" si="140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38"/>
        <v>-115394283.46626125</v>
      </c>
      <c r="J2028" s="444">
        <f t="array" ref="J2028">IFERROR(INDEX('Retirement Calculator'!J:J,MATCH('Isaac 401k'!N2028,'Retirement Calculator'!A:A,0),0),0)</f>
        <v>0</v>
      </c>
      <c r="K2028" s="444">
        <f t="shared" ca="1" si="136"/>
        <v>-480809.5144427552</v>
      </c>
      <c r="L2028" s="444">
        <f t="shared" ca="1" si="137"/>
        <v>-115875092.98070401</v>
      </c>
      <c r="M2028" s="460">
        <f t="shared" si="139"/>
        <v>0.05</v>
      </c>
      <c r="N2028" s="464">
        <f t="shared" si="140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38"/>
        <v>-115875092.98070401</v>
      </c>
      <c r="J2029" s="444">
        <f t="array" ref="J2029">IFERROR(INDEX('Retirement Calculator'!J:J,MATCH('Isaac 401k'!N2029,'Retirement Calculator'!A:A,0),0),0)</f>
        <v>0</v>
      </c>
      <c r="K2029" s="444">
        <f t="shared" ca="1" si="136"/>
        <v>-482812.88741959998</v>
      </c>
      <c r="L2029" s="444">
        <f t="shared" ca="1" si="137"/>
        <v>-116357905.86812361</v>
      </c>
      <c r="M2029" s="460">
        <f t="shared" si="139"/>
        <v>0.05</v>
      </c>
      <c r="N2029" s="464">
        <f t="shared" si="140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38"/>
        <v>-116357905.86812361</v>
      </c>
      <c r="J2030" s="444">
        <f t="array" ref="J2030">IFERROR(INDEX('Retirement Calculator'!J:J,MATCH('Isaac 401k'!N2030,'Retirement Calculator'!A:A,0),0),0)</f>
        <v>0</v>
      </c>
      <c r="K2030" s="444">
        <f t="shared" ca="1" si="136"/>
        <v>-484824.60778384836</v>
      </c>
      <c r="L2030" s="444">
        <f t="shared" ca="1" si="137"/>
        <v>-116842730.47590746</v>
      </c>
      <c r="M2030" s="460">
        <f t="shared" si="139"/>
        <v>0.05</v>
      </c>
      <c r="N2030" s="464">
        <f t="shared" si="140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38"/>
        <v>-116842730.47590746</v>
      </c>
      <c r="J2031" s="444">
        <f t="array" ref="J2031">IFERROR(INDEX('Retirement Calculator'!J:J,MATCH('Isaac 401k'!N2031,'Retirement Calculator'!A:A,0),0),0)</f>
        <v>0</v>
      </c>
      <c r="K2031" s="444">
        <f t="shared" ca="1" si="136"/>
        <v>-486844.71031628101</v>
      </c>
      <c r="L2031" s="444">
        <f t="shared" ca="1" si="137"/>
        <v>-117329575.18622375</v>
      </c>
      <c r="M2031" s="460">
        <f t="shared" si="139"/>
        <v>0.05</v>
      </c>
      <c r="N2031" s="464">
        <f t="shared" si="140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38"/>
        <v>-117329575.18622375</v>
      </c>
      <c r="J2032" s="444">
        <f t="array" ref="J2032">IFERROR(INDEX('Retirement Calculator'!J:J,MATCH('Isaac 401k'!N2032,'Retirement Calculator'!A:A,0),0),0)</f>
        <v>0</v>
      </c>
      <c r="K2032" s="444">
        <f t="shared" ca="1" si="136"/>
        <v>-488873.2299425989</v>
      </c>
      <c r="L2032" s="444">
        <f t="shared" ca="1" si="137"/>
        <v>-117818448.41616635</v>
      </c>
      <c r="M2032" s="460">
        <f t="shared" si="139"/>
        <v>0.05</v>
      </c>
      <c r="N2032" s="464">
        <f t="shared" si="140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38"/>
        <v>-117818448.41616635</v>
      </c>
      <c r="J2033" s="444">
        <f t="array" ref="J2033">IFERROR(INDEX('Retirement Calculator'!J:J,MATCH('Isaac 401k'!N2033,'Retirement Calculator'!A:A,0),0),0)</f>
        <v>0</v>
      </c>
      <c r="K2033" s="444">
        <f t="shared" ca="1" si="136"/>
        <v>-490910.20173402637</v>
      </c>
      <c r="L2033" s="444">
        <f t="shared" ca="1" si="137"/>
        <v>-118309358.61790037</v>
      </c>
      <c r="M2033" s="460">
        <f t="shared" si="139"/>
        <v>0.05</v>
      </c>
      <c r="N2033" s="464">
        <f t="shared" si="140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38"/>
        <v>-118309358.61790037</v>
      </c>
      <c r="J2034" s="444">
        <f t="array" ref="J2034">IFERROR(INDEX('Retirement Calculator'!J:J,MATCH('Isaac 401k'!N2034,'Retirement Calculator'!A:A,0),0),0)</f>
        <v>0</v>
      </c>
      <c r="K2034" s="444">
        <f t="shared" ca="1" si="136"/>
        <v>-492955.66090791818</v>
      </c>
      <c r="L2034" s="444">
        <f t="shared" ca="1" si="137"/>
        <v>-118802314.2788083</v>
      </c>
      <c r="M2034" s="460">
        <f t="shared" si="139"/>
        <v>0.05</v>
      </c>
      <c r="N2034" s="464">
        <f t="shared" si="140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38"/>
        <v>-118802314.2788083</v>
      </c>
      <c r="J2035" s="444">
        <f t="array" ref="J2035">IFERROR(INDEX('Retirement Calculator'!J:J,MATCH('Isaac 401k'!N2035,'Retirement Calculator'!A:A,0),0),0)</f>
        <v>0</v>
      </c>
      <c r="K2035" s="444">
        <f t="shared" ca="1" si="136"/>
        <v>-495009.64282836788</v>
      </c>
      <c r="L2035" s="444">
        <f t="shared" ca="1" si="137"/>
        <v>-119297323.92163667</v>
      </c>
      <c r="M2035" s="460">
        <f t="shared" si="139"/>
        <v>0.05</v>
      </c>
      <c r="N2035" s="464">
        <f t="shared" si="140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38"/>
        <v>-119297323.92163667</v>
      </c>
      <c r="J2036" s="444">
        <f t="array" ref="J2036">IFERROR(INDEX('Retirement Calculator'!J:J,MATCH('Isaac 401k'!N2036,'Retirement Calculator'!A:A,0),0),0)</f>
        <v>0</v>
      </c>
      <c r="K2036" s="444">
        <f t="shared" ca="1" si="136"/>
        <v>-497072.1830068194</v>
      </c>
      <c r="L2036" s="444">
        <f t="shared" ca="1" si="137"/>
        <v>-119794396.10464349</v>
      </c>
      <c r="M2036" s="460">
        <f t="shared" si="139"/>
        <v>0.05</v>
      </c>
      <c r="N2036" s="464">
        <f t="shared" si="140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38"/>
        <v>-119794396.10464349</v>
      </c>
      <c r="J2037" s="444">
        <f t="array" ref="J2037">IFERROR(INDEX('Retirement Calculator'!J:J,MATCH('Isaac 401k'!N2037,'Retirement Calculator'!A:A,0),0),0)</f>
        <v>0</v>
      </c>
      <c r="K2037" s="444">
        <f t="shared" ca="1" si="136"/>
        <v>-499143.31710268115</v>
      </c>
      <c r="L2037" s="444">
        <f t="shared" ca="1" si="137"/>
        <v>-120293539.42174618</v>
      </c>
      <c r="M2037" s="460">
        <f t="shared" si="139"/>
        <v>0.05</v>
      </c>
      <c r="N2037" s="464">
        <f t="shared" si="140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38"/>
        <v>-120293539.42174618</v>
      </c>
      <c r="J2038" s="444">
        <f t="array" ref="J2038">IFERROR(INDEX('Retirement Calculator'!J:J,MATCH('Isaac 401k'!N2038,'Retirement Calculator'!A:A,0),0),0)</f>
        <v>0</v>
      </c>
      <c r="K2038" s="444">
        <f t="shared" ca="1" si="136"/>
        <v>-501223.08092394238</v>
      </c>
      <c r="L2038" s="444">
        <f t="shared" ca="1" si="137"/>
        <v>-120794762.50267012</v>
      </c>
      <c r="M2038" s="460">
        <f t="shared" si="139"/>
        <v>0.05</v>
      </c>
      <c r="N2038" s="464">
        <f t="shared" si="140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38"/>
        <v>-120794762.50267012</v>
      </c>
      <c r="J2039" s="444">
        <f t="array" ref="J2039">IFERROR(INDEX('Retirement Calculator'!J:J,MATCH('Isaac 401k'!N2039,'Retirement Calculator'!A:A,0),0),0)</f>
        <v>0</v>
      </c>
      <c r="K2039" s="444">
        <f t="shared" ca="1" si="136"/>
        <v>-503311.51042779215</v>
      </c>
      <c r="L2039" s="444">
        <f t="shared" ca="1" si="137"/>
        <v>-121298074.01309791</v>
      </c>
      <c r="M2039" s="460">
        <f t="shared" si="139"/>
        <v>0.05</v>
      </c>
      <c r="N2039" s="464">
        <f t="shared" si="140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38"/>
        <v>-121298074.01309791</v>
      </c>
      <c r="J2040" s="444">
        <f t="array" ref="J2040">IFERROR(INDEX('Retirement Calculator'!J:J,MATCH('Isaac 401k'!N2040,'Retirement Calculator'!A:A,0),0),0)</f>
        <v>0</v>
      </c>
      <c r="K2040" s="444">
        <f t="shared" ca="1" si="136"/>
        <v>-505408.64172124123</v>
      </c>
      <c r="L2040" s="444">
        <f t="shared" ca="1" si="137"/>
        <v>-121803482.65481916</v>
      </c>
      <c r="M2040" s="460">
        <f t="shared" si="139"/>
        <v>0.05</v>
      </c>
      <c r="N2040" s="464">
        <f t="shared" si="140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38"/>
        <v>-121803482.65481916</v>
      </c>
      <c r="J2041" s="444">
        <f t="array" ref="J2041">IFERROR(INDEX('Retirement Calculator'!J:J,MATCH('Isaac 401k'!N2041,'Retirement Calculator'!A:A,0),0),0)</f>
        <v>0</v>
      </c>
      <c r="K2041" s="444">
        <f t="shared" ca="1" si="136"/>
        <v>-507514.51106174651</v>
      </c>
      <c r="L2041" s="444">
        <f t="shared" ca="1" si="137"/>
        <v>-122310997.1658809</v>
      </c>
      <c r="M2041" s="460">
        <f t="shared" si="139"/>
        <v>0.05</v>
      </c>
      <c r="N2041" s="464">
        <f t="shared" si="140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38"/>
        <v>-122310997.1658809</v>
      </c>
      <c r="J2042" s="444">
        <f t="array" ref="J2042">IFERROR(INDEX('Retirement Calculator'!J:J,MATCH('Isaac 401k'!N2042,'Retirement Calculator'!A:A,0),0),0)</f>
        <v>0</v>
      </c>
      <c r="K2042" s="444">
        <f t="shared" ca="1" si="136"/>
        <v>-509629.15485783707</v>
      </c>
      <c r="L2042" s="444">
        <f t="shared" ca="1" si="137"/>
        <v>-122820626.32073875</v>
      </c>
      <c r="M2042" s="460">
        <f t="shared" si="139"/>
        <v>0.05</v>
      </c>
      <c r="N2042" s="464">
        <f t="shared" si="140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38"/>
        <v>-122820626.32073875</v>
      </c>
      <c r="J2043" s="444">
        <f t="array" ref="J2043">IFERROR(INDEX('Retirement Calculator'!J:J,MATCH('Isaac 401k'!N2043,'Retirement Calculator'!A:A,0),0),0)</f>
        <v>0</v>
      </c>
      <c r="K2043" s="444">
        <f t="shared" ca="1" si="136"/>
        <v>-511752.60966974479</v>
      </c>
      <c r="L2043" s="444">
        <f t="shared" ca="1" si="137"/>
        <v>-123332378.93040849</v>
      </c>
      <c r="M2043" s="460">
        <f t="shared" si="139"/>
        <v>0.05</v>
      </c>
      <c r="N2043" s="464">
        <f t="shared" si="140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38"/>
        <v>-123332378.93040849</v>
      </c>
      <c r="J2044" s="444">
        <f t="array" ref="J2044">IFERROR(INDEX('Retirement Calculator'!J:J,MATCH('Isaac 401k'!N2044,'Retirement Calculator'!A:A,0),0),0)</f>
        <v>0</v>
      </c>
      <c r="K2044" s="444">
        <f t="shared" ca="1" si="136"/>
        <v>-513884.91221003537</v>
      </c>
      <c r="L2044" s="444">
        <f t="shared" ca="1" si="137"/>
        <v>-123846263.84261853</v>
      </c>
      <c r="M2044" s="460">
        <f t="shared" si="139"/>
        <v>0.05</v>
      </c>
      <c r="N2044" s="464">
        <f t="shared" si="140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38"/>
        <v>-123846263.84261853</v>
      </c>
      <c r="J2045" s="444">
        <f t="array" ref="J2045">IFERROR(INDEX('Retirement Calculator'!J:J,MATCH('Isaac 401k'!N2045,'Retirement Calculator'!A:A,0),0),0)</f>
        <v>0</v>
      </c>
      <c r="K2045" s="444">
        <f t="shared" ca="1" si="136"/>
        <v>-516026.09934424394</v>
      </c>
      <c r="L2045" s="444">
        <f t="shared" ca="1" si="137"/>
        <v>-124362289.94196276</v>
      </c>
      <c r="M2045" s="460">
        <f t="shared" si="139"/>
        <v>0.05</v>
      </c>
      <c r="N2045" s="464">
        <f t="shared" si="140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38"/>
        <v>-124362289.94196276</v>
      </c>
      <c r="J2046" s="444">
        <f t="array" ref="J2046">IFERROR(INDEX('Retirement Calculator'!J:J,MATCH('Isaac 401k'!N2046,'Retirement Calculator'!A:A,0),0),0)</f>
        <v>0</v>
      </c>
      <c r="K2046" s="444">
        <f t="shared" ca="1" si="136"/>
        <v>-518176.20809151151</v>
      </c>
      <c r="L2046" s="444">
        <f t="shared" ca="1" si="137"/>
        <v>-124880466.15005428</v>
      </c>
      <c r="M2046" s="460">
        <f t="shared" si="139"/>
        <v>0.05</v>
      </c>
      <c r="N2046" s="464">
        <f t="shared" si="140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38"/>
        <v>-124880466.15005428</v>
      </c>
      <c r="J2047" s="444">
        <f t="array" ref="J2047">IFERROR(INDEX('Retirement Calculator'!J:J,MATCH('Isaac 401k'!N2047,'Retirement Calculator'!A:A,0),0),0)</f>
        <v>0</v>
      </c>
      <c r="K2047" s="444">
        <f t="shared" ca="1" si="136"/>
        <v>-520335.2756252262</v>
      </c>
      <c r="L2047" s="444">
        <f t="shared" ca="1" si="137"/>
        <v>-125400801.4256795</v>
      </c>
      <c r="M2047" s="460">
        <f t="shared" si="139"/>
        <v>0.05</v>
      </c>
      <c r="N2047" s="464">
        <f t="shared" si="140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38"/>
        <v>-125400801.4256795</v>
      </c>
      <c r="J2048" s="444">
        <f t="array" ref="J2048">IFERROR(INDEX('Retirement Calculator'!J:J,MATCH('Isaac 401k'!N2048,'Retirement Calculator'!A:A,0),0),0)</f>
        <v>0</v>
      </c>
      <c r="K2048" s="444">
        <f t="shared" ref="K2048:K2302" ca="1" si="141">IPMT(M2048/12,1,12,-I2048+J2048,,0)</f>
        <v>-522503.33927366463</v>
      </c>
      <c r="L2048" s="444">
        <f t="shared" ref="L2048:L2302" ca="1" si="142">I2048-J2048+K2048</f>
        <v>-125923304.76495317</v>
      </c>
      <c r="M2048" s="460">
        <f t="shared" si="139"/>
        <v>0.05</v>
      </c>
      <c r="N2048" s="464">
        <f t="shared" si="140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43">L2048</f>
        <v>-125923304.76495317</v>
      </c>
      <c r="J2049" s="444">
        <f t="array" ref="J2049">IFERROR(INDEX('Retirement Calculator'!J:J,MATCH('Isaac 401k'!N2049,'Retirement Calculator'!A:A,0),0),0)</f>
        <v>0</v>
      </c>
      <c r="K2049" s="444">
        <f t="shared" ca="1" si="141"/>
        <v>-524680.43652063818</v>
      </c>
      <c r="L2049" s="444">
        <f t="shared" ca="1" si="142"/>
        <v>-126447985.2014738</v>
      </c>
      <c r="M2049" s="460">
        <f t="shared" ref="M2049:M2303" si="144">M2048</f>
        <v>0.05</v>
      </c>
      <c r="N2049" s="464">
        <f t="shared" ref="N2049:N2303" si="145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43"/>
        <v>-126447985.2014738</v>
      </c>
      <c r="J2050" s="444">
        <f t="array" ref="J2050">IFERROR(INDEX('Retirement Calculator'!J:J,MATCH('Isaac 401k'!N2050,'Retirement Calculator'!A:A,0),0),0)</f>
        <v>0</v>
      </c>
      <c r="K2050" s="444">
        <f t="shared" ca="1" si="141"/>
        <v>-526866.60500614089</v>
      </c>
      <c r="L2050" s="444">
        <f t="shared" ca="1" si="142"/>
        <v>-126974851.80647995</v>
      </c>
      <c r="M2050" s="460">
        <f t="shared" si="144"/>
        <v>0.05</v>
      </c>
      <c r="N2050" s="464">
        <f t="shared" si="145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43"/>
        <v>-126974851.80647995</v>
      </c>
      <c r="J2051" s="444">
        <f t="array" ref="J2051">IFERROR(INDEX('Retirement Calculator'!J:J,MATCH('Isaac 401k'!N2051,'Retirement Calculator'!A:A,0),0),0)</f>
        <v>0</v>
      </c>
      <c r="K2051" s="444">
        <f t="shared" ca="1" si="141"/>
        <v>-529061.88252699981</v>
      </c>
      <c r="L2051" s="444">
        <f t="shared" ca="1" si="142"/>
        <v>-127503913.68900694</v>
      </c>
      <c r="M2051" s="460">
        <f t="shared" si="144"/>
        <v>0.05</v>
      </c>
      <c r="N2051" s="464">
        <f t="shared" si="145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43"/>
        <v>-127503913.68900694</v>
      </c>
      <c r="J2052" s="444">
        <f t="array" ref="J2052">IFERROR(INDEX('Retirement Calculator'!J:J,MATCH('Isaac 401k'!N2052,'Retirement Calculator'!A:A,0),0),0)</f>
        <v>0</v>
      </c>
      <c r="K2052" s="444">
        <f t="shared" ca="1" si="141"/>
        <v>-531266.30703752895</v>
      </c>
      <c r="L2052" s="444">
        <f t="shared" ca="1" si="142"/>
        <v>-128035179.99604447</v>
      </c>
      <c r="M2052" s="460">
        <f t="shared" si="144"/>
        <v>0.05</v>
      </c>
      <c r="N2052" s="464">
        <f t="shared" si="145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43"/>
        <v>-128035179.99604447</v>
      </c>
      <c r="J2053" s="444">
        <f t="array" ref="J2053">IFERROR(INDEX('Retirement Calculator'!J:J,MATCH('Isaac 401k'!N2053,'Retirement Calculator'!A:A,0),0),0)</f>
        <v>0</v>
      </c>
      <c r="K2053" s="444">
        <f t="shared" ca="1" si="141"/>
        <v>-533479.91665018536</v>
      </c>
      <c r="L2053" s="444">
        <f t="shared" ca="1" si="142"/>
        <v>-128568659.91269466</v>
      </c>
      <c r="M2053" s="460">
        <f t="shared" si="144"/>
        <v>0.05</v>
      </c>
      <c r="N2053" s="464">
        <f t="shared" si="145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43"/>
        <v>-128568659.91269466</v>
      </c>
      <c r="J2054" s="444">
        <f t="array" ref="J2054">IFERROR(INDEX('Retirement Calculator'!J:J,MATCH('Isaac 401k'!N2054,'Retirement Calculator'!A:A,0),0),0)</f>
        <v>0</v>
      </c>
      <c r="K2054" s="444">
        <f t="shared" ca="1" si="141"/>
        <v>-535702.74963622785</v>
      </c>
      <c r="L2054" s="444">
        <f t="shared" ca="1" si="142"/>
        <v>-129104362.6623309</v>
      </c>
      <c r="M2054" s="460">
        <f t="shared" si="144"/>
        <v>0.05</v>
      </c>
      <c r="N2054" s="464">
        <f t="shared" si="145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43"/>
        <v>-129104362.6623309</v>
      </c>
      <c r="J2055" s="444">
        <f t="array" ref="J2055">IFERROR(INDEX('Retirement Calculator'!J:J,MATCH('Isaac 401k'!N2055,'Retirement Calculator'!A:A,0),0),0)</f>
        <v>0</v>
      </c>
      <c r="K2055" s="444">
        <f t="shared" ca="1" si="141"/>
        <v>-537934.84442637884</v>
      </c>
      <c r="L2055" s="444">
        <f t="shared" ca="1" si="142"/>
        <v>-129642297.50675727</v>
      </c>
      <c r="M2055" s="460">
        <f t="shared" si="144"/>
        <v>0.05</v>
      </c>
      <c r="N2055" s="464">
        <f t="shared" si="145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43"/>
        <v>-129642297.50675727</v>
      </c>
      <c r="J2056" s="444">
        <f t="array" ref="J2056">IFERROR(INDEX('Retirement Calculator'!J:J,MATCH('Isaac 401k'!N2056,'Retirement Calculator'!A:A,0),0),0)</f>
        <v>0</v>
      </c>
      <c r="K2056" s="444">
        <f t="shared" ca="1" si="141"/>
        <v>-540176.23961148865</v>
      </c>
      <c r="L2056" s="444">
        <f t="shared" ca="1" si="142"/>
        <v>-130182473.74636877</v>
      </c>
      <c r="M2056" s="460">
        <f t="shared" si="144"/>
        <v>0.05</v>
      </c>
      <c r="N2056" s="464">
        <f t="shared" si="145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43"/>
        <v>-130182473.74636877</v>
      </c>
      <c r="J2057" s="444">
        <f t="array" ref="J2057">IFERROR(INDEX('Retirement Calculator'!J:J,MATCH('Isaac 401k'!N2057,'Retirement Calculator'!A:A,0),0),0)</f>
        <v>0</v>
      </c>
      <c r="K2057" s="444">
        <f t="shared" ca="1" si="141"/>
        <v>-542426.97394320322</v>
      </c>
      <c r="L2057" s="444">
        <f t="shared" ca="1" si="142"/>
        <v>-130724900.72031197</v>
      </c>
      <c r="M2057" s="460">
        <f t="shared" si="144"/>
        <v>0.05</v>
      </c>
      <c r="N2057" s="464">
        <f t="shared" si="145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43"/>
        <v>-130724900.72031197</v>
      </c>
      <c r="J2058" s="444">
        <f t="array" ref="J2058">IFERROR(INDEX('Retirement Calculator'!J:J,MATCH('Isaac 401k'!N2058,'Retirement Calculator'!A:A,0),0),0)</f>
        <v>0</v>
      </c>
      <c r="K2058" s="444">
        <f t="shared" ca="1" si="141"/>
        <v>-544687.08633463318</v>
      </c>
      <c r="L2058" s="444">
        <f t="shared" ca="1" si="142"/>
        <v>-131269587.8066466</v>
      </c>
      <c r="M2058" s="460">
        <f t="shared" si="144"/>
        <v>0.05</v>
      </c>
      <c r="N2058" s="464">
        <f t="shared" si="145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43"/>
        <v>-131269587.8066466</v>
      </c>
      <c r="J2059" s="444">
        <f t="array" ref="J2059">IFERROR(INDEX('Retirement Calculator'!J:J,MATCH('Isaac 401k'!N2059,'Retirement Calculator'!A:A,0),0),0)</f>
        <v>0</v>
      </c>
      <c r="K2059" s="444">
        <f t="shared" ca="1" si="141"/>
        <v>-546956.6158610275</v>
      </c>
      <c r="L2059" s="444">
        <f t="shared" ca="1" si="142"/>
        <v>-131816544.42250763</v>
      </c>
      <c r="M2059" s="460">
        <f t="shared" si="144"/>
        <v>0.05</v>
      </c>
      <c r="N2059" s="464">
        <f t="shared" si="145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43"/>
        <v>-131816544.42250763</v>
      </c>
      <c r="J2060" s="444">
        <f t="array" ref="J2060">IFERROR(INDEX('Retirement Calculator'!J:J,MATCH('Isaac 401k'!N2060,'Retirement Calculator'!A:A,0),0),0)</f>
        <v>0</v>
      </c>
      <c r="K2060" s="444">
        <f t="shared" ca="1" si="141"/>
        <v>-549235.60176044842</v>
      </c>
      <c r="L2060" s="444">
        <f t="shared" ca="1" si="142"/>
        <v>-132365780.02426808</v>
      </c>
      <c r="M2060" s="460">
        <f t="shared" si="144"/>
        <v>0.05</v>
      </c>
      <c r="N2060" s="464">
        <f t="shared" si="145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43"/>
        <v>-132365780.02426808</v>
      </c>
      <c r="J2061" s="444">
        <f t="array" ref="J2061">IFERROR(INDEX('Retirement Calculator'!J:J,MATCH('Isaac 401k'!N2061,'Retirement Calculator'!A:A,0),0),0)</f>
        <v>0</v>
      </c>
      <c r="K2061" s="444">
        <f t="shared" ca="1" si="141"/>
        <v>-551524.08343445032</v>
      </c>
      <c r="L2061" s="444">
        <f t="shared" ca="1" si="142"/>
        <v>-132917304.10770252</v>
      </c>
      <c r="M2061" s="460">
        <f t="shared" si="144"/>
        <v>0.05</v>
      </c>
      <c r="N2061" s="464">
        <f t="shared" si="145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43"/>
        <v>-132917304.10770252</v>
      </c>
      <c r="J2062" s="444">
        <f t="array" ref="J2062">IFERROR(INDEX('Retirement Calculator'!J:J,MATCH('Isaac 401k'!N2062,'Retirement Calculator'!A:A,0),0),0)</f>
        <v>0</v>
      </c>
      <c r="K2062" s="444">
        <f t="shared" ca="1" si="141"/>
        <v>-553822.10044876055</v>
      </c>
      <c r="L2062" s="444">
        <f t="shared" ca="1" si="142"/>
        <v>-133471126.20815128</v>
      </c>
      <c r="M2062" s="460">
        <f t="shared" si="144"/>
        <v>0.05</v>
      </c>
      <c r="N2062" s="464">
        <f t="shared" si="145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43"/>
        <v>-133471126.20815128</v>
      </c>
      <c r="J2063" s="444">
        <f t="array" ref="J2063">IFERROR(INDEX('Retirement Calculator'!J:J,MATCH('Isaac 401k'!N2063,'Retirement Calculator'!A:A,0),0),0)</f>
        <v>0</v>
      </c>
      <c r="K2063" s="444">
        <f t="shared" ca="1" si="141"/>
        <v>-556129.69253396359</v>
      </c>
      <c r="L2063" s="444">
        <f t="shared" ca="1" si="142"/>
        <v>-134027255.90068525</v>
      </c>
      <c r="M2063" s="460">
        <f t="shared" si="144"/>
        <v>0.05</v>
      </c>
      <c r="N2063" s="464">
        <f t="shared" si="145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43"/>
        <v>-134027255.90068525</v>
      </c>
      <c r="J2064" s="444">
        <f t="array" ref="J2064">IFERROR(INDEX('Retirement Calculator'!J:J,MATCH('Isaac 401k'!N2064,'Retirement Calculator'!A:A,0),0),0)</f>
        <v>0</v>
      </c>
      <c r="K2064" s="444">
        <f t="shared" ca="1" si="141"/>
        <v>-558446.89958618849</v>
      </c>
      <c r="L2064" s="444">
        <f t="shared" ca="1" si="142"/>
        <v>-134585702.80027145</v>
      </c>
      <c r="M2064" s="460">
        <f t="shared" si="144"/>
        <v>0.05</v>
      </c>
      <c r="N2064" s="464">
        <f t="shared" si="145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43"/>
        <v>-134585702.80027145</v>
      </c>
      <c r="J2065" s="444">
        <f t="array" ref="J2065">IFERROR(INDEX('Retirement Calculator'!J:J,MATCH('Isaac 401k'!N2065,'Retirement Calculator'!A:A,0),0),0)</f>
        <v>0</v>
      </c>
      <c r="K2065" s="444">
        <f t="shared" ca="1" si="141"/>
        <v>-560773.76166779769</v>
      </c>
      <c r="L2065" s="444">
        <f t="shared" ca="1" si="142"/>
        <v>-135146476.56193924</v>
      </c>
      <c r="M2065" s="460">
        <f t="shared" si="144"/>
        <v>0.05</v>
      </c>
      <c r="N2065" s="464">
        <f t="shared" si="145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43"/>
        <v>-135146476.56193924</v>
      </c>
      <c r="J2066" s="444">
        <f t="array" ref="J2066">IFERROR(INDEX('Retirement Calculator'!J:J,MATCH('Isaac 401k'!N2066,'Retirement Calculator'!A:A,0),0),0)</f>
        <v>0</v>
      </c>
      <c r="K2066" s="444">
        <f t="shared" ca="1" si="141"/>
        <v>-563110.31900808017</v>
      </c>
      <c r="L2066" s="444">
        <f t="shared" ca="1" si="142"/>
        <v>-135709586.88094732</v>
      </c>
      <c r="M2066" s="460">
        <f t="shared" si="144"/>
        <v>0.05</v>
      </c>
      <c r="N2066" s="464">
        <f t="shared" si="145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43"/>
        <v>-135709586.88094732</v>
      </c>
      <c r="J2067" s="444">
        <f t="array" ref="J2067">IFERROR(INDEX('Retirement Calculator'!J:J,MATCH('Isaac 401k'!N2067,'Retirement Calculator'!A:A,0),0),0)</f>
        <v>0</v>
      </c>
      <c r="K2067" s="444">
        <f t="shared" ca="1" si="141"/>
        <v>-565456.61200394714</v>
      </c>
      <c r="L2067" s="444">
        <f t="shared" ca="1" si="142"/>
        <v>-136275043.49295127</v>
      </c>
      <c r="M2067" s="460">
        <f t="shared" si="144"/>
        <v>0.05</v>
      </c>
      <c r="N2067" s="464">
        <f t="shared" si="145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43"/>
        <v>-136275043.49295127</v>
      </c>
      <c r="J2068" s="444">
        <f t="array" ref="J2068">IFERROR(INDEX('Retirement Calculator'!J:J,MATCH('Isaac 401k'!N2068,'Retirement Calculator'!A:A,0),0),0)</f>
        <v>0</v>
      </c>
      <c r="K2068" s="444">
        <f t="shared" ca="1" si="141"/>
        <v>-567812.6812206303</v>
      </c>
      <c r="L2068" s="444">
        <f t="shared" ca="1" si="142"/>
        <v>-136842856.17417189</v>
      </c>
      <c r="M2068" s="460">
        <f t="shared" si="144"/>
        <v>0.05</v>
      </c>
      <c r="N2068" s="464">
        <f t="shared" si="145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43"/>
        <v>-136842856.17417189</v>
      </c>
      <c r="J2069" s="444">
        <f t="array" ref="J2069">IFERROR(INDEX('Retirement Calculator'!J:J,MATCH('Isaac 401k'!N2069,'Retirement Calculator'!A:A,0),0),0)</f>
        <v>0</v>
      </c>
      <c r="K2069" s="444">
        <f t="shared" ca="1" si="141"/>
        <v>-570178.56739238289</v>
      </c>
      <c r="L2069" s="444">
        <f t="shared" ca="1" si="142"/>
        <v>-137413034.74156427</v>
      </c>
      <c r="M2069" s="460">
        <f t="shared" si="144"/>
        <v>0.05</v>
      </c>
      <c r="N2069" s="464">
        <f t="shared" si="145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43"/>
        <v>-137413034.74156427</v>
      </c>
      <c r="J2070" s="444">
        <f t="array" ref="J2070">IFERROR(INDEX('Retirement Calculator'!J:J,MATCH('Isaac 401k'!N2070,'Retirement Calculator'!A:A,0),0),0)</f>
        <v>0</v>
      </c>
      <c r="K2070" s="444">
        <f t="shared" ca="1" si="141"/>
        <v>-572554.31142318447</v>
      </c>
      <c r="L2070" s="444">
        <f t="shared" ca="1" si="142"/>
        <v>-137985589.05298746</v>
      </c>
      <c r="M2070" s="460">
        <f t="shared" si="144"/>
        <v>0.05</v>
      </c>
      <c r="N2070" s="464">
        <f t="shared" si="145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43"/>
        <v>-137985589.05298746</v>
      </c>
      <c r="J2071" s="444">
        <f t="array" ref="J2071">IFERROR(INDEX('Retirement Calculator'!J:J,MATCH('Isaac 401k'!N2071,'Retirement Calculator'!A:A,0),0),0)</f>
        <v>0</v>
      </c>
      <c r="K2071" s="444">
        <f t="shared" ca="1" si="141"/>
        <v>-574939.95438744768</v>
      </c>
      <c r="L2071" s="444">
        <f t="shared" ca="1" si="142"/>
        <v>-138560529.00737491</v>
      </c>
      <c r="M2071" s="460">
        <f t="shared" si="144"/>
        <v>0.05</v>
      </c>
      <c r="N2071" s="464">
        <f t="shared" si="145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43"/>
        <v>-138560529.00737491</v>
      </c>
      <c r="J2072" s="444">
        <f t="array" ref="J2072">IFERROR(INDEX('Retirement Calculator'!J:J,MATCH('Isaac 401k'!N2072,'Retirement Calculator'!A:A,0),0),0)</f>
        <v>0</v>
      </c>
      <c r="K2072" s="444">
        <f t="shared" ca="1" si="141"/>
        <v>-577335.53753072885</v>
      </c>
      <c r="L2072" s="444">
        <f t="shared" ca="1" si="142"/>
        <v>-139137864.54490563</v>
      </c>
      <c r="M2072" s="460">
        <f t="shared" si="144"/>
        <v>0.05</v>
      </c>
      <c r="N2072" s="464">
        <f t="shared" si="145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43"/>
        <v>-139137864.54490563</v>
      </c>
      <c r="J2073" s="444">
        <f t="array" ref="J2073">IFERROR(INDEX('Retirement Calculator'!J:J,MATCH('Isaac 401k'!N2073,'Retirement Calculator'!A:A,0),0),0)</f>
        <v>0</v>
      </c>
      <c r="K2073" s="444">
        <f t="shared" ca="1" si="141"/>
        <v>-579741.10227044008</v>
      </c>
      <c r="L2073" s="444">
        <f t="shared" ca="1" si="142"/>
        <v>-139717605.64717609</v>
      </c>
      <c r="M2073" s="460">
        <f t="shared" si="144"/>
        <v>0.05</v>
      </c>
      <c r="N2073" s="464">
        <f t="shared" si="145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43"/>
        <v>-139717605.64717609</v>
      </c>
      <c r="J2074" s="444">
        <f t="array" ref="J2074">IFERROR(INDEX('Retirement Calculator'!J:J,MATCH('Isaac 401k'!N2074,'Retirement Calculator'!A:A,0),0),0)</f>
        <v>0</v>
      </c>
      <c r="K2074" s="444">
        <f t="shared" ca="1" si="141"/>
        <v>-582156.69019656698</v>
      </c>
      <c r="L2074" s="444">
        <f t="shared" ca="1" si="142"/>
        <v>-140299762.33737266</v>
      </c>
      <c r="M2074" s="460">
        <f t="shared" si="144"/>
        <v>0.05</v>
      </c>
      <c r="N2074" s="464">
        <f t="shared" si="145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43"/>
        <v>-140299762.33737266</v>
      </c>
      <c r="J2075" s="444">
        <f t="array" ref="J2075">IFERROR(INDEX('Retirement Calculator'!J:J,MATCH('Isaac 401k'!N2075,'Retirement Calculator'!A:A,0),0),0)</f>
        <v>0</v>
      </c>
      <c r="K2075" s="444">
        <f t="shared" ca="1" si="141"/>
        <v>-584582.34307238611</v>
      </c>
      <c r="L2075" s="444">
        <f t="shared" ca="1" si="142"/>
        <v>-140884344.68044505</v>
      </c>
      <c r="M2075" s="460">
        <f t="shared" si="144"/>
        <v>0.05</v>
      </c>
      <c r="N2075" s="464">
        <f t="shared" si="145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43"/>
        <v>-140884344.68044505</v>
      </c>
      <c r="J2076" s="444">
        <f t="array" ref="J2076">IFERROR(INDEX('Retirement Calculator'!J:J,MATCH('Isaac 401k'!N2076,'Retirement Calculator'!A:A,0),0),0)</f>
        <v>0</v>
      </c>
      <c r="K2076" s="444">
        <f t="shared" ca="1" si="141"/>
        <v>-587018.10283518769</v>
      </c>
      <c r="L2076" s="444">
        <f t="shared" ca="1" si="142"/>
        <v>-141471362.78328022</v>
      </c>
      <c r="M2076" s="460">
        <f t="shared" si="144"/>
        <v>0.05</v>
      </c>
      <c r="N2076" s="464">
        <f t="shared" si="145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43"/>
        <v>-141471362.78328022</v>
      </c>
      <c r="J2077" s="444">
        <f t="array" ref="J2077">IFERROR(INDEX('Retirement Calculator'!J:J,MATCH('Isaac 401k'!N2077,'Retirement Calculator'!A:A,0),0),0)</f>
        <v>0</v>
      </c>
      <c r="K2077" s="444">
        <f t="shared" ca="1" si="141"/>
        <v>-589464.01159700088</v>
      </c>
      <c r="L2077" s="444">
        <f t="shared" ca="1" si="142"/>
        <v>-142060826.79487723</v>
      </c>
      <c r="M2077" s="460">
        <f t="shared" si="144"/>
        <v>0.05</v>
      </c>
      <c r="N2077" s="464">
        <f t="shared" si="145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43"/>
        <v>-142060826.79487723</v>
      </c>
      <c r="J2078" s="444">
        <f t="array" ref="J2078">IFERROR(INDEX('Retirement Calculator'!J:J,MATCH('Isaac 401k'!N2078,'Retirement Calculator'!A:A,0),0),0)</f>
        <v>0</v>
      </c>
      <c r="K2078" s="444">
        <f t="shared" ca="1" si="141"/>
        <v>-591920.11164532183</v>
      </c>
      <c r="L2078" s="444">
        <f t="shared" ca="1" si="142"/>
        <v>-142652746.90652254</v>
      </c>
      <c r="M2078" s="460">
        <f t="shared" si="144"/>
        <v>0.05</v>
      </c>
      <c r="N2078" s="464">
        <f t="shared" si="145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43"/>
        <v>-142652746.90652254</v>
      </c>
      <c r="J2079" s="444">
        <f t="array" ref="J2079">IFERROR(INDEX('Retirement Calculator'!J:J,MATCH('Isaac 401k'!N2079,'Retirement Calculator'!A:A,0),0),0)</f>
        <v>0</v>
      </c>
      <c r="K2079" s="444">
        <f t="shared" ca="1" si="141"/>
        <v>-594386.44544384396</v>
      </c>
      <c r="L2079" s="444">
        <f t="shared" ca="1" si="142"/>
        <v>-143247133.35196638</v>
      </c>
      <c r="M2079" s="460">
        <f t="shared" si="144"/>
        <v>0.05</v>
      </c>
      <c r="N2079" s="464">
        <f t="shared" si="145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43"/>
        <v>-143247133.35196638</v>
      </c>
      <c r="J2080" s="444">
        <f t="array" ref="J2080">IFERROR(INDEX('Retirement Calculator'!J:J,MATCH('Isaac 401k'!N2080,'Retirement Calculator'!A:A,0),0),0)</f>
        <v>0</v>
      </c>
      <c r="K2080" s="444">
        <f t="shared" ca="1" si="141"/>
        <v>-596863.05563319323</v>
      </c>
      <c r="L2080" s="444">
        <f t="shared" ca="1" si="142"/>
        <v>-143843996.40759957</v>
      </c>
      <c r="M2080" s="460">
        <f t="shared" si="144"/>
        <v>0.05</v>
      </c>
      <c r="N2080" s="464">
        <f t="shared" si="145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43"/>
        <v>-143843996.40759957</v>
      </c>
      <c r="J2081" s="444">
        <f t="array" ref="J2081">IFERROR(INDEX('Retirement Calculator'!J:J,MATCH('Isaac 401k'!N2081,'Retirement Calculator'!A:A,0),0),0)</f>
        <v>0</v>
      </c>
      <c r="K2081" s="444">
        <f t="shared" ca="1" si="141"/>
        <v>-599349.98503166484</v>
      </c>
      <c r="L2081" s="444">
        <f t="shared" ca="1" si="142"/>
        <v>-144443346.39263123</v>
      </c>
      <c r="M2081" s="460">
        <f t="shared" si="144"/>
        <v>0.05</v>
      </c>
      <c r="N2081" s="464">
        <f t="shared" si="145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43"/>
        <v>-144443346.39263123</v>
      </c>
      <c r="J2082" s="444">
        <f t="array" ref="J2082">IFERROR(INDEX('Retirement Calculator'!J:J,MATCH('Isaac 401k'!N2082,'Retirement Calculator'!A:A,0),0),0)</f>
        <v>0</v>
      </c>
      <c r="K2082" s="444">
        <f t="shared" ca="1" si="141"/>
        <v>-601847.27663596347</v>
      </c>
      <c r="L2082" s="444">
        <f t="shared" ca="1" si="142"/>
        <v>-145045193.66926721</v>
      </c>
      <c r="M2082" s="460">
        <f t="shared" si="144"/>
        <v>0.05</v>
      </c>
      <c r="N2082" s="464">
        <f t="shared" si="145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43"/>
        <v>-145045193.66926721</v>
      </c>
      <c r="J2083" s="444">
        <f t="array" ref="J2083">IFERROR(INDEX('Retirement Calculator'!J:J,MATCH('Isaac 401k'!N2083,'Retirement Calculator'!A:A,0),0),0)</f>
        <v>0</v>
      </c>
      <c r="K2083" s="444">
        <f t="shared" ca="1" si="141"/>
        <v>-604354.97362194664</v>
      </c>
      <c r="L2083" s="444">
        <f t="shared" ca="1" si="142"/>
        <v>-145649548.64288914</v>
      </c>
      <c r="M2083" s="460">
        <f t="shared" si="144"/>
        <v>0.05</v>
      </c>
      <c r="N2083" s="464">
        <f t="shared" si="145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43"/>
        <v>-145649548.64288914</v>
      </c>
      <c r="J2084" s="444">
        <f t="array" ref="J2084">IFERROR(INDEX('Retirement Calculator'!J:J,MATCH('Isaac 401k'!N2084,'Retirement Calculator'!A:A,0),0),0)</f>
        <v>0</v>
      </c>
      <c r="K2084" s="444">
        <f t="shared" ca="1" si="141"/>
        <v>-606873.11934537138</v>
      </c>
      <c r="L2084" s="444">
        <f t="shared" ca="1" si="142"/>
        <v>-146256421.76223451</v>
      </c>
      <c r="M2084" s="460">
        <f t="shared" si="144"/>
        <v>0.05</v>
      </c>
      <c r="N2084" s="464">
        <f t="shared" si="145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43"/>
        <v>-146256421.76223451</v>
      </c>
      <c r="J2085" s="444">
        <f t="array" ref="J2085">IFERROR(INDEX('Retirement Calculator'!J:J,MATCH('Isaac 401k'!N2085,'Retirement Calculator'!A:A,0),0),0)</f>
        <v>0</v>
      </c>
      <c r="K2085" s="444">
        <f t="shared" ca="1" si="141"/>
        <v>-609401.7573426438</v>
      </c>
      <c r="L2085" s="444">
        <f t="shared" ca="1" si="142"/>
        <v>-146865823.51957715</v>
      </c>
      <c r="M2085" s="460">
        <f t="shared" si="144"/>
        <v>0.05</v>
      </c>
      <c r="N2085" s="464">
        <f t="shared" si="145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43"/>
        <v>-146865823.51957715</v>
      </c>
      <c r="J2086" s="444">
        <f t="array" ref="J2086">IFERROR(INDEX('Retirement Calculator'!J:J,MATCH('Isaac 401k'!N2086,'Retirement Calculator'!A:A,0),0),0)</f>
        <v>0</v>
      </c>
      <c r="K2086" s="444">
        <f t="shared" ca="1" si="141"/>
        <v>-611940.93133157142</v>
      </c>
      <c r="L2086" s="444">
        <f t="shared" ca="1" si="142"/>
        <v>-147477764.45090872</v>
      </c>
      <c r="M2086" s="460">
        <f t="shared" si="144"/>
        <v>0.05</v>
      </c>
      <c r="N2086" s="464">
        <f t="shared" si="145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43"/>
        <v>-147477764.45090872</v>
      </c>
      <c r="J2087" s="444">
        <f t="array" ref="J2087">IFERROR(INDEX('Retirement Calculator'!J:J,MATCH('Isaac 401k'!N2087,'Retirement Calculator'!A:A,0),0),0)</f>
        <v>0</v>
      </c>
      <c r="K2087" s="444">
        <f t="shared" ca="1" si="141"/>
        <v>-614490.68521211972</v>
      </c>
      <c r="L2087" s="444">
        <f t="shared" ca="1" si="142"/>
        <v>-148092255.13612083</v>
      </c>
      <c r="M2087" s="460">
        <f t="shared" si="144"/>
        <v>0.05</v>
      </c>
      <c r="N2087" s="464">
        <f t="shared" si="145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43"/>
        <v>-148092255.13612083</v>
      </c>
      <c r="J2088" s="444">
        <f t="array" ref="J2088">IFERROR(INDEX('Retirement Calculator'!J:J,MATCH('Isaac 401k'!N2088,'Retirement Calculator'!A:A,0),0),0)</f>
        <v>0</v>
      </c>
      <c r="K2088" s="444">
        <f t="shared" ca="1" si="141"/>
        <v>-617051.06306717009</v>
      </c>
      <c r="L2088" s="444">
        <f t="shared" ca="1" si="142"/>
        <v>-148709306.19918799</v>
      </c>
      <c r="M2088" s="460">
        <f t="shared" si="144"/>
        <v>0.05</v>
      </c>
      <c r="N2088" s="464">
        <f t="shared" si="145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43"/>
        <v>-148709306.19918799</v>
      </c>
      <c r="J2089" s="444">
        <f t="array" ref="J2089">IFERROR(INDEX('Retirement Calculator'!J:J,MATCH('Isaac 401k'!N2089,'Retirement Calculator'!A:A,0),0),0)</f>
        <v>0</v>
      </c>
      <c r="K2089" s="444">
        <f t="shared" ca="1" si="141"/>
        <v>-619622.10916328325</v>
      </c>
      <c r="L2089" s="444">
        <f t="shared" ca="1" si="142"/>
        <v>-149328928.30835128</v>
      </c>
      <c r="M2089" s="460">
        <f t="shared" si="144"/>
        <v>0.05</v>
      </c>
      <c r="N2089" s="464">
        <f t="shared" si="145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43"/>
        <v>-149328928.30835128</v>
      </c>
      <c r="J2090" s="444">
        <f t="array" ref="J2090">IFERROR(INDEX('Retirement Calculator'!J:J,MATCH('Isaac 401k'!N2090,'Retirement Calculator'!A:A,0),0),0)</f>
        <v>0</v>
      </c>
      <c r="K2090" s="444">
        <f t="shared" ca="1" si="141"/>
        <v>-622203.86795146368</v>
      </c>
      <c r="L2090" s="444">
        <f t="shared" ca="1" si="142"/>
        <v>-149951132.17630273</v>
      </c>
      <c r="M2090" s="460">
        <f t="shared" si="144"/>
        <v>0.05</v>
      </c>
      <c r="N2090" s="464">
        <f t="shared" si="145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43"/>
        <v>-149951132.17630273</v>
      </c>
      <c r="J2091" s="444">
        <f t="array" ref="J2091">IFERROR(INDEX('Retirement Calculator'!J:J,MATCH('Isaac 401k'!N2091,'Retirement Calculator'!A:A,0),0),0)</f>
        <v>0</v>
      </c>
      <c r="K2091" s="444">
        <f t="shared" ca="1" si="141"/>
        <v>-624796.38406792807</v>
      </c>
      <c r="L2091" s="444">
        <f t="shared" ca="1" si="142"/>
        <v>-150575928.56037065</v>
      </c>
      <c r="M2091" s="460">
        <f t="shared" si="144"/>
        <v>0.05</v>
      </c>
      <c r="N2091" s="464">
        <f t="shared" si="145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43"/>
        <v>-150575928.56037065</v>
      </c>
      <c r="J2092" s="444">
        <f t="array" ref="J2092">IFERROR(INDEX('Retirement Calculator'!J:J,MATCH('Isaac 401k'!N2092,'Retirement Calculator'!A:A,0),0),0)</f>
        <v>0</v>
      </c>
      <c r="K2092" s="444">
        <f t="shared" ca="1" si="141"/>
        <v>-627399.70233487769</v>
      </c>
      <c r="L2092" s="444">
        <f t="shared" ca="1" si="142"/>
        <v>-151203328.26270553</v>
      </c>
      <c r="M2092" s="460">
        <f t="shared" si="144"/>
        <v>0.05</v>
      </c>
      <c r="N2092" s="464">
        <f t="shared" si="145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43"/>
        <v>-151203328.26270553</v>
      </c>
      <c r="J2093" s="444">
        <f t="array" ref="J2093">IFERROR(INDEX('Retirement Calculator'!J:J,MATCH('Isaac 401k'!N2093,'Retirement Calculator'!A:A,0),0),0)</f>
        <v>0</v>
      </c>
      <c r="K2093" s="444">
        <f t="shared" ca="1" si="141"/>
        <v>-630013.86776127305</v>
      </c>
      <c r="L2093" s="444">
        <f t="shared" ca="1" si="142"/>
        <v>-151833342.13046682</v>
      </c>
      <c r="M2093" s="460">
        <f t="shared" si="144"/>
        <v>0.05</v>
      </c>
      <c r="N2093" s="464">
        <f t="shared" si="145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43"/>
        <v>-151833342.13046682</v>
      </c>
      <c r="J2094" s="444">
        <f t="array" ref="J2094">IFERROR(INDEX('Retirement Calculator'!J:J,MATCH('Isaac 401k'!N2094,'Retirement Calculator'!A:A,0),0),0)</f>
        <v>0</v>
      </c>
      <c r="K2094" s="444">
        <f t="shared" ca="1" si="141"/>
        <v>-632638.92554361175</v>
      </c>
      <c r="L2094" s="444">
        <f t="shared" ca="1" si="142"/>
        <v>-152465981.05601043</v>
      </c>
      <c r="M2094" s="460">
        <f t="shared" si="144"/>
        <v>0.05</v>
      </c>
      <c r="N2094" s="464">
        <f t="shared" si="145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43"/>
        <v>-152465981.05601043</v>
      </c>
      <c r="J2095" s="444">
        <f t="array" ref="J2095">IFERROR(INDEX('Retirement Calculator'!J:J,MATCH('Isaac 401k'!N2095,'Retirement Calculator'!A:A,0),0),0)</f>
        <v>0</v>
      </c>
      <c r="K2095" s="444">
        <f t="shared" ca="1" si="141"/>
        <v>-635274.92106671014</v>
      </c>
      <c r="L2095" s="444">
        <f t="shared" ca="1" si="142"/>
        <v>-153101255.97707713</v>
      </c>
      <c r="M2095" s="460">
        <f t="shared" si="144"/>
        <v>0.05</v>
      </c>
      <c r="N2095" s="464">
        <f t="shared" si="145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43"/>
        <v>-153101255.97707713</v>
      </c>
      <c r="J2096" s="444">
        <f t="array" ref="J2096">IFERROR(INDEX('Retirement Calculator'!J:J,MATCH('Isaac 401k'!N2096,'Retirement Calculator'!A:A,0),0),0)</f>
        <v>0</v>
      </c>
      <c r="K2096" s="444">
        <f t="shared" ca="1" si="141"/>
        <v>-637921.899904488</v>
      </c>
      <c r="L2096" s="444">
        <f t="shared" ca="1" si="142"/>
        <v>-153739177.87698162</v>
      </c>
      <c r="M2096" s="460">
        <f t="shared" si="144"/>
        <v>0.05</v>
      </c>
      <c r="N2096" s="464">
        <f t="shared" si="145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43"/>
        <v>-153739177.87698162</v>
      </c>
      <c r="J2097" s="444">
        <f t="array" ref="J2097">IFERROR(INDEX('Retirement Calculator'!J:J,MATCH('Isaac 401k'!N2097,'Retirement Calculator'!A:A,0),0),0)</f>
        <v>0</v>
      </c>
      <c r="K2097" s="444">
        <f t="shared" ca="1" si="141"/>
        <v>-640579.90782075678</v>
      </c>
      <c r="L2097" s="444">
        <f t="shared" ca="1" si="142"/>
        <v>-154379757.78480238</v>
      </c>
      <c r="M2097" s="460">
        <f t="shared" si="144"/>
        <v>0.05</v>
      </c>
      <c r="N2097" s="464">
        <f t="shared" si="145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43"/>
        <v>-154379757.78480238</v>
      </c>
      <c r="J2098" s="444">
        <f t="array" ref="J2098">IFERROR(INDEX('Retirement Calculator'!J:J,MATCH('Isaac 401k'!N2098,'Retirement Calculator'!A:A,0),0),0)</f>
        <v>0</v>
      </c>
      <c r="K2098" s="444">
        <f t="shared" ca="1" si="141"/>
        <v>-643248.99077000993</v>
      </c>
      <c r="L2098" s="444">
        <f t="shared" ca="1" si="142"/>
        <v>-155023006.77557239</v>
      </c>
      <c r="M2098" s="460">
        <f t="shared" si="144"/>
        <v>0.05</v>
      </c>
      <c r="N2098" s="464">
        <f t="shared" si="145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43"/>
        <v>-155023006.77557239</v>
      </c>
      <c r="J2099" s="444">
        <f t="array" ref="J2099">IFERROR(INDEX('Retirement Calculator'!J:J,MATCH('Isaac 401k'!N2099,'Retirement Calculator'!A:A,0),0),0)</f>
        <v>0</v>
      </c>
      <c r="K2099" s="444">
        <f t="shared" ca="1" si="141"/>
        <v>-645929.19489821827</v>
      </c>
      <c r="L2099" s="444">
        <f t="shared" ca="1" si="142"/>
        <v>-155668935.97047061</v>
      </c>
      <c r="M2099" s="460">
        <f t="shared" si="144"/>
        <v>0.05</v>
      </c>
      <c r="N2099" s="464">
        <f t="shared" si="145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43"/>
        <v>-155668935.97047061</v>
      </c>
      <c r="J2100" s="444">
        <f t="array" ref="J2100">IFERROR(INDEX('Retirement Calculator'!J:J,MATCH('Isaac 401k'!N2100,'Retirement Calculator'!A:A,0),0),0)</f>
        <v>0</v>
      </c>
      <c r="K2100" s="444">
        <f t="shared" ca="1" si="141"/>
        <v>-648620.56654362753</v>
      </c>
      <c r="L2100" s="444">
        <f t="shared" ca="1" si="142"/>
        <v>-156317556.53701425</v>
      </c>
      <c r="M2100" s="460">
        <f t="shared" si="144"/>
        <v>0.05</v>
      </c>
      <c r="N2100" s="464">
        <f t="shared" si="145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43"/>
        <v>-156317556.53701425</v>
      </c>
      <c r="J2101" s="444">
        <f t="array" ref="J2101">IFERROR(INDEX('Retirement Calculator'!J:J,MATCH('Isaac 401k'!N2101,'Retirement Calculator'!A:A,0),0),0)</f>
        <v>0</v>
      </c>
      <c r="K2101" s="444">
        <f t="shared" ca="1" si="141"/>
        <v>-651323.15223755932</v>
      </c>
      <c r="L2101" s="444">
        <f t="shared" ca="1" si="142"/>
        <v>-156968879.68925181</v>
      </c>
      <c r="M2101" s="460">
        <f t="shared" si="144"/>
        <v>0.05</v>
      </c>
      <c r="N2101" s="464">
        <f t="shared" si="145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43"/>
        <v>-156968879.68925181</v>
      </c>
      <c r="J2102" s="444">
        <f t="array" ref="J2102">IFERROR(INDEX('Retirement Calculator'!J:J,MATCH('Isaac 401k'!N2102,'Retirement Calculator'!A:A,0),0),0)</f>
        <v>0</v>
      </c>
      <c r="K2102" s="444">
        <f t="shared" ca="1" si="141"/>
        <v>-654036.99870521587</v>
      </c>
      <c r="L2102" s="444">
        <f t="shared" ca="1" si="142"/>
        <v>-157622916.68795702</v>
      </c>
      <c r="M2102" s="460">
        <f t="shared" si="144"/>
        <v>0.05</v>
      </c>
      <c r="N2102" s="464">
        <f t="shared" si="145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43"/>
        <v>-157622916.68795702</v>
      </c>
      <c r="J2103" s="444">
        <f t="array" ref="J2103">IFERROR(INDEX('Retirement Calculator'!J:J,MATCH('Isaac 401k'!N2103,'Retirement Calculator'!A:A,0),0),0)</f>
        <v>0</v>
      </c>
      <c r="K2103" s="444">
        <f t="shared" ca="1" si="141"/>
        <v>-656762.15286648762</v>
      </c>
      <c r="L2103" s="444">
        <f t="shared" ca="1" si="142"/>
        <v>-158279678.8408235</v>
      </c>
      <c r="M2103" s="460">
        <f t="shared" si="144"/>
        <v>0.05</v>
      </c>
      <c r="N2103" s="464">
        <f t="shared" si="145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43"/>
        <v>-158279678.8408235</v>
      </c>
      <c r="J2104" s="444">
        <f t="array" ref="J2104">IFERROR(INDEX('Retirement Calculator'!J:J,MATCH('Isaac 401k'!N2104,'Retirement Calculator'!A:A,0),0),0)</f>
        <v>0</v>
      </c>
      <c r="K2104" s="444">
        <f t="shared" ca="1" si="141"/>
        <v>-659498.66183676454</v>
      </c>
      <c r="L2104" s="444">
        <f t="shared" ca="1" si="142"/>
        <v>-158939177.50266027</v>
      </c>
      <c r="M2104" s="460">
        <f t="shared" si="144"/>
        <v>0.05</v>
      </c>
      <c r="N2104" s="464">
        <f t="shared" si="145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43"/>
        <v>-158939177.50266027</v>
      </c>
      <c r="J2105" s="444">
        <f t="array" ref="J2105">IFERROR(INDEX('Retirement Calculator'!J:J,MATCH('Isaac 401k'!N2105,'Retirement Calculator'!A:A,0),0),0)</f>
        <v>0</v>
      </c>
      <c r="K2105" s="444">
        <f t="shared" ca="1" si="141"/>
        <v>-662246.57292775111</v>
      </c>
      <c r="L2105" s="444">
        <f t="shared" ca="1" si="142"/>
        <v>-159601424.07558802</v>
      </c>
      <c r="M2105" s="460">
        <f t="shared" si="144"/>
        <v>0.05</v>
      </c>
      <c r="N2105" s="464">
        <f t="shared" si="145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43"/>
        <v>-159601424.07558802</v>
      </c>
      <c r="J2106" s="444">
        <f t="array" ref="J2106">IFERROR(INDEX('Retirement Calculator'!J:J,MATCH('Isaac 401k'!N2106,'Retirement Calculator'!A:A,0),0),0)</f>
        <v>0</v>
      </c>
      <c r="K2106" s="444">
        <f t="shared" ca="1" si="141"/>
        <v>-665005.93364828336</v>
      </c>
      <c r="L2106" s="444">
        <f t="shared" ca="1" si="142"/>
        <v>-160266430.00923631</v>
      </c>
      <c r="M2106" s="460">
        <f t="shared" si="144"/>
        <v>0.05</v>
      </c>
      <c r="N2106" s="464">
        <f t="shared" si="145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43"/>
        <v>-160266430.00923631</v>
      </c>
      <c r="J2107" s="444">
        <f t="array" ref="J2107">IFERROR(INDEX('Retirement Calculator'!J:J,MATCH('Isaac 401k'!N2107,'Retirement Calculator'!A:A,0),0),0)</f>
        <v>0</v>
      </c>
      <c r="K2107" s="444">
        <f t="shared" ca="1" si="141"/>
        <v>-667776.79170515132</v>
      </c>
      <c r="L2107" s="444">
        <f t="shared" ca="1" si="142"/>
        <v>-160934206.80094147</v>
      </c>
      <c r="M2107" s="460">
        <f t="shared" si="144"/>
        <v>0.05</v>
      </c>
      <c r="N2107" s="464">
        <f t="shared" si="145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43"/>
        <v>-160934206.80094147</v>
      </c>
      <c r="J2108" s="444">
        <f t="array" ref="J2108">IFERROR(INDEX('Retirement Calculator'!J:J,MATCH('Isaac 401k'!N2108,'Retirement Calculator'!A:A,0),0),0)</f>
        <v>0</v>
      </c>
      <c r="K2108" s="444">
        <f t="shared" ca="1" si="141"/>
        <v>-670559.1950039228</v>
      </c>
      <c r="L2108" s="444">
        <f t="shared" ca="1" si="142"/>
        <v>-161604765.99594539</v>
      </c>
      <c r="M2108" s="460">
        <f t="shared" si="144"/>
        <v>0.05</v>
      </c>
      <c r="N2108" s="464">
        <f t="shared" si="145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43"/>
        <v>-161604765.99594539</v>
      </c>
      <c r="J2109" s="444">
        <f t="array" ref="J2109">IFERROR(INDEX('Retirement Calculator'!J:J,MATCH('Isaac 401k'!N2109,'Retirement Calculator'!A:A,0),0),0)</f>
        <v>0</v>
      </c>
      <c r="K2109" s="444">
        <f t="shared" ca="1" si="141"/>
        <v>-673353.19164977246</v>
      </c>
      <c r="L2109" s="444">
        <f t="shared" ca="1" si="142"/>
        <v>-162278119.18759516</v>
      </c>
      <c r="M2109" s="460">
        <f t="shared" si="144"/>
        <v>0.05</v>
      </c>
      <c r="N2109" s="464">
        <f t="shared" si="145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43"/>
        <v>-162278119.18759516</v>
      </c>
      <c r="J2110" s="444">
        <f t="array" ref="J2110">IFERROR(INDEX('Retirement Calculator'!J:J,MATCH('Isaac 401k'!N2110,'Retirement Calculator'!A:A,0),0),0)</f>
        <v>0</v>
      </c>
      <c r="K2110" s="444">
        <f t="shared" ca="1" si="141"/>
        <v>-676158.82994831319</v>
      </c>
      <c r="L2110" s="444">
        <f t="shared" ca="1" si="142"/>
        <v>-162954278.01754346</v>
      </c>
      <c r="M2110" s="460">
        <f t="shared" si="144"/>
        <v>0.05</v>
      </c>
      <c r="N2110" s="464">
        <f t="shared" si="145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43"/>
        <v>-162954278.01754346</v>
      </c>
      <c r="J2111" s="444">
        <f t="array" ref="J2111">IFERROR(INDEX('Retirement Calculator'!J:J,MATCH('Isaac 401k'!N2111,'Retirement Calculator'!A:A,0),0),0)</f>
        <v>0</v>
      </c>
      <c r="K2111" s="444">
        <f t="shared" ca="1" si="141"/>
        <v>-678976.15840643109</v>
      </c>
      <c r="L2111" s="444">
        <f t="shared" ca="1" si="142"/>
        <v>-163633254.1759499</v>
      </c>
      <c r="M2111" s="460">
        <f t="shared" si="144"/>
        <v>0.05</v>
      </c>
      <c r="N2111" s="464">
        <f t="shared" si="145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43"/>
        <v>-163633254.1759499</v>
      </c>
      <c r="J2112" s="444">
        <f t="array" ref="J2112">IFERROR(INDEX('Retirement Calculator'!J:J,MATCH('Isaac 401k'!N2112,'Retirement Calculator'!A:A,0),0),0)</f>
        <v>0</v>
      </c>
      <c r="K2112" s="444">
        <f t="shared" ca="1" si="141"/>
        <v>-681805.22573312453</v>
      </c>
      <c r="L2112" s="444">
        <f t="shared" ca="1" si="142"/>
        <v>-164315059.40168303</v>
      </c>
      <c r="M2112" s="460">
        <f t="shared" si="144"/>
        <v>0.05</v>
      </c>
      <c r="N2112" s="464">
        <f t="shared" si="145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43"/>
        <v>-164315059.40168303</v>
      </c>
      <c r="J2113" s="444">
        <f t="array" ref="J2113">IFERROR(INDEX('Retirement Calculator'!J:J,MATCH('Isaac 401k'!N2113,'Retirement Calculator'!A:A,0),0),0)</f>
        <v>0</v>
      </c>
      <c r="K2113" s="444">
        <f t="shared" ca="1" si="141"/>
        <v>-684646.08084034594</v>
      </c>
      <c r="L2113" s="444">
        <f t="shared" ca="1" si="142"/>
        <v>-164999705.48252338</v>
      </c>
      <c r="M2113" s="460">
        <f t="shared" si="144"/>
        <v>0.05</v>
      </c>
      <c r="N2113" s="464">
        <f t="shared" si="145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43"/>
        <v>-164999705.48252338</v>
      </c>
      <c r="J2114" s="444">
        <f t="array" ref="J2114">IFERROR(INDEX('Retirement Calculator'!J:J,MATCH('Isaac 401k'!N2114,'Retirement Calculator'!A:A,0),0),0)</f>
        <v>0</v>
      </c>
      <c r="K2114" s="444">
        <f t="shared" ca="1" si="141"/>
        <v>-687498.7728438474</v>
      </c>
      <c r="L2114" s="444">
        <f t="shared" ca="1" si="142"/>
        <v>-165687204.25536722</v>
      </c>
      <c r="M2114" s="460">
        <f t="shared" si="144"/>
        <v>0.05</v>
      </c>
      <c r="N2114" s="464">
        <f t="shared" si="145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43"/>
        <v>-165687204.25536722</v>
      </c>
      <c r="J2115" s="444">
        <f t="array" ref="J2115">IFERROR(INDEX('Retirement Calculator'!J:J,MATCH('Isaac 401k'!N2115,'Retirement Calculator'!A:A,0),0),0)</f>
        <v>0</v>
      </c>
      <c r="K2115" s="444">
        <f t="shared" ca="1" si="141"/>
        <v>-690363.35106403008</v>
      </c>
      <c r="L2115" s="444">
        <f t="shared" ca="1" si="142"/>
        <v>-166377567.60643125</v>
      </c>
      <c r="M2115" s="460">
        <f t="shared" si="144"/>
        <v>0.05</v>
      </c>
      <c r="N2115" s="464">
        <f t="shared" si="145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43"/>
        <v>-166377567.60643125</v>
      </c>
      <c r="J2116" s="444">
        <f t="array" ref="J2116">IFERROR(INDEX('Retirement Calculator'!J:J,MATCH('Isaac 401k'!N2116,'Retirement Calculator'!A:A,0),0),0)</f>
        <v>0</v>
      </c>
      <c r="K2116" s="444">
        <f t="shared" ca="1" si="141"/>
        <v>-693239.86502679682</v>
      </c>
      <c r="L2116" s="444">
        <f t="shared" ca="1" si="142"/>
        <v>-167070807.47145805</v>
      </c>
      <c r="M2116" s="460">
        <f t="shared" si="144"/>
        <v>0.05</v>
      </c>
      <c r="N2116" s="464">
        <f t="shared" si="145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43"/>
        <v>-167070807.47145805</v>
      </c>
      <c r="J2117" s="444">
        <f t="array" ref="J2117">IFERROR(INDEX('Retirement Calculator'!J:J,MATCH('Isaac 401k'!N2117,'Retirement Calculator'!A:A,0),0),0)</f>
        <v>0</v>
      </c>
      <c r="K2117" s="444">
        <f t="shared" ca="1" si="141"/>
        <v>-696128.36446440849</v>
      </c>
      <c r="L2117" s="444">
        <f t="shared" ca="1" si="142"/>
        <v>-167766935.83592245</v>
      </c>
      <c r="M2117" s="460">
        <f t="shared" si="144"/>
        <v>0.05</v>
      </c>
      <c r="N2117" s="464">
        <f t="shared" si="145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43"/>
        <v>-167766935.83592245</v>
      </c>
      <c r="J2118" s="444">
        <f t="array" ref="J2118">IFERROR(INDEX('Retirement Calculator'!J:J,MATCH('Isaac 401k'!N2118,'Retirement Calculator'!A:A,0),0),0)</f>
        <v>0</v>
      </c>
      <c r="K2118" s="444">
        <f t="shared" ca="1" si="141"/>
        <v>-699028.89931634348</v>
      </c>
      <c r="L2118" s="444">
        <f t="shared" ca="1" si="142"/>
        <v>-168465964.73523879</v>
      </c>
      <c r="M2118" s="460">
        <f t="shared" si="144"/>
        <v>0.05</v>
      </c>
      <c r="N2118" s="464">
        <f t="shared" si="145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43"/>
        <v>-168465964.73523879</v>
      </c>
      <c r="J2119" s="444">
        <f t="array" ref="J2119">IFERROR(INDEX('Retirement Calculator'!J:J,MATCH('Isaac 401k'!N2119,'Retirement Calculator'!A:A,0),0),0)</f>
        <v>0</v>
      </c>
      <c r="K2119" s="444">
        <f t="shared" ca="1" si="141"/>
        <v>-701941.51973016164</v>
      </c>
      <c r="L2119" s="444">
        <f t="shared" ca="1" si="142"/>
        <v>-169167906.25496894</v>
      </c>
      <c r="M2119" s="460">
        <f t="shared" si="144"/>
        <v>0.05</v>
      </c>
      <c r="N2119" s="464">
        <f t="shared" si="145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43"/>
        <v>-169167906.25496894</v>
      </c>
      <c r="J2120" s="444">
        <f t="array" ref="J2120">IFERROR(INDEX('Retirement Calculator'!J:J,MATCH('Isaac 401k'!N2120,'Retirement Calculator'!A:A,0),0),0)</f>
        <v>0</v>
      </c>
      <c r="K2120" s="444">
        <f t="shared" ca="1" si="141"/>
        <v>-704866.27606237063</v>
      </c>
      <c r="L2120" s="444">
        <f t="shared" ca="1" si="142"/>
        <v>-169872772.53103131</v>
      </c>
      <c r="M2120" s="460">
        <f t="shared" si="144"/>
        <v>0.05</v>
      </c>
      <c r="N2120" s="464">
        <f t="shared" si="145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43"/>
        <v>-169872772.53103131</v>
      </c>
      <c r="J2121" s="444">
        <f t="array" ref="J2121">IFERROR(INDEX('Retirement Calculator'!J:J,MATCH('Isaac 401k'!N2121,'Retirement Calculator'!A:A,0),0),0)</f>
        <v>0</v>
      </c>
      <c r="K2121" s="444">
        <f t="shared" ca="1" si="141"/>
        <v>-707803.21887929714</v>
      </c>
      <c r="L2121" s="444">
        <f t="shared" ca="1" si="142"/>
        <v>-170580575.74991059</v>
      </c>
      <c r="M2121" s="460">
        <f t="shared" si="144"/>
        <v>0.05</v>
      </c>
      <c r="N2121" s="464">
        <f t="shared" si="145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43"/>
        <v>-170580575.74991059</v>
      </c>
      <c r="J2122" s="444">
        <f t="array" ref="J2122">IFERROR(INDEX('Retirement Calculator'!J:J,MATCH('Isaac 401k'!N2122,'Retirement Calculator'!A:A,0),0),0)</f>
        <v>0</v>
      </c>
      <c r="K2122" s="444">
        <f t="shared" ca="1" si="141"/>
        <v>-710752.39895796077</v>
      </c>
      <c r="L2122" s="444">
        <f t="shared" ca="1" si="142"/>
        <v>-171291328.14886856</v>
      </c>
      <c r="M2122" s="460">
        <f t="shared" si="144"/>
        <v>0.05</v>
      </c>
      <c r="N2122" s="464">
        <f t="shared" si="145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43"/>
        <v>-171291328.14886856</v>
      </c>
      <c r="J2123" s="444">
        <f t="array" ref="J2123">IFERROR(INDEX('Retirement Calculator'!J:J,MATCH('Isaac 401k'!N2123,'Retirement Calculator'!A:A,0),0),0)</f>
        <v>0</v>
      </c>
      <c r="K2123" s="444">
        <f t="shared" ca="1" si="141"/>
        <v>-713713.86728695233</v>
      </c>
      <c r="L2123" s="444">
        <f t="shared" ca="1" si="142"/>
        <v>-172005042.01615551</v>
      </c>
      <c r="M2123" s="460">
        <f t="shared" si="144"/>
        <v>0.05</v>
      </c>
      <c r="N2123" s="464">
        <f t="shared" si="145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43"/>
        <v>-172005042.01615551</v>
      </c>
      <c r="J2124" s="444">
        <f t="array" ref="J2124">IFERROR(INDEX('Retirement Calculator'!J:J,MATCH('Isaac 401k'!N2124,'Retirement Calculator'!A:A,0),0),0)</f>
        <v>0</v>
      </c>
      <c r="K2124" s="444">
        <f t="shared" ca="1" si="141"/>
        <v>-716687.67506731465</v>
      </c>
      <c r="L2124" s="444">
        <f t="shared" ca="1" si="142"/>
        <v>-172721729.69122282</v>
      </c>
      <c r="M2124" s="460">
        <f t="shared" si="144"/>
        <v>0.05</v>
      </c>
      <c r="N2124" s="464">
        <f t="shared" si="145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43"/>
        <v>-172721729.69122282</v>
      </c>
      <c r="J2125" s="444">
        <f t="array" ref="J2125">IFERROR(INDEX('Retirement Calculator'!J:J,MATCH('Isaac 401k'!N2125,'Retirement Calculator'!A:A,0),0),0)</f>
        <v>0</v>
      </c>
      <c r="K2125" s="444">
        <f t="shared" ca="1" si="141"/>
        <v>-719673.87371342839</v>
      </c>
      <c r="L2125" s="444">
        <f t="shared" ca="1" si="142"/>
        <v>-173441403.56493625</v>
      </c>
      <c r="M2125" s="460">
        <f t="shared" si="144"/>
        <v>0.05</v>
      </c>
      <c r="N2125" s="464">
        <f t="shared" si="145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43"/>
        <v>-173441403.56493625</v>
      </c>
      <c r="J2126" s="444">
        <f t="array" ref="J2126">IFERROR(INDEX('Retirement Calculator'!J:J,MATCH('Isaac 401k'!N2126,'Retirement Calculator'!A:A,0),0),0)</f>
        <v>0</v>
      </c>
      <c r="K2126" s="444">
        <f t="shared" ca="1" si="141"/>
        <v>-722672.514853901</v>
      </c>
      <c r="L2126" s="444">
        <f t="shared" ca="1" si="142"/>
        <v>-174164076.07979015</v>
      </c>
      <c r="M2126" s="460">
        <f t="shared" si="144"/>
        <v>0.05</v>
      </c>
      <c r="N2126" s="464">
        <f t="shared" si="145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43"/>
        <v>-174164076.07979015</v>
      </c>
      <c r="J2127" s="444">
        <f t="array" ref="J2127">IFERROR(INDEX('Retirement Calculator'!J:J,MATCH('Isaac 401k'!N2127,'Retirement Calculator'!A:A,0),0),0)</f>
        <v>0</v>
      </c>
      <c r="K2127" s="444">
        <f t="shared" ca="1" si="141"/>
        <v>-725683.6503324589</v>
      </c>
      <c r="L2127" s="444">
        <f t="shared" ca="1" si="142"/>
        <v>-174889759.7301226</v>
      </c>
      <c r="M2127" s="460">
        <f t="shared" si="144"/>
        <v>0.05</v>
      </c>
      <c r="N2127" s="464">
        <f t="shared" si="145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43"/>
        <v>-174889759.7301226</v>
      </c>
      <c r="J2128" s="444">
        <f t="array" ref="J2128">IFERROR(INDEX('Retirement Calculator'!J:J,MATCH('Isaac 401k'!N2128,'Retirement Calculator'!A:A,0),0),0)</f>
        <v>0</v>
      </c>
      <c r="K2128" s="444">
        <f t="shared" ca="1" si="141"/>
        <v>-728707.33220884413</v>
      </c>
      <c r="L2128" s="444">
        <f t="shared" ca="1" si="142"/>
        <v>-175618467.06233144</v>
      </c>
      <c r="M2128" s="460">
        <f t="shared" si="144"/>
        <v>0.05</v>
      </c>
      <c r="N2128" s="464">
        <f t="shared" si="145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43"/>
        <v>-175618467.06233144</v>
      </c>
      <c r="J2129" s="444">
        <f t="array" ref="J2129">IFERROR(INDEX('Retirement Calculator'!J:J,MATCH('Isaac 401k'!N2129,'Retirement Calculator'!A:A,0),0),0)</f>
        <v>0</v>
      </c>
      <c r="K2129" s="444">
        <f t="shared" ca="1" si="141"/>
        <v>-731743.61275971436</v>
      </c>
      <c r="L2129" s="444">
        <f t="shared" ca="1" si="142"/>
        <v>-176350210.67509115</v>
      </c>
      <c r="M2129" s="460">
        <f t="shared" si="144"/>
        <v>0.05</v>
      </c>
      <c r="N2129" s="464">
        <f t="shared" si="145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43"/>
        <v>-176350210.67509115</v>
      </c>
      <c r="J2130" s="444">
        <f t="array" ref="J2130">IFERROR(INDEX('Retirement Calculator'!J:J,MATCH('Isaac 401k'!N2130,'Retirement Calculator'!A:A,0),0),0)</f>
        <v>0</v>
      </c>
      <c r="K2130" s="444">
        <f t="shared" ca="1" si="141"/>
        <v>-734792.54447954649</v>
      </c>
      <c r="L2130" s="444">
        <f t="shared" ca="1" si="142"/>
        <v>-177085003.2195707</v>
      </c>
      <c r="M2130" s="460">
        <f t="shared" si="144"/>
        <v>0.05</v>
      </c>
      <c r="N2130" s="464">
        <f t="shared" si="145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43"/>
        <v>-177085003.2195707</v>
      </c>
      <c r="J2131" s="444">
        <f t="array" ref="J2131">IFERROR(INDEX('Retirement Calculator'!J:J,MATCH('Isaac 401k'!N2131,'Retirement Calculator'!A:A,0),0),0)</f>
        <v>0</v>
      </c>
      <c r="K2131" s="444">
        <f t="shared" ca="1" si="141"/>
        <v>-737854.18008154456</v>
      </c>
      <c r="L2131" s="444">
        <f t="shared" ca="1" si="142"/>
        <v>-177822857.39965224</v>
      </c>
      <c r="M2131" s="460">
        <f t="shared" si="144"/>
        <v>0.05</v>
      </c>
      <c r="N2131" s="464">
        <f t="shared" si="145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43"/>
        <v>-177822857.39965224</v>
      </c>
      <c r="J2132" s="444">
        <f t="array" ref="J2132">IFERROR(INDEX('Retirement Calculator'!J:J,MATCH('Isaac 401k'!N2132,'Retirement Calculator'!A:A,0),0),0)</f>
        <v>0</v>
      </c>
      <c r="K2132" s="444">
        <f t="shared" ca="1" si="141"/>
        <v>-740928.57249855099</v>
      </c>
      <c r="L2132" s="444">
        <f t="shared" ca="1" si="142"/>
        <v>-178563785.9721508</v>
      </c>
      <c r="M2132" s="460">
        <f t="shared" si="144"/>
        <v>0.05</v>
      </c>
      <c r="N2132" s="464">
        <f t="shared" si="145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43"/>
        <v>-178563785.9721508</v>
      </c>
      <c r="J2133" s="444">
        <f t="array" ref="J2133">IFERROR(INDEX('Retirement Calculator'!J:J,MATCH('Isaac 401k'!N2133,'Retirement Calculator'!A:A,0),0),0)</f>
        <v>0</v>
      </c>
      <c r="K2133" s="444">
        <f t="shared" ca="1" si="141"/>
        <v>-744015.77488396165</v>
      </c>
      <c r="L2133" s="444">
        <f t="shared" ca="1" si="142"/>
        <v>-179307801.74703476</v>
      </c>
      <c r="M2133" s="460">
        <f t="shared" si="144"/>
        <v>0.05</v>
      </c>
      <c r="N2133" s="464">
        <f t="shared" si="145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43"/>
        <v>-179307801.74703476</v>
      </c>
      <c r="J2134" s="444">
        <f t="array" ref="J2134">IFERROR(INDEX('Retirement Calculator'!J:J,MATCH('Isaac 401k'!N2134,'Retirement Calculator'!A:A,0),0),0)</f>
        <v>0</v>
      </c>
      <c r="K2134" s="444">
        <f t="shared" ca="1" si="141"/>
        <v>-747115.8406126448</v>
      </c>
      <c r="L2134" s="444">
        <f t="shared" ca="1" si="142"/>
        <v>-180054917.58764741</v>
      </c>
      <c r="M2134" s="460">
        <f t="shared" si="144"/>
        <v>0.05</v>
      </c>
      <c r="N2134" s="464">
        <f t="shared" si="145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43"/>
        <v>-180054917.58764741</v>
      </c>
      <c r="J2135" s="444">
        <f t="array" ref="J2135">IFERROR(INDEX('Retirement Calculator'!J:J,MATCH('Isaac 401k'!N2135,'Retirement Calculator'!A:A,0),0),0)</f>
        <v>0</v>
      </c>
      <c r="K2135" s="444">
        <f t="shared" ca="1" si="141"/>
        <v>-750228.82328186417</v>
      </c>
      <c r="L2135" s="444">
        <f t="shared" ca="1" si="142"/>
        <v>-180805146.41092926</v>
      </c>
      <c r="M2135" s="460">
        <f t="shared" si="144"/>
        <v>0.05</v>
      </c>
      <c r="N2135" s="464">
        <f t="shared" si="145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43"/>
        <v>-180805146.41092926</v>
      </c>
      <c r="J2136" s="444">
        <f t="array" ref="J2136">IFERROR(INDEX('Retirement Calculator'!J:J,MATCH('Isaac 401k'!N2136,'Retirement Calculator'!A:A,0),0),0)</f>
        <v>0</v>
      </c>
      <c r="K2136" s="444">
        <f t="shared" ca="1" si="141"/>
        <v>-753354.77671220526</v>
      </c>
      <c r="L2136" s="444">
        <f t="shared" ca="1" si="142"/>
        <v>-181558501.18764147</v>
      </c>
      <c r="M2136" s="460">
        <f t="shared" si="144"/>
        <v>0.05</v>
      </c>
      <c r="N2136" s="464">
        <f t="shared" si="145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43"/>
        <v>-181558501.18764147</v>
      </c>
      <c r="J2137" s="444">
        <f t="array" ref="J2137">IFERROR(INDEX('Retirement Calculator'!J:J,MATCH('Isaac 401k'!N2137,'Retirement Calculator'!A:A,0),0),0)</f>
        <v>0</v>
      </c>
      <c r="K2137" s="444">
        <f t="shared" ca="1" si="141"/>
        <v>-756493.75494850613</v>
      </c>
      <c r="L2137" s="444">
        <f t="shared" ca="1" si="142"/>
        <v>-182314994.94258997</v>
      </c>
      <c r="M2137" s="460">
        <f t="shared" si="144"/>
        <v>0.05</v>
      </c>
      <c r="N2137" s="464">
        <f t="shared" si="145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43"/>
        <v>-182314994.94258997</v>
      </c>
      <c r="J2138" s="444">
        <f t="array" ref="J2138">IFERROR(INDEX('Retirement Calculator'!J:J,MATCH('Isaac 401k'!N2138,'Retirement Calculator'!A:A,0),0),0)</f>
        <v>0</v>
      </c>
      <c r="K2138" s="444">
        <f t="shared" ca="1" si="141"/>
        <v>-759645.81226079154</v>
      </c>
      <c r="L2138" s="444">
        <f t="shared" ca="1" si="142"/>
        <v>-183074640.75485075</v>
      </c>
      <c r="M2138" s="460">
        <f t="shared" si="144"/>
        <v>0.05</v>
      </c>
      <c r="N2138" s="464">
        <f t="shared" si="145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43"/>
        <v>-183074640.75485075</v>
      </c>
      <c r="J2139" s="444">
        <f t="array" ref="J2139">IFERROR(INDEX('Retirement Calculator'!J:J,MATCH('Isaac 401k'!N2139,'Retirement Calculator'!A:A,0),0),0)</f>
        <v>0</v>
      </c>
      <c r="K2139" s="444">
        <f t="shared" ca="1" si="141"/>
        <v>-762811.00314521138</v>
      </c>
      <c r="L2139" s="444">
        <f t="shared" ca="1" si="142"/>
        <v>-183837451.75799596</v>
      </c>
      <c r="M2139" s="460">
        <f t="shared" si="144"/>
        <v>0.05</v>
      </c>
      <c r="N2139" s="464">
        <f t="shared" si="145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43"/>
        <v>-183837451.75799596</v>
      </c>
      <c r="J2140" s="444">
        <f t="array" ref="J2140">IFERROR(INDEX('Retirement Calculator'!J:J,MATCH('Isaac 401k'!N2140,'Retirement Calculator'!A:A,0),0),0)</f>
        <v>0</v>
      </c>
      <c r="K2140" s="444">
        <f t="shared" ca="1" si="141"/>
        <v>-765989.38232498313</v>
      </c>
      <c r="L2140" s="444">
        <f t="shared" ca="1" si="142"/>
        <v>-184603441.14032096</v>
      </c>
      <c r="M2140" s="460">
        <f t="shared" si="144"/>
        <v>0.05</v>
      </c>
      <c r="N2140" s="464">
        <f t="shared" si="145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43"/>
        <v>-184603441.14032096</v>
      </c>
      <c r="J2141" s="444">
        <f t="array" ref="J2141">IFERROR(INDEX('Retirement Calculator'!J:J,MATCH('Isaac 401k'!N2141,'Retirement Calculator'!A:A,0),0),0)</f>
        <v>0</v>
      </c>
      <c r="K2141" s="444">
        <f t="shared" ca="1" si="141"/>
        <v>-769181.00475133734</v>
      </c>
      <c r="L2141" s="444">
        <f t="shared" ca="1" si="142"/>
        <v>-185372622.14507228</v>
      </c>
      <c r="M2141" s="460">
        <f t="shared" si="144"/>
        <v>0.05</v>
      </c>
      <c r="N2141" s="464">
        <f t="shared" si="145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43"/>
        <v>-185372622.14507228</v>
      </c>
      <c r="J2142" s="444">
        <f t="array" ref="J2142">IFERROR(INDEX('Retirement Calculator'!J:J,MATCH('Isaac 401k'!N2142,'Retirement Calculator'!A:A,0),0),0)</f>
        <v>0</v>
      </c>
      <c r="K2142" s="444">
        <f t="shared" ca="1" si="141"/>
        <v>-772385.92560446786</v>
      </c>
      <c r="L2142" s="444">
        <f t="shared" ca="1" si="142"/>
        <v>-186145008.07067674</v>
      </c>
      <c r="M2142" s="460">
        <f t="shared" si="144"/>
        <v>0.05</v>
      </c>
      <c r="N2142" s="464">
        <f t="shared" si="145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43"/>
        <v>-186145008.07067674</v>
      </c>
      <c r="J2143" s="444">
        <f t="array" ref="J2143">IFERROR(INDEX('Retirement Calculator'!J:J,MATCH('Isaac 401k'!N2143,'Retirement Calculator'!A:A,0),0),0)</f>
        <v>0</v>
      </c>
      <c r="K2143" s="444">
        <f t="shared" ca="1" si="141"/>
        <v>-775604.20029448648</v>
      </c>
      <c r="L2143" s="444">
        <f t="shared" ca="1" si="142"/>
        <v>-186920612.27097124</v>
      </c>
      <c r="M2143" s="460">
        <f t="shared" si="144"/>
        <v>0.05</v>
      </c>
      <c r="N2143" s="464">
        <f t="shared" si="145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43"/>
        <v>-186920612.27097124</v>
      </c>
      <c r="J2144" s="444">
        <f t="array" ref="J2144">IFERROR(INDEX('Retirement Calculator'!J:J,MATCH('Isaac 401k'!N2144,'Retirement Calculator'!A:A,0),0),0)</f>
        <v>0</v>
      </c>
      <c r="K2144" s="444">
        <f t="shared" ca="1" si="141"/>
        <v>-778835.8844623802</v>
      </c>
      <c r="L2144" s="444">
        <f t="shared" ca="1" si="142"/>
        <v>-187699448.15543362</v>
      </c>
      <c r="M2144" s="460">
        <f t="shared" si="144"/>
        <v>0.05</v>
      </c>
      <c r="N2144" s="464">
        <f t="shared" si="145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43"/>
        <v>-187699448.15543362</v>
      </c>
      <c r="J2145" s="444">
        <f t="array" ref="J2145">IFERROR(INDEX('Retirement Calculator'!J:J,MATCH('Isaac 401k'!N2145,'Retirement Calculator'!A:A,0),0),0)</f>
        <v>0</v>
      </c>
      <c r="K2145" s="444">
        <f t="shared" ca="1" si="141"/>
        <v>-782081.03398097341</v>
      </c>
      <c r="L2145" s="444">
        <f t="shared" ca="1" si="142"/>
        <v>-188481529.18941459</v>
      </c>
      <c r="M2145" s="460">
        <f t="shared" si="144"/>
        <v>0.05</v>
      </c>
      <c r="N2145" s="464">
        <f t="shared" si="145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43"/>
        <v>-188481529.18941459</v>
      </c>
      <c r="J2146" s="444">
        <f t="array" ref="J2146">IFERROR(INDEX('Retirement Calculator'!J:J,MATCH('Isaac 401k'!N2146,'Retirement Calculator'!A:A,0),0),0)</f>
        <v>0</v>
      </c>
      <c r="K2146" s="444">
        <f t="shared" ca="1" si="141"/>
        <v>-785339.70495589415</v>
      </c>
      <c r="L2146" s="444">
        <f t="shared" ca="1" si="142"/>
        <v>-189266868.8943705</v>
      </c>
      <c r="M2146" s="460">
        <f t="shared" si="144"/>
        <v>0.05</v>
      </c>
      <c r="N2146" s="464">
        <f t="shared" si="145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43"/>
        <v>-189266868.8943705</v>
      </c>
      <c r="J2147" s="444">
        <f t="array" ref="J2147">IFERROR(INDEX('Retirement Calculator'!J:J,MATCH('Isaac 401k'!N2147,'Retirement Calculator'!A:A,0),0),0)</f>
        <v>0</v>
      </c>
      <c r="K2147" s="444">
        <f t="shared" ca="1" si="141"/>
        <v>-788611.9537265437</v>
      </c>
      <c r="L2147" s="444">
        <f t="shared" ca="1" si="142"/>
        <v>-190055480.84809703</v>
      </c>
      <c r="M2147" s="460">
        <f t="shared" si="144"/>
        <v>0.05</v>
      </c>
      <c r="N2147" s="464">
        <f t="shared" si="145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43"/>
        <v>-190055480.84809703</v>
      </c>
      <c r="J2148" s="444">
        <f t="array" ref="J2148">IFERROR(INDEX('Retirement Calculator'!J:J,MATCH('Isaac 401k'!N2148,'Retirement Calculator'!A:A,0),0),0)</f>
        <v>0</v>
      </c>
      <c r="K2148" s="444">
        <f t="shared" ca="1" si="141"/>
        <v>-791897.83686707099</v>
      </c>
      <c r="L2148" s="444">
        <f t="shared" ca="1" si="142"/>
        <v>-190847378.68496409</v>
      </c>
      <c r="M2148" s="460">
        <f t="shared" si="144"/>
        <v>0.05</v>
      </c>
      <c r="N2148" s="464">
        <f t="shared" si="145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43"/>
        <v>-190847378.68496409</v>
      </c>
      <c r="J2149" s="444">
        <f t="array" ref="J2149">IFERROR(INDEX('Retirement Calculator'!J:J,MATCH('Isaac 401k'!N2149,'Retirement Calculator'!A:A,0),0),0)</f>
        <v>0</v>
      </c>
      <c r="K2149" s="444">
        <f t="shared" ca="1" si="141"/>
        <v>-795197.4111873504</v>
      </c>
      <c r="L2149" s="444">
        <f t="shared" ca="1" si="142"/>
        <v>-191642576.09615144</v>
      </c>
      <c r="M2149" s="460">
        <f t="shared" si="144"/>
        <v>0.05</v>
      </c>
      <c r="N2149" s="464">
        <f t="shared" si="145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43"/>
        <v>-191642576.09615144</v>
      </c>
      <c r="J2150" s="444">
        <f t="array" ref="J2150">IFERROR(INDEX('Retirement Calculator'!J:J,MATCH('Isaac 401k'!N2150,'Retirement Calculator'!A:A,0),0),0)</f>
        <v>0</v>
      </c>
      <c r="K2150" s="444">
        <f t="shared" ca="1" si="141"/>
        <v>-798510.73373396439</v>
      </c>
      <c r="L2150" s="444">
        <f t="shared" ca="1" si="142"/>
        <v>-192441086.82988539</v>
      </c>
      <c r="M2150" s="460">
        <f t="shared" si="144"/>
        <v>0.05</v>
      </c>
      <c r="N2150" s="464">
        <f t="shared" si="145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43"/>
        <v>-192441086.82988539</v>
      </c>
      <c r="J2151" s="444">
        <f t="array" ref="J2151">IFERROR(INDEX('Retirement Calculator'!J:J,MATCH('Isaac 401k'!N2151,'Retirement Calculator'!A:A,0),0),0)</f>
        <v>0</v>
      </c>
      <c r="K2151" s="444">
        <f t="shared" ca="1" si="141"/>
        <v>-801837.86179118918</v>
      </c>
      <c r="L2151" s="444">
        <f t="shared" ca="1" si="142"/>
        <v>-193242924.69167659</v>
      </c>
      <c r="M2151" s="460">
        <f t="shared" si="144"/>
        <v>0.05</v>
      </c>
      <c r="N2151" s="464">
        <f t="shared" si="145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43"/>
        <v>-193242924.69167659</v>
      </c>
      <c r="J2152" s="444">
        <f t="array" ref="J2152">IFERROR(INDEX('Retirement Calculator'!J:J,MATCH('Isaac 401k'!N2152,'Retirement Calculator'!A:A,0),0),0)</f>
        <v>0</v>
      </c>
      <c r="K2152" s="444">
        <f t="shared" ca="1" si="141"/>
        <v>-805178.85288198572</v>
      </c>
      <c r="L2152" s="444">
        <f t="shared" ca="1" si="142"/>
        <v>-194048103.54455858</v>
      </c>
      <c r="M2152" s="460">
        <f t="shared" si="144"/>
        <v>0.05</v>
      </c>
      <c r="N2152" s="464">
        <f t="shared" si="145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43"/>
        <v>-194048103.54455858</v>
      </c>
      <c r="J2153" s="444">
        <f t="array" ref="J2153">IFERROR(INDEX('Retirement Calculator'!J:J,MATCH('Isaac 401k'!N2153,'Retirement Calculator'!A:A,0),0),0)</f>
        <v>0</v>
      </c>
      <c r="K2153" s="444">
        <f t="shared" ca="1" si="141"/>
        <v>-808533.76476899406</v>
      </c>
      <c r="L2153" s="444">
        <f t="shared" ca="1" si="142"/>
        <v>-194856637.30932757</v>
      </c>
      <c r="M2153" s="460">
        <f t="shared" si="144"/>
        <v>0.05</v>
      </c>
      <c r="N2153" s="464">
        <f t="shared" si="145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43"/>
        <v>-194856637.30932757</v>
      </c>
      <c r="J2154" s="444">
        <f t="array" ref="J2154">IFERROR(INDEX('Retirement Calculator'!J:J,MATCH('Isaac 401k'!N2154,'Retirement Calculator'!A:A,0),0),0)</f>
        <v>0</v>
      </c>
      <c r="K2154" s="444">
        <f t="shared" ca="1" si="141"/>
        <v>-811902.65545553155</v>
      </c>
      <c r="L2154" s="444">
        <f t="shared" ca="1" si="142"/>
        <v>-195668539.9647831</v>
      </c>
      <c r="M2154" s="460">
        <f t="shared" si="144"/>
        <v>0.05</v>
      </c>
      <c r="N2154" s="464">
        <f t="shared" si="145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43"/>
        <v>-195668539.9647831</v>
      </c>
      <c r="J2155" s="444">
        <f t="array" ref="J2155">IFERROR(INDEX('Retirement Calculator'!J:J,MATCH('Isaac 401k'!N2155,'Retirement Calculator'!A:A,0),0),0)</f>
        <v>0</v>
      </c>
      <c r="K2155" s="444">
        <f t="shared" ca="1" si="141"/>
        <v>-815285.58318659628</v>
      </c>
      <c r="L2155" s="444">
        <f t="shared" ca="1" si="142"/>
        <v>-196483825.5479697</v>
      </c>
      <c r="M2155" s="460">
        <f t="shared" si="144"/>
        <v>0.05</v>
      </c>
      <c r="N2155" s="464">
        <f t="shared" si="145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43"/>
        <v>-196483825.5479697</v>
      </c>
      <c r="J2156" s="444">
        <f t="array" ref="J2156">IFERROR(INDEX('Retirement Calculator'!J:J,MATCH('Isaac 401k'!N2156,'Retirement Calculator'!A:A,0),0),0)</f>
        <v>0</v>
      </c>
      <c r="K2156" s="444">
        <f t="shared" ca="1" si="141"/>
        <v>-818682.60644987377</v>
      </c>
      <c r="L2156" s="444">
        <f t="shared" ca="1" si="142"/>
        <v>-197302508.15441957</v>
      </c>
      <c r="M2156" s="460">
        <f t="shared" si="144"/>
        <v>0.05</v>
      </c>
      <c r="N2156" s="464">
        <f t="shared" si="145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43"/>
        <v>-197302508.15441957</v>
      </c>
      <c r="J2157" s="444">
        <f t="array" ref="J2157">IFERROR(INDEX('Retirement Calculator'!J:J,MATCH('Isaac 401k'!N2157,'Retirement Calculator'!A:A,0),0),0)</f>
        <v>0</v>
      </c>
      <c r="K2157" s="444">
        <f t="shared" ca="1" si="141"/>
        <v>-822093.78397674824</v>
      </c>
      <c r="L2157" s="444">
        <f t="shared" ca="1" si="142"/>
        <v>-198124601.9383963</v>
      </c>
      <c r="M2157" s="460">
        <f t="shared" si="144"/>
        <v>0.05</v>
      </c>
      <c r="N2157" s="464">
        <f t="shared" si="145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43"/>
        <v>-198124601.9383963</v>
      </c>
      <c r="J2158" s="444">
        <f t="array" ref="J2158">IFERROR(INDEX('Retirement Calculator'!J:J,MATCH('Isaac 401k'!N2158,'Retirement Calculator'!A:A,0),0),0)</f>
        <v>0</v>
      </c>
      <c r="K2158" s="444">
        <f t="shared" ca="1" si="141"/>
        <v>-825519.17474331788</v>
      </c>
      <c r="L2158" s="444">
        <f t="shared" ca="1" si="142"/>
        <v>-198950121.11313963</v>
      </c>
      <c r="M2158" s="460">
        <f t="shared" si="144"/>
        <v>0.05</v>
      </c>
      <c r="N2158" s="464">
        <f t="shared" si="145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43"/>
        <v>-198950121.11313963</v>
      </c>
      <c r="J2159" s="444">
        <f t="array" ref="J2159">IFERROR(INDEX('Retirement Calculator'!J:J,MATCH('Isaac 401k'!N2159,'Retirement Calculator'!A:A,0),0),0)</f>
        <v>0</v>
      </c>
      <c r="K2159" s="444">
        <f t="shared" ca="1" si="141"/>
        <v>-828958.83797141514</v>
      </c>
      <c r="L2159" s="444">
        <f t="shared" ca="1" si="142"/>
        <v>-199779079.95111105</v>
      </c>
      <c r="M2159" s="460">
        <f t="shared" si="144"/>
        <v>0.05</v>
      </c>
      <c r="N2159" s="464">
        <f t="shared" si="145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43"/>
        <v>-199779079.95111105</v>
      </c>
      <c r="J2160" s="444">
        <f t="array" ref="J2160">IFERROR(INDEX('Retirement Calculator'!J:J,MATCH('Isaac 401k'!N2160,'Retirement Calculator'!A:A,0),0),0)</f>
        <v>0</v>
      </c>
      <c r="K2160" s="444">
        <f t="shared" ca="1" si="141"/>
        <v>-832412.83312962938</v>
      </c>
      <c r="L2160" s="444">
        <f t="shared" ca="1" si="142"/>
        <v>-200611492.78424066</v>
      </c>
      <c r="M2160" s="460">
        <f t="shared" si="144"/>
        <v>0.05</v>
      </c>
      <c r="N2160" s="464">
        <f t="shared" si="145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43"/>
        <v>-200611492.78424066</v>
      </c>
      <c r="J2161" s="444">
        <f t="array" ref="J2161">IFERROR(INDEX('Retirement Calculator'!J:J,MATCH('Isaac 401k'!N2161,'Retirement Calculator'!A:A,0),0),0)</f>
        <v>0</v>
      </c>
      <c r="K2161" s="444">
        <f t="shared" ca="1" si="141"/>
        <v>-835881.21993433614</v>
      </c>
      <c r="L2161" s="444">
        <f t="shared" ca="1" si="142"/>
        <v>-201447374.00417501</v>
      </c>
      <c r="M2161" s="460">
        <f t="shared" si="144"/>
        <v>0.05</v>
      </c>
      <c r="N2161" s="464">
        <f t="shared" si="145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43"/>
        <v>-201447374.00417501</v>
      </c>
      <c r="J2162" s="444">
        <f t="array" ref="J2162">IFERROR(INDEX('Retirement Calculator'!J:J,MATCH('Isaac 401k'!N2162,'Retirement Calculator'!A:A,0),0),0)</f>
        <v>0</v>
      </c>
      <c r="K2162" s="444">
        <f t="shared" ca="1" si="141"/>
        <v>-839364.05835072917</v>
      </c>
      <c r="L2162" s="444">
        <f t="shared" ca="1" si="142"/>
        <v>-202286738.06252575</v>
      </c>
      <c r="M2162" s="460">
        <f t="shared" si="144"/>
        <v>0.05</v>
      </c>
      <c r="N2162" s="464">
        <f t="shared" si="145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43"/>
        <v>-202286738.06252575</v>
      </c>
      <c r="J2163" s="444">
        <f t="array" ref="J2163">IFERROR(INDEX('Retirement Calculator'!J:J,MATCH('Isaac 401k'!N2163,'Retirement Calculator'!A:A,0),0),0)</f>
        <v>0</v>
      </c>
      <c r="K2163" s="444">
        <f t="shared" ca="1" si="141"/>
        <v>-842861.40859385731</v>
      </c>
      <c r="L2163" s="444">
        <f t="shared" ca="1" si="142"/>
        <v>-203129599.47111961</v>
      </c>
      <c r="M2163" s="460">
        <f t="shared" si="144"/>
        <v>0.05</v>
      </c>
      <c r="N2163" s="464">
        <f t="shared" si="145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43"/>
        <v>-203129599.47111961</v>
      </c>
      <c r="J2164" s="444">
        <f t="array" ref="J2164">IFERROR(INDEX('Retirement Calculator'!J:J,MATCH('Isaac 401k'!N2164,'Retirement Calculator'!A:A,0),0),0)</f>
        <v>0</v>
      </c>
      <c r="K2164" s="444">
        <f t="shared" ca="1" si="141"/>
        <v>-846373.33112966502</v>
      </c>
      <c r="L2164" s="444">
        <f t="shared" ca="1" si="142"/>
        <v>-203975972.80224928</v>
      </c>
      <c r="M2164" s="460">
        <f t="shared" si="144"/>
        <v>0.05</v>
      </c>
      <c r="N2164" s="464">
        <f t="shared" si="145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43"/>
        <v>-203975972.80224928</v>
      </c>
      <c r="J2165" s="444">
        <f t="array" ref="J2165">IFERROR(INDEX('Retirement Calculator'!J:J,MATCH('Isaac 401k'!N2165,'Retirement Calculator'!A:A,0),0),0)</f>
        <v>0</v>
      </c>
      <c r="K2165" s="444">
        <f t="shared" ca="1" si="141"/>
        <v>-849899.88667603862</v>
      </c>
      <c r="L2165" s="444">
        <f t="shared" ca="1" si="142"/>
        <v>-204825872.68892533</v>
      </c>
      <c r="M2165" s="460">
        <f t="shared" si="144"/>
        <v>0.05</v>
      </c>
      <c r="N2165" s="464">
        <f t="shared" si="145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43"/>
        <v>-204825872.68892533</v>
      </c>
      <c r="J2166" s="444">
        <f t="array" ref="J2166">IFERROR(INDEX('Retirement Calculator'!J:J,MATCH('Isaac 401k'!N2166,'Retirement Calculator'!A:A,0),0),0)</f>
        <v>0</v>
      </c>
      <c r="K2166" s="444">
        <f t="shared" ca="1" si="141"/>
        <v>-853441.13620385551</v>
      </c>
      <c r="L2166" s="444">
        <f t="shared" ca="1" si="142"/>
        <v>-205679313.82512918</v>
      </c>
      <c r="M2166" s="460">
        <f t="shared" si="144"/>
        <v>0.05</v>
      </c>
      <c r="N2166" s="464">
        <f t="shared" si="145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43"/>
        <v>-205679313.82512918</v>
      </c>
      <c r="J2167" s="444">
        <f t="array" ref="J2167">IFERROR(INDEX('Retirement Calculator'!J:J,MATCH('Isaac 401k'!N2167,'Retirement Calculator'!A:A,0),0),0)</f>
        <v>0</v>
      </c>
      <c r="K2167" s="444">
        <f t="shared" ca="1" si="141"/>
        <v>-856997.14093803824</v>
      </c>
      <c r="L2167" s="444">
        <f t="shared" ca="1" si="142"/>
        <v>-206536310.96606722</v>
      </c>
      <c r="M2167" s="460">
        <f t="shared" si="144"/>
        <v>0.05</v>
      </c>
      <c r="N2167" s="464">
        <f t="shared" si="145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43"/>
        <v>-206536310.96606722</v>
      </c>
      <c r="J2168" s="444">
        <f t="array" ref="J2168">IFERROR(INDEX('Retirement Calculator'!J:J,MATCH('Isaac 401k'!N2168,'Retirement Calculator'!A:A,0),0),0)</f>
        <v>0</v>
      </c>
      <c r="K2168" s="444">
        <f t="shared" ca="1" si="141"/>
        <v>-860567.96235861338</v>
      </c>
      <c r="L2168" s="444">
        <f t="shared" ca="1" si="142"/>
        <v>-207396878.92842585</v>
      </c>
      <c r="M2168" s="460">
        <f t="shared" si="144"/>
        <v>0.05</v>
      </c>
      <c r="N2168" s="464">
        <f t="shared" si="145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43"/>
        <v>-207396878.92842585</v>
      </c>
      <c r="J2169" s="444">
        <f t="array" ref="J2169">IFERROR(INDEX('Retirement Calculator'!J:J,MATCH('Isaac 401k'!N2169,'Retirement Calculator'!A:A,0),0),0)</f>
        <v>0</v>
      </c>
      <c r="K2169" s="444">
        <f t="shared" ca="1" si="141"/>
        <v>-864153.66220177431</v>
      </c>
      <c r="L2169" s="444">
        <f t="shared" ca="1" si="142"/>
        <v>-208261032.59062761</v>
      </c>
      <c r="M2169" s="460">
        <f t="shared" si="144"/>
        <v>0.05</v>
      </c>
      <c r="N2169" s="464">
        <f t="shared" si="145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43"/>
        <v>-208261032.59062761</v>
      </c>
      <c r="J2170" s="444">
        <f t="array" ref="J2170">IFERROR(INDEX('Retirement Calculator'!J:J,MATCH('Isaac 401k'!N2170,'Retirement Calculator'!A:A,0),0),0)</f>
        <v>0</v>
      </c>
      <c r="K2170" s="444">
        <f t="shared" ca="1" si="141"/>
        <v>-867754.30246094835</v>
      </c>
      <c r="L2170" s="444">
        <f t="shared" ca="1" si="142"/>
        <v>-209128786.89308855</v>
      </c>
      <c r="M2170" s="460">
        <f t="shared" si="144"/>
        <v>0.05</v>
      </c>
      <c r="N2170" s="464">
        <f t="shared" si="145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43"/>
        <v>-209128786.89308855</v>
      </c>
      <c r="J2171" s="444">
        <f t="array" ref="J2171">IFERROR(INDEX('Retirement Calculator'!J:J,MATCH('Isaac 401k'!N2171,'Retirement Calculator'!A:A,0),0),0)</f>
        <v>0</v>
      </c>
      <c r="K2171" s="444">
        <f t="shared" ca="1" si="141"/>
        <v>-871369.94538786891</v>
      </c>
      <c r="L2171" s="444">
        <f t="shared" ca="1" si="142"/>
        <v>-210000156.83847642</v>
      </c>
      <c r="M2171" s="460">
        <f t="shared" si="144"/>
        <v>0.05</v>
      </c>
      <c r="N2171" s="464">
        <f t="shared" si="145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43"/>
        <v>-210000156.83847642</v>
      </c>
      <c r="J2172" s="444">
        <f t="array" ref="J2172">IFERROR(INDEX('Retirement Calculator'!J:J,MATCH('Isaac 401k'!N2172,'Retirement Calculator'!A:A,0),0),0)</f>
        <v>0</v>
      </c>
      <c r="K2172" s="444">
        <f t="shared" ca="1" si="141"/>
        <v>-875000.65349365177</v>
      </c>
      <c r="L2172" s="444">
        <f t="shared" ca="1" si="142"/>
        <v>-210875157.49197006</v>
      </c>
      <c r="M2172" s="460">
        <f t="shared" si="144"/>
        <v>0.05</v>
      </c>
      <c r="N2172" s="464">
        <f t="shared" si="145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43"/>
        <v>-210875157.49197006</v>
      </c>
      <c r="J2173" s="444">
        <f t="array" ref="J2173">IFERROR(INDEX('Retirement Calculator'!J:J,MATCH('Isaac 401k'!N2173,'Retirement Calculator'!A:A,0),0),0)</f>
        <v>0</v>
      </c>
      <c r="K2173" s="444">
        <f t="shared" ca="1" si="141"/>
        <v>-878646.48954987514</v>
      </c>
      <c r="L2173" s="444">
        <f t="shared" ca="1" si="142"/>
        <v>-211753803.98151994</v>
      </c>
      <c r="M2173" s="460">
        <f t="shared" si="144"/>
        <v>0.05</v>
      </c>
      <c r="N2173" s="464">
        <f t="shared" si="145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43"/>
        <v>-211753803.98151994</v>
      </c>
      <c r="J2174" s="444">
        <f t="array" ref="J2174">IFERROR(INDEX('Retirement Calculator'!J:J,MATCH('Isaac 401k'!N2174,'Retirement Calculator'!A:A,0),0),0)</f>
        <v>0</v>
      </c>
      <c r="K2174" s="444">
        <f t="shared" ca="1" si="141"/>
        <v>-882307.51658966637</v>
      </c>
      <c r="L2174" s="444">
        <f t="shared" ca="1" si="142"/>
        <v>-212636111.49810961</v>
      </c>
      <c r="M2174" s="460">
        <f t="shared" si="144"/>
        <v>0.05</v>
      </c>
      <c r="N2174" s="464">
        <f t="shared" si="145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43"/>
        <v>-212636111.49810961</v>
      </c>
      <c r="J2175" s="444">
        <f t="array" ref="J2175">IFERROR(INDEX('Retirement Calculator'!J:J,MATCH('Isaac 401k'!N2175,'Retirement Calculator'!A:A,0),0),0)</f>
        <v>0</v>
      </c>
      <c r="K2175" s="444">
        <f t="shared" ca="1" si="141"/>
        <v>-885983.79790879018</v>
      </c>
      <c r="L2175" s="444">
        <f t="shared" ca="1" si="142"/>
        <v>-213522095.29601839</v>
      </c>
      <c r="M2175" s="460">
        <f t="shared" si="144"/>
        <v>0.05</v>
      </c>
      <c r="N2175" s="464">
        <f t="shared" si="145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43"/>
        <v>-213522095.29601839</v>
      </c>
      <c r="J2176" s="444">
        <f t="array" ref="J2176">IFERROR(INDEX('Retirement Calculator'!J:J,MATCH('Isaac 401k'!N2176,'Retirement Calculator'!A:A,0),0),0)</f>
        <v>0</v>
      </c>
      <c r="K2176" s="444">
        <f t="shared" ca="1" si="141"/>
        <v>-889675.39706674323</v>
      </c>
      <c r="L2176" s="444">
        <f t="shared" ca="1" si="142"/>
        <v>-214411770.69308513</v>
      </c>
      <c r="M2176" s="460">
        <f t="shared" si="144"/>
        <v>0.05</v>
      </c>
      <c r="N2176" s="464">
        <f t="shared" si="145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43"/>
        <v>-214411770.69308513</v>
      </c>
      <c r="J2177" s="444">
        <f t="array" ref="J2177">IFERROR(INDEX('Retirement Calculator'!J:J,MATCH('Isaac 401k'!N2177,'Retirement Calculator'!A:A,0),0),0)</f>
        <v>0</v>
      </c>
      <c r="K2177" s="444">
        <f t="shared" ca="1" si="141"/>
        <v>-893382.3778878547</v>
      </c>
      <c r="L2177" s="444">
        <f t="shared" ca="1" si="142"/>
        <v>-215305153.07097298</v>
      </c>
      <c r="M2177" s="460">
        <f t="shared" si="144"/>
        <v>0.05</v>
      </c>
      <c r="N2177" s="464">
        <f t="shared" si="145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43"/>
        <v>-215305153.07097298</v>
      </c>
      <c r="J2178" s="444">
        <f t="array" ref="J2178">IFERROR(INDEX('Retirement Calculator'!J:J,MATCH('Isaac 401k'!N2178,'Retirement Calculator'!A:A,0),0),0)</f>
        <v>0</v>
      </c>
      <c r="K2178" s="444">
        <f t="shared" ca="1" si="141"/>
        <v>-897104.80446238734</v>
      </c>
      <c r="L2178" s="444">
        <f t="shared" ca="1" si="142"/>
        <v>-216202257.87543535</v>
      </c>
      <c r="M2178" s="460">
        <f t="shared" si="144"/>
        <v>0.05</v>
      </c>
      <c r="N2178" s="464">
        <f t="shared" si="145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43"/>
        <v>-216202257.87543535</v>
      </c>
      <c r="J2179" s="444">
        <f t="array" ref="J2179">IFERROR(INDEX('Retirement Calculator'!J:J,MATCH('Isaac 401k'!N2179,'Retirement Calculator'!A:A,0),0),0)</f>
        <v>0</v>
      </c>
      <c r="K2179" s="444">
        <f t="shared" ca="1" si="141"/>
        <v>-900842.74114764738</v>
      </c>
      <c r="L2179" s="444">
        <f t="shared" ca="1" si="142"/>
        <v>-217103100.61658299</v>
      </c>
      <c r="M2179" s="460">
        <f t="shared" si="144"/>
        <v>0.05</v>
      </c>
      <c r="N2179" s="464">
        <f t="shared" si="145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43"/>
        <v>-217103100.61658299</v>
      </c>
      <c r="J2180" s="444">
        <f t="array" ref="J2180">IFERROR(INDEX('Retirement Calculator'!J:J,MATCH('Isaac 401k'!N2180,'Retirement Calculator'!A:A,0),0),0)</f>
        <v>0</v>
      </c>
      <c r="K2180" s="444">
        <f t="shared" ca="1" si="141"/>
        <v>-904596.2525690957</v>
      </c>
      <c r="L2180" s="444">
        <f t="shared" ca="1" si="142"/>
        <v>-218007696.8691521</v>
      </c>
      <c r="M2180" s="460">
        <f t="shared" si="144"/>
        <v>0.05</v>
      </c>
      <c r="N2180" s="464">
        <f t="shared" si="145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43"/>
        <v>-218007696.8691521</v>
      </c>
      <c r="J2181" s="444">
        <f t="array" ref="J2181">IFERROR(INDEX('Retirement Calculator'!J:J,MATCH('Isaac 401k'!N2181,'Retirement Calculator'!A:A,0),0),0)</f>
        <v>0</v>
      </c>
      <c r="K2181" s="444">
        <f t="shared" ca="1" si="141"/>
        <v>-908365.40362146718</v>
      </c>
      <c r="L2181" s="444">
        <f t="shared" ca="1" si="142"/>
        <v>-218916062.27277356</v>
      </c>
      <c r="M2181" s="460">
        <f t="shared" si="144"/>
        <v>0.05</v>
      </c>
      <c r="N2181" s="464">
        <f t="shared" si="145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43"/>
        <v>-218916062.27277356</v>
      </c>
      <c r="J2182" s="444">
        <f t="array" ref="J2182">IFERROR(INDEX('Retirement Calculator'!J:J,MATCH('Isaac 401k'!N2182,'Retirement Calculator'!A:A,0),0),0)</f>
        <v>0</v>
      </c>
      <c r="K2182" s="444">
        <f t="shared" ca="1" si="141"/>
        <v>-912150.2594698898</v>
      </c>
      <c r="L2182" s="444">
        <f t="shared" ca="1" si="142"/>
        <v>-219828212.53224346</v>
      </c>
      <c r="M2182" s="460">
        <f t="shared" si="144"/>
        <v>0.05</v>
      </c>
      <c r="N2182" s="464">
        <f t="shared" si="145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43"/>
        <v>-219828212.53224346</v>
      </c>
      <c r="J2183" s="444">
        <f t="array" ref="J2183">IFERROR(INDEX('Retirement Calculator'!J:J,MATCH('Isaac 401k'!N2183,'Retirement Calculator'!A:A,0),0),0)</f>
        <v>0</v>
      </c>
      <c r="K2183" s="444">
        <f t="shared" ca="1" si="141"/>
        <v>-915950.88555101445</v>
      </c>
      <c r="L2183" s="444">
        <f t="shared" ca="1" si="142"/>
        <v>-220744163.41779447</v>
      </c>
      <c r="M2183" s="460">
        <f t="shared" si="144"/>
        <v>0.05</v>
      </c>
      <c r="N2183" s="464">
        <f t="shared" si="145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43"/>
        <v>-220744163.41779447</v>
      </c>
      <c r="J2184" s="444">
        <f t="array" ref="J2184">IFERROR(INDEX('Retirement Calculator'!J:J,MATCH('Isaac 401k'!N2184,'Retirement Calculator'!A:A,0),0),0)</f>
        <v>0</v>
      </c>
      <c r="K2184" s="444">
        <f t="shared" ca="1" si="141"/>
        <v>-919767.34757414355</v>
      </c>
      <c r="L2184" s="444">
        <f t="shared" ca="1" si="142"/>
        <v>-221663930.76536861</v>
      </c>
      <c r="M2184" s="460">
        <f t="shared" si="144"/>
        <v>0.05</v>
      </c>
      <c r="N2184" s="464">
        <f t="shared" si="145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43"/>
        <v>-221663930.76536861</v>
      </c>
      <c r="J2185" s="444">
        <f t="array" ref="J2185">IFERROR(INDEX('Retirement Calculator'!J:J,MATCH('Isaac 401k'!N2185,'Retirement Calculator'!A:A,0),0),0)</f>
        <v>0</v>
      </c>
      <c r="K2185" s="444">
        <f t="shared" ca="1" si="141"/>
        <v>-923599.71152236918</v>
      </c>
      <c r="L2185" s="444">
        <f t="shared" ca="1" si="142"/>
        <v>-222587530.47689098</v>
      </c>
      <c r="M2185" s="460">
        <f t="shared" si="144"/>
        <v>0.05</v>
      </c>
      <c r="N2185" s="464">
        <f t="shared" si="145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43"/>
        <v>-222587530.47689098</v>
      </c>
      <c r="J2186" s="444">
        <f t="array" ref="J2186">IFERROR(INDEX('Retirement Calculator'!J:J,MATCH('Isaac 401k'!N2186,'Retirement Calculator'!A:A,0),0),0)</f>
        <v>0</v>
      </c>
      <c r="K2186" s="444">
        <f t="shared" ca="1" si="141"/>
        <v>-927448.04365371249</v>
      </c>
      <c r="L2186" s="444">
        <f t="shared" ca="1" si="142"/>
        <v>-223514978.52054471</v>
      </c>
      <c r="M2186" s="460">
        <f t="shared" si="144"/>
        <v>0.05</v>
      </c>
      <c r="N2186" s="464">
        <f t="shared" si="145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43"/>
        <v>-223514978.52054471</v>
      </c>
      <c r="J2187" s="444">
        <f t="array" ref="J2187">IFERROR(INDEX('Retirement Calculator'!J:J,MATCH('Isaac 401k'!N2187,'Retirement Calculator'!A:A,0),0),0)</f>
        <v>0</v>
      </c>
      <c r="K2187" s="444">
        <f t="shared" ca="1" si="141"/>
        <v>-931312.41050226963</v>
      </c>
      <c r="L2187" s="444">
        <f t="shared" ca="1" si="142"/>
        <v>-224446290.93104696</v>
      </c>
      <c r="M2187" s="460">
        <f t="shared" si="144"/>
        <v>0.05</v>
      </c>
      <c r="N2187" s="464">
        <f t="shared" si="145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43"/>
        <v>-224446290.93104696</v>
      </c>
      <c r="J2188" s="444">
        <f t="array" ref="J2188">IFERROR(INDEX('Retirement Calculator'!J:J,MATCH('Isaac 401k'!N2188,'Retirement Calculator'!A:A,0),0),0)</f>
        <v>0</v>
      </c>
      <c r="K2188" s="444">
        <f t="shared" ca="1" si="141"/>
        <v>-935192.87887936237</v>
      </c>
      <c r="L2188" s="444">
        <f t="shared" ca="1" si="142"/>
        <v>-225381483.80992633</v>
      </c>
      <c r="M2188" s="460">
        <f t="shared" si="144"/>
        <v>0.05</v>
      </c>
      <c r="N2188" s="464">
        <f t="shared" si="145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43"/>
        <v>-225381483.80992633</v>
      </c>
      <c r="J2189" s="444">
        <f t="array" ref="J2189">IFERROR(INDEX('Retirement Calculator'!J:J,MATCH('Isaac 401k'!N2189,'Retirement Calculator'!A:A,0),0),0)</f>
        <v>0</v>
      </c>
      <c r="K2189" s="444">
        <f t="shared" ca="1" si="141"/>
        <v>-939089.51587469305</v>
      </c>
      <c r="L2189" s="444">
        <f t="shared" ca="1" si="142"/>
        <v>-226320573.32580101</v>
      </c>
      <c r="M2189" s="460">
        <f t="shared" si="144"/>
        <v>0.05</v>
      </c>
      <c r="N2189" s="464">
        <f t="shared" si="145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43"/>
        <v>-226320573.32580101</v>
      </c>
      <c r="J2190" s="444">
        <f t="array" ref="J2190">IFERROR(INDEX('Retirement Calculator'!J:J,MATCH('Isaac 401k'!N2190,'Retirement Calculator'!A:A,0),0),0)</f>
        <v>0</v>
      </c>
      <c r="K2190" s="444">
        <f t="shared" ca="1" si="141"/>
        <v>-943002.38885750424</v>
      </c>
      <c r="L2190" s="444">
        <f t="shared" ca="1" si="142"/>
        <v>-227263575.71465853</v>
      </c>
      <c r="M2190" s="460">
        <f t="shared" si="144"/>
        <v>0.05</v>
      </c>
      <c r="N2190" s="464">
        <f t="shared" si="145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43"/>
        <v>-227263575.71465853</v>
      </c>
      <c r="J2191" s="444">
        <f t="array" ref="J2191">IFERROR(INDEX('Retirement Calculator'!J:J,MATCH('Isaac 401k'!N2191,'Retirement Calculator'!A:A,0),0),0)</f>
        <v>0</v>
      </c>
      <c r="K2191" s="444">
        <f t="shared" ca="1" si="141"/>
        <v>-946931.56547774398</v>
      </c>
      <c r="L2191" s="444">
        <f t="shared" ca="1" si="142"/>
        <v>-228210507.28013629</v>
      </c>
      <c r="M2191" s="460">
        <f t="shared" si="144"/>
        <v>0.05</v>
      </c>
      <c r="N2191" s="464">
        <f t="shared" si="145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43"/>
        <v>-228210507.28013629</v>
      </c>
      <c r="J2192" s="444">
        <f t="array" ref="J2192">IFERROR(INDEX('Retirement Calculator'!J:J,MATCH('Isaac 401k'!N2192,'Retirement Calculator'!A:A,0),0),0)</f>
        <v>0</v>
      </c>
      <c r="K2192" s="444">
        <f t="shared" ca="1" si="141"/>
        <v>-950877.11366723443</v>
      </c>
      <c r="L2192" s="444">
        <f t="shared" ca="1" si="142"/>
        <v>-229161384.39380351</v>
      </c>
      <c r="M2192" s="460">
        <f t="shared" si="144"/>
        <v>0.05</v>
      </c>
      <c r="N2192" s="464">
        <f t="shared" si="145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43"/>
        <v>-229161384.39380351</v>
      </c>
      <c r="J2193" s="444">
        <f t="array" ref="J2193">IFERROR(INDEX('Retirement Calculator'!J:J,MATCH('Isaac 401k'!N2193,'Retirement Calculator'!A:A,0),0),0)</f>
        <v>0</v>
      </c>
      <c r="K2193" s="444">
        <f t="shared" ca="1" si="141"/>
        <v>-954839.10164084809</v>
      </c>
      <c r="L2193" s="444">
        <f t="shared" ca="1" si="142"/>
        <v>-230116223.49544436</v>
      </c>
      <c r="M2193" s="460">
        <f t="shared" si="144"/>
        <v>0.05</v>
      </c>
      <c r="N2193" s="464">
        <f t="shared" si="145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43"/>
        <v>-230116223.49544436</v>
      </c>
      <c r="J2194" s="444">
        <f t="array" ref="J2194">IFERROR(INDEX('Retirement Calculator'!J:J,MATCH('Isaac 401k'!N2194,'Retirement Calculator'!A:A,0),0),0)</f>
        <v>0</v>
      </c>
      <c r="K2194" s="444">
        <f t="shared" ca="1" si="141"/>
        <v>-958817.59789768478</v>
      </c>
      <c r="L2194" s="444">
        <f t="shared" ca="1" si="142"/>
        <v>-231075041.09334204</v>
      </c>
      <c r="M2194" s="460">
        <f t="shared" si="144"/>
        <v>0.05</v>
      </c>
      <c r="N2194" s="464">
        <f t="shared" si="145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43"/>
        <v>-231075041.09334204</v>
      </c>
      <c r="J2195" s="444">
        <f t="array" ref="J2195">IFERROR(INDEX('Retirement Calculator'!J:J,MATCH('Isaac 401k'!N2195,'Retirement Calculator'!A:A,0),0),0)</f>
        <v>0</v>
      </c>
      <c r="K2195" s="444">
        <f t="shared" ca="1" si="141"/>
        <v>-962812.67122225848</v>
      </c>
      <c r="L2195" s="444">
        <f t="shared" ca="1" si="142"/>
        <v>-232037853.76456431</v>
      </c>
      <c r="M2195" s="460">
        <f t="shared" si="144"/>
        <v>0.05</v>
      </c>
      <c r="N2195" s="464">
        <f t="shared" si="145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43"/>
        <v>-232037853.76456431</v>
      </c>
      <c r="J2196" s="444">
        <f t="array" ref="J2196">IFERROR(INDEX('Retirement Calculator'!J:J,MATCH('Isaac 401k'!N2196,'Retirement Calculator'!A:A,0),0),0)</f>
        <v>0</v>
      </c>
      <c r="K2196" s="444">
        <f t="shared" ca="1" si="141"/>
        <v>-966824.39068568451</v>
      </c>
      <c r="L2196" s="444">
        <f t="shared" ca="1" si="142"/>
        <v>-233004678.15524998</v>
      </c>
      <c r="M2196" s="460">
        <f t="shared" si="144"/>
        <v>0.05</v>
      </c>
      <c r="N2196" s="464">
        <f t="shared" si="145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43"/>
        <v>-233004678.15524998</v>
      </c>
      <c r="J2197" s="444">
        <f t="array" ref="J2197">IFERROR(INDEX('Retirement Calculator'!J:J,MATCH('Isaac 401k'!N2197,'Retirement Calculator'!A:A,0),0),0)</f>
        <v>0</v>
      </c>
      <c r="K2197" s="444">
        <f t="shared" ca="1" si="141"/>
        <v>-970852.82564687508</v>
      </c>
      <c r="L2197" s="444">
        <f t="shared" ca="1" si="142"/>
        <v>-233975530.98089686</v>
      </c>
      <c r="M2197" s="460">
        <f t="shared" si="144"/>
        <v>0.05</v>
      </c>
      <c r="N2197" s="464">
        <f t="shared" si="145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43"/>
        <v>-233975530.98089686</v>
      </c>
      <c r="J2198" s="444">
        <f t="array" ref="J2198">IFERROR(INDEX('Retirement Calculator'!J:J,MATCH('Isaac 401k'!N2198,'Retirement Calculator'!A:A,0),0),0)</f>
        <v>0</v>
      </c>
      <c r="K2198" s="444">
        <f t="shared" ca="1" si="141"/>
        <v>-974898.04575373686</v>
      </c>
      <c r="L2198" s="444">
        <f t="shared" ca="1" si="142"/>
        <v>-234950429.02665061</v>
      </c>
      <c r="M2198" s="460">
        <f t="shared" si="144"/>
        <v>0.05</v>
      </c>
      <c r="N2198" s="464">
        <f t="shared" si="145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43"/>
        <v>-234950429.02665061</v>
      </c>
      <c r="J2199" s="444">
        <f t="array" ref="J2199">IFERROR(INDEX('Retirement Calculator'!J:J,MATCH('Isaac 401k'!N2199,'Retirement Calculator'!A:A,0),0),0)</f>
        <v>0</v>
      </c>
      <c r="K2199" s="444">
        <f t="shared" ca="1" si="141"/>
        <v>-978960.1209443775</v>
      </c>
      <c r="L2199" s="444">
        <f t="shared" ca="1" si="142"/>
        <v>-235929389.14759499</v>
      </c>
      <c r="M2199" s="460">
        <f t="shared" si="144"/>
        <v>0.05</v>
      </c>
      <c r="N2199" s="464">
        <f t="shared" si="145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43"/>
        <v>-235929389.14759499</v>
      </c>
      <c r="J2200" s="444">
        <f t="array" ref="J2200">IFERROR(INDEX('Retirement Calculator'!J:J,MATCH('Isaac 401k'!N2200,'Retirement Calculator'!A:A,0),0),0)</f>
        <v>0</v>
      </c>
      <c r="K2200" s="444">
        <f t="shared" ca="1" si="141"/>
        <v>-983039.12144831242</v>
      </c>
      <c r="L2200" s="444">
        <f t="shared" ca="1" si="142"/>
        <v>-236912428.2690433</v>
      </c>
      <c r="M2200" s="460">
        <f t="shared" si="144"/>
        <v>0.05</v>
      </c>
      <c r="N2200" s="464">
        <f t="shared" si="145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43"/>
        <v>-236912428.2690433</v>
      </c>
      <c r="J2201" s="444">
        <f t="array" ref="J2201">IFERROR(INDEX('Retirement Calculator'!J:J,MATCH('Isaac 401k'!N2201,'Retirement Calculator'!A:A,0),0),0)</f>
        <v>0</v>
      </c>
      <c r="K2201" s="444">
        <f t="shared" ca="1" si="141"/>
        <v>-987135.11778768047</v>
      </c>
      <c r="L2201" s="444">
        <f t="shared" ca="1" si="142"/>
        <v>-237899563.38683099</v>
      </c>
      <c r="M2201" s="460">
        <f t="shared" si="144"/>
        <v>0.05</v>
      </c>
      <c r="N2201" s="464">
        <f t="shared" si="145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43"/>
        <v>-237899563.38683099</v>
      </c>
      <c r="J2202" s="444">
        <f t="array" ref="J2202">IFERROR(INDEX('Retirement Calculator'!J:J,MATCH('Isaac 401k'!N2202,'Retirement Calculator'!A:A,0),0),0)</f>
        <v>0</v>
      </c>
      <c r="K2202" s="444">
        <f t="shared" ca="1" si="141"/>
        <v>-991248.18077846232</v>
      </c>
      <c r="L2202" s="444">
        <f t="shared" ca="1" si="142"/>
        <v>-238890811.56760946</v>
      </c>
      <c r="M2202" s="460">
        <f t="shared" si="144"/>
        <v>0.05</v>
      </c>
      <c r="N2202" s="464">
        <f t="shared" si="145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43"/>
        <v>-238890811.56760946</v>
      </c>
      <c r="J2203" s="444">
        <f t="array" ref="J2203">IFERROR(INDEX('Retirement Calculator'!J:J,MATCH('Isaac 401k'!N2203,'Retirement Calculator'!A:A,0),0),0)</f>
        <v>0</v>
      </c>
      <c r="K2203" s="444">
        <f t="shared" ca="1" si="141"/>
        <v>-995378.38153170608</v>
      </c>
      <c r="L2203" s="444">
        <f t="shared" ca="1" si="142"/>
        <v>-239886189.94914117</v>
      </c>
      <c r="M2203" s="460">
        <f t="shared" si="144"/>
        <v>0.05</v>
      </c>
      <c r="N2203" s="464">
        <f t="shared" si="145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43"/>
        <v>-239886189.94914117</v>
      </c>
      <c r="J2204" s="444">
        <f t="array" ref="J2204">IFERROR(INDEX('Retirement Calculator'!J:J,MATCH('Isaac 401k'!N2204,'Retirement Calculator'!A:A,0),0),0)</f>
        <v>0</v>
      </c>
      <c r="K2204" s="444">
        <f t="shared" ca="1" si="141"/>
        <v>-999525.791454755</v>
      </c>
      <c r="L2204" s="444">
        <f t="shared" ca="1" si="142"/>
        <v>-240885715.74059594</v>
      </c>
      <c r="M2204" s="460">
        <f t="shared" si="144"/>
        <v>0.05</v>
      </c>
      <c r="N2204" s="464">
        <f t="shared" si="145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43"/>
        <v>-240885715.74059594</v>
      </c>
      <c r="J2205" s="444">
        <f t="array" ref="J2205">IFERROR(INDEX('Retirement Calculator'!J:J,MATCH('Isaac 401k'!N2205,'Retirement Calculator'!A:A,0),0),0)</f>
        <v>0</v>
      </c>
      <c r="K2205" s="444">
        <f t="shared" ca="1" si="141"/>
        <v>-1003690.482252483</v>
      </c>
      <c r="L2205" s="444">
        <f t="shared" ca="1" si="142"/>
        <v>-241889406.22284842</v>
      </c>
      <c r="M2205" s="460">
        <f t="shared" si="144"/>
        <v>0.05</v>
      </c>
      <c r="N2205" s="464">
        <f t="shared" si="145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43"/>
        <v>-241889406.22284842</v>
      </c>
      <c r="J2206" s="444">
        <f t="array" ref="J2206">IFERROR(INDEX('Retirement Calculator'!J:J,MATCH('Isaac 401k'!N2206,'Retirement Calculator'!A:A,0),0),0)</f>
        <v>0</v>
      </c>
      <c r="K2206" s="444">
        <f t="shared" ca="1" si="141"/>
        <v>-1007872.5259285351</v>
      </c>
      <c r="L2206" s="444">
        <f t="shared" ca="1" si="142"/>
        <v>-242897278.74877694</v>
      </c>
      <c r="M2206" s="460">
        <f t="shared" si="144"/>
        <v>0.05</v>
      </c>
      <c r="N2206" s="464">
        <f t="shared" si="145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43"/>
        <v>-242897278.74877694</v>
      </c>
      <c r="J2207" s="444">
        <f t="array" ref="J2207">IFERROR(INDEX('Retirement Calculator'!J:J,MATCH('Isaac 401k'!N2207,'Retirement Calculator'!A:A,0),0),0)</f>
        <v>0</v>
      </c>
      <c r="K2207" s="444">
        <f t="shared" ca="1" si="141"/>
        <v>-1012071.9947865707</v>
      </c>
      <c r="L2207" s="444">
        <f t="shared" ca="1" si="142"/>
        <v>-243909350.7435635</v>
      </c>
      <c r="M2207" s="460">
        <f t="shared" si="144"/>
        <v>0.05</v>
      </c>
      <c r="N2207" s="464">
        <f t="shared" si="145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43"/>
        <v>-243909350.7435635</v>
      </c>
      <c r="J2208" s="444">
        <f t="array" ref="J2208">IFERROR(INDEX('Retirement Calculator'!J:J,MATCH('Isaac 401k'!N2208,'Retirement Calculator'!A:A,0),0),0)</f>
        <v>0</v>
      </c>
      <c r="K2208" s="444">
        <f t="shared" ca="1" si="141"/>
        <v>-1016288.9614315147</v>
      </c>
      <c r="L2208" s="444">
        <f t="shared" ca="1" si="142"/>
        <v>-244925639.70499501</v>
      </c>
      <c r="M2208" s="460">
        <f t="shared" si="144"/>
        <v>0.05</v>
      </c>
      <c r="N2208" s="464">
        <f t="shared" si="145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43"/>
        <v>-244925639.70499501</v>
      </c>
      <c r="J2209" s="444">
        <f t="array" ref="J2209">IFERROR(INDEX('Retirement Calculator'!J:J,MATCH('Isaac 401k'!N2209,'Retirement Calculator'!A:A,0),0),0)</f>
        <v>0</v>
      </c>
      <c r="K2209" s="444">
        <f t="shared" ca="1" si="141"/>
        <v>-1020523.4987708125</v>
      </c>
      <c r="L2209" s="444">
        <f t="shared" ca="1" si="142"/>
        <v>-245946163.20376581</v>
      </c>
      <c r="M2209" s="460">
        <f t="shared" si="144"/>
        <v>0.05</v>
      </c>
      <c r="N2209" s="464">
        <f t="shared" si="145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43"/>
        <v>-245946163.20376581</v>
      </c>
      <c r="J2210" s="444">
        <f t="array" ref="J2210">IFERROR(INDEX('Retirement Calculator'!J:J,MATCH('Isaac 401k'!N2210,'Retirement Calculator'!A:A,0),0),0)</f>
        <v>0</v>
      </c>
      <c r="K2210" s="444">
        <f t="shared" ca="1" si="141"/>
        <v>-1024775.6800156909</v>
      </c>
      <c r="L2210" s="444">
        <f t="shared" ca="1" si="142"/>
        <v>-246970938.88378149</v>
      </c>
      <c r="M2210" s="460">
        <f t="shared" si="144"/>
        <v>0.05</v>
      </c>
      <c r="N2210" s="464">
        <f t="shared" si="145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43"/>
        <v>-246970938.88378149</v>
      </c>
      <c r="J2211" s="444">
        <f t="array" ref="J2211">IFERROR(INDEX('Retirement Calculator'!J:J,MATCH('Isaac 401k'!N2211,'Retirement Calculator'!A:A,0),0),0)</f>
        <v>0</v>
      </c>
      <c r="K2211" s="444">
        <f t="shared" ca="1" si="141"/>
        <v>-1029045.5786824229</v>
      </c>
      <c r="L2211" s="444">
        <f t="shared" ca="1" si="142"/>
        <v>-247999984.46246392</v>
      </c>
      <c r="M2211" s="460">
        <f t="shared" si="144"/>
        <v>0.05</v>
      </c>
      <c r="N2211" s="464">
        <f t="shared" si="145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43"/>
        <v>-247999984.46246392</v>
      </c>
      <c r="J2212" s="444">
        <f t="array" ref="J2212">IFERROR(INDEX('Retirement Calculator'!J:J,MATCH('Isaac 401k'!N2212,'Retirement Calculator'!A:A,0),0),0)</f>
        <v>0</v>
      </c>
      <c r="K2212" s="444">
        <f t="shared" ca="1" si="141"/>
        <v>-1033333.2685935997</v>
      </c>
      <c r="L2212" s="444">
        <f t="shared" ca="1" si="142"/>
        <v>-249033317.73105752</v>
      </c>
      <c r="M2212" s="460">
        <f t="shared" si="144"/>
        <v>0.05</v>
      </c>
      <c r="N2212" s="464">
        <f t="shared" si="145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43"/>
        <v>-249033317.73105752</v>
      </c>
      <c r="J2213" s="444">
        <f t="array" ref="J2213">IFERROR(INDEX('Retirement Calculator'!J:J,MATCH('Isaac 401k'!N2213,'Retirement Calculator'!A:A,0),0),0)</f>
        <v>0</v>
      </c>
      <c r="K2213" s="444">
        <f t="shared" ca="1" si="141"/>
        <v>-1037638.8238794063</v>
      </c>
      <c r="L2213" s="444">
        <f t="shared" ca="1" si="142"/>
        <v>-250070956.55493695</v>
      </c>
      <c r="M2213" s="460">
        <f t="shared" si="144"/>
        <v>0.05</v>
      </c>
      <c r="N2213" s="464">
        <f t="shared" si="145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43"/>
        <v>-250070956.55493695</v>
      </c>
      <c r="J2214" s="444">
        <f t="array" ref="J2214">IFERROR(INDEX('Retirement Calculator'!J:J,MATCH('Isaac 401k'!N2214,'Retirement Calculator'!A:A,0),0),0)</f>
        <v>0</v>
      </c>
      <c r="K2214" s="444">
        <f t="shared" ca="1" si="141"/>
        <v>-1041962.3189789039</v>
      </c>
      <c r="L2214" s="444">
        <f t="shared" ca="1" si="142"/>
        <v>-251112918.87391585</v>
      </c>
      <c r="M2214" s="460">
        <f t="shared" si="144"/>
        <v>0.05</v>
      </c>
      <c r="N2214" s="464">
        <f t="shared" si="145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43"/>
        <v>-251112918.87391585</v>
      </c>
      <c r="J2215" s="444">
        <f t="array" ref="J2215">IFERROR(INDEX('Retirement Calculator'!J:J,MATCH('Isaac 401k'!N2215,'Retirement Calculator'!A:A,0),0),0)</f>
        <v>0</v>
      </c>
      <c r="K2215" s="444">
        <f t="shared" ca="1" si="141"/>
        <v>-1046303.828641316</v>
      </c>
      <c r="L2215" s="444">
        <f t="shared" ca="1" si="142"/>
        <v>-252159222.70255718</v>
      </c>
      <c r="M2215" s="460">
        <f t="shared" si="144"/>
        <v>0.05</v>
      </c>
      <c r="N2215" s="464">
        <f t="shared" si="145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43"/>
        <v>-252159222.70255718</v>
      </c>
      <c r="J2216" s="444">
        <f t="array" ref="J2216">IFERROR(INDEX('Retirement Calculator'!J:J,MATCH('Isaac 401k'!N2216,'Retirement Calculator'!A:A,0),0),0)</f>
        <v>0</v>
      </c>
      <c r="K2216" s="444">
        <f t="shared" ca="1" si="141"/>
        <v>-1050663.4279273215</v>
      </c>
      <c r="L2216" s="444">
        <f t="shared" ca="1" si="142"/>
        <v>-253209886.13048449</v>
      </c>
      <c r="M2216" s="460">
        <f t="shared" si="144"/>
        <v>0.05</v>
      </c>
      <c r="N2216" s="464">
        <f t="shared" si="145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43"/>
        <v>-253209886.13048449</v>
      </c>
      <c r="J2217" s="444">
        <f t="array" ref="J2217">IFERROR(INDEX('Retirement Calculator'!J:J,MATCH('Isaac 401k'!N2217,'Retirement Calculator'!A:A,0),0),0)</f>
        <v>0</v>
      </c>
      <c r="K2217" s="444">
        <f t="shared" ca="1" si="141"/>
        <v>-1055041.192210352</v>
      </c>
      <c r="L2217" s="444">
        <f t="shared" ca="1" si="142"/>
        <v>-254264927.32269484</v>
      </c>
      <c r="M2217" s="460">
        <f t="shared" si="144"/>
        <v>0.05</v>
      </c>
      <c r="N2217" s="464">
        <f t="shared" si="145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43"/>
        <v>-254264927.32269484</v>
      </c>
      <c r="J2218" s="444">
        <f t="array" ref="J2218">IFERROR(INDEX('Retirement Calculator'!J:J,MATCH('Isaac 401k'!N2218,'Retirement Calculator'!A:A,0),0),0)</f>
        <v>0</v>
      </c>
      <c r="K2218" s="444">
        <f t="shared" ca="1" si="141"/>
        <v>-1059437.1971778951</v>
      </c>
      <c r="L2218" s="444">
        <f t="shared" ca="1" si="142"/>
        <v>-255324364.51987273</v>
      </c>
      <c r="M2218" s="460">
        <f t="shared" si="144"/>
        <v>0.05</v>
      </c>
      <c r="N2218" s="464">
        <f t="shared" si="145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43"/>
        <v>-255324364.51987273</v>
      </c>
      <c r="J2219" s="444">
        <f t="array" ref="J2219">IFERROR(INDEX('Retirement Calculator'!J:J,MATCH('Isaac 401k'!N2219,'Retirement Calculator'!A:A,0),0),0)</f>
        <v>0</v>
      </c>
      <c r="K2219" s="444">
        <f t="shared" ca="1" si="141"/>
        <v>-1063851.518832803</v>
      </c>
      <c r="L2219" s="444">
        <f t="shared" ca="1" si="142"/>
        <v>-256388216.03870553</v>
      </c>
      <c r="M2219" s="460">
        <f t="shared" si="144"/>
        <v>0.05</v>
      </c>
      <c r="N2219" s="464">
        <f t="shared" si="145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43"/>
        <v>-256388216.03870553</v>
      </c>
      <c r="J2220" s="444">
        <f t="array" ref="J2220">IFERROR(INDEX('Retirement Calculator'!J:J,MATCH('Isaac 401k'!N2220,'Retirement Calculator'!A:A,0),0),0)</f>
        <v>0</v>
      </c>
      <c r="K2220" s="444">
        <f t="shared" ca="1" si="141"/>
        <v>-1068284.2334946063</v>
      </c>
      <c r="L2220" s="444">
        <f t="shared" ca="1" si="142"/>
        <v>-257456500.27220014</v>
      </c>
      <c r="M2220" s="460">
        <f t="shared" si="144"/>
        <v>0.05</v>
      </c>
      <c r="N2220" s="464">
        <f t="shared" si="145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43"/>
        <v>-257456500.27220014</v>
      </c>
      <c r="J2221" s="444">
        <f t="array" ref="J2221">IFERROR(INDEX('Retirement Calculator'!J:J,MATCH('Isaac 401k'!N2221,'Retirement Calculator'!A:A,0),0),0)</f>
        <v>0</v>
      </c>
      <c r="K2221" s="444">
        <f t="shared" ca="1" si="141"/>
        <v>-1072735.4178008337</v>
      </c>
      <c r="L2221" s="444">
        <f t="shared" ca="1" si="142"/>
        <v>-258529235.69000098</v>
      </c>
      <c r="M2221" s="460">
        <f t="shared" si="144"/>
        <v>0.05</v>
      </c>
      <c r="N2221" s="464">
        <f t="shared" si="145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43"/>
        <v>-258529235.69000098</v>
      </c>
      <c r="J2222" s="444">
        <f t="array" ref="J2222">IFERROR(INDEX('Retirement Calculator'!J:J,MATCH('Isaac 401k'!N2222,'Retirement Calculator'!A:A,0),0),0)</f>
        <v>0</v>
      </c>
      <c r="K2222" s="444">
        <f t="shared" ca="1" si="141"/>
        <v>-1077205.1487083375</v>
      </c>
      <c r="L2222" s="444">
        <f t="shared" ca="1" si="142"/>
        <v>-259606440.83870932</v>
      </c>
      <c r="M2222" s="460">
        <f t="shared" si="144"/>
        <v>0.05</v>
      </c>
      <c r="N2222" s="464">
        <f t="shared" si="145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43"/>
        <v>-259606440.83870932</v>
      </c>
      <c r="J2223" s="444">
        <f t="array" ref="J2223">IFERROR(INDEX('Retirement Calculator'!J:J,MATCH('Isaac 401k'!N2223,'Retirement Calculator'!A:A,0),0),0)</f>
        <v>0</v>
      </c>
      <c r="K2223" s="444">
        <f t="shared" ca="1" si="141"/>
        <v>-1081693.5034946222</v>
      </c>
      <c r="L2223" s="444">
        <f t="shared" ca="1" si="142"/>
        <v>-260688134.34220394</v>
      </c>
      <c r="M2223" s="460">
        <f t="shared" si="144"/>
        <v>0.05</v>
      </c>
      <c r="N2223" s="464">
        <f t="shared" si="145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43"/>
        <v>-260688134.34220394</v>
      </c>
      <c r="J2224" s="444">
        <f t="array" ref="J2224">IFERROR(INDEX('Retirement Calculator'!J:J,MATCH('Isaac 401k'!N2224,'Retirement Calculator'!A:A,0),0),0)</f>
        <v>0</v>
      </c>
      <c r="K2224" s="444">
        <f t="shared" ca="1" si="141"/>
        <v>-1086200.5597591831</v>
      </c>
      <c r="L2224" s="444">
        <f t="shared" ca="1" si="142"/>
        <v>-261774334.90196311</v>
      </c>
      <c r="M2224" s="460">
        <f t="shared" si="144"/>
        <v>0.05</v>
      </c>
      <c r="N2224" s="464">
        <f t="shared" si="145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43"/>
        <v>-261774334.90196311</v>
      </c>
      <c r="J2225" s="444">
        <f t="array" ref="J2225">IFERROR(INDEX('Retirement Calculator'!J:J,MATCH('Isaac 401k'!N2225,'Retirement Calculator'!A:A,0),0),0)</f>
        <v>0</v>
      </c>
      <c r="K2225" s="444">
        <f t="shared" ca="1" si="141"/>
        <v>-1090726.3954248463</v>
      </c>
      <c r="L2225" s="444">
        <f t="shared" ca="1" si="142"/>
        <v>-262865061.29738796</v>
      </c>
      <c r="M2225" s="460">
        <f t="shared" si="144"/>
        <v>0.05</v>
      </c>
      <c r="N2225" s="464">
        <f t="shared" si="145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43"/>
        <v>-262865061.29738796</v>
      </c>
      <c r="J2226" s="444">
        <f t="array" ref="J2226">IFERROR(INDEX('Retirement Calculator'!J:J,MATCH('Isaac 401k'!N2226,'Retirement Calculator'!A:A,0),0),0)</f>
        <v>0</v>
      </c>
      <c r="K2226" s="444">
        <f t="shared" ca="1" si="141"/>
        <v>-1095271.0887391164</v>
      </c>
      <c r="L2226" s="444">
        <f t="shared" ca="1" si="142"/>
        <v>-263960332.38612708</v>
      </c>
      <c r="M2226" s="460">
        <f t="shared" si="144"/>
        <v>0.05</v>
      </c>
      <c r="N2226" s="464">
        <f t="shared" si="145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43"/>
        <v>-263960332.38612708</v>
      </c>
      <c r="J2227" s="444">
        <f t="array" ref="J2227">IFERROR(INDEX('Retirement Calculator'!J:J,MATCH('Isaac 401k'!N2227,'Retirement Calculator'!A:A,0),0),0)</f>
        <v>0</v>
      </c>
      <c r="K2227" s="444">
        <f t="shared" ca="1" si="141"/>
        <v>-1099834.7182755296</v>
      </c>
      <c r="L2227" s="444">
        <f t="shared" ca="1" si="142"/>
        <v>-265060167.1044026</v>
      </c>
      <c r="M2227" s="460">
        <f t="shared" si="144"/>
        <v>0.05</v>
      </c>
      <c r="N2227" s="464">
        <f t="shared" si="145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43"/>
        <v>-265060167.1044026</v>
      </c>
      <c r="J2228" s="444">
        <f t="array" ref="J2228">IFERROR(INDEX('Retirement Calculator'!J:J,MATCH('Isaac 401k'!N2228,'Retirement Calculator'!A:A,0),0),0)</f>
        <v>0</v>
      </c>
      <c r="K2228" s="444">
        <f t="shared" ca="1" si="141"/>
        <v>-1104417.362935011</v>
      </c>
      <c r="L2228" s="444">
        <f t="shared" ca="1" si="142"/>
        <v>-266164584.46733761</v>
      </c>
      <c r="M2228" s="460">
        <f t="shared" si="144"/>
        <v>0.05</v>
      </c>
      <c r="N2228" s="464">
        <f t="shared" si="145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43"/>
        <v>-266164584.46733761</v>
      </c>
      <c r="J2229" s="444">
        <f t="array" ref="J2229">IFERROR(INDEX('Retirement Calculator'!J:J,MATCH('Isaac 401k'!N2229,'Retirement Calculator'!A:A,0),0),0)</f>
        <v>0</v>
      </c>
      <c r="K2229" s="444">
        <f t="shared" ca="1" si="141"/>
        <v>-1109019.1019472401</v>
      </c>
      <c r="L2229" s="444">
        <f t="shared" ca="1" si="142"/>
        <v>-267273603.56928486</v>
      </c>
      <c r="M2229" s="460">
        <f t="shared" si="144"/>
        <v>0.05</v>
      </c>
      <c r="N2229" s="464">
        <f t="shared" si="145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43"/>
        <v>-267273603.56928486</v>
      </c>
      <c r="J2230" s="444">
        <f t="array" ref="J2230">IFERROR(INDEX('Retirement Calculator'!J:J,MATCH('Isaac 401k'!N2230,'Retirement Calculator'!A:A,0),0),0)</f>
        <v>0</v>
      </c>
      <c r="K2230" s="444">
        <f t="shared" ca="1" si="141"/>
        <v>-1113640.0148720203</v>
      </c>
      <c r="L2230" s="444">
        <f t="shared" ca="1" si="142"/>
        <v>-268387243.58415687</v>
      </c>
      <c r="M2230" s="460">
        <f t="shared" si="144"/>
        <v>0.05</v>
      </c>
      <c r="N2230" s="464">
        <f t="shared" si="145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43"/>
        <v>-268387243.58415687</v>
      </c>
      <c r="J2231" s="444">
        <f t="array" ref="J2231">IFERROR(INDEX('Retirement Calculator'!J:J,MATCH('Isaac 401k'!N2231,'Retirement Calculator'!A:A,0),0),0)</f>
        <v>0</v>
      </c>
      <c r="K2231" s="444">
        <f t="shared" ca="1" si="141"/>
        <v>-1118280.1816006536</v>
      </c>
      <c r="L2231" s="444">
        <f t="shared" ca="1" si="142"/>
        <v>-269505523.7657575</v>
      </c>
      <c r="M2231" s="460">
        <f t="shared" si="144"/>
        <v>0.05</v>
      </c>
      <c r="N2231" s="464">
        <f t="shared" si="145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43"/>
        <v>-269505523.7657575</v>
      </c>
      <c r="J2232" s="444">
        <f t="array" ref="J2232">IFERROR(INDEX('Retirement Calculator'!J:J,MATCH('Isaac 401k'!N2232,'Retirement Calculator'!A:A,0),0),0)</f>
        <v>0</v>
      </c>
      <c r="K2232" s="444">
        <f t="shared" ca="1" si="141"/>
        <v>-1122939.6823573229</v>
      </c>
      <c r="L2232" s="444">
        <f t="shared" ca="1" si="142"/>
        <v>-270628463.44811481</v>
      </c>
      <c r="M2232" s="460">
        <f t="shared" si="144"/>
        <v>0.05</v>
      </c>
      <c r="N2232" s="464">
        <f t="shared" si="145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43"/>
        <v>-270628463.44811481</v>
      </c>
      <c r="J2233" s="444">
        <f t="array" ref="J2233">IFERROR(INDEX('Retirement Calculator'!J:J,MATCH('Isaac 401k'!N2233,'Retirement Calculator'!A:A,0),0),0)</f>
        <v>0</v>
      </c>
      <c r="K2233" s="444">
        <f t="shared" ca="1" si="141"/>
        <v>-1127618.5977004783</v>
      </c>
      <c r="L2233" s="444">
        <f t="shared" ca="1" si="142"/>
        <v>-271756082.04581529</v>
      </c>
      <c r="M2233" s="460">
        <f t="shared" si="144"/>
        <v>0.05</v>
      </c>
      <c r="N2233" s="464">
        <f t="shared" si="145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43"/>
        <v>-271756082.04581529</v>
      </c>
      <c r="J2234" s="444">
        <f t="array" ref="J2234">IFERROR(INDEX('Retirement Calculator'!J:J,MATCH('Isaac 401k'!N2234,'Retirement Calculator'!A:A,0),0),0)</f>
        <v>0</v>
      </c>
      <c r="K2234" s="444">
        <f t="shared" ca="1" si="141"/>
        <v>-1132317.0085242304</v>
      </c>
      <c r="L2234" s="444">
        <f t="shared" ca="1" si="142"/>
        <v>-272888399.05433953</v>
      </c>
      <c r="M2234" s="460">
        <f t="shared" si="144"/>
        <v>0.05</v>
      </c>
      <c r="N2234" s="464">
        <f t="shared" si="145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43"/>
        <v>-272888399.05433953</v>
      </c>
      <c r="J2235" s="444">
        <f t="array" ref="J2235">IFERROR(INDEX('Retirement Calculator'!J:J,MATCH('Isaac 401k'!N2235,'Retirement Calculator'!A:A,0),0),0)</f>
        <v>0</v>
      </c>
      <c r="K2235" s="444">
        <f t="shared" ca="1" si="141"/>
        <v>-1137034.9960597481</v>
      </c>
      <c r="L2235" s="444">
        <f t="shared" ca="1" si="142"/>
        <v>-274025434.0503993</v>
      </c>
      <c r="M2235" s="460">
        <f t="shared" si="144"/>
        <v>0.05</v>
      </c>
      <c r="N2235" s="464">
        <f t="shared" si="145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43"/>
        <v>-274025434.0503993</v>
      </c>
      <c r="J2236" s="444">
        <f t="array" ref="J2236">IFERROR(INDEX('Retirement Calculator'!J:J,MATCH('Isaac 401k'!N2236,'Retirement Calculator'!A:A,0),0),0)</f>
        <v>0</v>
      </c>
      <c r="K2236" s="444">
        <f t="shared" ca="1" si="141"/>
        <v>-1141772.6418766638</v>
      </c>
      <c r="L2236" s="444">
        <f t="shared" ca="1" si="142"/>
        <v>-275167206.69227594</v>
      </c>
      <c r="M2236" s="460">
        <f t="shared" si="144"/>
        <v>0.05</v>
      </c>
      <c r="N2236" s="464">
        <f t="shared" si="145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43"/>
        <v>-275167206.69227594</v>
      </c>
      <c r="J2237" s="444">
        <f t="array" ref="J2237">IFERROR(INDEX('Retirement Calculator'!J:J,MATCH('Isaac 401k'!N2237,'Retirement Calculator'!A:A,0),0),0)</f>
        <v>0</v>
      </c>
      <c r="K2237" s="444">
        <f t="shared" ca="1" si="141"/>
        <v>-1146530.0278844831</v>
      </c>
      <c r="L2237" s="444">
        <f t="shared" ca="1" si="142"/>
        <v>-276313736.72016042</v>
      </c>
      <c r="M2237" s="460">
        <f t="shared" si="144"/>
        <v>0.05</v>
      </c>
      <c r="N2237" s="464">
        <f t="shared" si="145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43"/>
        <v>-276313736.72016042</v>
      </c>
      <c r="J2238" s="444">
        <f t="array" ref="J2238">IFERROR(INDEX('Retirement Calculator'!J:J,MATCH('Isaac 401k'!N2238,'Retirement Calculator'!A:A,0),0),0)</f>
        <v>0</v>
      </c>
      <c r="K2238" s="444">
        <f t="shared" ca="1" si="141"/>
        <v>-1151307.2363340016</v>
      </c>
      <c r="L2238" s="444">
        <f t="shared" ca="1" si="142"/>
        <v>-277465043.95649445</v>
      </c>
      <c r="M2238" s="460">
        <f t="shared" si="144"/>
        <v>0.05</v>
      </c>
      <c r="N2238" s="464">
        <f t="shared" si="145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43"/>
        <v>-277465043.95649445</v>
      </c>
      <c r="J2239" s="444">
        <f t="array" ref="J2239">IFERROR(INDEX('Retirement Calculator'!J:J,MATCH('Isaac 401k'!N2239,'Retirement Calculator'!A:A,0),0),0)</f>
        <v>0</v>
      </c>
      <c r="K2239" s="444">
        <f t="shared" ca="1" si="141"/>
        <v>-1156104.3498187268</v>
      </c>
      <c r="L2239" s="444">
        <f t="shared" ca="1" si="142"/>
        <v>-278621148.30631316</v>
      </c>
      <c r="M2239" s="460">
        <f t="shared" si="144"/>
        <v>0.05</v>
      </c>
      <c r="N2239" s="464">
        <f t="shared" si="145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43"/>
        <v>-278621148.30631316</v>
      </c>
      <c r="J2240" s="444">
        <f t="array" ref="J2240">IFERROR(INDEX('Retirement Calculator'!J:J,MATCH('Isaac 401k'!N2240,'Retirement Calculator'!A:A,0),0),0)</f>
        <v>0</v>
      </c>
      <c r="K2240" s="444">
        <f t="shared" ca="1" si="141"/>
        <v>-1160921.4512763049</v>
      </c>
      <c r="L2240" s="444">
        <f t="shared" ca="1" si="142"/>
        <v>-279782069.75758946</v>
      </c>
      <c r="M2240" s="460">
        <f t="shared" si="144"/>
        <v>0.05</v>
      </c>
      <c r="N2240" s="464">
        <f t="shared" si="145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43"/>
        <v>-279782069.75758946</v>
      </c>
      <c r="J2241" s="444">
        <f t="array" ref="J2241">IFERROR(INDEX('Retirement Calculator'!J:J,MATCH('Isaac 401k'!N2241,'Retirement Calculator'!A:A,0),0),0)</f>
        <v>0</v>
      </c>
      <c r="K2241" s="444">
        <f t="shared" ca="1" si="141"/>
        <v>-1165758.623989956</v>
      </c>
      <c r="L2241" s="444">
        <f t="shared" ca="1" si="142"/>
        <v>-280947828.3815794</v>
      </c>
      <c r="M2241" s="460">
        <f t="shared" si="144"/>
        <v>0.05</v>
      </c>
      <c r="N2241" s="464">
        <f t="shared" si="145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43"/>
        <v>-280947828.3815794</v>
      </c>
      <c r="J2242" s="444">
        <f t="array" ref="J2242">IFERROR(INDEX('Retirement Calculator'!J:J,MATCH('Isaac 401k'!N2242,'Retirement Calculator'!A:A,0),0),0)</f>
        <v>0</v>
      </c>
      <c r="K2242" s="444">
        <f t="shared" ca="1" si="141"/>
        <v>-1170615.951589914</v>
      </c>
      <c r="L2242" s="444">
        <f t="shared" ca="1" si="142"/>
        <v>-282118444.33316934</v>
      </c>
      <c r="M2242" s="460">
        <f t="shared" si="144"/>
        <v>0.05</v>
      </c>
      <c r="N2242" s="464">
        <f t="shared" si="145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43"/>
        <v>-282118444.33316934</v>
      </c>
      <c r="J2243" s="444">
        <f t="array" ref="J2243">IFERROR(INDEX('Retirement Calculator'!J:J,MATCH('Isaac 401k'!N2243,'Retirement Calculator'!A:A,0),0),0)</f>
        <v>0</v>
      </c>
      <c r="K2243" s="444">
        <f t="shared" ca="1" si="141"/>
        <v>-1175493.5180548723</v>
      </c>
      <c r="L2243" s="444">
        <f t="shared" ca="1" si="142"/>
        <v>-283293937.85122418</v>
      </c>
      <c r="M2243" s="460">
        <f t="shared" si="144"/>
        <v>0.05</v>
      </c>
      <c r="N2243" s="464">
        <f t="shared" si="145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43"/>
        <v>-283293937.85122418</v>
      </c>
      <c r="J2244" s="444">
        <f t="array" ref="J2244">IFERROR(INDEX('Retirement Calculator'!J:J,MATCH('Isaac 401k'!N2244,'Retirement Calculator'!A:A,0),0),0)</f>
        <v>0</v>
      </c>
      <c r="K2244" s="444">
        <f t="shared" ca="1" si="141"/>
        <v>-1180391.4077134342</v>
      </c>
      <c r="L2244" s="444">
        <f t="shared" ca="1" si="142"/>
        <v>-284474329.2589376</v>
      </c>
      <c r="M2244" s="460">
        <f t="shared" si="144"/>
        <v>0.05</v>
      </c>
      <c r="N2244" s="464">
        <f t="shared" si="145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43"/>
        <v>-284474329.2589376</v>
      </c>
      <c r="J2245" s="444">
        <f t="array" ref="J2245">IFERROR(INDEX('Retirement Calculator'!J:J,MATCH('Isaac 401k'!N2245,'Retirement Calculator'!A:A,0),0),0)</f>
        <v>0</v>
      </c>
      <c r="K2245" s="444">
        <f t="shared" ca="1" si="141"/>
        <v>-1185309.7052455733</v>
      </c>
      <c r="L2245" s="444">
        <f t="shared" ca="1" si="142"/>
        <v>-285659638.96418315</v>
      </c>
      <c r="M2245" s="460">
        <f t="shared" si="144"/>
        <v>0.05</v>
      </c>
      <c r="N2245" s="464">
        <f t="shared" si="145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43"/>
        <v>-285659638.96418315</v>
      </c>
      <c r="J2246" s="444">
        <f t="array" ref="J2246">IFERROR(INDEX('Retirement Calculator'!J:J,MATCH('Isaac 401k'!N2246,'Retirement Calculator'!A:A,0),0),0)</f>
        <v>0</v>
      </c>
      <c r="K2246" s="444">
        <f t="shared" ca="1" si="141"/>
        <v>-1190248.4956840964</v>
      </c>
      <c r="L2246" s="444">
        <f t="shared" ca="1" si="142"/>
        <v>-286849887.45986724</v>
      </c>
      <c r="M2246" s="460">
        <f t="shared" si="144"/>
        <v>0.05</v>
      </c>
      <c r="N2246" s="464">
        <f t="shared" si="145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43"/>
        <v>-286849887.45986724</v>
      </c>
      <c r="J2247" s="444">
        <f t="array" ref="J2247">IFERROR(INDEX('Retirement Calculator'!J:J,MATCH('Isaac 401k'!N2247,'Retirement Calculator'!A:A,0),0),0)</f>
        <v>0</v>
      </c>
      <c r="K2247" s="444">
        <f t="shared" ca="1" si="141"/>
        <v>-1195207.8644161136</v>
      </c>
      <c r="L2247" s="444">
        <f t="shared" ca="1" si="142"/>
        <v>-288045095.32428336</v>
      </c>
      <c r="M2247" s="460">
        <f t="shared" si="144"/>
        <v>0.05</v>
      </c>
      <c r="N2247" s="464">
        <f t="shared" si="145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43"/>
        <v>-288045095.32428336</v>
      </c>
      <c r="J2248" s="444">
        <f t="array" ref="J2248">IFERROR(INDEX('Retirement Calculator'!J:J,MATCH('Isaac 401k'!N2248,'Retirement Calculator'!A:A,0),0),0)</f>
        <v>0</v>
      </c>
      <c r="K2248" s="444">
        <f t="shared" ca="1" si="141"/>
        <v>-1200187.897184514</v>
      </c>
      <c r="L2248" s="444">
        <f t="shared" ca="1" si="142"/>
        <v>-289245283.22146785</v>
      </c>
      <c r="M2248" s="460">
        <f t="shared" si="144"/>
        <v>0.05</v>
      </c>
      <c r="N2248" s="464">
        <f t="shared" si="145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43"/>
        <v>-289245283.22146785</v>
      </c>
      <c r="J2249" s="444">
        <f t="array" ref="J2249">IFERROR(INDEX('Retirement Calculator'!J:J,MATCH('Isaac 401k'!N2249,'Retirement Calculator'!A:A,0),0),0)</f>
        <v>0</v>
      </c>
      <c r="K2249" s="444">
        <f t="shared" ca="1" si="141"/>
        <v>-1205188.6800894493</v>
      </c>
      <c r="L2249" s="444">
        <f t="shared" ca="1" si="142"/>
        <v>-290450471.90155733</v>
      </c>
      <c r="M2249" s="460">
        <f t="shared" si="144"/>
        <v>0.05</v>
      </c>
      <c r="N2249" s="464">
        <f t="shared" si="145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43"/>
        <v>-290450471.90155733</v>
      </c>
      <c r="J2250" s="444">
        <f t="array" ref="J2250">IFERROR(INDEX('Retirement Calculator'!J:J,MATCH('Isaac 401k'!N2250,'Retirement Calculator'!A:A,0),0),0)</f>
        <v>0</v>
      </c>
      <c r="K2250" s="444">
        <f t="shared" ca="1" si="141"/>
        <v>-1210210.2995898221</v>
      </c>
      <c r="L2250" s="444">
        <f t="shared" ca="1" si="142"/>
        <v>-291660682.20114714</v>
      </c>
      <c r="M2250" s="460">
        <f t="shared" si="144"/>
        <v>0.05</v>
      </c>
      <c r="N2250" s="464">
        <f t="shared" si="145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43"/>
        <v>-291660682.20114714</v>
      </c>
      <c r="J2251" s="444">
        <f t="array" ref="J2251">IFERROR(INDEX('Retirement Calculator'!J:J,MATCH('Isaac 401k'!N2251,'Retirement Calculator'!A:A,0),0),0)</f>
        <v>0</v>
      </c>
      <c r="K2251" s="444">
        <f t="shared" ca="1" si="141"/>
        <v>-1215252.8425047798</v>
      </c>
      <c r="L2251" s="444">
        <f t="shared" ca="1" si="142"/>
        <v>-292875935.04365194</v>
      </c>
      <c r="M2251" s="460">
        <f t="shared" si="144"/>
        <v>0.05</v>
      </c>
      <c r="N2251" s="464">
        <f t="shared" si="145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43"/>
        <v>-292875935.04365194</v>
      </c>
      <c r="J2252" s="444">
        <f t="array" ref="J2252">IFERROR(INDEX('Retirement Calculator'!J:J,MATCH('Isaac 401k'!N2252,'Retirement Calculator'!A:A,0),0),0)</f>
        <v>0</v>
      </c>
      <c r="K2252" s="444">
        <f t="shared" ca="1" si="141"/>
        <v>-1220316.3960152164</v>
      </c>
      <c r="L2252" s="444">
        <f t="shared" ca="1" si="142"/>
        <v>-294096251.43966717</v>
      </c>
      <c r="M2252" s="460">
        <f t="shared" si="144"/>
        <v>0.05</v>
      </c>
      <c r="N2252" s="464">
        <f t="shared" si="145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43"/>
        <v>-294096251.43966717</v>
      </c>
      <c r="J2253" s="444">
        <f t="array" ref="J2253">IFERROR(INDEX('Retirement Calculator'!J:J,MATCH('Isaac 401k'!N2253,'Retirement Calculator'!A:A,0),0),0)</f>
        <v>0</v>
      </c>
      <c r="K2253" s="444">
        <f t="shared" ca="1" si="141"/>
        <v>-1225401.0476652798</v>
      </c>
      <c r="L2253" s="444">
        <f t="shared" ca="1" si="142"/>
        <v>-295321652.48733246</v>
      </c>
      <c r="M2253" s="460">
        <f t="shared" si="144"/>
        <v>0.05</v>
      </c>
      <c r="N2253" s="464">
        <f t="shared" si="145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43"/>
        <v>-295321652.48733246</v>
      </c>
      <c r="J2254" s="444">
        <f t="array" ref="J2254">IFERROR(INDEX('Retirement Calculator'!J:J,MATCH('Isaac 401k'!N2254,'Retirement Calculator'!A:A,0),0),0)</f>
        <v>0</v>
      </c>
      <c r="K2254" s="444">
        <f t="shared" ca="1" si="141"/>
        <v>-1230506.8853638852</v>
      </c>
      <c r="L2254" s="444">
        <f t="shared" ca="1" si="142"/>
        <v>-296552159.37269634</v>
      </c>
      <c r="M2254" s="460">
        <f t="shared" si="144"/>
        <v>0.05</v>
      </c>
      <c r="N2254" s="464">
        <f t="shared" si="145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43"/>
        <v>-296552159.37269634</v>
      </c>
      <c r="J2255" s="444">
        <f t="array" ref="J2255">IFERROR(INDEX('Retirement Calculator'!J:J,MATCH('Isaac 401k'!N2255,'Retirement Calculator'!A:A,0),0),0)</f>
        <v>0</v>
      </c>
      <c r="K2255" s="444">
        <f t="shared" ca="1" si="141"/>
        <v>-1235633.9973862348</v>
      </c>
      <c r="L2255" s="444">
        <f t="shared" ca="1" si="142"/>
        <v>-297787793.37008256</v>
      </c>
      <c r="M2255" s="460">
        <f t="shared" si="144"/>
        <v>0.05</v>
      </c>
      <c r="N2255" s="464">
        <f t="shared" si="145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43"/>
        <v>-297787793.37008256</v>
      </c>
      <c r="J2256" s="444">
        <f t="array" ref="J2256">IFERROR(INDEX('Retirement Calculator'!J:J,MATCH('Isaac 401k'!N2256,'Retirement Calculator'!A:A,0),0),0)</f>
        <v>0</v>
      </c>
      <c r="K2256" s="444">
        <f t="shared" ca="1" si="141"/>
        <v>-1240782.472375344</v>
      </c>
      <c r="L2256" s="444">
        <f t="shared" ca="1" si="142"/>
        <v>-299028575.84245789</v>
      </c>
      <c r="M2256" s="460">
        <f t="shared" si="144"/>
        <v>0.05</v>
      </c>
      <c r="N2256" s="464">
        <f t="shared" si="145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43"/>
        <v>-299028575.84245789</v>
      </c>
      <c r="J2257" s="444">
        <f t="array" ref="J2257">IFERROR(INDEX('Retirement Calculator'!J:J,MATCH('Isaac 401k'!N2257,'Retirement Calculator'!A:A,0),0),0)</f>
        <v>0</v>
      </c>
      <c r="K2257" s="444">
        <f t="shared" ca="1" si="141"/>
        <v>-1245952.3993435744</v>
      </c>
      <c r="L2257" s="444">
        <f t="shared" ca="1" si="142"/>
        <v>-300274528.24180144</v>
      </c>
      <c r="M2257" s="460">
        <f t="shared" si="144"/>
        <v>0.05</v>
      </c>
      <c r="N2257" s="464">
        <f t="shared" si="145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43"/>
        <v>-300274528.24180144</v>
      </c>
      <c r="J2258" s="444">
        <f t="array" ref="J2258">IFERROR(INDEX('Retirement Calculator'!J:J,MATCH('Isaac 401k'!N2258,'Retirement Calculator'!A:A,0),0),0)</f>
        <v>0</v>
      </c>
      <c r="K2258" s="444">
        <f t="shared" ca="1" si="141"/>
        <v>-1251143.8676741726</v>
      </c>
      <c r="L2258" s="444">
        <f t="shared" ca="1" si="142"/>
        <v>-301525672.10947561</v>
      </c>
      <c r="M2258" s="460">
        <f t="shared" si="144"/>
        <v>0.05</v>
      </c>
      <c r="N2258" s="464">
        <f t="shared" si="145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43"/>
        <v>-301525672.10947561</v>
      </c>
      <c r="J2259" s="444">
        <f t="array" ref="J2259">IFERROR(INDEX('Retirement Calculator'!J:J,MATCH('Isaac 401k'!N2259,'Retirement Calculator'!A:A,0),0),0)</f>
        <v>0</v>
      </c>
      <c r="K2259" s="444">
        <f t="shared" ca="1" si="141"/>
        <v>-1256356.9671228151</v>
      </c>
      <c r="L2259" s="444">
        <f t="shared" ca="1" si="142"/>
        <v>-302782029.07659841</v>
      </c>
      <c r="M2259" s="460">
        <f t="shared" si="144"/>
        <v>0.05</v>
      </c>
      <c r="N2259" s="464">
        <f t="shared" si="145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43"/>
        <v>-302782029.07659841</v>
      </c>
      <c r="J2260" s="444">
        <f t="array" ref="J2260">IFERROR(INDEX('Retirement Calculator'!J:J,MATCH('Isaac 401k'!N2260,'Retirement Calculator'!A:A,0),0),0)</f>
        <v>0</v>
      </c>
      <c r="K2260" s="444">
        <f t="shared" ca="1" si="141"/>
        <v>-1261591.7878191599</v>
      </c>
      <c r="L2260" s="444">
        <f t="shared" ca="1" si="142"/>
        <v>-304043620.86441755</v>
      </c>
      <c r="M2260" s="460">
        <f t="shared" si="144"/>
        <v>0.05</v>
      </c>
      <c r="N2260" s="464">
        <f t="shared" si="145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43"/>
        <v>-304043620.86441755</v>
      </c>
      <c r="J2261" s="444">
        <f t="array" ref="J2261">IFERROR(INDEX('Retirement Calculator'!J:J,MATCH('Isaac 401k'!N2261,'Retirement Calculator'!A:A,0),0),0)</f>
        <v>0</v>
      </c>
      <c r="K2261" s="444">
        <f t="shared" ca="1" si="141"/>
        <v>-1266848.4202684064</v>
      </c>
      <c r="L2261" s="444">
        <f t="shared" ca="1" si="142"/>
        <v>-305310469.28468597</v>
      </c>
      <c r="M2261" s="460">
        <f t="shared" si="144"/>
        <v>0.05</v>
      </c>
      <c r="N2261" s="464">
        <f t="shared" si="145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43"/>
        <v>-305310469.28468597</v>
      </c>
      <c r="J2262" s="444">
        <f t="array" ref="J2262">IFERROR(INDEX('Retirement Calculator'!J:J,MATCH('Isaac 401k'!N2262,'Retirement Calculator'!A:A,0),0),0)</f>
        <v>0</v>
      </c>
      <c r="K2262" s="444">
        <f t="shared" ca="1" si="141"/>
        <v>-1272126.9553528582</v>
      </c>
      <c r="L2262" s="444">
        <f t="shared" ca="1" si="142"/>
        <v>-306582596.24003881</v>
      </c>
      <c r="M2262" s="460">
        <f t="shared" si="144"/>
        <v>0.05</v>
      </c>
      <c r="N2262" s="464">
        <f t="shared" si="145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43"/>
        <v>-306582596.24003881</v>
      </c>
      <c r="J2263" s="444">
        <f t="array" ref="J2263">IFERROR(INDEX('Retirement Calculator'!J:J,MATCH('Isaac 401k'!N2263,'Retirement Calculator'!A:A,0),0),0)</f>
        <v>0</v>
      </c>
      <c r="K2263" s="444">
        <f t="shared" ca="1" si="141"/>
        <v>-1277427.4843334951</v>
      </c>
      <c r="L2263" s="444">
        <f t="shared" ca="1" si="142"/>
        <v>-307860023.72437233</v>
      </c>
      <c r="M2263" s="460">
        <f t="shared" si="144"/>
        <v>0.05</v>
      </c>
      <c r="N2263" s="464">
        <f t="shared" si="145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43"/>
        <v>-307860023.72437233</v>
      </c>
      <c r="J2264" s="444">
        <f t="array" ref="J2264">IFERROR(INDEX('Retirement Calculator'!J:J,MATCH('Isaac 401k'!N2264,'Retirement Calculator'!A:A,0),0),0)</f>
        <v>0</v>
      </c>
      <c r="K2264" s="444">
        <f t="shared" ca="1" si="141"/>
        <v>-1282750.0988515513</v>
      </c>
      <c r="L2264" s="444">
        <f t="shared" ca="1" si="142"/>
        <v>-309142773.82322389</v>
      </c>
      <c r="M2264" s="460">
        <f t="shared" si="144"/>
        <v>0.05</v>
      </c>
      <c r="N2264" s="464">
        <f t="shared" si="145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43"/>
        <v>-309142773.82322389</v>
      </c>
      <c r="J2265" s="444">
        <f t="array" ref="J2265">IFERROR(INDEX('Retirement Calculator'!J:J,MATCH('Isaac 401k'!N2265,'Retirement Calculator'!A:A,0),0),0)</f>
        <v>0</v>
      </c>
      <c r="K2265" s="444">
        <f t="shared" ca="1" si="141"/>
        <v>-1288094.8909300994</v>
      </c>
      <c r="L2265" s="444">
        <f t="shared" ca="1" si="142"/>
        <v>-310430868.71415401</v>
      </c>
      <c r="M2265" s="460">
        <f t="shared" si="144"/>
        <v>0.05</v>
      </c>
      <c r="N2265" s="464">
        <f t="shared" si="145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43"/>
        <v>-310430868.71415401</v>
      </c>
      <c r="J2266" s="444">
        <f t="array" ref="J2266">IFERROR(INDEX('Retirement Calculator'!J:J,MATCH('Isaac 401k'!N2266,'Retirement Calculator'!A:A,0),0),0)</f>
        <v>0</v>
      </c>
      <c r="K2266" s="444">
        <f t="shared" ca="1" si="141"/>
        <v>-1293461.9529756417</v>
      </c>
      <c r="L2266" s="444">
        <f t="shared" ca="1" si="142"/>
        <v>-311724330.66712964</v>
      </c>
      <c r="M2266" s="460">
        <f t="shared" si="144"/>
        <v>0.05</v>
      </c>
      <c r="N2266" s="464">
        <f t="shared" si="145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43"/>
        <v>-311724330.66712964</v>
      </c>
      <c r="J2267" s="444">
        <f t="array" ref="J2267">IFERROR(INDEX('Retirement Calculator'!J:J,MATCH('Isaac 401k'!N2267,'Retirement Calculator'!A:A,0),0),0)</f>
        <v>0</v>
      </c>
      <c r="K2267" s="444">
        <f t="shared" ca="1" si="141"/>
        <v>-1298851.3777797068</v>
      </c>
      <c r="L2267" s="444">
        <f t="shared" ca="1" si="142"/>
        <v>-313023182.04490936</v>
      </c>
      <c r="M2267" s="460">
        <f t="shared" si="144"/>
        <v>0.05</v>
      </c>
      <c r="N2267" s="464">
        <f t="shared" si="145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43"/>
        <v>-313023182.04490936</v>
      </c>
      <c r="J2268" s="444">
        <f t="array" ref="J2268">IFERROR(INDEX('Retirement Calculator'!J:J,MATCH('Isaac 401k'!N2268,'Retirement Calculator'!A:A,0),0),0)</f>
        <v>0</v>
      </c>
      <c r="K2268" s="444">
        <f t="shared" ca="1" si="141"/>
        <v>-1304263.2585204556</v>
      </c>
      <c r="L2268" s="444">
        <f t="shared" ca="1" si="142"/>
        <v>-314327445.30342984</v>
      </c>
      <c r="M2268" s="460">
        <f t="shared" si="144"/>
        <v>0.05</v>
      </c>
      <c r="N2268" s="464">
        <f t="shared" si="145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43"/>
        <v>-314327445.30342984</v>
      </c>
      <c r="J2269" s="444">
        <f t="array" ref="J2269">IFERROR(INDEX('Retirement Calculator'!J:J,MATCH('Isaac 401k'!N2269,'Retirement Calculator'!A:A,0),0),0)</f>
        <v>0</v>
      </c>
      <c r="K2269" s="444">
        <f t="shared" ca="1" si="141"/>
        <v>-1309697.6887642909</v>
      </c>
      <c r="L2269" s="444">
        <f t="shared" ca="1" si="142"/>
        <v>-315637142.99219412</v>
      </c>
      <c r="M2269" s="460">
        <f t="shared" si="144"/>
        <v>0.05</v>
      </c>
      <c r="N2269" s="464">
        <f t="shared" si="145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43"/>
        <v>-315637142.99219412</v>
      </c>
      <c r="J2270" s="444">
        <f t="array" ref="J2270">IFERROR(INDEX('Retirement Calculator'!J:J,MATCH('Isaac 401k'!N2270,'Retirement Calculator'!A:A,0),0),0)</f>
        <v>0</v>
      </c>
      <c r="K2270" s="444">
        <f t="shared" ca="1" si="141"/>
        <v>-1315154.7624674754</v>
      </c>
      <c r="L2270" s="444">
        <f t="shared" ca="1" si="142"/>
        <v>-316952297.75466162</v>
      </c>
      <c r="M2270" s="460">
        <f t="shared" si="144"/>
        <v>0.05</v>
      </c>
      <c r="N2270" s="464">
        <f t="shared" si="145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43"/>
        <v>-316952297.75466162</v>
      </c>
      <c r="J2271" s="444">
        <f t="array" ref="J2271">IFERROR(INDEX('Retirement Calculator'!J:J,MATCH('Isaac 401k'!N2271,'Retirement Calculator'!A:A,0),0),0)</f>
        <v>0</v>
      </c>
      <c r="K2271" s="444">
        <f t="shared" ca="1" si="141"/>
        <v>-1320634.5739777568</v>
      </c>
      <c r="L2271" s="444">
        <f t="shared" ca="1" si="142"/>
        <v>-318272932.32863939</v>
      </c>
      <c r="M2271" s="460">
        <f t="shared" si="144"/>
        <v>0.05</v>
      </c>
      <c r="N2271" s="464">
        <f t="shared" si="145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43"/>
        <v>-318272932.32863939</v>
      </c>
      <c r="J2272" s="444">
        <f t="array" ref="J2272">IFERROR(INDEX('Retirement Calculator'!J:J,MATCH('Isaac 401k'!N2272,'Retirement Calculator'!A:A,0),0),0)</f>
        <v>0</v>
      </c>
      <c r="K2272" s="444">
        <f t="shared" ca="1" si="141"/>
        <v>-1326137.2180359974</v>
      </c>
      <c r="L2272" s="444">
        <f t="shared" ca="1" si="142"/>
        <v>-319599069.54667538</v>
      </c>
      <c r="M2272" s="460">
        <f t="shared" si="144"/>
        <v>0.05</v>
      </c>
      <c r="N2272" s="464">
        <f t="shared" si="145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43"/>
        <v>-319599069.54667538</v>
      </c>
      <c r="J2273" s="444">
        <f t="array" ref="J2273">IFERROR(INDEX('Retirement Calculator'!J:J,MATCH('Isaac 401k'!N2273,'Retirement Calculator'!A:A,0),0),0)</f>
        <v>0</v>
      </c>
      <c r="K2273" s="444">
        <f t="shared" ca="1" si="141"/>
        <v>-1331662.7897778142</v>
      </c>
      <c r="L2273" s="444">
        <f t="shared" ca="1" si="142"/>
        <v>-320930732.3364532</v>
      </c>
      <c r="M2273" s="460">
        <f t="shared" si="144"/>
        <v>0.05</v>
      </c>
      <c r="N2273" s="464">
        <f t="shared" si="145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43"/>
        <v>-320930732.3364532</v>
      </c>
      <c r="J2274" s="444">
        <f t="array" ref="J2274">IFERROR(INDEX('Retirement Calculator'!J:J,MATCH('Isaac 401k'!N2274,'Retirement Calculator'!A:A,0),0),0)</f>
        <v>0</v>
      </c>
      <c r="K2274" s="444">
        <f t="shared" ca="1" si="141"/>
        <v>-1337211.3847352217</v>
      </c>
      <c r="L2274" s="444">
        <f t="shared" ca="1" si="142"/>
        <v>-322267943.72118843</v>
      </c>
      <c r="M2274" s="460">
        <f t="shared" si="144"/>
        <v>0.05</v>
      </c>
      <c r="N2274" s="464">
        <f t="shared" si="145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43"/>
        <v>-322267943.72118843</v>
      </c>
      <c r="J2275" s="444">
        <f t="array" ref="J2275">IFERROR(INDEX('Retirement Calculator'!J:J,MATCH('Isaac 401k'!N2275,'Retirement Calculator'!A:A,0),0),0)</f>
        <v>0</v>
      </c>
      <c r="K2275" s="444">
        <f t="shared" ca="1" si="141"/>
        <v>-1342783.0988382851</v>
      </c>
      <c r="L2275" s="444">
        <f t="shared" ca="1" si="142"/>
        <v>-323610726.8200267</v>
      </c>
      <c r="M2275" s="460">
        <f t="shared" si="144"/>
        <v>0.05</v>
      </c>
      <c r="N2275" s="464">
        <f t="shared" si="145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43"/>
        <v>-323610726.8200267</v>
      </c>
      <c r="J2276" s="444">
        <f t="array" ref="J2276">IFERROR(INDEX('Retirement Calculator'!J:J,MATCH('Isaac 401k'!N2276,'Retirement Calculator'!A:A,0),0),0)</f>
        <v>0</v>
      </c>
      <c r="K2276" s="444">
        <f t="shared" ca="1" si="141"/>
        <v>-1348378.028416778</v>
      </c>
      <c r="L2276" s="444">
        <f t="shared" ca="1" si="142"/>
        <v>-324959104.84844345</v>
      </c>
      <c r="M2276" s="460">
        <f t="shared" si="144"/>
        <v>0.05</v>
      </c>
      <c r="N2276" s="464">
        <f t="shared" si="145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43"/>
        <v>-324959104.84844345</v>
      </c>
      <c r="J2277" s="444">
        <f t="array" ref="J2277">IFERROR(INDEX('Retirement Calculator'!J:J,MATCH('Isaac 401k'!N2277,'Retirement Calculator'!A:A,0),0),0)</f>
        <v>0</v>
      </c>
      <c r="K2277" s="444">
        <f t="shared" ca="1" si="141"/>
        <v>-1353996.2702018477</v>
      </c>
      <c r="L2277" s="444">
        <f t="shared" ca="1" si="142"/>
        <v>-326313101.11864531</v>
      </c>
      <c r="M2277" s="460">
        <f t="shared" si="144"/>
        <v>0.05</v>
      </c>
      <c r="N2277" s="464">
        <f t="shared" si="145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43"/>
        <v>-326313101.11864531</v>
      </c>
      <c r="J2278" s="444">
        <f t="array" ref="J2278">IFERROR(INDEX('Retirement Calculator'!J:J,MATCH('Isaac 401k'!N2278,'Retirement Calculator'!A:A,0),0),0)</f>
        <v>0</v>
      </c>
      <c r="K2278" s="444">
        <f t="shared" ca="1" si="141"/>
        <v>-1359637.9213276887</v>
      </c>
      <c r="L2278" s="444">
        <f t="shared" ca="1" si="142"/>
        <v>-327672739.03997302</v>
      </c>
      <c r="M2278" s="460">
        <f t="shared" si="144"/>
        <v>0.05</v>
      </c>
      <c r="N2278" s="464">
        <f t="shared" si="145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43"/>
        <v>-327672739.03997302</v>
      </c>
      <c r="J2279" s="444">
        <f t="array" ref="J2279">IFERROR(INDEX('Retirement Calculator'!J:J,MATCH('Isaac 401k'!N2279,'Retirement Calculator'!A:A,0),0),0)</f>
        <v>0</v>
      </c>
      <c r="K2279" s="444">
        <f t="shared" ca="1" si="141"/>
        <v>-1365303.0793332208</v>
      </c>
      <c r="L2279" s="444">
        <f t="shared" ca="1" si="142"/>
        <v>-329038042.11930627</v>
      </c>
      <c r="M2279" s="460">
        <f t="shared" si="144"/>
        <v>0.05</v>
      </c>
      <c r="N2279" s="464">
        <f t="shared" si="145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43"/>
        <v>-329038042.11930627</v>
      </c>
      <c r="J2280" s="444">
        <f t="array" ref="J2280">IFERROR(INDEX('Retirement Calculator'!J:J,MATCH('Isaac 401k'!N2280,'Retirement Calculator'!A:A,0),0),0)</f>
        <v>0</v>
      </c>
      <c r="K2280" s="444">
        <f t="shared" ca="1" si="141"/>
        <v>-1370991.842163776</v>
      </c>
      <c r="L2280" s="444">
        <f t="shared" ca="1" si="142"/>
        <v>-330409033.96147007</v>
      </c>
      <c r="M2280" s="460">
        <f t="shared" si="144"/>
        <v>0.05</v>
      </c>
      <c r="N2280" s="464">
        <f t="shared" si="145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43"/>
        <v>-330409033.96147007</v>
      </c>
      <c r="J2281" s="444">
        <f t="array" ref="J2281">IFERROR(INDEX('Retirement Calculator'!J:J,MATCH('Isaac 401k'!N2281,'Retirement Calculator'!A:A,0),0),0)</f>
        <v>0</v>
      </c>
      <c r="K2281" s="444">
        <f t="shared" ca="1" si="141"/>
        <v>-1376704.308172792</v>
      </c>
      <c r="L2281" s="444">
        <f t="shared" ca="1" si="142"/>
        <v>-331785738.26964283</v>
      </c>
      <c r="M2281" s="460">
        <f t="shared" si="144"/>
        <v>0.05</v>
      </c>
      <c r="N2281" s="464">
        <f t="shared" si="145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43"/>
        <v>-331785738.26964283</v>
      </c>
      <c r="J2282" s="444">
        <f t="array" ref="J2282">IFERROR(INDEX('Retirement Calculator'!J:J,MATCH('Isaac 401k'!N2282,'Retirement Calculator'!A:A,0),0),0)</f>
        <v>0</v>
      </c>
      <c r="K2282" s="444">
        <f t="shared" ca="1" si="141"/>
        <v>-1382440.5761235119</v>
      </c>
      <c r="L2282" s="444">
        <f t="shared" ca="1" si="142"/>
        <v>-333168178.84576637</v>
      </c>
      <c r="M2282" s="460">
        <f t="shared" si="144"/>
        <v>0.05</v>
      </c>
      <c r="N2282" s="464">
        <f t="shared" si="145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43"/>
        <v>-333168178.84576637</v>
      </c>
      <c r="J2283" s="444">
        <f t="array" ref="J2283">IFERROR(INDEX('Retirement Calculator'!J:J,MATCH('Isaac 401k'!N2283,'Retirement Calculator'!A:A,0),0),0)</f>
        <v>0</v>
      </c>
      <c r="K2283" s="444">
        <f t="shared" ca="1" si="141"/>
        <v>-1388200.7451906931</v>
      </c>
      <c r="L2283" s="444">
        <f t="shared" ca="1" si="142"/>
        <v>-334556379.59095705</v>
      </c>
      <c r="M2283" s="460">
        <f t="shared" si="144"/>
        <v>0.05</v>
      </c>
      <c r="N2283" s="464">
        <f t="shared" si="145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43"/>
        <v>-334556379.59095705</v>
      </c>
      <c r="J2284" s="444">
        <f t="array" ref="J2284">IFERROR(INDEX('Retirement Calculator'!J:J,MATCH('Isaac 401k'!N2284,'Retirement Calculator'!A:A,0),0),0)</f>
        <v>0</v>
      </c>
      <c r="K2284" s="444">
        <f t="shared" ca="1" si="141"/>
        <v>-1393984.9149623211</v>
      </c>
      <c r="L2284" s="444">
        <f t="shared" ca="1" si="142"/>
        <v>-335950364.50591934</v>
      </c>
      <c r="M2284" s="460">
        <f t="shared" si="144"/>
        <v>0.05</v>
      </c>
      <c r="N2284" s="464">
        <f t="shared" si="145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43"/>
        <v>-335950364.50591934</v>
      </c>
      <c r="J2285" s="444">
        <f t="array" ref="J2285">IFERROR(INDEX('Retirement Calculator'!J:J,MATCH('Isaac 401k'!N2285,'Retirement Calculator'!A:A,0),0),0)</f>
        <v>0</v>
      </c>
      <c r="K2285" s="444">
        <f t="shared" ca="1" si="141"/>
        <v>-1399793.1854413305</v>
      </c>
      <c r="L2285" s="444">
        <f t="shared" ca="1" si="142"/>
        <v>-337350157.69136065</v>
      </c>
      <c r="M2285" s="460">
        <f t="shared" si="144"/>
        <v>0.05</v>
      </c>
      <c r="N2285" s="464">
        <f t="shared" si="145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43"/>
        <v>-337350157.69136065</v>
      </c>
      <c r="J2286" s="444">
        <f t="array" ref="J2286">IFERROR(INDEX('Retirement Calculator'!J:J,MATCH('Isaac 401k'!N2286,'Retirement Calculator'!A:A,0),0),0)</f>
        <v>0</v>
      </c>
      <c r="K2286" s="444">
        <f t="shared" ca="1" si="141"/>
        <v>-1405625.657047336</v>
      </c>
      <c r="L2286" s="444">
        <f t="shared" ca="1" si="142"/>
        <v>-338755783.34840798</v>
      </c>
      <c r="M2286" s="460">
        <f t="shared" si="144"/>
        <v>0.05</v>
      </c>
      <c r="N2286" s="464">
        <f t="shared" si="145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43"/>
        <v>-338755783.34840798</v>
      </c>
      <c r="J2287" s="444">
        <f t="array" ref="J2287">IFERROR(INDEX('Retirement Calculator'!J:J,MATCH('Isaac 401k'!N2287,'Retirement Calculator'!A:A,0),0),0)</f>
        <v>0</v>
      </c>
      <c r="K2287" s="444">
        <f t="shared" ca="1" si="141"/>
        <v>-1411482.4306183667</v>
      </c>
      <c r="L2287" s="444">
        <f t="shared" ca="1" si="142"/>
        <v>-340167265.77902633</v>
      </c>
      <c r="M2287" s="460">
        <f t="shared" si="144"/>
        <v>0.05</v>
      </c>
      <c r="N2287" s="464">
        <f t="shared" si="145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43"/>
        <v>-340167265.77902633</v>
      </c>
      <c r="J2288" s="444">
        <f t="array" ref="J2288">IFERROR(INDEX('Retirement Calculator'!J:J,MATCH('Isaac 401k'!N2288,'Retirement Calculator'!A:A,0),0),0)</f>
        <v>0</v>
      </c>
      <c r="K2288" s="444">
        <f t="shared" ca="1" si="141"/>
        <v>-1417363.6074126097</v>
      </c>
      <c r="L2288" s="444">
        <f t="shared" ca="1" si="142"/>
        <v>-341584629.38643897</v>
      </c>
      <c r="M2288" s="460">
        <f t="shared" si="144"/>
        <v>0.05</v>
      </c>
      <c r="N2288" s="464">
        <f t="shared" si="145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43"/>
        <v>-341584629.38643897</v>
      </c>
      <c r="J2289" s="444">
        <f t="array" ref="J2289">IFERROR(INDEX('Retirement Calculator'!J:J,MATCH('Isaac 401k'!N2289,'Retirement Calculator'!A:A,0),0),0)</f>
        <v>0</v>
      </c>
      <c r="K2289" s="444">
        <f t="shared" ca="1" si="141"/>
        <v>-1423269.2891101623</v>
      </c>
      <c r="L2289" s="444">
        <f t="shared" ca="1" si="142"/>
        <v>-343007898.67554915</v>
      </c>
      <c r="M2289" s="460">
        <f t="shared" si="144"/>
        <v>0.05</v>
      </c>
      <c r="N2289" s="464">
        <f t="shared" si="145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43"/>
        <v>-343007898.67554915</v>
      </c>
      <c r="J2290" s="444">
        <f t="array" ref="J2290">IFERROR(INDEX('Retirement Calculator'!J:J,MATCH('Isaac 401k'!N2290,'Retirement Calculator'!A:A,0),0),0)</f>
        <v>0</v>
      </c>
      <c r="K2290" s="444">
        <f t="shared" ca="1" si="141"/>
        <v>-1429199.5778147881</v>
      </c>
      <c r="L2290" s="444">
        <f t="shared" ca="1" si="142"/>
        <v>-344437098.25336397</v>
      </c>
      <c r="M2290" s="460">
        <f t="shared" si="144"/>
        <v>0.05</v>
      </c>
      <c r="N2290" s="464">
        <f t="shared" si="145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43"/>
        <v>-344437098.25336397</v>
      </c>
      <c r="J2291" s="444">
        <f t="array" ref="J2291">IFERROR(INDEX('Retirement Calculator'!J:J,MATCH('Isaac 401k'!N2291,'Retirement Calculator'!A:A,0),0),0)</f>
        <v>0</v>
      </c>
      <c r="K2291" s="444">
        <f t="shared" ca="1" si="141"/>
        <v>-1435154.5760556832</v>
      </c>
      <c r="L2291" s="444">
        <f t="shared" ca="1" si="142"/>
        <v>-345872252.82941967</v>
      </c>
      <c r="M2291" s="460">
        <f t="shared" si="144"/>
        <v>0.05</v>
      </c>
      <c r="N2291" s="464">
        <f t="shared" si="145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43"/>
        <v>-345872252.82941967</v>
      </c>
      <c r="J2292" s="444">
        <f t="array" ref="J2292">IFERROR(INDEX('Retirement Calculator'!J:J,MATCH('Isaac 401k'!N2292,'Retirement Calculator'!A:A,0),0),0)</f>
        <v>0</v>
      </c>
      <c r="K2292" s="444">
        <f t="shared" ca="1" si="141"/>
        <v>-1441134.3867892486</v>
      </c>
      <c r="L2292" s="444">
        <f t="shared" ca="1" si="142"/>
        <v>-347313387.21620893</v>
      </c>
      <c r="M2292" s="460">
        <f t="shared" si="144"/>
        <v>0.05</v>
      </c>
      <c r="N2292" s="464">
        <f t="shared" si="145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43"/>
        <v>-347313387.21620893</v>
      </c>
      <c r="J2293" s="444">
        <f t="array" ref="J2293">IFERROR(INDEX('Retirement Calculator'!J:J,MATCH('Isaac 401k'!N2293,'Retirement Calculator'!A:A,0),0),0)</f>
        <v>0</v>
      </c>
      <c r="K2293" s="444">
        <f t="shared" ca="1" si="141"/>
        <v>-1447139.1134008705</v>
      </c>
      <c r="L2293" s="444">
        <f t="shared" ca="1" si="142"/>
        <v>-348760526.32960981</v>
      </c>
      <c r="M2293" s="460">
        <f t="shared" si="144"/>
        <v>0.05</v>
      </c>
      <c r="N2293" s="464">
        <f t="shared" si="145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43"/>
        <v>-348760526.32960981</v>
      </c>
      <c r="J2294" s="444">
        <f t="array" ref="J2294">IFERROR(INDEX('Retirement Calculator'!J:J,MATCH('Isaac 401k'!N2294,'Retirement Calculator'!A:A,0),0),0)</f>
        <v>0</v>
      </c>
      <c r="K2294" s="444">
        <f t="shared" ca="1" si="141"/>
        <v>-1453168.8597067075</v>
      </c>
      <c r="L2294" s="444">
        <f t="shared" ca="1" si="142"/>
        <v>-350213695.18931651</v>
      </c>
      <c r="M2294" s="460">
        <f t="shared" si="144"/>
        <v>0.05</v>
      </c>
      <c r="N2294" s="464">
        <f t="shared" si="145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43"/>
        <v>-350213695.18931651</v>
      </c>
      <c r="J2295" s="444">
        <f t="array" ref="J2295">IFERROR(INDEX('Retirement Calculator'!J:J,MATCH('Isaac 401k'!N2295,'Retirement Calculator'!A:A,0),0),0)</f>
        <v>0</v>
      </c>
      <c r="K2295" s="444">
        <f t="shared" ca="1" si="141"/>
        <v>-1459223.7299554856</v>
      </c>
      <c r="L2295" s="444">
        <f t="shared" ca="1" si="142"/>
        <v>-351672918.91927201</v>
      </c>
      <c r="M2295" s="460">
        <f t="shared" si="144"/>
        <v>0.05</v>
      </c>
      <c r="N2295" s="464">
        <f t="shared" si="145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43"/>
        <v>-351672918.91927201</v>
      </c>
      <c r="J2296" s="444">
        <f t="array" ref="J2296">IFERROR(INDEX('Retirement Calculator'!J:J,MATCH('Isaac 401k'!N2296,'Retirement Calculator'!A:A,0),0),0)</f>
        <v>0</v>
      </c>
      <c r="K2296" s="444">
        <f t="shared" ca="1" si="141"/>
        <v>-1465303.8288302999</v>
      </c>
      <c r="L2296" s="444">
        <f t="shared" ca="1" si="142"/>
        <v>-353138222.74810231</v>
      </c>
      <c r="M2296" s="460">
        <f t="shared" si="144"/>
        <v>0.05</v>
      </c>
      <c r="N2296" s="464">
        <f t="shared" si="145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43"/>
        <v>-353138222.74810231</v>
      </c>
      <c r="J2297" s="444">
        <f t="array" ref="J2297">IFERROR(INDEX('Retirement Calculator'!J:J,MATCH('Isaac 401k'!N2297,'Retirement Calculator'!A:A,0),0),0)</f>
        <v>0</v>
      </c>
      <c r="K2297" s="444">
        <f t="shared" ca="1" si="141"/>
        <v>-1471409.2614504262</v>
      </c>
      <c r="L2297" s="444">
        <f t="shared" ca="1" si="142"/>
        <v>-354609632.00955272</v>
      </c>
      <c r="M2297" s="460">
        <f t="shared" si="144"/>
        <v>0.05</v>
      </c>
      <c r="N2297" s="464">
        <f t="shared" si="145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43"/>
        <v>-354609632.00955272</v>
      </c>
      <c r="J2298" s="444">
        <f t="array" ref="J2298">IFERROR(INDEX('Retirement Calculator'!J:J,MATCH('Isaac 401k'!N2298,'Retirement Calculator'!A:A,0),0),0)</f>
        <v>0</v>
      </c>
      <c r="K2298" s="444">
        <f t="shared" ca="1" si="141"/>
        <v>-1477540.1333731364</v>
      </c>
      <c r="L2298" s="444">
        <f t="shared" ca="1" si="142"/>
        <v>-356087172.14292586</v>
      </c>
      <c r="M2298" s="460">
        <f t="shared" si="144"/>
        <v>0.05</v>
      </c>
      <c r="N2298" s="464">
        <f t="shared" si="145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43"/>
        <v>-356087172.14292586</v>
      </c>
      <c r="J2299" s="444">
        <f t="array" ref="J2299">IFERROR(INDEX('Retirement Calculator'!J:J,MATCH('Isaac 401k'!N2299,'Retirement Calculator'!A:A,0),0),0)</f>
        <v>0</v>
      </c>
      <c r="K2299" s="444">
        <f t="shared" ca="1" si="141"/>
        <v>-1483696.5505955245</v>
      </c>
      <c r="L2299" s="444">
        <f t="shared" ca="1" si="142"/>
        <v>-357570868.69352138</v>
      </c>
      <c r="M2299" s="460">
        <f t="shared" si="144"/>
        <v>0.05</v>
      </c>
      <c r="N2299" s="464">
        <f t="shared" si="145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43"/>
        <v>-357570868.69352138</v>
      </c>
      <c r="J2300" s="444">
        <f t="array" ref="J2300">IFERROR(INDEX('Retirement Calculator'!J:J,MATCH('Isaac 401k'!N2300,'Retirement Calculator'!A:A,0),0),0)</f>
        <v>0</v>
      </c>
      <c r="K2300" s="444">
        <f t="shared" ca="1" si="141"/>
        <v>-1489878.619556339</v>
      </c>
      <c r="L2300" s="444">
        <f t="shared" ca="1" si="142"/>
        <v>-359060747.31307775</v>
      </c>
      <c r="M2300" s="460">
        <f t="shared" si="144"/>
        <v>0.05</v>
      </c>
      <c r="N2300" s="464">
        <f t="shared" si="145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43"/>
        <v>-359060747.31307775</v>
      </c>
      <c r="J2301" s="444">
        <f t="array" ref="J2301">IFERROR(INDEX('Retirement Calculator'!J:J,MATCH('Isaac 401k'!N2301,'Retirement Calculator'!A:A,0),0),0)</f>
        <v>0</v>
      </c>
      <c r="K2301" s="444">
        <f t="shared" ca="1" si="141"/>
        <v>-1496086.447137824</v>
      </c>
      <c r="L2301" s="444">
        <f t="shared" ca="1" si="142"/>
        <v>-360556833.76021558</v>
      </c>
      <c r="M2301" s="460">
        <f t="shared" si="144"/>
        <v>0.05</v>
      </c>
      <c r="N2301" s="464">
        <f t="shared" si="145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43"/>
        <v>-360556833.76021558</v>
      </c>
      <c r="J2302" s="444">
        <f t="array" ref="J2302">IFERROR(INDEX('Retirement Calculator'!J:J,MATCH('Isaac 401k'!N2302,'Retirement Calculator'!A:A,0),0),0)</f>
        <v>0</v>
      </c>
      <c r="K2302" s="444">
        <f t="shared" ca="1" si="141"/>
        <v>-1502320.1406675649</v>
      </c>
      <c r="L2302" s="444">
        <f t="shared" ca="1" si="142"/>
        <v>-362059153.90088314</v>
      </c>
      <c r="M2302" s="460">
        <f t="shared" si="144"/>
        <v>0.05</v>
      </c>
      <c r="N2302" s="464">
        <f t="shared" si="145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43"/>
        <v>-362059153.90088314</v>
      </c>
      <c r="J2303" s="444">
        <f t="array" ref="J2303">IFERROR(INDEX('Retirement Calculator'!J:J,MATCH('Isaac 401k'!N2303,'Retirement Calculator'!A:A,0),0),0)</f>
        <v>0</v>
      </c>
      <c r="K2303" s="444">
        <f t="shared" ref="K2303:K2557" ca="1" si="146">IPMT(M2303/12,1,12,-I2303+J2303,,0)</f>
        <v>-1508579.8079203465</v>
      </c>
      <c r="L2303" s="444">
        <f t="shared" ref="L2303:L2557" ca="1" si="147">I2303-J2303+K2303</f>
        <v>-363567733.70880347</v>
      </c>
      <c r="M2303" s="460">
        <f t="shared" si="144"/>
        <v>0.05</v>
      </c>
      <c r="N2303" s="464">
        <f t="shared" si="145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48">L2303</f>
        <v>-363567733.70880347</v>
      </c>
      <c r="J2304" s="444">
        <f t="array" ref="J2304">IFERROR(INDEX('Retirement Calculator'!J:J,MATCH('Isaac 401k'!N2304,'Retirement Calculator'!A:A,0),0),0)</f>
        <v>0</v>
      </c>
      <c r="K2304" s="444">
        <f t="shared" ca="1" si="146"/>
        <v>-1514865.5571200144</v>
      </c>
      <c r="L2304" s="444">
        <f t="shared" ca="1" si="147"/>
        <v>-365082599.2659235</v>
      </c>
      <c r="M2304" s="460">
        <f t="shared" ref="M2304:M2558" si="149">M2303</f>
        <v>0.05</v>
      </c>
      <c r="N2304" s="464">
        <f t="shared" ref="N2304:N2558" si="150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48"/>
        <v>-365082599.2659235</v>
      </c>
      <c r="J2305" s="444">
        <f t="array" ref="J2305">IFERROR(INDEX('Retirement Calculator'!J:J,MATCH('Isaac 401k'!N2305,'Retirement Calculator'!A:A,0),0),0)</f>
        <v>0</v>
      </c>
      <c r="K2305" s="444">
        <f t="shared" ca="1" si="146"/>
        <v>-1521177.4969413478</v>
      </c>
      <c r="L2305" s="444">
        <f t="shared" ca="1" si="147"/>
        <v>-366603776.76286483</v>
      </c>
      <c r="M2305" s="460">
        <f t="shared" si="149"/>
        <v>0.05</v>
      </c>
      <c r="N2305" s="464">
        <f t="shared" si="150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48"/>
        <v>-366603776.76286483</v>
      </c>
      <c r="J2306" s="444">
        <f t="array" ref="J2306">IFERROR(INDEX('Retirement Calculator'!J:J,MATCH('Isaac 401k'!N2306,'Retirement Calculator'!A:A,0),0),0)</f>
        <v>0</v>
      </c>
      <c r="K2306" s="444">
        <f t="shared" ca="1" si="146"/>
        <v>-1527515.7365119369</v>
      </c>
      <c r="L2306" s="444">
        <f t="shared" ca="1" si="147"/>
        <v>-368131292.49937677</v>
      </c>
      <c r="M2306" s="460">
        <f t="shared" si="149"/>
        <v>0.05</v>
      </c>
      <c r="N2306" s="464">
        <f t="shared" si="150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48"/>
        <v>-368131292.49937677</v>
      </c>
      <c r="J2307" s="444">
        <f t="array" ref="J2307">IFERROR(INDEX('Retirement Calculator'!J:J,MATCH('Isaac 401k'!N2307,'Retirement Calculator'!A:A,0),0),0)</f>
        <v>0</v>
      </c>
      <c r="K2307" s="444">
        <f t="shared" ca="1" si="146"/>
        <v>-1533880.38541407</v>
      </c>
      <c r="L2307" s="444">
        <f t="shared" ca="1" si="147"/>
        <v>-369665172.88479084</v>
      </c>
      <c r="M2307" s="460">
        <f t="shared" si="149"/>
        <v>0.05</v>
      </c>
      <c r="N2307" s="464">
        <f t="shared" si="150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48"/>
        <v>-369665172.88479084</v>
      </c>
      <c r="J2308" s="444">
        <f t="array" ref="J2308">IFERROR(INDEX('Retirement Calculator'!J:J,MATCH('Isaac 401k'!N2308,'Retirement Calculator'!A:A,0),0),0)</f>
        <v>0</v>
      </c>
      <c r="K2308" s="444">
        <f t="shared" ca="1" si="146"/>
        <v>-1540271.5536866286</v>
      </c>
      <c r="L2308" s="444">
        <f t="shared" ca="1" si="147"/>
        <v>-371205444.43847746</v>
      </c>
      <c r="M2308" s="460">
        <f t="shared" si="149"/>
        <v>0.05</v>
      </c>
      <c r="N2308" s="464">
        <f t="shared" si="150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48"/>
        <v>-371205444.43847746</v>
      </c>
      <c r="J2309" s="444">
        <f t="array" ref="J2309">IFERROR(INDEX('Retirement Calculator'!J:J,MATCH('Isaac 401k'!N2309,'Retirement Calculator'!A:A,0),0),0)</f>
        <v>0</v>
      </c>
      <c r="K2309" s="444">
        <f t="shared" ca="1" si="146"/>
        <v>-1546689.3518269893</v>
      </c>
      <c r="L2309" s="444">
        <f t="shared" ca="1" si="147"/>
        <v>-372752133.79030442</v>
      </c>
      <c r="M2309" s="460">
        <f t="shared" si="149"/>
        <v>0.05</v>
      </c>
      <c r="N2309" s="464">
        <f t="shared" si="150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48"/>
        <v>-372752133.79030442</v>
      </c>
      <c r="J2310" s="444">
        <f t="array" ref="J2310">IFERROR(INDEX('Retirement Calculator'!J:J,MATCH('Isaac 401k'!N2310,'Retirement Calculator'!A:A,0),0),0)</f>
        <v>0</v>
      </c>
      <c r="K2310" s="444">
        <f t="shared" ca="1" si="146"/>
        <v>-1553133.8907929352</v>
      </c>
      <c r="L2310" s="444">
        <f t="shared" ca="1" si="147"/>
        <v>-374305267.68109733</v>
      </c>
      <c r="M2310" s="460">
        <f t="shared" si="149"/>
        <v>0.05</v>
      </c>
      <c r="N2310" s="464">
        <f t="shared" si="150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48"/>
        <v>-374305267.68109733</v>
      </c>
      <c r="J2311" s="444">
        <f t="array" ref="J2311">IFERROR(INDEX('Retirement Calculator'!J:J,MATCH('Isaac 401k'!N2311,'Retirement Calculator'!A:A,0),0),0)</f>
        <v>0</v>
      </c>
      <c r="K2311" s="444">
        <f t="shared" ca="1" si="146"/>
        <v>-1559605.2820045722</v>
      </c>
      <c r="L2311" s="444">
        <f t="shared" ca="1" si="147"/>
        <v>-375864872.96310192</v>
      </c>
      <c r="M2311" s="460">
        <f t="shared" si="149"/>
        <v>0.05</v>
      </c>
      <c r="N2311" s="464">
        <f t="shared" si="150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48"/>
        <v>-375864872.96310192</v>
      </c>
      <c r="J2312" s="444">
        <f t="array" ref="J2312">IFERROR(INDEX('Retirement Calculator'!J:J,MATCH('Isaac 401k'!N2312,'Retirement Calculator'!A:A,0),0),0)</f>
        <v>0</v>
      </c>
      <c r="K2312" s="444">
        <f t="shared" ca="1" si="146"/>
        <v>-1566103.6373462579</v>
      </c>
      <c r="L2312" s="444">
        <f t="shared" ca="1" si="147"/>
        <v>-377430976.60044819</v>
      </c>
      <c r="M2312" s="460">
        <f t="shared" si="149"/>
        <v>0.05</v>
      </c>
      <c r="N2312" s="464">
        <f t="shared" si="150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48"/>
        <v>-377430976.60044819</v>
      </c>
      <c r="J2313" s="444">
        <f t="array" ref="J2313">IFERROR(INDEX('Retirement Calculator'!J:J,MATCH('Isaac 401k'!N2313,'Retirement Calculator'!A:A,0),0),0)</f>
        <v>0</v>
      </c>
      <c r="K2313" s="444">
        <f t="shared" ca="1" si="146"/>
        <v>-1572629.0691685341</v>
      </c>
      <c r="L2313" s="444">
        <f t="shared" ca="1" si="147"/>
        <v>-379003605.6696167</v>
      </c>
      <c r="M2313" s="460">
        <f t="shared" si="149"/>
        <v>0.05</v>
      </c>
      <c r="N2313" s="464">
        <f t="shared" si="150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48"/>
        <v>-379003605.6696167</v>
      </c>
      <c r="J2314" s="444">
        <f t="array" ref="J2314">IFERROR(INDEX('Retirement Calculator'!J:J,MATCH('Isaac 401k'!N2314,'Retirement Calculator'!A:A,0),0),0)</f>
        <v>0</v>
      </c>
      <c r="K2314" s="444">
        <f t="shared" ca="1" si="146"/>
        <v>-1579181.6902900697</v>
      </c>
      <c r="L2314" s="444">
        <f t="shared" ca="1" si="147"/>
        <v>-380582787.35990679</v>
      </c>
      <c r="M2314" s="460">
        <f t="shared" si="149"/>
        <v>0.05</v>
      </c>
      <c r="N2314" s="464">
        <f t="shared" si="150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48"/>
        <v>-380582787.35990679</v>
      </c>
      <c r="J2315" s="444">
        <f t="array" ref="J2315">IFERROR(INDEX('Retirement Calculator'!J:J,MATCH('Isaac 401k'!N2315,'Retirement Calculator'!A:A,0),0),0)</f>
        <v>0</v>
      </c>
      <c r="K2315" s="444">
        <f t="shared" ca="1" si="146"/>
        <v>-1585761.6139996117</v>
      </c>
      <c r="L2315" s="444">
        <f t="shared" ca="1" si="147"/>
        <v>-382168548.9739064</v>
      </c>
      <c r="M2315" s="460">
        <f t="shared" si="149"/>
        <v>0.05</v>
      </c>
      <c r="N2315" s="464">
        <f t="shared" si="150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48"/>
        <v>-382168548.9739064</v>
      </c>
      <c r="J2316" s="444">
        <f t="array" ref="J2316">IFERROR(INDEX('Retirement Calculator'!J:J,MATCH('Isaac 401k'!N2316,'Retirement Calculator'!A:A,0),0),0)</f>
        <v>0</v>
      </c>
      <c r="K2316" s="444">
        <f t="shared" ca="1" si="146"/>
        <v>-1592368.9540579433</v>
      </c>
      <c r="L2316" s="444">
        <f t="shared" ca="1" si="147"/>
        <v>-383760917.92796433</v>
      </c>
      <c r="M2316" s="460">
        <f t="shared" si="149"/>
        <v>0.05</v>
      </c>
      <c r="N2316" s="464">
        <f t="shared" si="150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48"/>
        <v>-383760917.92796433</v>
      </c>
      <c r="J2317" s="444">
        <f t="array" ref="J2317">IFERROR(INDEX('Retirement Calculator'!J:J,MATCH('Isaac 401k'!N2317,'Retirement Calculator'!A:A,0),0),0)</f>
        <v>0</v>
      </c>
      <c r="K2317" s="444">
        <f t="shared" ca="1" si="146"/>
        <v>-1599003.8246998515</v>
      </c>
      <c r="L2317" s="444">
        <f t="shared" ca="1" si="147"/>
        <v>-385359921.75266421</v>
      </c>
      <c r="M2317" s="460">
        <f t="shared" si="149"/>
        <v>0.05</v>
      </c>
      <c r="N2317" s="464">
        <f t="shared" si="150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48"/>
        <v>-385359921.75266421</v>
      </c>
      <c r="J2318" s="444">
        <f t="array" ref="J2318">IFERROR(INDEX('Retirement Calculator'!J:J,MATCH('Isaac 401k'!N2318,'Retirement Calculator'!A:A,0),0),0)</f>
        <v>0</v>
      </c>
      <c r="K2318" s="444">
        <f t="shared" ca="1" si="146"/>
        <v>-1605666.3406361009</v>
      </c>
      <c r="L2318" s="444">
        <f t="shared" ca="1" si="147"/>
        <v>-386965588.09330028</v>
      </c>
      <c r="M2318" s="460">
        <f t="shared" si="149"/>
        <v>0.05</v>
      </c>
      <c r="N2318" s="464">
        <f t="shared" si="150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48"/>
        <v>-386965588.09330028</v>
      </c>
      <c r="J2319" s="444">
        <f t="array" ref="J2319">IFERROR(INDEX('Retirement Calculator'!J:J,MATCH('Isaac 401k'!N2319,'Retirement Calculator'!A:A,0),0),0)</f>
        <v>0</v>
      </c>
      <c r="K2319" s="444">
        <f t="shared" ca="1" si="146"/>
        <v>-1612356.6170554177</v>
      </c>
      <c r="L2319" s="444">
        <f t="shared" ca="1" si="147"/>
        <v>-388577944.7103557</v>
      </c>
      <c r="M2319" s="460">
        <f t="shared" si="149"/>
        <v>0.05</v>
      </c>
      <c r="N2319" s="464">
        <f t="shared" si="150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48"/>
        <v>-388577944.7103557</v>
      </c>
      <c r="J2320" s="444">
        <f t="array" ref="J2320">IFERROR(INDEX('Retirement Calculator'!J:J,MATCH('Isaac 401k'!N2320,'Retirement Calculator'!A:A,0),0),0)</f>
        <v>0</v>
      </c>
      <c r="K2320" s="444">
        <f t="shared" ca="1" si="146"/>
        <v>-1619074.7696264822</v>
      </c>
      <c r="L2320" s="444">
        <f t="shared" ca="1" si="147"/>
        <v>-390197019.4799822</v>
      </c>
      <c r="M2320" s="460">
        <f t="shared" si="149"/>
        <v>0.05</v>
      </c>
      <c r="N2320" s="464">
        <f t="shared" si="150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48"/>
        <v>-390197019.4799822</v>
      </c>
      <c r="J2321" s="444">
        <f t="array" ref="J2321">IFERROR(INDEX('Retirement Calculator'!J:J,MATCH('Isaac 401k'!N2321,'Retirement Calculator'!A:A,0),0),0)</f>
        <v>0</v>
      </c>
      <c r="K2321" s="444">
        <f t="shared" ca="1" si="146"/>
        <v>-1625820.9144999259</v>
      </c>
      <c r="L2321" s="444">
        <f t="shared" ca="1" si="147"/>
        <v>-391822840.39448214</v>
      </c>
      <c r="M2321" s="460">
        <f t="shared" si="149"/>
        <v>0.05</v>
      </c>
      <c r="N2321" s="464">
        <f t="shared" si="150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48"/>
        <v>-391822840.39448214</v>
      </c>
      <c r="J2322" s="444">
        <f t="array" ref="J2322">IFERROR(INDEX('Retirement Calculator'!J:J,MATCH('Isaac 401k'!N2322,'Retirement Calculator'!A:A,0),0),0)</f>
        <v>0</v>
      </c>
      <c r="K2322" s="444">
        <f t="shared" ca="1" si="146"/>
        <v>-1632595.1683103421</v>
      </c>
      <c r="L2322" s="444">
        <f t="shared" ca="1" si="147"/>
        <v>-393455435.56279248</v>
      </c>
      <c r="M2322" s="460">
        <f t="shared" si="149"/>
        <v>0.05</v>
      </c>
      <c r="N2322" s="464">
        <f t="shared" si="150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48"/>
        <v>-393455435.56279248</v>
      </c>
      <c r="J2323" s="444">
        <f t="array" ref="J2323">IFERROR(INDEX('Retirement Calculator'!J:J,MATCH('Isaac 401k'!N2323,'Retirement Calculator'!A:A,0),0),0)</f>
        <v>0</v>
      </c>
      <c r="K2323" s="444">
        <f t="shared" ca="1" si="146"/>
        <v>-1639397.648178302</v>
      </c>
      <c r="L2323" s="444">
        <f t="shared" ca="1" si="147"/>
        <v>-395094833.21097076</v>
      </c>
      <c r="M2323" s="460">
        <f t="shared" si="149"/>
        <v>0.05</v>
      </c>
      <c r="N2323" s="464">
        <f t="shared" si="150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48"/>
        <v>-395094833.21097076</v>
      </c>
      <c r="J2324" s="444">
        <f t="array" ref="J2324">IFERROR(INDEX('Retirement Calculator'!J:J,MATCH('Isaac 401k'!N2324,'Retirement Calculator'!A:A,0),0),0)</f>
        <v>0</v>
      </c>
      <c r="K2324" s="444">
        <f t="shared" ca="1" si="146"/>
        <v>-1646228.4717123781</v>
      </c>
      <c r="L2324" s="444">
        <f t="shared" ca="1" si="147"/>
        <v>-396741061.68268311</v>
      </c>
      <c r="M2324" s="460">
        <f t="shared" si="149"/>
        <v>0.05</v>
      </c>
      <c r="N2324" s="464">
        <f t="shared" si="150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48"/>
        <v>-396741061.68268311</v>
      </c>
      <c r="J2325" s="444">
        <f t="array" ref="J2325">IFERROR(INDEX('Retirement Calculator'!J:J,MATCH('Isaac 401k'!N2325,'Retirement Calculator'!A:A,0),0),0)</f>
        <v>0</v>
      </c>
      <c r="K2325" s="444">
        <f t="shared" ca="1" si="146"/>
        <v>-1653087.7570111796</v>
      </c>
      <c r="L2325" s="444">
        <f t="shared" ca="1" si="147"/>
        <v>-398394149.43969429</v>
      </c>
      <c r="M2325" s="460">
        <f t="shared" si="149"/>
        <v>0.05</v>
      </c>
      <c r="N2325" s="464">
        <f t="shared" si="150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48"/>
        <v>-398394149.43969429</v>
      </c>
      <c r="J2326" s="444">
        <f t="array" ref="J2326">IFERROR(INDEX('Retirement Calculator'!J:J,MATCH('Isaac 401k'!N2326,'Retirement Calculator'!A:A,0),0),0)</f>
        <v>0</v>
      </c>
      <c r="K2326" s="444">
        <f t="shared" ca="1" si="146"/>
        <v>-1659975.6226653929</v>
      </c>
      <c r="L2326" s="444">
        <f t="shared" ca="1" si="147"/>
        <v>-400054125.06235969</v>
      </c>
      <c r="M2326" s="460">
        <f t="shared" si="149"/>
        <v>0.05</v>
      </c>
      <c r="N2326" s="464">
        <f t="shared" si="150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48"/>
        <v>-400054125.06235969</v>
      </c>
      <c r="J2327" s="444">
        <f t="array" ref="J2327">IFERROR(INDEX('Retirement Calculator'!J:J,MATCH('Isaac 401k'!N2327,'Retirement Calculator'!A:A,0),0),0)</f>
        <v>0</v>
      </c>
      <c r="K2327" s="444">
        <f t="shared" ca="1" si="146"/>
        <v>-1666892.187759832</v>
      </c>
      <c r="L2327" s="444">
        <f t="shared" ca="1" si="147"/>
        <v>-401721017.25011951</v>
      </c>
      <c r="M2327" s="460">
        <f t="shared" si="149"/>
        <v>0.05</v>
      </c>
      <c r="N2327" s="464">
        <f t="shared" si="150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48"/>
        <v>-401721017.25011951</v>
      </c>
      <c r="J2328" s="444">
        <f t="array" ref="J2328">IFERROR(INDEX('Retirement Calculator'!J:J,MATCH('Isaac 401k'!N2328,'Retirement Calculator'!A:A,0),0),0)</f>
        <v>0</v>
      </c>
      <c r="K2328" s="444">
        <f t="shared" ca="1" si="146"/>
        <v>-1673837.5718754979</v>
      </c>
      <c r="L2328" s="444">
        <f t="shared" ca="1" si="147"/>
        <v>-403394854.82199502</v>
      </c>
      <c r="M2328" s="460">
        <f t="shared" si="149"/>
        <v>0.05</v>
      </c>
      <c r="N2328" s="464">
        <f t="shared" si="150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48"/>
        <v>-403394854.82199502</v>
      </c>
      <c r="J2329" s="444">
        <f t="array" ref="J2329">IFERROR(INDEX('Retirement Calculator'!J:J,MATCH('Isaac 401k'!N2329,'Retirement Calculator'!A:A,0),0),0)</f>
        <v>0</v>
      </c>
      <c r="K2329" s="444">
        <f t="shared" ca="1" si="146"/>
        <v>-1680811.8950916459</v>
      </c>
      <c r="L2329" s="444">
        <f t="shared" ca="1" si="147"/>
        <v>-405075666.71708667</v>
      </c>
      <c r="M2329" s="460">
        <f t="shared" si="149"/>
        <v>0.05</v>
      </c>
      <c r="N2329" s="464">
        <f t="shared" si="150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48"/>
        <v>-405075666.71708667</v>
      </c>
      <c r="J2330" s="444">
        <f t="array" ref="J2330">IFERROR(INDEX('Retirement Calculator'!J:J,MATCH('Isaac 401k'!N2330,'Retirement Calculator'!A:A,0),0),0)</f>
        <v>0</v>
      </c>
      <c r="K2330" s="444">
        <f t="shared" ca="1" si="146"/>
        <v>-1687815.2779878611</v>
      </c>
      <c r="L2330" s="444">
        <f t="shared" ca="1" si="147"/>
        <v>-406763481.99507451</v>
      </c>
      <c r="M2330" s="460">
        <f t="shared" si="149"/>
        <v>0.05</v>
      </c>
      <c r="N2330" s="464">
        <f t="shared" si="150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48"/>
        <v>-406763481.99507451</v>
      </c>
      <c r="J2331" s="444">
        <f t="array" ref="J2331">IFERROR(INDEX('Retirement Calculator'!J:J,MATCH('Isaac 401k'!N2331,'Retirement Calculator'!A:A,0),0),0)</f>
        <v>0</v>
      </c>
      <c r="K2331" s="444">
        <f t="shared" ca="1" si="146"/>
        <v>-1694847.8416461437</v>
      </c>
      <c r="L2331" s="444">
        <f t="shared" ca="1" si="147"/>
        <v>-408458329.83672065</v>
      </c>
      <c r="M2331" s="460">
        <f t="shared" si="149"/>
        <v>0.05</v>
      </c>
      <c r="N2331" s="464">
        <f t="shared" si="150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48"/>
        <v>-408458329.83672065</v>
      </c>
      <c r="J2332" s="444">
        <f t="array" ref="J2332">IFERROR(INDEX('Retirement Calculator'!J:J,MATCH('Isaac 401k'!N2332,'Retirement Calculator'!A:A,0),0),0)</f>
        <v>0</v>
      </c>
      <c r="K2332" s="444">
        <f t="shared" ca="1" si="146"/>
        <v>-1701909.7076530026</v>
      </c>
      <c r="L2332" s="444">
        <f t="shared" ca="1" si="147"/>
        <v>-410160239.54437363</v>
      </c>
      <c r="M2332" s="460">
        <f t="shared" si="149"/>
        <v>0.05</v>
      </c>
      <c r="N2332" s="464">
        <f t="shared" si="150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48"/>
        <v>-410160239.54437363</v>
      </c>
      <c r="J2333" s="444">
        <f t="array" ref="J2333">IFERROR(INDEX('Retirement Calculator'!J:J,MATCH('Isaac 401k'!N2333,'Retirement Calculator'!A:A,0),0),0)</f>
        <v>0</v>
      </c>
      <c r="K2333" s="444">
        <f t="shared" ca="1" si="146"/>
        <v>-1709000.9981015567</v>
      </c>
      <c r="L2333" s="444">
        <f t="shared" ca="1" si="147"/>
        <v>-411869240.54247516</v>
      </c>
      <c r="M2333" s="460">
        <f t="shared" si="149"/>
        <v>0.05</v>
      </c>
      <c r="N2333" s="464">
        <f t="shared" si="150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48"/>
        <v>-411869240.54247516</v>
      </c>
      <c r="J2334" s="444">
        <f t="array" ref="J2334">IFERROR(INDEX('Retirement Calculator'!J:J,MATCH('Isaac 401k'!N2334,'Retirement Calculator'!A:A,0),0),0)</f>
        <v>0</v>
      </c>
      <c r="K2334" s="444">
        <f t="shared" ca="1" si="146"/>
        <v>-1716121.8355936464</v>
      </c>
      <c r="L2334" s="444">
        <f t="shared" ca="1" si="147"/>
        <v>-413585362.3780688</v>
      </c>
      <c r="M2334" s="460">
        <f t="shared" si="149"/>
        <v>0.05</v>
      </c>
      <c r="N2334" s="464">
        <f t="shared" si="150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48"/>
        <v>-413585362.3780688</v>
      </c>
      <c r="J2335" s="444">
        <f t="array" ref="J2335">IFERROR(INDEX('Retirement Calculator'!J:J,MATCH('Isaac 401k'!N2335,'Retirement Calculator'!A:A,0),0),0)</f>
        <v>0</v>
      </c>
      <c r="K2335" s="444">
        <f t="shared" ca="1" si="146"/>
        <v>-1723272.3432419533</v>
      </c>
      <c r="L2335" s="444">
        <f t="shared" ca="1" si="147"/>
        <v>-415308634.72131073</v>
      </c>
      <c r="M2335" s="460">
        <f t="shared" si="149"/>
        <v>0.05</v>
      </c>
      <c r="N2335" s="464">
        <f t="shared" si="150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48"/>
        <v>-415308634.72131073</v>
      </c>
      <c r="J2336" s="444">
        <f t="array" ref="J2336">IFERROR(INDEX('Retirement Calculator'!J:J,MATCH('Isaac 401k'!N2336,'Retirement Calculator'!A:A,0),0),0)</f>
        <v>0</v>
      </c>
      <c r="K2336" s="444">
        <f t="shared" ca="1" si="146"/>
        <v>-1730452.6446721281</v>
      </c>
      <c r="L2336" s="444">
        <f t="shared" ca="1" si="147"/>
        <v>-417039087.36598289</v>
      </c>
      <c r="M2336" s="460">
        <f t="shared" si="149"/>
        <v>0.05</v>
      </c>
      <c r="N2336" s="464">
        <f t="shared" si="150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48"/>
        <v>-417039087.36598289</v>
      </c>
      <c r="J2337" s="444">
        <f t="array" ref="J2337">IFERROR(INDEX('Retirement Calculator'!J:J,MATCH('Isaac 401k'!N2337,'Retirement Calculator'!A:A,0),0),0)</f>
        <v>0</v>
      </c>
      <c r="K2337" s="444">
        <f t="shared" ca="1" si="146"/>
        <v>-1737662.8640249288</v>
      </c>
      <c r="L2337" s="444">
        <f t="shared" ca="1" si="147"/>
        <v>-418776750.23000783</v>
      </c>
      <c r="M2337" s="460">
        <f t="shared" si="149"/>
        <v>0.05</v>
      </c>
      <c r="N2337" s="464">
        <f t="shared" si="150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48"/>
        <v>-418776750.23000783</v>
      </c>
      <c r="J2338" s="444">
        <f t="array" ref="J2338">IFERROR(INDEX('Retirement Calculator'!J:J,MATCH('Isaac 401k'!N2338,'Retirement Calculator'!A:A,0),0),0)</f>
        <v>0</v>
      </c>
      <c r="K2338" s="444">
        <f t="shared" ca="1" si="146"/>
        <v>-1744903.1259583656</v>
      </c>
      <c r="L2338" s="444">
        <f t="shared" ca="1" si="147"/>
        <v>-420521653.35596621</v>
      </c>
      <c r="M2338" s="460">
        <f t="shared" si="149"/>
        <v>0.05</v>
      </c>
      <c r="N2338" s="464">
        <f t="shared" si="150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48"/>
        <v>-420521653.35596621</v>
      </c>
      <c r="J2339" s="444">
        <f t="array" ref="J2339">IFERROR(INDEX('Retirement Calculator'!J:J,MATCH('Isaac 401k'!N2339,'Retirement Calculator'!A:A,0),0),0)</f>
        <v>0</v>
      </c>
      <c r="K2339" s="444">
        <f t="shared" ca="1" si="146"/>
        <v>-1752173.5556498589</v>
      </c>
      <c r="L2339" s="444">
        <f t="shared" ca="1" si="147"/>
        <v>-422273826.91161609</v>
      </c>
      <c r="M2339" s="460">
        <f t="shared" si="149"/>
        <v>0.05</v>
      </c>
      <c r="N2339" s="464">
        <f t="shared" si="150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48"/>
        <v>-422273826.91161609</v>
      </c>
      <c r="J2340" s="444">
        <f t="array" ref="J2340">IFERROR(INDEX('Retirement Calculator'!J:J,MATCH('Isaac 401k'!N2340,'Retirement Calculator'!A:A,0),0),0)</f>
        <v>0</v>
      </c>
      <c r="K2340" s="444">
        <f t="shared" ca="1" si="146"/>
        <v>-1759474.2787984004</v>
      </c>
      <c r="L2340" s="444">
        <f t="shared" ca="1" si="147"/>
        <v>-424033301.19041449</v>
      </c>
      <c r="M2340" s="460">
        <f t="shared" si="149"/>
        <v>0.05</v>
      </c>
      <c r="N2340" s="464">
        <f t="shared" si="150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48"/>
        <v>-424033301.19041449</v>
      </c>
      <c r="J2341" s="444">
        <f t="array" ref="J2341">IFERROR(INDEX('Retirement Calculator'!J:J,MATCH('Isaac 401k'!N2341,'Retirement Calculator'!A:A,0),0),0)</f>
        <v>0</v>
      </c>
      <c r="K2341" s="444">
        <f t="shared" ca="1" si="146"/>
        <v>-1766805.4216267271</v>
      </c>
      <c r="L2341" s="444">
        <f t="shared" ca="1" si="147"/>
        <v>-425800106.61204123</v>
      </c>
      <c r="M2341" s="460">
        <f t="shared" si="149"/>
        <v>0.05</v>
      </c>
      <c r="N2341" s="464">
        <f t="shared" si="150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48"/>
        <v>-425800106.61204123</v>
      </c>
      <c r="J2342" s="444">
        <f t="array" ref="J2342">IFERROR(INDEX('Retirement Calculator'!J:J,MATCH('Isaac 401k'!N2342,'Retirement Calculator'!A:A,0),0),0)</f>
        <v>0</v>
      </c>
      <c r="K2342" s="444">
        <f t="shared" ca="1" si="146"/>
        <v>-1774167.1108835051</v>
      </c>
      <c r="L2342" s="444">
        <f t="shared" ca="1" si="147"/>
        <v>-427574273.72292477</v>
      </c>
      <c r="M2342" s="460">
        <f t="shared" si="149"/>
        <v>0.05</v>
      </c>
      <c r="N2342" s="464">
        <f t="shared" si="150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48"/>
        <v>-427574273.72292477</v>
      </c>
      <c r="J2343" s="444">
        <f t="array" ref="J2343">IFERROR(INDEX('Retirement Calculator'!J:J,MATCH('Isaac 401k'!N2343,'Retirement Calculator'!A:A,0),0),0)</f>
        <v>0</v>
      </c>
      <c r="K2343" s="444">
        <f t="shared" ca="1" si="146"/>
        <v>-1781559.4738455198</v>
      </c>
      <c r="L2343" s="444">
        <f t="shared" ca="1" si="147"/>
        <v>-429355833.19677031</v>
      </c>
      <c r="M2343" s="460">
        <f t="shared" si="149"/>
        <v>0.05</v>
      </c>
      <c r="N2343" s="464">
        <f t="shared" si="150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48"/>
        <v>-429355833.19677031</v>
      </c>
      <c r="J2344" s="444">
        <f t="array" ref="J2344">IFERROR(INDEX('Retirement Calculator'!J:J,MATCH('Isaac 401k'!N2344,'Retirement Calculator'!A:A,0),0),0)</f>
        <v>0</v>
      </c>
      <c r="K2344" s="444">
        <f t="shared" ca="1" si="146"/>
        <v>-1788982.6383198765</v>
      </c>
      <c r="L2344" s="444">
        <f t="shared" ca="1" si="147"/>
        <v>-431144815.83509016</v>
      </c>
      <c r="M2344" s="460">
        <f t="shared" si="149"/>
        <v>0.05</v>
      </c>
      <c r="N2344" s="464">
        <f t="shared" si="150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48"/>
        <v>-431144815.83509016</v>
      </c>
      <c r="J2345" s="444">
        <f t="array" ref="J2345">IFERROR(INDEX('Retirement Calculator'!J:J,MATCH('Isaac 401k'!N2345,'Retirement Calculator'!A:A,0),0),0)</f>
        <v>0</v>
      </c>
      <c r="K2345" s="444">
        <f t="shared" ca="1" si="146"/>
        <v>-1796436.732646209</v>
      </c>
      <c r="L2345" s="444">
        <f t="shared" ca="1" si="147"/>
        <v>-432941252.56773639</v>
      </c>
      <c r="M2345" s="460">
        <f t="shared" si="149"/>
        <v>0.05</v>
      </c>
      <c r="N2345" s="464">
        <f t="shared" si="150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48"/>
        <v>-432941252.56773639</v>
      </c>
      <c r="J2346" s="444">
        <f t="array" ref="J2346">IFERROR(INDEX('Retirement Calculator'!J:J,MATCH('Isaac 401k'!N2346,'Retirement Calculator'!A:A,0),0),0)</f>
        <v>0</v>
      </c>
      <c r="K2346" s="444">
        <f t="shared" ca="1" si="146"/>
        <v>-1803921.8856989015</v>
      </c>
      <c r="L2346" s="444">
        <f t="shared" ca="1" si="147"/>
        <v>-434745174.4534353</v>
      </c>
      <c r="M2346" s="460">
        <f t="shared" si="149"/>
        <v>0.05</v>
      </c>
      <c r="N2346" s="464">
        <f t="shared" si="150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48"/>
        <v>-434745174.4534353</v>
      </c>
      <c r="J2347" s="444">
        <f t="array" ref="J2347">IFERROR(INDEX('Retirement Calculator'!J:J,MATCH('Isaac 401k'!N2347,'Retirement Calculator'!A:A,0),0),0)</f>
        <v>0</v>
      </c>
      <c r="K2347" s="444">
        <f t="shared" ca="1" si="146"/>
        <v>-1811438.2268893137</v>
      </c>
      <c r="L2347" s="444">
        <f t="shared" ca="1" si="147"/>
        <v>-436556612.68032461</v>
      </c>
      <c r="M2347" s="460">
        <f t="shared" si="149"/>
        <v>0.05</v>
      </c>
      <c r="N2347" s="464">
        <f t="shared" si="150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48"/>
        <v>-436556612.68032461</v>
      </c>
      <c r="J2348" s="444">
        <f t="array" ref="J2348">IFERROR(INDEX('Retirement Calculator'!J:J,MATCH('Isaac 401k'!N2348,'Retirement Calculator'!A:A,0),0),0)</f>
        <v>0</v>
      </c>
      <c r="K2348" s="444">
        <f t="shared" ca="1" si="146"/>
        <v>-1818985.8861680191</v>
      </c>
      <c r="L2348" s="444">
        <f t="shared" ca="1" si="147"/>
        <v>-438375598.56649262</v>
      </c>
      <c r="M2348" s="460">
        <f t="shared" si="149"/>
        <v>0.05</v>
      </c>
      <c r="N2348" s="464">
        <f t="shared" si="150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48"/>
        <v>-438375598.56649262</v>
      </c>
      <c r="J2349" s="444">
        <f t="array" ref="J2349">IFERROR(INDEX('Retirement Calculator'!J:J,MATCH('Isaac 401k'!N2349,'Retirement Calculator'!A:A,0),0),0)</f>
        <v>0</v>
      </c>
      <c r="K2349" s="444">
        <f t="shared" ca="1" si="146"/>
        <v>-1826564.9940270525</v>
      </c>
      <c r="L2349" s="444">
        <f t="shared" ca="1" si="147"/>
        <v>-440202163.5605197</v>
      </c>
      <c r="M2349" s="460">
        <f t="shared" si="149"/>
        <v>0.05</v>
      </c>
      <c r="N2349" s="464">
        <f t="shared" si="150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48"/>
        <v>-440202163.5605197</v>
      </c>
      <c r="J2350" s="444">
        <f t="array" ref="J2350">IFERROR(INDEX('Retirement Calculator'!J:J,MATCH('Isaac 401k'!N2350,'Retirement Calculator'!A:A,0),0),0)</f>
        <v>0</v>
      </c>
      <c r="K2350" s="444">
        <f t="shared" ca="1" si="146"/>
        <v>-1834175.681502165</v>
      </c>
      <c r="L2350" s="444">
        <f t="shared" ca="1" si="147"/>
        <v>-442036339.24202186</v>
      </c>
      <c r="M2350" s="460">
        <f t="shared" si="149"/>
        <v>0.05</v>
      </c>
      <c r="N2350" s="464">
        <f t="shared" si="150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48"/>
        <v>-442036339.24202186</v>
      </c>
      <c r="J2351" s="444">
        <f t="array" ref="J2351">IFERROR(INDEX('Retirement Calculator'!J:J,MATCH('Isaac 401k'!N2351,'Retirement Calculator'!A:A,0),0),0)</f>
        <v>0</v>
      </c>
      <c r="K2351" s="444">
        <f t="shared" ca="1" si="146"/>
        <v>-1841818.0801750913</v>
      </c>
      <c r="L2351" s="444">
        <f t="shared" ca="1" si="147"/>
        <v>-443878157.32219696</v>
      </c>
      <c r="M2351" s="460">
        <f t="shared" si="149"/>
        <v>0.05</v>
      </c>
      <c r="N2351" s="464">
        <f t="shared" si="150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48"/>
        <v>-443878157.32219696</v>
      </c>
      <c r="J2352" s="444">
        <f t="array" ref="J2352">IFERROR(INDEX('Retirement Calculator'!J:J,MATCH('Isaac 401k'!N2352,'Retirement Calculator'!A:A,0),0),0)</f>
        <v>0</v>
      </c>
      <c r="K2352" s="444">
        <f t="shared" ca="1" si="146"/>
        <v>-1849492.3221758206</v>
      </c>
      <c r="L2352" s="444">
        <f t="shared" ca="1" si="147"/>
        <v>-445727649.64437276</v>
      </c>
      <c r="M2352" s="460">
        <f t="shared" si="149"/>
        <v>0.05</v>
      </c>
      <c r="N2352" s="464">
        <f t="shared" si="150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48"/>
        <v>-445727649.64437276</v>
      </c>
      <c r="J2353" s="444">
        <f t="array" ref="J2353">IFERROR(INDEX('Retirement Calculator'!J:J,MATCH('Isaac 401k'!N2353,'Retirement Calculator'!A:A,0),0),0)</f>
        <v>0</v>
      </c>
      <c r="K2353" s="444">
        <f t="shared" ca="1" si="146"/>
        <v>-1857198.5401848867</v>
      </c>
      <c r="L2353" s="444">
        <f t="shared" ca="1" si="147"/>
        <v>-447584848.18455768</v>
      </c>
      <c r="M2353" s="460">
        <f t="shared" si="149"/>
        <v>0.05</v>
      </c>
      <c r="N2353" s="464">
        <f t="shared" si="150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48"/>
        <v>-447584848.18455768</v>
      </c>
      <c r="J2354" s="444">
        <f t="array" ref="J2354">IFERROR(INDEX('Retirement Calculator'!J:J,MATCH('Isaac 401k'!N2354,'Retirement Calculator'!A:A,0),0),0)</f>
        <v>0</v>
      </c>
      <c r="K2354" s="444">
        <f t="shared" ca="1" si="146"/>
        <v>-1864936.8674356572</v>
      </c>
      <c r="L2354" s="444">
        <f t="shared" ca="1" si="147"/>
        <v>-449449785.05199331</v>
      </c>
      <c r="M2354" s="460">
        <f t="shared" si="149"/>
        <v>0.05</v>
      </c>
      <c r="N2354" s="464">
        <f t="shared" si="150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48"/>
        <v>-449449785.05199331</v>
      </c>
      <c r="J2355" s="444">
        <f t="array" ref="J2355">IFERROR(INDEX('Retirement Calculator'!J:J,MATCH('Isaac 401k'!N2355,'Retirement Calculator'!A:A,0),0),0)</f>
        <v>0</v>
      </c>
      <c r="K2355" s="444">
        <f t="shared" ca="1" si="146"/>
        <v>-1872707.4377166387</v>
      </c>
      <c r="L2355" s="444">
        <f t="shared" ca="1" si="147"/>
        <v>-451322492.48970997</v>
      </c>
      <c r="M2355" s="460">
        <f t="shared" si="149"/>
        <v>0.05</v>
      </c>
      <c r="N2355" s="464">
        <f t="shared" si="150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48"/>
        <v>-451322492.48970997</v>
      </c>
      <c r="J2356" s="444">
        <f t="array" ref="J2356">IFERROR(INDEX('Retirement Calculator'!J:J,MATCH('Isaac 401k'!N2356,'Retirement Calculator'!A:A,0),0),0)</f>
        <v>0</v>
      </c>
      <c r="K2356" s="444">
        <f t="shared" ca="1" si="146"/>
        <v>-1880510.3853737914</v>
      </c>
      <c r="L2356" s="444">
        <f t="shared" ca="1" si="147"/>
        <v>-453203002.87508374</v>
      </c>
      <c r="M2356" s="460">
        <f t="shared" si="149"/>
        <v>0.05</v>
      </c>
      <c r="N2356" s="464">
        <f t="shared" si="150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48"/>
        <v>-453203002.87508374</v>
      </c>
      <c r="J2357" s="444">
        <f t="array" ref="J2357">IFERROR(INDEX('Retirement Calculator'!J:J,MATCH('Isaac 401k'!N2357,'Retirement Calculator'!A:A,0),0),0)</f>
        <v>0</v>
      </c>
      <c r="K2357" s="444">
        <f t="shared" ca="1" si="146"/>
        <v>-1888345.8453128489</v>
      </c>
      <c r="L2357" s="444">
        <f t="shared" ca="1" si="147"/>
        <v>-455091348.72039658</v>
      </c>
      <c r="M2357" s="460">
        <f t="shared" si="149"/>
        <v>0.05</v>
      </c>
      <c r="N2357" s="464">
        <f t="shared" si="150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48"/>
        <v>-455091348.72039658</v>
      </c>
      <c r="J2358" s="444">
        <f t="array" ref="J2358">IFERROR(INDEX('Retirement Calculator'!J:J,MATCH('Isaac 401k'!N2358,'Retirement Calculator'!A:A,0),0),0)</f>
        <v>0</v>
      </c>
      <c r="K2358" s="444">
        <f t="shared" ca="1" si="146"/>
        <v>-1896213.9530016524</v>
      </c>
      <c r="L2358" s="444">
        <f t="shared" ca="1" si="147"/>
        <v>-456987562.67339826</v>
      </c>
      <c r="M2358" s="460">
        <f t="shared" si="149"/>
        <v>0.05</v>
      </c>
      <c r="N2358" s="464">
        <f t="shared" si="150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48"/>
        <v>-456987562.67339826</v>
      </c>
      <c r="J2359" s="444">
        <f t="array" ref="J2359">IFERROR(INDEX('Retirement Calculator'!J:J,MATCH('Isaac 401k'!N2359,'Retirement Calculator'!A:A,0),0),0)</f>
        <v>0</v>
      </c>
      <c r="K2359" s="444">
        <f t="shared" ca="1" si="146"/>
        <v>-1904114.8444724928</v>
      </c>
      <c r="L2359" s="444">
        <f t="shared" ca="1" si="147"/>
        <v>-458891677.51787072</v>
      </c>
      <c r="M2359" s="460">
        <f t="shared" si="149"/>
        <v>0.05</v>
      </c>
      <c r="N2359" s="464">
        <f t="shared" si="150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48"/>
        <v>-458891677.51787072</v>
      </c>
      <c r="J2360" s="444">
        <f t="array" ref="J2360">IFERROR(INDEX('Retirement Calculator'!J:J,MATCH('Isaac 401k'!N2360,'Retirement Calculator'!A:A,0),0),0)</f>
        <v>0</v>
      </c>
      <c r="K2360" s="444">
        <f t="shared" ca="1" si="146"/>
        <v>-1912048.6563244613</v>
      </c>
      <c r="L2360" s="444">
        <f t="shared" ca="1" si="147"/>
        <v>-460803726.17419517</v>
      </c>
      <c r="M2360" s="460">
        <f t="shared" si="149"/>
        <v>0.05</v>
      </c>
      <c r="N2360" s="464">
        <f t="shared" si="150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48"/>
        <v>-460803726.17419517</v>
      </c>
      <c r="J2361" s="444">
        <f t="array" ref="J2361">IFERROR(INDEX('Retirement Calculator'!J:J,MATCH('Isaac 401k'!N2361,'Retirement Calculator'!A:A,0),0),0)</f>
        <v>0</v>
      </c>
      <c r="K2361" s="444">
        <f t="shared" ca="1" si="146"/>
        <v>-1920015.5257258133</v>
      </c>
      <c r="L2361" s="444">
        <f t="shared" ca="1" si="147"/>
        <v>-462723741.69992101</v>
      </c>
      <c r="M2361" s="460">
        <f t="shared" si="149"/>
        <v>0.05</v>
      </c>
      <c r="N2361" s="464">
        <f t="shared" si="150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48"/>
        <v>-462723741.69992101</v>
      </c>
      <c r="J2362" s="444">
        <f t="array" ref="J2362">IFERROR(INDEX('Retirement Calculator'!J:J,MATCH('Isaac 401k'!N2362,'Retirement Calculator'!A:A,0),0),0)</f>
        <v>0</v>
      </c>
      <c r="K2362" s="444">
        <f t="shared" ca="1" si="146"/>
        <v>-1928015.5904163378</v>
      </c>
      <c r="L2362" s="444">
        <f t="shared" ca="1" si="147"/>
        <v>-464651757.29033732</v>
      </c>
      <c r="M2362" s="460">
        <f t="shared" si="149"/>
        <v>0.05</v>
      </c>
      <c r="N2362" s="464">
        <f t="shared" si="150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48"/>
        <v>-464651757.29033732</v>
      </c>
      <c r="J2363" s="444">
        <f t="array" ref="J2363">IFERROR(INDEX('Retirement Calculator'!J:J,MATCH('Isaac 401k'!N2363,'Retirement Calculator'!A:A,0),0),0)</f>
        <v>0</v>
      </c>
      <c r="K2363" s="444">
        <f t="shared" ca="1" si="146"/>
        <v>-1936048.9887097387</v>
      </c>
      <c r="L2363" s="444">
        <f t="shared" ca="1" si="147"/>
        <v>-466587806.27904707</v>
      </c>
      <c r="M2363" s="460">
        <f t="shared" si="149"/>
        <v>0.05</v>
      </c>
      <c r="N2363" s="464">
        <f t="shared" si="150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48"/>
        <v>-466587806.27904707</v>
      </c>
      <c r="J2364" s="444">
        <f t="array" ref="J2364">IFERROR(INDEX('Retirement Calculator'!J:J,MATCH('Isaac 401k'!N2364,'Retirement Calculator'!A:A,0),0),0)</f>
        <v>0</v>
      </c>
      <c r="K2364" s="444">
        <f t="shared" ca="1" si="146"/>
        <v>-1944115.8594960293</v>
      </c>
      <c r="L2364" s="444">
        <f t="shared" ca="1" si="147"/>
        <v>-468531922.13854313</v>
      </c>
      <c r="M2364" s="460">
        <f t="shared" si="149"/>
        <v>0.05</v>
      </c>
      <c r="N2364" s="464">
        <f t="shared" si="150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48"/>
        <v>-468531922.13854313</v>
      </c>
      <c r="J2365" s="444">
        <f t="array" ref="J2365">IFERROR(INDEX('Retirement Calculator'!J:J,MATCH('Isaac 401k'!N2365,'Retirement Calculator'!A:A,0),0),0)</f>
        <v>0</v>
      </c>
      <c r="K2365" s="444">
        <f t="shared" ca="1" si="146"/>
        <v>-1952216.3422439294</v>
      </c>
      <c r="L2365" s="444">
        <f t="shared" ca="1" si="147"/>
        <v>-470484138.48078704</v>
      </c>
      <c r="M2365" s="460">
        <f t="shared" si="149"/>
        <v>0.05</v>
      </c>
      <c r="N2365" s="464">
        <f t="shared" si="150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48"/>
        <v>-470484138.48078704</v>
      </c>
      <c r="J2366" s="444">
        <f t="array" ref="J2366">IFERROR(INDEX('Retirement Calculator'!J:J,MATCH('Isaac 401k'!N2366,'Retirement Calculator'!A:A,0),0),0)</f>
        <v>0</v>
      </c>
      <c r="K2366" s="444">
        <f t="shared" ca="1" si="146"/>
        <v>-1960350.5770032792</v>
      </c>
      <c r="L2366" s="444">
        <f t="shared" ca="1" si="147"/>
        <v>-472444489.05779034</v>
      </c>
      <c r="M2366" s="460">
        <f t="shared" si="149"/>
        <v>0.05</v>
      </c>
      <c r="N2366" s="464">
        <f t="shared" si="150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48"/>
        <v>-472444489.05779034</v>
      </c>
      <c r="J2367" s="444">
        <f t="array" ref="J2367">IFERROR(INDEX('Retirement Calculator'!J:J,MATCH('Isaac 401k'!N2367,'Retirement Calculator'!A:A,0),0),0)</f>
        <v>0</v>
      </c>
      <c r="K2367" s="444">
        <f t="shared" ca="1" si="146"/>
        <v>-1968518.7044074598</v>
      </c>
      <c r="L2367" s="444">
        <f t="shared" ca="1" si="147"/>
        <v>-474413007.76219779</v>
      </c>
      <c r="M2367" s="460">
        <f t="shared" si="149"/>
        <v>0.05</v>
      </c>
      <c r="N2367" s="464">
        <f t="shared" si="150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48"/>
        <v>-474413007.76219779</v>
      </c>
      <c r="J2368" s="444">
        <f t="array" ref="J2368">IFERROR(INDEX('Retirement Calculator'!J:J,MATCH('Isaac 401k'!N2368,'Retirement Calculator'!A:A,0),0),0)</f>
        <v>0</v>
      </c>
      <c r="K2368" s="444">
        <f t="shared" ca="1" si="146"/>
        <v>-1976720.865675824</v>
      </c>
      <c r="L2368" s="444">
        <f t="shared" ca="1" si="147"/>
        <v>-476389728.6278736</v>
      </c>
      <c r="M2368" s="460">
        <f t="shared" si="149"/>
        <v>0.05</v>
      </c>
      <c r="N2368" s="464">
        <f t="shared" si="150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48"/>
        <v>-476389728.6278736</v>
      </c>
      <c r="J2369" s="444">
        <f t="array" ref="J2369">IFERROR(INDEX('Retirement Calculator'!J:J,MATCH('Isaac 401k'!N2369,'Retirement Calculator'!A:A,0),0),0)</f>
        <v>0</v>
      </c>
      <c r="K2369" s="444">
        <f t="shared" ca="1" si="146"/>
        <v>-1984957.20261614</v>
      </c>
      <c r="L2369" s="444">
        <f t="shared" ca="1" si="147"/>
        <v>-478374685.83048975</v>
      </c>
      <c r="M2369" s="460">
        <f t="shared" si="149"/>
        <v>0.05</v>
      </c>
      <c r="N2369" s="464">
        <f t="shared" si="150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48"/>
        <v>-478374685.83048975</v>
      </c>
      <c r="J2370" s="444">
        <f t="array" ref="J2370">IFERROR(INDEX('Retirement Calculator'!J:J,MATCH('Isaac 401k'!N2370,'Retirement Calculator'!A:A,0),0),0)</f>
        <v>0</v>
      </c>
      <c r="K2370" s="444">
        <f t="shared" ca="1" si="146"/>
        <v>-1993227.8576270407</v>
      </c>
      <c r="L2370" s="444">
        <f t="shared" ca="1" si="147"/>
        <v>-480367913.68811679</v>
      </c>
      <c r="M2370" s="460">
        <f t="shared" si="149"/>
        <v>0.05</v>
      </c>
      <c r="N2370" s="464">
        <f t="shared" si="150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48"/>
        <v>-480367913.68811679</v>
      </c>
      <c r="J2371" s="444">
        <f t="array" ref="J2371">IFERROR(INDEX('Retirement Calculator'!J:J,MATCH('Isaac 401k'!N2371,'Retirement Calculator'!A:A,0),0),0)</f>
        <v>0</v>
      </c>
      <c r="K2371" s="444">
        <f t="shared" ca="1" si="146"/>
        <v>-2001532.9737004866</v>
      </c>
      <c r="L2371" s="444">
        <f t="shared" ca="1" si="147"/>
        <v>-482369446.66181725</v>
      </c>
      <c r="M2371" s="460">
        <f t="shared" si="149"/>
        <v>0.05</v>
      </c>
      <c r="N2371" s="464">
        <f t="shared" si="150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48"/>
        <v>-482369446.66181725</v>
      </c>
      <c r="J2372" s="444">
        <f t="array" ref="J2372">IFERROR(INDEX('Retirement Calculator'!J:J,MATCH('Isaac 401k'!N2372,'Retirement Calculator'!A:A,0),0),0)</f>
        <v>0</v>
      </c>
      <c r="K2372" s="444">
        <f t="shared" ca="1" si="146"/>
        <v>-2009872.6944242385</v>
      </c>
      <c r="L2372" s="444">
        <f t="shared" ca="1" si="147"/>
        <v>-484379319.35624146</v>
      </c>
      <c r="M2372" s="460">
        <f t="shared" si="149"/>
        <v>0.05</v>
      </c>
      <c r="N2372" s="464">
        <f t="shared" si="150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48"/>
        <v>-484379319.35624146</v>
      </c>
      <c r="J2373" s="444">
        <f t="array" ref="J2373">IFERROR(INDEX('Retirement Calculator'!J:J,MATCH('Isaac 401k'!N2373,'Retirement Calculator'!A:A,0),0),0)</f>
        <v>0</v>
      </c>
      <c r="K2373" s="444">
        <f t="shared" ca="1" si="146"/>
        <v>-2018247.1639843392</v>
      </c>
      <c r="L2373" s="444">
        <f t="shared" ca="1" si="147"/>
        <v>-486397566.52022582</v>
      </c>
      <c r="M2373" s="460">
        <f t="shared" si="149"/>
        <v>0.05</v>
      </c>
      <c r="N2373" s="464">
        <f t="shared" si="150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48"/>
        <v>-486397566.52022582</v>
      </c>
      <c r="J2374" s="444">
        <f t="array" ref="J2374">IFERROR(INDEX('Retirement Calculator'!J:J,MATCH('Isaac 401k'!N2374,'Retirement Calculator'!A:A,0),0),0)</f>
        <v>0</v>
      </c>
      <c r="K2374" s="444">
        <f t="shared" ca="1" si="146"/>
        <v>-2026656.5271676073</v>
      </c>
      <c r="L2374" s="444">
        <f t="shared" ca="1" si="147"/>
        <v>-488424223.04739344</v>
      </c>
      <c r="M2374" s="460">
        <f t="shared" si="149"/>
        <v>0.05</v>
      </c>
      <c r="N2374" s="464">
        <f t="shared" si="150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48"/>
        <v>-488424223.04739344</v>
      </c>
      <c r="J2375" s="444">
        <f t="array" ref="J2375">IFERROR(INDEX('Retirement Calculator'!J:J,MATCH('Isaac 401k'!N2375,'Retirement Calculator'!A:A,0),0),0)</f>
        <v>0</v>
      </c>
      <c r="K2375" s="444">
        <f t="shared" ca="1" si="146"/>
        <v>-2035100.9293641394</v>
      </c>
      <c r="L2375" s="444">
        <f t="shared" ca="1" si="147"/>
        <v>-490459323.97675759</v>
      </c>
      <c r="M2375" s="460">
        <f t="shared" si="149"/>
        <v>0.05</v>
      </c>
      <c r="N2375" s="464">
        <f t="shared" si="150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48"/>
        <v>-490459323.97675759</v>
      </c>
      <c r="J2376" s="444">
        <f t="array" ref="J2376">IFERROR(INDEX('Retirement Calculator'!J:J,MATCH('Isaac 401k'!N2376,'Retirement Calculator'!A:A,0),0),0)</f>
        <v>0</v>
      </c>
      <c r="K2376" s="444">
        <f t="shared" ca="1" si="146"/>
        <v>-2043580.5165698233</v>
      </c>
      <c r="L2376" s="444">
        <f t="shared" ca="1" si="147"/>
        <v>-492502904.49332744</v>
      </c>
      <c r="M2376" s="460">
        <f t="shared" si="149"/>
        <v>0.05</v>
      </c>
      <c r="N2376" s="464">
        <f t="shared" si="150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48"/>
        <v>-492502904.49332744</v>
      </c>
      <c r="J2377" s="444">
        <f t="array" ref="J2377">IFERROR(INDEX('Retirement Calculator'!J:J,MATCH('Isaac 401k'!N2377,'Retirement Calculator'!A:A,0),0),0)</f>
        <v>0</v>
      </c>
      <c r="K2377" s="444">
        <f t="shared" ca="1" si="146"/>
        <v>-2052095.4353888643</v>
      </c>
      <c r="L2377" s="444">
        <f t="shared" ca="1" si="147"/>
        <v>-494554999.9287163</v>
      </c>
      <c r="M2377" s="460">
        <f t="shared" si="149"/>
        <v>0.05</v>
      </c>
      <c r="N2377" s="464">
        <f t="shared" si="150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48"/>
        <v>-494554999.9287163</v>
      </c>
      <c r="J2378" s="444">
        <f t="array" ref="J2378">IFERROR(INDEX('Retirement Calculator'!J:J,MATCH('Isaac 401k'!N2378,'Retirement Calculator'!A:A,0),0),0)</f>
        <v>0</v>
      </c>
      <c r="K2378" s="444">
        <f t="shared" ca="1" si="146"/>
        <v>-2060645.833036318</v>
      </c>
      <c r="L2378" s="444">
        <f t="shared" ca="1" si="147"/>
        <v>-496615645.76175261</v>
      </c>
      <c r="M2378" s="460">
        <f t="shared" si="149"/>
        <v>0.05</v>
      </c>
      <c r="N2378" s="464">
        <f t="shared" si="150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48"/>
        <v>-496615645.76175261</v>
      </c>
      <c r="J2379" s="444">
        <f t="array" ref="J2379">IFERROR(INDEX('Retirement Calculator'!J:J,MATCH('Isaac 401k'!N2379,'Retirement Calculator'!A:A,0),0),0)</f>
        <v>0</v>
      </c>
      <c r="K2379" s="444">
        <f t="shared" ca="1" si="146"/>
        <v>-2069231.8573406357</v>
      </c>
      <c r="L2379" s="444">
        <f t="shared" ca="1" si="147"/>
        <v>-498684877.61909324</v>
      </c>
      <c r="M2379" s="460">
        <f t="shared" si="149"/>
        <v>0.05</v>
      </c>
      <c r="N2379" s="464">
        <f t="shared" si="150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48"/>
        <v>-498684877.61909324</v>
      </c>
      <c r="J2380" s="444">
        <f t="array" ref="J2380">IFERROR(INDEX('Retirement Calculator'!J:J,MATCH('Isaac 401k'!N2380,'Retirement Calculator'!A:A,0),0),0)</f>
        <v>0</v>
      </c>
      <c r="K2380" s="444">
        <f t="shared" ca="1" si="146"/>
        <v>-2077853.6567462217</v>
      </c>
      <c r="L2380" s="444">
        <f t="shared" ca="1" si="147"/>
        <v>-500762731.27583945</v>
      </c>
      <c r="M2380" s="460">
        <f t="shared" si="149"/>
        <v>0.05</v>
      </c>
      <c r="N2380" s="464">
        <f t="shared" si="150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48"/>
        <v>-500762731.27583945</v>
      </c>
      <c r="J2381" s="444">
        <f t="array" ref="J2381">IFERROR(INDEX('Retirement Calculator'!J:J,MATCH('Isaac 401k'!N2381,'Retirement Calculator'!A:A,0),0),0)</f>
        <v>0</v>
      </c>
      <c r="K2381" s="444">
        <f t="shared" ca="1" si="146"/>
        <v>-2086511.3803159976</v>
      </c>
      <c r="L2381" s="444">
        <f t="shared" ca="1" si="147"/>
        <v>-502849242.65615547</v>
      </c>
      <c r="M2381" s="460">
        <f t="shared" si="149"/>
        <v>0.05</v>
      </c>
      <c r="N2381" s="464">
        <f t="shared" si="150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48"/>
        <v>-502849242.65615547</v>
      </c>
      <c r="J2382" s="444">
        <f t="array" ref="J2382">IFERROR(INDEX('Retirement Calculator'!J:J,MATCH('Isaac 401k'!N2382,'Retirement Calculator'!A:A,0),0),0)</f>
        <v>0</v>
      </c>
      <c r="K2382" s="444">
        <f t="shared" ca="1" si="146"/>
        <v>-2095205.1777339813</v>
      </c>
      <c r="L2382" s="444">
        <f t="shared" ca="1" si="147"/>
        <v>-504944447.83388942</v>
      </c>
      <c r="M2382" s="460">
        <f t="shared" si="149"/>
        <v>0.05</v>
      </c>
      <c r="N2382" s="464">
        <f t="shared" si="150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48"/>
        <v>-504944447.83388942</v>
      </c>
      <c r="J2383" s="444">
        <f t="array" ref="J2383">IFERROR(INDEX('Retirement Calculator'!J:J,MATCH('Isaac 401k'!N2383,'Retirement Calculator'!A:A,0),0),0)</f>
        <v>0</v>
      </c>
      <c r="K2383" s="444">
        <f t="shared" ca="1" si="146"/>
        <v>-2103935.1993078724</v>
      </c>
      <c r="L2383" s="444">
        <f t="shared" ca="1" si="147"/>
        <v>-507048383.03319728</v>
      </c>
      <c r="M2383" s="460">
        <f t="shared" si="149"/>
        <v>0.05</v>
      </c>
      <c r="N2383" s="464">
        <f t="shared" si="150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48"/>
        <v>-507048383.03319728</v>
      </c>
      <c r="J2384" s="444">
        <f t="array" ref="J2384">IFERROR(INDEX('Retirement Calculator'!J:J,MATCH('Isaac 401k'!N2384,'Retirement Calculator'!A:A,0),0),0)</f>
        <v>0</v>
      </c>
      <c r="K2384" s="444">
        <f t="shared" ca="1" si="146"/>
        <v>-2112701.5959716551</v>
      </c>
      <c r="L2384" s="444">
        <f t="shared" ca="1" si="147"/>
        <v>-509161084.62916893</v>
      </c>
      <c r="M2384" s="460">
        <f t="shared" si="149"/>
        <v>0.05</v>
      </c>
      <c r="N2384" s="464">
        <f t="shared" si="150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48"/>
        <v>-509161084.62916893</v>
      </c>
      <c r="J2385" s="444">
        <f t="array" ref="J2385">IFERROR(INDEX('Retirement Calculator'!J:J,MATCH('Isaac 401k'!N2385,'Retirement Calculator'!A:A,0),0),0)</f>
        <v>0</v>
      </c>
      <c r="K2385" s="444">
        <f t="shared" ca="1" si="146"/>
        <v>-2121504.5192882037</v>
      </c>
      <c r="L2385" s="444">
        <f t="shared" ca="1" si="147"/>
        <v>-511282589.14845711</v>
      </c>
      <c r="M2385" s="460">
        <f t="shared" si="149"/>
        <v>0.05</v>
      </c>
      <c r="N2385" s="464">
        <f t="shared" si="150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48"/>
        <v>-511282589.14845711</v>
      </c>
      <c r="J2386" s="444">
        <f t="array" ref="J2386">IFERROR(INDEX('Retirement Calculator'!J:J,MATCH('Isaac 401k'!N2386,'Retirement Calculator'!A:A,0),0),0)</f>
        <v>0</v>
      </c>
      <c r="K2386" s="444">
        <f t="shared" ca="1" si="146"/>
        <v>-2130344.1214519045</v>
      </c>
      <c r="L2386" s="444">
        <f t="shared" ca="1" si="147"/>
        <v>-513412933.26990902</v>
      </c>
      <c r="M2386" s="460">
        <f t="shared" si="149"/>
        <v>0.05</v>
      </c>
      <c r="N2386" s="464">
        <f t="shared" si="150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48"/>
        <v>-513412933.26990902</v>
      </c>
      <c r="J2387" s="444">
        <f t="array" ref="J2387">IFERROR(INDEX('Retirement Calculator'!J:J,MATCH('Isaac 401k'!N2387,'Retirement Calculator'!A:A,0),0),0)</f>
        <v>0</v>
      </c>
      <c r="K2387" s="444">
        <f t="shared" ca="1" si="146"/>
        <v>-2139220.5552912871</v>
      </c>
      <c r="L2387" s="444">
        <f t="shared" ca="1" si="147"/>
        <v>-515552153.82520032</v>
      </c>
      <c r="M2387" s="460">
        <f t="shared" si="149"/>
        <v>0.05</v>
      </c>
      <c r="N2387" s="464">
        <f t="shared" si="150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48"/>
        <v>-515552153.82520032</v>
      </c>
      <c r="J2388" s="444">
        <f t="array" ref="J2388">IFERROR(INDEX('Retirement Calculator'!J:J,MATCH('Isaac 401k'!N2388,'Retirement Calculator'!A:A,0),0),0)</f>
        <v>0</v>
      </c>
      <c r="K2388" s="444">
        <f t="shared" ca="1" si="146"/>
        <v>-2148133.9742716677</v>
      </c>
      <c r="L2388" s="444">
        <f t="shared" ca="1" si="147"/>
        <v>-517700287.79947197</v>
      </c>
      <c r="M2388" s="460">
        <f t="shared" si="149"/>
        <v>0.05</v>
      </c>
      <c r="N2388" s="464">
        <f t="shared" si="150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48"/>
        <v>-517700287.79947197</v>
      </c>
      <c r="J2389" s="444">
        <f t="array" ref="J2389">IFERROR(INDEX('Retirement Calculator'!J:J,MATCH('Isaac 401k'!N2389,'Retirement Calculator'!A:A,0),0),0)</f>
        <v>0</v>
      </c>
      <c r="K2389" s="444">
        <f t="shared" ca="1" si="146"/>
        <v>-2157084.5324978</v>
      </c>
      <c r="L2389" s="444">
        <f t="shared" ca="1" si="147"/>
        <v>-519857372.3319698</v>
      </c>
      <c r="M2389" s="460">
        <f t="shared" si="149"/>
        <v>0.05</v>
      </c>
      <c r="N2389" s="464">
        <f t="shared" si="150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48"/>
        <v>-519857372.3319698</v>
      </c>
      <c r="J2390" s="444">
        <f t="array" ref="J2390">IFERROR(INDEX('Retirement Calculator'!J:J,MATCH('Isaac 401k'!N2390,'Retirement Calculator'!A:A,0),0),0)</f>
        <v>0</v>
      </c>
      <c r="K2390" s="444">
        <f t="shared" ca="1" si="146"/>
        <v>-2166072.384716541</v>
      </c>
      <c r="L2390" s="444">
        <f t="shared" ca="1" si="147"/>
        <v>-522023444.71668637</v>
      </c>
      <c r="M2390" s="460">
        <f t="shared" si="149"/>
        <v>0.05</v>
      </c>
      <c r="N2390" s="464">
        <f t="shared" si="150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48"/>
        <v>-522023444.71668637</v>
      </c>
      <c r="J2391" s="444">
        <f t="array" ref="J2391">IFERROR(INDEX('Retirement Calculator'!J:J,MATCH('Isaac 401k'!N2391,'Retirement Calculator'!A:A,0),0),0)</f>
        <v>0</v>
      </c>
      <c r="K2391" s="444">
        <f t="shared" ca="1" si="146"/>
        <v>-2175097.6863195263</v>
      </c>
      <c r="L2391" s="444">
        <f t="shared" ca="1" si="147"/>
        <v>-524198542.4030059</v>
      </c>
      <c r="M2391" s="460">
        <f t="shared" si="149"/>
        <v>0.05</v>
      </c>
      <c r="N2391" s="464">
        <f t="shared" si="150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48"/>
        <v>-524198542.4030059</v>
      </c>
      <c r="J2392" s="444">
        <f t="array" ref="J2392">IFERROR(INDEX('Retirement Calculator'!J:J,MATCH('Isaac 401k'!N2392,'Retirement Calculator'!A:A,0),0),0)</f>
        <v>0</v>
      </c>
      <c r="K2392" s="444">
        <f t="shared" ca="1" si="146"/>
        <v>-2184160.5933458577</v>
      </c>
      <c r="L2392" s="444">
        <f t="shared" ca="1" si="147"/>
        <v>-526382702.99635178</v>
      </c>
      <c r="M2392" s="460">
        <f t="shared" si="149"/>
        <v>0.05</v>
      </c>
      <c r="N2392" s="464">
        <f t="shared" si="150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48"/>
        <v>-526382702.99635178</v>
      </c>
      <c r="J2393" s="444">
        <f t="array" ref="J2393">IFERROR(INDEX('Retirement Calculator'!J:J,MATCH('Isaac 401k'!N2393,'Retirement Calculator'!A:A,0),0),0)</f>
        <v>0</v>
      </c>
      <c r="K2393" s="444">
        <f t="shared" ca="1" si="146"/>
        <v>-2193261.2624847991</v>
      </c>
      <c r="L2393" s="444">
        <f t="shared" ca="1" si="147"/>
        <v>-528575964.25883657</v>
      </c>
      <c r="M2393" s="460">
        <f t="shared" si="149"/>
        <v>0.05</v>
      </c>
      <c r="N2393" s="464">
        <f t="shared" si="150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48"/>
        <v>-528575964.25883657</v>
      </c>
      <c r="J2394" s="444">
        <f t="array" ref="J2394">IFERROR(INDEX('Retirement Calculator'!J:J,MATCH('Isaac 401k'!N2394,'Retirement Calculator'!A:A,0),0),0)</f>
        <v>0</v>
      </c>
      <c r="K2394" s="444">
        <f t="shared" ca="1" si="146"/>
        <v>-2202399.8510784861</v>
      </c>
      <c r="L2394" s="444">
        <f t="shared" ca="1" si="147"/>
        <v>-530778364.10991508</v>
      </c>
      <c r="M2394" s="460">
        <f t="shared" si="149"/>
        <v>0.05</v>
      </c>
      <c r="N2394" s="464">
        <f t="shared" si="150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48"/>
        <v>-530778364.10991508</v>
      </c>
      <c r="J2395" s="444">
        <f t="array" ref="J2395">IFERROR(INDEX('Retirement Calculator'!J:J,MATCH('Isaac 401k'!N2395,'Retirement Calculator'!A:A,0),0),0)</f>
        <v>0</v>
      </c>
      <c r="K2395" s="444">
        <f t="shared" ca="1" si="146"/>
        <v>-2211576.5171246463</v>
      </c>
      <c r="L2395" s="444">
        <f t="shared" ca="1" si="147"/>
        <v>-532989940.62703973</v>
      </c>
      <c r="M2395" s="460">
        <f t="shared" si="149"/>
        <v>0.05</v>
      </c>
      <c r="N2395" s="464">
        <f t="shared" si="150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48"/>
        <v>-532989940.62703973</v>
      </c>
      <c r="J2396" s="444">
        <f t="array" ref="J2396">IFERROR(INDEX('Retirement Calculator'!J:J,MATCH('Isaac 401k'!N2396,'Retirement Calculator'!A:A,0),0),0)</f>
        <v>0</v>
      </c>
      <c r="K2396" s="444">
        <f t="shared" ca="1" si="146"/>
        <v>-2220791.4192793323</v>
      </c>
      <c r="L2396" s="444">
        <f t="shared" ca="1" si="147"/>
        <v>-535210732.04631907</v>
      </c>
      <c r="M2396" s="460">
        <f t="shared" si="149"/>
        <v>0.05</v>
      </c>
      <c r="N2396" s="464">
        <f t="shared" si="150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48"/>
        <v>-535210732.04631907</v>
      </c>
      <c r="J2397" s="444">
        <f t="array" ref="J2397">IFERROR(INDEX('Retirement Calculator'!J:J,MATCH('Isaac 401k'!N2397,'Retirement Calculator'!A:A,0),0),0)</f>
        <v>0</v>
      </c>
      <c r="K2397" s="444">
        <f t="shared" ca="1" si="146"/>
        <v>-2230044.7168596629</v>
      </c>
      <c r="L2397" s="444">
        <f t="shared" ca="1" si="147"/>
        <v>-537440776.76317871</v>
      </c>
      <c r="M2397" s="460">
        <f t="shared" si="149"/>
        <v>0.05</v>
      </c>
      <c r="N2397" s="464">
        <f t="shared" si="150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48"/>
        <v>-537440776.76317871</v>
      </c>
      <c r="J2398" s="444">
        <f t="array" ref="J2398">IFERROR(INDEX('Retirement Calculator'!J:J,MATCH('Isaac 401k'!N2398,'Retirement Calculator'!A:A,0),0),0)</f>
        <v>0</v>
      </c>
      <c r="K2398" s="444">
        <f t="shared" ca="1" si="146"/>
        <v>-2239336.5698465779</v>
      </c>
      <c r="L2398" s="444">
        <f t="shared" ca="1" si="147"/>
        <v>-539680113.33302534</v>
      </c>
      <c r="M2398" s="460">
        <f t="shared" si="149"/>
        <v>0.05</v>
      </c>
      <c r="N2398" s="464">
        <f t="shared" si="150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48"/>
        <v>-539680113.33302534</v>
      </c>
      <c r="J2399" s="444">
        <f t="array" ref="J2399">IFERROR(INDEX('Retirement Calculator'!J:J,MATCH('Isaac 401k'!N2399,'Retirement Calculator'!A:A,0),0),0)</f>
        <v>0</v>
      </c>
      <c r="K2399" s="444">
        <f t="shared" ca="1" si="146"/>
        <v>-2248667.1388876056</v>
      </c>
      <c r="L2399" s="444">
        <f t="shared" ca="1" si="147"/>
        <v>-541928780.47191298</v>
      </c>
      <c r="M2399" s="460">
        <f t="shared" si="149"/>
        <v>0.05</v>
      </c>
      <c r="N2399" s="464">
        <f t="shared" si="150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48"/>
        <v>-541928780.47191298</v>
      </c>
      <c r="J2400" s="444">
        <f t="array" ref="J2400">IFERROR(INDEX('Retirement Calculator'!J:J,MATCH('Isaac 401k'!N2400,'Retirement Calculator'!A:A,0),0),0)</f>
        <v>0</v>
      </c>
      <c r="K2400" s="444">
        <f t="shared" ca="1" si="146"/>
        <v>-2258036.5852996372</v>
      </c>
      <c r="L2400" s="444">
        <f t="shared" ca="1" si="147"/>
        <v>-544186817.05721259</v>
      </c>
      <c r="M2400" s="460">
        <f t="shared" si="149"/>
        <v>0.05</v>
      </c>
      <c r="N2400" s="464">
        <f t="shared" si="150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48"/>
        <v>-544186817.05721259</v>
      </c>
      <c r="J2401" s="444">
        <f t="array" ref="J2401">IFERROR(INDEX('Retirement Calculator'!J:J,MATCH('Isaac 401k'!N2401,'Retirement Calculator'!A:A,0),0),0)</f>
        <v>0</v>
      </c>
      <c r="K2401" s="444">
        <f t="shared" ca="1" si="146"/>
        <v>-2267445.0710717193</v>
      </c>
      <c r="L2401" s="444">
        <f t="shared" ca="1" si="147"/>
        <v>-546454262.12828434</v>
      </c>
      <c r="M2401" s="460">
        <f t="shared" si="149"/>
        <v>0.05</v>
      </c>
      <c r="N2401" s="464">
        <f t="shared" si="150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48"/>
        <v>-546454262.12828434</v>
      </c>
      <c r="J2402" s="444">
        <f t="array" ref="J2402">IFERROR(INDEX('Retirement Calculator'!J:J,MATCH('Isaac 401k'!N2402,'Retirement Calculator'!A:A,0),0),0)</f>
        <v>0</v>
      </c>
      <c r="K2402" s="444">
        <f t="shared" ca="1" si="146"/>
        <v>-2276892.7588678515</v>
      </c>
      <c r="L2402" s="444">
        <f t="shared" ca="1" si="147"/>
        <v>-548731154.88715219</v>
      </c>
      <c r="M2402" s="460">
        <f t="shared" si="149"/>
        <v>0.05</v>
      </c>
      <c r="N2402" s="464">
        <f t="shared" si="150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48"/>
        <v>-548731154.88715219</v>
      </c>
      <c r="J2403" s="444">
        <f t="array" ref="J2403">IFERROR(INDEX('Retirement Calculator'!J:J,MATCH('Isaac 401k'!N2403,'Retirement Calculator'!A:A,0),0),0)</f>
        <v>0</v>
      </c>
      <c r="K2403" s="444">
        <f t="shared" ca="1" si="146"/>
        <v>-2286379.8120298008</v>
      </c>
      <c r="L2403" s="444">
        <f t="shared" ca="1" si="147"/>
        <v>-551017534.69918203</v>
      </c>
      <c r="M2403" s="460">
        <f t="shared" si="149"/>
        <v>0.05</v>
      </c>
      <c r="N2403" s="464">
        <f t="shared" si="150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48"/>
        <v>-551017534.69918203</v>
      </c>
      <c r="J2404" s="444">
        <f t="array" ref="J2404">IFERROR(INDEX('Retirement Calculator'!J:J,MATCH('Isaac 401k'!N2404,'Retirement Calculator'!A:A,0),0),0)</f>
        <v>0</v>
      </c>
      <c r="K2404" s="444">
        <f t="shared" ca="1" si="146"/>
        <v>-2295906.3945799251</v>
      </c>
      <c r="L2404" s="444">
        <f t="shared" ca="1" si="147"/>
        <v>-553313441.09376192</v>
      </c>
      <c r="M2404" s="460">
        <f t="shared" si="149"/>
        <v>0.05</v>
      </c>
      <c r="N2404" s="464">
        <f t="shared" si="150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48"/>
        <v>-553313441.09376192</v>
      </c>
      <c r="J2405" s="444">
        <f t="array" ref="J2405">IFERROR(INDEX('Retirement Calculator'!J:J,MATCH('Isaac 401k'!N2405,'Retirement Calculator'!A:A,0),0),0)</f>
        <v>0</v>
      </c>
      <c r="K2405" s="444">
        <f t="shared" ca="1" si="146"/>
        <v>-2305472.6712240078</v>
      </c>
      <c r="L2405" s="444">
        <f t="shared" ca="1" si="147"/>
        <v>-555618913.76498592</v>
      </c>
      <c r="M2405" s="460">
        <f t="shared" si="149"/>
        <v>0.05</v>
      </c>
      <c r="N2405" s="464">
        <f t="shared" si="150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48"/>
        <v>-555618913.76498592</v>
      </c>
      <c r="J2406" s="444">
        <f t="array" ref="J2406">IFERROR(INDEX('Retirement Calculator'!J:J,MATCH('Isaac 401k'!N2406,'Retirement Calculator'!A:A,0),0),0)</f>
        <v>0</v>
      </c>
      <c r="K2406" s="444">
        <f t="shared" ca="1" si="146"/>
        <v>-2315078.807354108</v>
      </c>
      <c r="L2406" s="444">
        <f t="shared" ca="1" si="147"/>
        <v>-557933992.57234001</v>
      </c>
      <c r="M2406" s="460">
        <f t="shared" si="149"/>
        <v>0.05</v>
      </c>
      <c r="N2406" s="464">
        <f t="shared" si="150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48"/>
        <v>-557933992.57234001</v>
      </c>
      <c r="J2407" s="444">
        <f t="array" ref="J2407">IFERROR(INDEX('Retirement Calculator'!J:J,MATCH('Isaac 401k'!N2407,'Retirement Calculator'!A:A,0),0),0)</f>
        <v>0</v>
      </c>
      <c r="K2407" s="444">
        <f t="shared" ca="1" si="146"/>
        <v>-2324724.9690514165</v>
      </c>
      <c r="L2407" s="444">
        <f t="shared" ca="1" si="147"/>
        <v>-560258717.54139137</v>
      </c>
      <c r="M2407" s="460">
        <f t="shared" si="149"/>
        <v>0.05</v>
      </c>
      <c r="N2407" s="464">
        <f t="shared" si="150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48"/>
        <v>-560258717.54139137</v>
      </c>
      <c r="J2408" s="444">
        <f t="array" ref="J2408">IFERROR(INDEX('Retirement Calculator'!J:J,MATCH('Isaac 401k'!N2408,'Retirement Calculator'!A:A,0),0),0)</f>
        <v>0</v>
      </c>
      <c r="K2408" s="444">
        <f t="shared" ca="1" si="146"/>
        <v>-2334411.3230891307</v>
      </c>
      <c r="L2408" s="444">
        <f t="shared" ca="1" si="147"/>
        <v>-562593128.8644805</v>
      </c>
      <c r="M2408" s="460">
        <f t="shared" si="149"/>
        <v>0.05</v>
      </c>
      <c r="N2408" s="464">
        <f t="shared" si="150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48"/>
        <v>-562593128.8644805</v>
      </c>
      <c r="J2409" s="444">
        <f t="array" ref="J2409">IFERROR(INDEX('Retirement Calculator'!J:J,MATCH('Isaac 401k'!N2409,'Retirement Calculator'!A:A,0),0),0)</f>
        <v>0</v>
      </c>
      <c r="K2409" s="444">
        <f t="shared" ca="1" si="146"/>
        <v>-2344138.0369353355</v>
      </c>
      <c r="L2409" s="444">
        <f t="shared" ca="1" si="147"/>
        <v>-564937266.90141582</v>
      </c>
      <c r="M2409" s="460">
        <f t="shared" si="149"/>
        <v>0.05</v>
      </c>
      <c r="N2409" s="464">
        <f t="shared" si="150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48"/>
        <v>-564937266.90141582</v>
      </c>
      <c r="J2410" s="444">
        <f t="array" ref="J2410">IFERROR(INDEX('Retirement Calculator'!J:J,MATCH('Isaac 401k'!N2410,'Retirement Calculator'!A:A,0),0),0)</f>
        <v>0</v>
      </c>
      <c r="K2410" s="444">
        <f t="shared" ca="1" si="146"/>
        <v>-2353905.2787558991</v>
      </c>
      <c r="L2410" s="444">
        <f t="shared" ca="1" si="147"/>
        <v>-567291172.18017173</v>
      </c>
      <c r="M2410" s="460">
        <f t="shared" si="149"/>
        <v>0.05</v>
      </c>
      <c r="N2410" s="464">
        <f t="shared" si="150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48"/>
        <v>-567291172.18017173</v>
      </c>
      <c r="J2411" s="444">
        <f t="array" ref="J2411">IFERROR(INDEX('Retirement Calculator'!J:J,MATCH('Isaac 401k'!N2411,'Retirement Calculator'!A:A,0),0),0)</f>
        <v>0</v>
      </c>
      <c r="K2411" s="444">
        <f t="shared" ca="1" si="146"/>
        <v>-2363713.2174173822</v>
      </c>
      <c r="L2411" s="444">
        <f t="shared" ca="1" si="147"/>
        <v>-569654885.39758909</v>
      </c>
      <c r="M2411" s="460">
        <f t="shared" si="149"/>
        <v>0.05</v>
      </c>
      <c r="N2411" s="464">
        <f t="shared" si="150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48"/>
        <v>-569654885.39758909</v>
      </c>
      <c r="J2412" s="444">
        <f t="array" ref="J2412">IFERROR(INDEX('Retirement Calculator'!J:J,MATCH('Isaac 401k'!N2412,'Retirement Calculator'!A:A,0),0),0)</f>
        <v>0</v>
      </c>
      <c r="K2412" s="444">
        <f t="shared" ca="1" si="146"/>
        <v>-2373562.0224899547</v>
      </c>
      <c r="L2412" s="444">
        <f t="shared" ca="1" si="147"/>
        <v>-572028447.42007899</v>
      </c>
      <c r="M2412" s="460">
        <f t="shared" si="149"/>
        <v>0.05</v>
      </c>
      <c r="N2412" s="464">
        <f t="shared" si="150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48"/>
        <v>-572028447.42007899</v>
      </c>
      <c r="J2413" s="444">
        <f t="array" ref="J2413">IFERROR(INDEX('Retirement Calculator'!J:J,MATCH('Isaac 401k'!N2413,'Retirement Calculator'!A:A,0),0),0)</f>
        <v>0</v>
      </c>
      <c r="K2413" s="444">
        <f t="shared" ca="1" si="146"/>
        <v>-2383451.8642503293</v>
      </c>
      <c r="L2413" s="444">
        <f t="shared" ca="1" si="147"/>
        <v>-574411899.2843293</v>
      </c>
      <c r="M2413" s="460">
        <f t="shared" si="149"/>
        <v>0.05</v>
      </c>
      <c r="N2413" s="464">
        <f t="shared" si="150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48"/>
        <v>-574411899.2843293</v>
      </c>
      <c r="J2414" s="444">
        <f t="array" ref="J2414">IFERROR(INDEX('Retirement Calculator'!J:J,MATCH('Isaac 401k'!N2414,'Retirement Calculator'!A:A,0),0),0)</f>
        <v>0</v>
      </c>
      <c r="K2414" s="444">
        <f t="shared" ca="1" si="146"/>
        <v>-2393382.9136847053</v>
      </c>
      <c r="L2414" s="444">
        <f t="shared" ca="1" si="147"/>
        <v>-576805282.19801402</v>
      </c>
      <c r="M2414" s="460">
        <f t="shared" si="149"/>
        <v>0.05</v>
      </c>
      <c r="N2414" s="464">
        <f t="shared" si="150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48"/>
        <v>-576805282.19801402</v>
      </c>
      <c r="J2415" s="444">
        <f t="array" ref="J2415">IFERROR(INDEX('Retirement Calculator'!J:J,MATCH('Isaac 401k'!N2415,'Retirement Calculator'!A:A,0),0),0)</f>
        <v>0</v>
      </c>
      <c r="K2415" s="444">
        <f t="shared" ca="1" si="146"/>
        <v>-2403355.342491725</v>
      </c>
      <c r="L2415" s="444">
        <f t="shared" ca="1" si="147"/>
        <v>-579208637.54050577</v>
      </c>
      <c r="M2415" s="460">
        <f t="shared" si="149"/>
        <v>0.05</v>
      </c>
      <c r="N2415" s="464">
        <f t="shared" si="150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48"/>
        <v>-579208637.54050577</v>
      </c>
      <c r="J2416" s="444">
        <f t="array" ref="J2416">IFERROR(INDEX('Retirement Calculator'!J:J,MATCH('Isaac 401k'!N2416,'Retirement Calculator'!A:A,0),0),0)</f>
        <v>0</v>
      </c>
      <c r="K2416" s="444">
        <f t="shared" ca="1" si="146"/>
        <v>-2413369.3230854408</v>
      </c>
      <c r="L2416" s="444">
        <f t="shared" ca="1" si="147"/>
        <v>-581622006.86359119</v>
      </c>
      <c r="M2416" s="460">
        <f t="shared" si="149"/>
        <v>0.05</v>
      </c>
      <c r="N2416" s="464">
        <f t="shared" si="150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48"/>
        <v>-581622006.86359119</v>
      </c>
      <c r="J2417" s="444">
        <f t="array" ref="J2417">IFERROR(INDEX('Retirement Calculator'!J:J,MATCH('Isaac 401k'!N2417,'Retirement Calculator'!A:A,0),0),0)</f>
        <v>0</v>
      </c>
      <c r="K2417" s="444">
        <f t="shared" ca="1" si="146"/>
        <v>-2423425.0285982965</v>
      </c>
      <c r="L2417" s="444">
        <f t="shared" ca="1" si="147"/>
        <v>-584045431.8921895</v>
      </c>
      <c r="M2417" s="460">
        <f t="shared" si="149"/>
        <v>0.05</v>
      </c>
      <c r="N2417" s="464">
        <f t="shared" si="150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48"/>
        <v>-584045431.8921895</v>
      </c>
      <c r="J2418" s="444">
        <f t="array" ref="J2418">IFERROR(INDEX('Retirement Calculator'!J:J,MATCH('Isaac 401k'!N2418,'Retirement Calculator'!A:A,0),0),0)</f>
        <v>0</v>
      </c>
      <c r="K2418" s="444">
        <f t="shared" ca="1" si="146"/>
        <v>-2433522.6328841229</v>
      </c>
      <c r="L2418" s="444">
        <f t="shared" ca="1" si="147"/>
        <v>-586478954.52507365</v>
      </c>
      <c r="M2418" s="460">
        <f t="shared" si="149"/>
        <v>0.05</v>
      </c>
      <c r="N2418" s="464">
        <f t="shared" si="150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48"/>
        <v>-586478954.52507365</v>
      </c>
      <c r="J2419" s="444">
        <f t="array" ref="J2419">IFERROR(INDEX('Retirement Calculator'!J:J,MATCH('Isaac 401k'!N2419,'Retirement Calculator'!A:A,0),0),0)</f>
        <v>0</v>
      </c>
      <c r="K2419" s="444">
        <f t="shared" ca="1" si="146"/>
        <v>-2443662.3105211402</v>
      </c>
      <c r="L2419" s="444">
        <f t="shared" ca="1" si="147"/>
        <v>-588922616.83559477</v>
      </c>
      <c r="M2419" s="460">
        <f t="shared" si="149"/>
        <v>0.05</v>
      </c>
      <c r="N2419" s="464">
        <f t="shared" si="150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48"/>
        <v>-588922616.83559477</v>
      </c>
      <c r="J2420" s="444">
        <f t="array" ref="J2420">IFERROR(INDEX('Retirement Calculator'!J:J,MATCH('Isaac 401k'!N2420,'Retirement Calculator'!A:A,0),0),0)</f>
        <v>0</v>
      </c>
      <c r="K2420" s="444">
        <f t="shared" ca="1" si="146"/>
        <v>-2453844.2368149781</v>
      </c>
      <c r="L2420" s="444">
        <f t="shared" ca="1" si="147"/>
        <v>-591376461.07240975</v>
      </c>
      <c r="M2420" s="460">
        <f t="shared" si="149"/>
        <v>0.05</v>
      </c>
      <c r="N2420" s="464">
        <f t="shared" si="150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48"/>
        <v>-591376461.07240975</v>
      </c>
      <c r="J2421" s="444">
        <f t="array" ref="J2421">IFERROR(INDEX('Retirement Calculator'!J:J,MATCH('Isaac 401k'!N2421,'Retirement Calculator'!A:A,0),0),0)</f>
        <v>0</v>
      </c>
      <c r="K2421" s="444">
        <f t="shared" ca="1" si="146"/>
        <v>-2464068.5878017074</v>
      </c>
      <c r="L2421" s="444">
        <f t="shared" ca="1" si="147"/>
        <v>-593840529.66021144</v>
      </c>
      <c r="M2421" s="460">
        <f t="shared" si="149"/>
        <v>0.05</v>
      </c>
      <c r="N2421" s="464">
        <f t="shared" si="150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48"/>
        <v>-593840529.66021144</v>
      </c>
      <c r="J2422" s="444">
        <f t="array" ref="J2422">IFERROR(INDEX('Retirement Calculator'!J:J,MATCH('Isaac 401k'!N2422,'Retirement Calculator'!A:A,0),0),0)</f>
        <v>0</v>
      </c>
      <c r="K2422" s="444">
        <f t="shared" ca="1" si="146"/>
        <v>-2474335.5402508811</v>
      </c>
      <c r="L2422" s="444">
        <f t="shared" ca="1" si="147"/>
        <v>-596314865.20046234</v>
      </c>
      <c r="M2422" s="460">
        <f t="shared" si="149"/>
        <v>0.05</v>
      </c>
      <c r="N2422" s="464">
        <f t="shared" si="150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48"/>
        <v>-596314865.20046234</v>
      </c>
      <c r="J2423" s="444">
        <f t="array" ref="J2423">IFERROR(INDEX('Retirement Calculator'!J:J,MATCH('Isaac 401k'!N2423,'Retirement Calculator'!A:A,0),0),0)</f>
        <v>0</v>
      </c>
      <c r="K2423" s="444">
        <f t="shared" ca="1" si="146"/>
        <v>-2484645.2716685929</v>
      </c>
      <c r="L2423" s="444">
        <f t="shared" ca="1" si="147"/>
        <v>-598799510.47213089</v>
      </c>
      <c r="M2423" s="460">
        <f t="shared" si="149"/>
        <v>0.05</v>
      </c>
      <c r="N2423" s="464">
        <f t="shared" si="150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48"/>
        <v>-598799510.47213089</v>
      </c>
      <c r="J2424" s="444">
        <f t="array" ref="J2424">IFERROR(INDEX('Retirement Calculator'!J:J,MATCH('Isaac 401k'!N2424,'Retirement Calculator'!A:A,0),0),0)</f>
        <v>0</v>
      </c>
      <c r="K2424" s="444">
        <f t="shared" ca="1" si="146"/>
        <v>-2494997.9603005452</v>
      </c>
      <c r="L2424" s="444">
        <f t="shared" ca="1" si="147"/>
        <v>-601294508.43243146</v>
      </c>
      <c r="M2424" s="460">
        <f t="shared" si="149"/>
        <v>0.05</v>
      </c>
      <c r="N2424" s="464">
        <f t="shared" si="150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48"/>
        <v>-601294508.43243146</v>
      </c>
      <c r="J2425" s="444">
        <f t="array" ref="J2425">IFERROR(INDEX('Retirement Calculator'!J:J,MATCH('Isaac 401k'!N2425,'Retirement Calculator'!A:A,0),0),0)</f>
        <v>0</v>
      </c>
      <c r="K2425" s="444">
        <f t="shared" ca="1" si="146"/>
        <v>-2505393.7851351309</v>
      </c>
      <c r="L2425" s="444">
        <f t="shared" ca="1" si="147"/>
        <v>-603799902.21756661</v>
      </c>
      <c r="M2425" s="460">
        <f t="shared" si="149"/>
        <v>0.05</v>
      </c>
      <c r="N2425" s="464">
        <f t="shared" si="150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48"/>
        <v>-603799902.21756661</v>
      </c>
      <c r="J2426" s="444">
        <f t="array" ref="J2426">IFERROR(INDEX('Retirement Calculator'!J:J,MATCH('Isaac 401k'!N2426,'Retirement Calculator'!A:A,0),0),0)</f>
        <v>0</v>
      </c>
      <c r="K2426" s="444">
        <f t="shared" ca="1" si="146"/>
        <v>-2515832.9259065273</v>
      </c>
      <c r="L2426" s="444">
        <f t="shared" ca="1" si="147"/>
        <v>-606315735.14347315</v>
      </c>
      <c r="M2426" s="460">
        <f t="shared" si="149"/>
        <v>0.05</v>
      </c>
      <c r="N2426" s="464">
        <f t="shared" si="150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48"/>
        <v>-606315735.14347315</v>
      </c>
      <c r="J2427" s="444">
        <f t="array" ref="J2427">IFERROR(INDEX('Retirement Calculator'!J:J,MATCH('Isaac 401k'!N2427,'Retirement Calculator'!A:A,0),0),0)</f>
        <v>0</v>
      </c>
      <c r="K2427" s="444">
        <f t="shared" ca="1" si="146"/>
        <v>-2526315.5630978048</v>
      </c>
      <c r="L2427" s="444">
        <f t="shared" ca="1" si="147"/>
        <v>-608842050.70657098</v>
      </c>
      <c r="M2427" s="460">
        <f t="shared" si="149"/>
        <v>0.05</v>
      </c>
      <c r="N2427" s="464">
        <f t="shared" si="150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48"/>
        <v>-608842050.70657098</v>
      </c>
      <c r="J2428" s="444">
        <f t="array" ref="J2428">IFERROR(INDEX('Retirement Calculator'!J:J,MATCH('Isaac 401k'!N2428,'Retirement Calculator'!A:A,0),0),0)</f>
        <v>0</v>
      </c>
      <c r="K2428" s="444">
        <f t="shared" ca="1" si="146"/>
        <v>-2536841.8779440457</v>
      </c>
      <c r="L2428" s="444">
        <f t="shared" ca="1" si="147"/>
        <v>-611378892.58451498</v>
      </c>
      <c r="M2428" s="460">
        <f t="shared" si="149"/>
        <v>0.05</v>
      </c>
      <c r="N2428" s="464">
        <f t="shared" si="150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48"/>
        <v>-611378892.58451498</v>
      </c>
      <c r="J2429" s="444">
        <f t="array" ref="J2429">IFERROR(INDEX('Retirement Calculator'!J:J,MATCH('Isaac 401k'!N2429,'Retirement Calculator'!A:A,0),0),0)</f>
        <v>0</v>
      </c>
      <c r="K2429" s="444">
        <f t="shared" ca="1" si="146"/>
        <v>-2547412.0524354791</v>
      </c>
      <c r="L2429" s="444">
        <f t="shared" ca="1" si="147"/>
        <v>-613926304.63695049</v>
      </c>
      <c r="M2429" s="460">
        <f t="shared" si="149"/>
        <v>0.05</v>
      </c>
      <c r="N2429" s="464">
        <f t="shared" si="150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48"/>
        <v>-613926304.63695049</v>
      </c>
      <c r="J2430" s="444">
        <f t="array" ref="J2430">IFERROR(INDEX('Retirement Calculator'!J:J,MATCH('Isaac 401k'!N2430,'Retirement Calculator'!A:A,0),0),0)</f>
        <v>0</v>
      </c>
      <c r="K2430" s="444">
        <f t="shared" ca="1" si="146"/>
        <v>-2558026.2693206272</v>
      </c>
      <c r="L2430" s="444">
        <f t="shared" ca="1" si="147"/>
        <v>-616484330.9062711</v>
      </c>
      <c r="M2430" s="460">
        <f t="shared" si="149"/>
        <v>0.05</v>
      </c>
      <c r="N2430" s="464">
        <f t="shared" si="150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48"/>
        <v>-616484330.9062711</v>
      </c>
      <c r="J2431" s="444">
        <f t="array" ref="J2431">IFERROR(INDEX('Retirement Calculator'!J:J,MATCH('Isaac 401k'!N2431,'Retirement Calculator'!A:A,0),0),0)</f>
        <v>0</v>
      </c>
      <c r="K2431" s="444">
        <f t="shared" ca="1" si="146"/>
        <v>-2568684.7121094628</v>
      </c>
      <c r="L2431" s="444">
        <f t="shared" ca="1" si="147"/>
        <v>-619053015.61838055</v>
      </c>
      <c r="M2431" s="460">
        <f t="shared" si="149"/>
        <v>0.05</v>
      </c>
      <c r="N2431" s="464">
        <f t="shared" si="150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48"/>
        <v>-619053015.61838055</v>
      </c>
      <c r="J2432" s="444">
        <f t="array" ref="J2432">IFERROR(INDEX('Retirement Calculator'!J:J,MATCH('Isaac 401k'!N2432,'Retirement Calculator'!A:A,0),0),0)</f>
        <v>0</v>
      </c>
      <c r="K2432" s="444">
        <f t="shared" ca="1" si="146"/>
        <v>-2579387.5650765854</v>
      </c>
      <c r="L2432" s="444">
        <f t="shared" ca="1" si="147"/>
        <v>-621632403.18345714</v>
      </c>
      <c r="M2432" s="460">
        <f t="shared" si="149"/>
        <v>0.05</v>
      </c>
      <c r="N2432" s="464">
        <f t="shared" si="150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48"/>
        <v>-621632403.18345714</v>
      </c>
      <c r="J2433" s="444">
        <f t="array" ref="J2433">IFERROR(INDEX('Retirement Calculator'!J:J,MATCH('Isaac 401k'!N2433,'Retirement Calculator'!A:A,0),0),0)</f>
        <v>0</v>
      </c>
      <c r="K2433" s="444">
        <f t="shared" ca="1" si="146"/>
        <v>-2590135.0132644046</v>
      </c>
      <c r="L2433" s="444">
        <f t="shared" ca="1" si="147"/>
        <v>-624222538.19672155</v>
      </c>
      <c r="M2433" s="460">
        <f t="shared" si="149"/>
        <v>0.05</v>
      </c>
      <c r="N2433" s="464">
        <f t="shared" si="150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48"/>
        <v>-624222538.19672155</v>
      </c>
      <c r="J2434" s="444">
        <f t="array" ref="J2434">IFERROR(INDEX('Retirement Calculator'!J:J,MATCH('Isaac 401k'!N2434,'Retirement Calculator'!A:A,0),0),0)</f>
        <v>0</v>
      </c>
      <c r="K2434" s="444">
        <f t="shared" ca="1" si="146"/>
        <v>-2600927.24248634</v>
      </c>
      <c r="L2434" s="444">
        <f t="shared" ca="1" si="147"/>
        <v>-626823465.43920791</v>
      </c>
      <c r="M2434" s="460">
        <f t="shared" si="149"/>
        <v>0.05</v>
      </c>
      <c r="N2434" s="464">
        <f t="shared" si="150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48"/>
        <v>-626823465.43920791</v>
      </c>
      <c r="J2435" s="444">
        <f t="array" ref="J2435">IFERROR(INDEX('Retirement Calculator'!J:J,MATCH('Isaac 401k'!N2435,'Retirement Calculator'!A:A,0),0),0)</f>
        <v>0</v>
      </c>
      <c r="K2435" s="444">
        <f t="shared" ca="1" si="146"/>
        <v>-2611764.439330033</v>
      </c>
      <c r="L2435" s="444">
        <f t="shared" ca="1" si="147"/>
        <v>-629435229.87853789</v>
      </c>
      <c r="M2435" s="460">
        <f t="shared" si="149"/>
        <v>0.05</v>
      </c>
      <c r="N2435" s="464">
        <f t="shared" si="150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48"/>
        <v>-629435229.87853789</v>
      </c>
      <c r="J2436" s="444">
        <f t="array" ref="J2436">IFERROR(INDEX('Retirement Calculator'!J:J,MATCH('Isaac 401k'!N2436,'Retirement Calculator'!A:A,0),0),0)</f>
        <v>0</v>
      </c>
      <c r="K2436" s="444">
        <f t="shared" ca="1" si="146"/>
        <v>-2622646.7911605746</v>
      </c>
      <c r="L2436" s="444">
        <f t="shared" ca="1" si="147"/>
        <v>-632057876.66969848</v>
      </c>
      <c r="M2436" s="460">
        <f t="shared" si="149"/>
        <v>0.05</v>
      </c>
      <c r="N2436" s="464">
        <f t="shared" si="150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48"/>
        <v>-632057876.66969848</v>
      </c>
      <c r="J2437" s="444">
        <f t="array" ref="J2437">IFERROR(INDEX('Retirement Calculator'!J:J,MATCH('Isaac 401k'!N2437,'Retirement Calculator'!A:A,0),0),0)</f>
        <v>0</v>
      </c>
      <c r="K2437" s="444">
        <f t="shared" ca="1" si="146"/>
        <v>-2633574.4861237435</v>
      </c>
      <c r="L2437" s="444">
        <f t="shared" ca="1" si="147"/>
        <v>-634691451.15582228</v>
      </c>
      <c r="M2437" s="460">
        <f t="shared" si="149"/>
        <v>0.05</v>
      </c>
      <c r="N2437" s="464">
        <f t="shared" si="150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48"/>
        <v>-634691451.15582228</v>
      </c>
      <c r="J2438" s="444">
        <f t="array" ref="J2438">IFERROR(INDEX('Retirement Calculator'!J:J,MATCH('Isaac 401k'!N2438,'Retirement Calculator'!A:A,0),0),0)</f>
        <v>0</v>
      </c>
      <c r="K2438" s="444">
        <f t="shared" ca="1" si="146"/>
        <v>-2644547.7131492593</v>
      </c>
      <c r="L2438" s="444">
        <f t="shared" ca="1" si="147"/>
        <v>-637335998.86897159</v>
      </c>
      <c r="M2438" s="460">
        <f t="shared" si="149"/>
        <v>0.05</v>
      </c>
      <c r="N2438" s="464">
        <f t="shared" si="150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48"/>
        <v>-637335998.86897159</v>
      </c>
      <c r="J2439" s="444">
        <f t="array" ref="J2439">IFERROR(INDEX('Retirement Calculator'!J:J,MATCH('Isaac 401k'!N2439,'Retirement Calculator'!A:A,0),0),0)</f>
        <v>0</v>
      </c>
      <c r="K2439" s="444">
        <f t="shared" ca="1" si="146"/>
        <v>-2655566.6619540481</v>
      </c>
      <c r="L2439" s="444">
        <f t="shared" ca="1" si="147"/>
        <v>-639991565.53092563</v>
      </c>
      <c r="M2439" s="460">
        <f t="shared" si="149"/>
        <v>0.05</v>
      </c>
      <c r="N2439" s="464">
        <f t="shared" si="150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48"/>
        <v>-639991565.53092563</v>
      </c>
      <c r="J2440" s="444">
        <f t="array" ref="J2440">IFERROR(INDEX('Retirement Calculator'!J:J,MATCH('Isaac 401k'!N2440,'Retirement Calculator'!A:A,0),0),0)</f>
        <v>0</v>
      </c>
      <c r="K2440" s="444">
        <f t="shared" ca="1" si="146"/>
        <v>-2666631.5230455236</v>
      </c>
      <c r="L2440" s="444">
        <f t="shared" ca="1" si="147"/>
        <v>-642658197.05397117</v>
      </c>
      <c r="M2440" s="460">
        <f t="shared" si="149"/>
        <v>0.05</v>
      </c>
      <c r="N2440" s="464">
        <f t="shared" si="150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48"/>
        <v>-642658197.05397117</v>
      </c>
      <c r="J2441" s="444">
        <f t="array" ref="J2441">IFERROR(INDEX('Retirement Calculator'!J:J,MATCH('Isaac 401k'!N2441,'Retirement Calculator'!A:A,0),0),0)</f>
        <v>0</v>
      </c>
      <c r="K2441" s="444">
        <f t="shared" ca="1" si="146"/>
        <v>-2677742.4877248798</v>
      </c>
      <c r="L2441" s="444">
        <f t="shared" ca="1" si="147"/>
        <v>-645335939.54169607</v>
      </c>
      <c r="M2441" s="460">
        <f t="shared" si="149"/>
        <v>0.05</v>
      </c>
      <c r="N2441" s="464">
        <f t="shared" si="150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48"/>
        <v>-645335939.54169607</v>
      </c>
      <c r="J2442" s="444">
        <f t="array" ref="J2442">IFERROR(INDEX('Retirement Calculator'!J:J,MATCH('Isaac 401k'!N2442,'Retirement Calculator'!A:A,0),0),0)</f>
        <v>0</v>
      </c>
      <c r="K2442" s="444">
        <f t="shared" ca="1" si="146"/>
        <v>-2688899.7480904004</v>
      </c>
      <c r="L2442" s="444">
        <f t="shared" ca="1" si="147"/>
        <v>-648024839.28978646</v>
      </c>
      <c r="M2442" s="460">
        <f t="shared" si="149"/>
        <v>0.05</v>
      </c>
      <c r="N2442" s="464">
        <f t="shared" si="150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48"/>
        <v>-648024839.28978646</v>
      </c>
      <c r="J2443" s="444">
        <f t="array" ref="J2443">IFERROR(INDEX('Retirement Calculator'!J:J,MATCH('Isaac 401k'!N2443,'Retirement Calculator'!A:A,0),0),0)</f>
        <v>0</v>
      </c>
      <c r="K2443" s="444">
        <f t="shared" ca="1" si="146"/>
        <v>-2700103.497040777</v>
      </c>
      <c r="L2443" s="444">
        <f t="shared" ca="1" si="147"/>
        <v>-650724942.78682721</v>
      </c>
      <c r="M2443" s="460">
        <f t="shared" si="149"/>
        <v>0.05</v>
      </c>
      <c r="N2443" s="464">
        <f t="shared" si="150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48"/>
        <v>-650724942.78682721</v>
      </c>
      <c r="J2444" s="444">
        <f t="array" ref="J2444">IFERROR(INDEX('Retirement Calculator'!J:J,MATCH('Isaac 401k'!N2444,'Retirement Calculator'!A:A,0),0),0)</f>
        <v>0</v>
      </c>
      <c r="K2444" s="444">
        <f t="shared" ca="1" si="146"/>
        <v>-2711353.9282784467</v>
      </c>
      <c r="L2444" s="444">
        <f t="shared" ca="1" si="147"/>
        <v>-653436296.71510565</v>
      </c>
      <c r="M2444" s="460">
        <f t="shared" si="149"/>
        <v>0.05</v>
      </c>
      <c r="N2444" s="464">
        <f t="shared" si="150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48"/>
        <v>-653436296.71510565</v>
      </c>
      <c r="J2445" s="444">
        <f t="array" ref="J2445">IFERROR(INDEX('Retirement Calculator'!J:J,MATCH('Isaac 401k'!N2445,'Retirement Calculator'!A:A,0),0),0)</f>
        <v>0</v>
      </c>
      <c r="K2445" s="444">
        <f t="shared" ca="1" si="146"/>
        <v>-2722651.2363129403</v>
      </c>
      <c r="L2445" s="444">
        <f t="shared" ca="1" si="147"/>
        <v>-656158947.95141864</v>
      </c>
      <c r="M2445" s="460">
        <f t="shared" si="149"/>
        <v>0.05</v>
      </c>
      <c r="N2445" s="464">
        <f t="shared" si="150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48"/>
        <v>-656158947.95141864</v>
      </c>
      <c r="J2446" s="444">
        <f t="array" ref="J2446">IFERROR(INDEX('Retirement Calculator'!J:J,MATCH('Isaac 401k'!N2446,'Retirement Calculator'!A:A,0),0),0)</f>
        <v>0</v>
      </c>
      <c r="K2446" s="444">
        <f t="shared" ca="1" si="146"/>
        <v>-2733995.6164642442</v>
      </c>
      <c r="L2446" s="444">
        <f t="shared" ca="1" si="147"/>
        <v>-658892943.5678829</v>
      </c>
      <c r="M2446" s="460">
        <f t="shared" si="149"/>
        <v>0.05</v>
      </c>
      <c r="N2446" s="464">
        <f t="shared" si="150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48"/>
        <v>-658892943.5678829</v>
      </c>
      <c r="J2447" s="444">
        <f t="array" ref="J2447">IFERROR(INDEX('Retirement Calculator'!J:J,MATCH('Isaac 401k'!N2447,'Retirement Calculator'!A:A,0),0),0)</f>
        <v>0</v>
      </c>
      <c r="K2447" s="444">
        <f t="shared" ca="1" si="146"/>
        <v>-2745387.2648661789</v>
      </c>
      <c r="L2447" s="444">
        <f t="shared" ca="1" si="147"/>
        <v>-661638330.83274913</v>
      </c>
      <c r="M2447" s="460">
        <f t="shared" si="149"/>
        <v>0.05</v>
      </c>
      <c r="N2447" s="464">
        <f t="shared" si="150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48"/>
        <v>-661638330.83274913</v>
      </c>
      <c r="J2448" s="444">
        <f t="array" ref="J2448">IFERROR(INDEX('Retirement Calculator'!J:J,MATCH('Isaac 401k'!N2448,'Retirement Calculator'!A:A,0),0),0)</f>
        <v>0</v>
      </c>
      <c r="K2448" s="444">
        <f t="shared" ca="1" si="146"/>
        <v>-2756826.378469788</v>
      </c>
      <c r="L2448" s="444">
        <f t="shared" ca="1" si="147"/>
        <v>-664395157.21121895</v>
      </c>
      <c r="M2448" s="460">
        <f t="shared" si="149"/>
        <v>0.05</v>
      </c>
      <c r="N2448" s="464">
        <f t="shared" si="150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48"/>
        <v>-664395157.21121895</v>
      </c>
      <c r="J2449" s="444">
        <f t="array" ref="J2449">IFERROR(INDEX('Retirement Calculator'!J:J,MATCH('Isaac 401k'!N2449,'Retirement Calculator'!A:A,0),0),0)</f>
        <v>0</v>
      </c>
      <c r="K2449" s="444">
        <f t="shared" ca="1" si="146"/>
        <v>-2768313.1550467457</v>
      </c>
      <c r="L2449" s="444">
        <f t="shared" ca="1" si="147"/>
        <v>-667163470.36626565</v>
      </c>
      <c r="M2449" s="460">
        <f t="shared" si="149"/>
        <v>0.05</v>
      </c>
      <c r="N2449" s="464">
        <f t="shared" si="150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48"/>
        <v>-667163470.36626565</v>
      </c>
      <c r="J2450" s="444">
        <f t="array" ref="J2450">IFERROR(INDEX('Retirement Calculator'!J:J,MATCH('Isaac 401k'!N2450,'Retirement Calculator'!A:A,0),0),0)</f>
        <v>0</v>
      </c>
      <c r="K2450" s="444">
        <f t="shared" ca="1" si="146"/>
        <v>-2779847.7931927736</v>
      </c>
      <c r="L2450" s="444">
        <f t="shared" ca="1" si="147"/>
        <v>-669943318.1594584</v>
      </c>
      <c r="M2450" s="460">
        <f t="shared" si="149"/>
        <v>0.05</v>
      </c>
      <c r="N2450" s="464">
        <f t="shared" si="150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48"/>
        <v>-669943318.1594584</v>
      </c>
      <c r="J2451" s="444">
        <f t="array" ref="J2451">IFERROR(INDEX('Retirement Calculator'!J:J,MATCH('Isaac 401k'!N2451,'Retirement Calculator'!A:A,0),0),0)</f>
        <v>0</v>
      </c>
      <c r="K2451" s="444">
        <f t="shared" ca="1" si="146"/>
        <v>-2791430.4923310764</v>
      </c>
      <c r="L2451" s="444">
        <f t="shared" ca="1" si="147"/>
        <v>-672734748.65178943</v>
      </c>
      <c r="M2451" s="460">
        <f t="shared" si="149"/>
        <v>0.05</v>
      </c>
      <c r="N2451" s="464">
        <f t="shared" si="150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48"/>
        <v>-672734748.65178943</v>
      </c>
      <c r="J2452" s="444">
        <f t="array" ref="J2452">IFERROR(INDEX('Retirement Calculator'!J:J,MATCH('Isaac 401k'!N2452,'Retirement Calculator'!A:A,0),0),0)</f>
        <v>0</v>
      </c>
      <c r="K2452" s="444">
        <f t="shared" ca="1" si="146"/>
        <v>-2803061.4527157894</v>
      </c>
      <c r="L2452" s="444">
        <f t="shared" ca="1" si="147"/>
        <v>-675537810.10450518</v>
      </c>
      <c r="M2452" s="460">
        <f t="shared" si="149"/>
        <v>0.05</v>
      </c>
      <c r="N2452" s="464">
        <f t="shared" si="150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48"/>
        <v>-675537810.10450518</v>
      </c>
      <c r="J2453" s="444">
        <f t="array" ref="J2453">IFERROR(INDEX('Retirement Calculator'!J:J,MATCH('Isaac 401k'!N2453,'Retirement Calculator'!A:A,0),0),0)</f>
        <v>0</v>
      </c>
      <c r="K2453" s="444">
        <f t="shared" ca="1" si="146"/>
        <v>-2814740.875435438</v>
      </c>
      <c r="L2453" s="444">
        <f t="shared" ca="1" si="147"/>
        <v>-678352550.97994065</v>
      </c>
      <c r="M2453" s="460">
        <f t="shared" si="149"/>
        <v>0.05</v>
      </c>
      <c r="N2453" s="464">
        <f t="shared" si="150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48"/>
        <v>-678352550.97994065</v>
      </c>
      <c r="J2454" s="444">
        <f t="array" ref="J2454">IFERROR(INDEX('Retirement Calculator'!J:J,MATCH('Isaac 401k'!N2454,'Retirement Calculator'!A:A,0),0),0)</f>
        <v>0</v>
      </c>
      <c r="K2454" s="444">
        <f t="shared" ca="1" si="146"/>
        <v>-2826468.9624164193</v>
      </c>
      <c r="L2454" s="444">
        <f t="shared" ca="1" si="147"/>
        <v>-681179019.94235706</v>
      </c>
      <c r="M2454" s="460">
        <f t="shared" si="149"/>
        <v>0.05</v>
      </c>
      <c r="N2454" s="464">
        <f t="shared" si="150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48"/>
        <v>-681179019.94235706</v>
      </c>
      <c r="J2455" s="444">
        <f t="array" ref="J2455">IFERROR(INDEX('Retirement Calculator'!J:J,MATCH('Isaac 401k'!N2455,'Retirement Calculator'!A:A,0),0),0)</f>
        <v>0</v>
      </c>
      <c r="K2455" s="444">
        <f t="shared" ca="1" si="146"/>
        <v>-2838245.9164264877</v>
      </c>
      <c r="L2455" s="444">
        <f t="shared" ca="1" si="147"/>
        <v>-684017265.8587836</v>
      </c>
      <c r="M2455" s="460">
        <f t="shared" si="149"/>
        <v>0.05</v>
      </c>
      <c r="N2455" s="464">
        <f t="shared" si="150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48"/>
        <v>-684017265.8587836</v>
      </c>
      <c r="J2456" s="444">
        <f t="array" ref="J2456">IFERROR(INDEX('Retirement Calculator'!J:J,MATCH('Isaac 401k'!N2456,'Retirement Calculator'!A:A,0),0),0)</f>
        <v>0</v>
      </c>
      <c r="K2456" s="444">
        <f t="shared" ca="1" si="146"/>
        <v>-2850071.9410782652</v>
      </c>
      <c r="L2456" s="444">
        <f t="shared" ca="1" si="147"/>
        <v>-686867337.79986191</v>
      </c>
      <c r="M2456" s="460">
        <f t="shared" si="149"/>
        <v>0.05</v>
      </c>
      <c r="N2456" s="464">
        <f t="shared" si="150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48"/>
        <v>-686867337.79986191</v>
      </c>
      <c r="J2457" s="444">
        <f t="array" ref="J2457">IFERROR(INDEX('Retirement Calculator'!J:J,MATCH('Isaac 401k'!N2457,'Retirement Calculator'!A:A,0),0),0)</f>
        <v>0</v>
      </c>
      <c r="K2457" s="444">
        <f t="shared" ca="1" si="146"/>
        <v>-2861947.2408327581</v>
      </c>
      <c r="L2457" s="444">
        <f t="shared" ca="1" si="147"/>
        <v>-689729285.04069471</v>
      </c>
      <c r="M2457" s="460">
        <f t="shared" si="149"/>
        <v>0.05</v>
      </c>
      <c r="N2457" s="464">
        <f t="shared" si="150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48"/>
        <v>-689729285.04069471</v>
      </c>
      <c r="J2458" s="444">
        <f t="array" ref="J2458">IFERROR(INDEX('Retirement Calculator'!J:J,MATCH('Isaac 401k'!N2458,'Retirement Calculator'!A:A,0),0),0)</f>
        <v>0</v>
      </c>
      <c r="K2458" s="444">
        <f t="shared" ca="1" si="146"/>
        <v>-2873872.0210028947</v>
      </c>
      <c r="L2458" s="444">
        <f t="shared" ca="1" si="147"/>
        <v>-692603157.0616976</v>
      </c>
      <c r="M2458" s="460">
        <f t="shared" si="149"/>
        <v>0.05</v>
      </c>
      <c r="N2458" s="464">
        <f t="shared" si="150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48"/>
        <v>-692603157.0616976</v>
      </c>
      <c r="J2459" s="444">
        <f t="array" ref="J2459">IFERROR(INDEX('Retirement Calculator'!J:J,MATCH('Isaac 401k'!N2459,'Retirement Calculator'!A:A,0),0),0)</f>
        <v>0</v>
      </c>
      <c r="K2459" s="444">
        <f t="shared" ca="1" si="146"/>
        <v>-2885846.4877570732</v>
      </c>
      <c r="L2459" s="444">
        <f t="shared" ca="1" si="147"/>
        <v>-695489003.54945469</v>
      </c>
      <c r="M2459" s="460">
        <f t="shared" si="149"/>
        <v>0.05</v>
      </c>
      <c r="N2459" s="464">
        <f t="shared" si="150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48"/>
        <v>-695489003.54945469</v>
      </c>
      <c r="J2460" s="444">
        <f t="array" ref="J2460">IFERROR(INDEX('Retirement Calculator'!J:J,MATCH('Isaac 401k'!N2460,'Retirement Calculator'!A:A,0),0),0)</f>
        <v>0</v>
      </c>
      <c r="K2460" s="444">
        <f t="shared" ca="1" si="146"/>
        <v>-2897870.8481227281</v>
      </c>
      <c r="L2460" s="444">
        <f t="shared" ca="1" si="147"/>
        <v>-698386874.3975774</v>
      </c>
      <c r="M2460" s="460">
        <f t="shared" si="149"/>
        <v>0.05</v>
      </c>
      <c r="N2460" s="464">
        <f t="shared" si="150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48"/>
        <v>-698386874.3975774</v>
      </c>
      <c r="J2461" s="444">
        <f t="array" ref="J2461">IFERROR(INDEX('Retirement Calculator'!J:J,MATCH('Isaac 401k'!N2461,'Retirement Calculator'!A:A,0),0),0)</f>
        <v>0</v>
      </c>
      <c r="K2461" s="444">
        <f t="shared" ca="1" si="146"/>
        <v>-2909945.3099899059</v>
      </c>
      <c r="L2461" s="444">
        <f t="shared" ca="1" si="147"/>
        <v>-701296819.70756733</v>
      </c>
      <c r="M2461" s="460">
        <f t="shared" si="149"/>
        <v>0.05</v>
      </c>
      <c r="N2461" s="464">
        <f t="shared" si="150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48"/>
        <v>-701296819.70756733</v>
      </c>
      <c r="J2462" s="444">
        <f t="array" ref="J2462">IFERROR(INDEX('Retirement Calculator'!J:J,MATCH('Isaac 401k'!N2462,'Retirement Calculator'!A:A,0),0),0)</f>
        <v>0</v>
      </c>
      <c r="K2462" s="444">
        <f t="shared" ca="1" si="146"/>
        <v>-2922070.0821148637</v>
      </c>
      <c r="L2462" s="444">
        <f t="shared" ca="1" si="147"/>
        <v>-704218889.78968215</v>
      </c>
      <c r="M2462" s="460">
        <f t="shared" si="149"/>
        <v>0.05</v>
      </c>
      <c r="N2462" s="464">
        <f t="shared" si="150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48"/>
        <v>-704218889.78968215</v>
      </c>
      <c r="J2463" s="444">
        <f t="array" ref="J2463">IFERROR(INDEX('Retirement Calculator'!J:J,MATCH('Isaac 401k'!N2463,'Retirement Calculator'!A:A,0),0),0)</f>
        <v>0</v>
      </c>
      <c r="K2463" s="444">
        <f t="shared" ca="1" si="146"/>
        <v>-2934245.3741236757</v>
      </c>
      <c r="L2463" s="444">
        <f t="shared" ca="1" si="147"/>
        <v>-707153135.16380584</v>
      </c>
      <c r="M2463" s="460">
        <f t="shared" si="149"/>
        <v>0.05</v>
      </c>
      <c r="N2463" s="464">
        <f t="shared" si="150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48"/>
        <v>-707153135.16380584</v>
      </c>
      <c r="J2464" s="444">
        <f t="array" ref="J2464">IFERROR(INDEX('Retirement Calculator'!J:J,MATCH('Isaac 401k'!N2464,'Retirement Calculator'!A:A,0),0),0)</f>
        <v>0</v>
      </c>
      <c r="K2464" s="444">
        <f t="shared" ca="1" si="146"/>
        <v>-2946471.3965158574</v>
      </c>
      <c r="L2464" s="444">
        <f t="shared" ca="1" si="147"/>
        <v>-710099606.56032169</v>
      </c>
      <c r="M2464" s="460">
        <f t="shared" si="149"/>
        <v>0.05</v>
      </c>
      <c r="N2464" s="464">
        <f t="shared" si="150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48"/>
        <v>-710099606.56032169</v>
      </c>
      <c r="J2465" s="444">
        <f t="array" ref="J2465">IFERROR(INDEX('Retirement Calculator'!J:J,MATCH('Isaac 401k'!N2465,'Retirement Calculator'!A:A,0),0),0)</f>
        <v>0</v>
      </c>
      <c r="K2465" s="444">
        <f t="shared" ca="1" si="146"/>
        <v>-2958748.3606680068</v>
      </c>
      <c r="L2465" s="444">
        <f t="shared" ca="1" si="147"/>
        <v>-713058354.92098975</v>
      </c>
      <c r="M2465" s="460">
        <f t="shared" si="149"/>
        <v>0.05</v>
      </c>
      <c r="N2465" s="464">
        <f t="shared" si="150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48"/>
        <v>-713058354.92098975</v>
      </c>
      <c r="J2466" s="444">
        <f t="array" ref="J2466">IFERROR(INDEX('Retirement Calculator'!J:J,MATCH('Isaac 401k'!N2466,'Retirement Calculator'!A:A,0),0),0)</f>
        <v>0</v>
      </c>
      <c r="K2466" s="444">
        <f t="shared" ca="1" si="146"/>
        <v>-2971076.4788374575</v>
      </c>
      <c r="L2466" s="444">
        <f t="shared" ca="1" si="147"/>
        <v>-716029431.39982724</v>
      </c>
      <c r="M2466" s="460">
        <f t="shared" si="149"/>
        <v>0.05</v>
      </c>
      <c r="N2466" s="464">
        <f t="shared" si="150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48"/>
        <v>-716029431.39982724</v>
      </c>
      <c r="J2467" s="444">
        <f t="array" ref="J2467">IFERROR(INDEX('Retirement Calculator'!J:J,MATCH('Isaac 401k'!N2467,'Retirement Calculator'!A:A,0),0),0)</f>
        <v>0</v>
      </c>
      <c r="K2467" s="444">
        <f t="shared" ca="1" si="146"/>
        <v>-2983455.9641659469</v>
      </c>
      <c r="L2467" s="444">
        <f t="shared" ca="1" si="147"/>
        <v>-719012887.36399317</v>
      </c>
      <c r="M2467" s="460">
        <f t="shared" si="149"/>
        <v>0.05</v>
      </c>
      <c r="N2467" s="464">
        <f t="shared" si="150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48"/>
        <v>-719012887.36399317</v>
      </c>
      <c r="J2468" s="444">
        <f t="array" ref="J2468">IFERROR(INDEX('Retirement Calculator'!J:J,MATCH('Isaac 401k'!N2468,'Retirement Calculator'!A:A,0),0),0)</f>
        <v>0</v>
      </c>
      <c r="K2468" s="444">
        <f t="shared" ca="1" si="146"/>
        <v>-2995887.0306833046</v>
      </c>
      <c r="L2468" s="444">
        <f t="shared" ca="1" si="147"/>
        <v>-722008774.39467645</v>
      </c>
      <c r="M2468" s="460">
        <f t="shared" si="149"/>
        <v>0.05</v>
      </c>
      <c r="N2468" s="464">
        <f t="shared" si="150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48"/>
        <v>-722008774.39467645</v>
      </c>
      <c r="J2469" s="444">
        <f t="array" ref="J2469">IFERROR(INDEX('Retirement Calculator'!J:J,MATCH('Isaac 401k'!N2469,'Retirement Calculator'!A:A,0),0),0)</f>
        <v>0</v>
      </c>
      <c r="K2469" s="444">
        <f t="shared" ca="1" si="146"/>
        <v>-3008369.8933111518</v>
      </c>
      <c r="L2469" s="444">
        <f t="shared" ca="1" si="147"/>
        <v>-725017144.28798759</v>
      </c>
      <c r="M2469" s="460">
        <f t="shared" si="149"/>
        <v>0.05</v>
      </c>
      <c r="N2469" s="464">
        <f t="shared" si="150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48"/>
        <v>-725017144.28798759</v>
      </c>
      <c r="J2470" s="444">
        <f t="array" ref="J2470">IFERROR(INDEX('Retirement Calculator'!J:J,MATCH('Isaac 401k'!N2470,'Retirement Calculator'!A:A,0),0),0)</f>
        <v>0</v>
      </c>
      <c r="K2470" s="444">
        <f t="shared" ca="1" si="146"/>
        <v>-3020904.7678666147</v>
      </c>
      <c r="L2470" s="444">
        <f t="shared" ca="1" si="147"/>
        <v>-728038049.0558542</v>
      </c>
      <c r="M2470" s="460">
        <f t="shared" si="149"/>
        <v>0.05</v>
      </c>
      <c r="N2470" s="464">
        <f t="shared" si="150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48"/>
        <v>-728038049.0558542</v>
      </c>
      <c r="J2471" s="444">
        <f t="array" ref="J2471">IFERROR(INDEX('Retirement Calculator'!J:J,MATCH('Isaac 401k'!N2471,'Retirement Calculator'!A:A,0),0),0)</f>
        <v>0</v>
      </c>
      <c r="K2471" s="444">
        <f t="shared" ca="1" si="146"/>
        <v>-3033491.871066059</v>
      </c>
      <c r="L2471" s="444">
        <f t="shared" ca="1" si="147"/>
        <v>-731071540.92692029</v>
      </c>
      <c r="M2471" s="460">
        <f t="shared" si="149"/>
        <v>0.05</v>
      </c>
      <c r="N2471" s="464">
        <f t="shared" si="150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48"/>
        <v>-731071540.92692029</v>
      </c>
      <c r="J2472" s="444">
        <f t="array" ref="J2472">IFERROR(INDEX('Retirement Calculator'!J:J,MATCH('Isaac 401k'!N2472,'Retirement Calculator'!A:A,0),0),0)</f>
        <v>0</v>
      </c>
      <c r="K2472" s="444">
        <f t="shared" ca="1" si="146"/>
        <v>-3046131.4205288347</v>
      </c>
      <c r="L2472" s="444">
        <f t="shared" ca="1" si="147"/>
        <v>-734117672.34744918</v>
      </c>
      <c r="M2472" s="460">
        <f t="shared" si="149"/>
        <v>0.05</v>
      </c>
      <c r="N2472" s="464">
        <f t="shared" si="150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48"/>
        <v>-734117672.34744918</v>
      </c>
      <c r="J2473" s="444">
        <f t="array" ref="J2473">IFERROR(INDEX('Retirement Calculator'!J:J,MATCH('Isaac 401k'!N2473,'Retirement Calculator'!A:A,0),0),0)</f>
        <v>0</v>
      </c>
      <c r="K2473" s="444">
        <f t="shared" ca="1" si="146"/>
        <v>-3058823.6347810384</v>
      </c>
      <c r="L2473" s="444">
        <f t="shared" ca="1" si="147"/>
        <v>-737176495.98223019</v>
      </c>
      <c r="M2473" s="460">
        <f t="shared" si="149"/>
        <v>0.05</v>
      </c>
      <c r="N2473" s="464">
        <f t="shared" si="150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48"/>
        <v>-737176495.98223019</v>
      </c>
      <c r="J2474" s="444">
        <f t="array" ref="J2474">IFERROR(INDEX('Retirement Calculator'!J:J,MATCH('Isaac 401k'!N2474,'Retirement Calculator'!A:A,0),0),0)</f>
        <v>0</v>
      </c>
      <c r="K2474" s="444">
        <f t="shared" ca="1" si="146"/>
        <v>-3071568.7332592923</v>
      </c>
      <c r="L2474" s="444">
        <f t="shared" ca="1" si="147"/>
        <v>-740248064.71548951</v>
      </c>
      <c r="M2474" s="460">
        <f t="shared" si="149"/>
        <v>0.05</v>
      </c>
      <c r="N2474" s="464">
        <f t="shared" si="150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48"/>
        <v>-740248064.71548951</v>
      </c>
      <c r="J2475" s="444">
        <f t="array" ref="J2475">IFERROR(INDEX('Retirement Calculator'!J:J,MATCH('Isaac 401k'!N2475,'Retirement Calculator'!A:A,0),0),0)</f>
        <v>0</v>
      </c>
      <c r="K2475" s="444">
        <f t="shared" ca="1" si="146"/>
        <v>-3084366.9363145395</v>
      </c>
      <c r="L2475" s="444">
        <f t="shared" ca="1" si="147"/>
        <v>-743332431.65180409</v>
      </c>
      <c r="M2475" s="460">
        <f t="shared" si="149"/>
        <v>0.05</v>
      </c>
      <c r="N2475" s="464">
        <f t="shared" si="150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48"/>
        <v>-743332431.65180409</v>
      </c>
      <c r="J2476" s="444">
        <f t="array" ref="J2476">IFERROR(INDEX('Retirement Calculator'!J:J,MATCH('Isaac 401k'!N2476,'Retirement Calculator'!A:A,0),0),0)</f>
        <v>0</v>
      </c>
      <c r="K2476" s="444">
        <f t="shared" ca="1" si="146"/>
        <v>-3097218.4652158502</v>
      </c>
      <c r="L2476" s="444">
        <f t="shared" ca="1" si="147"/>
        <v>-746429650.11701989</v>
      </c>
      <c r="M2476" s="460">
        <f t="shared" si="149"/>
        <v>0.05</v>
      </c>
      <c r="N2476" s="464">
        <f t="shared" si="150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48"/>
        <v>-746429650.11701989</v>
      </c>
      <c r="J2477" s="444">
        <f t="array" ref="J2477">IFERROR(INDEX('Retirement Calculator'!J:J,MATCH('Isaac 401k'!N2477,'Retirement Calculator'!A:A,0),0),0)</f>
        <v>0</v>
      </c>
      <c r="K2477" s="444">
        <f t="shared" ca="1" si="146"/>
        <v>-3110123.5421542497</v>
      </c>
      <c r="L2477" s="444">
        <f t="shared" ca="1" si="147"/>
        <v>-749539773.65917408</v>
      </c>
      <c r="M2477" s="460">
        <f t="shared" si="149"/>
        <v>0.05</v>
      </c>
      <c r="N2477" s="464">
        <f t="shared" si="150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48"/>
        <v>-749539773.65917408</v>
      </c>
      <c r="J2478" s="444">
        <f t="array" ref="J2478">IFERROR(INDEX('Retirement Calculator'!J:J,MATCH('Isaac 401k'!N2478,'Retirement Calculator'!A:A,0),0),0)</f>
        <v>0</v>
      </c>
      <c r="K2478" s="444">
        <f t="shared" ca="1" si="146"/>
        <v>-3123082.3902465585</v>
      </c>
      <c r="L2478" s="444">
        <f t="shared" ca="1" si="147"/>
        <v>-752662856.0494206</v>
      </c>
      <c r="M2478" s="460">
        <f t="shared" si="149"/>
        <v>0.05</v>
      </c>
      <c r="N2478" s="464">
        <f t="shared" si="150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48"/>
        <v>-752662856.0494206</v>
      </c>
      <c r="J2479" s="444">
        <f t="array" ref="J2479">IFERROR(INDEX('Retirement Calculator'!J:J,MATCH('Isaac 401k'!N2479,'Retirement Calculator'!A:A,0),0),0)</f>
        <v>0</v>
      </c>
      <c r="K2479" s="444">
        <f t="shared" ca="1" si="146"/>
        <v>-3136095.2335392525</v>
      </c>
      <c r="L2479" s="444">
        <f t="shared" ca="1" si="147"/>
        <v>-755798951.28295982</v>
      </c>
      <c r="M2479" s="460">
        <f t="shared" si="149"/>
        <v>0.05</v>
      </c>
      <c r="N2479" s="464">
        <f t="shared" si="150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48"/>
        <v>-755798951.28295982</v>
      </c>
      <c r="J2480" s="444">
        <f t="array" ref="J2480">IFERROR(INDEX('Retirement Calculator'!J:J,MATCH('Isaac 401k'!N2480,'Retirement Calculator'!A:A,0),0),0)</f>
        <v>0</v>
      </c>
      <c r="K2480" s="444">
        <f t="shared" ca="1" si="146"/>
        <v>-3149162.2970123324</v>
      </c>
      <c r="L2480" s="444">
        <f t="shared" ca="1" si="147"/>
        <v>-758948113.57997215</v>
      </c>
      <c r="M2480" s="460">
        <f t="shared" si="149"/>
        <v>0.05</v>
      </c>
      <c r="N2480" s="464">
        <f t="shared" si="150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48"/>
        <v>-758948113.57997215</v>
      </c>
      <c r="J2481" s="444">
        <f t="array" ref="J2481">IFERROR(INDEX('Retirement Calculator'!J:J,MATCH('Isaac 401k'!N2481,'Retirement Calculator'!A:A,0),0),0)</f>
        <v>0</v>
      </c>
      <c r="K2481" s="444">
        <f t="shared" ca="1" si="146"/>
        <v>-3162283.8065832173</v>
      </c>
      <c r="L2481" s="444">
        <f t="shared" ca="1" si="147"/>
        <v>-762110397.38655531</v>
      </c>
      <c r="M2481" s="460">
        <f t="shared" si="149"/>
        <v>0.05</v>
      </c>
      <c r="N2481" s="464">
        <f t="shared" si="150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48"/>
        <v>-762110397.38655531</v>
      </c>
      <c r="J2482" s="444">
        <f t="array" ref="J2482">IFERROR(INDEX('Retirement Calculator'!J:J,MATCH('Isaac 401k'!N2482,'Retirement Calculator'!A:A,0),0),0)</f>
        <v>0</v>
      </c>
      <c r="K2482" s="444">
        <f t="shared" ca="1" si="146"/>
        <v>-3175459.9891106472</v>
      </c>
      <c r="L2482" s="444">
        <f t="shared" ca="1" si="147"/>
        <v>-765285857.3756659</v>
      </c>
      <c r="M2482" s="460">
        <f t="shared" si="149"/>
        <v>0.05</v>
      </c>
      <c r="N2482" s="464">
        <f t="shared" si="150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48"/>
        <v>-765285857.3756659</v>
      </c>
      <c r="J2483" s="444">
        <f t="array" ref="J2483">IFERROR(INDEX('Retirement Calculator'!J:J,MATCH('Isaac 401k'!N2483,'Retirement Calculator'!A:A,0),0),0)</f>
        <v>0</v>
      </c>
      <c r="K2483" s="444">
        <f t="shared" ca="1" si="146"/>
        <v>-3188691.0723986081</v>
      </c>
      <c r="L2483" s="444">
        <f t="shared" ca="1" si="147"/>
        <v>-768474548.44806457</v>
      </c>
      <c r="M2483" s="460">
        <f t="shared" si="149"/>
        <v>0.05</v>
      </c>
      <c r="N2483" s="464">
        <f t="shared" si="150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48"/>
        <v>-768474548.44806457</v>
      </c>
      <c r="J2484" s="444">
        <f t="array" ref="J2484">IFERROR(INDEX('Retirement Calculator'!J:J,MATCH('Isaac 401k'!N2484,'Retirement Calculator'!A:A,0),0),0)</f>
        <v>0</v>
      </c>
      <c r="K2484" s="444">
        <f t="shared" ca="1" si="146"/>
        <v>-3201977.285200269</v>
      </c>
      <c r="L2484" s="444">
        <f t="shared" ca="1" si="147"/>
        <v>-771676525.7332648</v>
      </c>
      <c r="M2484" s="460">
        <f t="shared" si="149"/>
        <v>0.05</v>
      </c>
      <c r="N2484" s="464">
        <f t="shared" si="150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48"/>
        <v>-771676525.7332648</v>
      </c>
      <c r="J2485" s="444">
        <f t="array" ref="J2485">IFERROR(INDEX('Retirement Calculator'!J:J,MATCH('Isaac 401k'!N2485,'Retirement Calculator'!A:A,0),0),0)</f>
        <v>0</v>
      </c>
      <c r="K2485" s="444">
        <f t="shared" ca="1" si="146"/>
        <v>-3215318.8572219368</v>
      </c>
      <c r="L2485" s="444">
        <f t="shared" ca="1" si="147"/>
        <v>-774891844.59048676</v>
      </c>
      <c r="M2485" s="460">
        <f t="shared" si="149"/>
        <v>0.05</v>
      </c>
      <c r="N2485" s="464">
        <f t="shared" si="150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48"/>
        <v>-774891844.59048676</v>
      </c>
      <c r="J2486" s="444">
        <f t="array" ref="J2486">IFERROR(INDEX('Retirement Calculator'!J:J,MATCH('Isaac 401k'!N2486,'Retirement Calculator'!A:A,0),0),0)</f>
        <v>0</v>
      </c>
      <c r="K2486" s="444">
        <f t="shared" ca="1" si="146"/>
        <v>-3228716.0191270281</v>
      </c>
      <c r="L2486" s="444">
        <f t="shared" ca="1" si="147"/>
        <v>-778120560.60961378</v>
      </c>
      <c r="M2486" s="460">
        <f t="shared" si="149"/>
        <v>0.05</v>
      </c>
      <c r="N2486" s="464">
        <f t="shared" si="150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48"/>
        <v>-778120560.60961378</v>
      </c>
      <c r="J2487" s="444">
        <f t="array" ref="J2487">IFERROR(INDEX('Retirement Calculator'!J:J,MATCH('Isaac 401k'!N2487,'Retirement Calculator'!A:A,0),0),0)</f>
        <v>0</v>
      </c>
      <c r="K2487" s="444">
        <f t="shared" ca="1" si="146"/>
        <v>-3242169.0025400575</v>
      </c>
      <c r="L2487" s="444">
        <f t="shared" ca="1" si="147"/>
        <v>-781362729.61215389</v>
      </c>
      <c r="M2487" s="460">
        <f t="shared" si="149"/>
        <v>0.05</v>
      </c>
      <c r="N2487" s="464">
        <f t="shared" si="150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48"/>
        <v>-781362729.61215389</v>
      </c>
      <c r="J2488" s="444">
        <f t="array" ref="J2488">IFERROR(INDEX('Retirement Calculator'!J:J,MATCH('Isaac 401k'!N2488,'Retirement Calculator'!A:A,0),0),0)</f>
        <v>0</v>
      </c>
      <c r="K2488" s="444">
        <f t="shared" ca="1" si="146"/>
        <v>-3255678.0400506412</v>
      </c>
      <c r="L2488" s="444">
        <f t="shared" ca="1" si="147"/>
        <v>-784618407.65220451</v>
      </c>
      <c r="M2488" s="460">
        <f t="shared" si="149"/>
        <v>0.05</v>
      </c>
      <c r="N2488" s="464">
        <f t="shared" si="150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48"/>
        <v>-784618407.65220451</v>
      </c>
      <c r="J2489" s="444">
        <f t="array" ref="J2489">IFERROR(INDEX('Retirement Calculator'!J:J,MATCH('Isaac 401k'!N2489,'Retirement Calculator'!A:A,0),0),0)</f>
        <v>0</v>
      </c>
      <c r="K2489" s="444">
        <f t="shared" ca="1" si="146"/>
        <v>-3269243.365217519</v>
      </c>
      <c r="L2489" s="444">
        <f t="shared" ca="1" si="147"/>
        <v>-787887651.01742208</v>
      </c>
      <c r="M2489" s="460">
        <f t="shared" si="149"/>
        <v>0.05</v>
      </c>
      <c r="N2489" s="464">
        <f t="shared" si="150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48"/>
        <v>-787887651.01742208</v>
      </c>
      <c r="J2490" s="444">
        <f t="array" ref="J2490">IFERROR(INDEX('Retirement Calculator'!J:J,MATCH('Isaac 401k'!N2490,'Retirement Calculator'!A:A,0),0),0)</f>
        <v>0</v>
      </c>
      <c r="K2490" s="444">
        <f t="shared" ca="1" si="146"/>
        <v>-3282865.2125725918</v>
      </c>
      <c r="L2490" s="444">
        <f t="shared" ca="1" si="147"/>
        <v>-791170516.22999465</v>
      </c>
      <c r="M2490" s="460">
        <f t="shared" si="149"/>
        <v>0.05</v>
      </c>
      <c r="N2490" s="464">
        <f t="shared" si="150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48"/>
        <v>-791170516.22999465</v>
      </c>
      <c r="J2491" s="444">
        <f t="array" ref="J2491">IFERROR(INDEX('Retirement Calculator'!J:J,MATCH('Isaac 401k'!N2491,'Retirement Calculator'!A:A,0),0),0)</f>
        <v>0</v>
      </c>
      <c r="K2491" s="444">
        <f t="shared" ca="1" si="146"/>
        <v>-3296543.8176249778</v>
      </c>
      <c r="L2491" s="444">
        <f t="shared" ca="1" si="147"/>
        <v>-794467060.04761958</v>
      </c>
      <c r="M2491" s="460">
        <f t="shared" si="149"/>
        <v>0.05</v>
      </c>
      <c r="N2491" s="464">
        <f t="shared" si="150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48"/>
        <v>-794467060.04761958</v>
      </c>
      <c r="J2492" s="444">
        <f t="array" ref="J2492">IFERROR(INDEX('Retirement Calculator'!J:J,MATCH('Isaac 401k'!N2492,'Retirement Calculator'!A:A,0),0),0)</f>
        <v>0</v>
      </c>
      <c r="K2492" s="444">
        <f t="shared" ca="1" si="146"/>
        <v>-3310279.4168650815</v>
      </c>
      <c r="L2492" s="444">
        <f t="shared" ca="1" si="147"/>
        <v>-797777339.46448469</v>
      </c>
      <c r="M2492" s="460">
        <f t="shared" si="149"/>
        <v>0.05</v>
      </c>
      <c r="N2492" s="464">
        <f t="shared" si="150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48"/>
        <v>-797777339.46448469</v>
      </c>
      <c r="J2493" s="444">
        <f t="array" ref="J2493">IFERROR(INDEX('Retirement Calculator'!J:J,MATCH('Isaac 401k'!N2493,'Retirement Calculator'!A:A,0),0),0)</f>
        <v>0</v>
      </c>
      <c r="K2493" s="444">
        <f t="shared" ca="1" si="146"/>
        <v>-3324072.2477686862</v>
      </c>
      <c r="L2493" s="444">
        <f t="shared" ca="1" si="147"/>
        <v>-801101411.71225333</v>
      </c>
      <c r="M2493" s="460">
        <f t="shared" si="149"/>
        <v>0.05</v>
      </c>
      <c r="N2493" s="464">
        <f t="shared" si="150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48"/>
        <v>-801101411.71225333</v>
      </c>
      <c r="J2494" s="444">
        <f t="array" ref="J2494">IFERROR(INDEX('Retirement Calculator'!J:J,MATCH('Isaac 401k'!N2494,'Retirement Calculator'!A:A,0),0),0)</f>
        <v>0</v>
      </c>
      <c r="K2494" s="444">
        <f t="shared" ca="1" si="146"/>
        <v>-3337922.5488010556</v>
      </c>
      <c r="L2494" s="444">
        <f t="shared" ca="1" si="147"/>
        <v>-804439334.2610544</v>
      </c>
      <c r="M2494" s="460">
        <f t="shared" si="149"/>
        <v>0.05</v>
      </c>
      <c r="N2494" s="464">
        <f t="shared" si="150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48"/>
        <v>-804439334.2610544</v>
      </c>
      <c r="J2495" s="444">
        <f t="array" ref="J2495">IFERROR(INDEX('Retirement Calculator'!J:J,MATCH('Isaac 401k'!N2495,'Retirement Calculator'!A:A,0),0),0)</f>
        <v>0</v>
      </c>
      <c r="K2495" s="444">
        <f t="shared" ca="1" si="146"/>
        <v>-3351830.5594210601</v>
      </c>
      <c r="L2495" s="444">
        <f t="shared" ca="1" si="147"/>
        <v>-807791164.82047546</v>
      </c>
      <c r="M2495" s="460">
        <f t="shared" si="149"/>
        <v>0.05</v>
      </c>
      <c r="N2495" s="464">
        <f t="shared" si="150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48"/>
        <v>-807791164.82047546</v>
      </c>
      <c r="J2496" s="444">
        <f t="array" ref="J2496">IFERROR(INDEX('Retirement Calculator'!J:J,MATCH('Isaac 401k'!N2496,'Retirement Calculator'!A:A,0),0),0)</f>
        <v>0</v>
      </c>
      <c r="K2496" s="444">
        <f t="shared" ca="1" si="146"/>
        <v>-3365796.5200853143</v>
      </c>
      <c r="L2496" s="444">
        <f t="shared" ca="1" si="147"/>
        <v>-811156961.34056079</v>
      </c>
      <c r="M2496" s="460">
        <f t="shared" si="149"/>
        <v>0.05</v>
      </c>
      <c r="N2496" s="464">
        <f t="shared" si="150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48"/>
        <v>-811156961.34056079</v>
      </c>
      <c r="J2497" s="444">
        <f t="array" ref="J2497">IFERROR(INDEX('Retirement Calculator'!J:J,MATCH('Isaac 401k'!N2497,'Retirement Calculator'!A:A,0),0),0)</f>
        <v>0</v>
      </c>
      <c r="K2497" s="444">
        <f t="shared" ca="1" si="146"/>
        <v>-3379820.6722523365</v>
      </c>
      <c r="L2497" s="444">
        <f t="shared" ca="1" si="147"/>
        <v>-814536782.01281309</v>
      </c>
      <c r="M2497" s="460">
        <f t="shared" si="149"/>
        <v>0.05</v>
      </c>
      <c r="N2497" s="464">
        <f t="shared" si="150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48"/>
        <v>-814536782.01281309</v>
      </c>
      <c r="J2498" s="444">
        <f t="array" ref="J2498">IFERROR(INDEX('Retirement Calculator'!J:J,MATCH('Isaac 401k'!N2498,'Retirement Calculator'!A:A,0),0),0)</f>
        <v>0</v>
      </c>
      <c r="K2498" s="444">
        <f t="shared" ca="1" si="146"/>
        <v>-3393903.2583867214</v>
      </c>
      <c r="L2498" s="444">
        <f t="shared" ca="1" si="147"/>
        <v>-817930685.27119982</v>
      </c>
      <c r="M2498" s="460">
        <f t="shared" si="149"/>
        <v>0.05</v>
      </c>
      <c r="N2498" s="464">
        <f t="shared" si="150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48"/>
        <v>-817930685.27119982</v>
      </c>
      <c r="J2499" s="444">
        <f t="array" ref="J2499">IFERROR(INDEX('Retirement Calculator'!J:J,MATCH('Isaac 401k'!N2499,'Retirement Calculator'!A:A,0),0),0)</f>
        <v>0</v>
      </c>
      <c r="K2499" s="444">
        <f t="shared" ca="1" si="146"/>
        <v>-3408044.5219633323</v>
      </c>
      <c r="L2499" s="444">
        <f t="shared" ca="1" si="147"/>
        <v>-821338729.79316318</v>
      </c>
      <c r="M2499" s="460">
        <f t="shared" si="149"/>
        <v>0.05</v>
      </c>
      <c r="N2499" s="464">
        <f t="shared" si="150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48"/>
        <v>-821338729.79316318</v>
      </c>
      <c r="J2500" s="444">
        <f t="array" ref="J2500">IFERROR(INDEX('Retirement Calculator'!J:J,MATCH('Isaac 401k'!N2500,'Retirement Calculator'!A:A,0),0),0)</f>
        <v>0</v>
      </c>
      <c r="K2500" s="444">
        <f t="shared" ca="1" si="146"/>
        <v>-3422244.7074715132</v>
      </c>
      <c r="L2500" s="444">
        <f t="shared" ca="1" si="147"/>
        <v>-824760974.50063467</v>
      </c>
      <c r="M2500" s="460">
        <f t="shared" si="149"/>
        <v>0.05</v>
      </c>
      <c r="N2500" s="464">
        <f t="shared" si="150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48"/>
        <v>-824760974.50063467</v>
      </c>
      <c r="J2501" s="444">
        <f t="array" ref="J2501">IFERROR(INDEX('Retirement Calculator'!J:J,MATCH('Isaac 401k'!N2501,'Retirement Calculator'!A:A,0),0),0)</f>
        <v>0</v>
      </c>
      <c r="K2501" s="444">
        <f t="shared" ca="1" si="146"/>
        <v>-3436504.0604193113</v>
      </c>
      <c r="L2501" s="444">
        <f t="shared" ca="1" si="147"/>
        <v>-828197478.56105399</v>
      </c>
      <c r="M2501" s="460">
        <f t="shared" si="149"/>
        <v>0.05</v>
      </c>
      <c r="N2501" s="464">
        <f t="shared" si="150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48"/>
        <v>-828197478.56105399</v>
      </c>
      <c r="J2502" s="444">
        <f t="array" ref="J2502">IFERROR(INDEX('Retirement Calculator'!J:J,MATCH('Isaac 401k'!N2502,'Retirement Calculator'!A:A,0),0),0)</f>
        <v>0</v>
      </c>
      <c r="K2502" s="444">
        <f t="shared" ca="1" si="146"/>
        <v>-3450822.8273377251</v>
      </c>
      <c r="L2502" s="444">
        <f t="shared" ca="1" si="147"/>
        <v>-831648301.38839173</v>
      </c>
      <c r="M2502" s="460">
        <f t="shared" si="149"/>
        <v>0.05</v>
      </c>
      <c r="N2502" s="464">
        <f t="shared" si="150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48"/>
        <v>-831648301.38839173</v>
      </c>
      <c r="J2503" s="444">
        <f t="array" ref="J2503">IFERROR(INDEX('Retirement Calculator'!J:J,MATCH('Isaac 401k'!N2503,'Retirement Calculator'!A:A,0),0),0)</f>
        <v>0</v>
      </c>
      <c r="K2503" s="444">
        <f t="shared" ca="1" si="146"/>
        <v>-3465201.2557849656</v>
      </c>
      <c r="L2503" s="444">
        <f t="shared" ca="1" si="147"/>
        <v>-835113502.64417672</v>
      </c>
      <c r="M2503" s="460">
        <f t="shared" si="149"/>
        <v>0.05</v>
      </c>
      <c r="N2503" s="464">
        <f t="shared" si="150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48"/>
        <v>-835113502.64417672</v>
      </c>
      <c r="J2504" s="444">
        <f t="array" ref="J2504">IFERROR(INDEX('Retirement Calculator'!J:J,MATCH('Isaac 401k'!N2504,'Retirement Calculator'!A:A,0),0),0)</f>
        <v>0</v>
      </c>
      <c r="K2504" s="444">
        <f t="shared" ca="1" si="146"/>
        <v>-3479639.5943507361</v>
      </c>
      <c r="L2504" s="444">
        <f t="shared" ca="1" si="147"/>
        <v>-838593142.23852742</v>
      </c>
      <c r="M2504" s="460">
        <f t="shared" si="149"/>
        <v>0.05</v>
      </c>
      <c r="N2504" s="464">
        <f t="shared" si="150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48"/>
        <v>-838593142.23852742</v>
      </c>
      <c r="J2505" s="444">
        <f t="array" ref="J2505">IFERROR(INDEX('Retirement Calculator'!J:J,MATCH('Isaac 401k'!N2505,'Retirement Calculator'!A:A,0),0),0)</f>
        <v>0</v>
      </c>
      <c r="K2505" s="444">
        <f t="shared" ca="1" si="146"/>
        <v>-3494138.0926605309</v>
      </c>
      <c r="L2505" s="444">
        <f t="shared" ca="1" si="147"/>
        <v>-842087280.33118796</v>
      </c>
      <c r="M2505" s="460">
        <f t="shared" si="149"/>
        <v>0.05</v>
      </c>
      <c r="N2505" s="464">
        <f t="shared" si="150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48"/>
        <v>-842087280.33118796</v>
      </c>
      <c r="J2506" s="444">
        <f t="array" ref="J2506">IFERROR(INDEX('Retirement Calculator'!J:J,MATCH('Isaac 401k'!N2506,'Retirement Calculator'!A:A,0),0),0)</f>
        <v>0</v>
      </c>
      <c r="K2506" s="444">
        <f t="shared" ca="1" si="146"/>
        <v>-3508697.00137995</v>
      </c>
      <c r="L2506" s="444">
        <f t="shared" ca="1" si="147"/>
        <v>-845595977.33256793</v>
      </c>
      <c r="M2506" s="460">
        <f t="shared" si="149"/>
        <v>0.05</v>
      </c>
      <c r="N2506" s="464">
        <f t="shared" si="150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48"/>
        <v>-845595977.33256793</v>
      </c>
      <c r="J2507" s="444">
        <f t="array" ref="J2507">IFERROR(INDEX('Retirement Calculator'!J:J,MATCH('Isaac 401k'!N2507,'Retirement Calculator'!A:A,0),0),0)</f>
        <v>0</v>
      </c>
      <c r="K2507" s="444">
        <f t="shared" ca="1" si="146"/>
        <v>-3523316.5722190323</v>
      </c>
      <c r="L2507" s="444">
        <f t="shared" ca="1" si="147"/>
        <v>-849119293.90478694</v>
      </c>
      <c r="M2507" s="460">
        <f t="shared" si="149"/>
        <v>0.05</v>
      </c>
      <c r="N2507" s="464">
        <f t="shared" si="150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48"/>
        <v>-849119293.90478694</v>
      </c>
      <c r="J2508" s="444">
        <f t="array" ref="J2508">IFERROR(INDEX('Retirement Calculator'!J:J,MATCH('Isaac 401k'!N2508,'Retirement Calculator'!A:A,0),0),0)</f>
        <v>0</v>
      </c>
      <c r="K2508" s="444">
        <f t="shared" ca="1" si="146"/>
        <v>-3537997.0579366121</v>
      </c>
      <c r="L2508" s="444">
        <f t="shared" ca="1" si="147"/>
        <v>-852657290.96272361</v>
      </c>
      <c r="M2508" s="460">
        <f t="shared" si="149"/>
        <v>0.05</v>
      </c>
      <c r="N2508" s="464">
        <f t="shared" si="150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48"/>
        <v>-852657290.96272361</v>
      </c>
      <c r="J2509" s="444">
        <f t="array" ref="J2509">IFERROR(INDEX('Retirement Calculator'!J:J,MATCH('Isaac 401k'!N2509,'Retirement Calculator'!A:A,0),0),0)</f>
        <v>0</v>
      </c>
      <c r="K2509" s="444">
        <f t="shared" ca="1" si="146"/>
        <v>-3552738.7123446814</v>
      </c>
      <c r="L2509" s="444">
        <f t="shared" ca="1" si="147"/>
        <v>-856210029.67506826</v>
      </c>
      <c r="M2509" s="460">
        <f t="shared" si="149"/>
        <v>0.05</v>
      </c>
      <c r="N2509" s="464">
        <f t="shared" si="150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48"/>
        <v>-856210029.67506826</v>
      </c>
      <c r="J2510" s="444">
        <f t="array" ref="J2510">IFERROR(INDEX('Retirement Calculator'!J:J,MATCH('Isaac 401k'!N2510,'Retirement Calculator'!A:A,0),0),0)</f>
        <v>0</v>
      </c>
      <c r="K2510" s="444">
        <f t="shared" ca="1" si="146"/>
        <v>-3567541.7903127843</v>
      </c>
      <c r="L2510" s="444">
        <f t="shared" ca="1" si="147"/>
        <v>-859777571.46538103</v>
      </c>
      <c r="M2510" s="460">
        <f t="shared" si="149"/>
        <v>0.05</v>
      </c>
      <c r="N2510" s="464">
        <f t="shared" si="150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48"/>
        <v>-859777571.46538103</v>
      </c>
      <c r="J2511" s="444">
        <f t="array" ref="J2511">IFERROR(INDEX('Retirement Calculator'!J:J,MATCH('Isaac 401k'!N2511,'Retirement Calculator'!A:A,0),0),0)</f>
        <v>0</v>
      </c>
      <c r="K2511" s="444">
        <f t="shared" ca="1" si="146"/>
        <v>-3582406.547772421</v>
      </c>
      <c r="L2511" s="444">
        <f t="shared" ca="1" si="147"/>
        <v>-863359978.01315343</v>
      </c>
      <c r="M2511" s="460">
        <f t="shared" si="149"/>
        <v>0.05</v>
      </c>
      <c r="N2511" s="464">
        <f t="shared" si="150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48"/>
        <v>-863359978.01315343</v>
      </c>
      <c r="J2512" s="444">
        <f t="array" ref="J2512">IFERROR(INDEX('Retirement Calculator'!J:J,MATCH('Isaac 401k'!N2512,'Retirement Calculator'!A:A,0),0),0)</f>
        <v>0</v>
      </c>
      <c r="K2512" s="444">
        <f t="shared" ca="1" si="146"/>
        <v>-3597333.2417214727</v>
      </c>
      <c r="L2512" s="444">
        <f t="shared" ca="1" si="147"/>
        <v>-866957311.25487494</v>
      </c>
      <c r="M2512" s="460">
        <f t="shared" si="149"/>
        <v>0.05</v>
      </c>
      <c r="N2512" s="464">
        <f t="shared" si="150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48"/>
        <v>-866957311.25487494</v>
      </c>
      <c r="J2513" s="444">
        <f t="array" ref="J2513">IFERROR(INDEX('Retirement Calculator'!J:J,MATCH('Isaac 401k'!N2513,'Retirement Calculator'!A:A,0),0),0)</f>
        <v>0</v>
      </c>
      <c r="K2513" s="444">
        <f t="shared" ca="1" si="146"/>
        <v>-3612322.1302286456</v>
      </c>
      <c r="L2513" s="444">
        <f t="shared" ca="1" si="147"/>
        <v>-870569633.38510358</v>
      </c>
      <c r="M2513" s="460">
        <f t="shared" si="149"/>
        <v>0.05</v>
      </c>
      <c r="N2513" s="464">
        <f t="shared" si="150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48"/>
        <v>-870569633.38510358</v>
      </c>
      <c r="J2514" s="444">
        <f t="array" ref="J2514">IFERROR(INDEX('Retirement Calculator'!J:J,MATCH('Isaac 401k'!N2514,'Retirement Calculator'!A:A,0),0),0)</f>
        <v>0</v>
      </c>
      <c r="K2514" s="444">
        <f t="shared" ca="1" si="146"/>
        <v>-3627373.4724379322</v>
      </c>
      <c r="L2514" s="444">
        <f t="shared" ca="1" si="147"/>
        <v>-874197006.85754156</v>
      </c>
      <c r="M2514" s="460">
        <f t="shared" si="149"/>
        <v>0.05</v>
      </c>
      <c r="N2514" s="464">
        <f t="shared" si="150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48"/>
        <v>-874197006.85754156</v>
      </c>
      <c r="J2515" s="444">
        <f t="array" ref="J2515">IFERROR(INDEX('Retirement Calculator'!J:J,MATCH('Isaac 401k'!N2515,'Retirement Calculator'!A:A,0),0),0)</f>
        <v>0</v>
      </c>
      <c r="K2515" s="444">
        <f t="shared" ca="1" si="146"/>
        <v>-3642487.5285730897</v>
      </c>
      <c r="L2515" s="444">
        <f t="shared" ca="1" si="147"/>
        <v>-877839494.3861146</v>
      </c>
      <c r="M2515" s="460">
        <f t="shared" si="149"/>
        <v>0.05</v>
      </c>
      <c r="N2515" s="464">
        <f t="shared" si="150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48"/>
        <v>-877839494.3861146</v>
      </c>
      <c r="J2516" s="444">
        <f t="array" ref="J2516">IFERROR(INDEX('Retirement Calculator'!J:J,MATCH('Isaac 401k'!N2516,'Retirement Calculator'!A:A,0),0),0)</f>
        <v>0</v>
      </c>
      <c r="K2516" s="444">
        <f t="shared" ca="1" si="146"/>
        <v>-3657664.559942144</v>
      </c>
      <c r="L2516" s="444">
        <f t="shared" ca="1" si="147"/>
        <v>-881497158.94605672</v>
      </c>
      <c r="M2516" s="460">
        <f t="shared" si="149"/>
        <v>0.05</v>
      </c>
      <c r="N2516" s="464">
        <f t="shared" si="150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48"/>
        <v>-881497158.94605672</v>
      </c>
      <c r="J2517" s="444">
        <f t="array" ref="J2517">IFERROR(INDEX('Retirement Calculator'!J:J,MATCH('Isaac 401k'!N2517,'Retirement Calculator'!A:A,0),0),0)</f>
        <v>0</v>
      </c>
      <c r="K2517" s="444">
        <f t="shared" ca="1" si="146"/>
        <v>-3672904.8289419026</v>
      </c>
      <c r="L2517" s="444">
        <f t="shared" ca="1" si="147"/>
        <v>-885170063.77499866</v>
      </c>
      <c r="M2517" s="460">
        <f t="shared" si="149"/>
        <v>0.05</v>
      </c>
      <c r="N2517" s="464">
        <f t="shared" si="150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48"/>
        <v>-885170063.77499866</v>
      </c>
      <c r="J2518" s="444">
        <f t="array" ref="J2518">IFERROR(INDEX('Retirement Calculator'!J:J,MATCH('Isaac 401k'!N2518,'Retirement Calculator'!A:A,0),0),0)</f>
        <v>0</v>
      </c>
      <c r="K2518" s="444">
        <f t="shared" ca="1" si="146"/>
        <v>-3688208.5990624949</v>
      </c>
      <c r="L2518" s="444">
        <f t="shared" ca="1" si="147"/>
        <v>-888858272.37406111</v>
      </c>
      <c r="M2518" s="460">
        <f t="shared" si="149"/>
        <v>0.05</v>
      </c>
      <c r="N2518" s="464">
        <f t="shared" si="150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48"/>
        <v>-888858272.37406111</v>
      </c>
      <c r="J2519" s="444">
        <f t="array" ref="J2519">IFERROR(INDEX('Retirement Calculator'!J:J,MATCH('Isaac 401k'!N2519,'Retirement Calculator'!A:A,0),0),0)</f>
        <v>0</v>
      </c>
      <c r="K2519" s="444">
        <f t="shared" ca="1" si="146"/>
        <v>-3703576.1348919212</v>
      </c>
      <c r="L2519" s="444">
        <f t="shared" ca="1" si="147"/>
        <v>-892561848.50895298</v>
      </c>
      <c r="M2519" s="460">
        <f t="shared" si="149"/>
        <v>0.05</v>
      </c>
      <c r="N2519" s="464">
        <f t="shared" si="150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48"/>
        <v>-892561848.50895298</v>
      </c>
      <c r="J2520" s="444">
        <f t="array" ref="J2520">IFERROR(INDEX('Retirement Calculator'!J:J,MATCH('Isaac 401k'!N2520,'Retirement Calculator'!A:A,0),0),0)</f>
        <v>0</v>
      </c>
      <c r="K2520" s="444">
        <f t="shared" ca="1" si="146"/>
        <v>-3719007.702120638</v>
      </c>
      <c r="L2520" s="444">
        <f t="shared" ca="1" si="147"/>
        <v>-896280856.21107364</v>
      </c>
      <c r="M2520" s="460">
        <f t="shared" si="149"/>
        <v>0.05</v>
      </c>
      <c r="N2520" s="464">
        <f t="shared" si="150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48"/>
        <v>-896280856.21107364</v>
      </c>
      <c r="J2521" s="444">
        <f t="array" ref="J2521">IFERROR(INDEX('Retirement Calculator'!J:J,MATCH('Isaac 401k'!N2521,'Retirement Calculator'!A:A,0),0),0)</f>
        <v>0</v>
      </c>
      <c r="K2521" s="444">
        <f t="shared" ca="1" si="146"/>
        <v>-3734503.5675461404</v>
      </c>
      <c r="L2521" s="444">
        <f t="shared" ca="1" si="147"/>
        <v>-900015359.77861977</v>
      </c>
      <c r="M2521" s="460">
        <f t="shared" si="149"/>
        <v>0.05</v>
      </c>
      <c r="N2521" s="464">
        <f t="shared" si="150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48"/>
        <v>-900015359.77861977</v>
      </c>
      <c r="J2522" s="444">
        <f t="array" ref="J2522">IFERROR(INDEX('Retirement Calculator'!J:J,MATCH('Isaac 401k'!N2522,'Retirement Calculator'!A:A,0),0),0)</f>
        <v>0</v>
      </c>
      <c r="K2522" s="444">
        <f t="shared" ca="1" si="146"/>
        <v>-3750063.9990775823</v>
      </c>
      <c r="L2522" s="444">
        <f t="shared" ca="1" si="147"/>
        <v>-903765423.77769732</v>
      </c>
      <c r="M2522" s="460">
        <f t="shared" si="149"/>
        <v>0.05</v>
      </c>
      <c r="N2522" s="464">
        <f t="shared" si="150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48"/>
        <v>-903765423.77769732</v>
      </c>
      <c r="J2523" s="444">
        <f t="array" ref="J2523">IFERROR(INDEX('Retirement Calculator'!J:J,MATCH('Isaac 401k'!N2523,'Retirement Calculator'!A:A,0),0),0)</f>
        <v>0</v>
      </c>
      <c r="K2523" s="444">
        <f t="shared" ca="1" si="146"/>
        <v>-3765689.2657404048</v>
      </c>
      <c r="L2523" s="444">
        <f t="shared" ca="1" si="147"/>
        <v>-907531113.04343772</v>
      </c>
      <c r="M2523" s="460">
        <f t="shared" si="149"/>
        <v>0.05</v>
      </c>
      <c r="N2523" s="464">
        <f t="shared" si="150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48"/>
        <v>-907531113.04343772</v>
      </c>
      <c r="J2524" s="444">
        <f t="array" ref="J2524">IFERROR(INDEX('Retirement Calculator'!J:J,MATCH('Isaac 401k'!N2524,'Retirement Calculator'!A:A,0),0),0)</f>
        <v>0</v>
      </c>
      <c r="K2524" s="444">
        <f t="shared" ca="1" si="146"/>
        <v>-3781379.6376809911</v>
      </c>
      <c r="L2524" s="444">
        <f t="shared" ca="1" si="147"/>
        <v>-911312492.68111873</v>
      </c>
      <c r="M2524" s="460">
        <f t="shared" si="149"/>
        <v>0.05</v>
      </c>
      <c r="N2524" s="464">
        <f t="shared" si="150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48"/>
        <v>-911312492.68111873</v>
      </c>
      <c r="J2525" s="444">
        <f t="array" ref="J2525">IFERROR(INDEX('Retirement Calculator'!J:J,MATCH('Isaac 401k'!N2525,'Retirement Calculator'!A:A,0),0),0)</f>
        <v>0</v>
      </c>
      <c r="K2525" s="444">
        <f t="shared" ca="1" si="146"/>
        <v>-3797135.3861713274</v>
      </c>
      <c r="L2525" s="444">
        <f t="shared" ca="1" si="147"/>
        <v>-915109628.06729007</v>
      </c>
      <c r="M2525" s="460">
        <f t="shared" si="149"/>
        <v>0.05</v>
      </c>
      <c r="N2525" s="464">
        <f t="shared" si="150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48"/>
        <v>-915109628.06729007</v>
      </c>
      <c r="J2526" s="444">
        <f t="array" ref="J2526">IFERROR(INDEX('Retirement Calculator'!J:J,MATCH('Isaac 401k'!N2526,'Retirement Calculator'!A:A,0),0),0)</f>
        <v>0</v>
      </c>
      <c r="K2526" s="444">
        <f t="shared" ca="1" si="146"/>
        <v>-3812956.7836137083</v>
      </c>
      <c r="L2526" s="444">
        <f t="shared" ca="1" si="147"/>
        <v>-918922584.85090375</v>
      </c>
      <c r="M2526" s="460">
        <f t="shared" si="149"/>
        <v>0.05</v>
      </c>
      <c r="N2526" s="464">
        <f t="shared" si="150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48"/>
        <v>-918922584.85090375</v>
      </c>
      <c r="J2527" s="444">
        <f t="array" ref="J2527">IFERROR(INDEX('Retirement Calculator'!J:J,MATCH('Isaac 401k'!N2527,'Retirement Calculator'!A:A,0),0),0)</f>
        <v>0</v>
      </c>
      <c r="K2527" s="444">
        <f t="shared" ca="1" si="146"/>
        <v>-3828844.1035454324</v>
      </c>
      <c r="L2527" s="444">
        <f t="shared" ca="1" si="147"/>
        <v>-922751428.95444918</v>
      </c>
      <c r="M2527" s="460">
        <f t="shared" si="149"/>
        <v>0.05</v>
      </c>
      <c r="N2527" s="464">
        <f t="shared" si="150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48"/>
        <v>-922751428.95444918</v>
      </c>
      <c r="J2528" s="444">
        <f t="array" ref="J2528">IFERROR(INDEX('Retirement Calculator'!J:J,MATCH('Isaac 401k'!N2528,'Retirement Calculator'!A:A,0),0),0)</f>
        <v>0</v>
      </c>
      <c r="K2528" s="444">
        <f t="shared" ca="1" si="146"/>
        <v>-3844797.6206435375</v>
      </c>
      <c r="L2528" s="444">
        <f t="shared" ca="1" si="147"/>
        <v>-926596226.57509267</v>
      </c>
      <c r="M2528" s="460">
        <f t="shared" si="149"/>
        <v>0.05</v>
      </c>
      <c r="N2528" s="464">
        <f t="shared" si="150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48"/>
        <v>-926596226.57509267</v>
      </c>
      <c r="J2529" s="444">
        <f t="array" ref="J2529">IFERROR(INDEX('Retirement Calculator'!J:J,MATCH('Isaac 401k'!N2529,'Retirement Calculator'!A:A,0),0),0)</f>
        <v>0</v>
      </c>
      <c r="K2529" s="444">
        <f t="shared" ca="1" si="146"/>
        <v>-3860817.6107295528</v>
      </c>
      <c r="L2529" s="444">
        <f t="shared" ca="1" si="147"/>
        <v>-930457044.18582225</v>
      </c>
      <c r="M2529" s="460">
        <f t="shared" si="149"/>
        <v>0.05</v>
      </c>
      <c r="N2529" s="464">
        <f t="shared" si="150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48"/>
        <v>-930457044.18582225</v>
      </c>
      <c r="J2530" s="444">
        <f t="array" ref="J2530">IFERROR(INDEX('Retirement Calculator'!J:J,MATCH('Isaac 401k'!N2530,'Retirement Calculator'!A:A,0),0),0)</f>
        <v>0</v>
      </c>
      <c r="K2530" s="444">
        <f t="shared" ca="1" si="146"/>
        <v>-3876904.3507742593</v>
      </c>
      <c r="L2530" s="444">
        <f t="shared" ca="1" si="147"/>
        <v>-934333948.53659654</v>
      </c>
      <c r="M2530" s="460">
        <f t="shared" si="149"/>
        <v>0.05</v>
      </c>
      <c r="N2530" s="464">
        <f t="shared" si="150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48"/>
        <v>-934333948.53659654</v>
      </c>
      <c r="J2531" s="444">
        <f t="array" ref="J2531">IFERROR(INDEX('Retirement Calculator'!J:J,MATCH('Isaac 401k'!N2531,'Retirement Calculator'!A:A,0),0),0)</f>
        <v>0</v>
      </c>
      <c r="K2531" s="444">
        <f t="shared" ca="1" si="146"/>
        <v>-3893058.1189024849</v>
      </c>
      <c r="L2531" s="444">
        <f t="shared" ca="1" si="147"/>
        <v>-938227006.65549898</v>
      </c>
      <c r="M2531" s="460">
        <f t="shared" si="149"/>
        <v>0.05</v>
      </c>
      <c r="N2531" s="464">
        <f t="shared" si="150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48"/>
        <v>-938227006.65549898</v>
      </c>
      <c r="J2532" s="444">
        <f t="array" ref="J2532">IFERROR(INDEX('Retirement Calculator'!J:J,MATCH('Isaac 401k'!N2532,'Retirement Calculator'!A:A,0),0),0)</f>
        <v>0</v>
      </c>
      <c r="K2532" s="444">
        <f t="shared" ca="1" si="146"/>
        <v>-3909279.1943979119</v>
      </c>
      <c r="L2532" s="444">
        <f t="shared" ca="1" si="147"/>
        <v>-942136285.84989691</v>
      </c>
      <c r="M2532" s="460">
        <f t="shared" si="149"/>
        <v>0.05</v>
      </c>
      <c r="N2532" s="464">
        <f t="shared" si="150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48"/>
        <v>-942136285.84989691</v>
      </c>
      <c r="J2533" s="444">
        <f t="array" ref="J2533">IFERROR(INDEX('Retirement Calculator'!J:J,MATCH('Isaac 401k'!N2533,'Retirement Calculator'!A:A,0),0),0)</f>
        <v>0</v>
      </c>
      <c r="K2533" s="444">
        <f t="shared" ca="1" si="146"/>
        <v>-3925567.8577079037</v>
      </c>
      <c r="L2533" s="444">
        <f t="shared" ca="1" si="147"/>
        <v>-946061853.70760477</v>
      </c>
      <c r="M2533" s="460">
        <f t="shared" si="149"/>
        <v>0.05</v>
      </c>
      <c r="N2533" s="464">
        <f t="shared" si="150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48"/>
        <v>-946061853.70760477</v>
      </c>
      <c r="J2534" s="444">
        <f t="array" ref="J2534">IFERROR(INDEX('Retirement Calculator'!J:J,MATCH('Isaac 401k'!N2534,'Retirement Calculator'!A:A,0),0),0)</f>
        <v>0</v>
      </c>
      <c r="K2534" s="444">
        <f t="shared" ca="1" si="146"/>
        <v>-3941924.3904483533</v>
      </c>
      <c r="L2534" s="444">
        <f t="shared" ca="1" si="147"/>
        <v>-950003778.0980531</v>
      </c>
      <c r="M2534" s="460">
        <f t="shared" si="149"/>
        <v>0.05</v>
      </c>
      <c r="N2534" s="464">
        <f t="shared" si="150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48"/>
        <v>-950003778.0980531</v>
      </c>
      <c r="J2535" s="444">
        <f t="array" ref="J2535">IFERROR(INDEX('Retirement Calculator'!J:J,MATCH('Isaac 401k'!N2535,'Retirement Calculator'!A:A,0),0),0)</f>
        <v>0</v>
      </c>
      <c r="K2535" s="444">
        <f t="shared" ca="1" si="146"/>
        <v>-3958349.0754085546</v>
      </c>
      <c r="L2535" s="444">
        <f t="shared" ca="1" si="147"/>
        <v>-953962127.17346168</v>
      </c>
      <c r="M2535" s="460">
        <f t="shared" si="149"/>
        <v>0.05</v>
      </c>
      <c r="N2535" s="464">
        <f t="shared" si="150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48"/>
        <v>-953962127.17346168</v>
      </c>
      <c r="J2536" s="444">
        <f t="array" ref="J2536">IFERROR(INDEX('Retirement Calculator'!J:J,MATCH('Isaac 401k'!N2536,'Retirement Calculator'!A:A,0),0),0)</f>
        <v>0</v>
      </c>
      <c r="K2536" s="444">
        <f t="shared" ca="1" si="146"/>
        <v>-3974842.1965560904</v>
      </c>
      <c r="L2536" s="444">
        <f t="shared" ca="1" si="147"/>
        <v>-957936969.37001777</v>
      </c>
      <c r="M2536" s="460">
        <f t="shared" si="149"/>
        <v>0.05</v>
      </c>
      <c r="N2536" s="464">
        <f t="shared" si="150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48"/>
        <v>-957936969.37001777</v>
      </c>
      <c r="J2537" s="444">
        <f t="array" ref="J2537">IFERROR(INDEX('Retirement Calculator'!J:J,MATCH('Isaac 401k'!N2537,'Retirement Calculator'!A:A,0),0),0)</f>
        <v>0</v>
      </c>
      <c r="K2537" s="444">
        <f t="shared" ca="1" si="146"/>
        <v>-3991404.0390417408</v>
      </c>
      <c r="L2537" s="444">
        <f t="shared" ca="1" si="147"/>
        <v>-961928373.40905952</v>
      </c>
      <c r="M2537" s="460">
        <f t="shared" si="149"/>
        <v>0.05</v>
      </c>
      <c r="N2537" s="464">
        <f t="shared" si="150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48"/>
        <v>-961928373.40905952</v>
      </c>
      <c r="J2538" s="444">
        <f t="array" ref="J2538">IFERROR(INDEX('Retirement Calculator'!J:J,MATCH('Isaac 401k'!N2538,'Retirement Calculator'!A:A,0),0),0)</f>
        <v>0</v>
      </c>
      <c r="K2538" s="444">
        <f t="shared" ca="1" si="146"/>
        <v>-4008034.8892044146</v>
      </c>
      <c r="L2538" s="444">
        <f t="shared" ca="1" si="147"/>
        <v>-965936408.29826391</v>
      </c>
      <c r="M2538" s="460">
        <f t="shared" si="149"/>
        <v>0.05</v>
      </c>
      <c r="N2538" s="464">
        <f t="shared" si="150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48"/>
        <v>-965936408.29826391</v>
      </c>
      <c r="J2539" s="444">
        <f t="array" ref="J2539">IFERROR(INDEX('Retirement Calculator'!J:J,MATCH('Isaac 401k'!N2539,'Retirement Calculator'!A:A,0),0),0)</f>
        <v>0</v>
      </c>
      <c r="K2539" s="444">
        <f t="shared" ca="1" si="146"/>
        <v>-4024735.0345760989</v>
      </c>
      <c r="L2539" s="444">
        <f t="shared" ca="1" si="147"/>
        <v>-969961143.33283997</v>
      </c>
      <c r="M2539" s="460">
        <f t="shared" si="149"/>
        <v>0.05</v>
      </c>
      <c r="N2539" s="464">
        <f t="shared" si="150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48"/>
        <v>-969961143.33283997</v>
      </c>
      <c r="J2540" s="444">
        <f t="array" ref="J2540">IFERROR(INDEX('Retirement Calculator'!J:J,MATCH('Isaac 401k'!N2540,'Retirement Calculator'!A:A,0),0),0)</f>
        <v>0</v>
      </c>
      <c r="K2540" s="444">
        <f t="shared" ca="1" si="146"/>
        <v>-4041504.7638868331</v>
      </c>
      <c r="L2540" s="444">
        <f t="shared" ca="1" si="147"/>
        <v>-974002648.09672678</v>
      </c>
      <c r="M2540" s="460">
        <f t="shared" si="149"/>
        <v>0.05</v>
      </c>
      <c r="N2540" s="464">
        <f t="shared" si="150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48"/>
        <v>-974002648.09672678</v>
      </c>
      <c r="J2541" s="444">
        <f t="array" ref="J2541">IFERROR(INDEX('Retirement Calculator'!J:J,MATCH('Isaac 401k'!N2541,'Retirement Calculator'!A:A,0),0),0)</f>
        <v>0</v>
      </c>
      <c r="K2541" s="444">
        <f t="shared" ca="1" si="146"/>
        <v>-4058344.3670696947</v>
      </c>
      <c r="L2541" s="444">
        <f t="shared" ca="1" si="147"/>
        <v>-978060992.4637965</v>
      </c>
      <c r="M2541" s="460">
        <f t="shared" si="149"/>
        <v>0.05</v>
      </c>
      <c r="N2541" s="464">
        <f t="shared" si="150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48"/>
        <v>-978060992.4637965</v>
      </c>
      <c r="J2542" s="444">
        <f t="array" ref="J2542">IFERROR(INDEX('Retirement Calculator'!J:J,MATCH('Isaac 401k'!N2542,'Retirement Calculator'!A:A,0),0),0)</f>
        <v>0</v>
      </c>
      <c r="K2542" s="444">
        <f t="shared" ca="1" si="146"/>
        <v>-4075254.1352658188</v>
      </c>
      <c r="L2542" s="444">
        <f t="shared" ca="1" si="147"/>
        <v>-982136246.59906232</v>
      </c>
      <c r="M2542" s="460">
        <f t="shared" si="149"/>
        <v>0.05</v>
      </c>
      <c r="N2542" s="464">
        <f t="shared" si="150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48"/>
        <v>-982136246.59906232</v>
      </c>
      <c r="J2543" s="444">
        <f t="array" ref="J2543">IFERROR(INDEX('Retirement Calculator'!J:J,MATCH('Isaac 401k'!N2543,'Retirement Calculator'!A:A,0),0),0)</f>
        <v>0</v>
      </c>
      <c r="K2543" s="444">
        <f t="shared" ca="1" si="146"/>
        <v>-4092234.360829426</v>
      </c>
      <c r="L2543" s="444">
        <f t="shared" ca="1" si="147"/>
        <v>-986228480.9598918</v>
      </c>
      <c r="M2543" s="460">
        <f t="shared" si="149"/>
        <v>0.05</v>
      </c>
      <c r="N2543" s="464">
        <f t="shared" si="150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48"/>
        <v>-986228480.9598918</v>
      </c>
      <c r="J2544" s="444">
        <f t="array" ref="J2544">IFERROR(INDEX('Retirement Calculator'!J:J,MATCH('Isaac 401k'!N2544,'Retirement Calculator'!A:A,0),0),0)</f>
        <v>0</v>
      </c>
      <c r="K2544" s="444">
        <f t="shared" ca="1" si="146"/>
        <v>-4109285.3373328825</v>
      </c>
      <c r="L2544" s="444">
        <f t="shared" ca="1" si="147"/>
        <v>-990337766.29722464</v>
      </c>
      <c r="M2544" s="460">
        <f t="shared" si="149"/>
        <v>0.05</v>
      </c>
      <c r="N2544" s="464">
        <f t="shared" si="150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48"/>
        <v>-990337766.29722464</v>
      </c>
      <c r="J2545" s="444">
        <f t="array" ref="J2545">IFERROR(INDEX('Retirement Calculator'!J:J,MATCH('Isaac 401k'!N2545,'Retirement Calculator'!A:A,0),0),0)</f>
        <v>0</v>
      </c>
      <c r="K2545" s="444">
        <f t="shared" ca="1" si="146"/>
        <v>-4126407.3595717694</v>
      </c>
      <c r="L2545" s="444">
        <f t="shared" ca="1" si="147"/>
        <v>-994464173.65679646</v>
      </c>
      <c r="M2545" s="460">
        <f t="shared" si="149"/>
        <v>0.05</v>
      </c>
      <c r="N2545" s="464">
        <f t="shared" si="150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48"/>
        <v>-994464173.65679646</v>
      </c>
      <c r="J2546" s="444">
        <f t="array" ref="J2546">IFERROR(INDEX('Retirement Calculator'!J:J,MATCH('Isaac 401k'!N2546,'Retirement Calculator'!A:A,0),0),0)</f>
        <v>0</v>
      </c>
      <c r="K2546" s="444">
        <f t="shared" ca="1" si="146"/>
        <v>-4143600.723569985</v>
      </c>
      <c r="L2546" s="444">
        <f t="shared" ca="1" si="147"/>
        <v>-998607774.38036644</v>
      </c>
      <c r="M2546" s="460">
        <f t="shared" si="149"/>
        <v>0.05</v>
      </c>
      <c r="N2546" s="464">
        <f t="shared" si="150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48"/>
        <v>-998607774.38036644</v>
      </c>
      <c r="J2547" s="444">
        <f t="array" ref="J2547">IFERROR(INDEX('Retirement Calculator'!J:J,MATCH('Isaac 401k'!N2547,'Retirement Calculator'!A:A,0),0),0)</f>
        <v>0</v>
      </c>
      <c r="K2547" s="444">
        <f t="shared" ca="1" si="146"/>
        <v>-4160865.7265848601</v>
      </c>
      <c r="L2547" s="444">
        <f t="shared" ca="1" si="147"/>
        <v>-1002768640.1069514</v>
      </c>
      <c r="M2547" s="460">
        <f t="shared" si="149"/>
        <v>0.05</v>
      </c>
      <c r="N2547" s="464">
        <f t="shared" si="150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48"/>
        <v>-1002768640.1069514</v>
      </c>
      <c r="J2548" s="444">
        <f t="array" ref="J2548">IFERROR(INDEX('Retirement Calculator'!J:J,MATCH('Isaac 401k'!N2548,'Retirement Calculator'!A:A,0),0),0)</f>
        <v>0</v>
      </c>
      <c r="K2548" s="444">
        <f t="shared" ca="1" si="146"/>
        <v>-4178202.6671122974</v>
      </c>
      <c r="L2548" s="444">
        <f t="shared" ca="1" si="147"/>
        <v>-1006946842.7740637</v>
      </c>
      <c r="M2548" s="460">
        <f t="shared" si="149"/>
        <v>0.05</v>
      </c>
      <c r="N2548" s="464">
        <f t="shared" si="150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48"/>
        <v>-1006946842.7740637</v>
      </c>
      <c r="J2549" s="444">
        <f t="array" ref="J2549">IFERROR(INDEX('Retirement Calculator'!J:J,MATCH('Isaac 401k'!N2549,'Retirement Calculator'!A:A,0),0),0)</f>
        <v>0</v>
      </c>
      <c r="K2549" s="444">
        <f t="shared" ca="1" si="146"/>
        <v>-4195611.8448919319</v>
      </c>
      <c r="L2549" s="444">
        <f t="shared" ca="1" si="147"/>
        <v>-1011142454.6189556</v>
      </c>
      <c r="M2549" s="460">
        <f t="shared" si="149"/>
        <v>0.05</v>
      </c>
      <c r="N2549" s="464">
        <f t="shared" si="150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48"/>
        <v>-1011142454.6189556</v>
      </c>
      <c r="J2550" s="444">
        <f t="array" ref="J2550">IFERROR(INDEX('Retirement Calculator'!J:J,MATCH('Isaac 401k'!N2550,'Retirement Calculator'!A:A,0),0),0)</f>
        <v>0</v>
      </c>
      <c r="K2550" s="444">
        <f t="shared" ca="1" si="146"/>
        <v>-4213093.5609123148</v>
      </c>
      <c r="L2550" s="444">
        <f t="shared" ca="1" si="147"/>
        <v>-1015355548.179868</v>
      </c>
      <c r="M2550" s="460">
        <f t="shared" si="149"/>
        <v>0.05</v>
      </c>
      <c r="N2550" s="464">
        <f t="shared" si="150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48"/>
        <v>-1015355548.179868</v>
      </c>
      <c r="J2551" s="444">
        <f t="array" ref="J2551">IFERROR(INDEX('Retirement Calculator'!J:J,MATCH('Isaac 401k'!N2551,'Retirement Calculator'!A:A,0),0),0)</f>
        <v>0</v>
      </c>
      <c r="K2551" s="444">
        <f t="shared" ca="1" si="146"/>
        <v>-4230648.1174161173</v>
      </c>
      <c r="L2551" s="444">
        <f t="shared" ca="1" si="147"/>
        <v>-1019586196.2972841</v>
      </c>
      <c r="M2551" s="460">
        <f t="shared" si="149"/>
        <v>0.05</v>
      </c>
      <c r="N2551" s="464">
        <f t="shared" si="150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48"/>
        <v>-1019586196.2972841</v>
      </c>
      <c r="J2552" s="444">
        <f t="array" ref="J2552">IFERROR(INDEX('Retirement Calculator'!J:J,MATCH('Isaac 401k'!N2552,'Retirement Calculator'!A:A,0),0),0)</f>
        <v>0</v>
      </c>
      <c r="K2552" s="444">
        <f t="shared" ca="1" si="146"/>
        <v>-4248275.8179053497</v>
      </c>
      <c r="L2552" s="444">
        <f t="shared" ca="1" si="147"/>
        <v>-1023834472.1151894</v>
      </c>
      <c r="M2552" s="460">
        <f t="shared" si="149"/>
        <v>0.05</v>
      </c>
      <c r="N2552" s="464">
        <f t="shared" si="150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48"/>
        <v>-1023834472.1151894</v>
      </c>
      <c r="J2553" s="444">
        <f t="array" ref="J2553">IFERROR(INDEX('Retirement Calculator'!J:J,MATCH('Isaac 401k'!N2553,'Retirement Calculator'!A:A,0),0),0)</f>
        <v>0</v>
      </c>
      <c r="K2553" s="444">
        <f t="shared" ca="1" si="146"/>
        <v>-4265976.9671466229</v>
      </c>
      <c r="L2553" s="444">
        <f t="shared" ca="1" si="147"/>
        <v>-1028100449.0823361</v>
      </c>
      <c r="M2553" s="460">
        <f t="shared" si="149"/>
        <v>0.05</v>
      </c>
      <c r="N2553" s="464">
        <f t="shared" si="150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48"/>
        <v>-1028100449.0823361</v>
      </c>
      <c r="J2554" s="444">
        <f t="array" ref="J2554">IFERROR(INDEX('Retirement Calculator'!J:J,MATCH('Isaac 401k'!N2554,'Retirement Calculator'!A:A,0),0),0)</f>
        <v>0</v>
      </c>
      <c r="K2554" s="444">
        <f t="shared" ca="1" si="146"/>
        <v>-4283751.8711764002</v>
      </c>
      <c r="L2554" s="444">
        <f t="shared" ca="1" si="147"/>
        <v>-1032384200.9535124</v>
      </c>
      <c r="M2554" s="460">
        <f t="shared" si="149"/>
        <v>0.05</v>
      </c>
      <c r="N2554" s="464">
        <f t="shared" si="150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48"/>
        <v>-1032384200.9535124</v>
      </c>
      <c r="J2555" s="444">
        <f t="array" ref="J2555">IFERROR(INDEX('Retirement Calculator'!J:J,MATCH('Isaac 401k'!N2555,'Retirement Calculator'!A:A,0),0),0)</f>
        <v>0</v>
      </c>
      <c r="K2555" s="444">
        <f t="shared" ca="1" si="146"/>
        <v>-4301600.837306302</v>
      </c>
      <c r="L2555" s="444">
        <f t="shared" ca="1" si="147"/>
        <v>-1036685801.7908187</v>
      </c>
      <c r="M2555" s="460">
        <f t="shared" si="149"/>
        <v>0.05</v>
      </c>
      <c r="N2555" s="464">
        <f t="shared" si="150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48"/>
        <v>-1036685801.7908187</v>
      </c>
      <c r="J2556" s="444">
        <f t="array" ref="J2556">IFERROR(INDEX('Retirement Calculator'!J:J,MATCH('Isaac 401k'!N2556,'Retirement Calculator'!A:A,0),0),0)</f>
        <v>0</v>
      </c>
      <c r="K2556" s="444">
        <f t="shared" ca="1" si="146"/>
        <v>-4319524.1741284113</v>
      </c>
      <c r="L2556" s="444">
        <f t="shared" ca="1" si="147"/>
        <v>-1041005325.9649471</v>
      </c>
      <c r="M2556" s="460">
        <f t="shared" si="149"/>
        <v>0.05</v>
      </c>
      <c r="N2556" s="464">
        <f t="shared" si="150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48"/>
        <v>-1041005325.9649471</v>
      </c>
      <c r="J2557" s="444">
        <f t="array" ref="J2557">IFERROR(INDEX('Retirement Calculator'!J:J,MATCH('Isaac 401k'!N2557,'Retirement Calculator'!A:A,0),0),0)</f>
        <v>0</v>
      </c>
      <c r="K2557" s="444">
        <f t="shared" ca="1" si="146"/>
        <v>-4337522.1915206127</v>
      </c>
      <c r="L2557" s="444">
        <f t="shared" ca="1" si="147"/>
        <v>-1045342848.1564677</v>
      </c>
      <c r="M2557" s="460">
        <f t="shared" si="149"/>
        <v>0.05</v>
      </c>
      <c r="N2557" s="464">
        <f t="shared" si="150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48"/>
        <v>-1045342848.1564677</v>
      </c>
      <c r="J2558" s="444">
        <f t="array" ref="J2558">IFERROR(INDEX('Retirement Calculator'!J:J,MATCH('Isaac 401k'!N2558,'Retirement Calculator'!A:A,0),0),0)</f>
        <v>0</v>
      </c>
      <c r="K2558" s="444">
        <f t="shared" ref="K2558:K2812" ca="1" si="151">IPMT(M2558/12,1,12,-I2558+J2558,,0)</f>
        <v>-4355595.2006519483</v>
      </c>
      <c r="L2558" s="444">
        <f t="shared" ref="L2558:L2812" ca="1" si="152">I2558-J2558+K2558</f>
        <v>-1049698443.3571197</v>
      </c>
      <c r="M2558" s="460">
        <f t="shared" si="149"/>
        <v>0.05</v>
      </c>
      <c r="N2558" s="464">
        <f t="shared" si="150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53">L2558</f>
        <v>-1049698443.3571197</v>
      </c>
      <c r="J2559" s="444">
        <f t="array" ref="J2559">IFERROR(INDEX('Retirement Calculator'!J:J,MATCH('Isaac 401k'!N2559,'Retirement Calculator'!A:A,0),0),0)</f>
        <v>0</v>
      </c>
      <c r="K2559" s="444">
        <f t="shared" ca="1" si="151"/>
        <v>-4373743.5139879985</v>
      </c>
      <c r="L2559" s="444">
        <f t="shared" ca="1" si="152"/>
        <v>-1054072186.8711077</v>
      </c>
      <c r="M2559" s="460">
        <f t="shared" ref="M2559:M2813" si="154">M2558</f>
        <v>0.05</v>
      </c>
      <c r="N2559" s="464">
        <f t="shared" ref="N2559:N2813" si="155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53"/>
        <v>-1054072186.8711077</v>
      </c>
      <c r="J2560" s="444">
        <f t="array" ref="J2560">IFERROR(INDEX('Retirement Calculator'!J:J,MATCH('Isaac 401k'!N2560,'Retirement Calculator'!A:A,0),0),0)</f>
        <v>0</v>
      </c>
      <c r="K2560" s="444">
        <f t="shared" ca="1" si="151"/>
        <v>-4391967.4452962819</v>
      </c>
      <c r="L2560" s="444">
        <f t="shared" ca="1" si="152"/>
        <v>-1058464154.316404</v>
      </c>
      <c r="M2560" s="460">
        <f t="shared" si="154"/>
        <v>0.05</v>
      </c>
      <c r="N2560" s="464">
        <f t="shared" si="155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53"/>
        <v>-1058464154.316404</v>
      </c>
      <c r="J2561" s="444">
        <f t="array" ref="J2561">IFERROR(INDEX('Retirement Calculator'!J:J,MATCH('Isaac 401k'!N2561,'Retirement Calculator'!A:A,0),0),0)</f>
        <v>0</v>
      </c>
      <c r="K2561" s="444">
        <f t="shared" ca="1" si="151"/>
        <v>-4410267.3096516831</v>
      </c>
      <c r="L2561" s="444">
        <f t="shared" ca="1" si="152"/>
        <v>-1062874421.6260557</v>
      </c>
      <c r="M2561" s="460">
        <f t="shared" si="154"/>
        <v>0.05</v>
      </c>
      <c r="N2561" s="464">
        <f t="shared" si="155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53"/>
        <v>-1062874421.6260557</v>
      </c>
      <c r="J2562" s="444">
        <f t="array" ref="J2562">IFERROR(INDEX('Retirement Calculator'!J:J,MATCH('Isaac 401k'!N2562,'Retirement Calculator'!A:A,0),0),0)</f>
        <v>0</v>
      </c>
      <c r="K2562" s="444">
        <f t="shared" ca="1" si="151"/>
        <v>-4428643.423441899</v>
      </c>
      <c r="L2562" s="444">
        <f t="shared" ca="1" si="152"/>
        <v>-1067303065.0494976</v>
      </c>
      <c r="M2562" s="460">
        <f t="shared" si="154"/>
        <v>0.05</v>
      </c>
      <c r="N2562" s="464">
        <f t="shared" si="155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53"/>
        <v>-1067303065.0494976</v>
      </c>
      <c r="J2563" s="444">
        <f t="array" ref="J2563">IFERROR(INDEX('Retirement Calculator'!J:J,MATCH('Isaac 401k'!N2563,'Retirement Calculator'!A:A,0),0),0)</f>
        <v>0</v>
      </c>
      <c r="K2563" s="444">
        <f t="shared" ca="1" si="151"/>
        <v>-4447096.1043729065</v>
      </c>
      <c r="L2563" s="444">
        <f t="shared" ca="1" si="152"/>
        <v>-1071750161.1538705</v>
      </c>
      <c r="M2563" s="460">
        <f t="shared" si="154"/>
        <v>0.05</v>
      </c>
      <c r="N2563" s="464">
        <f t="shared" si="155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53"/>
        <v>-1071750161.1538705</v>
      </c>
      <c r="J2564" s="444">
        <f t="array" ref="J2564">IFERROR(INDEX('Retirement Calculator'!J:J,MATCH('Isaac 401k'!N2564,'Retirement Calculator'!A:A,0),0),0)</f>
        <v>0</v>
      </c>
      <c r="K2564" s="444">
        <f t="shared" ca="1" si="151"/>
        <v>-4465625.6714744605</v>
      </c>
      <c r="L2564" s="444">
        <f t="shared" ca="1" si="152"/>
        <v>-1076215786.825345</v>
      </c>
      <c r="M2564" s="460">
        <f t="shared" si="154"/>
        <v>0.05</v>
      </c>
      <c r="N2564" s="464">
        <f t="shared" si="155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53"/>
        <v>-1076215786.825345</v>
      </c>
      <c r="J2565" s="444">
        <f t="array" ref="J2565">IFERROR(INDEX('Retirement Calculator'!J:J,MATCH('Isaac 401k'!N2565,'Retirement Calculator'!A:A,0),0),0)</f>
        <v>0</v>
      </c>
      <c r="K2565" s="444">
        <f t="shared" ca="1" si="151"/>
        <v>-4484232.4451056039</v>
      </c>
      <c r="L2565" s="444">
        <f t="shared" ca="1" si="152"/>
        <v>-1080700019.2704506</v>
      </c>
      <c r="M2565" s="460">
        <f t="shared" si="154"/>
        <v>0.05</v>
      </c>
      <c r="N2565" s="464">
        <f t="shared" si="155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53"/>
        <v>-1080700019.2704506</v>
      </c>
      <c r="J2566" s="444">
        <f t="array" ref="J2566">IFERROR(INDEX('Retirement Calculator'!J:J,MATCH('Isaac 401k'!N2566,'Retirement Calculator'!A:A,0),0),0)</f>
        <v>0</v>
      </c>
      <c r="K2566" s="444">
        <f t="shared" ca="1" si="151"/>
        <v>-4502916.7469602106</v>
      </c>
      <c r="L2566" s="444">
        <f t="shared" ca="1" si="152"/>
        <v>-1085202936.0174108</v>
      </c>
      <c r="M2566" s="460">
        <f t="shared" si="154"/>
        <v>0.05</v>
      </c>
      <c r="N2566" s="464">
        <f t="shared" si="155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53"/>
        <v>-1085202936.0174108</v>
      </c>
      <c r="J2567" s="444">
        <f t="array" ref="J2567">IFERROR(INDEX('Retirement Calculator'!J:J,MATCH('Isaac 401k'!N2567,'Retirement Calculator'!A:A,0),0),0)</f>
        <v>0</v>
      </c>
      <c r="K2567" s="444">
        <f t="shared" ca="1" si="151"/>
        <v>-4521678.9000725448</v>
      </c>
      <c r="L2567" s="444">
        <f t="shared" ca="1" si="152"/>
        <v>-1089724614.9174833</v>
      </c>
      <c r="M2567" s="460">
        <f t="shared" si="154"/>
        <v>0.05</v>
      </c>
      <c r="N2567" s="464">
        <f t="shared" si="155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53"/>
        <v>-1089724614.9174833</v>
      </c>
      <c r="J2568" s="444">
        <f t="array" ref="J2568">IFERROR(INDEX('Retirement Calculator'!J:J,MATCH('Isaac 401k'!N2568,'Retirement Calculator'!A:A,0),0),0)</f>
        <v>0</v>
      </c>
      <c r="K2568" s="444">
        <f t="shared" ca="1" si="151"/>
        <v>-4540519.2288228469</v>
      </c>
      <c r="L2568" s="444">
        <f t="shared" ca="1" si="152"/>
        <v>-1094265134.1463063</v>
      </c>
      <c r="M2568" s="460">
        <f t="shared" si="154"/>
        <v>0.05</v>
      </c>
      <c r="N2568" s="464">
        <f t="shared" si="155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53"/>
        <v>-1094265134.1463063</v>
      </c>
      <c r="J2569" s="444">
        <f t="array" ref="J2569">IFERROR(INDEX('Retirement Calculator'!J:J,MATCH('Isaac 401k'!N2569,'Retirement Calculator'!A:A,0),0),0)</f>
        <v>0</v>
      </c>
      <c r="K2569" s="444">
        <f t="shared" ca="1" si="151"/>
        <v>-4559438.0589429429</v>
      </c>
      <c r="L2569" s="444">
        <f t="shared" ca="1" si="152"/>
        <v>-1098824572.2052493</v>
      </c>
      <c r="M2569" s="460">
        <f t="shared" si="154"/>
        <v>0.05</v>
      </c>
      <c r="N2569" s="464">
        <f t="shared" si="155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53"/>
        <v>-1098824572.2052493</v>
      </c>
      <c r="J2570" s="444">
        <f t="array" ref="J2570">IFERROR(INDEX('Retirement Calculator'!J:J,MATCH('Isaac 401k'!N2570,'Retirement Calculator'!A:A,0),0),0)</f>
        <v>0</v>
      </c>
      <c r="K2570" s="444">
        <f t="shared" ca="1" si="151"/>
        <v>-4578435.7175218724</v>
      </c>
      <c r="L2570" s="444">
        <f t="shared" ca="1" si="152"/>
        <v>-1103403007.9227712</v>
      </c>
      <c r="M2570" s="460">
        <f t="shared" si="154"/>
        <v>0.05</v>
      </c>
      <c r="N2570" s="464">
        <f t="shared" si="155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53"/>
        <v>-1103403007.9227712</v>
      </c>
      <c r="J2571" s="444">
        <f t="array" ref="J2571">IFERROR(INDEX('Retirement Calculator'!J:J,MATCH('Isaac 401k'!N2571,'Retirement Calculator'!A:A,0),0),0)</f>
        <v>0</v>
      </c>
      <c r="K2571" s="444">
        <f t="shared" ca="1" si="151"/>
        <v>-4597512.5330115464</v>
      </c>
      <c r="L2571" s="444">
        <f t="shared" ca="1" si="152"/>
        <v>-1108000520.4557827</v>
      </c>
      <c r="M2571" s="460">
        <f t="shared" si="154"/>
        <v>0.05</v>
      </c>
      <c r="N2571" s="464">
        <f t="shared" si="155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53"/>
        <v>-1108000520.4557827</v>
      </c>
      <c r="J2572" s="444">
        <f t="array" ref="J2572">IFERROR(INDEX('Retirement Calculator'!J:J,MATCH('Isaac 401k'!N2572,'Retirement Calculator'!A:A,0),0),0)</f>
        <v>0</v>
      </c>
      <c r="K2572" s="444">
        <f t="shared" ca="1" si="151"/>
        <v>-4616668.8352324273</v>
      </c>
      <c r="L2572" s="444">
        <f t="shared" ca="1" si="152"/>
        <v>-1112617189.2910151</v>
      </c>
      <c r="M2572" s="460">
        <f t="shared" si="154"/>
        <v>0.05</v>
      </c>
      <c r="N2572" s="464">
        <f t="shared" si="155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53"/>
        <v>-1112617189.2910151</v>
      </c>
      <c r="J2573" s="444">
        <f t="array" ref="J2573">IFERROR(INDEX('Retirement Calculator'!J:J,MATCH('Isaac 401k'!N2573,'Retirement Calculator'!A:A,0),0),0)</f>
        <v>0</v>
      </c>
      <c r="K2573" s="444">
        <f t="shared" ca="1" si="151"/>
        <v>-4635904.95537923</v>
      </c>
      <c r="L2573" s="444">
        <f t="shared" ca="1" si="152"/>
        <v>-1117253094.2463944</v>
      </c>
      <c r="M2573" s="460">
        <f t="shared" si="154"/>
        <v>0.05</v>
      </c>
      <c r="N2573" s="464">
        <f t="shared" si="155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53"/>
        <v>-1117253094.2463944</v>
      </c>
      <c r="J2574" s="444">
        <f t="array" ref="J2574">IFERROR(INDEX('Retirement Calculator'!J:J,MATCH('Isaac 401k'!N2574,'Retirement Calculator'!A:A,0),0),0)</f>
        <v>0</v>
      </c>
      <c r="K2574" s="444">
        <f t="shared" ca="1" si="151"/>
        <v>-4655221.2260266431</v>
      </c>
      <c r="L2574" s="444">
        <f t="shared" ca="1" si="152"/>
        <v>-1121908315.4724209</v>
      </c>
      <c r="M2574" s="460">
        <f t="shared" si="154"/>
        <v>0.05</v>
      </c>
      <c r="N2574" s="464">
        <f t="shared" si="155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53"/>
        <v>-1121908315.4724209</v>
      </c>
      <c r="J2575" s="444">
        <f t="array" ref="J2575">IFERROR(INDEX('Retirement Calculator'!J:J,MATCH('Isaac 401k'!N2575,'Retirement Calculator'!A:A,0),0),0)</f>
        <v>0</v>
      </c>
      <c r="K2575" s="444">
        <f t="shared" ca="1" si="151"/>
        <v>-4674617.9811350871</v>
      </c>
      <c r="L2575" s="444">
        <f t="shared" ca="1" si="152"/>
        <v>-1126582933.4535561</v>
      </c>
      <c r="M2575" s="460">
        <f t="shared" si="154"/>
        <v>0.05</v>
      </c>
      <c r="N2575" s="464">
        <f t="shared" si="155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53"/>
        <v>-1126582933.4535561</v>
      </c>
      <c r="J2576" s="444">
        <f t="array" ref="J2576">IFERROR(INDEX('Retirement Calculator'!J:J,MATCH('Isaac 401k'!N2576,'Retirement Calculator'!A:A,0),0),0)</f>
        <v>0</v>
      </c>
      <c r="K2576" s="444">
        <f t="shared" ca="1" si="151"/>
        <v>-4694095.5560564836</v>
      </c>
      <c r="L2576" s="444">
        <f t="shared" ca="1" si="152"/>
        <v>-1131277029.0096126</v>
      </c>
      <c r="M2576" s="460">
        <f t="shared" si="154"/>
        <v>0.05</v>
      </c>
      <c r="N2576" s="464">
        <f t="shared" si="155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53"/>
        <v>-1131277029.0096126</v>
      </c>
      <c r="J2577" s="444">
        <f t="array" ref="J2577">IFERROR(INDEX('Retirement Calculator'!J:J,MATCH('Isaac 401k'!N2577,'Retirement Calculator'!A:A,0),0),0)</f>
        <v>0</v>
      </c>
      <c r="K2577" s="444">
        <f t="shared" ca="1" si="151"/>
        <v>-4713654.2875400521</v>
      </c>
      <c r="L2577" s="444">
        <f t="shared" ca="1" si="152"/>
        <v>-1135990683.2971525</v>
      </c>
      <c r="M2577" s="460">
        <f t="shared" si="154"/>
        <v>0.05</v>
      </c>
      <c r="N2577" s="464">
        <f t="shared" si="155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53"/>
        <v>-1135990683.2971525</v>
      </c>
      <c r="J2578" s="444">
        <f t="array" ref="J2578">IFERROR(INDEX('Retirement Calculator'!J:J,MATCH('Isaac 401k'!N2578,'Retirement Calculator'!A:A,0),0),0)</f>
        <v>0</v>
      </c>
      <c r="K2578" s="444">
        <f t="shared" ca="1" si="151"/>
        <v>-4733294.5137381358</v>
      </c>
      <c r="L2578" s="444">
        <f t="shared" ca="1" si="152"/>
        <v>-1140723977.8108907</v>
      </c>
      <c r="M2578" s="460">
        <f t="shared" si="154"/>
        <v>0.05</v>
      </c>
      <c r="N2578" s="464">
        <f t="shared" si="155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53"/>
        <v>-1140723977.8108907</v>
      </c>
      <c r="J2579" s="444">
        <f t="array" ref="J2579">IFERROR(INDEX('Retirement Calculator'!J:J,MATCH('Isaac 401k'!N2579,'Retirement Calculator'!A:A,0),0),0)</f>
        <v>0</v>
      </c>
      <c r="K2579" s="444">
        <f t="shared" ca="1" si="151"/>
        <v>-4753016.5742120445</v>
      </c>
      <c r="L2579" s="444">
        <f t="shared" ca="1" si="152"/>
        <v>-1145476994.3851027</v>
      </c>
      <c r="M2579" s="460">
        <f t="shared" si="154"/>
        <v>0.05</v>
      </c>
      <c r="N2579" s="464">
        <f t="shared" si="155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53"/>
        <v>-1145476994.3851027</v>
      </c>
      <c r="J2580" s="444">
        <f t="array" ref="J2580">IFERROR(INDEX('Retirement Calculator'!J:J,MATCH('Isaac 401k'!N2580,'Retirement Calculator'!A:A,0),0),0)</f>
        <v>0</v>
      </c>
      <c r="K2580" s="444">
        <f t="shared" ca="1" si="151"/>
        <v>-4772820.8099379279</v>
      </c>
      <c r="L2580" s="444">
        <f t="shared" ca="1" si="152"/>
        <v>-1150249815.1950407</v>
      </c>
      <c r="M2580" s="460">
        <f t="shared" si="154"/>
        <v>0.05</v>
      </c>
      <c r="N2580" s="464">
        <f t="shared" si="155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53"/>
        <v>-1150249815.1950407</v>
      </c>
      <c r="J2581" s="444">
        <f t="array" ref="J2581">IFERROR(INDEX('Retirement Calculator'!J:J,MATCH('Isaac 401k'!N2581,'Retirement Calculator'!A:A,0),0),0)</f>
        <v>0</v>
      </c>
      <c r="K2581" s="444">
        <f t="shared" ca="1" si="151"/>
        <v>-4792707.5633126693</v>
      </c>
      <c r="L2581" s="444">
        <f t="shared" ca="1" si="152"/>
        <v>-1155042522.7583535</v>
      </c>
      <c r="M2581" s="460">
        <f t="shared" si="154"/>
        <v>0.05</v>
      </c>
      <c r="N2581" s="464">
        <f t="shared" si="155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53"/>
        <v>-1155042522.7583535</v>
      </c>
      <c r="J2582" s="444">
        <f t="array" ref="J2582">IFERROR(INDEX('Retirement Calculator'!J:J,MATCH('Isaac 401k'!N2582,'Retirement Calculator'!A:A,0),0),0)</f>
        <v>0</v>
      </c>
      <c r="K2582" s="444">
        <f t="shared" ca="1" si="151"/>
        <v>-4812677.1781598059</v>
      </c>
      <c r="L2582" s="444">
        <f t="shared" ca="1" si="152"/>
        <v>-1159855199.9365132</v>
      </c>
      <c r="M2582" s="460">
        <f t="shared" si="154"/>
        <v>0.05</v>
      </c>
      <c r="N2582" s="464">
        <f t="shared" si="155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53"/>
        <v>-1159855199.9365132</v>
      </c>
      <c r="J2583" s="444">
        <f t="array" ref="J2583">IFERROR(INDEX('Retirement Calculator'!J:J,MATCH('Isaac 401k'!N2583,'Retirement Calculator'!A:A,0),0),0)</f>
        <v>0</v>
      </c>
      <c r="K2583" s="444">
        <f t="shared" ca="1" si="151"/>
        <v>-4832729.9997354718</v>
      </c>
      <c r="L2583" s="444">
        <f t="shared" ca="1" si="152"/>
        <v>-1164687929.9362485</v>
      </c>
      <c r="M2583" s="460">
        <f t="shared" si="154"/>
        <v>0.05</v>
      </c>
      <c r="N2583" s="464">
        <f t="shared" si="155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53"/>
        <v>-1164687929.9362485</v>
      </c>
      <c r="J2584" s="444">
        <f t="array" ref="J2584">IFERROR(INDEX('Retirement Calculator'!J:J,MATCH('Isaac 401k'!N2584,'Retirement Calculator'!A:A,0),0),0)</f>
        <v>0</v>
      </c>
      <c r="K2584" s="444">
        <f t="shared" ca="1" si="151"/>
        <v>-4852866.3747343691</v>
      </c>
      <c r="L2584" s="444">
        <f t="shared" ca="1" si="152"/>
        <v>-1169540796.3109829</v>
      </c>
      <c r="M2584" s="460">
        <f t="shared" si="154"/>
        <v>0.05</v>
      </c>
      <c r="N2584" s="464">
        <f t="shared" si="155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53"/>
        <v>-1169540796.3109829</v>
      </c>
      <c r="J2585" s="444">
        <f t="array" ref="J2585">IFERROR(INDEX('Retirement Calculator'!J:J,MATCH('Isaac 401k'!N2585,'Retirement Calculator'!A:A,0),0),0)</f>
        <v>0</v>
      </c>
      <c r="K2585" s="444">
        <f t="shared" ca="1" si="151"/>
        <v>-4873086.6512957625</v>
      </c>
      <c r="L2585" s="444">
        <f t="shared" ca="1" si="152"/>
        <v>-1174413882.9622786</v>
      </c>
      <c r="M2585" s="460">
        <f t="shared" si="154"/>
        <v>0.05</v>
      </c>
      <c r="N2585" s="464">
        <f t="shared" si="155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53"/>
        <v>-1174413882.9622786</v>
      </c>
      <c r="J2586" s="444">
        <f t="array" ref="J2586">IFERROR(INDEX('Retirement Calculator'!J:J,MATCH('Isaac 401k'!N2586,'Retirement Calculator'!A:A,0),0),0)</f>
        <v>0</v>
      </c>
      <c r="K2586" s="444">
        <f t="shared" ca="1" si="151"/>
        <v>-4893391.1790094944</v>
      </c>
      <c r="L2586" s="444">
        <f t="shared" ca="1" si="152"/>
        <v>-1179307274.141288</v>
      </c>
      <c r="M2586" s="460">
        <f t="shared" si="154"/>
        <v>0.05</v>
      </c>
      <c r="N2586" s="464">
        <f t="shared" si="155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53"/>
        <v>-1179307274.141288</v>
      </c>
      <c r="J2587" s="444">
        <f t="array" ref="J2587">IFERROR(INDEX('Retirement Calculator'!J:J,MATCH('Isaac 401k'!N2587,'Retirement Calculator'!A:A,0),0),0)</f>
        <v>0</v>
      </c>
      <c r="K2587" s="444">
        <f t="shared" ca="1" si="151"/>
        <v>-4913780.3089220338</v>
      </c>
      <c r="L2587" s="444">
        <f t="shared" ca="1" si="152"/>
        <v>-1184221054.4502101</v>
      </c>
      <c r="M2587" s="460">
        <f t="shared" si="154"/>
        <v>0.05</v>
      </c>
      <c r="N2587" s="464">
        <f t="shared" si="155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53"/>
        <v>-1184221054.4502101</v>
      </c>
      <c r="J2588" s="444">
        <f t="array" ref="J2588">IFERROR(INDEX('Retirement Calculator'!J:J,MATCH('Isaac 401k'!N2588,'Retirement Calculator'!A:A,0),0),0)</f>
        <v>0</v>
      </c>
      <c r="K2588" s="444">
        <f t="shared" ca="1" si="151"/>
        <v>-4934254.3935425421</v>
      </c>
      <c r="L2588" s="444">
        <f t="shared" ca="1" si="152"/>
        <v>-1189155308.8437526</v>
      </c>
      <c r="M2588" s="460">
        <f t="shared" si="154"/>
        <v>0.05</v>
      </c>
      <c r="N2588" s="464">
        <f t="shared" si="155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53"/>
        <v>-1189155308.8437526</v>
      </c>
      <c r="J2589" s="444">
        <f t="array" ref="J2589">IFERROR(INDEX('Retirement Calculator'!J:J,MATCH('Isaac 401k'!N2589,'Retirement Calculator'!A:A,0),0),0)</f>
        <v>0</v>
      </c>
      <c r="K2589" s="444">
        <f t="shared" ca="1" si="151"/>
        <v>-4954813.7868489688</v>
      </c>
      <c r="L2589" s="444">
        <f t="shared" ca="1" si="152"/>
        <v>-1194110122.6306016</v>
      </c>
      <c r="M2589" s="460">
        <f t="shared" si="154"/>
        <v>0.05</v>
      </c>
      <c r="N2589" s="464">
        <f t="shared" si="155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53"/>
        <v>-1194110122.6306016</v>
      </c>
      <c r="J2590" s="444">
        <f t="array" ref="J2590">IFERROR(INDEX('Retirement Calculator'!J:J,MATCH('Isaac 401k'!N2590,'Retirement Calculator'!A:A,0),0),0)</f>
        <v>0</v>
      </c>
      <c r="K2590" s="444">
        <f t="shared" ca="1" si="151"/>
        <v>-4975458.8442941736</v>
      </c>
      <c r="L2590" s="444">
        <f t="shared" ca="1" si="152"/>
        <v>-1199085581.4748957</v>
      </c>
      <c r="M2590" s="460">
        <f t="shared" si="154"/>
        <v>0.05</v>
      </c>
      <c r="N2590" s="464">
        <f t="shared" si="155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53"/>
        <v>-1199085581.4748957</v>
      </c>
      <c r="J2591" s="444">
        <f t="array" ref="J2591">IFERROR(INDEX('Retirement Calculator'!J:J,MATCH('Isaac 401k'!N2591,'Retirement Calculator'!A:A,0),0),0)</f>
        <v>0</v>
      </c>
      <c r="K2591" s="444">
        <f t="shared" ca="1" si="151"/>
        <v>-4996189.9228120651</v>
      </c>
      <c r="L2591" s="444">
        <f t="shared" ca="1" si="152"/>
        <v>-1204081771.3977077</v>
      </c>
      <c r="M2591" s="460">
        <f t="shared" si="154"/>
        <v>0.05</v>
      </c>
      <c r="N2591" s="464">
        <f t="shared" si="155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53"/>
        <v>-1204081771.3977077</v>
      </c>
      <c r="J2592" s="444">
        <f t="array" ref="J2592">IFERROR(INDEX('Retirement Calculator'!J:J,MATCH('Isaac 401k'!N2592,'Retirement Calculator'!A:A,0),0),0)</f>
        <v>0</v>
      </c>
      <c r="K2592" s="444">
        <f t="shared" ca="1" si="151"/>
        <v>-5017007.3808237817</v>
      </c>
      <c r="L2592" s="444">
        <f t="shared" ca="1" si="152"/>
        <v>-1209098778.7785316</v>
      </c>
      <c r="M2592" s="460">
        <f t="shared" si="154"/>
        <v>0.05</v>
      </c>
      <c r="N2592" s="464">
        <f t="shared" si="155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53"/>
        <v>-1209098778.7785316</v>
      </c>
      <c r="J2593" s="444">
        <f t="array" ref="J2593">IFERROR(INDEX('Retirement Calculator'!J:J,MATCH('Isaac 401k'!N2593,'Retirement Calculator'!A:A,0),0),0)</f>
        <v>0</v>
      </c>
      <c r="K2593" s="444">
        <f t="shared" ca="1" si="151"/>
        <v>-5037911.5782438815</v>
      </c>
      <c r="L2593" s="444">
        <f t="shared" ca="1" si="152"/>
        <v>-1214136690.3567755</v>
      </c>
      <c r="M2593" s="460">
        <f t="shared" si="154"/>
        <v>0.05</v>
      </c>
      <c r="N2593" s="464">
        <f t="shared" si="155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53"/>
        <v>-1214136690.3567755</v>
      </c>
      <c r="J2594" s="444">
        <f t="array" ref="J2594">IFERROR(INDEX('Retirement Calculator'!J:J,MATCH('Isaac 401k'!N2594,'Retirement Calculator'!A:A,0),0),0)</f>
        <v>0</v>
      </c>
      <c r="K2594" s="444">
        <f t="shared" ca="1" si="151"/>
        <v>-5058902.876486565</v>
      </c>
      <c r="L2594" s="444">
        <f t="shared" ca="1" si="152"/>
        <v>-1219195593.2332621</v>
      </c>
      <c r="M2594" s="460">
        <f t="shared" si="154"/>
        <v>0.05</v>
      </c>
      <c r="N2594" s="464">
        <f t="shared" si="155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53"/>
        <v>-1219195593.2332621</v>
      </c>
      <c r="J2595" s="444">
        <f t="array" ref="J2595">IFERROR(INDEX('Retirement Calculator'!J:J,MATCH('Isaac 401k'!N2595,'Retirement Calculator'!A:A,0),0),0)</f>
        <v>0</v>
      </c>
      <c r="K2595" s="444">
        <f t="shared" ca="1" si="151"/>
        <v>-5079981.6384719256</v>
      </c>
      <c r="L2595" s="444">
        <f t="shared" ca="1" si="152"/>
        <v>-1224275574.8717339</v>
      </c>
      <c r="M2595" s="460">
        <f t="shared" si="154"/>
        <v>0.05</v>
      </c>
      <c r="N2595" s="464">
        <f t="shared" si="155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53"/>
        <v>-1224275574.8717339</v>
      </c>
      <c r="J2596" s="444">
        <f t="array" ref="J2596">IFERROR(INDEX('Retirement Calculator'!J:J,MATCH('Isaac 401k'!N2596,'Retirement Calculator'!A:A,0),0),0)</f>
        <v>0</v>
      </c>
      <c r="K2596" s="444">
        <f t="shared" ca="1" si="151"/>
        <v>-5101148.2286322247</v>
      </c>
      <c r="L2596" s="444">
        <f t="shared" ca="1" si="152"/>
        <v>-1229376723.1003661</v>
      </c>
      <c r="M2596" s="460">
        <f t="shared" si="154"/>
        <v>0.05</v>
      </c>
      <c r="N2596" s="464">
        <f t="shared" si="155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53"/>
        <v>-1229376723.1003661</v>
      </c>
      <c r="J2597" s="444">
        <f t="array" ref="J2597">IFERROR(INDEX('Retirement Calculator'!J:J,MATCH('Isaac 401k'!N2597,'Retirement Calculator'!A:A,0),0),0)</f>
        <v>0</v>
      </c>
      <c r="K2597" s="444">
        <f t="shared" ca="1" si="151"/>
        <v>-5122403.012918192</v>
      </c>
      <c r="L2597" s="444">
        <f t="shared" ca="1" si="152"/>
        <v>-1234499126.1132843</v>
      </c>
      <c r="M2597" s="460">
        <f t="shared" si="154"/>
        <v>0.05</v>
      </c>
      <c r="N2597" s="464">
        <f t="shared" si="155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53"/>
        <v>-1234499126.1132843</v>
      </c>
      <c r="J2598" s="444">
        <f t="array" ref="J2598">IFERROR(INDEX('Retirement Calculator'!J:J,MATCH('Isaac 401k'!N2598,'Retirement Calculator'!A:A,0),0),0)</f>
        <v>0</v>
      </c>
      <c r="K2598" s="444">
        <f t="shared" ca="1" si="151"/>
        <v>-5143746.358805351</v>
      </c>
      <c r="L2598" s="444">
        <f t="shared" ca="1" si="152"/>
        <v>-1239642872.4720898</v>
      </c>
      <c r="M2598" s="460">
        <f t="shared" si="154"/>
        <v>0.05</v>
      </c>
      <c r="N2598" s="464">
        <f t="shared" si="155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53"/>
        <v>-1239642872.4720898</v>
      </c>
      <c r="J2599" s="444">
        <f t="array" ref="J2599">IFERROR(INDEX('Retirement Calculator'!J:J,MATCH('Isaac 401k'!N2599,'Retirement Calculator'!A:A,0),0),0)</f>
        <v>0</v>
      </c>
      <c r="K2599" s="444">
        <f t="shared" ca="1" si="151"/>
        <v>-5165178.6353003737</v>
      </c>
      <c r="L2599" s="444">
        <f t="shared" ca="1" si="152"/>
        <v>-1244808051.1073902</v>
      </c>
      <c r="M2599" s="460">
        <f t="shared" si="154"/>
        <v>0.05</v>
      </c>
      <c r="N2599" s="464">
        <f t="shared" si="155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53"/>
        <v>-1244808051.1073902</v>
      </c>
      <c r="J2600" s="444">
        <f t="array" ref="J2600">IFERROR(INDEX('Retirement Calculator'!J:J,MATCH('Isaac 401k'!N2600,'Retirement Calculator'!A:A,0),0),0)</f>
        <v>0</v>
      </c>
      <c r="K2600" s="444">
        <f t="shared" ca="1" si="151"/>
        <v>-5186700.212947459</v>
      </c>
      <c r="L2600" s="444">
        <f t="shared" ca="1" si="152"/>
        <v>-1249994751.3203375</v>
      </c>
      <c r="M2600" s="460">
        <f t="shared" si="154"/>
        <v>0.05</v>
      </c>
      <c r="N2600" s="464">
        <f t="shared" si="155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53"/>
        <v>-1249994751.3203375</v>
      </c>
      <c r="J2601" s="444">
        <f t="array" ref="J2601">IFERROR(INDEX('Retirement Calculator'!J:J,MATCH('Isaac 401k'!N2601,'Retirement Calculator'!A:A,0),0),0)</f>
        <v>0</v>
      </c>
      <c r="K2601" s="444">
        <f t="shared" ca="1" si="151"/>
        <v>-5208311.4638347393</v>
      </c>
      <c r="L2601" s="444">
        <f t="shared" ca="1" si="152"/>
        <v>-1255203062.7841723</v>
      </c>
      <c r="M2601" s="460">
        <f t="shared" si="154"/>
        <v>0.05</v>
      </c>
      <c r="N2601" s="464">
        <f t="shared" si="155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53"/>
        <v>-1255203062.7841723</v>
      </c>
      <c r="J2602" s="444">
        <f t="array" ref="J2602">IFERROR(INDEX('Retirement Calculator'!J:J,MATCH('Isaac 401k'!N2602,'Retirement Calculator'!A:A,0),0),0)</f>
        <v>0</v>
      </c>
      <c r="K2602" s="444">
        <f t="shared" ca="1" si="151"/>
        <v>-5230012.7616007179</v>
      </c>
      <c r="L2602" s="444">
        <f t="shared" ca="1" si="152"/>
        <v>-1260433075.545773</v>
      </c>
      <c r="M2602" s="460">
        <f t="shared" si="154"/>
        <v>0.05</v>
      </c>
      <c r="N2602" s="464">
        <f t="shared" si="155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53"/>
        <v>-1260433075.545773</v>
      </c>
      <c r="J2603" s="444">
        <f t="array" ref="J2603">IFERROR(INDEX('Retirement Calculator'!J:J,MATCH('Isaac 401k'!N2603,'Retirement Calculator'!A:A,0),0),0)</f>
        <v>0</v>
      </c>
      <c r="K2603" s="444">
        <f t="shared" ca="1" si="151"/>
        <v>-5251804.4814407211</v>
      </c>
      <c r="L2603" s="444">
        <f t="shared" ca="1" si="152"/>
        <v>-1265684880.0272138</v>
      </c>
      <c r="M2603" s="460">
        <f t="shared" si="154"/>
        <v>0.05</v>
      </c>
      <c r="N2603" s="464">
        <f t="shared" si="155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53"/>
        <v>-1265684880.0272138</v>
      </c>
      <c r="J2604" s="444">
        <f t="array" ref="J2604">IFERROR(INDEX('Retirement Calculator'!J:J,MATCH('Isaac 401k'!N2604,'Retirement Calculator'!A:A,0),0),0)</f>
        <v>0</v>
      </c>
      <c r="K2604" s="444">
        <f t="shared" ca="1" si="151"/>
        <v>-5273687.0001133904</v>
      </c>
      <c r="L2604" s="444">
        <f t="shared" ca="1" si="152"/>
        <v>-1270958567.0273273</v>
      </c>
      <c r="M2604" s="460">
        <f t="shared" si="154"/>
        <v>0.05</v>
      </c>
      <c r="N2604" s="464">
        <f t="shared" si="155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53"/>
        <v>-1270958567.0273273</v>
      </c>
      <c r="J2605" s="444">
        <f t="array" ref="J2605">IFERROR(INDEX('Retirement Calculator'!J:J,MATCH('Isaac 401k'!N2605,'Retirement Calculator'!A:A,0),0),0)</f>
        <v>0</v>
      </c>
      <c r="K2605" s="444">
        <f t="shared" ca="1" si="151"/>
        <v>-5295660.6959471973</v>
      </c>
      <c r="L2605" s="444">
        <f t="shared" ca="1" si="152"/>
        <v>-1276254227.7232745</v>
      </c>
      <c r="M2605" s="460">
        <f t="shared" si="154"/>
        <v>0.05</v>
      </c>
      <c r="N2605" s="464">
        <f t="shared" si="155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53"/>
        <v>-1276254227.7232745</v>
      </c>
      <c r="J2606" s="444">
        <f t="array" ref="J2606">IFERROR(INDEX('Retirement Calculator'!J:J,MATCH('Isaac 401k'!N2606,'Retirement Calculator'!A:A,0),0),0)</f>
        <v>0</v>
      </c>
      <c r="K2606" s="444">
        <f t="shared" ca="1" si="151"/>
        <v>-5317725.9488469772</v>
      </c>
      <c r="L2606" s="444">
        <f t="shared" ca="1" si="152"/>
        <v>-1281571953.6721215</v>
      </c>
      <c r="M2606" s="460">
        <f t="shared" si="154"/>
        <v>0.05</v>
      </c>
      <c r="N2606" s="464">
        <f t="shared" si="155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53"/>
        <v>-1281571953.6721215</v>
      </c>
      <c r="J2607" s="444">
        <f t="array" ref="J2607">IFERROR(INDEX('Retirement Calculator'!J:J,MATCH('Isaac 401k'!N2607,'Retirement Calculator'!A:A,0),0),0)</f>
        <v>0</v>
      </c>
      <c r="K2607" s="444">
        <f t="shared" ca="1" si="151"/>
        <v>-5339883.1403005067</v>
      </c>
      <c r="L2607" s="444">
        <f t="shared" ca="1" si="152"/>
        <v>-1286911836.812422</v>
      </c>
      <c r="M2607" s="460">
        <f t="shared" si="154"/>
        <v>0.05</v>
      </c>
      <c r="N2607" s="464">
        <f t="shared" si="155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53"/>
        <v>-1286911836.812422</v>
      </c>
      <c r="J2608" s="444">
        <f t="array" ref="J2608">IFERROR(INDEX('Retirement Calculator'!J:J,MATCH('Isaac 401k'!N2608,'Retirement Calculator'!A:A,0),0),0)</f>
        <v>0</v>
      </c>
      <c r="K2608" s="444">
        <f t="shared" ca="1" si="151"/>
        <v>-5362132.6533850916</v>
      </c>
      <c r="L2608" s="444">
        <f t="shared" ca="1" si="152"/>
        <v>-1292273969.4658072</v>
      </c>
      <c r="M2608" s="460">
        <f t="shared" si="154"/>
        <v>0.05</v>
      </c>
      <c r="N2608" s="464">
        <f t="shared" si="155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53"/>
        <v>-1292273969.4658072</v>
      </c>
      <c r="J2609" s="444">
        <f t="array" ref="J2609">IFERROR(INDEX('Retirement Calculator'!J:J,MATCH('Isaac 401k'!N2609,'Retirement Calculator'!A:A,0),0),0)</f>
        <v>0</v>
      </c>
      <c r="K2609" s="444">
        <f t="shared" ca="1" si="151"/>
        <v>-5384474.8727741968</v>
      </c>
      <c r="L2609" s="444">
        <f t="shared" ca="1" si="152"/>
        <v>-1297658444.3385813</v>
      </c>
      <c r="M2609" s="460">
        <f t="shared" si="154"/>
        <v>0.05</v>
      </c>
      <c r="N2609" s="464">
        <f t="shared" si="155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53"/>
        <v>-1297658444.3385813</v>
      </c>
      <c r="J2610" s="444">
        <f t="array" ref="J2610">IFERROR(INDEX('Retirement Calculator'!J:J,MATCH('Isaac 401k'!N2610,'Retirement Calculator'!A:A,0),0),0)</f>
        <v>0</v>
      </c>
      <c r="K2610" s="444">
        <f t="shared" ca="1" si="151"/>
        <v>-5406910.1847440889</v>
      </c>
      <c r="L2610" s="444">
        <f t="shared" ca="1" si="152"/>
        <v>-1303065354.5233254</v>
      </c>
      <c r="M2610" s="460">
        <f t="shared" si="154"/>
        <v>0.05</v>
      </c>
      <c r="N2610" s="464">
        <f t="shared" si="155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53"/>
        <v>-1303065354.5233254</v>
      </c>
      <c r="J2611" s="444">
        <f t="array" ref="J2611">IFERROR(INDEX('Retirement Calculator'!J:J,MATCH('Isaac 401k'!N2611,'Retirement Calculator'!A:A,0),0),0)</f>
        <v>0</v>
      </c>
      <c r="K2611" s="444">
        <f t="shared" ca="1" si="151"/>
        <v>-5429438.9771805229</v>
      </c>
      <c r="L2611" s="444">
        <f t="shared" ca="1" si="152"/>
        <v>-1308494793.5005059</v>
      </c>
      <c r="M2611" s="460">
        <f t="shared" si="154"/>
        <v>0.05</v>
      </c>
      <c r="N2611" s="464">
        <f t="shared" si="155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53"/>
        <v>-1308494793.5005059</v>
      </c>
      <c r="J2612" s="444">
        <f t="array" ref="J2612">IFERROR(INDEX('Retirement Calculator'!J:J,MATCH('Isaac 401k'!N2612,'Retirement Calculator'!A:A,0),0),0)</f>
        <v>0</v>
      </c>
      <c r="K2612" s="444">
        <f t="shared" ca="1" si="151"/>
        <v>-5452061.639585441</v>
      </c>
      <c r="L2612" s="444">
        <f t="shared" ca="1" si="152"/>
        <v>-1313946855.1400914</v>
      </c>
      <c r="M2612" s="460">
        <f t="shared" si="154"/>
        <v>0.05</v>
      </c>
      <c r="N2612" s="464">
        <f t="shared" si="155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53"/>
        <v>-1313946855.1400914</v>
      </c>
      <c r="J2613" s="444">
        <f t="array" ref="J2613">IFERROR(INDEX('Retirement Calculator'!J:J,MATCH('Isaac 401k'!N2613,'Retirement Calculator'!A:A,0),0),0)</f>
        <v>0</v>
      </c>
      <c r="K2613" s="444">
        <f t="shared" ca="1" si="151"/>
        <v>-5474778.5630837139</v>
      </c>
      <c r="L2613" s="444">
        <f t="shared" ca="1" si="152"/>
        <v>-1319421633.7031751</v>
      </c>
      <c r="M2613" s="460">
        <f t="shared" si="154"/>
        <v>0.05</v>
      </c>
      <c r="N2613" s="464">
        <f t="shared" si="155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53"/>
        <v>-1319421633.7031751</v>
      </c>
      <c r="J2614" s="444">
        <f t="array" ref="J2614">IFERROR(INDEX('Retirement Calculator'!J:J,MATCH('Isaac 401k'!N2614,'Retirement Calculator'!A:A,0),0),0)</f>
        <v>0</v>
      </c>
      <c r="K2614" s="444">
        <f t="shared" ca="1" si="151"/>
        <v>-5497590.1404298963</v>
      </c>
      <c r="L2614" s="444">
        <f t="shared" ca="1" si="152"/>
        <v>-1324919223.843605</v>
      </c>
      <c r="M2614" s="460">
        <f t="shared" si="154"/>
        <v>0.05</v>
      </c>
      <c r="N2614" s="464">
        <f t="shared" si="155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53"/>
        <v>-1324919223.843605</v>
      </c>
      <c r="J2615" s="444">
        <f t="array" ref="J2615">IFERROR(INDEX('Retirement Calculator'!J:J,MATCH('Isaac 401k'!N2615,'Retirement Calculator'!A:A,0),0),0)</f>
        <v>0</v>
      </c>
      <c r="K2615" s="444">
        <f t="shared" ca="1" si="151"/>
        <v>-5520496.7660150211</v>
      </c>
      <c r="L2615" s="444">
        <f t="shared" ca="1" si="152"/>
        <v>-1330439720.6096201</v>
      </c>
      <c r="M2615" s="460">
        <f t="shared" si="154"/>
        <v>0.05</v>
      </c>
      <c r="N2615" s="464">
        <f t="shared" si="155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53"/>
        <v>-1330439720.6096201</v>
      </c>
      <c r="J2616" s="444">
        <f t="array" ref="J2616">IFERROR(INDEX('Retirement Calculator'!J:J,MATCH('Isaac 401k'!N2616,'Retirement Calculator'!A:A,0),0),0)</f>
        <v>0</v>
      </c>
      <c r="K2616" s="444">
        <f t="shared" ca="1" si="151"/>
        <v>-5543498.8358734166</v>
      </c>
      <c r="L2616" s="444">
        <f t="shared" ca="1" si="152"/>
        <v>-1335983219.4454935</v>
      </c>
      <c r="M2616" s="460">
        <f t="shared" si="154"/>
        <v>0.05</v>
      </c>
      <c r="N2616" s="464">
        <f t="shared" si="155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53"/>
        <v>-1335983219.4454935</v>
      </c>
      <c r="J2617" s="444">
        <f t="array" ref="J2617">IFERROR(INDEX('Retirement Calculator'!J:J,MATCH('Isaac 401k'!N2617,'Retirement Calculator'!A:A,0),0),0)</f>
        <v>0</v>
      </c>
      <c r="K2617" s="444">
        <f t="shared" ca="1" si="151"/>
        <v>-5566596.7476895563</v>
      </c>
      <c r="L2617" s="444">
        <f t="shared" ca="1" si="152"/>
        <v>-1341549816.1931829</v>
      </c>
      <c r="M2617" s="460">
        <f t="shared" si="154"/>
        <v>0.05</v>
      </c>
      <c r="N2617" s="464">
        <f t="shared" si="155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53"/>
        <v>-1341549816.1931829</v>
      </c>
      <c r="J2618" s="444">
        <f t="array" ref="J2618">IFERROR(INDEX('Retirement Calculator'!J:J,MATCH('Isaac 401k'!N2618,'Retirement Calculator'!A:A,0),0),0)</f>
        <v>0</v>
      </c>
      <c r="K2618" s="444">
        <f t="shared" ca="1" si="151"/>
        <v>-5589790.9008049285</v>
      </c>
      <c r="L2618" s="444">
        <f t="shared" ca="1" si="152"/>
        <v>-1347139607.0939879</v>
      </c>
      <c r="M2618" s="460">
        <f t="shared" si="154"/>
        <v>0.05</v>
      </c>
      <c r="N2618" s="464">
        <f t="shared" si="155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53"/>
        <v>-1347139607.0939879</v>
      </c>
      <c r="J2619" s="444">
        <f t="array" ref="J2619">IFERROR(INDEX('Retirement Calculator'!J:J,MATCH('Isaac 401k'!N2619,'Retirement Calculator'!A:A,0),0),0)</f>
        <v>0</v>
      </c>
      <c r="K2619" s="444">
        <f t="shared" ca="1" si="151"/>
        <v>-5613081.6962249493</v>
      </c>
      <c r="L2619" s="444">
        <f t="shared" ca="1" si="152"/>
        <v>-1352752688.7902129</v>
      </c>
      <c r="M2619" s="460">
        <f t="shared" si="154"/>
        <v>0.05</v>
      </c>
      <c r="N2619" s="464">
        <f t="shared" si="155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53"/>
        <v>-1352752688.7902129</v>
      </c>
      <c r="J2620" s="444">
        <f t="array" ref="J2620">IFERROR(INDEX('Retirement Calculator'!J:J,MATCH('Isaac 401k'!N2620,'Retirement Calculator'!A:A,0),0),0)</f>
        <v>0</v>
      </c>
      <c r="K2620" s="444">
        <f t="shared" ca="1" si="151"/>
        <v>-5636469.5366258873</v>
      </c>
      <c r="L2620" s="444">
        <f t="shared" ca="1" si="152"/>
        <v>-1358389158.3268387</v>
      </c>
      <c r="M2620" s="460">
        <f t="shared" si="154"/>
        <v>0.05</v>
      </c>
      <c r="N2620" s="464">
        <f t="shared" si="155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53"/>
        <v>-1358389158.3268387</v>
      </c>
      <c r="J2621" s="444">
        <f t="array" ref="J2621">IFERROR(INDEX('Retirement Calculator'!J:J,MATCH('Isaac 401k'!N2621,'Retirement Calculator'!A:A,0),0),0)</f>
        <v>0</v>
      </c>
      <c r="K2621" s="444">
        <f t="shared" ca="1" si="151"/>
        <v>-5659954.8263618276</v>
      </c>
      <c r="L2621" s="444">
        <f t="shared" ca="1" si="152"/>
        <v>-1364049113.1532006</v>
      </c>
      <c r="M2621" s="460">
        <f t="shared" si="154"/>
        <v>0.05</v>
      </c>
      <c r="N2621" s="464">
        <f t="shared" si="155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53"/>
        <v>-1364049113.1532006</v>
      </c>
      <c r="J2622" s="444">
        <f t="array" ref="J2622">IFERROR(INDEX('Retirement Calculator'!J:J,MATCH('Isaac 401k'!N2622,'Retirement Calculator'!A:A,0),0),0)</f>
        <v>0</v>
      </c>
      <c r="K2622" s="444">
        <f t="shared" ca="1" si="151"/>
        <v>-5683537.9714716692</v>
      </c>
      <c r="L2622" s="444">
        <f t="shared" ca="1" si="152"/>
        <v>-1369732651.1246724</v>
      </c>
      <c r="M2622" s="460">
        <f t="shared" si="154"/>
        <v>0.05</v>
      </c>
      <c r="N2622" s="464">
        <f t="shared" si="155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53"/>
        <v>-1369732651.1246724</v>
      </c>
      <c r="J2623" s="444">
        <f t="array" ref="J2623">IFERROR(INDEX('Retirement Calculator'!J:J,MATCH('Isaac 401k'!N2623,'Retirement Calculator'!A:A,0),0),0)</f>
        <v>0</v>
      </c>
      <c r="K2623" s="444">
        <f t="shared" ca="1" si="151"/>
        <v>-5707219.3796861349</v>
      </c>
      <c r="L2623" s="444">
        <f t="shared" ca="1" si="152"/>
        <v>-1375439870.5043585</v>
      </c>
      <c r="M2623" s="460">
        <f t="shared" si="154"/>
        <v>0.05</v>
      </c>
      <c r="N2623" s="464">
        <f t="shared" si="155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53"/>
        <v>-1375439870.5043585</v>
      </c>
      <c r="J2624" s="444">
        <f t="array" ref="J2624">IFERROR(INDEX('Retirement Calculator'!J:J,MATCH('Isaac 401k'!N2624,'Retirement Calculator'!A:A,0),0),0)</f>
        <v>0</v>
      </c>
      <c r="K2624" s="444">
        <f t="shared" ca="1" si="151"/>
        <v>-5730999.460434827</v>
      </c>
      <c r="L2624" s="444">
        <f t="shared" ca="1" si="152"/>
        <v>-1381170869.9647934</v>
      </c>
      <c r="M2624" s="460">
        <f t="shared" si="154"/>
        <v>0.05</v>
      </c>
      <c r="N2624" s="464">
        <f t="shared" si="155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53"/>
        <v>-1381170869.9647934</v>
      </c>
      <c r="J2625" s="444">
        <f t="array" ref="J2625">IFERROR(INDEX('Retirement Calculator'!J:J,MATCH('Isaac 401k'!N2625,'Retirement Calculator'!A:A,0),0),0)</f>
        <v>0</v>
      </c>
      <c r="K2625" s="444">
        <f t="shared" ca="1" si="151"/>
        <v>-5754878.6248533055</v>
      </c>
      <c r="L2625" s="444">
        <f t="shared" ca="1" si="152"/>
        <v>-1386925748.5896468</v>
      </c>
      <c r="M2625" s="460">
        <f t="shared" si="154"/>
        <v>0.05</v>
      </c>
      <c r="N2625" s="464">
        <f t="shared" si="155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53"/>
        <v>-1386925748.5896468</v>
      </c>
      <c r="J2626" s="444">
        <f t="array" ref="J2626">IFERROR(INDEX('Retirement Calculator'!J:J,MATCH('Isaac 401k'!N2626,'Retirement Calculator'!A:A,0),0),0)</f>
        <v>0</v>
      </c>
      <c r="K2626" s="444">
        <f t="shared" ca="1" si="151"/>
        <v>-5778857.2857901948</v>
      </c>
      <c r="L2626" s="444">
        <f t="shared" ca="1" si="152"/>
        <v>-1392704605.875437</v>
      </c>
      <c r="M2626" s="460">
        <f t="shared" si="154"/>
        <v>0.05</v>
      </c>
      <c r="N2626" s="464">
        <f t="shared" si="155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53"/>
        <v>-1392704605.875437</v>
      </c>
      <c r="J2627" s="444">
        <f t="array" ref="J2627">IFERROR(INDEX('Retirement Calculator'!J:J,MATCH('Isaac 401k'!N2627,'Retirement Calculator'!A:A,0),0),0)</f>
        <v>0</v>
      </c>
      <c r="K2627" s="444">
        <f t="shared" ca="1" si="151"/>
        <v>-5802935.8578143213</v>
      </c>
      <c r="L2627" s="444">
        <f t="shared" ca="1" si="152"/>
        <v>-1398507541.7332513</v>
      </c>
      <c r="M2627" s="460">
        <f t="shared" si="154"/>
        <v>0.05</v>
      </c>
      <c r="N2627" s="464">
        <f t="shared" si="155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53"/>
        <v>-1398507541.7332513</v>
      </c>
      <c r="J2628" s="444">
        <f t="array" ref="J2628">IFERROR(INDEX('Retirement Calculator'!J:J,MATCH('Isaac 401k'!N2628,'Retirement Calculator'!A:A,0),0),0)</f>
        <v>0</v>
      </c>
      <c r="K2628" s="444">
        <f t="shared" ca="1" si="151"/>
        <v>-5827114.7572218804</v>
      </c>
      <c r="L2628" s="444">
        <f t="shared" ca="1" si="152"/>
        <v>-1404334656.4904733</v>
      </c>
      <c r="M2628" s="460">
        <f t="shared" si="154"/>
        <v>0.05</v>
      </c>
      <c r="N2628" s="464">
        <f t="shared" si="155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53"/>
        <v>-1404334656.4904733</v>
      </c>
      <c r="J2629" s="444">
        <f t="array" ref="J2629">IFERROR(INDEX('Retirement Calculator'!J:J,MATCH('Isaac 401k'!N2629,'Retirement Calculator'!A:A,0),0),0)</f>
        <v>0</v>
      </c>
      <c r="K2629" s="444">
        <f t="shared" ca="1" si="151"/>
        <v>-5851394.4020436388</v>
      </c>
      <c r="L2629" s="444">
        <f t="shared" ca="1" si="152"/>
        <v>-1410186050.8925169</v>
      </c>
      <c r="M2629" s="460">
        <f t="shared" si="154"/>
        <v>0.05</v>
      </c>
      <c r="N2629" s="464">
        <f t="shared" si="155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53"/>
        <v>-1410186050.8925169</v>
      </c>
      <c r="J2630" s="444">
        <f t="array" ref="J2630">IFERROR(INDEX('Retirement Calculator'!J:J,MATCH('Isaac 401k'!N2630,'Retirement Calculator'!A:A,0),0),0)</f>
        <v>0</v>
      </c>
      <c r="K2630" s="444">
        <f t="shared" ca="1" si="151"/>
        <v>-5875775.2120521534</v>
      </c>
      <c r="L2630" s="444">
        <f t="shared" ca="1" si="152"/>
        <v>-1416061826.104569</v>
      </c>
      <c r="M2630" s="460">
        <f t="shared" si="154"/>
        <v>0.05</v>
      </c>
      <c r="N2630" s="464">
        <f t="shared" si="155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53"/>
        <v>-1416061826.104569</v>
      </c>
      <c r="J2631" s="444">
        <f t="array" ref="J2631">IFERROR(INDEX('Retirement Calculator'!J:J,MATCH('Isaac 401k'!N2631,'Retirement Calculator'!A:A,0),0),0)</f>
        <v>0</v>
      </c>
      <c r="K2631" s="444">
        <f t="shared" ca="1" si="151"/>
        <v>-5900257.6087690368</v>
      </c>
      <c r="L2631" s="444">
        <f t="shared" ca="1" si="152"/>
        <v>-1421962083.7133379</v>
      </c>
      <c r="M2631" s="460">
        <f t="shared" si="154"/>
        <v>0.05</v>
      </c>
      <c r="N2631" s="464">
        <f t="shared" si="155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53"/>
        <v>-1421962083.7133379</v>
      </c>
      <c r="J2632" s="444">
        <f t="array" ref="J2632">IFERROR(INDEX('Retirement Calculator'!J:J,MATCH('Isaac 401k'!N2632,'Retirement Calculator'!A:A,0),0),0)</f>
        <v>0</v>
      </c>
      <c r="K2632" s="444">
        <f t="shared" ca="1" si="151"/>
        <v>-5924842.0154722407</v>
      </c>
      <c r="L2632" s="444">
        <f t="shared" ca="1" si="152"/>
        <v>-1427886925.7288101</v>
      </c>
      <c r="M2632" s="460">
        <f t="shared" si="154"/>
        <v>0.05</v>
      </c>
      <c r="N2632" s="464">
        <f t="shared" si="155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53"/>
        <v>-1427886925.7288101</v>
      </c>
      <c r="J2633" s="444">
        <f t="array" ref="J2633">IFERROR(INDEX('Retirement Calculator'!J:J,MATCH('Isaac 401k'!N2633,'Retirement Calculator'!A:A,0),0),0)</f>
        <v>0</v>
      </c>
      <c r="K2633" s="444">
        <f t="shared" ca="1" si="151"/>
        <v>-5949528.8572033755</v>
      </c>
      <c r="L2633" s="444">
        <f t="shared" ca="1" si="152"/>
        <v>-1433836454.5860136</v>
      </c>
      <c r="M2633" s="460">
        <f t="shared" si="154"/>
        <v>0.05</v>
      </c>
      <c r="N2633" s="464">
        <f t="shared" si="155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53"/>
        <v>-1433836454.5860136</v>
      </c>
      <c r="J2634" s="444">
        <f t="array" ref="J2634">IFERROR(INDEX('Retirement Calculator'!J:J,MATCH('Isaac 401k'!N2634,'Retirement Calculator'!A:A,0),0),0)</f>
        <v>0</v>
      </c>
      <c r="K2634" s="444">
        <f t="shared" ca="1" si="151"/>
        <v>-5974318.5607750565</v>
      </c>
      <c r="L2634" s="444">
        <f t="shared" ca="1" si="152"/>
        <v>-1439810773.1467886</v>
      </c>
      <c r="M2634" s="460">
        <f t="shared" si="154"/>
        <v>0.05</v>
      </c>
      <c r="N2634" s="464">
        <f t="shared" si="155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53"/>
        <v>-1439810773.1467886</v>
      </c>
      <c r="J2635" s="444">
        <f t="array" ref="J2635">IFERROR(INDEX('Retirement Calculator'!J:J,MATCH('Isaac 401k'!N2635,'Retirement Calculator'!A:A,0),0),0)</f>
        <v>0</v>
      </c>
      <c r="K2635" s="444">
        <f t="shared" ca="1" si="151"/>
        <v>-5999211.5547782853</v>
      </c>
      <c r="L2635" s="444">
        <f t="shared" ca="1" si="152"/>
        <v>-1445809984.7015669</v>
      </c>
      <c r="M2635" s="460">
        <f t="shared" si="154"/>
        <v>0.05</v>
      </c>
      <c r="N2635" s="464">
        <f t="shared" si="155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53"/>
        <v>-1445809984.7015669</v>
      </c>
      <c r="J2636" s="444">
        <f t="array" ref="J2636">IFERROR(INDEX('Retirement Calculator'!J:J,MATCH('Isaac 401k'!N2636,'Retirement Calculator'!A:A,0),0),0)</f>
        <v>0</v>
      </c>
      <c r="K2636" s="444">
        <f t="shared" ca="1" si="151"/>
        <v>-6024208.2695898619</v>
      </c>
      <c r="L2636" s="444">
        <f t="shared" ca="1" si="152"/>
        <v>-1451834192.9711568</v>
      </c>
      <c r="M2636" s="460">
        <f t="shared" si="154"/>
        <v>0.05</v>
      </c>
      <c r="N2636" s="464">
        <f t="shared" si="155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53"/>
        <v>-1451834192.9711568</v>
      </c>
      <c r="J2637" s="444">
        <f t="array" ref="J2637">IFERROR(INDEX('Retirement Calculator'!J:J,MATCH('Isaac 401k'!N2637,'Retirement Calculator'!A:A,0),0),0)</f>
        <v>0</v>
      </c>
      <c r="K2637" s="444">
        <f t="shared" ca="1" si="151"/>
        <v>-6049309.1373798205</v>
      </c>
      <c r="L2637" s="444">
        <f t="shared" ca="1" si="152"/>
        <v>-1457883502.1085367</v>
      </c>
      <c r="M2637" s="460">
        <f t="shared" si="154"/>
        <v>0.05</v>
      </c>
      <c r="N2637" s="464">
        <f t="shared" si="155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53"/>
        <v>-1457883502.1085367</v>
      </c>
      <c r="J2638" s="444">
        <f t="array" ref="J2638">IFERROR(INDEX('Retirement Calculator'!J:J,MATCH('Isaac 401k'!N2638,'Retirement Calculator'!A:A,0),0),0)</f>
        <v>0</v>
      </c>
      <c r="K2638" s="444">
        <f t="shared" ca="1" si="151"/>
        <v>-6074514.5921189031</v>
      </c>
      <c r="L2638" s="444">
        <f t="shared" ca="1" si="152"/>
        <v>-1463958016.7006557</v>
      </c>
      <c r="M2638" s="460">
        <f t="shared" si="154"/>
        <v>0.05</v>
      </c>
      <c r="N2638" s="464">
        <f t="shared" si="155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53"/>
        <v>-1463958016.7006557</v>
      </c>
      <c r="J2639" s="444">
        <f t="array" ref="J2639">IFERROR(INDEX('Retirement Calculator'!J:J,MATCH('Isaac 401k'!N2639,'Retirement Calculator'!A:A,0),0),0)</f>
        <v>0</v>
      </c>
      <c r="K2639" s="444">
        <f t="shared" ca="1" si="151"/>
        <v>-6099825.0695860656</v>
      </c>
      <c r="L2639" s="444">
        <f t="shared" ca="1" si="152"/>
        <v>-1470057841.7702417</v>
      </c>
      <c r="M2639" s="460">
        <f t="shared" si="154"/>
        <v>0.05</v>
      </c>
      <c r="N2639" s="464">
        <f t="shared" si="155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53"/>
        <v>-1470057841.7702417</v>
      </c>
      <c r="J2640" s="444">
        <f t="array" ref="J2640">IFERROR(INDEX('Retirement Calculator'!J:J,MATCH('Isaac 401k'!N2640,'Retirement Calculator'!A:A,0),0),0)</f>
        <v>0</v>
      </c>
      <c r="K2640" s="444">
        <f t="shared" ca="1" si="151"/>
        <v>-6125241.0073760068</v>
      </c>
      <c r="L2640" s="444">
        <f t="shared" ca="1" si="152"/>
        <v>-1476183082.7776177</v>
      </c>
      <c r="M2640" s="460">
        <f t="shared" si="154"/>
        <v>0.05</v>
      </c>
      <c r="N2640" s="464">
        <f t="shared" si="155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53"/>
        <v>-1476183082.7776177</v>
      </c>
      <c r="J2641" s="444">
        <f t="array" ref="J2641">IFERROR(INDEX('Retirement Calculator'!J:J,MATCH('Isaac 401k'!N2641,'Retirement Calculator'!A:A,0),0),0)</f>
        <v>0</v>
      </c>
      <c r="K2641" s="444">
        <f t="shared" ca="1" si="151"/>
        <v>-6150762.8449067399</v>
      </c>
      <c r="L2641" s="444">
        <f t="shared" ca="1" si="152"/>
        <v>-1482333845.6225245</v>
      </c>
      <c r="M2641" s="460">
        <f t="shared" si="154"/>
        <v>0.05</v>
      </c>
      <c r="N2641" s="464">
        <f t="shared" si="155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53"/>
        <v>-1482333845.6225245</v>
      </c>
      <c r="J2642" s="444">
        <f t="array" ref="J2642">IFERROR(INDEX('Retirement Calculator'!J:J,MATCH('Isaac 401k'!N2642,'Retirement Calculator'!A:A,0),0),0)</f>
        <v>0</v>
      </c>
      <c r="K2642" s="444">
        <f t="shared" ca="1" si="151"/>
        <v>-6176391.0234271856</v>
      </c>
      <c r="L2642" s="444">
        <f t="shared" ca="1" si="152"/>
        <v>-1488510236.6459517</v>
      </c>
      <c r="M2642" s="460">
        <f t="shared" si="154"/>
        <v>0.05</v>
      </c>
      <c r="N2642" s="464">
        <f t="shared" si="155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53"/>
        <v>-1488510236.6459517</v>
      </c>
      <c r="J2643" s="444">
        <f t="array" ref="J2643">IFERROR(INDEX('Retirement Calculator'!J:J,MATCH('Isaac 401k'!N2643,'Retirement Calculator'!A:A,0),0),0)</f>
        <v>0</v>
      </c>
      <c r="K2643" s="444">
        <f t="shared" ca="1" si="151"/>
        <v>-6202125.9860247988</v>
      </c>
      <c r="L2643" s="444">
        <f t="shared" ca="1" si="152"/>
        <v>-1494712362.6319766</v>
      </c>
      <c r="M2643" s="460">
        <f t="shared" si="154"/>
        <v>0.05</v>
      </c>
      <c r="N2643" s="464">
        <f t="shared" si="155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53"/>
        <v>-1494712362.6319766</v>
      </c>
      <c r="J2644" s="444">
        <f t="array" ref="J2644">IFERROR(INDEX('Retirement Calculator'!J:J,MATCH('Isaac 401k'!N2644,'Retirement Calculator'!A:A,0),0),0)</f>
        <v>0</v>
      </c>
      <c r="K2644" s="444">
        <f t="shared" ca="1" si="151"/>
        <v>-6227968.1776332362</v>
      </c>
      <c r="L2644" s="444">
        <f t="shared" ca="1" si="152"/>
        <v>-1500940330.8096099</v>
      </c>
      <c r="M2644" s="460">
        <f t="shared" si="154"/>
        <v>0.05</v>
      </c>
      <c r="N2644" s="464">
        <f t="shared" si="155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53"/>
        <v>-1500940330.8096099</v>
      </c>
      <c r="J2645" s="444">
        <f t="array" ref="J2645">IFERROR(INDEX('Retirement Calculator'!J:J,MATCH('Isaac 401k'!N2645,'Retirement Calculator'!A:A,0),0),0)</f>
        <v>0</v>
      </c>
      <c r="K2645" s="444">
        <f t="shared" ca="1" si="151"/>
        <v>-6253918.0450400412</v>
      </c>
      <c r="L2645" s="444">
        <f t="shared" ca="1" si="152"/>
        <v>-1507194248.85465</v>
      </c>
      <c r="M2645" s="460">
        <f t="shared" si="154"/>
        <v>0.05</v>
      </c>
      <c r="N2645" s="464">
        <f t="shared" si="155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53"/>
        <v>-1507194248.85465</v>
      </c>
      <c r="J2646" s="444">
        <f t="array" ref="J2646">IFERROR(INDEX('Retirement Calculator'!J:J,MATCH('Isaac 401k'!N2646,'Retirement Calculator'!A:A,0),0),0)</f>
        <v>0</v>
      </c>
      <c r="K2646" s="444">
        <f t="shared" ca="1" si="151"/>
        <v>-6279976.0368943755</v>
      </c>
      <c r="L2646" s="444">
        <f t="shared" ca="1" si="152"/>
        <v>-1513474224.8915443</v>
      </c>
      <c r="M2646" s="460">
        <f t="shared" si="154"/>
        <v>0.05</v>
      </c>
      <c r="N2646" s="464">
        <f t="shared" si="155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53"/>
        <v>-1513474224.8915443</v>
      </c>
      <c r="J2647" s="444">
        <f t="array" ref="J2647">IFERROR(INDEX('Retirement Calculator'!J:J,MATCH('Isaac 401k'!N2647,'Retirement Calculator'!A:A,0),0),0)</f>
        <v>0</v>
      </c>
      <c r="K2647" s="444">
        <f t="shared" ca="1" si="151"/>
        <v>-6306142.6037147678</v>
      </c>
      <c r="L2647" s="444">
        <f t="shared" ca="1" si="152"/>
        <v>-1519780367.495259</v>
      </c>
      <c r="M2647" s="460">
        <f t="shared" si="154"/>
        <v>0.05</v>
      </c>
      <c r="N2647" s="464">
        <f t="shared" si="155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53"/>
        <v>-1519780367.495259</v>
      </c>
      <c r="J2648" s="444">
        <f t="array" ref="J2648">IFERROR(INDEX('Retirement Calculator'!J:J,MATCH('Isaac 401k'!N2648,'Retirement Calculator'!A:A,0),0),0)</f>
        <v>0</v>
      </c>
      <c r="K2648" s="444">
        <f t="shared" ca="1" si="151"/>
        <v>-6332418.1978969127</v>
      </c>
      <c r="L2648" s="444">
        <f t="shared" ca="1" si="152"/>
        <v>-1526112785.693156</v>
      </c>
      <c r="M2648" s="460">
        <f t="shared" si="154"/>
        <v>0.05</v>
      </c>
      <c r="N2648" s="464">
        <f t="shared" si="155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53"/>
        <v>-1526112785.693156</v>
      </c>
      <c r="J2649" s="444">
        <f t="array" ref="J2649">IFERROR(INDEX('Retirement Calculator'!J:J,MATCH('Isaac 401k'!N2649,'Retirement Calculator'!A:A,0),0),0)</f>
        <v>0</v>
      </c>
      <c r="K2649" s="444">
        <f t="shared" ca="1" si="151"/>
        <v>-6358803.2737214835</v>
      </c>
      <c r="L2649" s="444">
        <f t="shared" ca="1" si="152"/>
        <v>-1532471588.9668775</v>
      </c>
      <c r="M2649" s="460">
        <f t="shared" si="154"/>
        <v>0.05</v>
      </c>
      <c r="N2649" s="464">
        <f t="shared" si="155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53"/>
        <v>-1532471588.9668775</v>
      </c>
      <c r="J2650" s="444">
        <f t="array" ref="J2650">IFERROR(INDEX('Retirement Calculator'!J:J,MATCH('Isaac 401k'!N2650,'Retirement Calculator'!A:A,0),0),0)</f>
        <v>0</v>
      </c>
      <c r="K2650" s="444">
        <f t="shared" ca="1" si="151"/>
        <v>-6385298.2873619897</v>
      </c>
      <c r="L2650" s="444">
        <f t="shared" ca="1" si="152"/>
        <v>-1538856887.2542396</v>
      </c>
      <c r="M2650" s="460">
        <f t="shared" si="154"/>
        <v>0.05</v>
      </c>
      <c r="N2650" s="464">
        <f t="shared" si="155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53"/>
        <v>-1538856887.2542396</v>
      </c>
      <c r="J2651" s="444">
        <f t="array" ref="J2651">IFERROR(INDEX('Retirement Calculator'!J:J,MATCH('Isaac 401k'!N2651,'Retirement Calculator'!A:A,0),0),0)</f>
        <v>0</v>
      </c>
      <c r="K2651" s="444">
        <f t="shared" ca="1" si="151"/>
        <v>-6411903.6968926648</v>
      </c>
      <c r="L2651" s="444">
        <f t="shared" ca="1" si="152"/>
        <v>-1545268790.9511323</v>
      </c>
      <c r="M2651" s="460">
        <f t="shared" si="154"/>
        <v>0.05</v>
      </c>
      <c r="N2651" s="464">
        <f t="shared" si="155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53"/>
        <v>-1545268790.9511323</v>
      </c>
      <c r="J2652" s="444">
        <f t="array" ref="J2652">IFERROR(INDEX('Retirement Calculator'!J:J,MATCH('Isaac 401k'!N2652,'Retirement Calculator'!A:A,0),0),0)</f>
        <v>0</v>
      </c>
      <c r="K2652" s="444">
        <f t="shared" ca="1" si="151"/>
        <v>-6438619.9622963844</v>
      </c>
      <c r="L2652" s="444">
        <f t="shared" ca="1" si="152"/>
        <v>-1551707410.9134288</v>
      </c>
      <c r="M2652" s="460">
        <f t="shared" si="154"/>
        <v>0.05</v>
      </c>
      <c r="N2652" s="464">
        <f t="shared" si="155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53"/>
        <v>-1551707410.9134288</v>
      </c>
      <c r="J2653" s="444">
        <f t="array" ref="J2653">IFERROR(INDEX('Retirement Calculator'!J:J,MATCH('Isaac 401k'!N2653,'Retirement Calculator'!A:A,0),0),0)</f>
        <v>0</v>
      </c>
      <c r="K2653" s="444">
        <f t="shared" ca="1" si="151"/>
        <v>-6465447.5454726201</v>
      </c>
      <c r="L2653" s="444">
        <f t="shared" ca="1" si="152"/>
        <v>-1558172858.4589014</v>
      </c>
      <c r="M2653" s="460">
        <f t="shared" si="154"/>
        <v>0.05</v>
      </c>
      <c r="N2653" s="464">
        <f t="shared" si="155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53"/>
        <v>-1558172858.4589014</v>
      </c>
      <c r="J2654" s="444">
        <f t="array" ref="J2654">IFERROR(INDEX('Retirement Calculator'!J:J,MATCH('Isaac 401k'!N2654,'Retirement Calculator'!A:A,0),0),0)</f>
        <v>0</v>
      </c>
      <c r="K2654" s="444">
        <f t="shared" ca="1" si="151"/>
        <v>-6492386.9102454223</v>
      </c>
      <c r="L2654" s="444">
        <f t="shared" ca="1" si="152"/>
        <v>-1564665245.3691468</v>
      </c>
      <c r="M2654" s="460">
        <f t="shared" si="154"/>
        <v>0.05</v>
      </c>
      <c r="N2654" s="464">
        <f t="shared" si="155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53"/>
        <v>-1564665245.3691468</v>
      </c>
      <c r="J2655" s="444">
        <f t="array" ref="J2655">IFERROR(INDEX('Retirement Calculator'!J:J,MATCH('Isaac 401k'!N2655,'Retirement Calculator'!A:A,0),0),0)</f>
        <v>0</v>
      </c>
      <c r="K2655" s="444">
        <f t="shared" ca="1" si="151"/>
        <v>-6519438.5223714449</v>
      </c>
      <c r="L2655" s="444">
        <f t="shared" ca="1" si="152"/>
        <v>-1571184683.8915184</v>
      </c>
      <c r="M2655" s="460">
        <f t="shared" si="154"/>
        <v>0.05</v>
      </c>
      <c r="N2655" s="464">
        <f t="shared" si="155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53"/>
        <v>-1571184683.8915184</v>
      </c>
      <c r="J2656" s="444">
        <f t="array" ref="J2656">IFERROR(INDEX('Retirement Calculator'!J:J,MATCH('Isaac 401k'!N2656,'Retirement Calculator'!A:A,0),0),0)</f>
        <v>0</v>
      </c>
      <c r="K2656" s="444">
        <f t="shared" ca="1" si="151"/>
        <v>-6546602.8495479934</v>
      </c>
      <c r="L2656" s="444">
        <f t="shared" ca="1" si="152"/>
        <v>-1577731286.7410665</v>
      </c>
      <c r="M2656" s="460">
        <f t="shared" si="154"/>
        <v>0.05</v>
      </c>
      <c r="N2656" s="464">
        <f t="shared" si="155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53"/>
        <v>-1577731286.7410665</v>
      </c>
      <c r="J2657" s="444">
        <f t="array" ref="J2657">IFERROR(INDEX('Retirement Calculator'!J:J,MATCH('Isaac 401k'!N2657,'Retirement Calculator'!A:A,0),0),0)</f>
        <v>0</v>
      </c>
      <c r="K2657" s="444">
        <f t="shared" ca="1" si="151"/>
        <v>-6573880.3614211101</v>
      </c>
      <c r="L2657" s="444">
        <f t="shared" ca="1" si="152"/>
        <v>-1584305167.1024876</v>
      </c>
      <c r="M2657" s="460">
        <f t="shared" si="154"/>
        <v>0.05</v>
      </c>
      <c r="N2657" s="464">
        <f t="shared" si="155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53"/>
        <v>-1584305167.1024876</v>
      </c>
      <c r="J2658" s="444">
        <f t="array" ref="J2658">IFERROR(INDEX('Retirement Calculator'!J:J,MATCH('Isaac 401k'!N2658,'Retirement Calculator'!A:A,0),0),0)</f>
        <v>0</v>
      </c>
      <c r="K2658" s="444">
        <f t="shared" ca="1" si="151"/>
        <v>-6601271.5295936977</v>
      </c>
      <c r="L2658" s="444">
        <f t="shared" ca="1" si="152"/>
        <v>-1590906438.6320813</v>
      </c>
      <c r="M2658" s="460">
        <f t="shared" si="154"/>
        <v>0.05</v>
      </c>
      <c r="N2658" s="464">
        <f t="shared" si="155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53"/>
        <v>-1590906438.6320813</v>
      </c>
      <c r="J2659" s="444">
        <f t="array" ref="J2659">IFERROR(INDEX('Retirement Calculator'!J:J,MATCH('Isaac 401k'!N2659,'Retirement Calculator'!A:A,0),0),0)</f>
        <v>0</v>
      </c>
      <c r="K2659" s="444">
        <f t="shared" ca="1" si="151"/>
        <v>-6628776.8276336715</v>
      </c>
      <c r="L2659" s="444">
        <f t="shared" ca="1" si="152"/>
        <v>-1597535215.4597149</v>
      </c>
      <c r="M2659" s="460">
        <f t="shared" si="154"/>
        <v>0.05</v>
      </c>
      <c r="N2659" s="464">
        <f t="shared" si="155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53"/>
        <v>-1597535215.4597149</v>
      </c>
      <c r="J2660" s="444">
        <f t="array" ref="J2660">IFERROR(INDEX('Retirement Calculator'!J:J,MATCH('Isaac 401k'!N2660,'Retirement Calculator'!A:A,0),0),0)</f>
        <v>0</v>
      </c>
      <c r="K2660" s="444">
        <f t="shared" ca="1" si="151"/>
        <v>-6656396.7310821451</v>
      </c>
      <c r="L2660" s="444">
        <f t="shared" ca="1" si="152"/>
        <v>-1604191612.1907971</v>
      </c>
      <c r="M2660" s="460">
        <f t="shared" si="154"/>
        <v>0.05</v>
      </c>
      <c r="N2660" s="464">
        <f t="shared" si="155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53"/>
        <v>-1604191612.1907971</v>
      </c>
      <c r="J2661" s="444">
        <f t="array" ref="J2661">IFERROR(INDEX('Retirement Calculator'!J:J,MATCH('Isaac 401k'!N2661,'Retirement Calculator'!A:A,0),0),0)</f>
        <v>0</v>
      </c>
      <c r="K2661" s="444">
        <f t="shared" ca="1" si="151"/>
        <v>-6684131.7174616549</v>
      </c>
      <c r="L2661" s="444">
        <f t="shared" ca="1" si="152"/>
        <v>-1610875743.9082587</v>
      </c>
      <c r="M2661" s="460">
        <f t="shared" si="154"/>
        <v>0.05</v>
      </c>
      <c r="N2661" s="464">
        <f t="shared" si="155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53"/>
        <v>-1610875743.9082587</v>
      </c>
      <c r="J2662" s="444">
        <f t="array" ref="J2662">IFERROR(INDEX('Retirement Calculator'!J:J,MATCH('Isaac 401k'!N2662,'Retirement Calculator'!A:A,0),0),0)</f>
        <v>0</v>
      </c>
      <c r="K2662" s="444">
        <f t="shared" ca="1" si="151"/>
        <v>-6711982.2662844108</v>
      </c>
      <c r="L2662" s="444">
        <f t="shared" ca="1" si="152"/>
        <v>-1617587726.1745431</v>
      </c>
      <c r="M2662" s="460">
        <f t="shared" si="154"/>
        <v>0.05</v>
      </c>
      <c r="N2662" s="464">
        <f t="shared" si="155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53"/>
        <v>-1617587726.1745431</v>
      </c>
      <c r="J2663" s="444">
        <f t="array" ref="J2663">IFERROR(INDEX('Retirement Calculator'!J:J,MATCH('Isaac 401k'!N2663,'Retirement Calculator'!A:A,0),0),0)</f>
        <v>0</v>
      </c>
      <c r="K2663" s="444">
        <f t="shared" ca="1" si="151"/>
        <v>-6739948.8590605967</v>
      </c>
      <c r="L2663" s="444">
        <f t="shared" ca="1" si="152"/>
        <v>-1624327675.0336037</v>
      </c>
      <c r="M2663" s="460">
        <f t="shared" si="154"/>
        <v>0.05</v>
      </c>
      <c r="N2663" s="464">
        <f t="shared" si="155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53"/>
        <v>-1624327675.0336037</v>
      </c>
      <c r="J2664" s="444">
        <f t="array" ref="J2664">IFERROR(INDEX('Retirement Calculator'!J:J,MATCH('Isaac 401k'!N2664,'Retirement Calculator'!A:A,0),0),0)</f>
        <v>0</v>
      </c>
      <c r="K2664" s="444">
        <f t="shared" ca="1" si="151"/>
        <v>-6768031.979306682</v>
      </c>
      <c r="L2664" s="444">
        <f t="shared" ca="1" si="152"/>
        <v>-1631095707.0129104</v>
      </c>
      <c r="M2664" s="460">
        <f t="shared" si="154"/>
        <v>0.05</v>
      </c>
      <c r="N2664" s="464">
        <f t="shared" si="155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53"/>
        <v>-1631095707.0129104</v>
      </c>
      <c r="J2665" s="444">
        <f t="array" ref="J2665">IFERROR(INDEX('Retirement Calculator'!J:J,MATCH('Isaac 401k'!N2665,'Retirement Calculator'!A:A,0),0),0)</f>
        <v>0</v>
      </c>
      <c r="K2665" s="444">
        <f t="shared" ca="1" si="151"/>
        <v>-6796232.112553793</v>
      </c>
      <c r="L2665" s="444">
        <f t="shared" ca="1" si="152"/>
        <v>-1637891939.1254642</v>
      </c>
      <c r="M2665" s="460">
        <f t="shared" si="154"/>
        <v>0.05</v>
      </c>
      <c r="N2665" s="464">
        <f t="shared" si="155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53"/>
        <v>-1637891939.1254642</v>
      </c>
      <c r="J2666" s="444">
        <f t="array" ref="J2666">IFERROR(INDEX('Retirement Calculator'!J:J,MATCH('Isaac 401k'!N2666,'Retirement Calculator'!A:A,0),0),0)</f>
        <v>0</v>
      </c>
      <c r="K2666" s="444">
        <f t="shared" ca="1" si="151"/>
        <v>-6824549.7463561008</v>
      </c>
      <c r="L2666" s="444">
        <f t="shared" ca="1" si="152"/>
        <v>-1644716488.8718202</v>
      </c>
      <c r="M2666" s="460">
        <f t="shared" si="154"/>
        <v>0.05</v>
      </c>
      <c r="N2666" s="464">
        <f t="shared" si="155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53"/>
        <v>-1644716488.8718202</v>
      </c>
      <c r="J2667" s="444">
        <f t="array" ref="J2667">IFERROR(INDEX('Retirement Calculator'!J:J,MATCH('Isaac 401k'!N2667,'Retirement Calculator'!A:A,0),0),0)</f>
        <v>0</v>
      </c>
      <c r="K2667" s="444">
        <f t="shared" ca="1" si="151"/>
        <v>-6852985.3702992508</v>
      </c>
      <c r="L2667" s="444">
        <f t="shared" ca="1" si="152"/>
        <v>-1651569474.2421196</v>
      </c>
      <c r="M2667" s="460">
        <f t="shared" si="154"/>
        <v>0.05</v>
      </c>
      <c r="N2667" s="464">
        <f t="shared" si="155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53"/>
        <v>-1651569474.2421196</v>
      </c>
      <c r="J2668" s="444">
        <f t="array" ref="J2668">IFERROR(INDEX('Retirement Calculator'!J:J,MATCH('Isaac 401k'!N2668,'Retirement Calculator'!A:A,0),0),0)</f>
        <v>0</v>
      </c>
      <c r="K2668" s="444">
        <f t="shared" ca="1" si="151"/>
        <v>-6881539.4760088315</v>
      </c>
      <c r="L2668" s="444">
        <f t="shared" ca="1" si="152"/>
        <v>-1658451013.7181284</v>
      </c>
      <c r="M2668" s="460">
        <f t="shared" si="154"/>
        <v>0.05</v>
      </c>
      <c r="N2668" s="464">
        <f t="shared" si="155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53"/>
        <v>-1658451013.7181284</v>
      </c>
      <c r="J2669" s="444">
        <f t="array" ref="J2669">IFERROR(INDEX('Retirement Calculator'!J:J,MATCH('Isaac 401k'!N2669,'Retirement Calculator'!A:A,0),0),0)</f>
        <v>0</v>
      </c>
      <c r="K2669" s="444">
        <f t="shared" ca="1" si="151"/>
        <v>-6910212.5571588688</v>
      </c>
      <c r="L2669" s="444">
        <f t="shared" ca="1" si="152"/>
        <v>-1665361226.2752874</v>
      </c>
      <c r="M2669" s="460">
        <f t="shared" si="154"/>
        <v>0.05</v>
      </c>
      <c r="N2669" s="464">
        <f t="shared" si="155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53"/>
        <v>-1665361226.2752874</v>
      </c>
      <c r="J2670" s="444">
        <f t="array" ref="J2670">IFERROR(INDEX('Retirement Calculator'!J:J,MATCH('Isaac 401k'!N2670,'Retirement Calculator'!A:A,0),0),0)</f>
        <v>0</v>
      </c>
      <c r="K2670" s="444">
        <f t="shared" ca="1" si="151"/>
        <v>-6939005.1094803642</v>
      </c>
      <c r="L2670" s="444">
        <f t="shared" ca="1" si="152"/>
        <v>-1672300231.3847678</v>
      </c>
      <c r="M2670" s="460">
        <f t="shared" si="154"/>
        <v>0.05</v>
      </c>
      <c r="N2670" s="464">
        <f t="shared" si="155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53"/>
        <v>-1672300231.3847678</v>
      </c>
      <c r="J2671" s="444">
        <f t="array" ref="J2671">IFERROR(INDEX('Retirement Calculator'!J:J,MATCH('Isaac 401k'!N2671,'Retirement Calculator'!A:A,0),0),0)</f>
        <v>0</v>
      </c>
      <c r="K2671" s="444">
        <f t="shared" ca="1" si="151"/>
        <v>-6967917.6307698656</v>
      </c>
      <c r="L2671" s="444">
        <f t="shared" ca="1" si="152"/>
        <v>-1679268149.0155377</v>
      </c>
      <c r="M2671" s="460">
        <f t="shared" si="154"/>
        <v>0.05</v>
      </c>
      <c r="N2671" s="464">
        <f t="shared" si="155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53"/>
        <v>-1679268149.0155377</v>
      </c>
      <c r="J2672" s="444">
        <f t="array" ref="J2672">IFERROR(INDEX('Retirement Calculator'!J:J,MATCH('Isaac 401k'!N2672,'Retirement Calculator'!A:A,0),0),0)</f>
        <v>0</v>
      </c>
      <c r="K2672" s="444">
        <f t="shared" ca="1" si="151"/>
        <v>-6996950.6208980735</v>
      </c>
      <c r="L2672" s="444">
        <f t="shared" ca="1" si="152"/>
        <v>-1686265099.6364357</v>
      </c>
      <c r="M2672" s="460">
        <f t="shared" si="154"/>
        <v>0.05</v>
      </c>
      <c r="N2672" s="464">
        <f t="shared" si="155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53"/>
        <v>-1686265099.6364357</v>
      </c>
      <c r="J2673" s="444">
        <f t="array" ref="J2673">IFERROR(INDEX('Retirement Calculator'!J:J,MATCH('Isaac 401k'!N2673,'Retirement Calculator'!A:A,0),0),0)</f>
        <v>0</v>
      </c>
      <c r="K2673" s="444">
        <f t="shared" ca="1" si="151"/>
        <v>-7026104.581818481</v>
      </c>
      <c r="L2673" s="444">
        <f t="shared" ca="1" si="152"/>
        <v>-1693291204.2182543</v>
      </c>
      <c r="M2673" s="460">
        <f t="shared" si="154"/>
        <v>0.05</v>
      </c>
      <c r="N2673" s="464">
        <f t="shared" si="155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53"/>
        <v>-1693291204.2182543</v>
      </c>
      <c r="J2674" s="444">
        <f t="array" ref="J2674">IFERROR(INDEX('Retirement Calculator'!J:J,MATCH('Isaac 401k'!N2674,'Retirement Calculator'!A:A,0),0),0)</f>
        <v>0</v>
      </c>
      <c r="K2674" s="444">
        <f t="shared" ca="1" si="151"/>
        <v>-7055380.0175760584</v>
      </c>
      <c r="L2674" s="444">
        <f t="shared" ca="1" si="152"/>
        <v>-1700346584.2358303</v>
      </c>
      <c r="M2674" s="460">
        <f t="shared" si="154"/>
        <v>0.05</v>
      </c>
      <c r="N2674" s="464">
        <f t="shared" si="155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53"/>
        <v>-1700346584.2358303</v>
      </c>
      <c r="J2675" s="444">
        <f t="array" ref="J2675">IFERROR(INDEX('Retirement Calculator'!J:J,MATCH('Isaac 401k'!N2675,'Retirement Calculator'!A:A,0),0),0)</f>
        <v>0</v>
      </c>
      <c r="K2675" s="444">
        <f t="shared" ca="1" si="151"/>
        <v>-7084777.4343159599</v>
      </c>
      <c r="L2675" s="444">
        <f t="shared" ca="1" si="152"/>
        <v>-1707431361.6701462</v>
      </c>
      <c r="M2675" s="460">
        <f t="shared" si="154"/>
        <v>0.05</v>
      </c>
      <c r="N2675" s="464">
        <f t="shared" si="155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53"/>
        <v>-1707431361.6701462</v>
      </c>
      <c r="J2676" s="444">
        <f t="array" ref="J2676">IFERROR(INDEX('Retirement Calculator'!J:J,MATCH('Isaac 401k'!N2676,'Retirement Calculator'!A:A,0),0),0)</f>
        <v>0</v>
      </c>
      <c r="K2676" s="444">
        <f t="shared" ca="1" si="151"/>
        <v>-7114297.3402922759</v>
      </c>
      <c r="L2676" s="444">
        <f t="shared" ca="1" si="152"/>
        <v>-1714545659.0104384</v>
      </c>
      <c r="M2676" s="460">
        <f t="shared" si="154"/>
        <v>0.05</v>
      </c>
      <c r="N2676" s="464">
        <f t="shared" si="155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53"/>
        <v>-1714545659.0104384</v>
      </c>
      <c r="J2677" s="444">
        <f t="array" ref="J2677">IFERROR(INDEX('Retirement Calculator'!J:J,MATCH('Isaac 401k'!N2677,'Retirement Calculator'!A:A,0),0),0)</f>
        <v>0</v>
      </c>
      <c r="K2677" s="444">
        <f t="shared" ca="1" si="151"/>
        <v>-7143940.2458768263</v>
      </c>
      <c r="L2677" s="444">
        <f t="shared" ca="1" si="152"/>
        <v>-1721689599.2563152</v>
      </c>
      <c r="M2677" s="460">
        <f t="shared" si="154"/>
        <v>0.05</v>
      </c>
      <c r="N2677" s="464">
        <f t="shared" si="155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53"/>
        <v>-1721689599.2563152</v>
      </c>
      <c r="J2678" s="444">
        <f t="array" ref="J2678">IFERROR(INDEX('Retirement Calculator'!J:J,MATCH('Isaac 401k'!N2678,'Retirement Calculator'!A:A,0),0),0)</f>
        <v>0</v>
      </c>
      <c r="K2678" s="444">
        <f t="shared" ca="1" si="151"/>
        <v>-7173706.6635679798</v>
      </c>
      <c r="L2678" s="444">
        <f t="shared" ca="1" si="152"/>
        <v>-1728863305.9198833</v>
      </c>
      <c r="M2678" s="460">
        <f t="shared" si="154"/>
        <v>0.05</v>
      </c>
      <c r="N2678" s="464">
        <f t="shared" si="155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53"/>
        <v>-1728863305.9198833</v>
      </c>
      <c r="J2679" s="444">
        <f t="array" ref="J2679">IFERROR(INDEX('Retirement Calculator'!J:J,MATCH('Isaac 401k'!N2679,'Retirement Calculator'!A:A,0),0),0)</f>
        <v>0</v>
      </c>
      <c r="K2679" s="444">
        <f t="shared" ca="1" si="151"/>
        <v>-7203597.1079995139</v>
      </c>
      <c r="L2679" s="444">
        <f t="shared" ca="1" si="152"/>
        <v>-1736066903.0278828</v>
      </c>
      <c r="M2679" s="460">
        <f t="shared" si="154"/>
        <v>0.05</v>
      </c>
      <c r="N2679" s="464">
        <f t="shared" si="155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53"/>
        <v>-1736066903.0278828</v>
      </c>
      <c r="J2680" s="444">
        <f t="array" ref="J2680">IFERROR(INDEX('Retirement Calculator'!J:J,MATCH('Isaac 401k'!N2680,'Retirement Calculator'!A:A,0),0),0)</f>
        <v>0</v>
      </c>
      <c r="K2680" s="444">
        <f t="shared" ca="1" si="151"/>
        <v>-7233612.0959495129</v>
      </c>
      <c r="L2680" s="444">
        <f t="shared" ca="1" si="152"/>
        <v>-1743300515.1238322</v>
      </c>
      <c r="M2680" s="460">
        <f t="shared" si="154"/>
        <v>0.05</v>
      </c>
      <c r="N2680" s="464">
        <f t="shared" si="155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53"/>
        <v>-1743300515.1238322</v>
      </c>
      <c r="J2681" s="444">
        <f t="array" ref="J2681">IFERROR(INDEX('Retirement Calculator'!J:J,MATCH('Isaac 401k'!N2681,'Retirement Calculator'!A:A,0),0),0)</f>
        <v>0</v>
      </c>
      <c r="K2681" s="444">
        <f t="shared" ca="1" si="151"/>
        <v>-7263752.1463493006</v>
      </c>
      <c r="L2681" s="444">
        <f t="shared" ca="1" si="152"/>
        <v>-1750564267.2701814</v>
      </c>
      <c r="M2681" s="460">
        <f t="shared" si="154"/>
        <v>0.05</v>
      </c>
      <c r="N2681" s="464">
        <f t="shared" si="155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53"/>
        <v>-1750564267.2701814</v>
      </c>
      <c r="J2682" s="444">
        <f t="array" ref="J2682">IFERROR(INDEX('Retirement Calculator'!J:J,MATCH('Isaac 401k'!N2682,'Retirement Calculator'!A:A,0),0),0)</f>
        <v>0</v>
      </c>
      <c r="K2682" s="444">
        <f t="shared" ca="1" si="151"/>
        <v>-7294017.7802924234</v>
      </c>
      <c r="L2682" s="444">
        <f t="shared" ca="1" si="152"/>
        <v>-1757858285.0504739</v>
      </c>
      <c r="M2682" s="460">
        <f t="shared" si="154"/>
        <v>0.05</v>
      </c>
      <c r="N2682" s="464">
        <f t="shared" si="155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53"/>
        <v>-1757858285.0504739</v>
      </c>
      <c r="J2683" s="444">
        <f t="array" ref="J2683">IFERROR(INDEX('Retirement Calculator'!J:J,MATCH('Isaac 401k'!N2683,'Retirement Calculator'!A:A,0),0),0)</f>
        <v>0</v>
      </c>
      <c r="K2683" s="444">
        <f t="shared" ca="1" si="151"/>
        <v>-7324409.5210436424</v>
      </c>
      <c r="L2683" s="444">
        <f t="shared" ca="1" si="152"/>
        <v>-1765182694.5715175</v>
      </c>
      <c r="M2683" s="460">
        <f t="shared" si="154"/>
        <v>0.05</v>
      </c>
      <c r="N2683" s="464">
        <f t="shared" si="155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53"/>
        <v>-1765182694.5715175</v>
      </c>
      <c r="J2684" s="444">
        <f t="array" ref="J2684">IFERROR(INDEX('Retirement Calculator'!J:J,MATCH('Isaac 401k'!N2684,'Retirement Calculator'!A:A,0),0),0)</f>
        <v>0</v>
      </c>
      <c r="K2684" s="444">
        <f t="shared" ca="1" si="151"/>
        <v>-7354927.8940479895</v>
      </c>
      <c r="L2684" s="444">
        <f t="shared" ca="1" si="152"/>
        <v>-1772537622.4655654</v>
      </c>
      <c r="M2684" s="460">
        <f t="shared" si="154"/>
        <v>0.05</v>
      </c>
      <c r="N2684" s="464">
        <f t="shared" si="155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53"/>
        <v>-1772537622.4655654</v>
      </c>
      <c r="J2685" s="444">
        <f t="array" ref="J2685">IFERROR(INDEX('Retirement Calculator'!J:J,MATCH('Isaac 401k'!N2685,'Retirement Calculator'!A:A,0),0),0)</f>
        <v>0</v>
      </c>
      <c r="K2685" s="444">
        <f t="shared" ca="1" si="151"/>
        <v>-7385573.4269398563</v>
      </c>
      <c r="L2685" s="444">
        <f t="shared" ca="1" si="152"/>
        <v>-1779923195.8925054</v>
      </c>
      <c r="M2685" s="460">
        <f t="shared" si="154"/>
        <v>0.05</v>
      </c>
      <c r="N2685" s="464">
        <f t="shared" si="155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53"/>
        <v>-1779923195.8925054</v>
      </c>
      <c r="J2686" s="444">
        <f t="array" ref="J2686">IFERROR(INDEX('Retirement Calculator'!J:J,MATCH('Isaac 401k'!N2686,'Retirement Calculator'!A:A,0),0),0)</f>
        <v>0</v>
      </c>
      <c r="K2686" s="444">
        <f t="shared" ca="1" si="151"/>
        <v>-7416346.6495521059</v>
      </c>
      <c r="L2686" s="444">
        <f t="shared" ca="1" si="152"/>
        <v>-1787339542.5420575</v>
      </c>
      <c r="M2686" s="460">
        <f t="shared" si="154"/>
        <v>0.05</v>
      </c>
      <c r="N2686" s="464">
        <f t="shared" si="155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53"/>
        <v>-1787339542.5420575</v>
      </c>
      <c r="J2687" s="444">
        <f t="array" ref="J2687">IFERROR(INDEX('Retirement Calculator'!J:J,MATCH('Isaac 401k'!N2687,'Retirement Calculator'!A:A,0),0),0)</f>
        <v>0</v>
      </c>
      <c r="K2687" s="444">
        <f t="shared" ca="1" si="151"/>
        <v>-7447248.0939252395</v>
      </c>
      <c r="L2687" s="444">
        <f t="shared" ca="1" si="152"/>
        <v>-1794786790.6359828</v>
      </c>
      <c r="M2687" s="460">
        <f t="shared" si="154"/>
        <v>0.05</v>
      </c>
      <c r="N2687" s="464">
        <f t="shared" si="155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53"/>
        <v>-1794786790.6359828</v>
      </c>
      <c r="J2688" s="444">
        <f t="array" ref="J2688">IFERROR(INDEX('Retirement Calculator'!J:J,MATCH('Isaac 401k'!N2688,'Retirement Calculator'!A:A,0),0),0)</f>
        <v>0</v>
      </c>
      <c r="K2688" s="444">
        <f t="shared" ca="1" si="151"/>
        <v>-7478278.2943165945</v>
      </c>
      <c r="L2688" s="444">
        <f t="shared" ca="1" si="152"/>
        <v>-1802265068.9302993</v>
      </c>
      <c r="M2688" s="460">
        <f t="shared" si="154"/>
        <v>0.05</v>
      </c>
      <c r="N2688" s="464">
        <f t="shared" si="155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53"/>
        <v>-1802265068.9302993</v>
      </c>
      <c r="J2689" s="444">
        <f t="array" ref="J2689">IFERROR(INDEX('Retirement Calculator'!J:J,MATCH('Isaac 401k'!N2689,'Retirement Calculator'!A:A,0),0),0)</f>
        <v>0</v>
      </c>
      <c r="K2689" s="444">
        <f t="shared" ca="1" si="151"/>
        <v>-7509437.7872095807</v>
      </c>
      <c r="L2689" s="444">
        <f t="shared" ca="1" si="152"/>
        <v>-1809774506.7175088</v>
      </c>
      <c r="M2689" s="460">
        <f t="shared" si="154"/>
        <v>0.05</v>
      </c>
      <c r="N2689" s="464">
        <f t="shared" si="155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53"/>
        <v>-1809774506.7175088</v>
      </c>
      <c r="J2690" s="444">
        <f t="array" ref="J2690">IFERROR(INDEX('Retirement Calculator'!J:J,MATCH('Isaac 401k'!N2690,'Retirement Calculator'!A:A,0),0),0)</f>
        <v>0</v>
      </c>
      <c r="K2690" s="444">
        <f t="shared" ca="1" si="151"/>
        <v>-7540727.1113229534</v>
      </c>
      <c r="L2690" s="444">
        <f t="shared" ca="1" si="152"/>
        <v>-1817315233.8288317</v>
      </c>
      <c r="M2690" s="460">
        <f t="shared" si="154"/>
        <v>0.05</v>
      </c>
      <c r="N2690" s="464">
        <f t="shared" si="155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53"/>
        <v>-1817315233.8288317</v>
      </c>
      <c r="J2691" s="444">
        <f t="array" ref="J2691">IFERROR(INDEX('Retirement Calculator'!J:J,MATCH('Isaac 401k'!N2691,'Retirement Calculator'!A:A,0),0),0)</f>
        <v>0</v>
      </c>
      <c r="K2691" s="444">
        <f t="shared" ca="1" si="151"/>
        <v>-7572146.8076201333</v>
      </c>
      <c r="L2691" s="444">
        <f t="shared" ca="1" si="152"/>
        <v>-1824887380.6364517</v>
      </c>
      <c r="M2691" s="460">
        <f t="shared" si="154"/>
        <v>0.05</v>
      </c>
      <c r="N2691" s="464">
        <f t="shared" si="155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53"/>
        <v>-1824887380.6364517</v>
      </c>
      <c r="J2692" s="444">
        <f t="array" ref="J2692">IFERROR(INDEX('Retirement Calculator'!J:J,MATCH('Isaac 401k'!N2692,'Retirement Calculator'!A:A,0),0),0)</f>
        <v>0</v>
      </c>
      <c r="K2692" s="444">
        <f t="shared" ca="1" si="151"/>
        <v>-7603697.4193185475</v>
      </c>
      <c r="L2692" s="444">
        <f t="shared" ca="1" si="152"/>
        <v>-1832491078.0557702</v>
      </c>
      <c r="M2692" s="460">
        <f t="shared" si="154"/>
        <v>0.05</v>
      </c>
      <c r="N2692" s="464">
        <f t="shared" si="155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53"/>
        <v>-1832491078.0557702</v>
      </c>
      <c r="J2693" s="444">
        <f t="array" ref="J2693">IFERROR(INDEX('Retirement Calculator'!J:J,MATCH('Isaac 401k'!N2693,'Retirement Calculator'!A:A,0),0),0)</f>
        <v>0</v>
      </c>
      <c r="K2693" s="444">
        <f t="shared" ca="1" si="151"/>
        <v>-7635379.4918990424</v>
      </c>
      <c r="L2693" s="444">
        <f t="shared" ca="1" si="152"/>
        <v>-1840126457.5476692</v>
      </c>
      <c r="M2693" s="460">
        <f t="shared" si="154"/>
        <v>0.05</v>
      </c>
      <c r="N2693" s="464">
        <f t="shared" si="155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53"/>
        <v>-1840126457.5476692</v>
      </c>
      <c r="J2694" s="444">
        <f t="array" ref="J2694">IFERROR(INDEX('Retirement Calculator'!J:J,MATCH('Isaac 401k'!N2694,'Retirement Calculator'!A:A,0),0),0)</f>
        <v>0</v>
      </c>
      <c r="K2694" s="444">
        <f t="shared" ca="1" si="151"/>
        <v>-7667193.5731152883</v>
      </c>
      <c r="L2694" s="444">
        <f t="shared" ca="1" si="152"/>
        <v>-1847793651.1207845</v>
      </c>
      <c r="M2694" s="460">
        <f t="shared" si="154"/>
        <v>0.05</v>
      </c>
      <c r="N2694" s="464">
        <f t="shared" si="155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53"/>
        <v>-1847793651.1207845</v>
      </c>
      <c r="J2695" s="444">
        <f t="array" ref="J2695">IFERROR(INDEX('Retirement Calculator'!J:J,MATCH('Isaac 401k'!N2695,'Retirement Calculator'!A:A,0),0),0)</f>
        <v>0</v>
      </c>
      <c r="K2695" s="444">
        <f t="shared" ca="1" si="151"/>
        <v>-7699140.2130032685</v>
      </c>
      <c r="L2695" s="444">
        <f t="shared" ca="1" si="152"/>
        <v>-1855492791.3337877</v>
      </c>
      <c r="M2695" s="460">
        <f t="shared" si="154"/>
        <v>0.05</v>
      </c>
      <c r="N2695" s="464">
        <f t="shared" si="155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53"/>
        <v>-1855492791.3337877</v>
      </c>
      <c r="J2696" s="444">
        <f t="array" ref="J2696">IFERROR(INDEX('Retirement Calculator'!J:J,MATCH('Isaac 401k'!N2696,'Retirement Calculator'!A:A,0),0),0)</f>
        <v>0</v>
      </c>
      <c r="K2696" s="444">
        <f t="shared" ca="1" si="151"/>
        <v>-7731219.9638907816</v>
      </c>
      <c r="L2696" s="444">
        <f t="shared" ca="1" si="152"/>
        <v>-1863224011.2976785</v>
      </c>
      <c r="M2696" s="460">
        <f t="shared" si="154"/>
        <v>0.05</v>
      </c>
      <c r="N2696" s="464">
        <f t="shared" si="155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53"/>
        <v>-1863224011.2976785</v>
      </c>
      <c r="J2697" s="444">
        <f t="array" ref="J2697">IFERROR(INDEX('Retirement Calculator'!J:J,MATCH('Isaac 401k'!N2697,'Retirement Calculator'!A:A,0),0),0)</f>
        <v>0</v>
      </c>
      <c r="K2697" s="444">
        <f t="shared" ca="1" si="151"/>
        <v>-7763433.3804069944</v>
      </c>
      <c r="L2697" s="444">
        <f t="shared" ca="1" si="152"/>
        <v>-1870987444.6780856</v>
      </c>
      <c r="M2697" s="460">
        <f t="shared" si="154"/>
        <v>0.05</v>
      </c>
      <c r="N2697" s="464">
        <f t="shared" si="155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53"/>
        <v>-1870987444.6780856</v>
      </c>
      <c r="J2698" s="444">
        <f t="array" ref="J2698">IFERROR(INDEX('Retirement Calculator'!J:J,MATCH('Isaac 401k'!N2698,'Retirement Calculator'!A:A,0),0),0)</f>
        <v>0</v>
      </c>
      <c r="K2698" s="444">
        <f t="shared" ca="1" si="151"/>
        <v>-7795781.0194920227</v>
      </c>
      <c r="L2698" s="444">
        <f t="shared" ca="1" si="152"/>
        <v>-1878783225.6975775</v>
      </c>
      <c r="M2698" s="460">
        <f t="shared" si="154"/>
        <v>0.05</v>
      </c>
      <c r="N2698" s="464">
        <f t="shared" si="155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53"/>
        <v>-1878783225.6975775</v>
      </c>
      <c r="J2699" s="444">
        <f t="array" ref="J2699">IFERROR(INDEX('Retirement Calculator'!J:J,MATCH('Isaac 401k'!N2699,'Retirement Calculator'!A:A,0),0),0)</f>
        <v>0</v>
      </c>
      <c r="K2699" s="444">
        <f t="shared" ca="1" si="151"/>
        <v>-7828263.4404065739</v>
      </c>
      <c r="L2699" s="444">
        <f t="shared" ca="1" si="152"/>
        <v>-1886611489.137984</v>
      </c>
      <c r="M2699" s="460">
        <f t="shared" si="154"/>
        <v>0.05</v>
      </c>
      <c r="N2699" s="464">
        <f t="shared" si="155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53"/>
        <v>-1886611489.137984</v>
      </c>
      <c r="J2700" s="444">
        <f t="array" ref="J2700">IFERROR(INDEX('Retirement Calculator'!J:J,MATCH('Isaac 401k'!N2700,'Retirement Calculator'!A:A,0),0),0)</f>
        <v>0</v>
      </c>
      <c r="K2700" s="444">
        <f t="shared" ca="1" si="151"/>
        <v>-7860881.2047416</v>
      </c>
      <c r="L2700" s="444">
        <f t="shared" ca="1" si="152"/>
        <v>-1894472370.3427258</v>
      </c>
      <c r="M2700" s="460">
        <f t="shared" si="154"/>
        <v>0.05</v>
      </c>
      <c r="N2700" s="464">
        <f t="shared" si="155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53"/>
        <v>-1894472370.3427258</v>
      </c>
      <c r="J2701" s="444">
        <f t="array" ref="J2701">IFERROR(INDEX('Retirement Calculator'!J:J,MATCH('Isaac 401k'!N2701,'Retirement Calculator'!A:A,0),0),0)</f>
        <v>0</v>
      </c>
      <c r="K2701" s="444">
        <f t="shared" ca="1" si="151"/>
        <v>-7893634.8764280239</v>
      </c>
      <c r="L2701" s="444">
        <f t="shared" ca="1" si="152"/>
        <v>-1902366005.2191539</v>
      </c>
      <c r="M2701" s="460">
        <f t="shared" si="154"/>
        <v>0.05</v>
      </c>
      <c r="N2701" s="464">
        <f t="shared" si="155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53"/>
        <v>-1902366005.2191539</v>
      </c>
      <c r="J2702" s="444">
        <f t="array" ref="J2702">IFERROR(INDEX('Retirement Calculator'!J:J,MATCH('Isaac 401k'!N2702,'Retirement Calculator'!A:A,0),0),0)</f>
        <v>0</v>
      </c>
      <c r="K2702" s="444">
        <f t="shared" ca="1" si="151"/>
        <v>-7926525.0217464743</v>
      </c>
      <c r="L2702" s="444">
        <f t="shared" ca="1" si="152"/>
        <v>-1910292530.2409003</v>
      </c>
      <c r="M2702" s="460">
        <f t="shared" si="154"/>
        <v>0.05</v>
      </c>
      <c r="N2702" s="464">
        <f t="shared" si="155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53"/>
        <v>-1910292530.2409003</v>
      </c>
      <c r="J2703" s="444">
        <f t="array" ref="J2703">IFERROR(INDEX('Retirement Calculator'!J:J,MATCH('Isaac 401k'!N2703,'Retirement Calculator'!A:A,0),0),0)</f>
        <v>0</v>
      </c>
      <c r="K2703" s="444">
        <f t="shared" ca="1" si="151"/>
        <v>-7959552.2093370855</v>
      </c>
      <c r="L2703" s="444">
        <f t="shared" ca="1" si="152"/>
        <v>-1918252082.4502373</v>
      </c>
      <c r="M2703" s="460">
        <f t="shared" si="154"/>
        <v>0.05</v>
      </c>
      <c r="N2703" s="464">
        <f t="shared" si="155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53"/>
        <v>-1918252082.4502373</v>
      </c>
      <c r="J2704" s="444">
        <f t="array" ref="J2704">IFERROR(INDEX('Retirement Calculator'!J:J,MATCH('Isaac 401k'!N2704,'Retirement Calculator'!A:A,0),0),0)</f>
        <v>0</v>
      </c>
      <c r="K2704" s="444">
        <f t="shared" ca="1" si="151"/>
        <v>-7992717.0102093229</v>
      </c>
      <c r="L2704" s="444">
        <f t="shared" ca="1" si="152"/>
        <v>-1926244799.4604466</v>
      </c>
      <c r="M2704" s="460">
        <f t="shared" si="154"/>
        <v>0.05</v>
      </c>
      <c r="N2704" s="464">
        <f t="shared" si="155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53"/>
        <v>-1926244799.4604466</v>
      </c>
      <c r="J2705" s="444">
        <f t="array" ref="J2705">IFERROR(INDEX('Retirement Calculator'!J:J,MATCH('Isaac 401k'!N2705,'Retirement Calculator'!A:A,0),0),0)</f>
        <v>0</v>
      </c>
      <c r="K2705" s="444">
        <f t="shared" ca="1" si="151"/>
        <v>-8026019.9977518599</v>
      </c>
      <c r="L2705" s="444">
        <f t="shared" ca="1" si="152"/>
        <v>-1934270819.4581985</v>
      </c>
      <c r="M2705" s="460">
        <f t="shared" si="154"/>
        <v>0.05</v>
      </c>
      <c r="N2705" s="464">
        <f t="shared" si="155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53"/>
        <v>-1934270819.4581985</v>
      </c>
      <c r="J2706" s="444">
        <f t="array" ref="J2706">IFERROR(INDEX('Retirement Calculator'!J:J,MATCH('Isaac 401k'!N2706,'Retirement Calculator'!A:A,0),0),0)</f>
        <v>0</v>
      </c>
      <c r="K2706" s="444">
        <f t="shared" ca="1" si="151"/>
        <v>-8059461.7477424936</v>
      </c>
      <c r="L2706" s="444">
        <f t="shared" ca="1" si="152"/>
        <v>-1942330281.205941</v>
      </c>
      <c r="M2706" s="460">
        <f t="shared" si="154"/>
        <v>0.05</v>
      </c>
      <c r="N2706" s="464">
        <f t="shared" si="155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53"/>
        <v>-1942330281.205941</v>
      </c>
      <c r="J2707" s="444">
        <f t="array" ref="J2707">IFERROR(INDEX('Retirement Calculator'!J:J,MATCH('Isaac 401k'!N2707,'Retirement Calculator'!A:A,0),0),0)</f>
        <v>0</v>
      </c>
      <c r="K2707" s="444">
        <f t="shared" ca="1" si="151"/>
        <v>-8093042.8383580875</v>
      </c>
      <c r="L2707" s="444">
        <f t="shared" ca="1" si="152"/>
        <v>-1950423324.0442991</v>
      </c>
      <c r="M2707" s="460">
        <f t="shared" si="154"/>
        <v>0.05</v>
      </c>
      <c r="N2707" s="464">
        <f t="shared" si="155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53"/>
        <v>-1950423324.0442991</v>
      </c>
      <c r="J2708" s="444">
        <f t="array" ref="J2708">IFERROR(INDEX('Retirement Calculator'!J:J,MATCH('Isaac 401k'!N2708,'Retirement Calculator'!A:A,0),0),0)</f>
        <v>0</v>
      </c>
      <c r="K2708" s="444">
        <f t="shared" ca="1" si="151"/>
        <v>-8126763.8501845794</v>
      </c>
      <c r="L2708" s="444">
        <f t="shared" ca="1" si="152"/>
        <v>-1958550087.8944838</v>
      </c>
      <c r="M2708" s="460">
        <f t="shared" si="154"/>
        <v>0.05</v>
      </c>
      <c r="N2708" s="464">
        <f t="shared" si="155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53"/>
        <v>-1958550087.8944838</v>
      </c>
      <c r="J2709" s="444">
        <f t="array" ref="J2709">IFERROR(INDEX('Retirement Calculator'!J:J,MATCH('Isaac 401k'!N2709,'Retirement Calculator'!A:A,0),0),0)</f>
        <v>0</v>
      </c>
      <c r="K2709" s="444">
        <f t="shared" ca="1" si="151"/>
        <v>-8160625.3662270159</v>
      </c>
      <c r="L2709" s="444">
        <f t="shared" ca="1" si="152"/>
        <v>-1966710713.2607107</v>
      </c>
      <c r="M2709" s="460">
        <f t="shared" si="154"/>
        <v>0.05</v>
      </c>
      <c r="N2709" s="464">
        <f t="shared" si="155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53"/>
        <v>-1966710713.2607107</v>
      </c>
      <c r="J2710" s="444">
        <f t="array" ref="J2710">IFERROR(INDEX('Retirement Calculator'!J:J,MATCH('Isaac 401k'!N2710,'Retirement Calculator'!A:A,0),0),0)</f>
        <v>0</v>
      </c>
      <c r="K2710" s="444">
        <f t="shared" ca="1" si="151"/>
        <v>-8194627.9719196279</v>
      </c>
      <c r="L2710" s="444">
        <f t="shared" ca="1" si="152"/>
        <v>-1974905341.2326303</v>
      </c>
      <c r="M2710" s="460">
        <f t="shared" si="154"/>
        <v>0.05</v>
      </c>
      <c r="N2710" s="464">
        <f t="shared" si="155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53"/>
        <v>-1974905341.2326303</v>
      </c>
      <c r="J2711" s="444">
        <f t="array" ref="J2711">IFERROR(INDEX('Retirement Calculator'!J:J,MATCH('Isaac 401k'!N2711,'Retirement Calculator'!A:A,0),0),0)</f>
        <v>0</v>
      </c>
      <c r="K2711" s="444">
        <f t="shared" ca="1" si="151"/>
        <v>-8228772.255135959</v>
      </c>
      <c r="L2711" s="444">
        <f t="shared" ca="1" si="152"/>
        <v>-1983134113.4877663</v>
      </c>
      <c r="M2711" s="460">
        <f t="shared" si="154"/>
        <v>0.05</v>
      </c>
      <c r="N2711" s="464">
        <f t="shared" si="155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53"/>
        <v>-1983134113.4877663</v>
      </c>
      <c r="J2712" s="444">
        <f t="array" ref="J2712">IFERROR(INDEX('Retirement Calculator'!J:J,MATCH('Isaac 401k'!N2712,'Retirement Calculator'!A:A,0),0),0)</f>
        <v>0</v>
      </c>
      <c r="K2712" s="444">
        <f t="shared" ca="1" si="151"/>
        <v>-8263058.8061990272</v>
      </c>
      <c r="L2712" s="444">
        <f t="shared" ca="1" si="152"/>
        <v>-1991397172.2939653</v>
      </c>
      <c r="M2712" s="460">
        <f t="shared" si="154"/>
        <v>0.05</v>
      </c>
      <c r="N2712" s="464">
        <f t="shared" si="155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53"/>
        <v>-1991397172.2939653</v>
      </c>
      <c r="J2713" s="444">
        <f t="array" ref="J2713">IFERROR(INDEX('Retirement Calculator'!J:J,MATCH('Isaac 401k'!N2713,'Retirement Calculator'!A:A,0),0),0)</f>
        <v>0</v>
      </c>
      <c r="K2713" s="444">
        <f t="shared" ca="1" si="151"/>
        <v>-8297488.2178915208</v>
      </c>
      <c r="L2713" s="444">
        <f t="shared" ca="1" si="152"/>
        <v>-1999694660.5118568</v>
      </c>
      <c r="M2713" s="460">
        <f t="shared" si="154"/>
        <v>0.05</v>
      </c>
      <c r="N2713" s="464">
        <f t="shared" si="155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53"/>
        <v>-1999694660.5118568</v>
      </c>
      <c r="J2714" s="444">
        <f t="array" ref="J2714">IFERROR(INDEX('Retirement Calculator'!J:J,MATCH('Isaac 401k'!N2714,'Retirement Calculator'!A:A,0),0),0)</f>
        <v>0</v>
      </c>
      <c r="K2714" s="444">
        <f t="shared" ca="1" si="151"/>
        <v>-8332061.0854660692</v>
      </c>
      <c r="L2714" s="444">
        <f t="shared" ca="1" si="152"/>
        <v>-2008026721.5973229</v>
      </c>
      <c r="M2714" s="460">
        <f t="shared" si="154"/>
        <v>0.05</v>
      </c>
      <c r="N2714" s="464">
        <f t="shared" si="155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53"/>
        <v>-2008026721.5973229</v>
      </c>
      <c r="J2715" s="444">
        <f t="array" ref="J2715">IFERROR(INDEX('Retirement Calculator'!J:J,MATCH('Isaac 401k'!N2715,'Retirement Calculator'!A:A,0),0),0)</f>
        <v>0</v>
      </c>
      <c r="K2715" s="444">
        <f t="shared" ca="1" si="151"/>
        <v>-8366778.0066555124</v>
      </c>
      <c r="L2715" s="444">
        <f t="shared" ca="1" si="152"/>
        <v>-2016393499.6039784</v>
      </c>
      <c r="M2715" s="460">
        <f t="shared" si="154"/>
        <v>0.05</v>
      </c>
      <c r="N2715" s="464">
        <f t="shared" si="155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53"/>
        <v>-2016393499.6039784</v>
      </c>
      <c r="J2716" s="444">
        <f t="array" ref="J2716">IFERROR(INDEX('Retirement Calculator'!J:J,MATCH('Isaac 401k'!N2716,'Retirement Calculator'!A:A,0),0),0)</f>
        <v>0</v>
      </c>
      <c r="K2716" s="444">
        <f t="shared" ca="1" si="151"/>
        <v>-8401639.5816832427</v>
      </c>
      <c r="L2716" s="444">
        <f t="shared" ca="1" si="152"/>
        <v>-2024795139.1856616</v>
      </c>
      <c r="M2716" s="460">
        <f t="shared" si="154"/>
        <v>0.05</v>
      </c>
      <c r="N2716" s="464">
        <f t="shared" si="155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53"/>
        <v>-2024795139.1856616</v>
      </c>
      <c r="J2717" s="444">
        <f t="array" ref="J2717">IFERROR(INDEX('Retirement Calculator'!J:J,MATCH('Isaac 401k'!N2717,'Retirement Calculator'!A:A,0),0),0)</f>
        <v>0</v>
      </c>
      <c r="K2717" s="444">
        <f t="shared" ca="1" si="151"/>
        <v>-8436646.4132735897</v>
      </c>
      <c r="L2717" s="444">
        <f t="shared" ca="1" si="152"/>
        <v>-2033231785.5989351</v>
      </c>
      <c r="M2717" s="460">
        <f t="shared" si="154"/>
        <v>0.05</v>
      </c>
      <c r="N2717" s="464">
        <f t="shared" si="155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53"/>
        <v>-2033231785.5989351</v>
      </c>
      <c r="J2718" s="444">
        <f t="array" ref="J2718">IFERROR(INDEX('Retirement Calculator'!J:J,MATCH('Isaac 401k'!N2718,'Retirement Calculator'!A:A,0),0),0)</f>
        <v>0</v>
      </c>
      <c r="K2718" s="444">
        <f t="shared" ca="1" si="151"/>
        <v>-8471799.1066622287</v>
      </c>
      <c r="L2718" s="444">
        <f t="shared" ca="1" si="152"/>
        <v>-2041703584.7055974</v>
      </c>
      <c r="M2718" s="460">
        <f t="shared" si="154"/>
        <v>0.05</v>
      </c>
      <c r="N2718" s="464">
        <f t="shared" si="155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53"/>
        <v>-2041703584.7055974</v>
      </c>
      <c r="J2719" s="444">
        <f t="array" ref="J2719">IFERROR(INDEX('Retirement Calculator'!J:J,MATCH('Isaac 401k'!N2719,'Retirement Calculator'!A:A,0),0),0)</f>
        <v>0</v>
      </c>
      <c r="K2719" s="444">
        <f t="shared" ca="1" si="151"/>
        <v>-8507098.2696066555</v>
      </c>
      <c r="L2719" s="444">
        <f t="shared" ca="1" si="152"/>
        <v>-2050210682.975204</v>
      </c>
      <c r="M2719" s="460">
        <f t="shared" si="154"/>
        <v>0.05</v>
      </c>
      <c r="N2719" s="464">
        <f t="shared" si="155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53"/>
        <v>-2050210682.975204</v>
      </c>
      <c r="J2720" s="444">
        <f t="array" ref="J2720">IFERROR(INDEX('Retirement Calculator'!J:J,MATCH('Isaac 401k'!N2720,'Retirement Calculator'!A:A,0),0),0)</f>
        <v>0</v>
      </c>
      <c r="K2720" s="444">
        <f t="shared" ca="1" si="151"/>
        <v>-8542544.5123966821</v>
      </c>
      <c r="L2720" s="444">
        <f t="shared" ca="1" si="152"/>
        <v>-2058753227.4876006</v>
      </c>
      <c r="M2720" s="460">
        <f t="shared" si="154"/>
        <v>0.05</v>
      </c>
      <c r="N2720" s="464">
        <f t="shared" si="155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53"/>
        <v>-2058753227.4876006</v>
      </c>
      <c r="J2721" s="444">
        <f t="array" ref="J2721">IFERROR(INDEX('Retirement Calculator'!J:J,MATCH('Isaac 401k'!N2721,'Retirement Calculator'!A:A,0),0),0)</f>
        <v>0</v>
      </c>
      <c r="K2721" s="444">
        <f t="shared" ca="1" si="151"/>
        <v>-8578138.4478650019</v>
      </c>
      <c r="L2721" s="444">
        <f t="shared" ca="1" si="152"/>
        <v>-2067331365.9354656</v>
      </c>
      <c r="M2721" s="460">
        <f t="shared" si="154"/>
        <v>0.05</v>
      </c>
      <c r="N2721" s="464">
        <f t="shared" si="155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53"/>
        <v>-2067331365.9354656</v>
      </c>
      <c r="J2722" s="444">
        <f t="array" ref="J2722">IFERROR(INDEX('Retirement Calculator'!J:J,MATCH('Isaac 401k'!N2722,'Retirement Calculator'!A:A,0),0),0)</f>
        <v>0</v>
      </c>
      <c r="K2722" s="444">
        <f t="shared" ca="1" si="151"/>
        <v>-8613880.6913977731</v>
      </c>
      <c r="L2722" s="444">
        <f t="shared" ca="1" si="152"/>
        <v>-2075945246.6268632</v>
      </c>
      <c r="M2722" s="460">
        <f t="shared" si="154"/>
        <v>0.05</v>
      </c>
      <c r="N2722" s="464">
        <f t="shared" si="155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53"/>
        <v>-2075945246.6268632</v>
      </c>
      <c r="J2723" s="444">
        <f t="array" ref="J2723">IFERROR(INDEX('Retirement Calculator'!J:J,MATCH('Isaac 401k'!N2723,'Retirement Calculator'!A:A,0),0),0)</f>
        <v>0</v>
      </c>
      <c r="K2723" s="444">
        <f t="shared" ca="1" si="151"/>
        <v>-8649771.8609452639</v>
      </c>
      <c r="L2723" s="444">
        <f t="shared" ca="1" si="152"/>
        <v>-2084595018.4878085</v>
      </c>
      <c r="M2723" s="460">
        <f t="shared" si="154"/>
        <v>0.05</v>
      </c>
      <c r="N2723" s="464">
        <f t="shared" si="155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53"/>
        <v>-2084595018.4878085</v>
      </c>
      <c r="J2724" s="444">
        <f t="array" ref="J2724">IFERROR(INDEX('Retirement Calculator'!J:J,MATCH('Isaac 401k'!N2724,'Retirement Calculator'!A:A,0),0),0)</f>
        <v>0</v>
      </c>
      <c r="K2724" s="444">
        <f t="shared" ca="1" si="151"/>
        <v>-8685812.5770325344</v>
      </c>
      <c r="L2724" s="444">
        <f t="shared" ca="1" si="152"/>
        <v>-2093280831.064841</v>
      </c>
      <c r="M2724" s="460">
        <f t="shared" si="154"/>
        <v>0.05</v>
      </c>
      <c r="N2724" s="464">
        <f t="shared" si="155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53"/>
        <v>-2093280831.064841</v>
      </c>
      <c r="J2725" s="444">
        <f t="array" ref="J2725">IFERROR(INDEX('Retirement Calculator'!J:J,MATCH('Isaac 401k'!N2725,'Retirement Calculator'!A:A,0),0),0)</f>
        <v>0</v>
      </c>
      <c r="K2725" s="444">
        <f t="shared" ca="1" si="151"/>
        <v>-8722003.4627701696</v>
      </c>
      <c r="L2725" s="444">
        <f t="shared" ca="1" si="152"/>
        <v>-2102002834.5276113</v>
      </c>
      <c r="M2725" s="460">
        <f t="shared" si="154"/>
        <v>0.05</v>
      </c>
      <c r="N2725" s="464">
        <f t="shared" si="155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53"/>
        <v>-2102002834.5276113</v>
      </c>
      <c r="J2726" s="444">
        <f t="array" ref="J2726">IFERROR(INDEX('Retirement Calculator'!J:J,MATCH('Isaac 401k'!N2726,'Retirement Calculator'!A:A,0),0),0)</f>
        <v>0</v>
      </c>
      <c r="K2726" s="444">
        <f t="shared" ca="1" si="151"/>
        <v>-8758345.143865047</v>
      </c>
      <c r="L2726" s="444">
        <f t="shared" ca="1" si="152"/>
        <v>-2110761179.6714764</v>
      </c>
      <c r="M2726" s="460">
        <f t="shared" si="154"/>
        <v>0.05</v>
      </c>
      <c r="N2726" s="464">
        <f t="shared" si="155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53"/>
        <v>-2110761179.6714764</v>
      </c>
      <c r="J2727" s="444">
        <f t="array" ref="J2727">IFERROR(INDEX('Retirement Calculator'!J:J,MATCH('Isaac 401k'!N2727,'Retirement Calculator'!A:A,0),0),0)</f>
        <v>0</v>
      </c>
      <c r="K2727" s="444">
        <f t="shared" ca="1" si="151"/>
        <v>-8794838.2486311514</v>
      </c>
      <c r="L2727" s="444">
        <f t="shared" ca="1" si="152"/>
        <v>-2119556017.9201076</v>
      </c>
      <c r="M2727" s="460">
        <f t="shared" si="154"/>
        <v>0.05</v>
      </c>
      <c r="N2727" s="464">
        <f t="shared" si="155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53"/>
        <v>-2119556017.9201076</v>
      </c>
      <c r="J2728" s="444">
        <f t="array" ref="J2728">IFERROR(INDEX('Retirement Calculator'!J:J,MATCH('Isaac 401k'!N2728,'Retirement Calculator'!A:A,0),0),0)</f>
        <v>0</v>
      </c>
      <c r="K2728" s="444">
        <f t="shared" ca="1" si="151"/>
        <v>-8831483.4080004469</v>
      </c>
      <c r="L2728" s="444">
        <f t="shared" ca="1" si="152"/>
        <v>-2128387501.3281081</v>
      </c>
      <c r="M2728" s="460">
        <f t="shared" si="154"/>
        <v>0.05</v>
      </c>
      <c r="N2728" s="464">
        <f t="shared" si="155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53"/>
        <v>-2128387501.3281081</v>
      </c>
      <c r="J2729" s="444">
        <f t="array" ref="J2729">IFERROR(INDEX('Retirement Calculator'!J:J,MATCH('Isaac 401k'!N2729,'Retirement Calculator'!A:A,0),0),0)</f>
        <v>0</v>
      </c>
      <c r="K2729" s="444">
        <f t="shared" ca="1" si="151"/>
        <v>-8868281.2555337828</v>
      </c>
      <c r="L2729" s="444">
        <f t="shared" ca="1" si="152"/>
        <v>-2137255782.5836418</v>
      </c>
      <c r="M2729" s="460">
        <f t="shared" si="154"/>
        <v>0.05</v>
      </c>
      <c r="N2729" s="464">
        <f t="shared" si="155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53"/>
        <v>-2137255782.5836418</v>
      </c>
      <c r="J2730" s="444">
        <f t="array" ref="J2730">IFERROR(INDEX('Retirement Calculator'!J:J,MATCH('Isaac 401k'!N2730,'Retirement Calculator'!A:A,0),0),0)</f>
        <v>0</v>
      </c>
      <c r="K2730" s="444">
        <f t="shared" ca="1" si="151"/>
        <v>-8905232.4274318404</v>
      </c>
      <c r="L2730" s="444">
        <f t="shared" ca="1" si="152"/>
        <v>-2146161015.0110736</v>
      </c>
      <c r="M2730" s="460">
        <f t="shared" si="154"/>
        <v>0.05</v>
      </c>
      <c r="N2730" s="464">
        <f t="shared" si="155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53"/>
        <v>-2146161015.0110736</v>
      </c>
      <c r="J2731" s="444">
        <f t="array" ref="J2731">IFERROR(INDEX('Retirement Calculator'!J:J,MATCH('Isaac 401k'!N2731,'Retirement Calculator'!A:A,0),0),0)</f>
        <v>0</v>
      </c>
      <c r="K2731" s="444">
        <f t="shared" ca="1" si="151"/>
        <v>-8942337.5625461396</v>
      </c>
      <c r="L2731" s="444">
        <f t="shared" ca="1" si="152"/>
        <v>-2155103352.5736198</v>
      </c>
      <c r="M2731" s="460">
        <f t="shared" si="154"/>
        <v>0.05</v>
      </c>
      <c r="N2731" s="464">
        <f t="shared" si="155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53"/>
        <v>-2155103352.5736198</v>
      </c>
      <c r="J2732" s="444">
        <f t="array" ref="J2732">IFERROR(INDEX('Retirement Calculator'!J:J,MATCH('Isaac 401k'!N2732,'Retirement Calculator'!A:A,0),0),0)</f>
        <v>0</v>
      </c>
      <c r="K2732" s="444">
        <f t="shared" ca="1" si="151"/>
        <v>-8979597.3023900818</v>
      </c>
      <c r="L2732" s="444">
        <f t="shared" ca="1" si="152"/>
        <v>-2164082949.8760099</v>
      </c>
      <c r="M2732" s="460">
        <f t="shared" si="154"/>
        <v>0.05</v>
      </c>
      <c r="N2732" s="464">
        <f t="shared" si="155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53"/>
        <v>-2164082949.8760099</v>
      </c>
      <c r="J2733" s="444">
        <f t="array" ref="J2733">IFERROR(INDEX('Retirement Calculator'!J:J,MATCH('Isaac 401k'!N2733,'Retirement Calculator'!A:A,0),0),0)</f>
        <v>0</v>
      </c>
      <c r="K2733" s="444">
        <f t="shared" ca="1" si="151"/>
        <v>-9017012.2911500409</v>
      </c>
      <c r="L2733" s="444">
        <f t="shared" ca="1" si="152"/>
        <v>-2173099962.16716</v>
      </c>
      <c r="M2733" s="460">
        <f t="shared" si="154"/>
        <v>0.05</v>
      </c>
      <c r="N2733" s="464">
        <f t="shared" si="155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53"/>
        <v>-2173099962.16716</v>
      </c>
      <c r="J2734" s="444">
        <f t="array" ref="J2734">IFERROR(INDEX('Retirement Calculator'!J:J,MATCH('Isaac 401k'!N2734,'Retirement Calculator'!A:A,0),0),0)</f>
        <v>0</v>
      </c>
      <c r="K2734" s="444">
        <f t="shared" ca="1" si="151"/>
        <v>-9054583.1756964996</v>
      </c>
      <c r="L2734" s="444">
        <f t="shared" ca="1" si="152"/>
        <v>-2182154545.3428564</v>
      </c>
      <c r="M2734" s="460">
        <f t="shared" si="154"/>
        <v>0.05</v>
      </c>
      <c r="N2734" s="464">
        <f t="shared" si="155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53"/>
        <v>-2182154545.3428564</v>
      </c>
      <c r="J2735" s="444">
        <f t="array" ref="J2735">IFERROR(INDEX('Retirement Calculator'!J:J,MATCH('Isaac 401k'!N2735,'Retirement Calculator'!A:A,0),0),0)</f>
        <v>0</v>
      </c>
      <c r="K2735" s="444">
        <f t="shared" ca="1" si="151"/>
        <v>-9092310.6055952348</v>
      </c>
      <c r="L2735" s="444">
        <f t="shared" ca="1" si="152"/>
        <v>-2191246855.9484515</v>
      </c>
      <c r="M2735" s="460">
        <f t="shared" si="154"/>
        <v>0.05</v>
      </c>
      <c r="N2735" s="464">
        <f t="shared" si="155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53"/>
        <v>-2191246855.9484515</v>
      </c>
      <c r="J2736" s="444">
        <f t="array" ref="J2736">IFERROR(INDEX('Retirement Calculator'!J:J,MATCH('Isaac 401k'!N2736,'Retirement Calculator'!A:A,0),0),0)</f>
        <v>0</v>
      </c>
      <c r="K2736" s="444">
        <f t="shared" ca="1" si="151"/>
        <v>-9130195.2331185471</v>
      </c>
      <c r="L2736" s="444">
        <f t="shared" ca="1" si="152"/>
        <v>-2200377051.1815701</v>
      </c>
      <c r="M2736" s="460">
        <f t="shared" si="154"/>
        <v>0.05</v>
      </c>
      <c r="N2736" s="464">
        <f t="shared" si="155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53"/>
        <v>-2200377051.1815701</v>
      </c>
      <c r="J2737" s="444">
        <f t="array" ref="J2737">IFERROR(INDEX('Retirement Calculator'!J:J,MATCH('Isaac 401k'!N2737,'Retirement Calculator'!A:A,0),0),0)</f>
        <v>0</v>
      </c>
      <c r="K2737" s="444">
        <f t="shared" ca="1" si="151"/>
        <v>-9168237.7132565416</v>
      </c>
      <c r="L2737" s="444">
        <f t="shared" ca="1" si="152"/>
        <v>-2209545288.8948264</v>
      </c>
      <c r="M2737" s="460">
        <f t="shared" si="154"/>
        <v>0.05</v>
      </c>
      <c r="N2737" s="464">
        <f t="shared" si="155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53"/>
        <v>-2209545288.8948264</v>
      </c>
      <c r="J2738" s="444">
        <f t="array" ref="J2738">IFERROR(INDEX('Retirement Calculator'!J:J,MATCH('Isaac 401k'!N2738,'Retirement Calculator'!A:A,0),0),0)</f>
        <v>0</v>
      </c>
      <c r="K2738" s="444">
        <f t="shared" ca="1" si="151"/>
        <v>-9206438.703728443</v>
      </c>
      <c r="L2738" s="444">
        <f t="shared" ca="1" si="152"/>
        <v>-2218751727.5985551</v>
      </c>
      <c r="M2738" s="460">
        <f t="shared" si="154"/>
        <v>0.05</v>
      </c>
      <c r="N2738" s="464">
        <f t="shared" si="155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53"/>
        <v>-2218751727.5985551</v>
      </c>
      <c r="J2739" s="444">
        <f t="array" ref="J2739">IFERROR(INDEX('Retirement Calculator'!J:J,MATCH('Isaac 401k'!N2739,'Retirement Calculator'!A:A,0),0),0)</f>
        <v>0</v>
      </c>
      <c r="K2739" s="444">
        <f t="shared" ca="1" si="151"/>
        <v>-9244798.8649939802</v>
      </c>
      <c r="L2739" s="444">
        <f t="shared" ca="1" si="152"/>
        <v>-2227996526.4635491</v>
      </c>
      <c r="M2739" s="460">
        <f t="shared" si="154"/>
        <v>0.05</v>
      </c>
      <c r="N2739" s="464">
        <f t="shared" si="155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53"/>
        <v>-2227996526.4635491</v>
      </c>
      <c r="J2740" s="444">
        <f t="array" ref="J2740">IFERROR(INDEX('Retirement Calculator'!J:J,MATCH('Isaac 401k'!N2740,'Retirement Calculator'!A:A,0),0),0)</f>
        <v>0</v>
      </c>
      <c r="K2740" s="444">
        <f t="shared" ca="1" si="151"/>
        <v>-9283318.8602647875</v>
      </c>
      <c r="L2740" s="444">
        <f t="shared" ca="1" si="152"/>
        <v>-2237279845.3238139</v>
      </c>
      <c r="M2740" s="460">
        <f t="shared" si="154"/>
        <v>0.05</v>
      </c>
      <c r="N2740" s="464">
        <f t="shared" si="155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53"/>
        <v>-2237279845.3238139</v>
      </c>
      <c r="J2741" s="444">
        <f t="array" ref="J2741">IFERROR(INDEX('Retirement Calculator'!J:J,MATCH('Isaac 401k'!N2741,'Retirement Calculator'!A:A,0),0),0)</f>
        <v>0</v>
      </c>
      <c r="K2741" s="444">
        <f t="shared" ca="1" si="151"/>
        <v>-9321999.3555158917</v>
      </c>
      <c r="L2741" s="444">
        <f t="shared" ca="1" si="152"/>
        <v>-2246601844.6793299</v>
      </c>
      <c r="M2741" s="460">
        <f t="shared" si="154"/>
        <v>0.05</v>
      </c>
      <c r="N2741" s="464">
        <f t="shared" si="155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53"/>
        <v>-2246601844.6793299</v>
      </c>
      <c r="J2742" s="444">
        <f t="array" ref="J2742">IFERROR(INDEX('Retirement Calculator'!J:J,MATCH('Isaac 401k'!N2742,'Retirement Calculator'!A:A,0),0),0)</f>
        <v>0</v>
      </c>
      <c r="K2742" s="444">
        <f t="shared" ca="1" si="151"/>
        <v>-9360841.0194972083</v>
      </c>
      <c r="L2742" s="444">
        <f t="shared" ca="1" si="152"/>
        <v>-2255962685.6988273</v>
      </c>
      <c r="M2742" s="460">
        <f t="shared" si="154"/>
        <v>0.05</v>
      </c>
      <c r="N2742" s="464">
        <f t="shared" si="155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53"/>
        <v>-2255962685.6988273</v>
      </c>
      <c r="J2743" s="444">
        <f t="array" ref="J2743">IFERROR(INDEX('Retirement Calculator'!J:J,MATCH('Isaac 401k'!N2743,'Retirement Calculator'!A:A,0),0),0)</f>
        <v>0</v>
      </c>
      <c r="K2743" s="444">
        <f t="shared" ca="1" si="151"/>
        <v>-9399844.523745114</v>
      </c>
      <c r="L2743" s="444">
        <f t="shared" ca="1" si="152"/>
        <v>-2265362530.2225723</v>
      </c>
      <c r="M2743" s="460">
        <f t="shared" si="154"/>
        <v>0.05</v>
      </c>
      <c r="N2743" s="464">
        <f t="shared" si="155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53"/>
        <v>-2265362530.2225723</v>
      </c>
      <c r="J2744" s="444">
        <f t="array" ref="J2744">IFERROR(INDEX('Retirement Calculator'!J:J,MATCH('Isaac 401k'!N2744,'Retirement Calculator'!A:A,0),0),0)</f>
        <v>0</v>
      </c>
      <c r="K2744" s="444">
        <f t="shared" ca="1" si="151"/>
        <v>-9439010.542594051</v>
      </c>
      <c r="L2744" s="444">
        <f t="shared" ca="1" si="152"/>
        <v>-2274801540.7651663</v>
      </c>
      <c r="M2744" s="460">
        <f t="shared" si="154"/>
        <v>0.05</v>
      </c>
      <c r="N2744" s="464">
        <f t="shared" si="155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53"/>
        <v>-2274801540.7651663</v>
      </c>
      <c r="J2745" s="444">
        <f t="array" ref="J2745">IFERROR(INDEX('Retirement Calculator'!J:J,MATCH('Isaac 401k'!N2745,'Retirement Calculator'!A:A,0),0),0)</f>
        <v>0</v>
      </c>
      <c r="K2745" s="444">
        <f t="shared" ca="1" si="151"/>
        <v>-9478339.7531881928</v>
      </c>
      <c r="L2745" s="444">
        <f t="shared" ca="1" si="152"/>
        <v>-2284279880.5183544</v>
      </c>
      <c r="M2745" s="460">
        <f t="shared" si="154"/>
        <v>0.05</v>
      </c>
      <c r="N2745" s="464">
        <f t="shared" si="155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53"/>
        <v>-2284279880.5183544</v>
      </c>
      <c r="J2746" s="444">
        <f t="array" ref="J2746">IFERROR(INDEX('Retirement Calculator'!J:J,MATCH('Isaac 401k'!N2746,'Retirement Calculator'!A:A,0),0),0)</f>
        <v>0</v>
      </c>
      <c r="K2746" s="444">
        <f t="shared" ca="1" si="151"/>
        <v>-9517832.8354931436</v>
      </c>
      <c r="L2746" s="444">
        <f t="shared" ca="1" si="152"/>
        <v>-2293797713.3538475</v>
      </c>
      <c r="M2746" s="460">
        <f t="shared" si="154"/>
        <v>0.05</v>
      </c>
      <c r="N2746" s="464">
        <f t="shared" si="155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53"/>
        <v>-2293797713.3538475</v>
      </c>
      <c r="J2747" s="444">
        <f t="array" ref="J2747">IFERROR(INDEX('Retirement Calculator'!J:J,MATCH('Isaac 401k'!N2747,'Retirement Calculator'!A:A,0),0),0)</f>
        <v>0</v>
      </c>
      <c r="K2747" s="444">
        <f t="shared" ca="1" si="151"/>
        <v>-9557490.4723076969</v>
      </c>
      <c r="L2747" s="444">
        <f t="shared" ca="1" si="152"/>
        <v>-2303355203.8261552</v>
      </c>
      <c r="M2747" s="460">
        <f t="shared" si="154"/>
        <v>0.05</v>
      </c>
      <c r="N2747" s="464">
        <f t="shared" si="155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53"/>
        <v>-2303355203.8261552</v>
      </c>
      <c r="J2748" s="444">
        <f t="array" ref="J2748">IFERROR(INDEX('Retirement Calculator'!J:J,MATCH('Isaac 401k'!N2748,'Retirement Calculator'!A:A,0),0),0)</f>
        <v>0</v>
      </c>
      <c r="K2748" s="444">
        <f t="shared" ca="1" si="151"/>
        <v>-9597313.3492756467</v>
      </c>
      <c r="L2748" s="444">
        <f t="shared" ca="1" si="152"/>
        <v>-2312952517.1754308</v>
      </c>
      <c r="M2748" s="460">
        <f t="shared" si="154"/>
        <v>0.05</v>
      </c>
      <c r="N2748" s="464">
        <f t="shared" si="155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53"/>
        <v>-2312952517.1754308</v>
      </c>
      <c r="J2749" s="444">
        <f t="array" ref="J2749">IFERROR(INDEX('Retirement Calculator'!J:J,MATCH('Isaac 401k'!N2749,'Retirement Calculator'!A:A,0),0),0)</f>
        <v>0</v>
      </c>
      <c r="K2749" s="444">
        <f t="shared" ca="1" si="151"/>
        <v>-9637302.1548976284</v>
      </c>
      <c r="L2749" s="444">
        <f t="shared" ca="1" si="152"/>
        <v>-2322589819.3303285</v>
      </c>
      <c r="M2749" s="460">
        <f t="shared" si="154"/>
        <v>0.05</v>
      </c>
      <c r="N2749" s="464">
        <f t="shared" si="155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53"/>
        <v>-2322589819.3303285</v>
      </c>
      <c r="J2750" s="444">
        <f t="array" ref="J2750">IFERROR(INDEX('Retirement Calculator'!J:J,MATCH('Isaac 401k'!N2750,'Retirement Calculator'!A:A,0),0),0)</f>
        <v>0</v>
      </c>
      <c r="K2750" s="444">
        <f t="shared" ca="1" si="151"/>
        <v>-9677457.5805430356</v>
      </c>
      <c r="L2750" s="444">
        <f t="shared" ca="1" si="152"/>
        <v>-2332267276.9108715</v>
      </c>
      <c r="M2750" s="460">
        <f t="shared" si="154"/>
        <v>0.05</v>
      </c>
      <c r="N2750" s="464">
        <f t="shared" si="155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53"/>
        <v>-2332267276.9108715</v>
      </c>
      <c r="J2751" s="444">
        <f t="array" ref="J2751">IFERROR(INDEX('Retirement Calculator'!J:J,MATCH('Isaac 401k'!N2751,'Retirement Calculator'!A:A,0),0),0)</f>
        <v>0</v>
      </c>
      <c r="K2751" s="444">
        <f t="shared" ca="1" si="151"/>
        <v>-9717780.3204619642</v>
      </c>
      <c r="L2751" s="444">
        <f t="shared" ca="1" si="152"/>
        <v>-2341985057.2313333</v>
      </c>
      <c r="M2751" s="460">
        <f t="shared" si="154"/>
        <v>0.05</v>
      </c>
      <c r="N2751" s="464">
        <f t="shared" si="155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53"/>
        <v>-2341985057.2313333</v>
      </c>
      <c r="J2752" s="444">
        <f t="array" ref="J2752">IFERROR(INDEX('Retirement Calculator'!J:J,MATCH('Isaac 401k'!N2752,'Retirement Calculator'!A:A,0),0),0)</f>
        <v>0</v>
      </c>
      <c r="K2752" s="444">
        <f t="shared" ca="1" si="151"/>
        <v>-9758271.0717972219</v>
      </c>
      <c r="L2752" s="444">
        <f t="shared" ca="1" si="152"/>
        <v>-2351743328.3031306</v>
      </c>
      <c r="M2752" s="460">
        <f t="shared" si="154"/>
        <v>0.05</v>
      </c>
      <c r="N2752" s="464">
        <f t="shared" si="155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53"/>
        <v>-2351743328.3031306</v>
      </c>
      <c r="J2753" s="444">
        <f t="array" ref="J2753">IFERROR(INDEX('Retirement Calculator'!J:J,MATCH('Isaac 401k'!N2753,'Retirement Calculator'!A:A,0),0),0)</f>
        <v>0</v>
      </c>
      <c r="K2753" s="444">
        <f t="shared" ca="1" si="151"/>
        <v>-9798930.534596378</v>
      </c>
      <c r="L2753" s="444">
        <f t="shared" ca="1" si="152"/>
        <v>-2361542258.8377271</v>
      </c>
      <c r="M2753" s="460">
        <f t="shared" si="154"/>
        <v>0.05</v>
      </c>
      <c r="N2753" s="464">
        <f t="shared" si="155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53"/>
        <v>-2361542258.8377271</v>
      </c>
      <c r="J2754" s="444">
        <f t="array" ref="J2754">IFERROR(INDEX('Retirement Calculator'!J:J,MATCH('Isaac 401k'!N2754,'Retirement Calculator'!A:A,0),0),0)</f>
        <v>0</v>
      </c>
      <c r="K2754" s="444">
        <f t="shared" ca="1" si="151"/>
        <v>-9839759.4118238632</v>
      </c>
      <c r="L2754" s="444">
        <f t="shared" ca="1" si="152"/>
        <v>-2371382018.2495508</v>
      </c>
      <c r="M2754" s="460">
        <f t="shared" si="154"/>
        <v>0.05</v>
      </c>
      <c r="N2754" s="464">
        <f t="shared" si="155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53"/>
        <v>-2371382018.2495508</v>
      </c>
      <c r="J2755" s="444">
        <f t="array" ref="J2755">IFERROR(INDEX('Retirement Calculator'!J:J,MATCH('Isaac 401k'!N2755,'Retirement Calculator'!A:A,0),0),0)</f>
        <v>0</v>
      </c>
      <c r="K2755" s="444">
        <f t="shared" ca="1" si="151"/>
        <v>-9880758.4093731288</v>
      </c>
      <c r="L2755" s="444">
        <f t="shared" ca="1" si="152"/>
        <v>-2381262776.6589241</v>
      </c>
      <c r="M2755" s="460">
        <f t="shared" si="154"/>
        <v>0.05</v>
      </c>
      <c r="N2755" s="464">
        <f t="shared" si="155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53"/>
        <v>-2381262776.6589241</v>
      </c>
      <c r="J2756" s="444">
        <f t="array" ref="J2756">IFERROR(INDEX('Retirement Calculator'!J:J,MATCH('Isaac 401k'!N2756,'Retirement Calculator'!A:A,0),0),0)</f>
        <v>0</v>
      </c>
      <c r="K2756" s="444">
        <f t="shared" ca="1" si="151"/>
        <v>-9921928.2360788509</v>
      </c>
      <c r="L2756" s="444">
        <f t="shared" ca="1" si="152"/>
        <v>-2391184704.8950028</v>
      </c>
      <c r="M2756" s="460">
        <f t="shared" si="154"/>
        <v>0.05</v>
      </c>
      <c r="N2756" s="464">
        <f t="shared" si="155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53"/>
        <v>-2391184704.8950028</v>
      </c>
      <c r="J2757" s="444">
        <f t="array" ref="J2757">IFERROR(INDEX('Retirement Calculator'!J:J,MATCH('Isaac 401k'!N2757,'Retirement Calculator'!A:A,0),0),0)</f>
        <v>0</v>
      </c>
      <c r="K2757" s="444">
        <f t="shared" ca="1" si="151"/>
        <v>-9963269.6037291791</v>
      </c>
      <c r="L2757" s="444">
        <f t="shared" ca="1" si="152"/>
        <v>-2401147974.4987321</v>
      </c>
      <c r="M2757" s="460">
        <f t="shared" si="154"/>
        <v>0.05</v>
      </c>
      <c r="N2757" s="464">
        <f t="shared" si="155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53"/>
        <v>-2401147974.4987321</v>
      </c>
      <c r="J2758" s="444">
        <f t="array" ref="J2758">IFERROR(INDEX('Retirement Calculator'!J:J,MATCH('Isaac 401k'!N2758,'Retirement Calculator'!A:A,0),0),0)</f>
        <v>0</v>
      </c>
      <c r="K2758" s="444">
        <f t="shared" ca="1" si="151"/>
        <v>-10004783.22707805</v>
      </c>
      <c r="L2758" s="444">
        <f t="shared" ca="1" si="152"/>
        <v>-2411152757.7258101</v>
      </c>
      <c r="M2758" s="460">
        <f t="shared" si="154"/>
        <v>0.05</v>
      </c>
      <c r="N2758" s="464">
        <f t="shared" si="155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53"/>
        <v>-2411152757.7258101</v>
      </c>
      <c r="J2759" s="444">
        <f t="array" ref="J2759">IFERROR(INDEX('Retirement Calculator'!J:J,MATCH('Isaac 401k'!N2759,'Retirement Calculator'!A:A,0),0),0)</f>
        <v>0</v>
      </c>
      <c r="K2759" s="444">
        <f t="shared" ca="1" si="151"/>
        <v>-10046469.823857542</v>
      </c>
      <c r="L2759" s="444">
        <f t="shared" ca="1" si="152"/>
        <v>-2421199227.5496674</v>
      </c>
      <c r="M2759" s="460">
        <f t="shared" si="154"/>
        <v>0.05</v>
      </c>
      <c r="N2759" s="464">
        <f t="shared" si="155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53"/>
        <v>-2421199227.5496674</v>
      </c>
      <c r="J2760" s="444">
        <f t="array" ref="J2760">IFERROR(INDEX('Retirement Calculator'!J:J,MATCH('Isaac 401k'!N2760,'Retirement Calculator'!A:A,0),0),0)</f>
        <v>0</v>
      </c>
      <c r="K2760" s="444">
        <f t="shared" ca="1" si="151"/>
        <v>-10088330.114790281</v>
      </c>
      <c r="L2760" s="444">
        <f t="shared" ca="1" si="152"/>
        <v>-2431287557.6644578</v>
      </c>
      <c r="M2760" s="460">
        <f t="shared" si="154"/>
        <v>0.05</v>
      </c>
      <c r="N2760" s="464">
        <f t="shared" si="155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53"/>
        <v>-2431287557.6644578</v>
      </c>
      <c r="J2761" s="444">
        <f t="array" ref="J2761">IFERROR(INDEX('Retirement Calculator'!J:J,MATCH('Isaac 401k'!N2761,'Retirement Calculator'!A:A,0),0),0)</f>
        <v>0</v>
      </c>
      <c r="K2761" s="444">
        <f t="shared" ca="1" si="151"/>
        <v>-10130364.823601907</v>
      </c>
      <c r="L2761" s="444">
        <f t="shared" ca="1" si="152"/>
        <v>-2441417922.4880595</v>
      </c>
      <c r="M2761" s="460">
        <f t="shared" si="154"/>
        <v>0.05</v>
      </c>
      <c r="N2761" s="464">
        <f t="shared" si="155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53"/>
        <v>-2441417922.4880595</v>
      </c>
      <c r="J2762" s="444">
        <f t="array" ref="J2762">IFERROR(INDEX('Retirement Calculator'!J:J,MATCH('Isaac 401k'!N2762,'Retirement Calculator'!A:A,0),0),0)</f>
        <v>0</v>
      </c>
      <c r="K2762" s="444">
        <f t="shared" ca="1" si="151"/>
        <v>-10172574.677033581</v>
      </c>
      <c r="L2762" s="444">
        <f t="shared" ca="1" si="152"/>
        <v>-2451590497.1650929</v>
      </c>
      <c r="M2762" s="460">
        <f t="shared" si="154"/>
        <v>0.05</v>
      </c>
      <c r="N2762" s="464">
        <f t="shared" si="155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53"/>
        <v>-2451590497.1650929</v>
      </c>
      <c r="J2763" s="444">
        <f t="array" ref="J2763">IFERROR(INDEX('Retirement Calculator'!J:J,MATCH('Isaac 401k'!N2763,'Retirement Calculator'!A:A,0),0),0)</f>
        <v>0</v>
      </c>
      <c r="K2763" s="444">
        <f t="shared" ca="1" si="151"/>
        <v>-10214960.404854555</v>
      </c>
      <c r="L2763" s="444">
        <f t="shared" ca="1" si="152"/>
        <v>-2461805457.5699477</v>
      </c>
      <c r="M2763" s="460">
        <f t="shared" si="154"/>
        <v>0.05</v>
      </c>
      <c r="N2763" s="464">
        <f t="shared" si="155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53"/>
        <v>-2461805457.5699477</v>
      </c>
      <c r="J2764" s="444">
        <f t="array" ref="J2764">IFERROR(INDEX('Retirement Calculator'!J:J,MATCH('Isaac 401k'!N2764,'Retirement Calculator'!A:A,0),0),0)</f>
        <v>0</v>
      </c>
      <c r="K2764" s="444">
        <f t="shared" ca="1" si="151"/>
        <v>-10257522.739874782</v>
      </c>
      <c r="L2764" s="444">
        <f t="shared" ca="1" si="152"/>
        <v>-2472062980.3098226</v>
      </c>
      <c r="M2764" s="460">
        <f t="shared" si="154"/>
        <v>0.05</v>
      </c>
      <c r="N2764" s="464">
        <f t="shared" si="155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53"/>
        <v>-2472062980.3098226</v>
      </c>
      <c r="J2765" s="444">
        <f t="array" ref="J2765">IFERROR(INDEX('Retirement Calculator'!J:J,MATCH('Isaac 401k'!N2765,'Retirement Calculator'!A:A,0),0),0)</f>
        <v>0</v>
      </c>
      <c r="K2765" s="444">
        <f t="shared" ca="1" si="151"/>
        <v>-10300262.417957595</v>
      </c>
      <c r="L2765" s="444">
        <f t="shared" ca="1" si="152"/>
        <v>-2482363242.7277803</v>
      </c>
      <c r="M2765" s="460">
        <f t="shared" si="154"/>
        <v>0.05</v>
      </c>
      <c r="N2765" s="464">
        <f t="shared" si="155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53"/>
        <v>-2482363242.7277803</v>
      </c>
      <c r="J2766" s="444">
        <f t="array" ref="J2766">IFERROR(INDEX('Retirement Calculator'!J:J,MATCH('Isaac 401k'!N2766,'Retirement Calculator'!A:A,0),0),0)</f>
        <v>0</v>
      </c>
      <c r="K2766" s="444">
        <f t="shared" ca="1" si="151"/>
        <v>-10343180.178032419</v>
      </c>
      <c r="L2766" s="444">
        <f t="shared" ca="1" si="152"/>
        <v>-2492706422.9058127</v>
      </c>
      <c r="M2766" s="460">
        <f t="shared" si="154"/>
        <v>0.05</v>
      </c>
      <c r="N2766" s="464">
        <f t="shared" si="155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53"/>
        <v>-2492706422.9058127</v>
      </c>
      <c r="J2767" s="444">
        <f t="array" ref="J2767">IFERROR(INDEX('Retirement Calculator'!J:J,MATCH('Isaac 401k'!N2767,'Retirement Calculator'!A:A,0),0),0)</f>
        <v>0</v>
      </c>
      <c r="K2767" s="444">
        <f t="shared" ca="1" si="151"/>
        <v>-10386276.762107553</v>
      </c>
      <c r="L2767" s="444">
        <f t="shared" ca="1" si="152"/>
        <v>-2503092699.6679201</v>
      </c>
      <c r="M2767" s="460">
        <f t="shared" si="154"/>
        <v>0.05</v>
      </c>
      <c r="N2767" s="464">
        <f t="shared" si="155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53"/>
        <v>-2503092699.6679201</v>
      </c>
      <c r="J2768" s="444">
        <f t="array" ref="J2768">IFERROR(INDEX('Retirement Calculator'!J:J,MATCH('Isaac 401k'!N2768,'Retirement Calculator'!A:A,0),0),0)</f>
        <v>0</v>
      </c>
      <c r="K2768" s="444">
        <f t="shared" ca="1" si="151"/>
        <v>-10429552.915283</v>
      </c>
      <c r="L2768" s="444">
        <f t="shared" ca="1" si="152"/>
        <v>-2513522252.5832033</v>
      </c>
      <c r="M2768" s="460">
        <f t="shared" si="154"/>
        <v>0.05</v>
      </c>
      <c r="N2768" s="464">
        <f t="shared" si="155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53"/>
        <v>-2513522252.5832033</v>
      </c>
      <c r="J2769" s="444">
        <f t="array" ref="J2769">IFERROR(INDEX('Retirement Calculator'!J:J,MATCH('Isaac 401k'!N2769,'Retirement Calculator'!A:A,0),0),0)</f>
        <v>0</v>
      </c>
      <c r="K2769" s="444">
        <f t="shared" ca="1" si="151"/>
        <v>-10473009.385763347</v>
      </c>
      <c r="L2769" s="444">
        <f t="shared" ca="1" si="152"/>
        <v>-2523995261.9689665</v>
      </c>
      <c r="M2769" s="460">
        <f t="shared" si="154"/>
        <v>0.05</v>
      </c>
      <c r="N2769" s="464">
        <f t="shared" si="155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53"/>
        <v>-2523995261.9689665</v>
      </c>
      <c r="J2770" s="444">
        <f t="array" ref="J2770">IFERROR(INDEX('Retirement Calculator'!J:J,MATCH('Isaac 401k'!N2770,'Retirement Calculator'!A:A,0),0),0)</f>
        <v>0</v>
      </c>
      <c r="K2770" s="444">
        <f t="shared" ca="1" si="151"/>
        <v>-10516646.924870694</v>
      </c>
      <c r="L2770" s="444">
        <f t="shared" ca="1" si="152"/>
        <v>-2534511908.893837</v>
      </c>
      <c r="M2770" s="460">
        <f t="shared" si="154"/>
        <v>0.05</v>
      </c>
      <c r="N2770" s="464">
        <f t="shared" si="155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53"/>
        <v>-2534511908.893837</v>
      </c>
      <c r="J2771" s="444">
        <f t="array" ref="J2771">IFERROR(INDEX('Retirement Calculator'!J:J,MATCH('Isaac 401k'!N2771,'Retirement Calculator'!A:A,0),0),0)</f>
        <v>0</v>
      </c>
      <c r="K2771" s="444">
        <f t="shared" ca="1" si="151"/>
        <v>-10560466.287057653</v>
      </c>
      <c r="L2771" s="444">
        <f t="shared" ca="1" si="152"/>
        <v>-2545072375.1808949</v>
      </c>
      <c r="M2771" s="460">
        <f t="shared" si="154"/>
        <v>0.05</v>
      </c>
      <c r="N2771" s="464">
        <f t="shared" si="155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53"/>
        <v>-2545072375.1808949</v>
      </c>
      <c r="J2772" s="444">
        <f t="array" ref="J2772">IFERROR(INDEX('Retirement Calculator'!J:J,MATCH('Isaac 401k'!N2772,'Retirement Calculator'!A:A,0),0),0)</f>
        <v>0</v>
      </c>
      <c r="K2772" s="444">
        <f t="shared" ca="1" si="151"/>
        <v>-10604468.229920395</v>
      </c>
      <c r="L2772" s="444">
        <f t="shared" ca="1" si="152"/>
        <v>-2555676843.4108152</v>
      </c>
      <c r="M2772" s="460">
        <f t="shared" si="154"/>
        <v>0.05</v>
      </c>
      <c r="N2772" s="464">
        <f t="shared" si="155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53"/>
        <v>-2555676843.4108152</v>
      </c>
      <c r="J2773" s="444">
        <f t="array" ref="J2773">IFERROR(INDEX('Retirement Calculator'!J:J,MATCH('Isaac 401k'!N2773,'Retirement Calculator'!A:A,0),0),0)</f>
        <v>0</v>
      </c>
      <c r="K2773" s="444">
        <f t="shared" ca="1" si="151"/>
        <v>-10648653.514211729</v>
      </c>
      <c r="L2773" s="444">
        <f t="shared" ca="1" si="152"/>
        <v>-2566325496.9250269</v>
      </c>
      <c r="M2773" s="460">
        <f t="shared" si="154"/>
        <v>0.05</v>
      </c>
      <c r="N2773" s="464">
        <f t="shared" si="155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53"/>
        <v>-2566325496.9250269</v>
      </c>
      <c r="J2774" s="444">
        <f t="array" ref="J2774">IFERROR(INDEX('Retirement Calculator'!J:J,MATCH('Isaac 401k'!N2774,'Retirement Calculator'!A:A,0),0),0)</f>
        <v>0</v>
      </c>
      <c r="K2774" s="444">
        <f t="shared" ca="1" si="151"/>
        <v>-10693022.903854279</v>
      </c>
      <c r="L2774" s="444">
        <f t="shared" ca="1" si="152"/>
        <v>-2577018519.8288813</v>
      </c>
      <c r="M2774" s="460">
        <f t="shared" si="154"/>
        <v>0.05</v>
      </c>
      <c r="N2774" s="464">
        <f t="shared" si="155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53"/>
        <v>-2577018519.8288813</v>
      </c>
      <c r="J2775" s="444">
        <f t="array" ref="J2775">IFERROR(INDEX('Retirement Calculator'!J:J,MATCH('Isaac 401k'!N2775,'Retirement Calculator'!A:A,0),0),0)</f>
        <v>0</v>
      </c>
      <c r="K2775" s="444">
        <f t="shared" ca="1" si="151"/>
        <v>-10737577.165953672</v>
      </c>
      <c r="L2775" s="444">
        <f t="shared" ca="1" si="152"/>
        <v>-2587756096.9948349</v>
      </c>
      <c r="M2775" s="460">
        <f t="shared" si="154"/>
        <v>0.05</v>
      </c>
      <c r="N2775" s="464">
        <f t="shared" si="155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53"/>
        <v>-2587756096.9948349</v>
      </c>
      <c r="J2776" s="444">
        <f t="array" ref="J2776">IFERROR(INDEX('Retirement Calculator'!J:J,MATCH('Isaac 401k'!N2776,'Retirement Calculator'!A:A,0),0),0)</f>
        <v>0</v>
      </c>
      <c r="K2776" s="444">
        <f t="shared" ca="1" si="151"/>
        <v>-10782317.070811812</v>
      </c>
      <c r="L2776" s="444">
        <f t="shared" ca="1" si="152"/>
        <v>-2598538414.0656466</v>
      </c>
      <c r="M2776" s="460">
        <f t="shared" si="154"/>
        <v>0.05</v>
      </c>
      <c r="N2776" s="464">
        <f t="shared" si="155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53"/>
        <v>-2598538414.0656466</v>
      </c>
      <c r="J2777" s="444">
        <f t="array" ref="J2777">IFERROR(INDEX('Retirement Calculator'!J:J,MATCH('Isaac 401k'!N2777,'Retirement Calculator'!A:A,0),0),0)</f>
        <v>0</v>
      </c>
      <c r="K2777" s="444">
        <f t="shared" ca="1" si="151"/>
        <v>-10827243.391940195</v>
      </c>
      <c r="L2777" s="444">
        <f t="shared" ca="1" si="152"/>
        <v>-2609365657.4575868</v>
      </c>
      <c r="M2777" s="460">
        <f t="shared" si="154"/>
        <v>0.05</v>
      </c>
      <c r="N2777" s="464">
        <f t="shared" si="155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53"/>
        <v>-2609365657.4575868</v>
      </c>
      <c r="J2778" s="444">
        <f t="array" ref="J2778">IFERROR(INDEX('Retirement Calculator'!J:J,MATCH('Isaac 401k'!N2778,'Retirement Calculator'!A:A,0),0),0)</f>
        <v>0</v>
      </c>
      <c r="K2778" s="444">
        <f t="shared" ca="1" si="151"/>
        <v>-10872356.906073278</v>
      </c>
      <c r="L2778" s="444">
        <f t="shared" ca="1" si="152"/>
        <v>-2620238014.3636599</v>
      </c>
      <c r="M2778" s="460">
        <f t="shared" si="154"/>
        <v>0.05</v>
      </c>
      <c r="N2778" s="464">
        <f t="shared" si="155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53"/>
        <v>-2620238014.3636599</v>
      </c>
      <c r="J2779" s="444">
        <f t="array" ref="J2779">IFERROR(INDEX('Retirement Calculator'!J:J,MATCH('Isaac 401k'!N2779,'Retirement Calculator'!A:A,0),0),0)</f>
        <v>0</v>
      </c>
      <c r="K2779" s="444">
        <f t="shared" ca="1" si="151"/>
        <v>-10917658.393181916</v>
      </c>
      <c r="L2779" s="444">
        <f t="shared" ca="1" si="152"/>
        <v>-2631155672.7568417</v>
      </c>
      <c r="M2779" s="460">
        <f t="shared" si="154"/>
        <v>0.05</v>
      </c>
      <c r="N2779" s="464">
        <f t="shared" si="155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53"/>
        <v>-2631155672.7568417</v>
      </c>
      <c r="J2780" s="444">
        <f t="array" ref="J2780">IFERROR(INDEX('Retirement Calculator'!J:J,MATCH('Isaac 401k'!N2780,'Retirement Calculator'!A:A,0),0),0)</f>
        <v>0</v>
      </c>
      <c r="K2780" s="444">
        <f t="shared" ca="1" si="151"/>
        <v>-10963148.63648684</v>
      </c>
      <c r="L2780" s="444">
        <f t="shared" ca="1" si="152"/>
        <v>-2642118821.3933287</v>
      </c>
      <c r="M2780" s="460">
        <f t="shared" si="154"/>
        <v>0.05</v>
      </c>
      <c r="N2780" s="464">
        <f t="shared" si="155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53"/>
        <v>-2642118821.3933287</v>
      </c>
      <c r="J2781" s="444">
        <f t="array" ref="J2781">IFERROR(INDEX('Retirement Calculator'!J:J,MATCH('Isaac 401k'!N2781,'Retirement Calculator'!A:A,0),0),0)</f>
        <v>0</v>
      </c>
      <c r="K2781" s="444">
        <f t="shared" ca="1" si="151"/>
        <v>-11008828.422472203</v>
      </c>
      <c r="L2781" s="444">
        <f t="shared" ca="1" si="152"/>
        <v>-2653127649.8158007</v>
      </c>
      <c r="M2781" s="460">
        <f t="shared" si="154"/>
        <v>0.05</v>
      </c>
      <c r="N2781" s="464">
        <f t="shared" si="155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53"/>
        <v>-2653127649.8158007</v>
      </c>
      <c r="J2782" s="444">
        <f t="array" ref="J2782">IFERROR(INDEX('Retirement Calculator'!J:J,MATCH('Isaac 401k'!N2782,'Retirement Calculator'!A:A,0),0),0)</f>
        <v>0</v>
      </c>
      <c r="K2782" s="444">
        <f t="shared" ca="1" si="151"/>
        <v>-11054698.540899169</v>
      </c>
      <c r="L2782" s="444">
        <f t="shared" ca="1" si="152"/>
        <v>-2664182348.3566999</v>
      </c>
      <c r="M2782" s="460">
        <f t="shared" si="154"/>
        <v>0.05</v>
      </c>
      <c r="N2782" s="464">
        <f t="shared" si="155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53"/>
        <v>-2664182348.3566999</v>
      </c>
      <c r="J2783" s="444">
        <f t="array" ref="J2783">IFERROR(INDEX('Retirement Calculator'!J:J,MATCH('Isaac 401k'!N2783,'Retirement Calculator'!A:A,0),0),0)</f>
        <v>0</v>
      </c>
      <c r="K2783" s="444">
        <f t="shared" ca="1" si="151"/>
        <v>-11100759.784819582</v>
      </c>
      <c r="L2783" s="444">
        <f t="shared" ca="1" si="152"/>
        <v>-2675283108.1415195</v>
      </c>
      <c r="M2783" s="460">
        <f t="shared" si="154"/>
        <v>0.05</v>
      </c>
      <c r="N2783" s="464">
        <f t="shared" si="155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53"/>
        <v>-2675283108.1415195</v>
      </c>
      <c r="J2784" s="444">
        <f t="array" ref="J2784">IFERROR(INDEX('Retirement Calculator'!J:J,MATCH('Isaac 401k'!N2784,'Retirement Calculator'!A:A,0),0),0)</f>
        <v>0</v>
      </c>
      <c r="K2784" s="444">
        <f t="shared" ca="1" si="151"/>
        <v>-11147012.950589664</v>
      </c>
      <c r="L2784" s="444">
        <f t="shared" ca="1" si="152"/>
        <v>-2686430121.0921092</v>
      </c>
      <c r="M2784" s="460">
        <f t="shared" si="154"/>
        <v>0.05</v>
      </c>
      <c r="N2784" s="464">
        <f t="shared" si="155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53"/>
        <v>-2686430121.0921092</v>
      </c>
      <c r="J2785" s="444">
        <f t="array" ref="J2785">IFERROR(INDEX('Retirement Calculator'!J:J,MATCH('Isaac 401k'!N2785,'Retirement Calculator'!A:A,0),0),0)</f>
        <v>0</v>
      </c>
      <c r="K2785" s="444">
        <f t="shared" ca="1" si="151"/>
        <v>-11193458.837883789</v>
      </c>
      <c r="L2785" s="444">
        <f t="shared" ca="1" si="152"/>
        <v>-2697623579.9299932</v>
      </c>
      <c r="M2785" s="460">
        <f t="shared" si="154"/>
        <v>0.05</v>
      </c>
      <c r="N2785" s="464">
        <f t="shared" si="155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53"/>
        <v>-2697623579.9299932</v>
      </c>
      <c r="J2786" s="444">
        <f t="array" ref="J2786">IFERROR(INDEX('Retirement Calculator'!J:J,MATCH('Isaac 401k'!N2786,'Retirement Calculator'!A:A,0),0),0)</f>
        <v>0</v>
      </c>
      <c r="K2786" s="444">
        <f t="shared" ca="1" si="151"/>
        <v>-11240098.249708304</v>
      </c>
      <c r="L2786" s="444">
        <f t="shared" ca="1" si="152"/>
        <v>-2708863678.1797013</v>
      </c>
      <c r="M2786" s="460">
        <f t="shared" si="154"/>
        <v>0.05</v>
      </c>
      <c r="N2786" s="464">
        <f t="shared" si="155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53"/>
        <v>-2708863678.1797013</v>
      </c>
      <c r="J2787" s="444">
        <f t="array" ref="J2787">IFERROR(INDEX('Retirement Calculator'!J:J,MATCH('Isaac 401k'!N2787,'Retirement Calculator'!A:A,0),0),0)</f>
        <v>0</v>
      </c>
      <c r="K2787" s="444">
        <f t="shared" ca="1" si="151"/>
        <v>-11286931.992415423</v>
      </c>
      <c r="L2787" s="444">
        <f t="shared" ca="1" si="152"/>
        <v>-2720150610.1721168</v>
      </c>
      <c r="M2787" s="460">
        <f t="shared" si="154"/>
        <v>0.05</v>
      </c>
      <c r="N2787" s="464">
        <f t="shared" si="155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53"/>
        <v>-2720150610.1721168</v>
      </c>
      <c r="J2788" s="444">
        <f t="array" ref="J2788">IFERROR(INDEX('Retirement Calculator'!J:J,MATCH('Isaac 401k'!N2788,'Retirement Calculator'!A:A,0),0),0)</f>
        <v>0</v>
      </c>
      <c r="K2788" s="444">
        <f t="shared" ca="1" si="151"/>
        <v>-11333960.875717154</v>
      </c>
      <c r="L2788" s="444">
        <f t="shared" ca="1" si="152"/>
        <v>-2731484571.0478339</v>
      </c>
      <c r="M2788" s="460">
        <f t="shared" si="154"/>
        <v>0.05</v>
      </c>
      <c r="N2788" s="464">
        <f t="shared" si="155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53"/>
        <v>-2731484571.0478339</v>
      </c>
      <c r="J2789" s="444">
        <f t="array" ref="J2789">IFERROR(INDEX('Retirement Calculator'!J:J,MATCH('Isaac 401k'!N2789,'Retirement Calculator'!A:A,0),0),0)</f>
        <v>0</v>
      </c>
      <c r="K2789" s="444">
        <f t="shared" ca="1" si="151"/>
        <v>-11381185.712699307</v>
      </c>
      <c r="L2789" s="444">
        <f t="shared" ca="1" si="152"/>
        <v>-2742865756.7605333</v>
      </c>
      <c r="M2789" s="460">
        <f t="shared" si="154"/>
        <v>0.05</v>
      </c>
      <c r="N2789" s="464">
        <f t="shared" si="155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53"/>
        <v>-2742865756.7605333</v>
      </c>
      <c r="J2790" s="444">
        <f t="array" ref="J2790">IFERROR(INDEX('Retirement Calculator'!J:J,MATCH('Isaac 401k'!N2790,'Retirement Calculator'!A:A,0),0),0)</f>
        <v>0</v>
      </c>
      <c r="K2790" s="444">
        <f t="shared" ca="1" si="151"/>
        <v>-11428607.319835555</v>
      </c>
      <c r="L2790" s="444">
        <f t="shared" ca="1" si="152"/>
        <v>-2754294364.080369</v>
      </c>
      <c r="M2790" s="460">
        <f t="shared" si="154"/>
        <v>0.05</v>
      </c>
      <c r="N2790" s="464">
        <f t="shared" si="155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53"/>
        <v>-2754294364.080369</v>
      </c>
      <c r="J2791" s="444">
        <f t="array" ref="J2791">IFERROR(INDEX('Retirement Calculator'!J:J,MATCH('Isaac 401k'!N2791,'Retirement Calculator'!A:A,0),0),0)</f>
        <v>0</v>
      </c>
      <c r="K2791" s="444">
        <f t="shared" ca="1" si="151"/>
        <v>-11476226.517001538</v>
      </c>
      <c r="L2791" s="444">
        <f t="shared" ca="1" si="152"/>
        <v>-2765770590.5973706</v>
      </c>
      <c r="M2791" s="460">
        <f t="shared" si="154"/>
        <v>0.05</v>
      </c>
      <c r="N2791" s="464">
        <f t="shared" si="155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53"/>
        <v>-2765770590.5973706</v>
      </c>
      <c r="J2792" s="444">
        <f t="array" ref="J2792">IFERROR(INDEX('Retirement Calculator'!J:J,MATCH('Isaac 401k'!N2792,'Retirement Calculator'!A:A,0),0),0)</f>
        <v>0</v>
      </c>
      <c r="K2792" s="444">
        <f t="shared" ca="1" si="151"/>
        <v>-11524044.127489043</v>
      </c>
      <c r="L2792" s="444">
        <f t="shared" ca="1" si="152"/>
        <v>-2777294634.7248597</v>
      </c>
      <c r="M2792" s="460">
        <f t="shared" si="154"/>
        <v>0.05</v>
      </c>
      <c r="N2792" s="464">
        <f t="shared" si="155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53"/>
        <v>-2777294634.7248597</v>
      </c>
      <c r="J2793" s="444">
        <f t="array" ref="J2793">IFERROR(INDEX('Retirement Calculator'!J:J,MATCH('Isaac 401k'!N2793,'Retirement Calculator'!A:A,0),0),0)</f>
        <v>0</v>
      </c>
      <c r="K2793" s="444">
        <f t="shared" ca="1" si="151"/>
        <v>-11572060.978020249</v>
      </c>
      <c r="L2793" s="444">
        <f t="shared" ca="1" si="152"/>
        <v>-2788866695.7028799</v>
      </c>
      <c r="M2793" s="460">
        <f t="shared" si="154"/>
        <v>0.05</v>
      </c>
      <c r="N2793" s="464">
        <f t="shared" si="155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53"/>
        <v>-2788866695.7028799</v>
      </c>
      <c r="J2794" s="444">
        <f t="array" ref="J2794">IFERROR(INDEX('Retirement Calculator'!J:J,MATCH('Isaac 401k'!N2794,'Retirement Calculator'!A:A,0),0),0)</f>
        <v>0</v>
      </c>
      <c r="K2794" s="444">
        <f t="shared" ca="1" si="151"/>
        <v>-11620277.898761999</v>
      </c>
      <c r="L2794" s="444">
        <f t="shared" ca="1" si="152"/>
        <v>-2800486973.6016421</v>
      </c>
      <c r="M2794" s="460">
        <f t="shared" si="154"/>
        <v>0.05</v>
      </c>
      <c r="N2794" s="464">
        <f t="shared" si="155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53"/>
        <v>-2800486973.6016421</v>
      </c>
      <c r="J2795" s="444">
        <f t="array" ref="J2795">IFERROR(INDEX('Retirement Calculator'!J:J,MATCH('Isaac 401k'!N2795,'Retirement Calculator'!A:A,0),0),0)</f>
        <v>0</v>
      </c>
      <c r="K2795" s="444">
        <f t="shared" ca="1" si="151"/>
        <v>-11668695.723340176</v>
      </c>
      <c r="L2795" s="444">
        <f t="shared" ca="1" si="152"/>
        <v>-2812155669.3249822</v>
      </c>
      <c r="M2795" s="460">
        <f t="shared" si="154"/>
        <v>0.05</v>
      </c>
      <c r="N2795" s="464">
        <f t="shared" si="155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53"/>
        <v>-2812155669.3249822</v>
      </c>
      <c r="J2796" s="444">
        <f t="array" ref="J2796">IFERROR(INDEX('Retirement Calculator'!J:J,MATCH('Isaac 401k'!N2796,'Retirement Calculator'!A:A,0),0),0)</f>
        <v>0</v>
      </c>
      <c r="K2796" s="444">
        <f t="shared" ca="1" si="151"/>
        <v>-11717315.288854092</v>
      </c>
      <c r="L2796" s="444">
        <f t="shared" ca="1" si="152"/>
        <v>-2823872984.6138363</v>
      </c>
      <c r="M2796" s="460">
        <f t="shared" si="154"/>
        <v>0.05</v>
      </c>
      <c r="N2796" s="464">
        <f t="shared" si="155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53"/>
        <v>-2823872984.6138363</v>
      </c>
      <c r="J2797" s="444">
        <f t="array" ref="J2797">IFERROR(INDEX('Retirement Calculator'!J:J,MATCH('Isaac 401k'!N2797,'Retirement Calculator'!A:A,0),0),0)</f>
        <v>0</v>
      </c>
      <c r="K2797" s="444">
        <f t="shared" ca="1" si="151"/>
        <v>-11766137.435890984</v>
      </c>
      <c r="L2797" s="444">
        <f t="shared" ca="1" si="152"/>
        <v>-2835639122.0497274</v>
      </c>
      <c r="M2797" s="460">
        <f t="shared" si="154"/>
        <v>0.05</v>
      </c>
      <c r="N2797" s="464">
        <f t="shared" si="155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53"/>
        <v>-2835639122.0497274</v>
      </c>
      <c r="J2798" s="444">
        <f t="array" ref="J2798">IFERROR(INDEX('Retirement Calculator'!J:J,MATCH('Isaac 401k'!N2798,'Retirement Calculator'!A:A,0),0),0)</f>
        <v>0</v>
      </c>
      <c r="K2798" s="444">
        <f t="shared" ca="1" si="151"/>
        <v>-11815163.008540532</v>
      </c>
      <c r="L2798" s="444">
        <f t="shared" ca="1" si="152"/>
        <v>-2847454285.0582681</v>
      </c>
      <c r="M2798" s="460">
        <f t="shared" si="154"/>
        <v>0.05</v>
      </c>
      <c r="N2798" s="464">
        <f t="shared" si="155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53"/>
        <v>-2847454285.0582681</v>
      </c>
      <c r="J2799" s="444">
        <f t="array" ref="J2799">IFERROR(INDEX('Retirement Calculator'!J:J,MATCH('Isaac 401k'!N2799,'Retirement Calculator'!A:A,0),0),0)</f>
        <v>0</v>
      </c>
      <c r="K2799" s="444">
        <f t="shared" ca="1" si="151"/>
        <v>-11864392.854409451</v>
      </c>
      <c r="L2799" s="444">
        <f t="shared" ca="1" si="152"/>
        <v>-2859318677.9126773</v>
      </c>
      <c r="M2799" s="460">
        <f t="shared" si="154"/>
        <v>0.05</v>
      </c>
      <c r="N2799" s="464">
        <f t="shared" si="155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53"/>
        <v>-2859318677.9126773</v>
      </c>
      <c r="J2800" s="444">
        <f t="array" ref="J2800">IFERROR(INDEX('Retirement Calculator'!J:J,MATCH('Isaac 401k'!N2800,'Retirement Calculator'!A:A,0),0),0)</f>
        <v>0</v>
      </c>
      <c r="K2800" s="444">
        <f t="shared" ca="1" si="151"/>
        <v>-11913827.824636156</v>
      </c>
      <c r="L2800" s="444">
        <f t="shared" ca="1" si="152"/>
        <v>-2871232505.7373133</v>
      </c>
      <c r="M2800" s="460">
        <f t="shared" si="154"/>
        <v>0.05</v>
      </c>
      <c r="N2800" s="464">
        <f t="shared" si="155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53"/>
        <v>-2871232505.7373133</v>
      </c>
      <c r="J2801" s="444">
        <f t="array" ref="J2801">IFERROR(INDEX('Retirement Calculator'!J:J,MATCH('Isaac 401k'!N2801,'Retirement Calculator'!A:A,0),0),0)</f>
        <v>0</v>
      </c>
      <c r="K2801" s="444">
        <f t="shared" ca="1" si="151"/>
        <v>-11963468.773905471</v>
      </c>
      <c r="L2801" s="444">
        <f t="shared" ca="1" si="152"/>
        <v>-2883195974.5112185</v>
      </c>
      <c r="M2801" s="460">
        <f t="shared" si="154"/>
        <v>0.05</v>
      </c>
      <c r="N2801" s="464">
        <f t="shared" si="155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53"/>
        <v>-2883195974.5112185</v>
      </c>
      <c r="J2802" s="444">
        <f t="array" ref="J2802">IFERROR(INDEX('Retirement Calculator'!J:J,MATCH('Isaac 401k'!N2802,'Retirement Calculator'!A:A,0),0),0)</f>
        <v>0</v>
      </c>
      <c r="K2802" s="444">
        <f t="shared" ca="1" si="151"/>
        <v>-12013316.56046341</v>
      </c>
      <c r="L2802" s="444">
        <f t="shared" ca="1" si="152"/>
        <v>-2895209291.071682</v>
      </c>
      <c r="M2802" s="460">
        <f t="shared" si="154"/>
        <v>0.05</v>
      </c>
      <c r="N2802" s="464">
        <f t="shared" si="155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53"/>
        <v>-2895209291.071682</v>
      </c>
      <c r="J2803" s="444">
        <f t="array" ref="J2803">IFERROR(INDEX('Retirement Calculator'!J:J,MATCH('Isaac 401k'!N2803,'Retirement Calculator'!A:A,0),0),0)</f>
        <v>0</v>
      </c>
      <c r="K2803" s="444">
        <f t="shared" ca="1" si="151"/>
        <v>-12063372.046132008</v>
      </c>
      <c r="L2803" s="444">
        <f t="shared" ca="1" si="152"/>
        <v>-2907272663.1178141</v>
      </c>
      <c r="M2803" s="460">
        <f t="shared" si="154"/>
        <v>0.05</v>
      </c>
      <c r="N2803" s="464">
        <f t="shared" si="155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53"/>
        <v>-2907272663.1178141</v>
      </c>
      <c r="J2804" s="444">
        <f t="array" ref="J2804">IFERROR(INDEX('Retirement Calculator'!J:J,MATCH('Isaac 401k'!N2804,'Retirement Calculator'!A:A,0),0),0)</f>
        <v>0</v>
      </c>
      <c r="K2804" s="444">
        <f t="shared" ca="1" si="151"/>
        <v>-12113636.096324226</v>
      </c>
      <c r="L2804" s="444">
        <f t="shared" ca="1" si="152"/>
        <v>-2919386299.2141385</v>
      </c>
      <c r="M2804" s="460">
        <f t="shared" si="154"/>
        <v>0.05</v>
      </c>
      <c r="N2804" s="464">
        <f t="shared" si="155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53"/>
        <v>-2919386299.2141385</v>
      </c>
      <c r="J2805" s="444">
        <f t="array" ref="J2805">IFERROR(INDEX('Retirement Calculator'!J:J,MATCH('Isaac 401k'!N2805,'Retirement Calculator'!A:A,0),0),0)</f>
        <v>0</v>
      </c>
      <c r="K2805" s="444">
        <f t="shared" ca="1" si="151"/>
        <v>-12164109.58005891</v>
      </c>
      <c r="L2805" s="444">
        <f t="shared" ca="1" si="152"/>
        <v>-2931550408.7941976</v>
      </c>
      <c r="M2805" s="460">
        <f t="shared" si="154"/>
        <v>0.05</v>
      </c>
      <c r="N2805" s="464">
        <f t="shared" si="155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53"/>
        <v>-2931550408.7941976</v>
      </c>
      <c r="J2806" s="444">
        <f t="array" ref="J2806">IFERROR(INDEX('Retirement Calculator'!J:J,MATCH('Isaac 401k'!N2806,'Retirement Calculator'!A:A,0),0),0)</f>
        <v>0</v>
      </c>
      <c r="K2806" s="444">
        <f t="shared" ca="1" si="151"/>
        <v>-12214793.369975824</v>
      </c>
      <c r="L2806" s="444">
        <f t="shared" ca="1" si="152"/>
        <v>-2943765202.1641736</v>
      </c>
      <c r="M2806" s="460">
        <f t="shared" si="154"/>
        <v>0.05</v>
      </c>
      <c r="N2806" s="464">
        <f t="shared" si="155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53"/>
        <v>-2943765202.1641736</v>
      </c>
      <c r="J2807" s="444">
        <f t="array" ref="J2807">IFERROR(INDEX('Retirement Calculator'!J:J,MATCH('Isaac 401k'!N2807,'Retirement Calculator'!A:A,0),0),0)</f>
        <v>0</v>
      </c>
      <c r="K2807" s="444">
        <f t="shared" ca="1" si="151"/>
        <v>-12265688.342350723</v>
      </c>
      <c r="L2807" s="444">
        <f t="shared" ca="1" si="152"/>
        <v>-2956030890.5065246</v>
      </c>
      <c r="M2807" s="460">
        <f t="shared" si="154"/>
        <v>0.05</v>
      </c>
      <c r="N2807" s="464">
        <f t="shared" si="155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53"/>
        <v>-2956030890.5065246</v>
      </c>
      <c r="J2808" s="444">
        <f t="array" ref="J2808">IFERROR(INDEX('Retirement Calculator'!J:J,MATCH('Isaac 401k'!N2808,'Retirement Calculator'!A:A,0),0),0)</f>
        <v>0</v>
      </c>
      <c r="K2808" s="444">
        <f t="shared" ca="1" si="151"/>
        <v>-12316795.377110519</v>
      </c>
      <c r="L2808" s="444">
        <f t="shared" ca="1" si="152"/>
        <v>-2968347685.883635</v>
      </c>
      <c r="M2808" s="460">
        <f t="shared" si="154"/>
        <v>0.05</v>
      </c>
      <c r="N2808" s="464">
        <f t="shared" si="155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53"/>
        <v>-2968347685.883635</v>
      </c>
      <c r="J2809" s="444">
        <f t="array" ref="J2809">IFERROR(INDEX('Retirement Calculator'!J:J,MATCH('Isaac 401k'!N2809,'Retirement Calculator'!A:A,0),0),0)</f>
        <v>0</v>
      </c>
      <c r="K2809" s="444">
        <f t="shared" ca="1" si="151"/>
        <v>-12368115.357848478</v>
      </c>
      <c r="L2809" s="444">
        <f t="shared" ca="1" si="152"/>
        <v>-2980715801.2414837</v>
      </c>
      <c r="M2809" s="460">
        <f t="shared" si="154"/>
        <v>0.05</v>
      </c>
      <c r="N2809" s="464">
        <f t="shared" si="155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53"/>
        <v>-2980715801.2414837</v>
      </c>
      <c r="J2810" s="444">
        <f t="array" ref="J2810">IFERROR(INDEX('Retirement Calculator'!J:J,MATCH('Isaac 401k'!N2810,'Retirement Calculator'!A:A,0),0),0)</f>
        <v>0</v>
      </c>
      <c r="K2810" s="444">
        <f t="shared" ca="1" si="151"/>
        <v>-12419649.171839515</v>
      </c>
      <c r="L2810" s="444">
        <f t="shared" ca="1" si="152"/>
        <v>-2993135450.4133234</v>
      </c>
      <c r="M2810" s="460">
        <f t="shared" si="154"/>
        <v>0.05</v>
      </c>
      <c r="N2810" s="464">
        <f t="shared" si="155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53"/>
        <v>-2993135450.4133234</v>
      </c>
      <c r="J2811" s="444">
        <f t="array" ref="J2811">IFERROR(INDEX('Retirement Calculator'!J:J,MATCH('Isaac 401k'!N2811,'Retirement Calculator'!A:A,0),0),0)</f>
        <v>0</v>
      </c>
      <c r="K2811" s="444">
        <f t="shared" ca="1" si="151"/>
        <v>-12471397.710055513</v>
      </c>
      <c r="L2811" s="444">
        <f t="shared" ca="1" si="152"/>
        <v>-3005606848.1233788</v>
      </c>
      <c r="M2811" s="460">
        <f t="shared" si="154"/>
        <v>0.05</v>
      </c>
      <c r="N2811" s="464">
        <f t="shared" si="155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53"/>
        <v>-3005606848.1233788</v>
      </c>
      <c r="J2812" s="444">
        <f t="array" ref="J2812">IFERROR(INDEX('Retirement Calculator'!J:J,MATCH('Isaac 401k'!N2812,'Retirement Calculator'!A:A,0),0),0)</f>
        <v>0</v>
      </c>
      <c r="K2812" s="444">
        <f t="shared" ca="1" si="151"/>
        <v>-12523361.867180744</v>
      </c>
      <c r="L2812" s="444">
        <f t="shared" ca="1" si="152"/>
        <v>-3018130209.9905596</v>
      </c>
      <c r="M2812" s="460">
        <f t="shared" si="154"/>
        <v>0.05</v>
      </c>
      <c r="N2812" s="464">
        <f t="shared" si="155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53"/>
        <v>-3018130209.9905596</v>
      </c>
      <c r="J2813" s="444">
        <f t="array" ref="J2813">IFERROR(INDEX('Retirement Calculator'!J:J,MATCH('Isaac 401k'!N2813,'Retirement Calculator'!A:A,0),0),0)</f>
        <v>0</v>
      </c>
      <c r="K2813" s="444">
        <f t="shared" ref="K2813:K3067" ca="1" si="156">IPMT(M2813/12,1,12,-I2813+J2813,,0)</f>
        <v>-12575542.541627331</v>
      </c>
      <c r="L2813" s="444">
        <f t="shared" ref="L2813:L3067" ca="1" si="157">I2813-J2813+K2813</f>
        <v>-3030705752.532187</v>
      </c>
      <c r="M2813" s="460">
        <f t="shared" si="154"/>
        <v>0.05</v>
      </c>
      <c r="N2813" s="464">
        <f t="shared" si="155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58">L2813</f>
        <v>-3030705752.532187</v>
      </c>
      <c r="J2814" s="444">
        <f t="array" ref="J2814">IFERROR(INDEX('Retirement Calculator'!J:J,MATCH('Isaac 401k'!N2814,'Retirement Calculator'!A:A,0),0),0)</f>
        <v>0</v>
      </c>
      <c r="K2814" s="444">
        <f t="shared" ca="1" si="156"/>
        <v>-12627940.635550778</v>
      </c>
      <c r="L2814" s="444">
        <f t="shared" ca="1" si="157"/>
        <v>-3043333693.167738</v>
      </c>
      <c r="M2814" s="460">
        <f t="shared" ref="M2814:M3068" si="159">M2813</f>
        <v>0.05</v>
      </c>
      <c r="N2814" s="464">
        <f t="shared" ref="N2814:N3068" si="160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58"/>
        <v>-3043333693.167738</v>
      </c>
      <c r="J2815" s="444">
        <f t="array" ref="J2815">IFERROR(INDEX('Retirement Calculator'!J:J,MATCH('Isaac 401k'!N2815,'Retirement Calculator'!A:A,0),0),0)</f>
        <v>0</v>
      </c>
      <c r="K2815" s="444">
        <f t="shared" ca="1" si="156"/>
        <v>-12680557.054865574</v>
      </c>
      <c r="L2815" s="444">
        <f t="shared" ca="1" si="157"/>
        <v>-3056014250.2226033</v>
      </c>
      <c r="M2815" s="460">
        <f t="shared" si="159"/>
        <v>0.05</v>
      </c>
      <c r="N2815" s="464">
        <f t="shared" si="160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58"/>
        <v>-3056014250.2226033</v>
      </c>
      <c r="J2816" s="444">
        <f t="array" ref="J2816">IFERROR(INDEX('Retirement Calculator'!J:J,MATCH('Isaac 401k'!N2816,'Retirement Calculator'!A:A,0),0),0)</f>
        <v>0</v>
      </c>
      <c r="K2816" s="444">
        <f t="shared" ca="1" si="156"/>
        <v>-12733392.709260847</v>
      </c>
      <c r="L2816" s="444">
        <f t="shared" ca="1" si="157"/>
        <v>-3068747642.9318643</v>
      </c>
      <c r="M2816" s="460">
        <f t="shared" si="159"/>
        <v>0.05</v>
      </c>
      <c r="N2816" s="464">
        <f t="shared" si="160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58"/>
        <v>-3068747642.9318643</v>
      </c>
      <c r="J2817" s="444">
        <f t="array" ref="J2817">IFERROR(INDEX('Retirement Calculator'!J:J,MATCH('Isaac 401k'!N2817,'Retirement Calculator'!A:A,0),0),0)</f>
        <v>0</v>
      </c>
      <c r="K2817" s="444">
        <f t="shared" ca="1" si="156"/>
        <v>-12786448.5122161</v>
      </c>
      <c r="L2817" s="444">
        <f t="shared" ca="1" si="157"/>
        <v>-3081534091.4440804</v>
      </c>
      <c r="M2817" s="460">
        <f t="shared" si="159"/>
        <v>0.05</v>
      </c>
      <c r="N2817" s="464">
        <f t="shared" si="160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58"/>
        <v>-3081534091.4440804</v>
      </c>
      <c r="J2818" s="444">
        <f t="array" ref="J2818">IFERROR(INDEX('Retirement Calculator'!J:J,MATCH('Isaac 401k'!N2818,'Retirement Calculator'!A:A,0),0),0)</f>
        <v>0</v>
      </c>
      <c r="K2818" s="444">
        <f t="shared" ca="1" si="156"/>
        <v>-12839725.381017001</v>
      </c>
      <c r="L2818" s="444">
        <f t="shared" ca="1" si="157"/>
        <v>-3094373816.8250976</v>
      </c>
      <c r="M2818" s="460">
        <f t="shared" si="159"/>
        <v>0.05</v>
      </c>
      <c r="N2818" s="464">
        <f t="shared" si="160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58"/>
        <v>-3094373816.8250976</v>
      </c>
      <c r="J2819" s="444">
        <f t="array" ref="J2819">IFERROR(INDEX('Retirement Calculator'!J:J,MATCH('Isaac 401k'!N2819,'Retirement Calculator'!A:A,0),0),0)</f>
        <v>0</v>
      </c>
      <c r="K2819" s="444">
        <f t="shared" ca="1" si="156"/>
        <v>-12893224.236771239</v>
      </c>
      <c r="L2819" s="444">
        <f t="shared" ca="1" si="157"/>
        <v>-3107267041.0618687</v>
      </c>
      <c r="M2819" s="460">
        <f t="shared" si="159"/>
        <v>0.05</v>
      </c>
      <c r="N2819" s="464">
        <f t="shared" si="160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58"/>
        <v>-3107267041.0618687</v>
      </c>
      <c r="J2820" s="444">
        <f t="array" ref="J2820">IFERROR(INDEX('Retirement Calculator'!J:J,MATCH('Isaac 401k'!N2820,'Retirement Calculator'!A:A,0),0),0)</f>
        <v>0</v>
      </c>
      <c r="K2820" s="444">
        <f t="shared" ca="1" si="156"/>
        <v>-12946946.004424453</v>
      </c>
      <c r="L2820" s="444">
        <f t="shared" ca="1" si="157"/>
        <v>-3120213987.0662932</v>
      </c>
      <c r="M2820" s="460">
        <f t="shared" si="159"/>
        <v>0.05</v>
      </c>
      <c r="N2820" s="464">
        <f t="shared" si="160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58"/>
        <v>-3120213987.0662932</v>
      </c>
      <c r="J2821" s="444">
        <f t="array" ref="J2821">IFERROR(INDEX('Retirement Calculator'!J:J,MATCH('Isaac 401k'!N2821,'Retirement Calculator'!A:A,0),0),0)</f>
        <v>0</v>
      </c>
      <c r="K2821" s="444">
        <f t="shared" ca="1" si="156"/>
        <v>-13000891.612776222</v>
      </c>
      <c r="L2821" s="444">
        <f t="shared" ca="1" si="157"/>
        <v>-3133214878.6790695</v>
      </c>
      <c r="M2821" s="460">
        <f t="shared" si="159"/>
        <v>0.05</v>
      </c>
      <c r="N2821" s="464">
        <f t="shared" si="160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58"/>
        <v>-3133214878.6790695</v>
      </c>
      <c r="J2822" s="444">
        <f t="array" ref="J2822">IFERROR(INDEX('Retirement Calculator'!J:J,MATCH('Isaac 401k'!N2822,'Retirement Calculator'!A:A,0),0),0)</f>
        <v>0</v>
      </c>
      <c r="K2822" s="444">
        <f t="shared" ca="1" si="156"/>
        <v>-13055061.994496122</v>
      </c>
      <c r="L2822" s="444">
        <f t="shared" ca="1" si="157"/>
        <v>-3146269940.6735659</v>
      </c>
      <c r="M2822" s="460">
        <f t="shared" si="159"/>
        <v>0.05</v>
      </c>
      <c r="N2822" s="464">
        <f t="shared" si="160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58"/>
        <v>-3146269940.6735659</v>
      </c>
      <c r="J2823" s="444">
        <f t="array" ref="J2823">IFERROR(INDEX('Retirement Calculator'!J:J,MATCH('Isaac 401k'!N2823,'Retirement Calculator'!A:A,0),0),0)</f>
        <v>0</v>
      </c>
      <c r="K2823" s="444">
        <f t="shared" ca="1" si="156"/>
        <v>-13109458.086139858</v>
      </c>
      <c r="L2823" s="444">
        <f t="shared" ca="1" si="157"/>
        <v>-3159379398.7597055</v>
      </c>
      <c r="M2823" s="460">
        <f t="shared" si="159"/>
        <v>0.05</v>
      </c>
      <c r="N2823" s="464">
        <f t="shared" si="160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58"/>
        <v>-3159379398.7597055</v>
      </c>
      <c r="J2824" s="444">
        <f t="array" ref="J2824">IFERROR(INDEX('Retirement Calculator'!J:J,MATCH('Isaac 401k'!N2824,'Retirement Calculator'!A:A,0),0),0)</f>
        <v>0</v>
      </c>
      <c r="K2824" s="444">
        <f t="shared" ca="1" si="156"/>
        <v>-13164080.82816544</v>
      </c>
      <c r="L2824" s="444">
        <f t="shared" ca="1" si="157"/>
        <v>-3172543479.5878711</v>
      </c>
      <c r="M2824" s="460">
        <f t="shared" si="159"/>
        <v>0.05</v>
      </c>
      <c r="N2824" s="464">
        <f t="shared" si="160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58"/>
        <v>-3172543479.5878711</v>
      </c>
      <c r="J2825" s="444">
        <f t="array" ref="J2825">IFERROR(INDEX('Retirement Calculator'!J:J,MATCH('Isaac 401k'!N2825,'Retirement Calculator'!A:A,0),0),0)</f>
        <v>0</v>
      </c>
      <c r="K2825" s="444">
        <f t="shared" ca="1" si="156"/>
        <v>-13218931.164949462</v>
      </c>
      <c r="L2825" s="444">
        <f t="shared" ca="1" si="157"/>
        <v>-3185762410.7528205</v>
      </c>
      <c r="M2825" s="460">
        <f t="shared" si="159"/>
        <v>0.05</v>
      </c>
      <c r="N2825" s="464">
        <f t="shared" si="160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58"/>
        <v>-3185762410.7528205</v>
      </c>
      <c r="J2826" s="444">
        <f t="array" ref="J2826">IFERROR(INDEX('Retirement Calculator'!J:J,MATCH('Isaac 401k'!N2826,'Retirement Calculator'!A:A,0),0),0)</f>
        <v>0</v>
      </c>
      <c r="K2826" s="444">
        <f t="shared" ca="1" si="156"/>
        <v>-13274010.044803418</v>
      </c>
      <c r="L2826" s="444">
        <f t="shared" ca="1" si="157"/>
        <v>-3199036420.7976241</v>
      </c>
      <c r="M2826" s="460">
        <f t="shared" si="159"/>
        <v>0.05</v>
      </c>
      <c r="N2826" s="464">
        <f t="shared" si="160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58"/>
        <v>-3199036420.7976241</v>
      </c>
      <c r="J2827" s="444">
        <f t="array" ref="J2827">IFERROR(INDEX('Retirement Calculator'!J:J,MATCH('Isaac 401k'!N2827,'Retirement Calculator'!A:A,0),0),0)</f>
        <v>0</v>
      </c>
      <c r="K2827" s="444">
        <f t="shared" ca="1" si="156"/>
        <v>-13329318.4199901</v>
      </c>
      <c r="L2827" s="444">
        <f t="shared" ca="1" si="157"/>
        <v>-3212365739.2176142</v>
      </c>
      <c r="M2827" s="460">
        <f t="shared" si="159"/>
        <v>0.05</v>
      </c>
      <c r="N2827" s="464">
        <f t="shared" si="160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58"/>
        <v>-3212365739.2176142</v>
      </c>
      <c r="J2828" s="444">
        <f t="array" ref="J2828">IFERROR(INDEX('Retirement Calculator'!J:J,MATCH('Isaac 401k'!N2828,'Retirement Calculator'!A:A,0),0),0)</f>
        <v>0</v>
      </c>
      <c r="K2828" s="444">
        <f t="shared" ca="1" si="156"/>
        <v>-13384857.246740058</v>
      </c>
      <c r="L2828" s="444">
        <f t="shared" ca="1" si="157"/>
        <v>-3225750596.464354</v>
      </c>
      <c r="M2828" s="460">
        <f t="shared" si="159"/>
        <v>0.05</v>
      </c>
      <c r="N2828" s="464">
        <f t="shared" si="160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58"/>
        <v>-3225750596.464354</v>
      </c>
      <c r="J2829" s="444">
        <f t="array" ref="J2829">IFERROR(INDEX('Retirement Calculator'!J:J,MATCH('Isaac 401k'!N2829,'Retirement Calculator'!A:A,0),0),0)</f>
        <v>0</v>
      </c>
      <c r="K2829" s="444">
        <f t="shared" ca="1" si="156"/>
        <v>-13440627.485268142</v>
      </c>
      <c r="L2829" s="444">
        <f t="shared" ca="1" si="157"/>
        <v>-3239191223.9496222</v>
      </c>
      <c r="M2829" s="460">
        <f t="shared" si="159"/>
        <v>0.05</v>
      </c>
      <c r="N2829" s="464">
        <f t="shared" si="160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58"/>
        <v>-3239191223.9496222</v>
      </c>
      <c r="J2830" s="444">
        <f t="array" ref="J2830">IFERROR(INDEX('Retirement Calculator'!J:J,MATCH('Isaac 401k'!N2830,'Retirement Calculator'!A:A,0),0),0)</f>
        <v>0</v>
      </c>
      <c r="K2830" s="444">
        <f t="shared" ca="1" si="156"/>
        <v>-13496630.099790093</v>
      </c>
      <c r="L2830" s="444">
        <f t="shared" ca="1" si="157"/>
        <v>-3252687854.0494123</v>
      </c>
      <c r="M2830" s="460">
        <f t="shared" si="159"/>
        <v>0.05</v>
      </c>
      <c r="N2830" s="464">
        <f t="shared" si="160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58"/>
        <v>-3252687854.0494123</v>
      </c>
      <c r="J2831" s="444">
        <f t="array" ref="J2831">IFERROR(INDEX('Retirement Calculator'!J:J,MATCH('Isaac 401k'!N2831,'Retirement Calculator'!A:A,0),0),0)</f>
        <v>0</v>
      </c>
      <c r="K2831" s="444">
        <f t="shared" ca="1" si="156"/>
        <v>-13552866.058539217</v>
      </c>
      <c r="L2831" s="444">
        <f t="shared" ca="1" si="157"/>
        <v>-3266240720.1079516</v>
      </c>
      <c r="M2831" s="460">
        <f t="shared" si="159"/>
        <v>0.05</v>
      </c>
      <c r="N2831" s="464">
        <f t="shared" si="160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58"/>
        <v>-3266240720.1079516</v>
      </c>
      <c r="J2832" s="444">
        <f t="array" ref="J2832">IFERROR(INDEX('Retirement Calculator'!J:J,MATCH('Isaac 401k'!N2832,'Retirement Calculator'!A:A,0),0),0)</f>
        <v>0</v>
      </c>
      <c r="K2832" s="444">
        <f t="shared" ca="1" si="156"/>
        <v>-13609336.333783131</v>
      </c>
      <c r="L2832" s="444">
        <f t="shared" ca="1" si="157"/>
        <v>-3279850056.4417348</v>
      </c>
      <c r="M2832" s="460">
        <f t="shared" si="159"/>
        <v>0.05</v>
      </c>
      <c r="N2832" s="464">
        <f t="shared" si="160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58"/>
        <v>-3279850056.4417348</v>
      </c>
      <c r="J2833" s="444">
        <f t="array" ref="J2833">IFERROR(INDEX('Retirement Calculator'!J:J,MATCH('Isaac 401k'!N2833,'Retirement Calculator'!A:A,0),0),0)</f>
        <v>0</v>
      </c>
      <c r="K2833" s="444">
        <f t="shared" ca="1" si="156"/>
        <v>-13666041.901840562</v>
      </c>
      <c r="L2833" s="444">
        <f t="shared" ca="1" si="157"/>
        <v>-3293516098.3435755</v>
      </c>
      <c r="M2833" s="460">
        <f t="shared" si="159"/>
        <v>0.05</v>
      </c>
      <c r="N2833" s="464">
        <f t="shared" si="160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58"/>
        <v>-3293516098.3435755</v>
      </c>
      <c r="J2834" s="444">
        <f t="array" ref="J2834">IFERROR(INDEX('Retirement Calculator'!J:J,MATCH('Isaac 401k'!N2834,'Retirement Calculator'!A:A,0),0),0)</f>
        <v>0</v>
      </c>
      <c r="K2834" s="444">
        <f t="shared" ca="1" si="156"/>
        <v>-13722983.743098231</v>
      </c>
      <c r="L2834" s="444">
        <f t="shared" ca="1" si="157"/>
        <v>-3307239082.0866737</v>
      </c>
      <c r="M2834" s="460">
        <f t="shared" si="159"/>
        <v>0.05</v>
      </c>
      <c r="N2834" s="464">
        <f t="shared" si="160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58"/>
        <v>-3307239082.0866737</v>
      </c>
      <c r="J2835" s="444">
        <f t="array" ref="J2835">IFERROR(INDEX('Retirement Calculator'!J:J,MATCH('Isaac 401k'!N2835,'Retirement Calculator'!A:A,0),0),0)</f>
        <v>0</v>
      </c>
      <c r="K2835" s="444">
        <f t="shared" ca="1" si="156"/>
        <v>-13780162.842027808</v>
      </c>
      <c r="L2835" s="444">
        <f t="shared" ca="1" si="157"/>
        <v>-3321019244.9287014</v>
      </c>
      <c r="M2835" s="460">
        <f t="shared" si="159"/>
        <v>0.05</v>
      </c>
      <c r="N2835" s="464">
        <f t="shared" si="160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58"/>
        <v>-3321019244.9287014</v>
      </c>
      <c r="J2836" s="444">
        <f t="array" ref="J2836">IFERROR(INDEX('Retirement Calculator'!J:J,MATCH('Isaac 401k'!N2836,'Retirement Calculator'!A:A,0),0),0)</f>
        <v>0</v>
      </c>
      <c r="K2836" s="444">
        <f t="shared" ca="1" si="156"/>
        <v>-13837580.187202923</v>
      </c>
      <c r="L2836" s="444">
        <f t="shared" ca="1" si="157"/>
        <v>-3334856825.1159043</v>
      </c>
      <c r="M2836" s="460">
        <f t="shared" si="159"/>
        <v>0.05</v>
      </c>
      <c r="N2836" s="464">
        <f t="shared" si="160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58"/>
        <v>-3334856825.1159043</v>
      </c>
      <c r="J2837" s="444">
        <f t="array" ref="J2837">IFERROR(INDEX('Retirement Calculator'!J:J,MATCH('Isaac 401k'!N2837,'Retirement Calculator'!A:A,0),0),0)</f>
        <v>0</v>
      </c>
      <c r="K2837" s="444">
        <f t="shared" ca="1" si="156"/>
        <v>-13895236.771316268</v>
      </c>
      <c r="L2837" s="444">
        <f t="shared" ca="1" si="157"/>
        <v>-3348752061.8872204</v>
      </c>
      <c r="M2837" s="460">
        <f t="shared" si="159"/>
        <v>0.05</v>
      </c>
      <c r="N2837" s="464">
        <f t="shared" si="160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58"/>
        <v>-3348752061.8872204</v>
      </c>
      <c r="J2838" s="444">
        <f t="array" ref="J2838">IFERROR(INDEX('Retirement Calculator'!J:J,MATCH('Isaac 401k'!N2838,'Retirement Calculator'!A:A,0),0),0)</f>
        <v>0</v>
      </c>
      <c r="K2838" s="444">
        <f t="shared" ca="1" si="156"/>
        <v>-13953133.591196751</v>
      </c>
      <c r="L2838" s="444">
        <f t="shared" ca="1" si="157"/>
        <v>-3362705195.4784169</v>
      </c>
      <c r="M2838" s="460">
        <f t="shared" si="159"/>
        <v>0.05</v>
      </c>
      <c r="N2838" s="464">
        <f t="shared" si="160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58"/>
        <v>-3362705195.4784169</v>
      </c>
      <c r="J2839" s="444">
        <f t="array" ref="J2839">IFERROR(INDEX('Retirement Calculator'!J:J,MATCH('Isaac 401k'!N2839,'Retirement Calculator'!A:A,0),0),0)</f>
        <v>0</v>
      </c>
      <c r="K2839" s="444">
        <f t="shared" ca="1" si="156"/>
        <v>-14011271.647826737</v>
      </c>
      <c r="L2839" s="444">
        <f t="shared" ca="1" si="157"/>
        <v>-3376716467.1262436</v>
      </c>
      <c r="M2839" s="460">
        <f t="shared" si="159"/>
        <v>0.05</v>
      </c>
      <c r="N2839" s="464">
        <f t="shared" si="160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58"/>
        <v>-3376716467.1262436</v>
      </c>
      <c r="J2840" s="444">
        <f t="array" ref="J2840">IFERROR(INDEX('Retirement Calculator'!J:J,MATCH('Isaac 401k'!N2840,'Retirement Calculator'!A:A,0),0),0)</f>
        <v>0</v>
      </c>
      <c r="K2840" s="444">
        <f t="shared" ca="1" si="156"/>
        <v>-14069651.946359349</v>
      </c>
      <c r="L2840" s="444">
        <f t="shared" ca="1" si="157"/>
        <v>-3390786119.0726027</v>
      </c>
      <c r="M2840" s="460">
        <f t="shared" si="159"/>
        <v>0.05</v>
      </c>
      <c r="N2840" s="464">
        <f t="shared" si="160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58"/>
        <v>-3390786119.0726027</v>
      </c>
      <c r="J2841" s="444">
        <f t="array" ref="J2841">IFERROR(INDEX('Retirement Calculator'!J:J,MATCH('Isaac 401k'!N2841,'Retirement Calculator'!A:A,0),0),0)</f>
        <v>0</v>
      </c>
      <c r="K2841" s="444">
        <f t="shared" ca="1" si="156"/>
        <v>-14128275.496135846</v>
      </c>
      <c r="L2841" s="444">
        <f t="shared" ca="1" si="157"/>
        <v>-3404914394.5687385</v>
      </c>
      <c r="M2841" s="460">
        <f t="shared" si="159"/>
        <v>0.05</v>
      </c>
      <c r="N2841" s="464">
        <f t="shared" si="160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58"/>
        <v>-3404914394.5687385</v>
      </c>
      <c r="J2842" s="444">
        <f t="array" ref="J2842">IFERROR(INDEX('Retirement Calculator'!J:J,MATCH('Isaac 401k'!N2842,'Retirement Calculator'!A:A,0),0),0)</f>
        <v>0</v>
      </c>
      <c r="K2842" s="444">
        <f t="shared" ca="1" si="156"/>
        <v>-14187143.310703076</v>
      </c>
      <c r="L2842" s="444">
        <f t="shared" ca="1" si="157"/>
        <v>-3419101537.8794417</v>
      </c>
      <c r="M2842" s="460">
        <f t="shared" si="159"/>
        <v>0.05</v>
      </c>
      <c r="N2842" s="464">
        <f t="shared" si="160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58"/>
        <v>-3419101537.8794417</v>
      </c>
      <c r="J2843" s="444">
        <f t="array" ref="J2843">IFERROR(INDEX('Retirement Calculator'!J:J,MATCH('Isaac 401k'!N2843,'Retirement Calculator'!A:A,0),0),0)</f>
        <v>0</v>
      </c>
      <c r="K2843" s="444">
        <f t="shared" ca="1" si="156"/>
        <v>-14246256.407831008</v>
      </c>
      <c r="L2843" s="444">
        <f t="shared" ca="1" si="157"/>
        <v>-3433347794.2872729</v>
      </c>
      <c r="M2843" s="460">
        <f t="shared" si="159"/>
        <v>0.05</v>
      </c>
      <c r="N2843" s="464">
        <f t="shared" si="160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58"/>
        <v>-3433347794.2872729</v>
      </c>
      <c r="J2844" s="444">
        <f t="array" ref="J2844">IFERROR(INDEX('Retirement Calculator'!J:J,MATCH('Isaac 401k'!N2844,'Retirement Calculator'!A:A,0),0),0)</f>
        <v>0</v>
      </c>
      <c r="K2844" s="444">
        <f t="shared" ca="1" si="156"/>
        <v>-14305615.809530303</v>
      </c>
      <c r="L2844" s="444">
        <f t="shared" ca="1" si="157"/>
        <v>-3447653410.0968032</v>
      </c>
      <c r="M2844" s="460">
        <f t="shared" si="159"/>
        <v>0.05</v>
      </c>
      <c r="N2844" s="464">
        <f t="shared" si="160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58"/>
        <v>-3447653410.0968032</v>
      </c>
      <c r="J2845" s="444">
        <f t="array" ref="J2845">IFERROR(INDEX('Retirement Calculator'!J:J,MATCH('Isaac 401k'!N2845,'Retirement Calculator'!A:A,0),0),0)</f>
        <v>0</v>
      </c>
      <c r="K2845" s="444">
        <f t="shared" ca="1" si="156"/>
        <v>-14365222.542070013</v>
      </c>
      <c r="L2845" s="444">
        <f t="shared" ca="1" si="157"/>
        <v>-3462018632.6388731</v>
      </c>
      <c r="M2845" s="460">
        <f t="shared" si="159"/>
        <v>0.05</v>
      </c>
      <c r="N2845" s="464">
        <f t="shared" si="160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58"/>
        <v>-3462018632.6388731</v>
      </c>
      <c r="J2846" s="444">
        <f t="array" ref="J2846">IFERROR(INDEX('Retirement Calculator'!J:J,MATCH('Isaac 401k'!N2846,'Retirement Calculator'!A:A,0),0),0)</f>
        <v>0</v>
      </c>
      <c r="K2846" s="444">
        <f t="shared" ca="1" si="156"/>
        <v>-14425077.635995304</v>
      </c>
      <c r="L2846" s="444">
        <f t="shared" ca="1" si="157"/>
        <v>-3476443710.2748685</v>
      </c>
      <c r="M2846" s="460">
        <f t="shared" si="159"/>
        <v>0.05</v>
      </c>
      <c r="N2846" s="464">
        <f t="shared" si="160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58"/>
        <v>-3476443710.2748685</v>
      </c>
      <c r="J2847" s="444">
        <f t="array" ref="J2847">IFERROR(INDEX('Retirement Calculator'!J:J,MATCH('Isaac 401k'!N2847,'Retirement Calculator'!A:A,0),0),0)</f>
        <v>0</v>
      </c>
      <c r="K2847" s="444">
        <f t="shared" ca="1" si="156"/>
        <v>-14485182.126145285</v>
      </c>
      <c r="L2847" s="444">
        <f t="shared" ca="1" si="157"/>
        <v>-3490928892.4010139</v>
      </c>
      <c r="M2847" s="460">
        <f t="shared" si="159"/>
        <v>0.05</v>
      </c>
      <c r="N2847" s="464">
        <f t="shared" si="160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58"/>
        <v>-3490928892.4010139</v>
      </c>
      <c r="J2848" s="444">
        <f t="array" ref="J2848">IFERROR(INDEX('Retirement Calculator'!J:J,MATCH('Isaac 401k'!N2848,'Retirement Calculator'!A:A,0),0),0)</f>
        <v>0</v>
      </c>
      <c r="K2848" s="444">
        <f t="shared" ca="1" si="156"/>
        <v>-14545537.051670892</v>
      </c>
      <c r="L2848" s="444">
        <f t="shared" ca="1" si="157"/>
        <v>-3505474429.4526849</v>
      </c>
      <c r="M2848" s="460">
        <f t="shared" si="159"/>
        <v>0.05</v>
      </c>
      <c r="N2848" s="464">
        <f t="shared" si="160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58"/>
        <v>-3505474429.4526849</v>
      </c>
      <c r="J2849" s="444">
        <f t="array" ref="J2849">IFERROR(INDEX('Retirement Calculator'!J:J,MATCH('Isaac 401k'!N2849,'Retirement Calculator'!A:A,0),0),0)</f>
        <v>0</v>
      </c>
      <c r="K2849" s="444">
        <f t="shared" ca="1" si="156"/>
        <v>-14606143.456052853</v>
      </c>
      <c r="L2849" s="444">
        <f t="shared" ca="1" si="157"/>
        <v>-3520080572.9087377</v>
      </c>
      <c r="M2849" s="460">
        <f t="shared" si="159"/>
        <v>0.05</v>
      </c>
      <c r="N2849" s="464">
        <f t="shared" si="160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58"/>
        <v>-3520080572.9087377</v>
      </c>
      <c r="J2850" s="444">
        <f t="array" ref="J2850">IFERROR(INDEX('Retirement Calculator'!J:J,MATCH('Isaac 401k'!N2850,'Retirement Calculator'!A:A,0),0),0)</f>
        <v>0</v>
      </c>
      <c r="K2850" s="444">
        <f t="shared" ca="1" si="156"/>
        <v>-14667002.38711974</v>
      </c>
      <c r="L2850" s="444">
        <f t="shared" ca="1" si="157"/>
        <v>-3534747575.2958574</v>
      </c>
      <c r="M2850" s="460">
        <f t="shared" si="159"/>
        <v>0.05</v>
      </c>
      <c r="N2850" s="464">
        <f t="shared" si="160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58"/>
        <v>-3534747575.2958574</v>
      </c>
      <c r="J2851" s="444">
        <f t="array" ref="J2851">IFERROR(INDEX('Retirement Calculator'!J:J,MATCH('Isaac 401k'!N2851,'Retirement Calculator'!A:A,0),0),0)</f>
        <v>0</v>
      </c>
      <c r="K2851" s="444">
        <f t="shared" ca="1" si="156"/>
        <v>-14728114.89706607</v>
      </c>
      <c r="L2851" s="444">
        <f t="shared" ca="1" si="157"/>
        <v>-3549475690.1929235</v>
      </c>
      <c r="M2851" s="460">
        <f t="shared" si="159"/>
        <v>0.05</v>
      </c>
      <c r="N2851" s="464">
        <f t="shared" si="160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58"/>
        <v>-3549475690.1929235</v>
      </c>
      <c r="J2852" s="444">
        <f t="array" ref="J2852">IFERROR(INDEX('Retirement Calculator'!J:J,MATCH('Isaac 401k'!N2852,'Retirement Calculator'!A:A,0),0),0)</f>
        <v>0</v>
      </c>
      <c r="K2852" s="444">
        <f t="shared" ca="1" si="156"/>
        <v>-14789482.042470513</v>
      </c>
      <c r="L2852" s="444">
        <f t="shared" ca="1" si="157"/>
        <v>-3564265172.235394</v>
      </c>
      <c r="M2852" s="460">
        <f t="shared" si="159"/>
        <v>0.05</v>
      </c>
      <c r="N2852" s="464">
        <f t="shared" si="160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58"/>
        <v>-3564265172.235394</v>
      </c>
      <c r="J2853" s="444">
        <f t="array" ref="J2853">IFERROR(INDEX('Retirement Calculator'!J:J,MATCH('Isaac 401k'!N2853,'Retirement Calculator'!A:A,0),0),0)</f>
        <v>0</v>
      </c>
      <c r="K2853" s="444">
        <f t="shared" ca="1" si="156"/>
        <v>-14851104.884314142</v>
      </c>
      <c r="L2853" s="444">
        <f t="shared" ca="1" si="157"/>
        <v>-3579116277.1197081</v>
      </c>
      <c r="M2853" s="460">
        <f t="shared" si="159"/>
        <v>0.05</v>
      </c>
      <c r="N2853" s="464">
        <f t="shared" si="160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58"/>
        <v>-3579116277.1197081</v>
      </c>
      <c r="J2854" s="444">
        <f t="array" ref="J2854">IFERROR(INDEX('Retirement Calculator'!J:J,MATCH('Isaac 401k'!N2854,'Retirement Calculator'!A:A,0),0),0)</f>
        <v>0</v>
      </c>
      <c r="K2854" s="444">
        <f t="shared" ca="1" si="156"/>
        <v>-14912984.487998785</v>
      </c>
      <c r="L2854" s="444">
        <f t="shared" ca="1" si="157"/>
        <v>-3594029261.607707</v>
      </c>
      <c r="M2854" s="460">
        <f t="shared" si="159"/>
        <v>0.05</v>
      </c>
      <c r="N2854" s="464">
        <f t="shared" si="160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58"/>
        <v>-3594029261.607707</v>
      </c>
      <c r="J2855" s="444">
        <f t="array" ref="J2855">IFERROR(INDEX('Retirement Calculator'!J:J,MATCH('Isaac 401k'!N2855,'Retirement Calculator'!A:A,0),0),0)</f>
        <v>0</v>
      </c>
      <c r="K2855" s="444">
        <f t="shared" ca="1" si="156"/>
        <v>-14975121.923365446</v>
      </c>
      <c r="L2855" s="444">
        <f t="shared" ca="1" si="157"/>
        <v>-3609004383.5310726</v>
      </c>
      <c r="M2855" s="460">
        <f t="shared" si="159"/>
        <v>0.05</v>
      </c>
      <c r="N2855" s="464">
        <f t="shared" si="160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58"/>
        <v>-3609004383.5310726</v>
      </c>
      <c r="J2856" s="444">
        <f t="array" ref="J2856">IFERROR(INDEX('Retirement Calculator'!J:J,MATCH('Isaac 401k'!N2856,'Retirement Calculator'!A:A,0),0),0)</f>
        <v>0</v>
      </c>
      <c r="K2856" s="444">
        <f t="shared" ca="1" si="156"/>
        <v>-15037518.264712803</v>
      </c>
      <c r="L2856" s="444">
        <f t="shared" ca="1" si="157"/>
        <v>-3624041901.7957854</v>
      </c>
      <c r="M2856" s="460">
        <f t="shared" si="159"/>
        <v>0.05</v>
      </c>
      <c r="N2856" s="464">
        <f t="shared" si="160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58"/>
        <v>-3624041901.7957854</v>
      </c>
      <c r="J2857" s="444">
        <f t="array" ref="J2857">IFERROR(INDEX('Retirement Calculator'!J:J,MATCH('Isaac 401k'!N2857,'Retirement Calculator'!A:A,0),0),0)</f>
        <v>0</v>
      </c>
      <c r="K2857" s="444">
        <f t="shared" ca="1" si="156"/>
        <v>-15100174.59081577</v>
      </c>
      <c r="L2857" s="444">
        <f t="shared" ca="1" si="157"/>
        <v>-3639142076.386601</v>
      </c>
      <c r="M2857" s="460">
        <f t="shared" si="159"/>
        <v>0.05</v>
      </c>
      <c r="N2857" s="464">
        <f t="shared" si="160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58"/>
        <v>-3639142076.386601</v>
      </c>
      <c r="J2858" s="444">
        <f t="array" ref="J2858">IFERROR(INDEX('Retirement Calculator'!J:J,MATCH('Isaac 401k'!N2858,'Retirement Calculator'!A:A,0),0),0)</f>
        <v>0</v>
      </c>
      <c r="K2858" s="444">
        <f t="shared" ca="1" si="156"/>
        <v>-15163091.98494417</v>
      </c>
      <c r="L2858" s="444">
        <f t="shared" ca="1" si="157"/>
        <v>-3654305168.3715453</v>
      </c>
      <c r="M2858" s="460">
        <f t="shared" si="159"/>
        <v>0.05</v>
      </c>
      <c r="N2858" s="464">
        <f t="shared" si="160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58"/>
        <v>-3654305168.3715453</v>
      </c>
      <c r="J2859" s="444">
        <f t="array" ref="J2859">IFERROR(INDEX('Retirement Calculator'!J:J,MATCH('Isaac 401k'!N2859,'Retirement Calculator'!A:A,0),0),0)</f>
        <v>0</v>
      </c>
      <c r="K2859" s="444">
        <f t="shared" ca="1" si="156"/>
        <v>-15226271.534881439</v>
      </c>
      <c r="L2859" s="444">
        <f t="shared" ca="1" si="157"/>
        <v>-3669531439.9064269</v>
      </c>
      <c r="M2859" s="460">
        <f t="shared" si="159"/>
        <v>0.05</v>
      </c>
      <c r="N2859" s="464">
        <f t="shared" si="160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58"/>
        <v>-3669531439.9064269</v>
      </c>
      <c r="J2860" s="444">
        <f t="array" ref="J2860">IFERROR(INDEX('Retirement Calculator'!J:J,MATCH('Isaac 401k'!N2860,'Retirement Calculator'!A:A,0),0),0)</f>
        <v>0</v>
      </c>
      <c r="K2860" s="444">
        <f t="shared" ca="1" si="156"/>
        <v>-15289714.332943445</v>
      </c>
      <c r="L2860" s="444">
        <f t="shared" ca="1" si="157"/>
        <v>-3684821154.2393703</v>
      </c>
      <c r="M2860" s="460">
        <f t="shared" si="159"/>
        <v>0.05</v>
      </c>
      <c r="N2860" s="464">
        <f t="shared" si="160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58"/>
        <v>-3684821154.2393703</v>
      </c>
      <c r="J2861" s="444">
        <f t="array" ref="J2861">IFERROR(INDEX('Retirement Calculator'!J:J,MATCH('Isaac 401k'!N2861,'Retirement Calculator'!A:A,0),0),0)</f>
        <v>0</v>
      </c>
      <c r="K2861" s="444">
        <f t="shared" ca="1" si="156"/>
        <v>-15353421.475997379</v>
      </c>
      <c r="L2861" s="444">
        <f t="shared" ca="1" si="157"/>
        <v>-3700174575.7153678</v>
      </c>
      <c r="M2861" s="460">
        <f t="shared" si="159"/>
        <v>0.05</v>
      </c>
      <c r="N2861" s="464">
        <f t="shared" si="160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58"/>
        <v>-3700174575.7153678</v>
      </c>
      <c r="J2862" s="444">
        <f t="array" ref="J2862">IFERROR(INDEX('Retirement Calculator'!J:J,MATCH('Isaac 401k'!N2862,'Retirement Calculator'!A:A,0),0),0)</f>
        <v>0</v>
      </c>
      <c r="K2862" s="444">
        <f t="shared" ca="1" si="156"/>
        <v>-15417394.0654807</v>
      </c>
      <c r="L2862" s="444">
        <f t="shared" ca="1" si="157"/>
        <v>-3715591969.7808485</v>
      </c>
      <c r="M2862" s="460">
        <f t="shared" si="159"/>
        <v>0.05</v>
      </c>
      <c r="N2862" s="464">
        <f t="shared" si="160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58"/>
        <v>-3715591969.7808485</v>
      </c>
      <c r="J2863" s="444">
        <f t="array" ref="J2863">IFERROR(INDEX('Retirement Calculator'!J:J,MATCH('Isaac 401k'!N2863,'Retirement Calculator'!A:A,0),0),0)</f>
        <v>0</v>
      </c>
      <c r="K2863" s="444">
        <f t="shared" ca="1" si="156"/>
        <v>-15481633.207420202</v>
      </c>
      <c r="L2863" s="444">
        <f t="shared" ca="1" si="157"/>
        <v>-3731073602.9882689</v>
      </c>
      <c r="M2863" s="460">
        <f t="shared" si="159"/>
        <v>0.05</v>
      </c>
      <c r="N2863" s="464">
        <f t="shared" si="160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58"/>
        <v>-3731073602.9882689</v>
      </c>
      <c r="J2864" s="444">
        <f t="array" ref="J2864">IFERROR(INDEX('Retirement Calculator'!J:J,MATCH('Isaac 401k'!N2864,'Retirement Calculator'!A:A,0),0),0)</f>
        <v>0</v>
      </c>
      <c r="K2864" s="444">
        <f t="shared" ca="1" si="156"/>
        <v>-15546140.01245112</v>
      </c>
      <c r="L2864" s="444">
        <f t="shared" ca="1" si="157"/>
        <v>-3746619743.00072</v>
      </c>
      <c r="M2864" s="460">
        <f t="shared" si="159"/>
        <v>0.05</v>
      </c>
      <c r="N2864" s="464">
        <f t="shared" si="160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58"/>
        <v>-3746619743.00072</v>
      </c>
      <c r="J2865" s="444">
        <f t="array" ref="J2865">IFERROR(INDEX('Retirement Calculator'!J:J,MATCH('Isaac 401k'!N2865,'Retirement Calculator'!A:A,0),0),0)</f>
        <v>0</v>
      </c>
      <c r="K2865" s="444">
        <f t="shared" ca="1" si="156"/>
        <v>-15610915.595836334</v>
      </c>
      <c r="L2865" s="444">
        <f t="shared" ca="1" si="157"/>
        <v>-3762230658.5965562</v>
      </c>
      <c r="M2865" s="460">
        <f t="shared" si="159"/>
        <v>0.05</v>
      </c>
      <c r="N2865" s="464">
        <f t="shared" si="160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58"/>
        <v>-3762230658.5965562</v>
      </c>
      <c r="J2866" s="444">
        <f t="array" ref="J2866">IFERROR(INDEX('Retirement Calculator'!J:J,MATCH('Isaac 401k'!N2866,'Retirement Calculator'!A:A,0),0),0)</f>
        <v>0</v>
      </c>
      <c r="K2866" s="444">
        <f t="shared" ca="1" si="156"/>
        <v>-15675961.077485651</v>
      </c>
      <c r="L2866" s="444">
        <f t="shared" ca="1" si="157"/>
        <v>-3777906619.6740417</v>
      </c>
      <c r="M2866" s="460">
        <f t="shared" si="159"/>
        <v>0.05</v>
      </c>
      <c r="N2866" s="464">
        <f t="shared" si="160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58"/>
        <v>-3777906619.6740417</v>
      </c>
      <c r="J2867" s="444">
        <f t="array" ref="J2867">IFERROR(INDEX('Retirement Calculator'!J:J,MATCH('Isaac 401k'!N2867,'Retirement Calculator'!A:A,0),0),0)</f>
        <v>0</v>
      </c>
      <c r="K2867" s="444">
        <f t="shared" ca="1" si="156"/>
        <v>-15741277.581975171</v>
      </c>
      <c r="L2867" s="444">
        <f t="shared" ca="1" si="157"/>
        <v>-3793647897.2560167</v>
      </c>
      <c r="M2867" s="460">
        <f t="shared" si="159"/>
        <v>0.05</v>
      </c>
      <c r="N2867" s="464">
        <f t="shared" si="160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58"/>
        <v>-3793647897.2560167</v>
      </c>
      <c r="J2868" s="444">
        <f t="array" ref="J2868">IFERROR(INDEX('Retirement Calculator'!J:J,MATCH('Isaac 401k'!N2868,'Retirement Calculator'!A:A,0),0),0)</f>
        <v>0</v>
      </c>
      <c r="K2868" s="444">
        <f t="shared" ca="1" si="156"/>
        <v>-15806866.238566736</v>
      </c>
      <c r="L2868" s="444">
        <f t="shared" ca="1" si="157"/>
        <v>-3809454763.4945836</v>
      </c>
      <c r="M2868" s="460">
        <f t="shared" si="159"/>
        <v>0.05</v>
      </c>
      <c r="N2868" s="464">
        <f t="shared" si="160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58"/>
        <v>-3809454763.4945836</v>
      </c>
      <c r="J2869" s="444">
        <f t="array" ref="J2869">IFERROR(INDEX('Retirement Calculator'!J:J,MATCH('Isaac 401k'!N2869,'Retirement Calculator'!A:A,0),0),0)</f>
        <v>0</v>
      </c>
      <c r="K2869" s="444">
        <f t="shared" ca="1" si="156"/>
        <v>-15872728.181227433</v>
      </c>
      <c r="L2869" s="444">
        <f t="shared" ca="1" si="157"/>
        <v>-3825327491.6758108</v>
      </c>
      <c r="M2869" s="460">
        <f t="shared" si="159"/>
        <v>0.05</v>
      </c>
      <c r="N2869" s="464">
        <f t="shared" si="160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58"/>
        <v>-3825327491.6758108</v>
      </c>
      <c r="J2870" s="444">
        <f t="array" ref="J2870">IFERROR(INDEX('Retirement Calculator'!J:J,MATCH('Isaac 401k'!N2870,'Retirement Calculator'!A:A,0),0),0)</f>
        <v>0</v>
      </c>
      <c r="K2870" s="444">
        <f t="shared" ca="1" si="156"/>
        <v>-15938864.548649212</v>
      </c>
      <c r="L2870" s="444">
        <f t="shared" ca="1" si="157"/>
        <v>-3841266356.2244601</v>
      </c>
      <c r="M2870" s="460">
        <f t="shared" si="159"/>
        <v>0.05</v>
      </c>
      <c r="N2870" s="464">
        <f t="shared" si="160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58"/>
        <v>-3841266356.2244601</v>
      </c>
      <c r="J2871" s="444">
        <f t="array" ref="J2871">IFERROR(INDEX('Retirement Calculator'!J:J,MATCH('Isaac 401k'!N2871,'Retirement Calculator'!A:A,0),0),0)</f>
        <v>0</v>
      </c>
      <c r="K2871" s="444">
        <f t="shared" ca="1" si="156"/>
        <v>-16005276.484268585</v>
      </c>
      <c r="L2871" s="444">
        <f t="shared" ca="1" si="157"/>
        <v>-3857271632.7087288</v>
      </c>
      <c r="M2871" s="460">
        <f t="shared" si="159"/>
        <v>0.05</v>
      </c>
      <c r="N2871" s="464">
        <f t="shared" si="160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58"/>
        <v>-3857271632.7087288</v>
      </c>
      <c r="J2872" s="444">
        <f t="array" ref="J2872">IFERROR(INDEX('Retirement Calculator'!J:J,MATCH('Isaac 401k'!N2872,'Retirement Calculator'!A:A,0),0),0)</f>
        <v>0</v>
      </c>
      <c r="K2872" s="444">
        <f t="shared" ca="1" si="156"/>
        <v>-16071965.13628637</v>
      </c>
      <c r="L2872" s="444">
        <f t="shared" ca="1" si="157"/>
        <v>-3873343597.845015</v>
      </c>
      <c r="M2872" s="460">
        <f t="shared" si="159"/>
        <v>0.05</v>
      </c>
      <c r="N2872" s="464">
        <f t="shared" si="160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58"/>
        <v>-3873343597.845015</v>
      </c>
      <c r="J2873" s="444">
        <f t="array" ref="J2873">IFERROR(INDEX('Retirement Calculator'!J:J,MATCH('Isaac 401k'!N2873,'Retirement Calculator'!A:A,0),0),0)</f>
        <v>0</v>
      </c>
      <c r="K2873" s="444">
        <f t="shared" ca="1" si="156"/>
        <v>-16138931.657687562</v>
      </c>
      <c r="L2873" s="444">
        <f t="shared" ca="1" si="157"/>
        <v>-3889482529.5027027</v>
      </c>
      <c r="M2873" s="460">
        <f t="shared" si="159"/>
        <v>0.05</v>
      </c>
      <c r="N2873" s="464">
        <f t="shared" si="160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58"/>
        <v>-3889482529.5027027</v>
      </c>
      <c r="J2874" s="444">
        <f t="array" ref="J2874">IFERROR(INDEX('Retirement Calculator'!J:J,MATCH('Isaac 401k'!N2874,'Retirement Calculator'!A:A,0),0),0)</f>
        <v>0</v>
      </c>
      <c r="K2874" s="444">
        <f t="shared" ca="1" si="156"/>
        <v>-16206177.20626126</v>
      </c>
      <c r="L2874" s="444">
        <f t="shared" ca="1" si="157"/>
        <v>-3905688706.7089639</v>
      </c>
      <c r="M2874" s="460">
        <f t="shared" si="159"/>
        <v>0.05</v>
      </c>
      <c r="N2874" s="464">
        <f t="shared" si="160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58"/>
        <v>-3905688706.7089639</v>
      </c>
      <c r="J2875" s="444">
        <f t="array" ref="J2875">IFERROR(INDEX('Retirement Calculator'!J:J,MATCH('Isaac 401k'!N2875,'Retirement Calculator'!A:A,0),0),0)</f>
        <v>0</v>
      </c>
      <c r="K2875" s="444">
        <f t="shared" ca="1" si="156"/>
        <v>-16273702.944620682</v>
      </c>
      <c r="L2875" s="444">
        <f t="shared" ca="1" si="157"/>
        <v>-3921962409.6535845</v>
      </c>
      <c r="M2875" s="460">
        <f t="shared" si="159"/>
        <v>0.05</v>
      </c>
      <c r="N2875" s="464">
        <f t="shared" si="160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58"/>
        <v>-3921962409.6535845</v>
      </c>
      <c r="J2876" s="444">
        <f t="array" ref="J2876">IFERROR(INDEX('Retirement Calculator'!J:J,MATCH('Isaac 401k'!N2876,'Retirement Calculator'!A:A,0),0),0)</f>
        <v>0</v>
      </c>
      <c r="K2876" s="444">
        <f t="shared" ca="1" si="156"/>
        <v>-16341510.040223269</v>
      </c>
      <c r="L2876" s="444">
        <f t="shared" ca="1" si="157"/>
        <v>-3938303919.6938076</v>
      </c>
      <c r="M2876" s="460">
        <f t="shared" si="159"/>
        <v>0.05</v>
      </c>
      <c r="N2876" s="464">
        <f t="shared" si="160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58"/>
        <v>-3938303919.6938076</v>
      </c>
      <c r="J2877" s="444">
        <f t="array" ref="J2877">IFERROR(INDEX('Retirement Calculator'!J:J,MATCH('Isaac 401k'!N2877,'Retirement Calculator'!A:A,0),0),0)</f>
        <v>0</v>
      </c>
      <c r="K2877" s="444">
        <f t="shared" ca="1" si="156"/>
        <v>-16409599.665390862</v>
      </c>
      <c r="L2877" s="444">
        <f t="shared" ca="1" si="157"/>
        <v>-3954713519.3591986</v>
      </c>
      <c r="M2877" s="460">
        <f t="shared" si="159"/>
        <v>0.05</v>
      </c>
      <c r="N2877" s="464">
        <f t="shared" si="160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58"/>
        <v>-3954713519.3591986</v>
      </c>
      <c r="J2878" s="444">
        <f t="array" ref="J2878">IFERROR(INDEX('Retirement Calculator'!J:J,MATCH('Isaac 401k'!N2878,'Retirement Calculator'!A:A,0),0),0)</f>
        <v>0</v>
      </c>
      <c r="K2878" s="444">
        <f t="shared" ca="1" si="156"/>
        <v>-16477972.997329993</v>
      </c>
      <c r="L2878" s="444">
        <f t="shared" ca="1" si="157"/>
        <v>-3971191492.3565288</v>
      </c>
      <c r="M2878" s="460">
        <f t="shared" si="159"/>
        <v>0.05</v>
      </c>
      <c r="N2878" s="464">
        <f t="shared" si="160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58"/>
        <v>-3971191492.3565288</v>
      </c>
      <c r="J2879" s="444">
        <f t="array" ref="J2879">IFERROR(INDEX('Retirement Calculator'!J:J,MATCH('Isaac 401k'!N2879,'Retirement Calculator'!A:A,0),0),0)</f>
        <v>0</v>
      </c>
      <c r="K2879" s="444">
        <f t="shared" ca="1" si="156"/>
        <v>-16546631.218152203</v>
      </c>
      <c r="L2879" s="444">
        <f t="shared" ca="1" si="157"/>
        <v>-3987738123.5746808</v>
      </c>
      <c r="M2879" s="460">
        <f t="shared" si="159"/>
        <v>0.05</v>
      </c>
      <c r="N2879" s="464">
        <f t="shared" si="160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58"/>
        <v>-3987738123.5746808</v>
      </c>
      <c r="J2880" s="444">
        <f t="array" ref="J2880">IFERROR(INDEX('Retirement Calculator'!J:J,MATCH('Isaac 401k'!N2880,'Retirement Calculator'!A:A,0),0),0)</f>
        <v>0</v>
      </c>
      <c r="K2880" s="444">
        <f t="shared" ca="1" si="156"/>
        <v>-16615575.5148945</v>
      </c>
      <c r="L2880" s="444">
        <f t="shared" ca="1" si="157"/>
        <v>-4004353699.0895753</v>
      </c>
      <c r="M2880" s="460">
        <f t="shared" si="159"/>
        <v>0.05</v>
      </c>
      <c r="N2880" s="464">
        <f t="shared" si="160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58"/>
        <v>-4004353699.0895753</v>
      </c>
      <c r="J2881" s="444">
        <f t="array" ref="J2881">IFERROR(INDEX('Retirement Calculator'!J:J,MATCH('Isaac 401k'!N2881,'Retirement Calculator'!A:A,0),0),0)</f>
        <v>0</v>
      </c>
      <c r="K2881" s="444">
        <f t="shared" ca="1" si="156"/>
        <v>-16684807.079539899</v>
      </c>
      <c r="L2881" s="444">
        <f t="shared" ca="1" si="157"/>
        <v>-4021038506.1691151</v>
      </c>
      <c r="M2881" s="460">
        <f t="shared" si="159"/>
        <v>0.05</v>
      </c>
      <c r="N2881" s="464">
        <f t="shared" si="160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58"/>
        <v>-4021038506.1691151</v>
      </c>
      <c r="J2882" s="444">
        <f t="array" ref="J2882">IFERROR(INDEX('Retirement Calculator'!J:J,MATCH('Isaac 401k'!N2882,'Retirement Calculator'!A:A,0),0),0)</f>
        <v>0</v>
      </c>
      <c r="K2882" s="444">
        <f t="shared" ca="1" si="156"/>
        <v>-16754327.109037979</v>
      </c>
      <c r="L2882" s="444">
        <f t="shared" ca="1" si="157"/>
        <v>-4037792833.2781529</v>
      </c>
      <c r="M2882" s="460">
        <f t="shared" si="159"/>
        <v>0.05</v>
      </c>
      <c r="N2882" s="464">
        <f t="shared" si="160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58"/>
        <v>-4037792833.2781529</v>
      </c>
      <c r="J2883" s="444">
        <f t="array" ref="J2883">IFERROR(INDEX('Retirement Calculator'!J:J,MATCH('Isaac 401k'!N2883,'Retirement Calculator'!A:A,0),0),0)</f>
        <v>0</v>
      </c>
      <c r="K2883" s="444">
        <f t="shared" ca="1" si="156"/>
        <v>-16824136.805325639</v>
      </c>
      <c r="L2883" s="444">
        <f t="shared" ca="1" si="157"/>
        <v>-4054616970.0834785</v>
      </c>
      <c r="M2883" s="460">
        <f t="shared" si="159"/>
        <v>0.05</v>
      </c>
      <c r="N2883" s="464">
        <f t="shared" si="160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58"/>
        <v>-4054616970.0834785</v>
      </c>
      <c r="J2884" s="444">
        <f t="array" ref="J2884">IFERROR(INDEX('Retirement Calculator'!J:J,MATCH('Isaac 401k'!N2884,'Retirement Calculator'!A:A,0),0),0)</f>
        <v>0</v>
      </c>
      <c r="K2884" s="444">
        <f t="shared" ca="1" si="156"/>
        <v>-16894237.375347827</v>
      </c>
      <c r="L2884" s="444">
        <f t="shared" ca="1" si="157"/>
        <v>-4071511207.4588261</v>
      </c>
      <c r="M2884" s="460">
        <f t="shared" si="159"/>
        <v>0.05</v>
      </c>
      <c r="N2884" s="464">
        <f t="shared" si="160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58"/>
        <v>-4071511207.4588261</v>
      </c>
      <c r="J2885" s="444">
        <f t="array" ref="J2885">IFERROR(INDEX('Retirement Calculator'!J:J,MATCH('Isaac 401k'!N2885,'Retirement Calculator'!A:A,0),0),0)</f>
        <v>0</v>
      </c>
      <c r="K2885" s="444">
        <f t="shared" ca="1" si="156"/>
        <v>-16964630.031078443</v>
      </c>
      <c r="L2885" s="444">
        <f t="shared" ca="1" si="157"/>
        <v>-4088475837.4899044</v>
      </c>
      <c r="M2885" s="460">
        <f t="shared" si="159"/>
        <v>0.05</v>
      </c>
      <c r="N2885" s="464">
        <f t="shared" si="160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58"/>
        <v>-4088475837.4899044</v>
      </c>
      <c r="J2886" s="444">
        <f t="array" ref="J2886">IFERROR(INDEX('Retirement Calculator'!J:J,MATCH('Isaac 401k'!N2886,'Retirement Calculator'!A:A,0),0),0)</f>
        <v>0</v>
      </c>
      <c r="K2886" s="444">
        <f t="shared" ca="1" si="156"/>
        <v>-17035315.98954127</v>
      </c>
      <c r="L2886" s="444">
        <f t="shared" ca="1" si="157"/>
        <v>-4105511153.4794455</v>
      </c>
      <c r="M2886" s="460">
        <f t="shared" si="159"/>
        <v>0.05</v>
      </c>
      <c r="N2886" s="464">
        <f t="shared" si="160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58"/>
        <v>-4105511153.4794455</v>
      </c>
      <c r="J2887" s="444">
        <f t="array" ref="J2887">IFERROR(INDEX('Retirement Calculator'!J:J,MATCH('Isaac 401k'!N2887,'Retirement Calculator'!A:A,0),0),0)</f>
        <v>0</v>
      </c>
      <c r="K2887" s="444">
        <f t="shared" ca="1" si="156"/>
        <v>-17106296.472831022</v>
      </c>
      <c r="L2887" s="444">
        <f t="shared" ca="1" si="157"/>
        <v>-4122617449.9522767</v>
      </c>
      <c r="M2887" s="460">
        <f t="shared" si="159"/>
        <v>0.05</v>
      </c>
      <c r="N2887" s="464">
        <f t="shared" si="160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58"/>
        <v>-4122617449.9522767</v>
      </c>
      <c r="J2888" s="444">
        <f t="array" ref="J2888">IFERROR(INDEX('Retirement Calculator'!J:J,MATCH('Isaac 401k'!N2888,'Retirement Calculator'!A:A,0),0),0)</f>
        <v>0</v>
      </c>
      <c r="K2888" s="444">
        <f t="shared" ca="1" si="156"/>
        <v>-17177572.708134487</v>
      </c>
      <c r="L2888" s="444">
        <f t="shared" ca="1" si="157"/>
        <v>-4139795022.6604114</v>
      </c>
      <c r="M2888" s="460">
        <f t="shared" si="159"/>
        <v>0.05</v>
      </c>
      <c r="N2888" s="464">
        <f t="shared" si="160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58"/>
        <v>-4139795022.6604114</v>
      </c>
      <c r="J2889" s="444">
        <f t="array" ref="J2889">IFERROR(INDEX('Retirement Calculator'!J:J,MATCH('Isaac 401k'!N2889,'Retirement Calculator'!A:A,0),0),0)</f>
        <v>0</v>
      </c>
      <c r="K2889" s="444">
        <f t="shared" ca="1" si="156"/>
        <v>-17249145.927751716</v>
      </c>
      <c r="L2889" s="444">
        <f t="shared" ca="1" si="157"/>
        <v>-4157044168.5881629</v>
      </c>
      <c r="M2889" s="460">
        <f t="shared" si="159"/>
        <v>0.05</v>
      </c>
      <c r="N2889" s="464">
        <f t="shared" si="160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58"/>
        <v>-4157044168.5881629</v>
      </c>
      <c r="J2890" s="444">
        <f t="array" ref="J2890">IFERROR(INDEX('Retirement Calculator'!J:J,MATCH('Isaac 401k'!N2890,'Retirement Calculator'!A:A,0),0),0)</f>
        <v>0</v>
      </c>
      <c r="K2890" s="444">
        <f t="shared" ca="1" si="156"/>
        <v>-17321017.369117346</v>
      </c>
      <c r="L2890" s="444">
        <f t="shared" ca="1" si="157"/>
        <v>-4174365185.9572802</v>
      </c>
      <c r="M2890" s="460">
        <f t="shared" si="159"/>
        <v>0.05</v>
      </c>
      <c r="N2890" s="464">
        <f t="shared" si="160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58"/>
        <v>-4174365185.9572802</v>
      </c>
      <c r="J2891" s="444">
        <f t="array" ref="J2891">IFERROR(INDEX('Retirement Calculator'!J:J,MATCH('Isaac 401k'!N2891,'Retirement Calculator'!A:A,0),0),0)</f>
        <v>0</v>
      </c>
      <c r="K2891" s="444">
        <f t="shared" ca="1" si="156"/>
        <v>-17393188.274822</v>
      </c>
      <c r="L2891" s="444">
        <f t="shared" ca="1" si="157"/>
        <v>-4191758374.2321024</v>
      </c>
      <c r="M2891" s="460">
        <f t="shared" si="159"/>
        <v>0.05</v>
      </c>
      <c r="N2891" s="464">
        <f t="shared" si="160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58"/>
        <v>-4191758374.2321024</v>
      </c>
      <c r="J2892" s="444">
        <f t="array" ref="J2892">IFERROR(INDEX('Retirement Calculator'!J:J,MATCH('Isaac 401k'!N2892,'Retirement Calculator'!A:A,0),0),0)</f>
        <v>0</v>
      </c>
      <c r="K2892" s="444">
        <f t="shared" ca="1" si="156"/>
        <v>-17465659.892633758</v>
      </c>
      <c r="L2892" s="444">
        <f t="shared" ca="1" si="157"/>
        <v>-4209224034.1247363</v>
      </c>
      <c r="M2892" s="460">
        <f t="shared" si="159"/>
        <v>0.05</v>
      </c>
      <c r="N2892" s="464">
        <f t="shared" si="160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58"/>
        <v>-4209224034.1247363</v>
      </c>
      <c r="J2893" s="444">
        <f t="array" ref="J2893">IFERROR(INDEX('Retirement Calculator'!J:J,MATCH('Isaac 401k'!N2893,'Retirement Calculator'!A:A,0),0),0)</f>
        <v>0</v>
      </c>
      <c r="K2893" s="444">
        <f t="shared" ca="1" si="156"/>
        <v>-17538433.475519735</v>
      </c>
      <c r="L2893" s="444">
        <f t="shared" ca="1" si="157"/>
        <v>-4226762467.600256</v>
      </c>
      <c r="M2893" s="460">
        <f t="shared" si="159"/>
        <v>0.05</v>
      </c>
      <c r="N2893" s="464">
        <f t="shared" si="160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58"/>
        <v>-4226762467.600256</v>
      </c>
      <c r="J2894" s="444">
        <f t="array" ref="J2894">IFERROR(INDEX('Retirement Calculator'!J:J,MATCH('Isaac 401k'!N2894,'Retirement Calculator'!A:A,0),0),0)</f>
        <v>0</v>
      </c>
      <c r="K2894" s="444">
        <f t="shared" ca="1" si="156"/>
        <v>-17611510.281667732</v>
      </c>
      <c r="L2894" s="444">
        <f t="shared" ca="1" si="157"/>
        <v>-4244373977.8819237</v>
      </c>
      <c r="M2894" s="460">
        <f t="shared" si="159"/>
        <v>0.05</v>
      </c>
      <c r="N2894" s="464">
        <f t="shared" si="160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58"/>
        <v>-4244373977.8819237</v>
      </c>
      <c r="J2895" s="444">
        <f t="array" ref="J2895">IFERROR(INDEX('Retirement Calculator'!J:J,MATCH('Isaac 401k'!N2895,'Retirement Calculator'!A:A,0),0),0)</f>
        <v>0</v>
      </c>
      <c r="K2895" s="444">
        <f t="shared" ca="1" si="156"/>
        <v>-17684891.574508019</v>
      </c>
      <c r="L2895" s="444">
        <f t="shared" ca="1" si="157"/>
        <v>-4262058869.4564319</v>
      </c>
      <c r="M2895" s="460">
        <f t="shared" si="159"/>
        <v>0.05</v>
      </c>
      <c r="N2895" s="464">
        <f t="shared" si="160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58"/>
        <v>-4262058869.4564319</v>
      </c>
      <c r="J2896" s="444">
        <f t="array" ref="J2896">IFERROR(INDEX('Retirement Calculator'!J:J,MATCH('Isaac 401k'!N2896,'Retirement Calculator'!A:A,0),0),0)</f>
        <v>0</v>
      </c>
      <c r="K2896" s="444">
        <f t="shared" ca="1" si="156"/>
        <v>-17758578.622735132</v>
      </c>
      <c r="L2896" s="444">
        <f t="shared" ca="1" si="157"/>
        <v>-4279817448.0791669</v>
      </c>
      <c r="M2896" s="460">
        <f t="shared" si="159"/>
        <v>0.05</v>
      </c>
      <c r="N2896" s="464">
        <f t="shared" si="160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58"/>
        <v>-4279817448.0791669</v>
      </c>
      <c r="J2897" s="444">
        <f t="array" ref="J2897">IFERROR(INDEX('Retirement Calculator'!J:J,MATCH('Isaac 401k'!N2897,'Retirement Calculator'!A:A,0),0),0)</f>
        <v>0</v>
      </c>
      <c r="K2897" s="444">
        <f t="shared" ca="1" si="156"/>
        <v>-17832572.700329863</v>
      </c>
      <c r="L2897" s="444">
        <f t="shared" ca="1" si="157"/>
        <v>-4297650020.7794971</v>
      </c>
      <c r="M2897" s="460">
        <f t="shared" si="159"/>
        <v>0.05</v>
      </c>
      <c r="N2897" s="464">
        <f t="shared" si="160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58"/>
        <v>-4297650020.7794971</v>
      </c>
      <c r="J2898" s="444">
        <f t="array" ref="J2898">IFERROR(INDEX('Retirement Calculator'!J:J,MATCH('Isaac 401k'!N2898,'Retirement Calculator'!A:A,0),0),0)</f>
        <v>0</v>
      </c>
      <c r="K2898" s="444">
        <f t="shared" ca="1" si="156"/>
        <v>-17906875.086581238</v>
      </c>
      <c r="L2898" s="444">
        <f t="shared" ca="1" si="157"/>
        <v>-4315556895.8660784</v>
      </c>
      <c r="M2898" s="460">
        <f t="shared" si="159"/>
        <v>0.05</v>
      </c>
      <c r="N2898" s="464">
        <f t="shared" si="160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58"/>
        <v>-4315556895.8660784</v>
      </c>
      <c r="J2899" s="444">
        <f t="array" ref="J2899">IFERROR(INDEX('Retirement Calculator'!J:J,MATCH('Isaac 401k'!N2899,'Retirement Calculator'!A:A,0),0),0)</f>
        <v>0</v>
      </c>
      <c r="K2899" s="444">
        <f t="shared" ca="1" si="156"/>
        <v>-17981487.066108659</v>
      </c>
      <c r="L2899" s="444">
        <f t="shared" ca="1" si="157"/>
        <v>-4333538382.9321871</v>
      </c>
      <c r="M2899" s="460">
        <f t="shared" si="159"/>
        <v>0.05</v>
      </c>
      <c r="N2899" s="464">
        <f t="shared" si="160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58"/>
        <v>-4333538382.9321871</v>
      </c>
      <c r="J2900" s="444">
        <f t="array" ref="J2900">IFERROR(INDEX('Retirement Calculator'!J:J,MATCH('Isaac 401k'!N2900,'Retirement Calculator'!A:A,0),0),0)</f>
        <v>0</v>
      </c>
      <c r="K2900" s="444">
        <f t="shared" ca="1" si="156"/>
        <v>-18056409.928884111</v>
      </c>
      <c r="L2900" s="444">
        <f t="shared" ca="1" si="157"/>
        <v>-4351594792.8610716</v>
      </c>
      <c r="M2900" s="460">
        <f t="shared" si="159"/>
        <v>0.05</v>
      </c>
      <c r="N2900" s="464">
        <f t="shared" si="160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58"/>
        <v>-4351594792.8610716</v>
      </c>
      <c r="J2901" s="444">
        <f t="array" ref="J2901">IFERROR(INDEX('Retirement Calculator'!J:J,MATCH('Isaac 401k'!N2901,'Retirement Calculator'!A:A,0),0),0)</f>
        <v>0</v>
      </c>
      <c r="K2901" s="444">
        <f t="shared" ca="1" si="156"/>
        <v>-18131644.970254466</v>
      </c>
      <c r="L2901" s="444">
        <f t="shared" ca="1" si="157"/>
        <v>-4369726437.8313265</v>
      </c>
      <c r="M2901" s="460">
        <f t="shared" si="159"/>
        <v>0.05</v>
      </c>
      <c r="N2901" s="464">
        <f t="shared" si="160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58"/>
        <v>-4369726437.8313265</v>
      </c>
      <c r="J2902" s="444">
        <f t="array" ref="J2902">IFERROR(INDEX('Retirement Calculator'!J:J,MATCH('Isaac 401k'!N2902,'Retirement Calculator'!A:A,0),0),0)</f>
        <v>0</v>
      </c>
      <c r="K2902" s="444">
        <f t="shared" ca="1" si="156"/>
        <v>-18207193.490963861</v>
      </c>
      <c r="L2902" s="444">
        <f t="shared" ca="1" si="157"/>
        <v>-4387933631.3222904</v>
      </c>
      <c r="M2902" s="460">
        <f t="shared" si="159"/>
        <v>0.05</v>
      </c>
      <c r="N2902" s="464">
        <f t="shared" si="160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58"/>
        <v>-4387933631.3222904</v>
      </c>
      <c r="J2903" s="444">
        <f t="array" ref="J2903">IFERROR(INDEX('Retirement Calculator'!J:J,MATCH('Isaac 401k'!N2903,'Retirement Calculator'!A:A,0),0),0)</f>
        <v>0</v>
      </c>
      <c r="K2903" s="444">
        <f t="shared" ca="1" si="156"/>
        <v>-18283056.797176208</v>
      </c>
      <c r="L2903" s="444">
        <f t="shared" ca="1" si="157"/>
        <v>-4406216688.1194668</v>
      </c>
      <c r="M2903" s="460">
        <f t="shared" si="159"/>
        <v>0.05</v>
      </c>
      <c r="N2903" s="464">
        <f t="shared" si="160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58"/>
        <v>-4406216688.1194668</v>
      </c>
      <c r="J2904" s="444">
        <f t="array" ref="J2904">IFERROR(INDEX('Retirement Calculator'!J:J,MATCH('Isaac 401k'!N2904,'Retirement Calculator'!A:A,0),0),0)</f>
        <v>0</v>
      </c>
      <c r="K2904" s="444">
        <f t="shared" ca="1" si="156"/>
        <v>-18359236.200497776</v>
      </c>
      <c r="L2904" s="444">
        <f t="shared" ca="1" si="157"/>
        <v>-4424575924.3199644</v>
      </c>
      <c r="M2904" s="460">
        <f t="shared" si="159"/>
        <v>0.05</v>
      </c>
      <c r="N2904" s="464">
        <f t="shared" si="160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58"/>
        <v>-4424575924.3199644</v>
      </c>
      <c r="J2905" s="444">
        <f t="array" ref="J2905">IFERROR(INDEX('Retirement Calculator'!J:J,MATCH('Isaac 401k'!N2905,'Retirement Calculator'!A:A,0),0),0)</f>
        <v>0</v>
      </c>
      <c r="K2905" s="444">
        <f t="shared" ca="1" si="156"/>
        <v>-18435733.01799985</v>
      </c>
      <c r="L2905" s="444">
        <f t="shared" ca="1" si="157"/>
        <v>-4443011657.3379641</v>
      </c>
      <c r="M2905" s="460">
        <f t="shared" si="159"/>
        <v>0.05</v>
      </c>
      <c r="N2905" s="464">
        <f t="shared" si="160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58"/>
        <v>-4443011657.3379641</v>
      </c>
      <c r="J2906" s="444">
        <f t="array" ref="J2906">IFERROR(INDEX('Retirement Calculator'!J:J,MATCH('Isaac 401k'!N2906,'Retirement Calculator'!A:A,0),0),0)</f>
        <v>0</v>
      </c>
      <c r="K2906" s="444">
        <f t="shared" ca="1" si="156"/>
        <v>-18512548.572241515</v>
      </c>
      <c r="L2906" s="444">
        <f t="shared" ca="1" si="157"/>
        <v>-4461524205.9102058</v>
      </c>
      <c r="M2906" s="460">
        <f t="shared" si="159"/>
        <v>0.05</v>
      </c>
      <c r="N2906" s="464">
        <f t="shared" si="160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58"/>
        <v>-4461524205.9102058</v>
      </c>
      <c r="J2907" s="444">
        <f t="array" ref="J2907">IFERROR(INDEX('Retirement Calculator'!J:J,MATCH('Isaac 401k'!N2907,'Retirement Calculator'!A:A,0),0),0)</f>
        <v>0</v>
      </c>
      <c r="K2907" s="444">
        <f t="shared" ca="1" si="156"/>
        <v>-18589684.191292524</v>
      </c>
      <c r="L2907" s="444">
        <f t="shared" ca="1" si="157"/>
        <v>-4480113890.1014986</v>
      </c>
      <c r="M2907" s="460">
        <f t="shared" si="159"/>
        <v>0.05</v>
      </c>
      <c r="N2907" s="464">
        <f t="shared" si="160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58"/>
        <v>-4480113890.1014986</v>
      </c>
      <c r="J2908" s="444">
        <f t="array" ref="J2908">IFERROR(INDEX('Retirement Calculator'!J:J,MATCH('Isaac 401k'!N2908,'Retirement Calculator'!A:A,0),0),0)</f>
        <v>0</v>
      </c>
      <c r="K2908" s="444">
        <f t="shared" ca="1" si="156"/>
        <v>-18667141.208756246</v>
      </c>
      <c r="L2908" s="444">
        <f t="shared" ca="1" si="157"/>
        <v>-4498781031.3102551</v>
      </c>
      <c r="M2908" s="460">
        <f t="shared" si="159"/>
        <v>0.05</v>
      </c>
      <c r="N2908" s="464">
        <f t="shared" si="160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58"/>
        <v>-4498781031.3102551</v>
      </c>
      <c r="J2909" s="444">
        <f t="array" ref="J2909">IFERROR(INDEX('Retirement Calculator'!J:J,MATCH('Isaac 401k'!N2909,'Retirement Calculator'!A:A,0),0),0)</f>
        <v>0</v>
      </c>
      <c r="K2909" s="444">
        <f t="shared" ca="1" si="156"/>
        <v>-18744920.96379273</v>
      </c>
      <c r="L2909" s="444">
        <f t="shared" ca="1" si="157"/>
        <v>-4517525952.2740479</v>
      </c>
      <c r="M2909" s="460">
        <f t="shared" si="159"/>
        <v>0.05</v>
      </c>
      <c r="N2909" s="464">
        <f t="shared" si="160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58"/>
        <v>-4517525952.2740479</v>
      </c>
      <c r="J2910" s="444">
        <f t="array" ref="J2910">IFERROR(INDEX('Retirement Calculator'!J:J,MATCH('Isaac 401k'!N2910,'Retirement Calculator'!A:A,0),0),0)</f>
        <v>0</v>
      </c>
      <c r="K2910" s="444">
        <f t="shared" ca="1" si="156"/>
        <v>-18823024.801141866</v>
      </c>
      <c r="L2910" s="444">
        <f t="shared" ca="1" si="157"/>
        <v>-4536348977.0751896</v>
      </c>
      <c r="M2910" s="460">
        <f t="shared" si="159"/>
        <v>0.05</v>
      </c>
      <c r="N2910" s="464">
        <f t="shared" si="160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58"/>
        <v>-4536348977.0751896</v>
      </c>
      <c r="J2911" s="444">
        <f t="array" ref="J2911">IFERROR(INDEX('Retirement Calculator'!J:J,MATCH('Isaac 401k'!N2911,'Retirement Calculator'!A:A,0),0),0)</f>
        <v>0</v>
      </c>
      <c r="K2911" s="444">
        <f t="shared" ca="1" si="156"/>
        <v>-18901454.071146622</v>
      </c>
      <c r="L2911" s="444">
        <f t="shared" ca="1" si="157"/>
        <v>-4555250431.1463366</v>
      </c>
      <c r="M2911" s="460">
        <f t="shared" si="159"/>
        <v>0.05</v>
      </c>
      <c r="N2911" s="464">
        <f t="shared" si="160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58"/>
        <v>-4555250431.1463366</v>
      </c>
      <c r="J2912" s="444">
        <f t="array" ref="J2912">IFERROR(INDEX('Retirement Calculator'!J:J,MATCH('Isaac 401k'!N2912,'Retirement Calculator'!A:A,0),0),0)</f>
        <v>0</v>
      </c>
      <c r="K2912" s="444">
        <f t="shared" ca="1" si="156"/>
        <v>-18980210.129776403</v>
      </c>
      <c r="L2912" s="444">
        <f t="shared" ca="1" si="157"/>
        <v>-4574230641.2761126</v>
      </c>
      <c r="M2912" s="460">
        <f t="shared" si="159"/>
        <v>0.05</v>
      </c>
      <c r="N2912" s="464">
        <f t="shared" si="160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58"/>
        <v>-4574230641.2761126</v>
      </c>
      <c r="J2913" s="444">
        <f t="array" ref="J2913">IFERROR(INDEX('Retirement Calculator'!J:J,MATCH('Isaac 401k'!N2913,'Retirement Calculator'!A:A,0),0),0)</f>
        <v>0</v>
      </c>
      <c r="K2913" s="444">
        <f t="shared" ca="1" si="156"/>
        <v>-19059294.338650469</v>
      </c>
      <c r="L2913" s="444">
        <f t="shared" ca="1" si="157"/>
        <v>-4593289935.6147633</v>
      </c>
      <c r="M2913" s="460">
        <f t="shared" si="159"/>
        <v>0.05</v>
      </c>
      <c r="N2913" s="464">
        <f t="shared" si="160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58"/>
        <v>-4593289935.6147633</v>
      </c>
      <c r="J2914" s="444">
        <f t="array" ref="J2914">IFERROR(INDEX('Retirement Calculator'!J:J,MATCH('Isaac 401k'!N2914,'Retirement Calculator'!A:A,0),0),0)</f>
        <v>0</v>
      </c>
      <c r="K2914" s="444">
        <f t="shared" ca="1" si="156"/>
        <v>-19138708.065061513</v>
      </c>
      <c r="L2914" s="444">
        <f t="shared" ca="1" si="157"/>
        <v>-4612428643.6798248</v>
      </c>
      <c r="M2914" s="460">
        <f t="shared" si="159"/>
        <v>0.05</v>
      </c>
      <c r="N2914" s="464">
        <f t="shared" si="160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58"/>
        <v>-4612428643.6798248</v>
      </c>
      <c r="J2915" s="444">
        <f t="array" ref="J2915">IFERROR(INDEX('Retirement Calculator'!J:J,MATCH('Isaac 401k'!N2915,'Retirement Calculator'!A:A,0),0),0)</f>
        <v>0</v>
      </c>
      <c r="K2915" s="444">
        <f t="shared" ca="1" si="156"/>
        <v>-19218452.68199927</v>
      </c>
      <c r="L2915" s="444">
        <f t="shared" ca="1" si="157"/>
        <v>-4631647096.361824</v>
      </c>
      <c r="M2915" s="460">
        <f t="shared" si="159"/>
        <v>0.05</v>
      </c>
      <c r="N2915" s="464">
        <f t="shared" si="160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58"/>
        <v>-4631647096.361824</v>
      </c>
      <c r="J2916" s="444">
        <f t="array" ref="J2916">IFERROR(INDEX('Retirement Calculator'!J:J,MATCH('Isaac 401k'!N2916,'Retirement Calculator'!A:A,0),0),0)</f>
        <v>0</v>
      </c>
      <c r="K2916" s="444">
        <f t="shared" ca="1" si="156"/>
        <v>-19298529.568174265</v>
      </c>
      <c r="L2916" s="444">
        <f t="shared" ca="1" si="157"/>
        <v>-4650945625.9299984</v>
      </c>
      <c r="M2916" s="460">
        <f t="shared" si="159"/>
        <v>0.05</v>
      </c>
      <c r="N2916" s="464">
        <f t="shared" si="160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58"/>
        <v>-4650945625.9299984</v>
      </c>
      <c r="J2917" s="444">
        <f t="array" ref="J2917">IFERROR(INDEX('Retirement Calculator'!J:J,MATCH('Isaac 401k'!N2917,'Retirement Calculator'!A:A,0),0),0)</f>
        <v>0</v>
      </c>
      <c r="K2917" s="444">
        <f t="shared" ca="1" si="156"/>
        <v>-19378940.108041659</v>
      </c>
      <c r="L2917" s="444">
        <f t="shared" ca="1" si="157"/>
        <v>-4670324566.0380402</v>
      </c>
      <c r="M2917" s="460">
        <f t="shared" si="159"/>
        <v>0.05</v>
      </c>
      <c r="N2917" s="464">
        <f t="shared" si="160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58"/>
        <v>-4670324566.0380402</v>
      </c>
      <c r="J2918" s="444">
        <f t="array" ref="J2918">IFERROR(INDEX('Retirement Calculator'!J:J,MATCH('Isaac 401k'!N2918,'Retirement Calculator'!A:A,0),0),0)</f>
        <v>0</v>
      </c>
      <c r="K2918" s="444">
        <f t="shared" ca="1" si="156"/>
        <v>-19459685.691825166</v>
      </c>
      <c r="L2918" s="444">
        <f t="shared" ca="1" si="157"/>
        <v>-4689784251.7298651</v>
      </c>
      <c r="M2918" s="460">
        <f t="shared" si="159"/>
        <v>0.05</v>
      </c>
      <c r="N2918" s="464">
        <f t="shared" si="160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58"/>
        <v>-4689784251.7298651</v>
      </c>
      <c r="J2919" s="444">
        <f t="array" ref="J2919">IFERROR(INDEX('Retirement Calculator'!J:J,MATCH('Isaac 401k'!N2919,'Retirement Calculator'!A:A,0),0),0)</f>
        <v>0</v>
      </c>
      <c r="K2919" s="444">
        <f t="shared" ca="1" si="156"/>
        <v>-19540767.715541106</v>
      </c>
      <c r="L2919" s="444">
        <f t="shared" ca="1" si="157"/>
        <v>-4709325019.445406</v>
      </c>
      <c r="M2919" s="460">
        <f t="shared" si="159"/>
        <v>0.05</v>
      </c>
      <c r="N2919" s="464">
        <f t="shared" si="160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58"/>
        <v>-4709325019.445406</v>
      </c>
      <c r="J2920" s="444">
        <f t="array" ref="J2920">IFERROR(INDEX('Retirement Calculator'!J:J,MATCH('Isaac 401k'!N2920,'Retirement Calculator'!A:A,0),0),0)</f>
        <v>0</v>
      </c>
      <c r="K2920" s="444">
        <f t="shared" ca="1" si="156"/>
        <v>-19622187.581022523</v>
      </c>
      <c r="L2920" s="444">
        <f t="shared" ca="1" si="157"/>
        <v>-4728947207.0264282</v>
      </c>
      <c r="M2920" s="460">
        <f t="shared" si="159"/>
        <v>0.05</v>
      </c>
      <c r="N2920" s="464">
        <f t="shared" si="160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58"/>
        <v>-4728947207.0264282</v>
      </c>
      <c r="J2921" s="444">
        <f t="array" ref="J2921">IFERROR(INDEX('Retirement Calculator'!J:J,MATCH('Isaac 401k'!N2921,'Retirement Calculator'!A:A,0),0),0)</f>
        <v>0</v>
      </c>
      <c r="K2921" s="444">
        <f t="shared" ca="1" si="156"/>
        <v>-19703946.695943452</v>
      </c>
      <c r="L2921" s="444">
        <f t="shared" ca="1" si="157"/>
        <v>-4748651153.7223721</v>
      </c>
      <c r="M2921" s="460">
        <f t="shared" si="159"/>
        <v>0.05</v>
      </c>
      <c r="N2921" s="464">
        <f t="shared" si="160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58"/>
        <v>-4748651153.7223721</v>
      </c>
      <c r="J2922" s="444">
        <f t="array" ref="J2922">IFERROR(INDEX('Retirement Calculator'!J:J,MATCH('Isaac 401k'!N2922,'Retirement Calculator'!A:A,0),0),0)</f>
        <v>0</v>
      </c>
      <c r="K2922" s="444">
        <f t="shared" ca="1" si="156"/>
        <v>-19786046.473843217</v>
      </c>
      <c r="L2922" s="444">
        <f t="shared" ca="1" si="157"/>
        <v>-4768437200.1962156</v>
      </c>
      <c r="M2922" s="460">
        <f t="shared" si="159"/>
        <v>0.05</v>
      </c>
      <c r="N2922" s="464">
        <f t="shared" si="160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58"/>
        <v>-4768437200.1962156</v>
      </c>
      <c r="J2923" s="444">
        <f t="array" ref="J2923">IFERROR(INDEX('Retirement Calculator'!J:J,MATCH('Isaac 401k'!N2923,'Retirement Calculator'!A:A,0),0),0)</f>
        <v>0</v>
      </c>
      <c r="K2923" s="444">
        <f t="shared" ca="1" si="156"/>
        <v>-19868488.334150899</v>
      </c>
      <c r="L2923" s="444">
        <f t="shared" ca="1" si="157"/>
        <v>-4788305688.5303669</v>
      </c>
      <c r="M2923" s="460">
        <f t="shared" si="159"/>
        <v>0.05</v>
      </c>
      <c r="N2923" s="464">
        <f t="shared" si="160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58"/>
        <v>-4788305688.5303669</v>
      </c>
      <c r="J2924" s="444">
        <f t="array" ref="J2924">IFERROR(INDEX('Retirement Calculator'!J:J,MATCH('Isaac 401k'!N2924,'Retirement Calculator'!A:A,0),0),0)</f>
        <v>0</v>
      </c>
      <c r="K2924" s="444">
        <f t="shared" ca="1" si="156"/>
        <v>-19951273.70220986</v>
      </c>
      <c r="L2924" s="444">
        <f t="shared" ca="1" si="157"/>
        <v>-4808256962.2325764</v>
      </c>
      <c r="M2924" s="460">
        <f t="shared" si="159"/>
        <v>0.05</v>
      </c>
      <c r="N2924" s="464">
        <f t="shared" si="160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58"/>
        <v>-4808256962.2325764</v>
      </c>
      <c r="J2925" s="444">
        <f t="array" ref="J2925">IFERROR(INDEX('Retirement Calculator'!J:J,MATCH('Isaac 401k'!N2925,'Retirement Calculator'!A:A,0),0),0)</f>
        <v>0</v>
      </c>
      <c r="K2925" s="444">
        <f t="shared" ca="1" si="156"/>
        <v>-20034404.0093024</v>
      </c>
      <c r="L2925" s="444">
        <f t="shared" ca="1" si="157"/>
        <v>-4828291366.2418785</v>
      </c>
      <c r="M2925" s="460">
        <f t="shared" si="159"/>
        <v>0.05</v>
      </c>
      <c r="N2925" s="464">
        <f t="shared" si="160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58"/>
        <v>-4828291366.2418785</v>
      </c>
      <c r="J2926" s="444">
        <f t="array" ref="J2926">IFERROR(INDEX('Retirement Calculator'!J:J,MATCH('Isaac 401k'!N2926,'Retirement Calculator'!A:A,0),0),0)</f>
        <v>0</v>
      </c>
      <c r="K2926" s="444">
        <f t="shared" ca="1" si="156"/>
        <v>-20117880.692674495</v>
      </c>
      <c r="L2926" s="444">
        <f t="shared" ca="1" si="157"/>
        <v>-4848409246.9345531</v>
      </c>
      <c r="M2926" s="460">
        <f t="shared" si="159"/>
        <v>0.05</v>
      </c>
      <c r="N2926" s="464">
        <f t="shared" si="160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58"/>
        <v>-4848409246.9345531</v>
      </c>
      <c r="J2927" s="444">
        <f t="array" ref="J2927">IFERROR(INDEX('Retirement Calculator'!J:J,MATCH('Isaac 401k'!N2927,'Retirement Calculator'!A:A,0),0),0)</f>
        <v>0</v>
      </c>
      <c r="K2927" s="444">
        <f t="shared" ca="1" si="156"/>
        <v>-20201705.195560638</v>
      </c>
      <c r="L2927" s="444">
        <f t="shared" ca="1" si="157"/>
        <v>-4868610952.1301136</v>
      </c>
      <c r="M2927" s="460">
        <f t="shared" si="159"/>
        <v>0.05</v>
      </c>
      <c r="N2927" s="464">
        <f t="shared" si="160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58"/>
        <v>-4868610952.1301136</v>
      </c>
      <c r="J2928" s="444">
        <f t="array" ref="J2928">IFERROR(INDEX('Retirement Calculator'!J:J,MATCH('Isaac 401k'!N2928,'Retirement Calculator'!A:A,0),0),0)</f>
        <v>0</v>
      </c>
      <c r="K2928" s="444">
        <f t="shared" ca="1" si="156"/>
        <v>-20285878.967208806</v>
      </c>
      <c r="L2928" s="444">
        <f t="shared" ca="1" si="157"/>
        <v>-4888896831.0973225</v>
      </c>
      <c r="M2928" s="460">
        <f t="shared" si="159"/>
        <v>0.05</v>
      </c>
      <c r="N2928" s="464">
        <f t="shared" si="160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58"/>
        <v>-4888896831.0973225</v>
      </c>
      <c r="J2929" s="444">
        <f t="array" ref="J2929">IFERROR(INDEX('Retirement Calculator'!J:J,MATCH('Isaac 401k'!N2929,'Retirement Calculator'!A:A,0),0),0)</f>
        <v>0</v>
      </c>
      <c r="K2929" s="444">
        <f t="shared" ca="1" si="156"/>
        <v>-20370403.462905511</v>
      </c>
      <c r="L2929" s="444">
        <f t="shared" ca="1" si="157"/>
        <v>-4909267234.5602283</v>
      </c>
      <c r="M2929" s="460">
        <f t="shared" si="159"/>
        <v>0.05</v>
      </c>
      <c r="N2929" s="464">
        <f t="shared" si="160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58"/>
        <v>-4909267234.5602283</v>
      </c>
      <c r="J2930" s="444">
        <f t="array" ref="J2930">IFERROR(INDEX('Retirement Calculator'!J:J,MATCH('Isaac 401k'!N2930,'Retirement Calculator'!A:A,0),0),0)</f>
        <v>0</v>
      </c>
      <c r="K2930" s="444">
        <f t="shared" ca="1" si="156"/>
        <v>-20455280.144000951</v>
      </c>
      <c r="L2930" s="444">
        <f t="shared" ca="1" si="157"/>
        <v>-4929722514.7042294</v>
      </c>
      <c r="M2930" s="460">
        <f t="shared" si="159"/>
        <v>0.05</v>
      </c>
      <c r="N2930" s="464">
        <f t="shared" si="160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58"/>
        <v>-4929722514.7042294</v>
      </c>
      <c r="J2931" s="444">
        <f t="array" ref="J2931">IFERROR(INDEX('Retirement Calculator'!J:J,MATCH('Isaac 401k'!N2931,'Retirement Calculator'!A:A,0),0),0)</f>
        <v>0</v>
      </c>
      <c r="K2931" s="444">
        <f t="shared" ca="1" si="156"/>
        <v>-20540510.47793429</v>
      </c>
      <c r="L2931" s="444">
        <f t="shared" ca="1" si="157"/>
        <v>-4950263025.1821632</v>
      </c>
      <c r="M2931" s="460">
        <f t="shared" si="159"/>
        <v>0.05</v>
      </c>
      <c r="N2931" s="464">
        <f t="shared" si="160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58"/>
        <v>-4950263025.1821632</v>
      </c>
      <c r="J2932" s="444">
        <f t="array" ref="J2932">IFERROR(INDEX('Retirement Calculator'!J:J,MATCH('Isaac 401k'!N2932,'Retirement Calculator'!A:A,0),0),0)</f>
        <v>0</v>
      </c>
      <c r="K2932" s="444">
        <f t="shared" ca="1" si="156"/>
        <v>-20626095.938259013</v>
      </c>
      <c r="L2932" s="444">
        <f t="shared" ca="1" si="157"/>
        <v>-4970889121.1204224</v>
      </c>
      <c r="M2932" s="460">
        <f t="shared" si="159"/>
        <v>0.05</v>
      </c>
      <c r="N2932" s="464">
        <f t="shared" si="160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58"/>
        <v>-4970889121.1204224</v>
      </c>
      <c r="J2933" s="444">
        <f t="array" ref="J2933">IFERROR(INDEX('Retirement Calculator'!J:J,MATCH('Isaac 401k'!N2933,'Retirement Calculator'!A:A,0),0),0)</f>
        <v>0</v>
      </c>
      <c r="K2933" s="444">
        <f t="shared" ca="1" si="156"/>
        <v>-20712038.004668426</v>
      </c>
      <c r="L2933" s="444">
        <f t="shared" ca="1" si="157"/>
        <v>-4991601159.1250906</v>
      </c>
      <c r="M2933" s="460">
        <f t="shared" si="159"/>
        <v>0.05</v>
      </c>
      <c r="N2933" s="464">
        <f t="shared" si="160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58"/>
        <v>-4991601159.1250906</v>
      </c>
      <c r="J2934" s="444">
        <f t="array" ref="J2934">IFERROR(INDEX('Retirement Calculator'!J:J,MATCH('Isaac 401k'!N2934,'Retirement Calculator'!A:A,0),0),0)</f>
        <v>0</v>
      </c>
      <c r="K2934" s="444">
        <f t="shared" ca="1" si="156"/>
        <v>-20798338.163021211</v>
      </c>
      <c r="L2934" s="444">
        <f t="shared" ca="1" si="157"/>
        <v>-5012399497.2881117</v>
      </c>
      <c r="M2934" s="460">
        <f t="shared" si="159"/>
        <v>0.05</v>
      </c>
      <c r="N2934" s="464">
        <f t="shared" si="160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58"/>
        <v>-5012399497.2881117</v>
      </c>
      <c r="J2935" s="444">
        <f t="array" ref="J2935">IFERROR(INDEX('Retirement Calculator'!J:J,MATCH('Isaac 401k'!N2935,'Retirement Calculator'!A:A,0),0),0)</f>
        <v>0</v>
      </c>
      <c r="K2935" s="444">
        <f t="shared" ca="1" si="156"/>
        <v>-20884997.905367132</v>
      </c>
      <c r="L2935" s="444">
        <f t="shared" ca="1" si="157"/>
        <v>-5033284495.1934786</v>
      </c>
      <c r="M2935" s="460">
        <f t="shared" si="159"/>
        <v>0.05</v>
      </c>
      <c r="N2935" s="464">
        <f t="shared" si="160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58"/>
        <v>-5033284495.1934786</v>
      </c>
      <c r="J2936" s="444">
        <f t="array" ref="J2936">IFERROR(INDEX('Retirement Calculator'!J:J,MATCH('Isaac 401k'!N2936,'Retirement Calculator'!A:A,0),0),0)</f>
        <v>0</v>
      </c>
      <c r="K2936" s="444">
        <f t="shared" ca="1" si="156"/>
        <v>-20972018.729972828</v>
      </c>
      <c r="L2936" s="444">
        <f t="shared" ca="1" si="157"/>
        <v>-5054256513.9234514</v>
      </c>
      <c r="M2936" s="460">
        <f t="shared" si="159"/>
        <v>0.05</v>
      </c>
      <c r="N2936" s="464">
        <f t="shared" si="160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58"/>
        <v>-5054256513.9234514</v>
      </c>
      <c r="J2937" s="444">
        <f t="array" ref="J2937">IFERROR(INDEX('Retirement Calculator'!J:J,MATCH('Isaac 401k'!N2937,'Retirement Calculator'!A:A,0),0),0)</f>
        <v>0</v>
      </c>
      <c r="K2937" s="444">
        <f t="shared" ca="1" si="156"/>
        <v>-21059402.141347714</v>
      </c>
      <c r="L2937" s="444">
        <f t="shared" ca="1" si="157"/>
        <v>-5075315916.0647993</v>
      </c>
      <c r="M2937" s="460">
        <f t="shared" si="159"/>
        <v>0.05</v>
      </c>
      <c r="N2937" s="464">
        <f t="shared" si="160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58"/>
        <v>-5075315916.0647993</v>
      </c>
      <c r="J2938" s="444">
        <f t="array" ref="J2938">IFERROR(INDEX('Retirement Calculator'!J:J,MATCH('Isaac 401k'!N2938,'Retirement Calculator'!A:A,0),0),0)</f>
        <v>0</v>
      </c>
      <c r="K2938" s="444">
        <f t="shared" ca="1" si="156"/>
        <v>-21147149.650269996</v>
      </c>
      <c r="L2938" s="444">
        <f t="shared" ca="1" si="157"/>
        <v>-5096463065.7150698</v>
      </c>
      <c r="M2938" s="460">
        <f t="shared" si="159"/>
        <v>0.05</v>
      </c>
      <c r="N2938" s="464">
        <f t="shared" si="160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58"/>
        <v>-5096463065.7150698</v>
      </c>
      <c r="J2939" s="444">
        <f t="array" ref="J2939">IFERROR(INDEX('Retirement Calculator'!J:J,MATCH('Isaac 401k'!N2939,'Retirement Calculator'!A:A,0),0),0)</f>
        <v>0</v>
      </c>
      <c r="K2939" s="444">
        <f t="shared" ca="1" si="156"/>
        <v>-21235262.773812789</v>
      </c>
      <c r="L2939" s="444">
        <f t="shared" ca="1" si="157"/>
        <v>-5117698328.488883</v>
      </c>
      <c r="M2939" s="460">
        <f t="shared" si="159"/>
        <v>0.05</v>
      </c>
      <c r="N2939" s="464">
        <f t="shared" si="160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58"/>
        <v>-5117698328.488883</v>
      </c>
      <c r="J2940" s="444">
        <f t="array" ref="J2940">IFERROR(INDEX('Retirement Calculator'!J:J,MATCH('Isaac 401k'!N2940,'Retirement Calculator'!A:A,0),0),0)</f>
        <v>0</v>
      </c>
      <c r="K2940" s="444">
        <f t="shared" ca="1" si="156"/>
        <v>-21323743.035370346</v>
      </c>
      <c r="L2940" s="444">
        <f t="shared" ca="1" si="157"/>
        <v>-5139022071.5242529</v>
      </c>
      <c r="M2940" s="460">
        <f t="shared" si="159"/>
        <v>0.05</v>
      </c>
      <c r="N2940" s="464">
        <f t="shared" si="160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58"/>
        <v>-5139022071.5242529</v>
      </c>
      <c r="J2941" s="444">
        <f t="array" ref="J2941">IFERROR(INDEX('Retirement Calculator'!J:J,MATCH('Isaac 401k'!N2941,'Retirement Calculator'!A:A,0),0),0)</f>
        <v>0</v>
      </c>
      <c r="K2941" s="444">
        <f t="shared" ca="1" si="156"/>
        <v>-21412591.964684386</v>
      </c>
      <c r="L2941" s="444">
        <f t="shared" ca="1" si="157"/>
        <v>-5160434663.4889374</v>
      </c>
      <c r="M2941" s="460">
        <f t="shared" si="159"/>
        <v>0.05</v>
      </c>
      <c r="N2941" s="464">
        <f t="shared" si="160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58"/>
        <v>-5160434663.4889374</v>
      </c>
      <c r="J2942" s="444">
        <f t="array" ref="J2942">IFERROR(INDEX('Retirement Calculator'!J:J,MATCH('Isaac 401k'!N2942,'Retirement Calculator'!A:A,0),0),0)</f>
        <v>0</v>
      </c>
      <c r="K2942" s="444">
        <f t="shared" ca="1" si="156"/>
        <v>-21501811.097870573</v>
      </c>
      <c r="L2942" s="444">
        <f t="shared" ca="1" si="157"/>
        <v>-5181936474.5868082</v>
      </c>
      <c r="M2942" s="460">
        <f t="shared" si="159"/>
        <v>0.05</v>
      </c>
      <c r="N2942" s="464">
        <f t="shared" si="160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58"/>
        <v>-5181936474.5868082</v>
      </c>
      <c r="J2943" s="444">
        <f t="array" ref="J2943">IFERROR(INDEX('Retirement Calculator'!J:J,MATCH('Isaac 401k'!N2943,'Retirement Calculator'!A:A,0),0),0)</f>
        <v>0</v>
      </c>
      <c r="K2943" s="444">
        <f t="shared" ca="1" si="156"/>
        <v>-21591401.977445032</v>
      </c>
      <c r="L2943" s="444">
        <f t="shared" ca="1" si="157"/>
        <v>-5203527876.5642529</v>
      </c>
      <c r="M2943" s="460">
        <f t="shared" si="159"/>
        <v>0.05</v>
      </c>
      <c r="N2943" s="464">
        <f t="shared" si="160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58"/>
        <v>-5203527876.5642529</v>
      </c>
      <c r="J2944" s="444">
        <f t="array" ref="J2944">IFERROR(INDEX('Retirement Calculator'!J:J,MATCH('Isaac 401k'!N2944,'Retirement Calculator'!A:A,0),0),0)</f>
        <v>0</v>
      </c>
      <c r="K2944" s="444">
        <f t="shared" ca="1" si="156"/>
        <v>-21681366.152351052</v>
      </c>
      <c r="L2944" s="444">
        <f t="shared" ca="1" si="157"/>
        <v>-5225209242.7166042</v>
      </c>
      <c r="M2944" s="460">
        <f t="shared" si="159"/>
        <v>0.05</v>
      </c>
      <c r="N2944" s="464">
        <f t="shared" si="160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58"/>
        <v>-5225209242.7166042</v>
      </c>
      <c r="J2945" s="444">
        <f t="array" ref="J2945">IFERROR(INDEX('Retirement Calculator'!J:J,MATCH('Isaac 401k'!N2945,'Retirement Calculator'!A:A,0),0),0)</f>
        <v>0</v>
      </c>
      <c r="K2945" s="444">
        <f t="shared" ca="1" si="156"/>
        <v>-21771705.177985851</v>
      </c>
      <c r="L2945" s="444">
        <f t="shared" ca="1" si="157"/>
        <v>-5246980947.8945904</v>
      </c>
      <c r="M2945" s="460">
        <f t="shared" si="159"/>
        <v>0.05</v>
      </c>
      <c r="N2945" s="464">
        <f t="shared" si="160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58"/>
        <v>-5246980947.8945904</v>
      </c>
      <c r="J2946" s="444">
        <f t="array" ref="J2946">IFERROR(INDEX('Retirement Calculator'!J:J,MATCH('Isaac 401k'!N2946,'Retirement Calculator'!A:A,0),0),0)</f>
        <v>0</v>
      </c>
      <c r="K2946" s="444">
        <f t="shared" ca="1" si="156"/>
        <v>-21862420.616227459</v>
      </c>
      <c r="L2946" s="444">
        <f t="shared" ca="1" si="157"/>
        <v>-5268843368.5108175</v>
      </c>
      <c r="M2946" s="460">
        <f t="shared" si="159"/>
        <v>0.05</v>
      </c>
      <c r="N2946" s="464">
        <f t="shared" si="160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58"/>
        <v>-5268843368.5108175</v>
      </c>
      <c r="J2947" s="444">
        <f t="array" ref="J2947">IFERROR(INDEX('Retirement Calculator'!J:J,MATCH('Isaac 401k'!N2947,'Retirement Calculator'!A:A,0),0),0)</f>
        <v>0</v>
      </c>
      <c r="K2947" s="444">
        <f t="shared" ca="1" si="156"/>
        <v>-21953514.035461739</v>
      </c>
      <c r="L2947" s="444">
        <f t="shared" ca="1" si="157"/>
        <v>-5290796882.546279</v>
      </c>
      <c r="M2947" s="460">
        <f t="shared" si="159"/>
        <v>0.05</v>
      </c>
      <c r="N2947" s="464">
        <f t="shared" si="160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58"/>
        <v>-5290796882.546279</v>
      </c>
      <c r="J2948" s="444">
        <f t="array" ref="J2948">IFERROR(INDEX('Retirement Calculator'!J:J,MATCH('Isaac 401k'!N2948,'Retirement Calculator'!A:A,0),0),0)</f>
        <v>0</v>
      </c>
      <c r="K2948" s="444">
        <f t="shared" ca="1" si="156"/>
        <v>-22044987.010609496</v>
      </c>
      <c r="L2948" s="444">
        <f t="shared" ca="1" si="157"/>
        <v>-5312841869.5568886</v>
      </c>
      <c r="M2948" s="460">
        <f t="shared" si="159"/>
        <v>0.05</v>
      </c>
      <c r="N2948" s="464">
        <f t="shared" si="160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58"/>
        <v>-5312841869.5568886</v>
      </c>
      <c r="J2949" s="444">
        <f t="array" ref="J2949">IFERROR(INDEX('Retirement Calculator'!J:J,MATCH('Isaac 401k'!N2949,'Retirement Calculator'!A:A,0),0),0)</f>
        <v>0</v>
      </c>
      <c r="K2949" s="444">
        <f t="shared" ca="1" si="156"/>
        <v>-22136841.123153701</v>
      </c>
      <c r="L2949" s="444">
        <f t="shared" ca="1" si="157"/>
        <v>-5334978710.6800423</v>
      </c>
      <c r="M2949" s="460">
        <f t="shared" si="159"/>
        <v>0.05</v>
      </c>
      <c r="N2949" s="464">
        <f t="shared" si="160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58"/>
        <v>-5334978710.6800423</v>
      </c>
      <c r="J2950" s="444">
        <f t="array" ref="J2950">IFERROR(INDEX('Retirement Calculator'!J:J,MATCH('Isaac 401k'!N2950,'Retirement Calculator'!A:A,0),0),0)</f>
        <v>0</v>
      </c>
      <c r="K2950" s="444">
        <f t="shared" ca="1" si="156"/>
        <v>-22229077.961166844</v>
      </c>
      <c r="L2950" s="444">
        <f t="shared" ca="1" si="157"/>
        <v>-5357207788.6412086</v>
      </c>
      <c r="M2950" s="460">
        <f t="shared" si="159"/>
        <v>0.05</v>
      </c>
      <c r="N2950" s="464">
        <f t="shared" si="160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58"/>
        <v>-5357207788.6412086</v>
      </c>
      <c r="J2951" s="444">
        <f t="array" ref="J2951">IFERROR(INDEX('Retirement Calculator'!J:J,MATCH('Isaac 401k'!N2951,'Retirement Calculator'!A:A,0),0),0)</f>
        <v>0</v>
      </c>
      <c r="K2951" s="444">
        <f t="shared" ca="1" si="156"/>
        <v>-22321699.119338371</v>
      </c>
      <c r="L2951" s="444">
        <f t="shared" ca="1" si="157"/>
        <v>-5379529487.7605467</v>
      </c>
      <c r="M2951" s="460">
        <f t="shared" si="159"/>
        <v>0.05</v>
      </c>
      <c r="N2951" s="464">
        <f t="shared" si="160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58"/>
        <v>-5379529487.7605467</v>
      </c>
      <c r="J2952" s="444">
        <f t="array" ref="J2952">IFERROR(INDEX('Retirement Calculator'!J:J,MATCH('Isaac 401k'!N2952,'Retirement Calculator'!A:A,0),0),0)</f>
        <v>0</v>
      </c>
      <c r="K2952" s="444">
        <f t="shared" ca="1" si="156"/>
        <v>-22414706.199002277</v>
      </c>
      <c r="L2952" s="444">
        <f t="shared" ca="1" si="157"/>
        <v>-5401944193.959549</v>
      </c>
      <c r="M2952" s="460">
        <f t="shared" si="159"/>
        <v>0.05</v>
      </c>
      <c r="N2952" s="464">
        <f t="shared" si="160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58"/>
        <v>-5401944193.959549</v>
      </c>
      <c r="J2953" s="444">
        <f t="array" ref="J2953">IFERROR(INDEX('Retirement Calculator'!J:J,MATCH('Isaac 401k'!N2953,'Retirement Calculator'!A:A,0),0),0)</f>
        <v>0</v>
      </c>
      <c r="K2953" s="444">
        <f t="shared" ca="1" si="156"/>
        <v>-22508100.808164787</v>
      </c>
      <c r="L2953" s="444">
        <f t="shared" ca="1" si="157"/>
        <v>-5424452294.7677135</v>
      </c>
      <c r="M2953" s="460">
        <f t="shared" si="159"/>
        <v>0.05</v>
      </c>
      <c r="N2953" s="464">
        <f t="shared" si="160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58"/>
        <v>-5424452294.7677135</v>
      </c>
      <c r="J2954" s="444">
        <f t="array" ref="J2954">IFERROR(INDEX('Retirement Calculator'!J:J,MATCH('Isaac 401k'!N2954,'Retirement Calculator'!A:A,0),0),0)</f>
        <v>0</v>
      </c>
      <c r="K2954" s="444">
        <f t="shared" ca="1" si="156"/>
        <v>-22601884.56153214</v>
      </c>
      <c r="L2954" s="444">
        <f t="shared" ca="1" si="157"/>
        <v>-5447054179.3292456</v>
      </c>
      <c r="M2954" s="460">
        <f t="shared" si="159"/>
        <v>0.05</v>
      </c>
      <c r="N2954" s="464">
        <f t="shared" si="160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58"/>
        <v>-5447054179.3292456</v>
      </c>
      <c r="J2955" s="444">
        <f t="array" ref="J2955">IFERROR(INDEX('Retirement Calculator'!J:J,MATCH('Isaac 401k'!N2955,'Retirement Calculator'!A:A,0),0),0)</f>
        <v>0</v>
      </c>
      <c r="K2955" s="444">
        <f t="shared" ca="1" si="156"/>
        <v>-22696059.080538522</v>
      </c>
      <c r="L2955" s="444">
        <f t="shared" ca="1" si="157"/>
        <v>-5469750238.4097843</v>
      </c>
      <c r="M2955" s="460">
        <f t="shared" si="159"/>
        <v>0.05</v>
      </c>
      <c r="N2955" s="464">
        <f t="shared" si="160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58"/>
        <v>-5469750238.4097843</v>
      </c>
      <c r="J2956" s="444">
        <f t="array" ref="J2956">IFERROR(INDEX('Retirement Calculator'!J:J,MATCH('Isaac 401k'!N2956,'Retirement Calculator'!A:A,0),0),0)</f>
        <v>0</v>
      </c>
      <c r="K2956" s="444">
        <f t="shared" ca="1" si="156"/>
        <v>-22790625.993374102</v>
      </c>
      <c r="L2956" s="444">
        <f t="shared" ca="1" si="157"/>
        <v>-5492540864.4031582</v>
      </c>
      <c r="M2956" s="460">
        <f t="shared" si="159"/>
        <v>0.05</v>
      </c>
      <c r="N2956" s="464">
        <f t="shared" si="160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58"/>
        <v>-5492540864.4031582</v>
      </c>
      <c r="J2957" s="444">
        <f t="array" ref="J2957">IFERROR(INDEX('Retirement Calculator'!J:J,MATCH('Isaac 401k'!N2957,'Retirement Calculator'!A:A,0),0),0)</f>
        <v>0</v>
      </c>
      <c r="K2957" s="444">
        <f t="shared" ca="1" si="156"/>
        <v>-22885586.93501316</v>
      </c>
      <c r="L2957" s="444">
        <f t="shared" ca="1" si="157"/>
        <v>-5515426451.338171</v>
      </c>
      <c r="M2957" s="460">
        <f t="shared" si="159"/>
        <v>0.05</v>
      </c>
      <c r="N2957" s="464">
        <f t="shared" si="160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58"/>
        <v>-5515426451.338171</v>
      </c>
      <c r="J2958" s="444">
        <f t="array" ref="J2958">IFERROR(INDEX('Retirement Calculator'!J:J,MATCH('Isaac 401k'!N2958,'Retirement Calculator'!A:A,0),0),0)</f>
        <v>0</v>
      </c>
      <c r="K2958" s="444">
        <f t="shared" ca="1" si="156"/>
        <v>-22980943.547242381</v>
      </c>
      <c r="L2958" s="444">
        <f t="shared" ca="1" si="157"/>
        <v>-5538407394.8854132</v>
      </c>
      <c r="M2958" s="460">
        <f t="shared" si="159"/>
        <v>0.05</v>
      </c>
      <c r="N2958" s="464">
        <f t="shared" si="160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58"/>
        <v>-5538407394.8854132</v>
      </c>
      <c r="J2959" s="444">
        <f t="array" ref="J2959">IFERROR(INDEX('Retirement Calculator'!J:J,MATCH('Isaac 401k'!N2959,'Retirement Calculator'!A:A,0),0),0)</f>
        <v>0</v>
      </c>
      <c r="K2959" s="444">
        <f t="shared" ca="1" si="156"/>
        <v>-23076697.47868922</v>
      </c>
      <c r="L2959" s="444">
        <f t="shared" ca="1" si="157"/>
        <v>-5561484092.3641024</v>
      </c>
      <c r="M2959" s="460">
        <f t="shared" si="159"/>
        <v>0.05</v>
      </c>
      <c r="N2959" s="464">
        <f t="shared" si="160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58"/>
        <v>-5561484092.3641024</v>
      </c>
      <c r="J2960" s="444">
        <f t="array" ref="J2960">IFERROR(INDEX('Retirement Calculator'!J:J,MATCH('Isaac 401k'!N2960,'Retirement Calculator'!A:A,0),0),0)</f>
        <v>0</v>
      </c>
      <c r="K2960" s="444">
        <f t="shared" ca="1" si="156"/>
        <v>-23172850.384850428</v>
      </c>
      <c r="L2960" s="444">
        <f t="shared" ca="1" si="157"/>
        <v>-5584656942.7489529</v>
      </c>
      <c r="M2960" s="460">
        <f t="shared" si="159"/>
        <v>0.05</v>
      </c>
      <c r="N2960" s="464">
        <f t="shared" si="160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58"/>
        <v>-5584656942.7489529</v>
      </c>
      <c r="J2961" s="444">
        <f t="array" ref="J2961">IFERROR(INDEX('Retirement Calculator'!J:J,MATCH('Isaac 401k'!N2961,'Retirement Calculator'!A:A,0),0),0)</f>
        <v>0</v>
      </c>
      <c r="K2961" s="444">
        <f t="shared" ca="1" si="156"/>
        <v>-23269403.928120635</v>
      </c>
      <c r="L2961" s="444">
        <f t="shared" ca="1" si="157"/>
        <v>-5607926346.6770735</v>
      </c>
      <c r="M2961" s="460">
        <f t="shared" si="159"/>
        <v>0.05</v>
      </c>
      <c r="N2961" s="464">
        <f t="shared" si="160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58"/>
        <v>-5607926346.6770735</v>
      </c>
      <c r="J2962" s="444">
        <f t="array" ref="J2962">IFERROR(INDEX('Retirement Calculator'!J:J,MATCH('Isaac 401k'!N2962,'Retirement Calculator'!A:A,0),0),0)</f>
        <v>0</v>
      </c>
      <c r="K2962" s="444">
        <f t="shared" ca="1" si="156"/>
        <v>-23366359.777821139</v>
      </c>
      <c r="L2962" s="444">
        <f t="shared" ca="1" si="157"/>
        <v>-5631292706.454895</v>
      </c>
      <c r="M2962" s="460">
        <f t="shared" si="159"/>
        <v>0.05</v>
      </c>
      <c r="N2962" s="464">
        <f t="shared" si="160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58"/>
        <v>-5631292706.454895</v>
      </c>
      <c r="J2963" s="444">
        <f t="array" ref="J2963">IFERROR(INDEX('Retirement Calculator'!J:J,MATCH('Isaac 401k'!N2963,'Retirement Calculator'!A:A,0),0),0)</f>
        <v>0</v>
      </c>
      <c r="K2963" s="444">
        <f t="shared" ca="1" si="156"/>
        <v>-23463719.610228729</v>
      </c>
      <c r="L2963" s="444">
        <f t="shared" ca="1" si="157"/>
        <v>-5654756426.0651236</v>
      </c>
      <c r="M2963" s="460">
        <f t="shared" si="159"/>
        <v>0.05</v>
      </c>
      <c r="N2963" s="464">
        <f t="shared" si="160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58"/>
        <v>-5654756426.0651236</v>
      </c>
      <c r="J2964" s="444">
        <f t="array" ref="J2964">IFERROR(INDEX('Retirement Calculator'!J:J,MATCH('Isaac 401k'!N2964,'Retirement Calculator'!A:A,0),0),0)</f>
        <v>0</v>
      </c>
      <c r="K2964" s="444">
        <f t="shared" ca="1" si="156"/>
        <v>-23561485.108604681</v>
      </c>
      <c r="L2964" s="444">
        <f t="shared" ca="1" si="157"/>
        <v>-5678317911.173728</v>
      </c>
      <c r="M2964" s="460">
        <f t="shared" si="159"/>
        <v>0.05</v>
      </c>
      <c r="N2964" s="464">
        <f t="shared" si="160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58"/>
        <v>-5678317911.173728</v>
      </c>
      <c r="J2965" s="444">
        <f t="array" ref="J2965">IFERROR(INDEX('Retirement Calculator'!J:J,MATCH('Isaac 401k'!N2965,'Retirement Calculator'!A:A,0),0),0)</f>
        <v>0</v>
      </c>
      <c r="K2965" s="444">
        <f t="shared" ca="1" si="156"/>
        <v>-23659657.963223867</v>
      </c>
      <c r="L2965" s="444">
        <f t="shared" ca="1" si="157"/>
        <v>-5701977569.1369514</v>
      </c>
      <c r="M2965" s="460">
        <f t="shared" si="159"/>
        <v>0.05</v>
      </c>
      <c r="N2965" s="464">
        <f t="shared" si="160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58"/>
        <v>-5701977569.1369514</v>
      </c>
      <c r="J2966" s="444">
        <f t="array" ref="J2966">IFERROR(INDEX('Retirement Calculator'!J:J,MATCH('Isaac 401k'!N2966,'Retirement Calculator'!A:A,0),0),0)</f>
        <v>0</v>
      </c>
      <c r="K2966" s="444">
        <f t="shared" ca="1" si="156"/>
        <v>-23758239.871403962</v>
      </c>
      <c r="L2966" s="444">
        <f t="shared" ca="1" si="157"/>
        <v>-5725735809.0083551</v>
      </c>
      <c r="M2966" s="460">
        <f t="shared" si="159"/>
        <v>0.05</v>
      </c>
      <c r="N2966" s="464">
        <f t="shared" si="160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58"/>
        <v>-5725735809.0083551</v>
      </c>
      <c r="J2967" s="444">
        <f t="array" ref="J2967">IFERROR(INDEX('Retirement Calculator'!J:J,MATCH('Isaac 401k'!N2967,'Retirement Calculator'!A:A,0),0),0)</f>
        <v>0</v>
      </c>
      <c r="K2967" s="444">
        <f t="shared" ca="1" si="156"/>
        <v>-23857232.537534814</v>
      </c>
      <c r="L2967" s="444">
        <f t="shared" ca="1" si="157"/>
        <v>-5749593041.5458899</v>
      </c>
      <c r="M2967" s="460">
        <f t="shared" si="159"/>
        <v>0.05</v>
      </c>
      <c r="N2967" s="464">
        <f t="shared" si="160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58"/>
        <v>-5749593041.5458899</v>
      </c>
      <c r="J2968" s="444">
        <f t="array" ref="J2968">IFERROR(INDEX('Retirement Calculator'!J:J,MATCH('Isaac 401k'!N2968,'Retirement Calculator'!A:A,0),0),0)</f>
        <v>0</v>
      </c>
      <c r="K2968" s="444">
        <f t="shared" ca="1" si="156"/>
        <v>-23956637.673107874</v>
      </c>
      <c r="L2968" s="444">
        <f t="shared" ca="1" si="157"/>
        <v>-5773549679.218998</v>
      </c>
      <c r="M2968" s="460">
        <f t="shared" si="159"/>
        <v>0.05</v>
      </c>
      <c r="N2968" s="464">
        <f t="shared" si="160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58"/>
        <v>-5773549679.218998</v>
      </c>
      <c r="J2969" s="444">
        <f t="array" ref="J2969">IFERROR(INDEX('Retirement Calculator'!J:J,MATCH('Isaac 401k'!N2969,'Retirement Calculator'!A:A,0),0),0)</f>
        <v>0</v>
      </c>
      <c r="K2969" s="444">
        <f t="shared" ca="1" si="156"/>
        <v>-24056456.996745825</v>
      </c>
      <c r="L2969" s="444">
        <f t="shared" ca="1" si="157"/>
        <v>-5797606136.215744</v>
      </c>
      <c r="M2969" s="460">
        <f t="shared" si="159"/>
        <v>0.05</v>
      </c>
      <c r="N2969" s="464">
        <f t="shared" si="160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58"/>
        <v>-5797606136.215744</v>
      </c>
      <c r="J2970" s="444">
        <f t="array" ref="J2970">IFERROR(INDEX('Retirement Calculator'!J:J,MATCH('Isaac 401k'!N2970,'Retirement Calculator'!A:A,0),0),0)</f>
        <v>0</v>
      </c>
      <c r="K2970" s="444">
        <f t="shared" ca="1" si="156"/>
        <v>-24156692.234232266</v>
      </c>
      <c r="L2970" s="444">
        <f t="shared" ca="1" si="157"/>
        <v>-5821762828.449976</v>
      </c>
      <c r="M2970" s="460">
        <f t="shared" si="159"/>
        <v>0.05</v>
      </c>
      <c r="N2970" s="464">
        <f t="shared" si="160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58"/>
        <v>-5821762828.449976</v>
      </c>
      <c r="J2971" s="444">
        <f t="array" ref="J2971">IFERROR(INDEX('Retirement Calculator'!J:J,MATCH('Isaac 401k'!N2971,'Retirement Calculator'!A:A,0),0),0)</f>
        <v>0</v>
      </c>
      <c r="K2971" s="444">
        <f t="shared" ca="1" si="156"/>
        <v>-24257345.118541565</v>
      </c>
      <c r="L2971" s="444">
        <f t="shared" ca="1" si="157"/>
        <v>-5846020173.5685177</v>
      </c>
      <c r="M2971" s="460">
        <f t="shared" si="159"/>
        <v>0.05</v>
      </c>
      <c r="N2971" s="464">
        <f t="shared" si="160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58"/>
        <v>-5846020173.5685177</v>
      </c>
      <c r="J2972" s="444">
        <f t="array" ref="J2972">IFERROR(INDEX('Retirement Calculator'!J:J,MATCH('Isaac 401k'!N2972,'Retirement Calculator'!A:A,0),0),0)</f>
        <v>0</v>
      </c>
      <c r="K2972" s="444">
        <f t="shared" ca="1" si="156"/>
        <v>-24358417.389868822</v>
      </c>
      <c r="L2972" s="444">
        <f t="shared" ca="1" si="157"/>
        <v>-5870378590.9583864</v>
      </c>
      <c r="M2972" s="460">
        <f t="shared" si="159"/>
        <v>0.05</v>
      </c>
      <c r="N2972" s="464">
        <f t="shared" si="160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58"/>
        <v>-5870378590.9583864</v>
      </c>
      <c r="J2973" s="444">
        <f t="array" ref="J2973">IFERROR(INDEX('Retirement Calculator'!J:J,MATCH('Isaac 401k'!N2973,'Retirement Calculator'!A:A,0),0),0)</f>
        <v>0</v>
      </c>
      <c r="K2973" s="444">
        <f t="shared" ca="1" si="156"/>
        <v>-24459910.795659944</v>
      </c>
      <c r="L2973" s="444">
        <f t="shared" ca="1" si="157"/>
        <v>-5894838501.7540464</v>
      </c>
      <c r="M2973" s="460">
        <f t="shared" si="159"/>
        <v>0.05</v>
      </c>
      <c r="N2973" s="464">
        <f t="shared" si="160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58"/>
        <v>-5894838501.7540464</v>
      </c>
      <c r="J2974" s="444">
        <f t="array" ref="J2974">IFERROR(INDEX('Retirement Calculator'!J:J,MATCH('Isaac 401k'!N2974,'Retirement Calculator'!A:A,0),0),0)</f>
        <v>0</v>
      </c>
      <c r="K2974" s="444">
        <f t="shared" ca="1" si="156"/>
        <v>-24561827.09064186</v>
      </c>
      <c r="L2974" s="444">
        <f t="shared" ca="1" si="157"/>
        <v>-5919400328.8446884</v>
      </c>
      <c r="M2974" s="460">
        <f t="shared" si="159"/>
        <v>0.05</v>
      </c>
      <c r="N2974" s="464">
        <f t="shared" si="160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58"/>
        <v>-5919400328.8446884</v>
      </c>
      <c r="J2975" s="444">
        <f t="array" ref="J2975">IFERROR(INDEX('Retirement Calculator'!J:J,MATCH('Isaac 401k'!N2975,'Retirement Calculator'!A:A,0),0),0)</f>
        <v>0</v>
      </c>
      <c r="K2975" s="444">
        <f t="shared" ca="1" si="156"/>
        <v>-24664168.036852866</v>
      </c>
      <c r="L2975" s="444">
        <f t="shared" ca="1" si="157"/>
        <v>-5944064496.8815413</v>
      </c>
      <c r="M2975" s="460">
        <f t="shared" si="159"/>
        <v>0.05</v>
      </c>
      <c r="N2975" s="464">
        <f t="shared" si="160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58"/>
        <v>-5944064496.8815413</v>
      </c>
      <c r="J2976" s="444">
        <f t="array" ref="J2976">IFERROR(INDEX('Retirement Calculator'!J:J,MATCH('Isaac 401k'!N2976,'Retirement Calculator'!A:A,0),0),0)</f>
        <v>0</v>
      </c>
      <c r="K2976" s="444">
        <f t="shared" ca="1" si="156"/>
        <v>-24766935.40367309</v>
      </c>
      <c r="L2976" s="444">
        <f t="shared" ca="1" si="157"/>
        <v>-5968831432.2852144</v>
      </c>
      <c r="M2976" s="460">
        <f t="shared" si="159"/>
        <v>0.05</v>
      </c>
      <c r="N2976" s="464">
        <f t="shared" si="160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58"/>
        <v>-5968831432.2852144</v>
      </c>
      <c r="J2977" s="444">
        <f t="array" ref="J2977">IFERROR(INDEX('Retirement Calculator'!J:J,MATCH('Isaac 401k'!N2977,'Retirement Calculator'!A:A,0),0),0)</f>
        <v>0</v>
      </c>
      <c r="K2977" s="444">
        <f t="shared" ca="1" si="156"/>
        <v>-24870130.967855059</v>
      </c>
      <c r="L2977" s="444">
        <f t="shared" ca="1" si="157"/>
        <v>-5993701563.2530699</v>
      </c>
      <c r="M2977" s="460">
        <f t="shared" si="159"/>
        <v>0.05</v>
      </c>
      <c r="N2977" s="464">
        <f t="shared" si="160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58"/>
        <v>-5993701563.2530699</v>
      </c>
      <c r="J2978" s="444">
        <f t="array" ref="J2978">IFERROR(INDEX('Retirement Calculator'!J:J,MATCH('Isaac 401k'!N2978,'Retirement Calculator'!A:A,0),0),0)</f>
        <v>0</v>
      </c>
      <c r="K2978" s="444">
        <f t="shared" ca="1" si="156"/>
        <v>-24973756.513554458</v>
      </c>
      <c r="L2978" s="444">
        <f t="shared" ca="1" si="157"/>
        <v>-6018675319.7666245</v>
      </c>
      <c r="M2978" s="460">
        <f t="shared" si="159"/>
        <v>0.05</v>
      </c>
      <c r="N2978" s="464">
        <f t="shared" si="160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58"/>
        <v>-6018675319.7666245</v>
      </c>
      <c r="J2979" s="444">
        <f t="array" ref="J2979">IFERROR(INDEX('Retirement Calculator'!J:J,MATCH('Isaac 401k'!N2979,'Retirement Calculator'!A:A,0),0),0)</f>
        <v>0</v>
      </c>
      <c r="K2979" s="444">
        <f t="shared" ca="1" si="156"/>
        <v>-25077813.832360934</v>
      </c>
      <c r="L2979" s="444">
        <f t="shared" ca="1" si="157"/>
        <v>-6043753133.5989857</v>
      </c>
      <c r="M2979" s="460">
        <f t="shared" si="159"/>
        <v>0.05</v>
      </c>
      <c r="N2979" s="464">
        <f t="shared" si="160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58"/>
        <v>-6043753133.5989857</v>
      </c>
      <c r="J2980" s="444">
        <f t="array" ref="J2980">IFERROR(INDEX('Retirement Calculator'!J:J,MATCH('Isaac 401k'!N2980,'Retirement Calculator'!A:A,0),0),0)</f>
        <v>0</v>
      </c>
      <c r="K2980" s="444">
        <f t="shared" ca="1" si="156"/>
        <v>-25182304.723329108</v>
      </c>
      <c r="L2980" s="444">
        <f t="shared" ca="1" si="157"/>
        <v>-6068935438.3223152</v>
      </c>
      <c r="M2980" s="460">
        <f t="shared" si="159"/>
        <v>0.05</v>
      </c>
      <c r="N2980" s="464">
        <f t="shared" si="160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58"/>
        <v>-6068935438.3223152</v>
      </c>
      <c r="J2981" s="444">
        <f t="array" ref="J2981">IFERROR(INDEX('Retirement Calculator'!J:J,MATCH('Isaac 401k'!N2981,'Retirement Calculator'!A:A,0),0),0)</f>
        <v>0</v>
      </c>
      <c r="K2981" s="444">
        <f t="shared" ca="1" si="156"/>
        <v>-25287230.993009645</v>
      </c>
      <c r="L2981" s="444">
        <f t="shared" ca="1" si="157"/>
        <v>-6094222669.3153248</v>
      </c>
      <c r="M2981" s="460">
        <f t="shared" si="159"/>
        <v>0.05</v>
      </c>
      <c r="N2981" s="464">
        <f t="shared" si="160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58"/>
        <v>-6094222669.3153248</v>
      </c>
      <c r="J2982" s="444">
        <f t="array" ref="J2982">IFERROR(INDEX('Retirement Calculator'!J:J,MATCH('Isaac 401k'!N2982,'Retirement Calculator'!A:A,0),0),0)</f>
        <v>0</v>
      </c>
      <c r="K2982" s="444">
        <f t="shared" ca="1" si="156"/>
        <v>-25392594.45548052</v>
      </c>
      <c r="L2982" s="444">
        <f t="shared" ca="1" si="157"/>
        <v>-6119615263.7708054</v>
      </c>
      <c r="M2982" s="460">
        <f t="shared" si="159"/>
        <v>0.05</v>
      </c>
      <c r="N2982" s="464">
        <f t="shared" si="160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58"/>
        <v>-6119615263.7708054</v>
      </c>
      <c r="J2983" s="444">
        <f t="array" ref="J2983">IFERROR(INDEX('Retirement Calculator'!J:J,MATCH('Isaac 401k'!N2983,'Retirement Calculator'!A:A,0),0),0)</f>
        <v>0</v>
      </c>
      <c r="K2983" s="444">
        <f t="shared" ca="1" si="156"/>
        <v>-25498396.932378355</v>
      </c>
      <c r="L2983" s="444">
        <f t="shared" ca="1" si="157"/>
        <v>-6145113660.7031841</v>
      </c>
      <c r="M2983" s="460">
        <f t="shared" si="159"/>
        <v>0.05</v>
      </c>
      <c r="N2983" s="464">
        <f t="shared" si="160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58"/>
        <v>-6145113660.7031841</v>
      </c>
      <c r="J2984" s="444">
        <f t="array" ref="J2984">IFERROR(INDEX('Retirement Calculator'!J:J,MATCH('Isaac 401k'!N2984,'Retirement Calculator'!A:A,0),0),0)</f>
        <v>0</v>
      </c>
      <c r="K2984" s="444">
        <f t="shared" ca="1" si="156"/>
        <v>-25604640.252929933</v>
      </c>
      <c r="L2984" s="444">
        <f t="shared" ca="1" si="157"/>
        <v>-6170718300.9561138</v>
      </c>
      <c r="M2984" s="460">
        <f t="shared" si="159"/>
        <v>0.05</v>
      </c>
      <c r="N2984" s="464">
        <f t="shared" si="160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58"/>
        <v>-6170718300.9561138</v>
      </c>
      <c r="J2985" s="444">
        <f t="array" ref="J2985">IFERROR(INDEX('Retirement Calculator'!J:J,MATCH('Isaac 401k'!N2985,'Retirement Calculator'!A:A,0),0),0)</f>
        <v>0</v>
      </c>
      <c r="K2985" s="444">
        <f t="shared" ca="1" si="156"/>
        <v>-25711326.253983807</v>
      </c>
      <c r="L2985" s="444">
        <f t="shared" ca="1" si="157"/>
        <v>-6196429627.2100973</v>
      </c>
      <c r="M2985" s="460">
        <f t="shared" si="159"/>
        <v>0.05</v>
      </c>
      <c r="N2985" s="464">
        <f t="shared" si="160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58"/>
        <v>-6196429627.2100973</v>
      </c>
      <c r="J2986" s="444">
        <f t="array" ref="J2986">IFERROR(INDEX('Retirement Calculator'!J:J,MATCH('Isaac 401k'!N2986,'Retirement Calculator'!A:A,0),0),0)</f>
        <v>0</v>
      </c>
      <c r="K2986" s="444">
        <f t="shared" ca="1" si="156"/>
        <v>-25818456.780042071</v>
      </c>
      <c r="L2986" s="444">
        <f t="shared" ca="1" si="157"/>
        <v>-6222248083.990139</v>
      </c>
      <c r="M2986" s="460">
        <f t="shared" si="159"/>
        <v>0.05</v>
      </c>
      <c r="N2986" s="464">
        <f t="shared" si="160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58"/>
        <v>-6222248083.990139</v>
      </c>
      <c r="J2987" s="444">
        <f t="array" ref="J2987">IFERROR(INDEX('Retirement Calculator'!J:J,MATCH('Isaac 401k'!N2987,'Retirement Calculator'!A:A,0),0),0)</f>
        <v>0</v>
      </c>
      <c r="K2987" s="444">
        <f t="shared" ca="1" si="156"/>
        <v>-25926033.683292247</v>
      </c>
      <c r="L2987" s="444">
        <f t="shared" ca="1" si="157"/>
        <v>-6248174117.6734314</v>
      </c>
      <c r="M2987" s="460">
        <f t="shared" si="159"/>
        <v>0.05</v>
      </c>
      <c r="N2987" s="464">
        <f t="shared" si="160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58"/>
        <v>-6248174117.6734314</v>
      </c>
      <c r="J2988" s="444">
        <f t="array" ref="J2988">IFERROR(INDEX('Retirement Calculator'!J:J,MATCH('Isaac 401k'!N2988,'Retirement Calculator'!A:A,0),0),0)</f>
        <v>0</v>
      </c>
      <c r="K2988" s="444">
        <f t="shared" ca="1" si="156"/>
        <v>-26034058.823639296</v>
      </c>
      <c r="L2988" s="444">
        <f t="shared" ca="1" si="157"/>
        <v>-6274208176.4970703</v>
      </c>
      <c r="M2988" s="460">
        <f t="shared" si="159"/>
        <v>0.05</v>
      </c>
      <c r="N2988" s="464">
        <f t="shared" si="160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58"/>
        <v>-6274208176.4970703</v>
      </c>
      <c r="J2989" s="444">
        <f t="array" ref="J2989">IFERROR(INDEX('Retirement Calculator'!J:J,MATCH('Isaac 401k'!N2989,'Retirement Calculator'!A:A,0),0),0)</f>
        <v>0</v>
      </c>
      <c r="K2989" s="444">
        <f t="shared" ca="1" si="156"/>
        <v>-26142534.068737794</v>
      </c>
      <c r="L2989" s="444">
        <f t="shared" ca="1" si="157"/>
        <v>-6300350710.5658083</v>
      </c>
      <c r="M2989" s="460">
        <f t="shared" si="159"/>
        <v>0.05</v>
      </c>
      <c r="N2989" s="464">
        <f t="shared" si="160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58"/>
        <v>-6300350710.5658083</v>
      </c>
      <c r="J2990" s="444">
        <f t="array" ref="J2990">IFERROR(INDEX('Retirement Calculator'!J:J,MATCH('Isaac 401k'!N2990,'Retirement Calculator'!A:A,0),0),0)</f>
        <v>0</v>
      </c>
      <c r="K2990" s="444">
        <f t="shared" ca="1" si="156"/>
        <v>-26251461.294024199</v>
      </c>
      <c r="L2990" s="444">
        <f t="shared" ca="1" si="157"/>
        <v>-6326602171.8598328</v>
      </c>
      <c r="M2990" s="460">
        <f t="shared" si="159"/>
        <v>0.05</v>
      </c>
      <c r="N2990" s="464">
        <f t="shared" si="160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58"/>
        <v>-6326602171.8598328</v>
      </c>
      <c r="J2991" s="444">
        <f t="array" ref="J2991">IFERROR(INDEX('Retirement Calculator'!J:J,MATCH('Isaac 401k'!N2991,'Retirement Calculator'!A:A,0),0),0)</f>
        <v>0</v>
      </c>
      <c r="K2991" s="444">
        <f t="shared" ca="1" si="156"/>
        <v>-26360842.382749304</v>
      </c>
      <c r="L2991" s="444">
        <f t="shared" ca="1" si="157"/>
        <v>-6352963014.2425823</v>
      </c>
      <c r="M2991" s="460">
        <f t="shared" si="159"/>
        <v>0.05</v>
      </c>
      <c r="N2991" s="464">
        <f t="shared" si="160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58"/>
        <v>-6352963014.2425823</v>
      </c>
      <c r="J2992" s="444">
        <f t="array" ref="J2992">IFERROR(INDEX('Retirement Calculator'!J:J,MATCH('Isaac 401k'!N2992,'Retirement Calculator'!A:A,0),0),0)</f>
        <v>0</v>
      </c>
      <c r="K2992" s="444">
        <f t="shared" ca="1" si="156"/>
        <v>-26470679.226010758</v>
      </c>
      <c r="L2992" s="444">
        <f t="shared" ca="1" si="157"/>
        <v>-6379433693.4685926</v>
      </c>
      <c r="M2992" s="460">
        <f t="shared" si="159"/>
        <v>0.05</v>
      </c>
      <c r="N2992" s="464">
        <f t="shared" si="160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58"/>
        <v>-6379433693.4685926</v>
      </c>
      <c r="J2993" s="444">
        <f t="array" ref="J2993">IFERROR(INDEX('Retirement Calculator'!J:J,MATCH('Isaac 401k'!N2993,'Retirement Calculator'!A:A,0),0),0)</f>
        <v>0</v>
      </c>
      <c r="K2993" s="444">
        <f t="shared" ca="1" si="156"/>
        <v>-26580973.722785801</v>
      </c>
      <c r="L2993" s="444">
        <f t="shared" ca="1" si="157"/>
        <v>-6406014667.1913786</v>
      </c>
      <c r="M2993" s="460">
        <f t="shared" si="159"/>
        <v>0.05</v>
      </c>
      <c r="N2993" s="464">
        <f t="shared" si="160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58"/>
        <v>-6406014667.1913786</v>
      </c>
      <c r="J2994" s="444">
        <f t="array" ref="J2994">IFERROR(INDEX('Retirement Calculator'!J:J,MATCH('Isaac 401k'!N2994,'Retirement Calculator'!A:A,0),0),0)</f>
        <v>0</v>
      </c>
      <c r="K2994" s="444">
        <f t="shared" ca="1" si="156"/>
        <v>-26691727.779964078</v>
      </c>
      <c r="L2994" s="444">
        <f t="shared" ca="1" si="157"/>
        <v>-6432706394.971343</v>
      </c>
      <c r="M2994" s="460">
        <f t="shared" si="159"/>
        <v>0.05</v>
      </c>
      <c r="N2994" s="464">
        <f t="shared" si="160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58"/>
        <v>-6432706394.971343</v>
      </c>
      <c r="J2995" s="444">
        <f t="array" ref="J2995">IFERROR(INDEX('Retirement Calculator'!J:J,MATCH('Isaac 401k'!N2995,'Retirement Calculator'!A:A,0),0),0)</f>
        <v>0</v>
      </c>
      <c r="K2995" s="444">
        <f t="shared" ca="1" si="156"/>
        <v>-26802943.312380597</v>
      </c>
      <c r="L2995" s="444">
        <f t="shared" ca="1" si="157"/>
        <v>-6459509338.2837238</v>
      </c>
      <c r="M2995" s="460">
        <f t="shared" si="159"/>
        <v>0.05</v>
      </c>
      <c r="N2995" s="464">
        <f t="shared" si="160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58"/>
        <v>-6459509338.2837238</v>
      </c>
      <c r="J2996" s="444">
        <f t="array" ref="J2996">IFERROR(INDEX('Retirement Calculator'!J:J,MATCH('Isaac 401k'!N2996,'Retirement Calculator'!A:A,0),0),0)</f>
        <v>0</v>
      </c>
      <c r="K2996" s="444">
        <f t="shared" ca="1" si="156"/>
        <v>-26914622.242848847</v>
      </c>
      <c r="L2996" s="444">
        <f t="shared" ca="1" si="157"/>
        <v>-6486423960.5265722</v>
      </c>
      <c r="M2996" s="460">
        <f t="shared" si="159"/>
        <v>0.05</v>
      </c>
      <c r="N2996" s="464">
        <f t="shared" si="160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58"/>
        <v>-6486423960.5265722</v>
      </c>
      <c r="J2997" s="444">
        <f t="array" ref="J2997">IFERROR(INDEX('Retirement Calculator'!J:J,MATCH('Isaac 401k'!N2997,'Retirement Calculator'!A:A,0),0),0)</f>
        <v>0</v>
      </c>
      <c r="K2997" s="444">
        <f t="shared" ca="1" si="156"/>
        <v>-27026766.502194051</v>
      </c>
      <c r="L2997" s="444">
        <f t="shared" ca="1" si="157"/>
        <v>-6513450727.0287666</v>
      </c>
      <c r="M2997" s="460">
        <f t="shared" si="159"/>
        <v>0.05</v>
      </c>
      <c r="N2997" s="464">
        <f t="shared" si="160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58"/>
        <v>-6513450727.0287666</v>
      </c>
      <c r="J2998" s="444">
        <f t="array" ref="J2998">IFERROR(INDEX('Retirement Calculator'!J:J,MATCH('Isaac 401k'!N2998,'Retirement Calculator'!A:A,0),0),0)</f>
        <v>0</v>
      </c>
      <c r="K2998" s="444">
        <f t="shared" ca="1" si="156"/>
        <v>-27139378.029286526</v>
      </c>
      <c r="L2998" s="444">
        <f t="shared" ca="1" si="157"/>
        <v>-6540590105.058053</v>
      </c>
      <c r="M2998" s="460">
        <f t="shared" si="159"/>
        <v>0.05</v>
      </c>
      <c r="N2998" s="464">
        <f t="shared" si="160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58"/>
        <v>-6540590105.058053</v>
      </c>
      <c r="J2999" s="444">
        <f t="array" ref="J2999">IFERROR(INDEX('Retirement Calculator'!J:J,MATCH('Isaac 401k'!N2999,'Retirement Calculator'!A:A,0),0),0)</f>
        <v>0</v>
      </c>
      <c r="K2999" s="444">
        <f t="shared" ca="1" si="156"/>
        <v>-27252458.771075219</v>
      </c>
      <c r="L2999" s="444">
        <f t="shared" ca="1" si="157"/>
        <v>-6567842563.8291283</v>
      </c>
      <c r="M2999" s="460">
        <f t="shared" si="159"/>
        <v>0.05</v>
      </c>
      <c r="N2999" s="464">
        <f t="shared" si="160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58"/>
        <v>-6567842563.8291283</v>
      </c>
      <c r="J3000" s="444">
        <f t="array" ref="J3000">IFERROR(INDEX('Retirement Calculator'!J:J,MATCH('Isaac 401k'!N3000,'Retirement Calculator'!A:A,0),0),0)</f>
        <v>0</v>
      </c>
      <c r="K3000" s="444">
        <f t="shared" ca="1" si="156"/>
        <v>-27366010.682621367</v>
      </c>
      <c r="L3000" s="444">
        <f t="shared" ca="1" si="157"/>
        <v>-6595208574.5117493</v>
      </c>
      <c r="M3000" s="460">
        <f t="shared" si="159"/>
        <v>0.05</v>
      </c>
      <c r="N3000" s="464">
        <f t="shared" si="160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58"/>
        <v>-6595208574.5117493</v>
      </c>
      <c r="J3001" s="444">
        <f t="array" ref="J3001">IFERROR(INDEX('Retirement Calculator'!J:J,MATCH('Isaac 401k'!N3001,'Retirement Calculator'!A:A,0),0),0)</f>
        <v>0</v>
      </c>
      <c r="K3001" s="444">
        <f t="shared" ca="1" si="156"/>
        <v>-27480035.727132287</v>
      </c>
      <c r="L3001" s="444">
        <f t="shared" ca="1" si="157"/>
        <v>-6622688610.2388811</v>
      </c>
      <c r="M3001" s="460">
        <f t="shared" si="159"/>
        <v>0.05</v>
      </c>
      <c r="N3001" s="464">
        <f t="shared" si="160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58"/>
        <v>-6622688610.2388811</v>
      </c>
      <c r="J3002" s="444">
        <f t="array" ref="J3002">IFERROR(INDEX('Retirement Calculator'!J:J,MATCH('Isaac 401k'!N3002,'Retirement Calculator'!A:A,0),0),0)</f>
        <v>0</v>
      </c>
      <c r="K3002" s="444">
        <f t="shared" ca="1" si="156"/>
        <v>-27594535.875995338</v>
      </c>
      <c r="L3002" s="444">
        <f t="shared" ca="1" si="157"/>
        <v>-6650283146.1148767</v>
      </c>
      <c r="M3002" s="460">
        <f t="shared" si="159"/>
        <v>0.05</v>
      </c>
      <c r="N3002" s="464">
        <f t="shared" si="160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58"/>
        <v>-6650283146.1148767</v>
      </c>
      <c r="J3003" s="444">
        <f t="array" ref="J3003">IFERROR(INDEX('Retirement Calculator'!J:J,MATCH('Isaac 401k'!N3003,'Retirement Calculator'!A:A,0),0),0)</f>
        <v>0</v>
      </c>
      <c r="K3003" s="444">
        <f t="shared" ca="1" si="156"/>
        <v>-27709513.108811986</v>
      </c>
      <c r="L3003" s="444">
        <f t="shared" ca="1" si="157"/>
        <v>-6677992659.2236891</v>
      </c>
      <c r="M3003" s="460">
        <f t="shared" si="159"/>
        <v>0.05</v>
      </c>
      <c r="N3003" s="464">
        <f t="shared" si="160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58"/>
        <v>-6677992659.2236891</v>
      </c>
      <c r="J3004" s="444">
        <f t="array" ref="J3004">IFERROR(INDEX('Retirement Calculator'!J:J,MATCH('Isaac 401k'!N3004,'Retirement Calculator'!A:A,0),0),0)</f>
        <v>0</v>
      </c>
      <c r="K3004" s="444">
        <f t="shared" ca="1" si="156"/>
        <v>-27824969.413432036</v>
      </c>
      <c r="L3004" s="444">
        <f t="shared" ca="1" si="157"/>
        <v>-6705817628.6371212</v>
      </c>
      <c r="M3004" s="460">
        <f t="shared" si="159"/>
        <v>0.05</v>
      </c>
      <c r="N3004" s="464">
        <f t="shared" si="160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58"/>
        <v>-6705817628.6371212</v>
      </c>
      <c r="J3005" s="444">
        <f t="array" ref="J3005">IFERROR(INDEX('Retirement Calculator'!J:J,MATCH('Isaac 401k'!N3005,'Retirement Calculator'!A:A,0),0),0)</f>
        <v>0</v>
      </c>
      <c r="K3005" s="444">
        <f t="shared" ca="1" si="156"/>
        <v>-27940906.785988007</v>
      </c>
      <c r="L3005" s="444">
        <f t="shared" ca="1" si="157"/>
        <v>-6733758535.4231091</v>
      </c>
      <c r="M3005" s="460">
        <f t="shared" si="159"/>
        <v>0.05</v>
      </c>
      <c r="N3005" s="464">
        <f t="shared" si="160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58"/>
        <v>-6733758535.4231091</v>
      </c>
      <c r="J3006" s="444">
        <f t="array" ref="J3006">IFERROR(INDEX('Retirement Calculator'!J:J,MATCH('Isaac 401k'!N3006,'Retirement Calculator'!A:A,0),0),0)</f>
        <v>0</v>
      </c>
      <c r="K3006" s="444">
        <f t="shared" ca="1" si="156"/>
        <v>-28057327.230929621</v>
      </c>
      <c r="L3006" s="444">
        <f t="shared" ca="1" si="157"/>
        <v>-6761815862.6540384</v>
      </c>
      <c r="M3006" s="460">
        <f t="shared" si="159"/>
        <v>0.05</v>
      </c>
      <c r="N3006" s="464">
        <f t="shared" si="160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58"/>
        <v>-6761815862.6540384</v>
      </c>
      <c r="J3007" s="444">
        <f t="array" ref="J3007">IFERROR(INDEX('Retirement Calculator'!J:J,MATCH('Isaac 401k'!N3007,'Retirement Calculator'!A:A,0),0),0)</f>
        <v>0</v>
      </c>
      <c r="K3007" s="444">
        <f t="shared" ca="1" si="156"/>
        <v>-28174232.761058494</v>
      </c>
      <c r="L3007" s="444">
        <f t="shared" ca="1" si="157"/>
        <v>-6789990095.4150972</v>
      </c>
      <c r="M3007" s="460">
        <f t="shared" si="159"/>
        <v>0.05</v>
      </c>
      <c r="N3007" s="464">
        <f t="shared" si="160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58"/>
        <v>-6789990095.4150972</v>
      </c>
      <c r="J3008" s="444">
        <f t="array" ref="J3008">IFERROR(INDEX('Retirement Calculator'!J:J,MATCH('Isaac 401k'!N3008,'Retirement Calculator'!A:A,0),0),0)</f>
        <v>0</v>
      </c>
      <c r="K3008" s="444">
        <f t="shared" ca="1" si="156"/>
        <v>-28291625.39756291</v>
      </c>
      <c r="L3008" s="444">
        <f t="shared" ca="1" si="157"/>
        <v>-6818281720.8126602</v>
      </c>
      <c r="M3008" s="460">
        <f t="shared" si="159"/>
        <v>0.05</v>
      </c>
      <c r="N3008" s="464">
        <f t="shared" si="160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58"/>
        <v>-6818281720.8126602</v>
      </c>
      <c r="J3009" s="444">
        <f t="array" ref="J3009">IFERROR(INDEX('Retirement Calculator'!J:J,MATCH('Isaac 401k'!N3009,'Retirement Calculator'!A:A,0),0),0)</f>
        <v>0</v>
      </c>
      <c r="K3009" s="444">
        <f t="shared" ca="1" si="156"/>
        <v>-28409507.170052752</v>
      </c>
      <c r="L3009" s="444">
        <f t="shared" ca="1" si="157"/>
        <v>-6846691227.9827127</v>
      </c>
      <c r="M3009" s="460">
        <f t="shared" si="159"/>
        <v>0.05</v>
      </c>
      <c r="N3009" s="464">
        <f t="shared" si="160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58"/>
        <v>-6846691227.9827127</v>
      </c>
      <c r="J3010" s="444">
        <f t="array" ref="J3010">IFERROR(INDEX('Retirement Calculator'!J:J,MATCH('Isaac 401k'!N3010,'Retirement Calculator'!A:A,0),0),0)</f>
        <v>0</v>
      </c>
      <c r="K3010" s="444">
        <f t="shared" ca="1" si="156"/>
        <v>-28527880.116594635</v>
      </c>
      <c r="L3010" s="444">
        <f t="shared" ca="1" si="157"/>
        <v>-6875219108.0993071</v>
      </c>
      <c r="M3010" s="460">
        <f t="shared" si="159"/>
        <v>0.05</v>
      </c>
      <c r="N3010" s="464">
        <f t="shared" si="160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58"/>
        <v>-6875219108.0993071</v>
      </c>
      <c r="J3011" s="444">
        <f t="array" ref="J3011">IFERROR(INDEX('Retirement Calculator'!J:J,MATCH('Isaac 401k'!N3011,'Retirement Calculator'!A:A,0),0),0)</f>
        <v>0</v>
      </c>
      <c r="K3011" s="444">
        <f t="shared" ca="1" si="156"/>
        <v>-28646746.283747111</v>
      </c>
      <c r="L3011" s="444">
        <f t="shared" ca="1" si="157"/>
        <v>-6903865854.3830538</v>
      </c>
      <c r="M3011" s="460">
        <f t="shared" si="159"/>
        <v>0.05</v>
      </c>
      <c r="N3011" s="464">
        <f t="shared" si="160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58"/>
        <v>-6903865854.3830538</v>
      </c>
      <c r="J3012" s="444">
        <f t="array" ref="J3012">IFERROR(INDEX('Retirement Calculator'!J:J,MATCH('Isaac 401k'!N3012,'Retirement Calculator'!A:A,0),0),0)</f>
        <v>0</v>
      </c>
      <c r="K3012" s="444">
        <f t="shared" ca="1" si="156"/>
        <v>-28766107.726596054</v>
      </c>
      <c r="L3012" s="444">
        <f t="shared" ca="1" si="157"/>
        <v>-6932631962.1096497</v>
      </c>
      <c r="M3012" s="460">
        <f t="shared" si="159"/>
        <v>0.05</v>
      </c>
      <c r="N3012" s="464">
        <f t="shared" si="160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58"/>
        <v>-6932631962.1096497</v>
      </c>
      <c r="J3013" s="444">
        <f t="array" ref="J3013">IFERROR(INDEX('Retirement Calculator'!J:J,MATCH('Isaac 401k'!N3013,'Retirement Calculator'!A:A,0),0),0)</f>
        <v>0</v>
      </c>
      <c r="K3013" s="444">
        <f t="shared" ca="1" si="156"/>
        <v>-28885966.50879021</v>
      </c>
      <c r="L3013" s="444">
        <f t="shared" ca="1" si="157"/>
        <v>-6961517928.6184397</v>
      </c>
      <c r="M3013" s="460">
        <f t="shared" si="159"/>
        <v>0.05</v>
      </c>
      <c r="N3013" s="464">
        <f t="shared" si="160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58"/>
        <v>-6961517928.6184397</v>
      </c>
      <c r="J3014" s="444">
        <f t="array" ref="J3014">IFERROR(INDEX('Retirement Calculator'!J:J,MATCH('Isaac 401k'!N3014,'Retirement Calculator'!A:A,0),0),0)</f>
        <v>0</v>
      </c>
      <c r="K3014" s="444">
        <f t="shared" ca="1" si="156"/>
        <v>-29006324.702576835</v>
      </c>
      <c r="L3014" s="444">
        <f t="shared" ca="1" si="157"/>
        <v>-6990524253.3210163</v>
      </c>
      <c r="M3014" s="460">
        <f t="shared" si="159"/>
        <v>0.05</v>
      </c>
      <c r="N3014" s="464">
        <f t="shared" si="160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58"/>
        <v>-6990524253.3210163</v>
      </c>
      <c r="J3015" s="444">
        <f t="array" ref="J3015">IFERROR(INDEX('Retirement Calculator'!J:J,MATCH('Isaac 401k'!N3015,'Retirement Calculator'!A:A,0),0),0)</f>
        <v>0</v>
      </c>
      <c r="K3015" s="444">
        <f t="shared" ca="1" si="156"/>
        <v>-29127184.388837568</v>
      </c>
      <c r="L3015" s="444">
        <f t="shared" ca="1" si="157"/>
        <v>-7019651437.7098541</v>
      </c>
      <c r="M3015" s="460">
        <f t="shared" si="159"/>
        <v>0.05</v>
      </c>
      <c r="N3015" s="464">
        <f t="shared" si="160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58"/>
        <v>-7019651437.7098541</v>
      </c>
      <c r="J3016" s="444">
        <f t="array" ref="J3016">IFERROR(INDEX('Retirement Calculator'!J:J,MATCH('Isaac 401k'!N3016,'Retirement Calculator'!A:A,0),0),0)</f>
        <v>0</v>
      </c>
      <c r="K3016" s="444">
        <f t="shared" ca="1" si="156"/>
        <v>-29248547.657124393</v>
      </c>
      <c r="L3016" s="444">
        <f t="shared" ca="1" si="157"/>
        <v>-7048899985.3669786</v>
      </c>
      <c r="M3016" s="460">
        <f t="shared" si="159"/>
        <v>0.05</v>
      </c>
      <c r="N3016" s="464">
        <f t="shared" si="160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58"/>
        <v>-7048899985.3669786</v>
      </c>
      <c r="J3017" s="444">
        <f t="array" ref="J3017">IFERROR(INDEX('Retirement Calculator'!J:J,MATCH('Isaac 401k'!N3017,'Retirement Calculator'!A:A,0),0),0)</f>
        <v>0</v>
      </c>
      <c r="K3017" s="444">
        <f t="shared" ca="1" si="156"/>
        <v>-29370416.605695743</v>
      </c>
      <c r="L3017" s="444">
        <f t="shared" ca="1" si="157"/>
        <v>-7078270401.9726744</v>
      </c>
      <c r="M3017" s="460">
        <f t="shared" si="159"/>
        <v>0.05</v>
      </c>
      <c r="N3017" s="464">
        <f t="shared" si="160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58"/>
        <v>-7078270401.9726744</v>
      </c>
      <c r="J3018" s="444">
        <f t="array" ref="J3018">IFERROR(INDEX('Retirement Calculator'!J:J,MATCH('Isaac 401k'!N3018,'Retirement Calculator'!A:A,0),0),0)</f>
        <v>0</v>
      </c>
      <c r="K3018" s="444">
        <f t="shared" ca="1" si="156"/>
        <v>-29492793.341552809</v>
      </c>
      <c r="L3018" s="444">
        <f t="shared" ca="1" si="157"/>
        <v>-7107763195.3142271</v>
      </c>
      <c r="M3018" s="460">
        <f t="shared" si="159"/>
        <v>0.05</v>
      </c>
      <c r="N3018" s="464">
        <f t="shared" si="160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58"/>
        <v>-7107763195.3142271</v>
      </c>
      <c r="J3019" s="444">
        <f t="array" ref="J3019">IFERROR(INDEX('Retirement Calculator'!J:J,MATCH('Isaac 401k'!N3019,'Retirement Calculator'!A:A,0),0),0)</f>
        <v>0</v>
      </c>
      <c r="K3019" s="444">
        <f t="shared" ca="1" si="156"/>
        <v>-29615679.980475944</v>
      </c>
      <c r="L3019" s="444">
        <f t="shared" ca="1" si="157"/>
        <v>-7137378875.2947035</v>
      </c>
      <c r="M3019" s="460">
        <f t="shared" si="159"/>
        <v>0.05</v>
      </c>
      <c r="N3019" s="464">
        <f t="shared" si="160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58"/>
        <v>-7137378875.2947035</v>
      </c>
      <c r="J3020" s="444">
        <f t="array" ref="J3020">IFERROR(INDEX('Retirement Calculator'!J:J,MATCH('Isaac 401k'!N3020,'Retirement Calculator'!A:A,0),0),0)</f>
        <v>0</v>
      </c>
      <c r="K3020" s="444">
        <f t="shared" ca="1" si="156"/>
        <v>-29739078.647061262</v>
      </c>
      <c r="L3020" s="444">
        <f t="shared" ca="1" si="157"/>
        <v>-7167117953.9417648</v>
      </c>
      <c r="M3020" s="460">
        <f t="shared" si="159"/>
        <v>0.05</v>
      </c>
      <c r="N3020" s="464">
        <f t="shared" si="160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58"/>
        <v>-7167117953.9417648</v>
      </c>
      <c r="J3021" s="444">
        <f t="array" ref="J3021">IFERROR(INDEX('Retirement Calculator'!J:J,MATCH('Isaac 401k'!N3021,'Retirement Calculator'!A:A,0),0),0)</f>
        <v>0</v>
      </c>
      <c r="K3021" s="444">
        <f t="shared" ca="1" si="156"/>
        <v>-29862991.474757347</v>
      </c>
      <c r="L3021" s="444">
        <f t="shared" ca="1" si="157"/>
        <v>-7196980945.416522</v>
      </c>
      <c r="M3021" s="460">
        <f t="shared" si="159"/>
        <v>0.05</v>
      </c>
      <c r="N3021" s="464">
        <f t="shared" si="160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58"/>
        <v>-7196980945.416522</v>
      </c>
      <c r="J3022" s="444">
        <f t="array" ref="J3022">IFERROR(INDEX('Retirement Calculator'!J:J,MATCH('Isaac 401k'!N3022,'Retirement Calculator'!A:A,0),0),0)</f>
        <v>0</v>
      </c>
      <c r="K3022" s="444">
        <f t="shared" ca="1" si="156"/>
        <v>-29987420.605902169</v>
      </c>
      <c r="L3022" s="444">
        <f t="shared" ca="1" si="157"/>
        <v>-7226968366.0224237</v>
      </c>
      <c r="M3022" s="460">
        <f t="shared" si="159"/>
        <v>0.05</v>
      </c>
      <c r="N3022" s="464">
        <f t="shared" si="160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58"/>
        <v>-7226968366.0224237</v>
      </c>
      <c r="J3023" s="444">
        <f t="array" ref="J3023">IFERROR(INDEX('Retirement Calculator'!J:J,MATCH('Isaac 401k'!N3023,'Retirement Calculator'!A:A,0),0),0)</f>
        <v>0</v>
      </c>
      <c r="K3023" s="444">
        <f t="shared" ca="1" si="156"/>
        <v>-30112368.191760104</v>
      </c>
      <c r="L3023" s="444">
        <f t="shared" ca="1" si="157"/>
        <v>-7257080734.2141838</v>
      </c>
      <c r="M3023" s="460">
        <f t="shared" si="159"/>
        <v>0.05</v>
      </c>
      <c r="N3023" s="464">
        <f t="shared" si="160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58"/>
        <v>-7257080734.2141838</v>
      </c>
      <c r="J3024" s="444">
        <f t="array" ref="J3024">IFERROR(INDEX('Retirement Calculator'!J:J,MATCH('Isaac 401k'!N3024,'Retirement Calculator'!A:A,0),0),0)</f>
        <v>0</v>
      </c>
      <c r="K3024" s="444">
        <f t="shared" ca="1" si="156"/>
        <v>-30237836.392559104</v>
      </c>
      <c r="L3024" s="444">
        <f t="shared" ca="1" si="157"/>
        <v>-7287318570.6067429</v>
      </c>
      <c r="M3024" s="460">
        <f t="shared" si="159"/>
        <v>0.05</v>
      </c>
      <c r="N3024" s="464">
        <f t="shared" si="160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58"/>
        <v>-7287318570.6067429</v>
      </c>
      <c r="J3025" s="444">
        <f t="array" ref="J3025">IFERROR(INDEX('Retirement Calculator'!J:J,MATCH('Isaac 401k'!N3025,'Retirement Calculator'!A:A,0),0),0)</f>
        <v>0</v>
      </c>
      <c r="K3025" s="444">
        <f t="shared" ca="1" si="156"/>
        <v>-30363827.377528094</v>
      </c>
      <c r="L3025" s="444">
        <f t="shared" ca="1" si="157"/>
        <v>-7317682397.984271</v>
      </c>
      <c r="M3025" s="460">
        <f t="shared" si="159"/>
        <v>0.05</v>
      </c>
      <c r="N3025" s="464">
        <f t="shared" si="160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58"/>
        <v>-7317682397.984271</v>
      </c>
      <c r="J3026" s="444">
        <f t="array" ref="J3026">IFERROR(INDEX('Retirement Calculator'!J:J,MATCH('Isaac 401k'!N3026,'Retirement Calculator'!A:A,0),0),0)</f>
        <v>0</v>
      </c>
      <c r="K3026" s="444">
        <f t="shared" ca="1" si="156"/>
        <v>-30490343.324934464</v>
      </c>
      <c r="L3026" s="444">
        <f t="shared" ca="1" si="157"/>
        <v>-7348172741.3092051</v>
      </c>
      <c r="M3026" s="460">
        <f t="shared" si="159"/>
        <v>0.05</v>
      </c>
      <c r="N3026" s="464">
        <f t="shared" si="160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58"/>
        <v>-7348172741.3092051</v>
      </c>
      <c r="J3027" s="444">
        <f t="array" ref="J3027">IFERROR(INDEX('Retirement Calculator'!J:J,MATCH('Isaac 401k'!N3027,'Retirement Calculator'!A:A,0),0),0)</f>
        <v>0</v>
      </c>
      <c r="K3027" s="444">
        <f t="shared" ca="1" si="156"/>
        <v>-30617386.422121692</v>
      </c>
      <c r="L3027" s="444">
        <f t="shared" ca="1" si="157"/>
        <v>-7378790127.7313271</v>
      </c>
      <c r="M3027" s="460">
        <f t="shared" si="159"/>
        <v>0.05</v>
      </c>
      <c r="N3027" s="464">
        <f t="shared" si="160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58"/>
        <v>-7378790127.7313271</v>
      </c>
      <c r="J3028" s="444">
        <f t="array" ref="J3028">IFERROR(INDEX('Retirement Calculator'!J:J,MATCH('Isaac 401k'!N3028,'Retirement Calculator'!A:A,0),0),0)</f>
        <v>0</v>
      </c>
      <c r="K3028" s="444">
        <f t="shared" ca="1" si="156"/>
        <v>-30744958.865547195</v>
      </c>
      <c r="L3028" s="444">
        <f t="shared" ca="1" si="157"/>
        <v>-7409535086.5968742</v>
      </c>
      <c r="M3028" s="460">
        <f t="shared" si="159"/>
        <v>0.05</v>
      </c>
      <c r="N3028" s="464">
        <f t="shared" si="160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58"/>
        <v>-7409535086.5968742</v>
      </c>
      <c r="J3029" s="444">
        <f t="array" ref="J3029">IFERROR(INDEX('Retirement Calculator'!J:J,MATCH('Isaac 401k'!N3029,'Retirement Calculator'!A:A,0),0),0)</f>
        <v>0</v>
      </c>
      <c r="K3029" s="444">
        <f t="shared" ca="1" si="156"/>
        <v>-30873062.860820308</v>
      </c>
      <c r="L3029" s="444">
        <f t="shared" ca="1" si="157"/>
        <v>-7440408149.457695</v>
      </c>
      <c r="M3029" s="460">
        <f t="shared" si="159"/>
        <v>0.05</v>
      </c>
      <c r="N3029" s="464">
        <f t="shared" si="160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58"/>
        <v>-7440408149.457695</v>
      </c>
      <c r="J3030" s="444">
        <f t="array" ref="J3030">IFERROR(INDEX('Retirement Calculator'!J:J,MATCH('Isaac 401k'!N3030,'Retirement Calculator'!A:A,0),0),0)</f>
        <v>0</v>
      </c>
      <c r="K3030" s="444">
        <f t="shared" ca="1" si="156"/>
        <v>-31001700.622740399</v>
      </c>
      <c r="L3030" s="444">
        <f t="shared" ca="1" si="157"/>
        <v>-7471409850.0804358</v>
      </c>
      <c r="M3030" s="460">
        <f t="shared" si="159"/>
        <v>0.05</v>
      </c>
      <c r="N3030" s="464">
        <f t="shared" si="160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58"/>
        <v>-7471409850.0804358</v>
      </c>
      <c r="J3031" s="444">
        <f t="array" ref="J3031">IFERROR(INDEX('Retirement Calculator'!J:J,MATCH('Isaac 401k'!N3031,'Retirement Calculator'!A:A,0),0),0)</f>
        <v>0</v>
      </c>
      <c r="K3031" s="444">
        <f t="shared" ca="1" si="156"/>
        <v>-31130874.375335146</v>
      </c>
      <c r="L3031" s="444">
        <f t="shared" ca="1" si="157"/>
        <v>-7502540724.4557705</v>
      </c>
      <c r="M3031" s="460">
        <f t="shared" si="159"/>
        <v>0.05</v>
      </c>
      <c r="N3031" s="464">
        <f t="shared" si="160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58"/>
        <v>-7502540724.4557705</v>
      </c>
      <c r="J3032" s="444">
        <f t="array" ref="J3032">IFERROR(INDEX('Retirement Calculator'!J:J,MATCH('Isaac 401k'!N3032,'Retirement Calculator'!A:A,0),0),0)</f>
        <v>0</v>
      </c>
      <c r="K3032" s="444">
        <f t="shared" ca="1" si="156"/>
        <v>-31260586.351899039</v>
      </c>
      <c r="L3032" s="444">
        <f t="shared" ca="1" si="157"/>
        <v>-7533801310.8076696</v>
      </c>
      <c r="M3032" s="460">
        <f t="shared" si="159"/>
        <v>0.05</v>
      </c>
      <c r="N3032" s="464">
        <f t="shared" si="160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58"/>
        <v>-7533801310.8076696</v>
      </c>
      <c r="J3033" s="444">
        <f t="array" ref="J3033">IFERROR(INDEX('Retirement Calculator'!J:J,MATCH('Isaac 401k'!N3033,'Retirement Calculator'!A:A,0),0),0)</f>
        <v>0</v>
      </c>
      <c r="K3033" s="444">
        <f t="shared" ca="1" si="156"/>
        <v>-31390838.795031957</v>
      </c>
      <c r="L3033" s="444">
        <f t="shared" ca="1" si="157"/>
        <v>-7565192149.6027012</v>
      </c>
      <c r="M3033" s="460">
        <f t="shared" si="159"/>
        <v>0.05</v>
      </c>
      <c r="N3033" s="464">
        <f t="shared" si="160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58"/>
        <v>-7565192149.6027012</v>
      </c>
      <c r="J3034" s="444">
        <f t="array" ref="J3034">IFERROR(INDEX('Retirement Calculator'!J:J,MATCH('Isaac 401k'!N3034,'Retirement Calculator'!A:A,0),0),0)</f>
        <v>0</v>
      </c>
      <c r="K3034" s="444">
        <f t="shared" ca="1" si="156"/>
        <v>-31521633.956677917</v>
      </c>
      <c r="L3034" s="444">
        <f t="shared" ca="1" si="157"/>
        <v>-7596713783.5593796</v>
      </c>
      <c r="M3034" s="460">
        <f t="shared" si="159"/>
        <v>0.05</v>
      </c>
      <c r="N3034" s="464">
        <f t="shared" si="160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58"/>
        <v>-7596713783.5593796</v>
      </c>
      <c r="J3035" s="444">
        <f t="array" ref="J3035">IFERROR(INDEX('Retirement Calculator'!J:J,MATCH('Isaac 401k'!N3035,'Retirement Calculator'!A:A,0),0),0)</f>
        <v>0</v>
      </c>
      <c r="K3035" s="444">
        <f t="shared" ca="1" si="156"/>
        <v>-31652974.098164085</v>
      </c>
      <c r="L3035" s="444">
        <f t="shared" ca="1" si="157"/>
        <v>-7628366757.6575441</v>
      </c>
      <c r="M3035" s="460">
        <f t="shared" si="159"/>
        <v>0.05</v>
      </c>
      <c r="N3035" s="464">
        <f t="shared" si="160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58"/>
        <v>-7628366757.6575441</v>
      </c>
      <c r="J3036" s="444">
        <f t="array" ref="J3036">IFERROR(INDEX('Retirement Calculator'!J:J,MATCH('Isaac 401k'!N3036,'Retirement Calculator'!A:A,0),0),0)</f>
        <v>0</v>
      </c>
      <c r="K3036" s="444">
        <f t="shared" ca="1" si="156"/>
        <v>-31784861.490239769</v>
      </c>
      <c r="L3036" s="444">
        <f t="shared" ca="1" si="157"/>
        <v>-7660151619.1477842</v>
      </c>
      <c r="M3036" s="460">
        <f t="shared" si="159"/>
        <v>0.05</v>
      </c>
      <c r="N3036" s="464">
        <f t="shared" si="160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58"/>
        <v>-7660151619.1477842</v>
      </c>
      <c r="J3037" s="444">
        <f t="array" ref="J3037">IFERROR(INDEX('Retirement Calculator'!J:J,MATCH('Isaac 401k'!N3037,'Retirement Calculator'!A:A,0),0),0)</f>
        <v>0</v>
      </c>
      <c r="K3037" s="444">
        <f t="shared" ca="1" si="156"/>
        <v>-31917298.413115766</v>
      </c>
      <c r="L3037" s="444">
        <f t="shared" ca="1" si="157"/>
        <v>-7692068917.5608997</v>
      </c>
      <c r="M3037" s="460">
        <f t="shared" si="159"/>
        <v>0.05</v>
      </c>
      <c r="N3037" s="464">
        <f t="shared" si="160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58"/>
        <v>-7692068917.5608997</v>
      </c>
      <c r="J3038" s="444">
        <f t="array" ref="J3038">IFERROR(INDEX('Retirement Calculator'!J:J,MATCH('Isaac 401k'!N3038,'Retirement Calculator'!A:A,0),0),0)</f>
        <v>0</v>
      </c>
      <c r="K3038" s="444">
        <f t="shared" ca="1" si="156"/>
        <v>-32050287.156503744</v>
      </c>
      <c r="L3038" s="444">
        <f t="shared" ca="1" si="157"/>
        <v>-7724119204.7174034</v>
      </c>
      <c r="M3038" s="460">
        <f t="shared" si="159"/>
        <v>0.05</v>
      </c>
      <c r="N3038" s="464">
        <f t="shared" si="160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58"/>
        <v>-7724119204.7174034</v>
      </c>
      <c r="J3039" s="444">
        <f t="array" ref="J3039">IFERROR(INDEX('Retirement Calculator'!J:J,MATCH('Isaac 401k'!N3039,'Retirement Calculator'!A:A,0),0),0)</f>
        <v>0</v>
      </c>
      <c r="K3039" s="444">
        <f t="shared" ca="1" si="156"/>
        <v>-32183830.019655842</v>
      </c>
      <c r="L3039" s="444">
        <f t="shared" ca="1" si="157"/>
        <v>-7756303034.7370596</v>
      </c>
      <c r="M3039" s="460">
        <f t="shared" si="159"/>
        <v>0.05</v>
      </c>
      <c r="N3039" s="464">
        <f t="shared" si="160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58"/>
        <v>-7756303034.7370596</v>
      </c>
      <c r="J3040" s="444">
        <f t="array" ref="J3040">IFERROR(INDEX('Retirement Calculator'!J:J,MATCH('Isaac 401k'!N3040,'Retirement Calculator'!A:A,0),0),0)</f>
        <v>0</v>
      </c>
      <c r="K3040" s="444">
        <f t="shared" ca="1" si="156"/>
        <v>-32317929.311404414</v>
      </c>
      <c r="L3040" s="444">
        <f t="shared" ca="1" si="157"/>
        <v>-7788620964.0484638</v>
      </c>
      <c r="M3040" s="460">
        <f t="shared" si="159"/>
        <v>0.05</v>
      </c>
      <c r="N3040" s="464">
        <f t="shared" si="160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58"/>
        <v>-7788620964.0484638</v>
      </c>
      <c r="J3041" s="444">
        <f t="array" ref="J3041">IFERROR(INDEX('Retirement Calculator'!J:J,MATCH('Isaac 401k'!N3041,'Retirement Calculator'!A:A,0),0),0)</f>
        <v>0</v>
      </c>
      <c r="K3041" s="444">
        <f t="shared" ca="1" si="156"/>
        <v>-32452587.350201931</v>
      </c>
      <c r="L3041" s="444">
        <f t="shared" ca="1" si="157"/>
        <v>-7821073551.3986654</v>
      </c>
      <c r="M3041" s="460">
        <f t="shared" si="159"/>
        <v>0.05</v>
      </c>
      <c r="N3041" s="464">
        <f t="shared" si="160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58"/>
        <v>-7821073551.3986654</v>
      </c>
      <c r="J3042" s="444">
        <f t="array" ref="J3042">IFERROR(INDEX('Retirement Calculator'!J:J,MATCH('Isaac 401k'!N3042,'Retirement Calculator'!A:A,0),0),0)</f>
        <v>0</v>
      </c>
      <c r="K3042" s="444">
        <f t="shared" ca="1" si="156"/>
        <v>-32587806.464161102</v>
      </c>
      <c r="L3042" s="444">
        <f t="shared" ca="1" si="157"/>
        <v>-7853661357.8628263</v>
      </c>
      <c r="M3042" s="460">
        <f t="shared" si="159"/>
        <v>0.05</v>
      </c>
      <c r="N3042" s="464">
        <f t="shared" si="160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58"/>
        <v>-7853661357.8628263</v>
      </c>
      <c r="J3043" s="444">
        <f t="array" ref="J3043">IFERROR(INDEX('Retirement Calculator'!J:J,MATCH('Isaac 401k'!N3043,'Retirement Calculator'!A:A,0),0),0)</f>
        <v>0</v>
      </c>
      <c r="K3043" s="444">
        <f t="shared" ca="1" si="156"/>
        <v>-32723588.991095114</v>
      </c>
      <c r="L3043" s="444">
        <f t="shared" ca="1" si="157"/>
        <v>-7886384946.8539219</v>
      </c>
      <c r="M3043" s="460">
        <f t="shared" si="159"/>
        <v>0.05</v>
      </c>
      <c r="N3043" s="464">
        <f t="shared" si="160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58"/>
        <v>-7886384946.8539219</v>
      </c>
      <c r="J3044" s="444">
        <f t="array" ref="J3044">IFERROR(INDEX('Retirement Calculator'!J:J,MATCH('Isaac 401k'!N3044,'Retirement Calculator'!A:A,0),0),0)</f>
        <v>0</v>
      </c>
      <c r="K3044" s="444">
        <f t="shared" ca="1" si="156"/>
        <v>-32859937.278558008</v>
      </c>
      <c r="L3044" s="444">
        <f t="shared" ca="1" si="157"/>
        <v>-7919244884.1324797</v>
      </c>
      <c r="M3044" s="460">
        <f t="shared" si="159"/>
        <v>0.05</v>
      </c>
      <c r="N3044" s="464">
        <f t="shared" si="160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58"/>
        <v>-7919244884.1324797</v>
      </c>
      <c r="J3045" s="444">
        <f t="array" ref="J3045">IFERROR(INDEX('Retirement Calculator'!J:J,MATCH('Isaac 401k'!N3045,'Retirement Calculator'!A:A,0),0),0)</f>
        <v>0</v>
      </c>
      <c r="K3045" s="444">
        <f t="shared" ca="1" si="156"/>
        <v>-32996853.683885328</v>
      </c>
      <c r="L3045" s="444">
        <f t="shared" ca="1" si="157"/>
        <v>-7952241737.8163652</v>
      </c>
      <c r="M3045" s="460">
        <f t="shared" si="159"/>
        <v>0.05</v>
      </c>
      <c r="N3045" s="464">
        <f t="shared" si="160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58"/>
        <v>-7952241737.8163652</v>
      </c>
      <c r="J3046" s="444">
        <f t="array" ref="J3046">IFERROR(INDEX('Retirement Calculator'!J:J,MATCH('Isaac 401k'!N3046,'Retirement Calculator'!A:A,0),0),0)</f>
        <v>0</v>
      </c>
      <c r="K3046" s="444">
        <f t="shared" ca="1" si="156"/>
        <v>-33134340.574234854</v>
      </c>
      <c r="L3046" s="444">
        <f t="shared" ca="1" si="157"/>
        <v>-7985376078.3906002</v>
      </c>
      <c r="M3046" s="460">
        <f t="shared" si="159"/>
        <v>0.05</v>
      </c>
      <c r="N3046" s="464">
        <f t="shared" si="160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58"/>
        <v>-7985376078.3906002</v>
      </c>
      <c r="J3047" s="444">
        <f t="array" ref="J3047">IFERROR(INDEX('Retirement Calculator'!J:J,MATCH('Isaac 401k'!N3047,'Retirement Calculator'!A:A,0),0),0)</f>
        <v>0</v>
      </c>
      <c r="K3047" s="444">
        <f t="shared" ca="1" si="156"/>
        <v>-33272400.3266275</v>
      </c>
      <c r="L3047" s="444">
        <f t="shared" ca="1" si="157"/>
        <v>-8018648478.7172279</v>
      </c>
      <c r="M3047" s="460">
        <f t="shared" si="159"/>
        <v>0.05</v>
      </c>
      <c r="N3047" s="464">
        <f t="shared" si="160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58"/>
        <v>-8018648478.7172279</v>
      </c>
      <c r="J3048" s="444">
        <f t="array" ref="J3048">IFERROR(INDEX('Retirement Calculator'!J:J,MATCH('Isaac 401k'!N3048,'Retirement Calculator'!A:A,0),0),0)</f>
        <v>0</v>
      </c>
      <c r="K3048" s="444">
        <f t="shared" ca="1" si="156"/>
        <v>-33411035.327988449</v>
      </c>
      <c r="L3048" s="444">
        <f t="shared" ca="1" si="157"/>
        <v>-8052059514.0452166</v>
      </c>
      <c r="M3048" s="460">
        <f t="shared" si="159"/>
        <v>0.05</v>
      </c>
      <c r="N3048" s="464">
        <f t="shared" si="160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58"/>
        <v>-8052059514.0452166</v>
      </c>
      <c r="J3049" s="444">
        <f t="array" ref="J3049">IFERROR(INDEX('Retirement Calculator'!J:J,MATCH('Isaac 401k'!N3049,'Retirement Calculator'!A:A,0),0),0)</f>
        <v>0</v>
      </c>
      <c r="K3049" s="444">
        <f t="shared" ca="1" si="156"/>
        <v>-33550247.975188404</v>
      </c>
      <c r="L3049" s="444">
        <f t="shared" ca="1" si="157"/>
        <v>-8085609762.0204048</v>
      </c>
      <c r="M3049" s="460">
        <f t="shared" si="159"/>
        <v>0.05</v>
      </c>
      <c r="N3049" s="464">
        <f t="shared" si="160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58"/>
        <v>-8085609762.0204048</v>
      </c>
      <c r="J3050" s="444">
        <f t="array" ref="J3050">IFERROR(INDEX('Retirement Calculator'!J:J,MATCH('Isaac 401k'!N3050,'Retirement Calculator'!A:A,0),0),0)</f>
        <v>0</v>
      </c>
      <c r="K3050" s="444">
        <f t="shared" ca="1" si="156"/>
        <v>-33690040.675085016</v>
      </c>
      <c r="L3050" s="444">
        <f t="shared" ca="1" si="157"/>
        <v>-8119299802.6954899</v>
      </c>
      <c r="M3050" s="460">
        <f t="shared" si="159"/>
        <v>0.05</v>
      </c>
      <c r="N3050" s="464">
        <f t="shared" si="160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58"/>
        <v>-8119299802.6954899</v>
      </c>
      <c r="J3051" s="444">
        <f t="array" ref="J3051">IFERROR(INDEX('Retirement Calculator'!J:J,MATCH('Isaac 401k'!N3051,'Retirement Calculator'!A:A,0),0),0)</f>
        <v>0</v>
      </c>
      <c r="K3051" s="444">
        <f t="shared" ca="1" si="156"/>
        <v>-33830415.844564542</v>
      </c>
      <c r="L3051" s="444">
        <f t="shared" ca="1" si="157"/>
        <v>-8153130218.5400543</v>
      </c>
      <c r="M3051" s="460">
        <f t="shared" si="159"/>
        <v>0.05</v>
      </c>
      <c r="N3051" s="464">
        <f t="shared" si="160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58"/>
        <v>-8153130218.5400543</v>
      </c>
      <c r="J3052" s="444">
        <f t="array" ref="J3052">IFERROR(INDEX('Retirement Calculator'!J:J,MATCH('Isaac 401k'!N3052,'Retirement Calculator'!A:A,0),0),0)</f>
        <v>0</v>
      </c>
      <c r="K3052" s="444">
        <f t="shared" ca="1" si="156"/>
        <v>-33971375.910583556</v>
      </c>
      <c r="L3052" s="444">
        <f t="shared" ca="1" si="157"/>
        <v>-8187101594.4506378</v>
      </c>
      <c r="M3052" s="460">
        <f t="shared" si="159"/>
        <v>0.05</v>
      </c>
      <c r="N3052" s="464">
        <f t="shared" si="160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58"/>
        <v>-8187101594.4506378</v>
      </c>
      <c r="J3053" s="444">
        <f t="array" ref="J3053">IFERROR(INDEX('Retirement Calculator'!J:J,MATCH('Isaac 401k'!N3053,'Retirement Calculator'!A:A,0),0),0)</f>
        <v>0</v>
      </c>
      <c r="K3053" s="444">
        <f t="shared" ca="1" si="156"/>
        <v>-34112923.310210988</v>
      </c>
      <c r="L3053" s="444">
        <f t="shared" ca="1" si="157"/>
        <v>-8221214517.760849</v>
      </c>
      <c r="M3053" s="460">
        <f t="shared" si="159"/>
        <v>0.05</v>
      </c>
      <c r="N3053" s="464">
        <f t="shared" si="160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58"/>
        <v>-8221214517.760849</v>
      </c>
      <c r="J3054" s="444">
        <f t="array" ref="J3054">IFERROR(INDEX('Retirement Calculator'!J:J,MATCH('Isaac 401k'!N3054,'Retirement Calculator'!A:A,0),0),0)</f>
        <v>0</v>
      </c>
      <c r="K3054" s="444">
        <f t="shared" ca="1" si="156"/>
        <v>-34255060.490670197</v>
      </c>
      <c r="L3054" s="444">
        <f t="shared" ca="1" si="157"/>
        <v>-8255469578.2515192</v>
      </c>
      <c r="M3054" s="460">
        <f t="shared" si="159"/>
        <v>0.05</v>
      </c>
      <c r="N3054" s="464">
        <f t="shared" si="160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58"/>
        <v>-8255469578.2515192</v>
      </c>
      <c r="J3055" s="444">
        <f t="array" ref="J3055">IFERROR(INDEX('Retirement Calculator'!J:J,MATCH('Isaac 401k'!N3055,'Retirement Calculator'!A:A,0),0),0)</f>
        <v>0</v>
      </c>
      <c r="K3055" s="444">
        <f t="shared" ca="1" si="156"/>
        <v>-34397789.90938133</v>
      </c>
      <c r="L3055" s="444">
        <f t="shared" ca="1" si="157"/>
        <v>-8289867368.1609001</v>
      </c>
      <c r="M3055" s="460">
        <f t="shared" si="159"/>
        <v>0.05</v>
      </c>
      <c r="N3055" s="464">
        <f t="shared" si="160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58"/>
        <v>-8289867368.1609001</v>
      </c>
      <c r="J3056" s="444">
        <f t="array" ref="J3056">IFERROR(INDEX('Retirement Calculator'!J:J,MATCH('Isaac 401k'!N3056,'Retirement Calculator'!A:A,0),0),0)</f>
        <v>0</v>
      </c>
      <c r="K3056" s="444">
        <f t="shared" ca="1" si="156"/>
        <v>-34541114.034003749</v>
      </c>
      <c r="L3056" s="444">
        <f t="shared" ca="1" si="157"/>
        <v>-8324408482.1949043</v>
      </c>
      <c r="M3056" s="460">
        <f t="shared" si="159"/>
        <v>0.05</v>
      </c>
      <c r="N3056" s="464">
        <f t="shared" si="160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58"/>
        <v>-8324408482.1949043</v>
      </c>
      <c r="J3057" s="444">
        <f t="array" ref="J3057">IFERROR(INDEX('Retirement Calculator'!J:J,MATCH('Isaac 401k'!N3057,'Retirement Calculator'!A:A,0),0),0)</f>
        <v>0</v>
      </c>
      <c r="K3057" s="444">
        <f t="shared" ca="1" si="156"/>
        <v>-34685035.342478774</v>
      </c>
      <c r="L3057" s="444">
        <f t="shared" ca="1" si="157"/>
        <v>-8359093517.5373831</v>
      </c>
      <c r="M3057" s="460">
        <f t="shared" si="159"/>
        <v>0.05</v>
      </c>
      <c r="N3057" s="464">
        <f t="shared" si="160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58"/>
        <v>-8359093517.5373831</v>
      </c>
      <c r="J3058" s="444">
        <f t="array" ref="J3058">IFERROR(INDEX('Retirement Calculator'!J:J,MATCH('Isaac 401k'!N3058,'Retirement Calculator'!A:A,0),0),0)</f>
        <v>0</v>
      </c>
      <c r="K3058" s="444">
        <f t="shared" ca="1" si="156"/>
        <v>-34829556.323072426</v>
      </c>
      <c r="L3058" s="444">
        <f t="shared" ca="1" si="157"/>
        <v>-8393923073.8604555</v>
      </c>
      <c r="M3058" s="460">
        <f t="shared" si="159"/>
        <v>0.05</v>
      </c>
      <c r="N3058" s="464">
        <f t="shared" si="160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58"/>
        <v>-8393923073.8604555</v>
      </c>
      <c r="J3059" s="444">
        <f t="array" ref="J3059">IFERROR(INDEX('Retirement Calculator'!J:J,MATCH('Isaac 401k'!N3059,'Retirement Calculator'!A:A,0),0),0)</f>
        <v>0</v>
      </c>
      <c r="K3059" s="444">
        <f t="shared" ca="1" si="156"/>
        <v>-34974679.474418566</v>
      </c>
      <c r="L3059" s="444">
        <f t="shared" ca="1" si="157"/>
        <v>-8428897753.3348742</v>
      </c>
      <c r="M3059" s="460">
        <f t="shared" si="159"/>
        <v>0.05</v>
      </c>
      <c r="N3059" s="464">
        <f t="shared" si="160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58"/>
        <v>-8428897753.3348742</v>
      </c>
      <c r="J3060" s="444">
        <f t="array" ref="J3060">IFERROR(INDEX('Retirement Calculator'!J:J,MATCH('Isaac 401k'!N3060,'Retirement Calculator'!A:A,0),0),0)</f>
        <v>0</v>
      </c>
      <c r="K3060" s="444">
        <f t="shared" ca="1" si="156"/>
        <v>-35120407.305561975</v>
      </c>
      <c r="L3060" s="444">
        <f t="shared" ca="1" si="157"/>
        <v>-8464018160.6404362</v>
      </c>
      <c r="M3060" s="460">
        <f t="shared" si="159"/>
        <v>0.05</v>
      </c>
      <c r="N3060" s="464">
        <f t="shared" si="160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58"/>
        <v>-8464018160.6404362</v>
      </c>
      <c r="J3061" s="444">
        <f t="array" ref="J3061">IFERROR(INDEX('Retirement Calculator'!J:J,MATCH('Isaac 401k'!N3061,'Retirement Calculator'!A:A,0),0),0)</f>
        <v>0</v>
      </c>
      <c r="K3061" s="444">
        <f t="shared" ca="1" si="156"/>
        <v>-35266742.336001813</v>
      </c>
      <c r="L3061" s="444">
        <f t="shared" ca="1" si="157"/>
        <v>-8499284902.9764376</v>
      </c>
      <c r="M3061" s="460">
        <f t="shared" si="159"/>
        <v>0.05</v>
      </c>
      <c r="N3061" s="464">
        <f t="shared" si="160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58"/>
        <v>-8499284902.9764376</v>
      </c>
      <c r="J3062" s="444">
        <f t="array" ref="J3062">IFERROR(INDEX('Retirement Calculator'!J:J,MATCH('Isaac 401k'!N3062,'Retirement Calculator'!A:A,0),0),0)</f>
        <v>0</v>
      </c>
      <c r="K3062" s="444">
        <f t="shared" ca="1" si="156"/>
        <v>-35413687.095735155</v>
      </c>
      <c r="L3062" s="444">
        <f t="shared" ca="1" si="157"/>
        <v>-8534698590.0721731</v>
      </c>
      <c r="M3062" s="460">
        <f t="shared" si="159"/>
        <v>0.05</v>
      </c>
      <c r="N3062" s="464">
        <f t="shared" si="160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58"/>
        <v>-8534698590.0721731</v>
      </c>
      <c r="J3063" s="444">
        <f t="array" ref="J3063">IFERROR(INDEX('Retirement Calculator'!J:J,MATCH('Isaac 401k'!N3063,'Retirement Calculator'!A:A,0),0),0)</f>
        <v>0</v>
      </c>
      <c r="K3063" s="444">
        <f t="shared" ca="1" si="156"/>
        <v>-35561244.12530072</v>
      </c>
      <c r="L3063" s="444">
        <f t="shared" ca="1" si="157"/>
        <v>-8570259834.1974735</v>
      </c>
      <c r="M3063" s="460">
        <f t="shared" si="159"/>
        <v>0.05</v>
      </c>
      <c r="N3063" s="464">
        <f t="shared" si="160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58"/>
        <v>-8570259834.1974735</v>
      </c>
      <c r="J3064" s="444">
        <f t="array" ref="J3064">IFERROR(INDEX('Retirement Calculator'!J:J,MATCH('Isaac 401k'!N3064,'Retirement Calculator'!A:A,0),0),0)</f>
        <v>0</v>
      </c>
      <c r="K3064" s="444">
        <f t="shared" ca="1" si="156"/>
        <v>-35709415.975822806</v>
      </c>
      <c r="L3064" s="444">
        <f t="shared" ca="1" si="157"/>
        <v>-8605969250.173296</v>
      </c>
      <c r="M3064" s="460">
        <f t="shared" si="159"/>
        <v>0.05</v>
      </c>
      <c r="N3064" s="464">
        <f t="shared" si="160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58"/>
        <v>-8605969250.173296</v>
      </c>
      <c r="J3065" s="444">
        <f t="array" ref="J3065">IFERROR(INDEX('Retirement Calculator'!J:J,MATCH('Isaac 401k'!N3065,'Retirement Calculator'!A:A,0),0),0)</f>
        <v>0</v>
      </c>
      <c r="K3065" s="444">
        <f t="shared" ca="1" si="156"/>
        <v>-35858205.209055401</v>
      </c>
      <c r="L3065" s="444">
        <f t="shared" ca="1" si="157"/>
        <v>-8641827455.3823509</v>
      </c>
      <c r="M3065" s="460">
        <f t="shared" si="159"/>
        <v>0.05</v>
      </c>
      <c r="N3065" s="464">
        <f t="shared" si="160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58"/>
        <v>-8641827455.3823509</v>
      </c>
      <c r="J3066" s="444">
        <f t="array" ref="J3066">IFERROR(INDEX('Retirement Calculator'!J:J,MATCH('Isaac 401k'!N3066,'Retirement Calculator'!A:A,0),0),0)</f>
        <v>0</v>
      </c>
      <c r="K3066" s="444">
        <f t="shared" ca="1" si="156"/>
        <v>-36007614.397426464</v>
      </c>
      <c r="L3066" s="444">
        <f t="shared" ca="1" si="157"/>
        <v>-8677835069.7797775</v>
      </c>
      <c r="M3066" s="460">
        <f t="shared" si="159"/>
        <v>0.05</v>
      </c>
      <c r="N3066" s="464">
        <f t="shared" si="160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58"/>
        <v>-8677835069.7797775</v>
      </c>
      <c r="J3067" s="444">
        <f t="array" ref="J3067">IFERROR(INDEX('Retirement Calculator'!J:J,MATCH('Isaac 401k'!N3067,'Retirement Calculator'!A:A,0),0),0)</f>
        <v>0</v>
      </c>
      <c r="K3067" s="444">
        <f t="shared" ca="1" si="156"/>
        <v>-36157646.124082409</v>
      </c>
      <c r="L3067" s="444">
        <f t="shared" ca="1" si="157"/>
        <v>-8713992715.9038601</v>
      </c>
      <c r="M3067" s="460">
        <f t="shared" si="159"/>
        <v>0.05</v>
      </c>
      <c r="N3067" s="464">
        <f t="shared" si="160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58"/>
        <v>-8713992715.9038601</v>
      </c>
      <c r="J3068" s="444">
        <f t="array" ref="J3068">IFERROR(INDEX('Retirement Calculator'!J:J,MATCH('Isaac 401k'!N3068,'Retirement Calculator'!A:A,0),0),0)</f>
        <v>0</v>
      </c>
      <c r="K3068" s="444">
        <f t="shared" ref="K3068:K3322" ca="1" si="161">IPMT(M3068/12,1,12,-I3068+J3068,,0)</f>
        <v>-36308302.982932746</v>
      </c>
      <c r="L3068" s="444">
        <f t="shared" ref="L3068:L3322" ca="1" si="162">I3068-J3068+K3068</f>
        <v>-8750301018.8867931</v>
      </c>
      <c r="M3068" s="460">
        <f t="shared" si="159"/>
        <v>0.05</v>
      </c>
      <c r="N3068" s="464">
        <f t="shared" si="160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63">L3068</f>
        <v>-8750301018.8867931</v>
      </c>
      <c r="J3069" s="444">
        <f t="array" ref="J3069">IFERROR(INDEX('Retirement Calculator'!J:J,MATCH('Isaac 401k'!N3069,'Retirement Calculator'!A:A,0),0),0)</f>
        <v>0</v>
      </c>
      <c r="K3069" s="444">
        <f t="shared" ca="1" si="161"/>
        <v>-36459587.578694969</v>
      </c>
      <c r="L3069" s="444">
        <f t="shared" ca="1" si="162"/>
        <v>-8786760606.4654884</v>
      </c>
      <c r="M3069" s="460">
        <f t="shared" ref="M3069:M3323" si="164">M3068</f>
        <v>0.05</v>
      </c>
      <c r="N3069" s="464">
        <f t="shared" ref="N3069:N3323" si="165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63"/>
        <v>-8786760606.4654884</v>
      </c>
      <c r="J3070" s="444">
        <f t="array" ref="J3070">IFERROR(INDEX('Retirement Calculator'!J:J,MATCH('Isaac 401k'!N3070,'Retirement Calculator'!A:A,0),0),0)</f>
        <v>0</v>
      </c>
      <c r="K3070" s="444">
        <f t="shared" ca="1" si="161"/>
        <v>-36611502.526939534</v>
      </c>
      <c r="L3070" s="444">
        <f t="shared" ca="1" si="162"/>
        <v>-8823372108.9924278</v>
      </c>
      <c r="M3070" s="460">
        <f t="shared" si="164"/>
        <v>0.05</v>
      </c>
      <c r="N3070" s="464">
        <f t="shared" si="165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63"/>
        <v>-8823372108.9924278</v>
      </c>
      <c r="J3071" s="444">
        <f t="array" ref="J3071">IFERROR(INDEX('Retirement Calculator'!J:J,MATCH('Isaac 401k'!N3071,'Retirement Calculator'!A:A,0),0),0)</f>
        <v>0</v>
      </c>
      <c r="K3071" s="444">
        <f t="shared" ca="1" si="161"/>
        <v>-36764050.454135112</v>
      </c>
      <c r="L3071" s="444">
        <f t="shared" ca="1" si="162"/>
        <v>-8860136159.4465637</v>
      </c>
      <c r="M3071" s="460">
        <f t="shared" si="164"/>
        <v>0.05</v>
      </c>
      <c r="N3071" s="464">
        <f t="shared" si="165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63"/>
        <v>-8860136159.4465637</v>
      </c>
      <c r="J3072" s="444">
        <f t="array" ref="J3072">IFERROR(INDEX('Retirement Calculator'!J:J,MATCH('Isaac 401k'!N3072,'Retirement Calculator'!A:A,0),0),0)</f>
        <v>0</v>
      </c>
      <c r="K3072" s="444">
        <f t="shared" ca="1" si="161"/>
        <v>-36917233.997694016</v>
      </c>
      <c r="L3072" s="444">
        <f t="shared" ca="1" si="162"/>
        <v>-8897053393.4442577</v>
      </c>
      <c r="M3072" s="460">
        <f t="shared" si="164"/>
        <v>0.05</v>
      </c>
      <c r="N3072" s="464">
        <f t="shared" si="165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63"/>
        <v>-8897053393.4442577</v>
      </c>
      <c r="J3073" s="444">
        <f t="array" ref="J3073">IFERROR(INDEX('Retirement Calculator'!J:J,MATCH('Isaac 401k'!N3073,'Retirement Calculator'!A:A,0),0),0)</f>
        <v>0</v>
      </c>
      <c r="K3073" s="444">
        <f t="shared" ca="1" si="161"/>
        <v>-37071055.806017742</v>
      </c>
      <c r="L3073" s="444">
        <f t="shared" ca="1" si="162"/>
        <v>-8934124449.2502747</v>
      </c>
      <c r="M3073" s="460">
        <f t="shared" si="164"/>
        <v>0.05</v>
      </c>
      <c r="N3073" s="464">
        <f t="shared" si="165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63"/>
        <v>-8934124449.2502747</v>
      </c>
      <c r="J3074" s="444">
        <f t="array" ref="J3074">IFERROR(INDEX('Retirement Calculator'!J:J,MATCH('Isaac 401k'!N3074,'Retirement Calculator'!A:A,0),0),0)</f>
        <v>0</v>
      </c>
      <c r="K3074" s="444">
        <f t="shared" ca="1" si="161"/>
        <v>-37225518.538542807</v>
      </c>
      <c r="L3074" s="444">
        <f t="shared" ca="1" si="162"/>
        <v>-8971349967.7888184</v>
      </c>
      <c r="M3074" s="460">
        <f t="shared" si="164"/>
        <v>0.05</v>
      </c>
      <c r="N3074" s="464">
        <f t="shared" si="165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63"/>
        <v>-8971349967.7888184</v>
      </c>
      <c r="J3075" s="444">
        <f t="array" ref="J3075">IFERROR(INDEX('Retirement Calculator'!J:J,MATCH('Isaac 401k'!N3075,'Retirement Calculator'!A:A,0),0),0)</f>
        <v>0</v>
      </c>
      <c r="K3075" s="444">
        <f t="shared" ca="1" si="161"/>
        <v>-37380624.865786746</v>
      </c>
      <c r="L3075" s="444">
        <f t="shared" ca="1" si="162"/>
        <v>-9008730592.6546059</v>
      </c>
      <c r="M3075" s="460">
        <f t="shared" si="164"/>
        <v>0.05</v>
      </c>
      <c r="N3075" s="464">
        <f t="shared" si="165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63"/>
        <v>-9008730592.6546059</v>
      </c>
      <c r="J3076" s="444">
        <f t="array" ref="J3076">IFERROR(INDEX('Retirement Calculator'!J:J,MATCH('Isaac 401k'!N3076,'Retirement Calculator'!A:A,0),0),0)</f>
        <v>0</v>
      </c>
      <c r="K3076" s="444">
        <f t="shared" ca="1" si="161"/>
        <v>-37536377.469394192</v>
      </c>
      <c r="L3076" s="444">
        <f t="shared" ca="1" si="162"/>
        <v>-9046266970.1240005</v>
      </c>
      <c r="M3076" s="460">
        <f t="shared" si="164"/>
        <v>0.05</v>
      </c>
      <c r="N3076" s="464">
        <f t="shared" si="165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63"/>
        <v>-9046266970.1240005</v>
      </c>
      <c r="J3077" s="444">
        <f t="array" ref="J3077">IFERROR(INDEX('Retirement Calculator'!J:J,MATCH('Isaac 401k'!N3077,'Retirement Calculator'!A:A,0),0),0)</f>
        <v>0</v>
      </c>
      <c r="K3077" s="444">
        <f t="shared" ca="1" si="161"/>
        <v>-37692779.042183332</v>
      </c>
      <c r="L3077" s="444">
        <f t="shared" ca="1" si="162"/>
        <v>-9083959749.1661835</v>
      </c>
      <c r="M3077" s="460">
        <f t="shared" si="164"/>
        <v>0.05</v>
      </c>
      <c r="N3077" s="464">
        <f t="shared" si="165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63"/>
        <v>-9083959749.1661835</v>
      </c>
      <c r="J3078" s="444">
        <f t="array" ref="J3078">IFERROR(INDEX('Retirement Calculator'!J:J,MATCH('Isaac 401k'!N3078,'Retirement Calculator'!A:A,0),0),0)</f>
        <v>0</v>
      </c>
      <c r="K3078" s="444">
        <f t="shared" ca="1" si="161"/>
        <v>-37849832.288192429</v>
      </c>
      <c r="L3078" s="444">
        <f t="shared" ca="1" si="162"/>
        <v>-9121809581.4543762</v>
      </c>
      <c r="M3078" s="460">
        <f t="shared" si="164"/>
        <v>0.05</v>
      </c>
      <c r="N3078" s="464">
        <f t="shared" si="165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63"/>
        <v>-9121809581.4543762</v>
      </c>
      <c r="J3079" s="444">
        <f t="array" ref="J3079">IFERROR(INDEX('Retirement Calculator'!J:J,MATCH('Isaac 401k'!N3079,'Retirement Calculator'!A:A,0),0),0)</f>
        <v>0</v>
      </c>
      <c r="K3079" s="444">
        <f t="shared" ca="1" si="161"/>
        <v>-38007539.922726564</v>
      </c>
      <c r="L3079" s="444">
        <f t="shared" ca="1" si="162"/>
        <v>-9159817121.3771019</v>
      </c>
      <c r="M3079" s="460">
        <f t="shared" si="164"/>
        <v>0.05</v>
      </c>
      <c r="N3079" s="464">
        <f t="shared" si="165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63"/>
        <v>-9159817121.3771019</v>
      </c>
      <c r="J3080" s="444">
        <f t="array" ref="J3080">IFERROR(INDEX('Retirement Calculator'!J:J,MATCH('Isaac 401k'!N3080,'Retirement Calculator'!A:A,0),0),0)</f>
        <v>0</v>
      </c>
      <c r="K3080" s="444">
        <f t="shared" ca="1" si="161"/>
        <v>-38165904.672404587</v>
      </c>
      <c r="L3080" s="444">
        <f t="shared" ca="1" si="162"/>
        <v>-9197983026.0495071</v>
      </c>
      <c r="M3080" s="460">
        <f t="shared" si="164"/>
        <v>0.05</v>
      </c>
      <c r="N3080" s="464">
        <f t="shared" si="165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63"/>
        <v>-9197983026.0495071</v>
      </c>
      <c r="J3081" s="444">
        <f t="array" ref="J3081">IFERROR(INDEX('Retirement Calculator'!J:J,MATCH('Isaac 401k'!N3081,'Retirement Calculator'!A:A,0),0),0)</f>
        <v>0</v>
      </c>
      <c r="K3081" s="444">
        <f t="shared" ca="1" si="161"/>
        <v>-38324929.275206283</v>
      </c>
      <c r="L3081" s="444">
        <f t="shared" ca="1" si="162"/>
        <v>-9236307955.3247128</v>
      </c>
      <c r="M3081" s="460">
        <f t="shared" si="164"/>
        <v>0.05</v>
      </c>
      <c r="N3081" s="464">
        <f t="shared" si="165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63"/>
        <v>-9236307955.3247128</v>
      </c>
      <c r="J3082" s="444">
        <f t="array" ref="J3082">IFERROR(INDEX('Retirement Calculator'!J:J,MATCH('Isaac 401k'!N3082,'Retirement Calculator'!A:A,0),0),0)</f>
        <v>0</v>
      </c>
      <c r="K3082" s="444">
        <f t="shared" ca="1" si="161"/>
        <v>-38484616.480519637</v>
      </c>
      <c r="L3082" s="444">
        <f t="shared" ca="1" si="162"/>
        <v>-9274792571.805233</v>
      </c>
      <c r="M3082" s="460">
        <f t="shared" si="164"/>
        <v>0.05</v>
      </c>
      <c r="N3082" s="464">
        <f t="shared" si="165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63"/>
        <v>-9274792571.805233</v>
      </c>
      <c r="J3083" s="444">
        <f t="array" ref="J3083">IFERROR(INDEX('Retirement Calculator'!J:J,MATCH('Isaac 401k'!N3083,'Retirement Calculator'!A:A,0),0),0)</f>
        <v>0</v>
      </c>
      <c r="K3083" s="444">
        <f t="shared" ca="1" si="161"/>
        <v>-38644969.049188472</v>
      </c>
      <c r="L3083" s="444">
        <f t="shared" ca="1" si="162"/>
        <v>-9313437540.8544216</v>
      </c>
      <c r="M3083" s="460">
        <f t="shared" si="164"/>
        <v>0.05</v>
      </c>
      <c r="N3083" s="464">
        <f t="shared" si="165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63"/>
        <v>-9313437540.8544216</v>
      </c>
      <c r="J3084" s="444">
        <f t="array" ref="J3084">IFERROR(INDEX('Retirement Calculator'!J:J,MATCH('Isaac 401k'!N3084,'Retirement Calculator'!A:A,0),0),0)</f>
        <v>0</v>
      </c>
      <c r="K3084" s="444">
        <f t="shared" ca="1" si="161"/>
        <v>-38805989.753560089</v>
      </c>
      <c r="L3084" s="444">
        <f t="shared" ca="1" si="162"/>
        <v>-9352243530.6079826</v>
      </c>
      <c r="M3084" s="460">
        <f t="shared" si="164"/>
        <v>0.05</v>
      </c>
      <c r="N3084" s="464">
        <f t="shared" si="165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63"/>
        <v>-9352243530.6079826</v>
      </c>
      <c r="J3085" s="444">
        <f t="array" ref="J3085">IFERROR(INDEX('Retirement Calculator'!J:J,MATCH('Isaac 401k'!N3085,'Retirement Calculator'!A:A,0),0),0)</f>
        <v>0</v>
      </c>
      <c r="K3085" s="444">
        <f t="shared" ca="1" si="161"/>
        <v>-38967681.377533257</v>
      </c>
      <c r="L3085" s="444">
        <f t="shared" ca="1" si="162"/>
        <v>-9391211211.9855156</v>
      </c>
      <c r="M3085" s="460">
        <f t="shared" si="164"/>
        <v>0.05</v>
      </c>
      <c r="N3085" s="464">
        <f t="shared" si="165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63"/>
        <v>-9391211211.9855156</v>
      </c>
      <c r="J3086" s="444">
        <f t="array" ref="J3086">IFERROR(INDEX('Retirement Calculator'!J:J,MATCH('Isaac 401k'!N3086,'Retirement Calculator'!A:A,0),0),0)</f>
        <v>0</v>
      </c>
      <c r="K3086" s="444">
        <f t="shared" ca="1" si="161"/>
        <v>-39130046.716606312</v>
      </c>
      <c r="L3086" s="444">
        <f t="shared" ca="1" si="162"/>
        <v>-9430341258.7021217</v>
      </c>
      <c r="M3086" s="460">
        <f t="shared" si="164"/>
        <v>0.05</v>
      </c>
      <c r="N3086" s="464">
        <f t="shared" si="165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63"/>
        <v>-9430341258.7021217</v>
      </c>
      <c r="J3087" s="444">
        <f t="array" ref="J3087">IFERROR(INDEX('Retirement Calculator'!J:J,MATCH('Isaac 401k'!N3087,'Retirement Calculator'!A:A,0),0),0)</f>
        <v>0</v>
      </c>
      <c r="K3087" s="444">
        <f t="shared" ca="1" si="161"/>
        <v>-39293088.577925503</v>
      </c>
      <c r="L3087" s="444">
        <f t="shared" ca="1" si="162"/>
        <v>-9469634347.2800465</v>
      </c>
      <c r="M3087" s="460">
        <f t="shared" si="164"/>
        <v>0.05</v>
      </c>
      <c r="N3087" s="464">
        <f t="shared" si="165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63"/>
        <v>-9469634347.2800465</v>
      </c>
      <c r="J3088" s="444">
        <f t="array" ref="J3088">IFERROR(INDEX('Retirement Calculator'!J:J,MATCH('Isaac 401k'!N3088,'Retirement Calculator'!A:A,0),0),0)</f>
        <v>0</v>
      </c>
      <c r="K3088" s="444">
        <f t="shared" ca="1" si="161"/>
        <v>-39456809.780333526</v>
      </c>
      <c r="L3088" s="444">
        <f t="shared" ca="1" si="162"/>
        <v>-9509091157.0603809</v>
      </c>
      <c r="M3088" s="460">
        <f t="shared" si="164"/>
        <v>0.05</v>
      </c>
      <c r="N3088" s="464">
        <f t="shared" si="165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63"/>
        <v>-9509091157.0603809</v>
      </c>
      <c r="J3089" s="444">
        <f t="array" ref="J3089">IFERROR(INDEX('Retirement Calculator'!J:J,MATCH('Isaac 401k'!N3089,'Retirement Calculator'!A:A,0),0),0)</f>
        <v>0</v>
      </c>
      <c r="K3089" s="444">
        <f t="shared" ca="1" si="161"/>
        <v>-39621213.154418252</v>
      </c>
      <c r="L3089" s="444">
        <f t="shared" ca="1" si="162"/>
        <v>-9548712370.2147999</v>
      </c>
      <c r="M3089" s="460">
        <f t="shared" si="164"/>
        <v>0.05</v>
      </c>
      <c r="N3089" s="464">
        <f t="shared" si="165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63"/>
        <v>-9548712370.2147999</v>
      </c>
      <c r="J3090" s="444">
        <f t="array" ref="J3090">IFERROR(INDEX('Retirement Calculator'!J:J,MATCH('Isaac 401k'!N3090,'Retirement Calculator'!A:A,0),0),0)</f>
        <v>0</v>
      </c>
      <c r="K3090" s="444">
        <f t="shared" ca="1" si="161"/>
        <v>-39786301.542561665</v>
      </c>
      <c r="L3090" s="444">
        <f t="shared" ca="1" si="162"/>
        <v>-9588498671.7573624</v>
      </c>
      <c r="M3090" s="460">
        <f t="shared" si="164"/>
        <v>0.05</v>
      </c>
      <c r="N3090" s="464">
        <f t="shared" si="165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63"/>
        <v>-9588498671.7573624</v>
      </c>
      <c r="J3091" s="444">
        <f t="array" ref="J3091">IFERROR(INDEX('Retirement Calculator'!J:J,MATCH('Isaac 401k'!N3091,'Retirement Calculator'!A:A,0),0),0)</f>
        <v>0</v>
      </c>
      <c r="K3091" s="444">
        <f t="shared" ca="1" si="161"/>
        <v>-39952077.798989013</v>
      </c>
      <c r="L3091" s="444">
        <f t="shared" ca="1" si="162"/>
        <v>-9628450749.5563507</v>
      </c>
      <c r="M3091" s="460">
        <f t="shared" si="164"/>
        <v>0.05</v>
      </c>
      <c r="N3091" s="464">
        <f t="shared" si="165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63"/>
        <v>-9628450749.5563507</v>
      </c>
      <c r="J3092" s="444">
        <f t="array" ref="J3092">IFERROR(INDEX('Retirement Calculator'!J:J,MATCH('Isaac 401k'!N3092,'Retirement Calculator'!A:A,0),0),0)</f>
        <v>0</v>
      </c>
      <c r="K3092" s="444">
        <f t="shared" ca="1" si="161"/>
        <v>-40118544.78981813</v>
      </c>
      <c r="L3092" s="444">
        <f t="shared" ca="1" si="162"/>
        <v>-9668569294.3461685</v>
      </c>
      <c r="M3092" s="460">
        <f t="shared" si="164"/>
        <v>0.05</v>
      </c>
      <c r="N3092" s="464">
        <f t="shared" si="165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63"/>
        <v>-9668569294.3461685</v>
      </c>
      <c r="J3093" s="444">
        <f t="array" ref="J3093">IFERROR(INDEX('Retirement Calculator'!J:J,MATCH('Isaac 401k'!N3093,'Retirement Calculator'!A:A,0),0),0)</f>
        <v>0</v>
      </c>
      <c r="K3093" s="444">
        <f t="shared" ca="1" si="161"/>
        <v>-40285705.393109038</v>
      </c>
      <c r="L3093" s="444">
        <f t="shared" ca="1" si="162"/>
        <v>-9708854999.7392769</v>
      </c>
      <c r="M3093" s="460">
        <f t="shared" si="164"/>
        <v>0.05</v>
      </c>
      <c r="N3093" s="464">
        <f t="shared" si="165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63"/>
        <v>-9708854999.7392769</v>
      </c>
      <c r="J3094" s="444">
        <f t="array" ref="J3094">IFERROR(INDEX('Retirement Calculator'!J:J,MATCH('Isaac 401k'!N3094,'Retirement Calculator'!A:A,0),0),0)</f>
        <v>0</v>
      </c>
      <c r="K3094" s="444">
        <f t="shared" ca="1" si="161"/>
        <v>-40453562.498913653</v>
      </c>
      <c r="L3094" s="444">
        <f t="shared" ca="1" si="162"/>
        <v>-9749308562.2381897</v>
      </c>
      <c r="M3094" s="460">
        <f t="shared" si="164"/>
        <v>0.05</v>
      </c>
      <c r="N3094" s="464">
        <f t="shared" si="165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63"/>
        <v>-9749308562.2381897</v>
      </c>
      <c r="J3095" s="444">
        <f t="array" ref="J3095">IFERROR(INDEX('Retirement Calculator'!J:J,MATCH('Isaac 401k'!N3095,'Retirement Calculator'!A:A,0),0),0)</f>
        <v>0</v>
      </c>
      <c r="K3095" s="444">
        <f t="shared" ca="1" si="161"/>
        <v>-40622119.009325787</v>
      </c>
      <c r="L3095" s="444">
        <f t="shared" ca="1" si="162"/>
        <v>-9789930681.2475147</v>
      </c>
      <c r="M3095" s="460">
        <f t="shared" si="164"/>
        <v>0.05</v>
      </c>
      <c r="N3095" s="464">
        <f t="shared" si="165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63"/>
        <v>-9789930681.2475147</v>
      </c>
      <c r="J3096" s="444">
        <f t="array" ref="J3096">IFERROR(INDEX('Retirement Calculator'!J:J,MATCH('Isaac 401k'!N3096,'Retirement Calculator'!A:A,0),0),0)</f>
        <v>0</v>
      </c>
      <c r="K3096" s="444">
        <f t="shared" ca="1" si="161"/>
        <v>-40791377.838531308</v>
      </c>
      <c r="L3096" s="444">
        <f t="shared" ca="1" si="162"/>
        <v>-9830722059.0860462</v>
      </c>
      <c r="M3096" s="460">
        <f t="shared" si="164"/>
        <v>0.05</v>
      </c>
      <c r="N3096" s="464">
        <f t="shared" si="165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63"/>
        <v>-9830722059.0860462</v>
      </c>
      <c r="J3097" s="444">
        <f t="array" ref="J3097">IFERROR(INDEX('Retirement Calculator'!J:J,MATCH('Isaac 401k'!N3097,'Retirement Calculator'!A:A,0),0),0)</f>
        <v>0</v>
      </c>
      <c r="K3097" s="444">
        <f t="shared" ca="1" si="161"/>
        <v>-40961341.912858523</v>
      </c>
      <c r="L3097" s="444">
        <f t="shared" ca="1" si="162"/>
        <v>-9871683400.9989052</v>
      </c>
      <c r="M3097" s="460">
        <f t="shared" si="164"/>
        <v>0.05</v>
      </c>
      <c r="N3097" s="464">
        <f t="shared" si="165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63"/>
        <v>-9871683400.9989052</v>
      </c>
      <c r="J3098" s="444">
        <f t="array" ref="J3098">IFERROR(INDEX('Retirement Calculator'!J:J,MATCH('Isaac 401k'!N3098,'Retirement Calculator'!A:A,0),0),0)</f>
        <v>0</v>
      </c>
      <c r="K3098" s="444">
        <f t="shared" ca="1" si="161"/>
        <v>-41132014.170828775</v>
      </c>
      <c r="L3098" s="444">
        <f t="shared" ca="1" si="162"/>
        <v>-9912815415.169733</v>
      </c>
      <c r="M3098" s="460">
        <f t="shared" si="164"/>
        <v>0.05</v>
      </c>
      <c r="N3098" s="464">
        <f t="shared" si="165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63"/>
        <v>-9912815415.169733</v>
      </c>
      <c r="J3099" s="444">
        <f t="array" ref="J3099">IFERROR(INDEX('Retirement Calculator'!J:J,MATCH('Isaac 401k'!N3099,'Retirement Calculator'!A:A,0),0),0)</f>
        <v>0</v>
      </c>
      <c r="K3099" s="444">
        <f t="shared" ca="1" si="161"/>
        <v>-41303397.563207224</v>
      </c>
      <c r="L3099" s="444">
        <f t="shared" ca="1" si="162"/>
        <v>-9954118812.7329407</v>
      </c>
      <c r="M3099" s="460">
        <f t="shared" si="164"/>
        <v>0.05</v>
      </c>
      <c r="N3099" s="464">
        <f t="shared" si="165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63"/>
        <v>-9954118812.7329407</v>
      </c>
      <c r="J3100" s="444">
        <f t="array" ref="J3100">IFERROR(INDEX('Retirement Calculator'!J:J,MATCH('Isaac 401k'!N3100,'Retirement Calculator'!A:A,0),0),0)</f>
        <v>0</v>
      </c>
      <c r="K3100" s="444">
        <f t="shared" ca="1" si="161"/>
        <v>-41475495.053053916</v>
      </c>
      <c r="L3100" s="444">
        <f t="shared" ca="1" si="162"/>
        <v>-9995594307.7859955</v>
      </c>
      <c r="M3100" s="460">
        <f t="shared" si="164"/>
        <v>0.05</v>
      </c>
      <c r="N3100" s="464">
        <f t="shared" si="165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63"/>
        <v>-9995594307.7859955</v>
      </c>
      <c r="J3101" s="444">
        <f t="array" ref="J3101">IFERROR(INDEX('Retirement Calculator'!J:J,MATCH('Isaac 401k'!N3101,'Retirement Calculator'!A:A,0),0),0)</f>
        <v>0</v>
      </c>
      <c r="K3101" s="444">
        <f t="shared" ca="1" si="161"/>
        <v>-41648309.615774982</v>
      </c>
      <c r="L3101" s="444">
        <f t="shared" ca="1" si="162"/>
        <v>-10037242617.40177</v>
      </c>
      <c r="M3101" s="460">
        <f t="shared" si="164"/>
        <v>0.05</v>
      </c>
      <c r="N3101" s="464">
        <f t="shared" si="165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63"/>
        <v>-10037242617.40177</v>
      </c>
      <c r="J3102" s="444">
        <f t="array" ref="J3102">IFERROR(INDEX('Retirement Calculator'!J:J,MATCH('Isaac 401k'!N3102,'Retirement Calculator'!A:A,0),0),0)</f>
        <v>0</v>
      </c>
      <c r="K3102" s="444">
        <f t="shared" ca="1" si="161"/>
        <v>-41821844.239174038</v>
      </c>
      <c r="L3102" s="444">
        <f t="shared" ca="1" si="162"/>
        <v>-10079064461.640944</v>
      </c>
      <c r="M3102" s="460">
        <f t="shared" si="164"/>
        <v>0.05</v>
      </c>
      <c r="N3102" s="464">
        <f t="shared" si="165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63"/>
        <v>-10079064461.640944</v>
      </c>
      <c r="J3103" s="444">
        <f t="array" ref="J3103">IFERROR(INDEX('Retirement Calculator'!J:J,MATCH('Isaac 401k'!N3103,'Retirement Calculator'!A:A,0),0),0)</f>
        <v>0</v>
      </c>
      <c r="K3103" s="444">
        <f t="shared" ca="1" si="161"/>
        <v>-41996101.923503928</v>
      </c>
      <c r="L3103" s="444">
        <f t="shared" ca="1" si="162"/>
        <v>-10121060563.564447</v>
      </c>
      <c r="M3103" s="460">
        <f t="shared" si="164"/>
        <v>0.05</v>
      </c>
      <c r="N3103" s="464">
        <f t="shared" si="165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63"/>
        <v>-10121060563.564447</v>
      </c>
      <c r="J3104" s="444">
        <f t="array" ref="J3104">IFERROR(INDEX('Retirement Calculator'!J:J,MATCH('Isaac 401k'!N3104,'Retirement Calculator'!A:A,0),0),0)</f>
        <v>0</v>
      </c>
      <c r="K3104" s="444">
        <f t="shared" ca="1" si="161"/>
        <v>-42171085.681518532</v>
      </c>
      <c r="L3104" s="444">
        <f t="shared" ca="1" si="162"/>
        <v>-10163231649.245966</v>
      </c>
      <c r="M3104" s="460">
        <f t="shared" si="164"/>
        <v>0.05</v>
      </c>
      <c r="N3104" s="464">
        <f t="shared" si="165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63"/>
        <v>-10163231649.245966</v>
      </c>
      <c r="J3105" s="444">
        <f t="array" ref="J3105">IFERROR(INDEX('Retirement Calculator'!J:J,MATCH('Isaac 401k'!N3105,'Retirement Calculator'!A:A,0),0),0)</f>
        <v>0</v>
      </c>
      <c r="K3105" s="444">
        <f t="shared" ca="1" si="161"/>
        <v>-42346798.538524859</v>
      </c>
      <c r="L3105" s="444">
        <f t="shared" ca="1" si="162"/>
        <v>-10205578447.784491</v>
      </c>
      <c r="M3105" s="460">
        <f t="shared" si="164"/>
        <v>0.05</v>
      </c>
      <c r="N3105" s="464">
        <f t="shared" si="165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63"/>
        <v>-10205578447.784491</v>
      </c>
      <c r="J3106" s="444">
        <f t="array" ref="J3106">IFERROR(INDEX('Retirement Calculator'!J:J,MATCH('Isaac 401k'!N3106,'Retirement Calculator'!A:A,0),0),0)</f>
        <v>0</v>
      </c>
      <c r="K3106" s="444">
        <f t="shared" ca="1" si="161"/>
        <v>-42523243.53243538</v>
      </c>
      <c r="L3106" s="444">
        <f t="shared" ca="1" si="162"/>
        <v>-10248101691.316925</v>
      </c>
      <c r="M3106" s="460">
        <f t="shared" si="164"/>
        <v>0.05</v>
      </c>
      <c r="N3106" s="464">
        <f t="shared" si="165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63"/>
        <v>-10248101691.316925</v>
      </c>
      <c r="J3107" s="444">
        <f t="array" ref="J3107">IFERROR(INDEX('Retirement Calculator'!J:J,MATCH('Isaac 401k'!N3107,'Retirement Calculator'!A:A,0),0),0)</f>
        <v>0</v>
      </c>
      <c r="K3107" s="444">
        <f t="shared" ca="1" si="161"/>
        <v>-42700423.713820517</v>
      </c>
      <c r="L3107" s="444">
        <f t="shared" ca="1" si="162"/>
        <v>-10290802115.030746</v>
      </c>
      <c r="M3107" s="460">
        <f t="shared" si="164"/>
        <v>0.05</v>
      </c>
      <c r="N3107" s="464">
        <f t="shared" si="165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63"/>
        <v>-10290802115.030746</v>
      </c>
      <c r="J3108" s="444">
        <f t="array" ref="J3108">IFERROR(INDEX('Retirement Calculator'!J:J,MATCH('Isaac 401k'!N3108,'Retirement Calculator'!A:A,0),0),0)</f>
        <v>0</v>
      </c>
      <c r="K3108" s="444">
        <f t="shared" ca="1" si="161"/>
        <v>-42878342.145961441</v>
      </c>
      <c r="L3108" s="444">
        <f t="shared" ca="1" si="162"/>
        <v>-10333680457.176708</v>
      </c>
      <c r="M3108" s="460">
        <f t="shared" si="164"/>
        <v>0.05</v>
      </c>
      <c r="N3108" s="464">
        <f t="shared" si="165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63"/>
        <v>-10333680457.176708</v>
      </c>
      <c r="J3109" s="444">
        <f t="array" ref="J3109">IFERROR(INDEX('Retirement Calculator'!J:J,MATCH('Isaac 401k'!N3109,'Retirement Calculator'!A:A,0),0),0)</f>
        <v>0</v>
      </c>
      <c r="K3109" s="444">
        <f t="shared" ca="1" si="161"/>
        <v>-43057001.90490295</v>
      </c>
      <c r="L3109" s="444">
        <f t="shared" ca="1" si="162"/>
        <v>-10376737459.081612</v>
      </c>
      <c r="M3109" s="460">
        <f t="shared" si="164"/>
        <v>0.05</v>
      </c>
      <c r="N3109" s="464">
        <f t="shared" si="165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63"/>
        <v>-10376737459.081612</v>
      </c>
      <c r="J3110" s="444">
        <f t="array" ref="J3110">IFERROR(INDEX('Retirement Calculator'!J:J,MATCH('Isaac 401k'!N3110,'Retirement Calculator'!A:A,0),0),0)</f>
        <v>0</v>
      </c>
      <c r="K3110" s="444">
        <f t="shared" ca="1" si="161"/>
        <v>-43236406.079506718</v>
      </c>
      <c r="L3110" s="444">
        <f t="shared" ca="1" si="162"/>
        <v>-10419973865.161118</v>
      </c>
      <c r="M3110" s="460">
        <f t="shared" si="164"/>
        <v>0.05</v>
      </c>
      <c r="N3110" s="464">
        <f t="shared" si="165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63"/>
        <v>-10419973865.161118</v>
      </c>
      <c r="J3111" s="444">
        <f t="array" ref="J3111">IFERROR(INDEX('Retirement Calculator'!J:J,MATCH('Isaac 401k'!N3111,'Retirement Calculator'!A:A,0),0),0)</f>
        <v>0</v>
      </c>
      <c r="K3111" s="444">
        <f t="shared" ca="1" si="161"/>
        <v>-43416557.771504655</v>
      </c>
      <c r="L3111" s="444">
        <f t="shared" ca="1" si="162"/>
        <v>-10463390422.932623</v>
      </c>
      <c r="M3111" s="460">
        <f t="shared" si="164"/>
        <v>0.05</v>
      </c>
      <c r="N3111" s="464">
        <f t="shared" si="165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63"/>
        <v>-10463390422.932623</v>
      </c>
      <c r="J3112" s="444">
        <f t="array" ref="J3112">IFERROR(INDEX('Retirement Calculator'!J:J,MATCH('Isaac 401k'!N3112,'Retirement Calculator'!A:A,0),0),0)</f>
        <v>0</v>
      </c>
      <c r="K3112" s="444">
        <f t="shared" ca="1" si="161"/>
        <v>-43597460.095552593</v>
      </c>
      <c r="L3112" s="444">
        <f t="shared" ca="1" si="162"/>
        <v>-10506987883.028175</v>
      </c>
      <c r="M3112" s="460">
        <f t="shared" si="164"/>
        <v>0.05</v>
      </c>
      <c r="N3112" s="464">
        <f t="shared" si="165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63"/>
        <v>-10506987883.028175</v>
      </c>
      <c r="J3113" s="444">
        <f t="array" ref="J3113">IFERROR(INDEX('Retirement Calculator'!J:J,MATCH('Isaac 401k'!N3113,'Retirement Calculator'!A:A,0),0),0)</f>
        <v>0</v>
      </c>
      <c r="K3113" s="444">
        <f t="shared" ca="1" si="161"/>
        <v>-43779116.179284066</v>
      </c>
      <c r="L3113" s="444">
        <f t="shared" ca="1" si="162"/>
        <v>-10550766999.207458</v>
      </c>
      <c r="M3113" s="460">
        <f t="shared" si="164"/>
        <v>0.05</v>
      </c>
      <c r="N3113" s="464">
        <f t="shared" si="165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63"/>
        <v>-10550766999.207458</v>
      </c>
      <c r="J3114" s="444">
        <f t="array" ref="J3114">IFERROR(INDEX('Retirement Calculator'!J:J,MATCH('Isaac 401k'!N3114,'Retirement Calculator'!A:A,0),0),0)</f>
        <v>0</v>
      </c>
      <c r="K3114" s="444">
        <f t="shared" ca="1" si="161"/>
        <v>-43961529.16336441</v>
      </c>
      <c r="L3114" s="444">
        <f t="shared" ca="1" si="162"/>
        <v>-10594728528.370823</v>
      </c>
      <c r="M3114" s="460">
        <f t="shared" si="164"/>
        <v>0.05</v>
      </c>
      <c r="N3114" s="464">
        <f t="shared" si="165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63"/>
        <v>-10594728528.370823</v>
      </c>
      <c r="J3115" s="444">
        <f t="array" ref="J3115">IFERROR(INDEX('Retirement Calculator'!J:J,MATCH('Isaac 401k'!N3115,'Retirement Calculator'!A:A,0),0),0)</f>
        <v>0</v>
      </c>
      <c r="K3115" s="444">
        <f t="shared" ca="1" si="161"/>
        <v>-44144702.201545097</v>
      </c>
      <c r="L3115" s="444">
        <f t="shared" ca="1" si="162"/>
        <v>-10638873230.572369</v>
      </c>
      <c r="M3115" s="460">
        <f t="shared" si="164"/>
        <v>0.05</v>
      </c>
      <c r="N3115" s="464">
        <f t="shared" si="165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63"/>
        <v>-10638873230.572369</v>
      </c>
      <c r="J3116" s="444">
        <f t="array" ref="J3116">IFERROR(INDEX('Retirement Calculator'!J:J,MATCH('Isaac 401k'!N3116,'Retirement Calculator'!A:A,0),0),0)</f>
        <v>0</v>
      </c>
      <c r="K3116" s="444">
        <f t="shared" ca="1" si="161"/>
        <v>-44328638.4607182</v>
      </c>
      <c r="L3116" s="444">
        <f t="shared" ca="1" si="162"/>
        <v>-10683201869.033087</v>
      </c>
      <c r="M3116" s="460">
        <f t="shared" si="164"/>
        <v>0.05</v>
      </c>
      <c r="N3116" s="464">
        <f t="shared" si="165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63"/>
        <v>-10683201869.033087</v>
      </c>
      <c r="J3117" s="444">
        <f t="array" ref="J3117">IFERROR(INDEX('Retirement Calculator'!J:J,MATCH('Isaac 401k'!N3117,'Retirement Calculator'!A:A,0),0),0)</f>
        <v>0</v>
      </c>
      <c r="K3117" s="444">
        <f t="shared" ca="1" si="161"/>
        <v>-44513341.120971195</v>
      </c>
      <c r="L3117" s="444">
        <f t="shared" ca="1" si="162"/>
        <v>-10727715210.154058</v>
      </c>
      <c r="M3117" s="460">
        <f t="shared" si="164"/>
        <v>0.05</v>
      </c>
      <c r="N3117" s="464">
        <f t="shared" si="165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63"/>
        <v>-10727715210.154058</v>
      </c>
      <c r="J3118" s="444">
        <f t="array" ref="J3118">IFERROR(INDEX('Retirement Calculator'!J:J,MATCH('Isaac 401k'!N3118,'Retirement Calculator'!A:A,0),0),0)</f>
        <v>0</v>
      </c>
      <c r="K3118" s="444">
        <f t="shared" ca="1" si="161"/>
        <v>-44698813.375641912</v>
      </c>
      <c r="L3118" s="444">
        <f t="shared" ca="1" si="162"/>
        <v>-10772414023.529701</v>
      </c>
      <c r="M3118" s="460">
        <f t="shared" si="164"/>
        <v>0.05</v>
      </c>
      <c r="N3118" s="464">
        <f t="shared" si="165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63"/>
        <v>-10772414023.529701</v>
      </c>
      <c r="J3119" s="444">
        <f t="array" ref="J3119">IFERROR(INDEX('Retirement Calculator'!J:J,MATCH('Isaac 401k'!N3119,'Retirement Calculator'!A:A,0),0),0)</f>
        <v>0</v>
      </c>
      <c r="K3119" s="444">
        <f t="shared" ca="1" si="161"/>
        <v>-44885058.431373753</v>
      </c>
      <c r="L3119" s="444">
        <f t="shared" ca="1" si="162"/>
        <v>-10817299081.961075</v>
      </c>
      <c r="M3119" s="460">
        <f t="shared" si="164"/>
        <v>0.05</v>
      </c>
      <c r="N3119" s="464">
        <f t="shared" si="165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63"/>
        <v>-10817299081.961075</v>
      </c>
      <c r="J3120" s="444">
        <f t="array" ref="J3120">IFERROR(INDEX('Retirement Calculator'!J:J,MATCH('Isaac 401k'!N3120,'Retirement Calculator'!A:A,0),0),0)</f>
        <v>0</v>
      </c>
      <c r="K3120" s="444">
        <f t="shared" ca="1" si="161"/>
        <v>-45072079.508171141</v>
      </c>
      <c r="L3120" s="444">
        <f t="shared" ca="1" si="162"/>
        <v>-10862371161.469246</v>
      </c>
      <c r="M3120" s="460">
        <f t="shared" si="164"/>
        <v>0.05</v>
      </c>
      <c r="N3120" s="464">
        <f t="shared" si="165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63"/>
        <v>-10862371161.469246</v>
      </c>
      <c r="J3121" s="444">
        <f t="array" ref="J3121">IFERROR(INDEX('Retirement Calculator'!J:J,MATCH('Isaac 401k'!N3121,'Retirement Calculator'!A:A,0),0),0)</f>
        <v>0</v>
      </c>
      <c r="K3121" s="444">
        <f t="shared" ca="1" si="161"/>
        <v>-45259879.839455187</v>
      </c>
      <c r="L3121" s="444">
        <f t="shared" ca="1" si="162"/>
        <v>-10907631041.308701</v>
      </c>
      <c r="M3121" s="460">
        <f t="shared" si="164"/>
        <v>0.05</v>
      </c>
      <c r="N3121" s="464">
        <f t="shared" si="165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63"/>
        <v>-10907631041.308701</v>
      </c>
      <c r="J3122" s="444">
        <f t="array" ref="J3122">IFERROR(INDEX('Retirement Calculator'!J:J,MATCH('Isaac 401k'!N3122,'Retirement Calculator'!A:A,0),0),0)</f>
        <v>0</v>
      </c>
      <c r="K3122" s="444">
        <f t="shared" ca="1" si="161"/>
        <v>-45448462.672119588</v>
      </c>
      <c r="L3122" s="444">
        <f t="shared" ca="1" si="162"/>
        <v>-10953079503.98082</v>
      </c>
      <c r="M3122" s="460">
        <f t="shared" si="164"/>
        <v>0.05</v>
      </c>
      <c r="N3122" s="464">
        <f t="shared" si="165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63"/>
        <v>-10953079503.98082</v>
      </c>
      <c r="J3123" s="444">
        <f t="array" ref="J3123">IFERROR(INDEX('Retirement Calculator'!J:J,MATCH('Isaac 401k'!N3123,'Retirement Calculator'!A:A,0),0),0)</f>
        <v>0</v>
      </c>
      <c r="K3123" s="444">
        <f t="shared" ca="1" si="161"/>
        <v>-45637831.266586751</v>
      </c>
      <c r="L3123" s="444">
        <f t="shared" ca="1" si="162"/>
        <v>-10998717335.247406</v>
      </c>
      <c r="M3123" s="460">
        <f t="shared" si="164"/>
        <v>0.05</v>
      </c>
      <c r="N3123" s="464">
        <f t="shared" si="165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63"/>
        <v>-10998717335.247406</v>
      </c>
      <c r="J3124" s="444">
        <f t="array" ref="J3124">IFERROR(INDEX('Retirement Calculator'!J:J,MATCH('Isaac 401k'!N3124,'Retirement Calculator'!A:A,0),0),0)</f>
        <v>0</v>
      </c>
      <c r="K3124" s="444">
        <f t="shared" ca="1" si="161"/>
        <v>-45827988.896864191</v>
      </c>
      <c r="L3124" s="444">
        <f t="shared" ca="1" si="162"/>
        <v>-11044545324.14427</v>
      </c>
      <c r="M3124" s="460">
        <f t="shared" si="164"/>
        <v>0.05</v>
      </c>
      <c r="N3124" s="464">
        <f t="shared" si="165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63"/>
        <v>-11044545324.14427</v>
      </c>
      <c r="J3125" s="444">
        <f t="array" ref="J3125">IFERROR(INDEX('Retirement Calculator'!J:J,MATCH('Isaac 401k'!N3125,'Retirement Calculator'!A:A,0),0),0)</f>
        <v>0</v>
      </c>
      <c r="K3125" s="444">
        <f t="shared" ca="1" si="161"/>
        <v>-46018938.850601122</v>
      </c>
      <c r="L3125" s="444">
        <f t="shared" ca="1" si="162"/>
        <v>-11090564262.994871</v>
      </c>
      <c r="M3125" s="460">
        <f t="shared" si="164"/>
        <v>0.05</v>
      </c>
      <c r="N3125" s="464">
        <f t="shared" si="165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63"/>
        <v>-11090564262.994871</v>
      </c>
      <c r="J3126" s="444">
        <f t="array" ref="J3126">IFERROR(INDEX('Retirement Calculator'!J:J,MATCH('Isaac 401k'!N3126,'Retirement Calculator'!A:A,0),0),0)</f>
        <v>0</v>
      </c>
      <c r="K3126" s="444">
        <f t="shared" ca="1" si="161"/>
        <v>-46210684.429145299</v>
      </c>
      <c r="L3126" s="444">
        <f t="shared" ca="1" si="162"/>
        <v>-11136774947.424017</v>
      </c>
      <c r="M3126" s="460">
        <f t="shared" si="164"/>
        <v>0.05</v>
      </c>
      <c r="N3126" s="464">
        <f t="shared" si="165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63"/>
        <v>-11136774947.424017</v>
      </c>
      <c r="J3127" s="444">
        <f t="array" ref="J3127">IFERROR(INDEX('Retirement Calculator'!J:J,MATCH('Isaac 401k'!N3127,'Retirement Calculator'!A:A,0),0),0)</f>
        <v>0</v>
      </c>
      <c r="K3127" s="444">
        <f t="shared" ca="1" si="161"/>
        <v>-46403228.947600067</v>
      </c>
      <c r="L3127" s="444">
        <f t="shared" ca="1" si="162"/>
        <v>-11183178176.371616</v>
      </c>
      <c r="M3127" s="460">
        <f t="shared" si="164"/>
        <v>0.05</v>
      </c>
      <c r="N3127" s="464">
        <f t="shared" si="165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63"/>
        <v>-11183178176.371616</v>
      </c>
      <c r="J3128" s="444">
        <f t="array" ref="J3128">IFERROR(INDEX('Retirement Calculator'!J:J,MATCH('Isaac 401k'!N3128,'Retirement Calculator'!A:A,0),0),0)</f>
        <v>0</v>
      </c>
      <c r="K3128" s="444">
        <f t="shared" ca="1" si="161"/>
        <v>-46596575.734881736</v>
      </c>
      <c r="L3128" s="444">
        <f t="shared" ca="1" si="162"/>
        <v>-11229774752.106499</v>
      </c>
      <c r="M3128" s="460">
        <f t="shared" si="164"/>
        <v>0.05</v>
      </c>
      <c r="N3128" s="464">
        <f t="shared" si="165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63"/>
        <v>-11229774752.106499</v>
      </c>
      <c r="J3129" s="444">
        <f t="array" ref="J3129">IFERROR(INDEX('Retirement Calculator'!J:J,MATCH('Isaac 401k'!N3129,'Retirement Calculator'!A:A,0),0),0)</f>
        <v>0</v>
      </c>
      <c r="K3129" s="444">
        <f t="shared" ca="1" si="161"/>
        <v>-46790728.133777075</v>
      </c>
      <c r="L3129" s="444">
        <f t="shared" ca="1" si="162"/>
        <v>-11276565480.240276</v>
      </c>
      <c r="M3129" s="460">
        <f t="shared" si="164"/>
        <v>0.05</v>
      </c>
      <c r="N3129" s="464">
        <f t="shared" si="165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63"/>
        <v>-11276565480.240276</v>
      </c>
      <c r="J3130" s="444">
        <f t="array" ref="J3130">IFERROR(INDEX('Retirement Calculator'!J:J,MATCH('Isaac 401k'!N3130,'Retirement Calculator'!A:A,0),0),0)</f>
        <v>0</v>
      </c>
      <c r="K3130" s="444">
        <f t="shared" ca="1" si="161"/>
        <v>-46985689.501001149</v>
      </c>
      <c r="L3130" s="444">
        <f t="shared" ca="1" si="162"/>
        <v>-11323551169.741278</v>
      </c>
      <c r="M3130" s="460">
        <f t="shared" si="164"/>
        <v>0.05</v>
      </c>
      <c r="N3130" s="464">
        <f t="shared" si="165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63"/>
        <v>-11323551169.741278</v>
      </c>
      <c r="J3131" s="444">
        <f t="array" ref="J3131">IFERROR(INDEX('Retirement Calculator'!J:J,MATCH('Isaac 401k'!N3131,'Retirement Calculator'!A:A,0),0),0)</f>
        <v>0</v>
      </c>
      <c r="K3131" s="444">
        <f t="shared" ca="1" si="161"/>
        <v>-47181463.207255326</v>
      </c>
      <c r="L3131" s="444">
        <f t="shared" ca="1" si="162"/>
        <v>-11370732632.948532</v>
      </c>
      <c r="M3131" s="460">
        <f t="shared" si="164"/>
        <v>0.05</v>
      </c>
      <c r="N3131" s="464">
        <f t="shared" si="165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63"/>
        <v>-11370732632.948532</v>
      </c>
      <c r="J3132" s="444">
        <f t="array" ref="J3132">IFERROR(INDEX('Retirement Calculator'!J:J,MATCH('Isaac 401k'!N3132,'Retirement Calculator'!A:A,0),0),0)</f>
        <v>0</v>
      </c>
      <c r="K3132" s="444">
        <f t="shared" ca="1" si="161"/>
        <v>-47378052.637285553</v>
      </c>
      <c r="L3132" s="444">
        <f t="shared" ca="1" si="162"/>
        <v>-11418110685.585817</v>
      </c>
      <c r="M3132" s="460">
        <f t="shared" si="164"/>
        <v>0.05</v>
      </c>
      <c r="N3132" s="464">
        <f t="shared" si="165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63"/>
        <v>-11418110685.585817</v>
      </c>
      <c r="J3133" s="444">
        <f t="array" ref="J3133">IFERROR(INDEX('Retirement Calculator'!J:J,MATCH('Isaac 401k'!N3133,'Retirement Calculator'!A:A,0),0),0)</f>
        <v>0</v>
      </c>
      <c r="K3133" s="444">
        <f t="shared" ca="1" si="161"/>
        <v>-47575461.189940907</v>
      </c>
      <c r="L3133" s="444">
        <f t="shared" ca="1" si="162"/>
        <v>-11465686146.775759</v>
      </c>
      <c r="M3133" s="460">
        <f t="shared" si="164"/>
        <v>0.05</v>
      </c>
      <c r="N3133" s="464">
        <f t="shared" si="165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63"/>
        <v>-11465686146.775759</v>
      </c>
      <c r="J3134" s="444">
        <f t="array" ref="J3134">IFERROR(INDEX('Retirement Calculator'!J:J,MATCH('Isaac 401k'!N3134,'Retirement Calculator'!A:A,0),0),0)</f>
        <v>0</v>
      </c>
      <c r="K3134" s="444">
        <f t="shared" ca="1" si="161"/>
        <v>-47773692.278232329</v>
      </c>
      <c r="L3134" s="444">
        <f t="shared" ca="1" si="162"/>
        <v>-11513459839.053991</v>
      </c>
      <c r="M3134" s="460">
        <f t="shared" si="164"/>
        <v>0.05</v>
      </c>
      <c r="N3134" s="464">
        <f t="shared" si="165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63"/>
        <v>-11513459839.053991</v>
      </c>
      <c r="J3135" s="444">
        <f t="array" ref="J3135">IFERROR(INDEX('Retirement Calculator'!J:J,MATCH('Isaac 401k'!N3135,'Retirement Calculator'!A:A,0),0),0)</f>
        <v>0</v>
      </c>
      <c r="K3135" s="444">
        <f t="shared" ca="1" si="161"/>
        <v>-47972749.329391629</v>
      </c>
      <c r="L3135" s="444">
        <f t="shared" ca="1" si="162"/>
        <v>-11561432588.383383</v>
      </c>
      <c r="M3135" s="460">
        <f t="shared" si="164"/>
        <v>0.05</v>
      </c>
      <c r="N3135" s="464">
        <f t="shared" si="165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63"/>
        <v>-11561432588.383383</v>
      </c>
      <c r="J3136" s="444">
        <f t="array" ref="J3136">IFERROR(INDEX('Retirement Calculator'!J:J,MATCH('Isaac 401k'!N3136,'Retirement Calculator'!A:A,0),0),0)</f>
        <v>0</v>
      </c>
      <c r="K3136" s="444">
        <f t="shared" ca="1" si="161"/>
        <v>-48172635.784930758</v>
      </c>
      <c r="L3136" s="444">
        <f t="shared" ca="1" si="162"/>
        <v>-11609605224.168314</v>
      </c>
      <c r="M3136" s="460">
        <f t="shared" si="164"/>
        <v>0.05</v>
      </c>
      <c r="N3136" s="464">
        <f t="shared" si="165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63"/>
        <v>-11609605224.168314</v>
      </c>
      <c r="J3137" s="444">
        <f t="array" ref="J3137">IFERROR(INDEX('Retirement Calculator'!J:J,MATCH('Isaac 401k'!N3137,'Retirement Calculator'!A:A,0),0),0)</f>
        <v>0</v>
      </c>
      <c r="K3137" s="444">
        <f t="shared" ca="1" si="161"/>
        <v>-48373355.10070131</v>
      </c>
      <c r="L3137" s="444">
        <f t="shared" ca="1" si="162"/>
        <v>-11657978579.269014</v>
      </c>
      <c r="M3137" s="460">
        <f t="shared" si="164"/>
        <v>0.05</v>
      </c>
      <c r="N3137" s="464">
        <f t="shared" si="165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63"/>
        <v>-11657978579.269014</v>
      </c>
      <c r="J3138" s="444">
        <f t="array" ref="J3138">IFERROR(INDEX('Retirement Calculator'!J:J,MATCH('Isaac 401k'!N3138,'Retirement Calculator'!A:A,0),0),0)</f>
        <v>0</v>
      </c>
      <c r="K3138" s="444">
        <f t="shared" ca="1" si="161"/>
        <v>-48574910.746954225</v>
      </c>
      <c r="L3138" s="444">
        <f t="shared" ca="1" si="162"/>
        <v>-11706553490.015968</v>
      </c>
      <c r="M3138" s="460">
        <f t="shared" si="164"/>
        <v>0.05</v>
      </c>
      <c r="N3138" s="464">
        <f t="shared" si="165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63"/>
        <v>-11706553490.015968</v>
      </c>
      <c r="J3139" s="444">
        <f t="array" ref="J3139">IFERROR(INDEX('Retirement Calculator'!J:J,MATCH('Isaac 401k'!N3139,'Retirement Calculator'!A:A,0),0),0)</f>
        <v>0</v>
      </c>
      <c r="K3139" s="444">
        <f t="shared" ca="1" si="161"/>
        <v>-48777306.20839987</v>
      </c>
      <c r="L3139" s="444">
        <f t="shared" ca="1" si="162"/>
        <v>-11755330796.224369</v>
      </c>
      <c r="M3139" s="460">
        <f t="shared" si="164"/>
        <v>0.05</v>
      </c>
      <c r="N3139" s="464">
        <f t="shared" si="165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63"/>
        <v>-11755330796.224369</v>
      </c>
      <c r="J3140" s="444">
        <f t="array" ref="J3140">IFERROR(INDEX('Retirement Calculator'!J:J,MATCH('Isaac 401k'!N3140,'Retirement Calculator'!A:A,0),0),0)</f>
        <v>0</v>
      </c>
      <c r="K3140" s="444">
        <f t="shared" ca="1" si="161"/>
        <v>-48980544.984268203</v>
      </c>
      <c r="L3140" s="444">
        <f t="shared" ca="1" si="162"/>
        <v>-11804311341.208637</v>
      </c>
      <c r="M3140" s="460">
        <f t="shared" si="164"/>
        <v>0.05</v>
      </c>
      <c r="N3140" s="464">
        <f t="shared" si="165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63"/>
        <v>-11804311341.208637</v>
      </c>
      <c r="J3141" s="444">
        <f t="array" ref="J3141">IFERROR(INDEX('Retirement Calculator'!J:J,MATCH('Isaac 401k'!N3141,'Retirement Calculator'!A:A,0),0),0)</f>
        <v>0</v>
      </c>
      <c r="K3141" s="444">
        <f t="shared" ca="1" si="161"/>
        <v>-49184630.588369325</v>
      </c>
      <c r="L3141" s="444">
        <f t="shared" ca="1" si="162"/>
        <v>-11853495971.797007</v>
      </c>
      <c r="M3141" s="460">
        <f t="shared" si="164"/>
        <v>0.05</v>
      </c>
      <c r="N3141" s="464">
        <f t="shared" si="165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63"/>
        <v>-11853495971.797007</v>
      </c>
      <c r="J3142" s="444">
        <f t="array" ref="J3142">IFERROR(INDEX('Retirement Calculator'!J:J,MATCH('Isaac 401k'!N3142,'Retirement Calculator'!A:A,0),0),0)</f>
        <v>0</v>
      </c>
      <c r="K3142" s="444">
        <f t="shared" ca="1" si="161"/>
        <v>-49389566.549154192</v>
      </c>
      <c r="L3142" s="444">
        <f t="shared" ca="1" si="162"/>
        <v>-11902885538.346161</v>
      </c>
      <c r="M3142" s="460">
        <f t="shared" si="164"/>
        <v>0.05</v>
      </c>
      <c r="N3142" s="464">
        <f t="shared" si="165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63"/>
        <v>-11902885538.346161</v>
      </c>
      <c r="J3143" s="444">
        <f t="array" ref="J3143">IFERROR(INDEX('Retirement Calculator'!J:J,MATCH('Isaac 401k'!N3143,'Retirement Calculator'!A:A,0),0),0)</f>
        <v>0</v>
      </c>
      <c r="K3143" s="444">
        <f t="shared" ca="1" si="161"/>
        <v>-49595356.409775667</v>
      </c>
      <c r="L3143" s="444">
        <f t="shared" ca="1" si="162"/>
        <v>-11952480894.755936</v>
      </c>
      <c r="M3143" s="460">
        <f t="shared" si="164"/>
        <v>0.05</v>
      </c>
      <c r="N3143" s="464">
        <f t="shared" si="165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63"/>
        <v>-11952480894.755936</v>
      </c>
      <c r="J3144" s="444">
        <f t="array" ref="J3144">IFERROR(INDEX('Retirement Calculator'!J:J,MATCH('Isaac 401k'!N3144,'Retirement Calculator'!A:A,0),0),0)</f>
        <v>0</v>
      </c>
      <c r="K3144" s="444">
        <f t="shared" ca="1" si="161"/>
        <v>-49802003.728149734</v>
      </c>
      <c r="L3144" s="444">
        <f t="shared" ca="1" si="162"/>
        <v>-12002282898.484085</v>
      </c>
      <c r="M3144" s="460">
        <f t="shared" si="164"/>
        <v>0.05</v>
      </c>
      <c r="N3144" s="464">
        <f t="shared" si="165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63"/>
        <v>-12002282898.484085</v>
      </c>
      <c r="J3145" s="444">
        <f t="array" ref="J3145">IFERROR(INDEX('Retirement Calculator'!J:J,MATCH('Isaac 401k'!N3145,'Retirement Calculator'!A:A,0),0),0)</f>
        <v>0</v>
      </c>
      <c r="K3145" s="444">
        <f t="shared" ca="1" si="161"/>
        <v>-50009512.077017024</v>
      </c>
      <c r="L3145" s="444">
        <f t="shared" ca="1" si="162"/>
        <v>-12052292410.561102</v>
      </c>
      <c r="M3145" s="460">
        <f t="shared" si="164"/>
        <v>0.05</v>
      </c>
      <c r="N3145" s="464">
        <f t="shared" si="165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63"/>
        <v>-12052292410.561102</v>
      </c>
      <c r="J3146" s="444">
        <f t="array" ref="J3146">IFERROR(INDEX('Retirement Calculator'!J:J,MATCH('Isaac 401k'!N3146,'Retirement Calculator'!A:A,0),0),0)</f>
        <v>0</v>
      </c>
      <c r="K3146" s="444">
        <f t="shared" ca="1" si="161"/>
        <v>-50217885.044004589</v>
      </c>
      <c r="L3146" s="444">
        <f t="shared" ca="1" si="162"/>
        <v>-12102510295.605106</v>
      </c>
      <c r="M3146" s="460">
        <f t="shared" si="164"/>
        <v>0.05</v>
      </c>
      <c r="N3146" s="464">
        <f t="shared" si="165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63"/>
        <v>-12102510295.605106</v>
      </c>
      <c r="J3147" s="444">
        <f t="array" ref="J3147">IFERROR(INDEX('Retirement Calculator'!J:J,MATCH('Isaac 401k'!N3147,'Retirement Calculator'!A:A,0),0),0)</f>
        <v>0</v>
      </c>
      <c r="K3147" s="444">
        <f t="shared" ca="1" si="161"/>
        <v>-50427126.231687941</v>
      </c>
      <c r="L3147" s="444">
        <f t="shared" ca="1" si="162"/>
        <v>-12152937421.836794</v>
      </c>
      <c r="M3147" s="460">
        <f t="shared" si="164"/>
        <v>0.05</v>
      </c>
      <c r="N3147" s="464">
        <f t="shared" si="165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63"/>
        <v>-12152937421.836794</v>
      </c>
      <c r="J3148" s="444">
        <f t="array" ref="J3148">IFERROR(INDEX('Retirement Calculator'!J:J,MATCH('Isaac 401k'!N3148,'Retirement Calculator'!A:A,0),0),0)</f>
        <v>0</v>
      </c>
      <c r="K3148" s="444">
        <f t="shared" ca="1" si="161"/>
        <v>-50637239.257653311</v>
      </c>
      <c r="L3148" s="444">
        <f t="shared" ca="1" si="162"/>
        <v>-12203574661.094448</v>
      </c>
      <c r="M3148" s="460">
        <f t="shared" si="164"/>
        <v>0.05</v>
      </c>
      <c r="N3148" s="464">
        <f t="shared" si="165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63"/>
        <v>-12203574661.094448</v>
      </c>
      <c r="J3149" s="444">
        <f t="array" ref="J3149">IFERROR(INDEX('Retirement Calculator'!J:J,MATCH('Isaac 401k'!N3149,'Retirement Calculator'!A:A,0),0),0)</f>
        <v>0</v>
      </c>
      <c r="K3149" s="444">
        <f t="shared" ca="1" si="161"/>
        <v>-50848227.754560202</v>
      </c>
      <c r="L3149" s="444">
        <f t="shared" ca="1" si="162"/>
        <v>-12254422888.849009</v>
      </c>
      <c r="M3149" s="460">
        <f t="shared" si="164"/>
        <v>0.05</v>
      </c>
      <c r="N3149" s="464">
        <f t="shared" si="165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63"/>
        <v>-12254422888.849009</v>
      </c>
      <c r="J3150" s="444">
        <f t="array" ref="J3150">IFERROR(INDEX('Retirement Calculator'!J:J,MATCH('Isaac 401k'!N3150,'Retirement Calculator'!A:A,0),0),0)</f>
        <v>0</v>
      </c>
      <c r="K3150" s="444">
        <f t="shared" ca="1" si="161"/>
        <v>-51060095.370204203</v>
      </c>
      <c r="L3150" s="444">
        <f t="shared" ca="1" si="162"/>
        <v>-12305482984.219213</v>
      </c>
      <c r="M3150" s="460">
        <f t="shared" si="164"/>
        <v>0.05</v>
      </c>
      <c r="N3150" s="464">
        <f t="shared" si="165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63"/>
        <v>-12305482984.219213</v>
      </c>
      <c r="J3151" s="444">
        <f t="array" ref="J3151">IFERROR(INDEX('Retirement Calculator'!J:J,MATCH('Isaac 401k'!N3151,'Retirement Calculator'!A:A,0),0),0)</f>
        <v>0</v>
      </c>
      <c r="K3151" s="444">
        <f t="shared" ca="1" si="161"/>
        <v>-51272845.767580055</v>
      </c>
      <c r="L3151" s="444">
        <f t="shared" ca="1" si="162"/>
        <v>-12356755829.986794</v>
      </c>
      <c r="M3151" s="460">
        <f t="shared" si="164"/>
        <v>0.05</v>
      </c>
      <c r="N3151" s="464">
        <f t="shared" si="165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63"/>
        <v>-12356755829.986794</v>
      </c>
      <c r="J3152" s="444">
        <f t="array" ref="J3152">IFERROR(INDEX('Retirement Calculator'!J:J,MATCH('Isaac 401k'!N3152,'Retirement Calculator'!A:A,0),0),0)</f>
        <v>0</v>
      </c>
      <c r="K3152" s="444">
        <f t="shared" ca="1" si="161"/>
        <v>-51486482.62494497</v>
      </c>
      <c r="L3152" s="444">
        <f t="shared" ca="1" si="162"/>
        <v>-12408242312.611738</v>
      </c>
      <c r="M3152" s="460">
        <f t="shared" si="164"/>
        <v>0.05</v>
      </c>
      <c r="N3152" s="464">
        <f t="shared" si="165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63"/>
        <v>-12408242312.611738</v>
      </c>
      <c r="J3153" s="444">
        <f t="array" ref="J3153">IFERROR(INDEX('Retirement Calculator'!J:J,MATCH('Isaac 401k'!N3153,'Retirement Calculator'!A:A,0),0),0)</f>
        <v>0</v>
      </c>
      <c r="K3153" s="444">
        <f t="shared" ca="1" si="161"/>
        <v>-51701009.635882244</v>
      </c>
      <c r="L3153" s="444">
        <f t="shared" ca="1" si="162"/>
        <v>-12459943322.24762</v>
      </c>
      <c r="M3153" s="460">
        <f t="shared" si="164"/>
        <v>0.05</v>
      </c>
      <c r="N3153" s="464">
        <f t="shared" si="165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63"/>
        <v>-12459943322.24762</v>
      </c>
      <c r="J3154" s="444">
        <f t="array" ref="J3154">IFERROR(INDEX('Retirement Calculator'!J:J,MATCH('Isaac 401k'!N3154,'Retirement Calculator'!A:A,0),0),0)</f>
        <v>0</v>
      </c>
      <c r="K3154" s="444">
        <f t="shared" ca="1" si="161"/>
        <v>-51916430.509365082</v>
      </c>
      <c r="L3154" s="444">
        <f t="shared" ca="1" si="162"/>
        <v>-12511859752.756985</v>
      </c>
      <c r="M3154" s="460">
        <f t="shared" si="164"/>
        <v>0.05</v>
      </c>
      <c r="N3154" s="464">
        <f t="shared" si="165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63"/>
        <v>-12511859752.756985</v>
      </c>
      <c r="J3155" s="444">
        <f t="array" ref="J3155">IFERROR(INDEX('Retirement Calculator'!J:J,MATCH('Isaac 401k'!N3155,'Retirement Calculator'!A:A,0),0),0)</f>
        <v>0</v>
      </c>
      <c r="K3155" s="444">
        <f t="shared" ca="1" si="161"/>
        <v>-52132748.969820768</v>
      </c>
      <c r="L3155" s="444">
        <f t="shared" ca="1" si="162"/>
        <v>-12563992501.726805</v>
      </c>
      <c r="M3155" s="460">
        <f t="shared" si="164"/>
        <v>0.05</v>
      </c>
      <c r="N3155" s="464">
        <f t="shared" si="165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63"/>
        <v>-12563992501.726805</v>
      </c>
      <c r="J3156" s="444">
        <f t="array" ref="J3156">IFERROR(INDEX('Retirement Calculator'!J:J,MATCH('Isaac 401k'!N3156,'Retirement Calculator'!A:A,0),0),0)</f>
        <v>0</v>
      </c>
      <c r="K3156" s="444">
        <f t="shared" ca="1" si="161"/>
        <v>-52349968.757195018</v>
      </c>
      <c r="L3156" s="444">
        <f t="shared" ca="1" si="162"/>
        <v>-12616342470.483999</v>
      </c>
      <c r="M3156" s="460">
        <f t="shared" si="164"/>
        <v>0.05</v>
      </c>
      <c r="N3156" s="464">
        <f t="shared" si="165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63"/>
        <v>-12616342470.483999</v>
      </c>
      <c r="J3157" s="444">
        <f t="array" ref="J3157">IFERROR(INDEX('Retirement Calculator'!J:J,MATCH('Isaac 401k'!N3157,'Retirement Calculator'!A:A,0),0),0)</f>
        <v>0</v>
      </c>
      <c r="K3157" s="444">
        <f t="shared" ca="1" si="161"/>
        <v>-52568093.627016664</v>
      </c>
      <c r="L3157" s="444">
        <f t="shared" ca="1" si="162"/>
        <v>-12668910564.111015</v>
      </c>
      <c r="M3157" s="460">
        <f t="shared" si="164"/>
        <v>0.05</v>
      </c>
      <c r="N3157" s="464">
        <f t="shared" si="165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63"/>
        <v>-12668910564.111015</v>
      </c>
      <c r="J3158" s="444">
        <f t="array" ref="J3158">IFERROR(INDEX('Retirement Calculator'!J:J,MATCH('Isaac 401k'!N3158,'Retirement Calculator'!A:A,0),0),0)</f>
        <v>0</v>
      </c>
      <c r="K3158" s="444">
        <f t="shared" ca="1" si="161"/>
        <v>-52787127.350462563</v>
      </c>
      <c r="L3158" s="444">
        <f t="shared" ca="1" si="162"/>
        <v>-12721697691.461477</v>
      </c>
      <c r="M3158" s="460">
        <f t="shared" si="164"/>
        <v>0.05</v>
      </c>
      <c r="N3158" s="464">
        <f t="shared" si="165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63"/>
        <v>-12721697691.461477</v>
      </c>
      <c r="J3159" s="444">
        <f t="array" ref="J3159">IFERROR(INDEX('Retirement Calculator'!J:J,MATCH('Isaac 401k'!N3159,'Retirement Calculator'!A:A,0),0),0)</f>
        <v>0</v>
      </c>
      <c r="K3159" s="444">
        <f t="shared" ca="1" si="161"/>
        <v>-53007073.714422822</v>
      </c>
      <c r="L3159" s="444">
        <f t="shared" ca="1" si="162"/>
        <v>-12774704765.1759</v>
      </c>
      <c r="M3159" s="460">
        <f t="shared" si="164"/>
        <v>0.05</v>
      </c>
      <c r="N3159" s="464">
        <f t="shared" si="165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63"/>
        <v>-12774704765.1759</v>
      </c>
      <c r="J3160" s="444">
        <f t="array" ref="J3160">IFERROR(INDEX('Retirement Calculator'!J:J,MATCH('Isaac 401k'!N3160,'Retirement Calculator'!A:A,0),0),0)</f>
        <v>0</v>
      </c>
      <c r="K3160" s="444">
        <f t="shared" ca="1" si="161"/>
        <v>-53227936.521566249</v>
      </c>
      <c r="L3160" s="444">
        <f t="shared" ca="1" si="162"/>
        <v>-12827932701.697466</v>
      </c>
      <c r="M3160" s="460">
        <f t="shared" si="164"/>
        <v>0.05</v>
      </c>
      <c r="N3160" s="464">
        <f t="shared" si="165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63"/>
        <v>-12827932701.697466</v>
      </c>
      <c r="J3161" s="444">
        <f t="array" ref="J3161">IFERROR(INDEX('Retirement Calculator'!J:J,MATCH('Isaac 401k'!N3161,'Retirement Calculator'!A:A,0),0),0)</f>
        <v>0</v>
      </c>
      <c r="K3161" s="444">
        <f t="shared" ca="1" si="161"/>
        <v>-53449719.590406105</v>
      </c>
      <c r="L3161" s="444">
        <f t="shared" ca="1" si="162"/>
        <v>-12881382421.287872</v>
      </c>
      <c r="M3161" s="460">
        <f t="shared" si="164"/>
        <v>0.05</v>
      </c>
      <c r="N3161" s="464">
        <f t="shared" si="165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63"/>
        <v>-12881382421.287872</v>
      </c>
      <c r="J3162" s="444">
        <f t="array" ref="J3162">IFERROR(INDEX('Retirement Calculator'!J:J,MATCH('Isaac 401k'!N3162,'Retirement Calculator'!A:A,0),0),0)</f>
        <v>0</v>
      </c>
      <c r="K3162" s="444">
        <f t="shared" ca="1" si="161"/>
        <v>-53672426.755366132</v>
      </c>
      <c r="L3162" s="444">
        <f t="shared" ca="1" si="162"/>
        <v>-12935054848.043238</v>
      </c>
      <c r="M3162" s="460">
        <f t="shared" si="164"/>
        <v>0.05</v>
      </c>
      <c r="N3162" s="464">
        <f t="shared" si="165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63"/>
        <v>-12935054848.043238</v>
      </c>
      <c r="J3163" s="444">
        <f t="array" ref="J3163">IFERROR(INDEX('Retirement Calculator'!J:J,MATCH('Isaac 401k'!N3163,'Retirement Calculator'!A:A,0),0),0)</f>
        <v>0</v>
      </c>
      <c r="K3163" s="444">
        <f t="shared" ca="1" si="161"/>
        <v>-53896061.866846822</v>
      </c>
      <c r="L3163" s="444">
        <f t="shared" ca="1" si="162"/>
        <v>-12988950909.910084</v>
      </c>
      <c r="M3163" s="460">
        <f t="shared" si="164"/>
        <v>0.05</v>
      </c>
      <c r="N3163" s="464">
        <f t="shared" si="165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63"/>
        <v>-12988950909.910084</v>
      </c>
      <c r="J3164" s="444">
        <f t="array" ref="J3164">IFERROR(INDEX('Retirement Calculator'!J:J,MATCH('Isaac 401k'!N3164,'Retirement Calculator'!A:A,0),0),0)</f>
        <v>0</v>
      </c>
      <c r="K3164" s="444">
        <f t="shared" ca="1" si="161"/>
        <v>-54120628.791292012</v>
      </c>
      <c r="L3164" s="444">
        <f t="shared" ca="1" si="162"/>
        <v>-13043071538.701376</v>
      </c>
      <c r="M3164" s="460">
        <f t="shared" si="164"/>
        <v>0.05</v>
      </c>
      <c r="N3164" s="464">
        <f t="shared" si="165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63"/>
        <v>-13043071538.701376</v>
      </c>
      <c r="J3165" s="444">
        <f t="array" ref="J3165">IFERROR(INDEX('Retirement Calculator'!J:J,MATCH('Isaac 401k'!N3165,'Retirement Calculator'!A:A,0),0),0)</f>
        <v>0</v>
      </c>
      <c r="K3165" s="444">
        <f t="shared" ca="1" si="161"/>
        <v>-54346131.411255732</v>
      </c>
      <c r="L3165" s="444">
        <f t="shared" ca="1" si="162"/>
        <v>-13097417670.112631</v>
      </c>
      <c r="M3165" s="460">
        <f t="shared" si="164"/>
        <v>0.05</v>
      </c>
      <c r="N3165" s="464">
        <f t="shared" si="165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63"/>
        <v>-13097417670.112631</v>
      </c>
      <c r="J3166" s="444">
        <f t="array" ref="J3166">IFERROR(INDEX('Retirement Calculator'!J:J,MATCH('Isaac 401k'!N3166,'Retirement Calculator'!A:A,0),0),0)</f>
        <v>0</v>
      </c>
      <c r="K3166" s="444">
        <f t="shared" ca="1" si="161"/>
        <v>-54572573.625469297</v>
      </c>
      <c r="L3166" s="444">
        <f t="shared" ca="1" si="162"/>
        <v>-13151990243.7381</v>
      </c>
      <c r="M3166" s="460">
        <f t="shared" si="164"/>
        <v>0.05</v>
      </c>
      <c r="N3166" s="464">
        <f t="shared" si="165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63"/>
        <v>-13151990243.7381</v>
      </c>
      <c r="J3167" s="444">
        <f t="array" ref="J3167">IFERROR(INDEX('Retirement Calculator'!J:J,MATCH('Isaac 401k'!N3167,'Retirement Calculator'!A:A,0),0),0)</f>
        <v>0</v>
      </c>
      <c r="K3167" s="444">
        <f t="shared" ca="1" si="161"/>
        <v>-54799959.348908752</v>
      </c>
      <c r="L3167" s="444">
        <f t="shared" ca="1" si="162"/>
        <v>-13206790203.087009</v>
      </c>
      <c r="M3167" s="460">
        <f t="shared" si="164"/>
        <v>0.05</v>
      </c>
      <c r="N3167" s="464">
        <f t="shared" si="165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63"/>
        <v>-13206790203.087009</v>
      </c>
      <c r="J3168" s="444">
        <f t="array" ref="J3168">IFERROR(INDEX('Retirement Calculator'!J:J,MATCH('Isaac 401k'!N3168,'Retirement Calculator'!A:A,0),0),0)</f>
        <v>0</v>
      </c>
      <c r="K3168" s="444">
        <f t="shared" ca="1" si="161"/>
        <v>-55028292.512862541</v>
      </c>
      <c r="L3168" s="444">
        <f t="shared" ca="1" si="162"/>
        <v>-13261818495.599873</v>
      </c>
      <c r="M3168" s="460">
        <f t="shared" si="164"/>
        <v>0.05</v>
      </c>
      <c r="N3168" s="464">
        <f t="shared" si="165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63"/>
        <v>-13261818495.599873</v>
      </c>
      <c r="J3169" s="444">
        <f t="array" ref="J3169">IFERROR(INDEX('Retirement Calculator'!J:J,MATCH('Isaac 401k'!N3169,'Retirement Calculator'!A:A,0),0),0)</f>
        <v>0</v>
      </c>
      <c r="K3169" s="444">
        <f t="shared" ca="1" si="161"/>
        <v>-55257577.064999469</v>
      </c>
      <c r="L3169" s="444">
        <f t="shared" ca="1" si="162"/>
        <v>-13317076072.664871</v>
      </c>
      <c r="M3169" s="460">
        <f t="shared" si="164"/>
        <v>0.05</v>
      </c>
      <c r="N3169" s="464">
        <f t="shared" si="165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63"/>
        <v>-13317076072.664871</v>
      </c>
      <c r="J3170" s="444">
        <f t="array" ref="J3170">IFERROR(INDEX('Retirement Calculator'!J:J,MATCH('Isaac 401k'!N3170,'Retirement Calculator'!A:A,0),0),0)</f>
        <v>0</v>
      </c>
      <c r="K3170" s="444">
        <f t="shared" ca="1" si="161"/>
        <v>-55487816.969436966</v>
      </c>
      <c r="L3170" s="444">
        <f t="shared" ca="1" si="162"/>
        <v>-13372563889.634308</v>
      </c>
      <c r="M3170" s="460">
        <f t="shared" si="164"/>
        <v>0.05</v>
      </c>
      <c r="N3170" s="464">
        <f t="shared" si="165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63"/>
        <v>-13372563889.634308</v>
      </c>
      <c r="J3171" s="444">
        <f t="array" ref="J3171">IFERROR(INDEX('Retirement Calculator'!J:J,MATCH('Isaac 401k'!N3171,'Retirement Calculator'!A:A,0),0),0)</f>
        <v>0</v>
      </c>
      <c r="K3171" s="444">
        <f t="shared" ca="1" si="161"/>
        <v>-55719016.206809618</v>
      </c>
      <c r="L3171" s="444">
        <f t="shared" ca="1" si="162"/>
        <v>-13428282905.841118</v>
      </c>
      <c r="M3171" s="460">
        <f t="shared" si="164"/>
        <v>0.05</v>
      </c>
      <c r="N3171" s="464">
        <f t="shared" si="165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63"/>
        <v>-13428282905.841118</v>
      </c>
      <c r="J3172" s="444">
        <f t="array" ref="J3172">IFERROR(INDEX('Retirement Calculator'!J:J,MATCH('Isaac 401k'!N3172,'Retirement Calculator'!A:A,0),0),0)</f>
        <v>0</v>
      </c>
      <c r="K3172" s="444">
        <f t="shared" ca="1" si="161"/>
        <v>-55951178.774337992</v>
      </c>
      <c r="L3172" s="444">
        <f t="shared" ca="1" si="162"/>
        <v>-13484234084.615456</v>
      </c>
      <c r="M3172" s="460">
        <f t="shared" si="164"/>
        <v>0.05</v>
      </c>
      <c r="N3172" s="464">
        <f t="shared" si="165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63"/>
        <v>-13484234084.615456</v>
      </c>
      <c r="J3173" s="444">
        <f t="array" ref="J3173">IFERROR(INDEX('Retirement Calculator'!J:J,MATCH('Isaac 401k'!N3173,'Retirement Calculator'!A:A,0),0),0)</f>
        <v>0</v>
      </c>
      <c r="K3173" s="444">
        <f t="shared" ca="1" si="161"/>
        <v>-56184308.685897723</v>
      </c>
      <c r="L3173" s="444">
        <f t="shared" ca="1" si="162"/>
        <v>-13540418393.301353</v>
      </c>
      <c r="M3173" s="460">
        <f t="shared" si="164"/>
        <v>0.05</v>
      </c>
      <c r="N3173" s="464">
        <f t="shared" si="165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63"/>
        <v>-13540418393.301353</v>
      </c>
      <c r="J3174" s="444">
        <f t="array" ref="J3174">IFERROR(INDEX('Retirement Calculator'!J:J,MATCH('Isaac 401k'!N3174,'Retirement Calculator'!A:A,0),0),0)</f>
        <v>0</v>
      </c>
      <c r="K3174" s="444">
        <f t="shared" ca="1" si="161"/>
        <v>-56418409.972088963</v>
      </c>
      <c r="L3174" s="444">
        <f t="shared" ca="1" si="162"/>
        <v>-13596836803.273443</v>
      </c>
      <c r="M3174" s="460">
        <f t="shared" si="164"/>
        <v>0.05</v>
      </c>
      <c r="N3174" s="464">
        <f t="shared" si="165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63"/>
        <v>-13596836803.273443</v>
      </c>
      <c r="J3175" s="444">
        <f t="array" ref="J3175">IFERROR(INDEX('Retirement Calculator'!J:J,MATCH('Isaac 401k'!N3175,'Retirement Calculator'!A:A,0),0),0)</f>
        <v>0</v>
      </c>
      <c r="K3175" s="444">
        <f t="shared" ca="1" si="161"/>
        <v>-56653486.68030601</v>
      </c>
      <c r="L3175" s="444">
        <f t="shared" ca="1" si="162"/>
        <v>-13653490289.953749</v>
      </c>
      <c r="M3175" s="460">
        <f t="shared" si="164"/>
        <v>0.05</v>
      </c>
      <c r="N3175" s="464">
        <f t="shared" si="165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63"/>
        <v>-13653490289.953749</v>
      </c>
      <c r="J3176" s="444">
        <f t="array" ref="J3176">IFERROR(INDEX('Retirement Calculator'!J:J,MATCH('Isaac 401k'!N3176,'Retirement Calculator'!A:A,0),0),0)</f>
        <v>0</v>
      </c>
      <c r="K3176" s="444">
        <f t="shared" ca="1" si="161"/>
        <v>-56889542.874807283</v>
      </c>
      <c r="L3176" s="444">
        <f t="shared" ca="1" si="162"/>
        <v>-13710379832.828556</v>
      </c>
      <c r="M3176" s="460">
        <f t="shared" si="164"/>
        <v>0.05</v>
      </c>
      <c r="N3176" s="464">
        <f t="shared" si="165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63"/>
        <v>-13710379832.828556</v>
      </c>
      <c r="J3177" s="444">
        <f t="array" ref="J3177">IFERROR(INDEX('Retirement Calculator'!J:J,MATCH('Isaac 401k'!N3177,'Retirement Calculator'!A:A,0),0),0)</f>
        <v>0</v>
      </c>
      <c r="K3177" s="444">
        <f t="shared" ca="1" si="161"/>
        <v>-57126582.636785649</v>
      </c>
      <c r="L3177" s="444">
        <f t="shared" ca="1" si="162"/>
        <v>-13767506415.465342</v>
      </c>
      <c r="M3177" s="460">
        <f t="shared" si="164"/>
        <v>0.05</v>
      </c>
      <c r="N3177" s="464">
        <f t="shared" si="165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63"/>
        <v>-13767506415.465342</v>
      </c>
      <c r="J3178" s="444">
        <f t="array" ref="J3178">IFERROR(INDEX('Retirement Calculator'!J:J,MATCH('Isaac 401k'!N3178,'Retirement Calculator'!A:A,0),0),0)</f>
        <v>0</v>
      </c>
      <c r="K3178" s="444">
        <f t="shared" ca="1" si="161"/>
        <v>-57364610.064438924</v>
      </c>
      <c r="L3178" s="444">
        <f t="shared" ca="1" si="162"/>
        <v>-13824871025.529781</v>
      </c>
      <c r="M3178" s="460">
        <f t="shared" si="164"/>
        <v>0.05</v>
      </c>
      <c r="N3178" s="464">
        <f t="shared" si="165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63"/>
        <v>-13824871025.529781</v>
      </c>
      <c r="J3179" s="444">
        <f t="array" ref="J3179">IFERROR(INDEX('Retirement Calculator'!J:J,MATCH('Isaac 401k'!N3179,'Retirement Calculator'!A:A,0),0),0)</f>
        <v>0</v>
      </c>
      <c r="K3179" s="444">
        <f t="shared" ca="1" si="161"/>
        <v>-57603629.273040749</v>
      </c>
      <c r="L3179" s="444">
        <f t="shared" ca="1" si="162"/>
        <v>-13882474654.802822</v>
      </c>
      <c r="M3179" s="460">
        <f t="shared" si="164"/>
        <v>0.05</v>
      </c>
      <c r="N3179" s="464">
        <f t="shared" si="165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63"/>
        <v>-13882474654.802822</v>
      </c>
      <c r="J3180" s="444">
        <f t="array" ref="J3180">IFERROR(INDEX('Retirement Calculator'!J:J,MATCH('Isaac 401k'!N3180,'Retirement Calculator'!A:A,0),0),0)</f>
        <v>0</v>
      </c>
      <c r="K3180" s="444">
        <f t="shared" ca="1" si="161"/>
        <v>-57843644.39501176</v>
      </c>
      <c r="L3180" s="444">
        <f t="shared" ca="1" si="162"/>
        <v>-13940318299.197834</v>
      </c>
      <c r="M3180" s="460">
        <f t="shared" si="164"/>
        <v>0.05</v>
      </c>
      <c r="N3180" s="464">
        <f t="shared" si="165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63"/>
        <v>-13940318299.197834</v>
      </c>
      <c r="J3181" s="444">
        <f t="array" ref="J3181">IFERROR(INDEX('Retirement Calculator'!J:J,MATCH('Isaac 401k'!N3181,'Retirement Calculator'!A:A,0),0),0)</f>
        <v>0</v>
      </c>
      <c r="K3181" s="444">
        <f t="shared" ca="1" si="161"/>
        <v>-58084659.579990968</v>
      </c>
      <c r="L3181" s="444">
        <f t="shared" ca="1" si="162"/>
        <v>-13998402958.777824</v>
      </c>
      <c r="M3181" s="460">
        <f t="shared" si="164"/>
        <v>0.05</v>
      </c>
      <c r="N3181" s="464">
        <f t="shared" si="165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63"/>
        <v>-13998402958.777824</v>
      </c>
      <c r="J3182" s="444">
        <f t="array" ref="J3182">IFERROR(INDEX('Retirement Calculator'!J:J,MATCH('Isaac 401k'!N3182,'Retirement Calculator'!A:A,0),0),0)</f>
        <v>0</v>
      </c>
      <c r="K3182" s="444">
        <f t="shared" ca="1" si="161"/>
        <v>-58326678.994907595</v>
      </c>
      <c r="L3182" s="444">
        <f t="shared" ca="1" si="162"/>
        <v>-14056729637.772732</v>
      </c>
      <c r="M3182" s="460">
        <f t="shared" si="164"/>
        <v>0.05</v>
      </c>
      <c r="N3182" s="464">
        <f t="shared" si="165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63"/>
        <v>-14056729637.772732</v>
      </c>
      <c r="J3183" s="444">
        <f t="array" ref="J3183">IFERROR(INDEX('Retirement Calculator'!J:J,MATCH('Isaac 401k'!N3183,'Retirement Calculator'!A:A,0),0),0)</f>
        <v>0</v>
      </c>
      <c r="K3183" s="444">
        <f t="shared" ca="1" si="161"/>
        <v>-58569706.824053049</v>
      </c>
      <c r="L3183" s="444">
        <f t="shared" ca="1" si="162"/>
        <v>-14115299344.596785</v>
      </c>
      <c r="M3183" s="460">
        <f t="shared" si="164"/>
        <v>0.05</v>
      </c>
      <c r="N3183" s="464">
        <f t="shared" si="165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63"/>
        <v>-14115299344.596785</v>
      </c>
      <c r="J3184" s="444">
        <f t="array" ref="J3184">IFERROR(INDEX('Retirement Calculator'!J:J,MATCH('Isaac 401k'!N3184,'Retirement Calculator'!A:A,0),0),0)</f>
        <v>0</v>
      </c>
      <c r="K3184" s="444">
        <f t="shared" ca="1" si="161"/>
        <v>-58813747.26915326</v>
      </c>
      <c r="L3184" s="444">
        <f t="shared" ca="1" si="162"/>
        <v>-14174113091.865938</v>
      </c>
      <c r="M3184" s="460">
        <f t="shared" si="164"/>
        <v>0.05</v>
      </c>
      <c r="N3184" s="464">
        <f t="shared" si="165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63"/>
        <v>-14174113091.865938</v>
      </c>
      <c r="J3185" s="444">
        <f t="array" ref="J3185">IFERROR(INDEX('Retirement Calculator'!J:J,MATCH('Isaac 401k'!N3185,'Retirement Calculator'!A:A,0),0),0)</f>
        <v>0</v>
      </c>
      <c r="K3185" s="444">
        <f t="shared" ca="1" si="161"/>
        <v>-59058804.549441405</v>
      </c>
      <c r="L3185" s="444">
        <f t="shared" ca="1" si="162"/>
        <v>-14233171896.41538</v>
      </c>
      <c r="M3185" s="460">
        <f t="shared" si="164"/>
        <v>0.05</v>
      </c>
      <c r="N3185" s="464">
        <f t="shared" si="165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63"/>
        <v>-14233171896.41538</v>
      </c>
      <c r="J3186" s="444">
        <f t="array" ref="J3186">IFERROR(INDEX('Retirement Calculator'!J:J,MATCH('Isaac 401k'!N3186,'Retirement Calculator'!A:A,0),0),0)</f>
        <v>0</v>
      </c>
      <c r="K3186" s="444">
        <f t="shared" ca="1" si="161"/>
        <v>-59304882.901730761</v>
      </c>
      <c r="L3186" s="444">
        <f t="shared" ca="1" si="162"/>
        <v>-14292476779.317112</v>
      </c>
      <c r="M3186" s="460">
        <f t="shared" si="164"/>
        <v>0.05</v>
      </c>
      <c r="N3186" s="464">
        <f t="shared" si="165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63"/>
        <v>-14292476779.317112</v>
      </c>
      <c r="J3187" s="444">
        <f t="array" ref="J3187">IFERROR(INDEX('Retirement Calculator'!J:J,MATCH('Isaac 401k'!N3187,'Retirement Calculator'!A:A,0),0),0)</f>
        <v>0</v>
      </c>
      <c r="K3187" s="444">
        <f t="shared" ca="1" si="161"/>
        <v>-59551986.580487967</v>
      </c>
      <c r="L3187" s="444">
        <f t="shared" ca="1" si="162"/>
        <v>-14352028765.8976</v>
      </c>
      <c r="M3187" s="460">
        <f t="shared" si="164"/>
        <v>0.05</v>
      </c>
      <c r="N3187" s="464">
        <f t="shared" si="165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63"/>
        <v>-14352028765.8976</v>
      </c>
      <c r="J3188" s="444">
        <f t="array" ref="J3188">IFERROR(INDEX('Retirement Calculator'!J:J,MATCH('Isaac 401k'!N3188,'Retirement Calculator'!A:A,0),0),0)</f>
        <v>0</v>
      </c>
      <c r="K3188" s="444">
        <f t="shared" ca="1" si="161"/>
        <v>-59800119.857906669</v>
      </c>
      <c r="L3188" s="444">
        <f t="shared" ca="1" si="162"/>
        <v>-14411828885.755507</v>
      </c>
      <c r="M3188" s="460">
        <f t="shared" si="164"/>
        <v>0.05</v>
      </c>
      <c r="N3188" s="464">
        <f t="shared" si="165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63"/>
        <v>-14411828885.755507</v>
      </c>
      <c r="J3189" s="444">
        <f t="array" ref="J3189">IFERROR(INDEX('Retirement Calculator'!J:J,MATCH('Isaac 401k'!N3189,'Retirement Calculator'!A:A,0),0),0)</f>
        <v>0</v>
      </c>
      <c r="K3189" s="444">
        <f t="shared" ca="1" si="161"/>
        <v>-60049287.023981281</v>
      </c>
      <c r="L3189" s="444">
        <f t="shared" ca="1" si="162"/>
        <v>-14471878172.779488</v>
      </c>
      <c r="M3189" s="460">
        <f t="shared" si="164"/>
        <v>0.05</v>
      </c>
      <c r="N3189" s="464">
        <f t="shared" si="165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63"/>
        <v>-14471878172.779488</v>
      </c>
      <c r="J3190" s="444">
        <f t="array" ref="J3190">IFERROR(INDEX('Retirement Calculator'!J:J,MATCH('Isaac 401k'!N3190,'Retirement Calculator'!A:A,0),0),0)</f>
        <v>0</v>
      </c>
      <c r="K3190" s="444">
        <f t="shared" ca="1" si="161"/>
        <v>-60299492.386581197</v>
      </c>
      <c r="L3190" s="444">
        <f t="shared" ca="1" si="162"/>
        <v>-14532177665.166069</v>
      </c>
      <c r="M3190" s="460">
        <f t="shared" si="164"/>
        <v>0.05</v>
      </c>
      <c r="N3190" s="464">
        <f t="shared" si="165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63"/>
        <v>-14532177665.166069</v>
      </c>
      <c r="J3191" s="444">
        <f t="array" ref="J3191">IFERROR(INDEX('Retirement Calculator'!J:J,MATCH('Isaac 401k'!N3191,'Retirement Calculator'!A:A,0),0),0)</f>
        <v>0</v>
      </c>
      <c r="K3191" s="444">
        <f t="shared" ca="1" si="161"/>
        <v>-60550740.271525286</v>
      </c>
      <c r="L3191" s="444">
        <f t="shared" ca="1" si="162"/>
        <v>-14592728405.437593</v>
      </c>
      <c r="M3191" s="460">
        <f t="shared" si="164"/>
        <v>0.05</v>
      </c>
      <c r="N3191" s="464">
        <f t="shared" si="165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63"/>
        <v>-14592728405.437593</v>
      </c>
      <c r="J3192" s="444">
        <f t="array" ref="J3192">IFERROR(INDEX('Retirement Calculator'!J:J,MATCH('Isaac 401k'!N3192,'Retirement Calculator'!A:A,0),0),0)</f>
        <v>0</v>
      </c>
      <c r="K3192" s="444">
        <f t="shared" ca="1" si="161"/>
        <v>-60803035.022656642</v>
      </c>
      <c r="L3192" s="444">
        <f t="shared" ca="1" si="162"/>
        <v>-14653531440.460251</v>
      </c>
      <c r="M3192" s="460">
        <f t="shared" si="164"/>
        <v>0.05</v>
      </c>
      <c r="N3192" s="464">
        <f t="shared" si="165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63"/>
        <v>-14653531440.460251</v>
      </c>
      <c r="J3193" s="444">
        <f t="array" ref="J3193">IFERROR(INDEX('Retirement Calculator'!J:J,MATCH('Isaac 401k'!N3193,'Retirement Calculator'!A:A,0),0),0)</f>
        <v>0</v>
      </c>
      <c r="K3193" s="444">
        <f t="shared" ca="1" si="161"/>
        <v>-61056381.00191772</v>
      </c>
      <c r="L3193" s="444">
        <f t="shared" ca="1" si="162"/>
        <v>-14714587821.462168</v>
      </c>
      <c r="M3193" s="460">
        <f t="shared" si="164"/>
        <v>0.05</v>
      </c>
      <c r="N3193" s="464">
        <f t="shared" si="165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63"/>
        <v>-14714587821.462168</v>
      </c>
      <c r="J3194" s="444">
        <f t="array" ref="J3194">IFERROR(INDEX('Retirement Calculator'!J:J,MATCH('Isaac 401k'!N3194,'Retirement Calculator'!A:A,0),0),0)</f>
        <v>0</v>
      </c>
      <c r="K3194" s="444">
        <f t="shared" ca="1" si="161"/>
        <v>-61310782.589425698</v>
      </c>
      <c r="L3194" s="444">
        <f t="shared" ca="1" si="162"/>
        <v>-14775898604.051594</v>
      </c>
      <c r="M3194" s="460">
        <f t="shared" si="164"/>
        <v>0.05</v>
      </c>
      <c r="N3194" s="464">
        <f t="shared" si="165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63"/>
        <v>-14775898604.051594</v>
      </c>
      <c r="J3195" s="444">
        <f t="array" ref="J3195">IFERROR(INDEX('Retirement Calculator'!J:J,MATCH('Isaac 401k'!N3195,'Retirement Calculator'!A:A,0),0),0)</f>
        <v>0</v>
      </c>
      <c r="K3195" s="444">
        <f t="shared" ca="1" si="161"/>
        <v>-61566244.183548309</v>
      </c>
      <c r="L3195" s="444">
        <f t="shared" ca="1" si="162"/>
        <v>-14837464848.235142</v>
      </c>
      <c r="M3195" s="460">
        <f t="shared" si="164"/>
        <v>0.05</v>
      </c>
      <c r="N3195" s="464">
        <f t="shared" si="165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63"/>
        <v>-14837464848.235142</v>
      </c>
      <c r="J3196" s="444">
        <f t="array" ref="J3196">IFERROR(INDEX('Retirement Calculator'!J:J,MATCH('Isaac 401k'!N3196,'Retirement Calculator'!A:A,0),0),0)</f>
        <v>0</v>
      </c>
      <c r="K3196" s="444">
        <f t="shared" ca="1" si="161"/>
        <v>-61822770.200979747</v>
      </c>
      <c r="L3196" s="444">
        <f t="shared" ca="1" si="162"/>
        <v>-14899287618.436121</v>
      </c>
      <c r="M3196" s="460">
        <f t="shared" si="164"/>
        <v>0.05</v>
      </c>
      <c r="N3196" s="464">
        <f t="shared" si="165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63"/>
        <v>-14899287618.436121</v>
      </c>
      <c r="J3197" s="444">
        <f t="array" ref="J3197">IFERROR(INDEX('Retirement Calculator'!J:J,MATCH('Isaac 401k'!N3197,'Retirement Calculator'!A:A,0),0),0)</f>
        <v>0</v>
      </c>
      <c r="K3197" s="444">
        <f t="shared" ca="1" si="161"/>
        <v>-62080365.076817177</v>
      </c>
      <c r="L3197" s="444">
        <f t="shared" ca="1" si="162"/>
        <v>-14961367983.512938</v>
      </c>
      <c r="M3197" s="460">
        <f t="shared" si="164"/>
        <v>0.05</v>
      </c>
      <c r="N3197" s="464">
        <f t="shared" si="165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63"/>
        <v>-14961367983.512938</v>
      </c>
      <c r="J3198" s="444">
        <f t="array" ref="J3198">IFERROR(INDEX('Retirement Calculator'!J:J,MATCH('Isaac 401k'!N3198,'Retirement Calculator'!A:A,0),0),0)</f>
        <v>0</v>
      </c>
      <c r="K3198" s="444">
        <f t="shared" ca="1" si="161"/>
        <v>-62339033.264637239</v>
      </c>
      <c r="L3198" s="444">
        <f t="shared" ca="1" si="162"/>
        <v>-15023707016.777575</v>
      </c>
      <c r="M3198" s="460">
        <f t="shared" si="164"/>
        <v>0.05</v>
      </c>
      <c r="N3198" s="464">
        <f t="shared" si="165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63"/>
        <v>-15023707016.777575</v>
      </c>
      <c r="J3199" s="444">
        <f t="array" ref="J3199">IFERROR(INDEX('Retirement Calculator'!J:J,MATCH('Isaac 401k'!N3199,'Retirement Calculator'!A:A,0),0),0)</f>
        <v>0</v>
      </c>
      <c r="K3199" s="444">
        <f t="shared" ca="1" si="161"/>
        <v>-62598779.236573227</v>
      </c>
      <c r="L3199" s="444">
        <f t="shared" ca="1" si="162"/>
        <v>-15086305796.014149</v>
      </c>
      <c r="M3199" s="460">
        <f t="shared" si="164"/>
        <v>0.05</v>
      </c>
      <c r="N3199" s="464">
        <f t="shared" si="165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63"/>
        <v>-15086305796.014149</v>
      </c>
      <c r="J3200" s="444">
        <f t="array" ref="J3200">IFERROR(INDEX('Retirement Calculator'!J:J,MATCH('Isaac 401k'!N3200,'Retirement Calculator'!A:A,0),0),0)</f>
        <v>0</v>
      </c>
      <c r="K3200" s="444">
        <f t="shared" ca="1" si="161"/>
        <v>-62859607.483392276</v>
      </c>
      <c r="L3200" s="444">
        <f t="shared" ca="1" si="162"/>
        <v>-15149165403.497541</v>
      </c>
      <c r="M3200" s="460">
        <f t="shared" si="164"/>
        <v>0.05</v>
      </c>
      <c r="N3200" s="464">
        <f t="shared" si="165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63"/>
        <v>-15149165403.497541</v>
      </c>
      <c r="J3201" s="444">
        <f t="array" ref="J3201">IFERROR(INDEX('Retirement Calculator'!J:J,MATCH('Isaac 401k'!N3201,'Retirement Calculator'!A:A,0),0),0)</f>
        <v>0</v>
      </c>
      <c r="K3201" s="444">
        <f t="shared" ca="1" si="161"/>
        <v>-63121522.51457309</v>
      </c>
      <c r="L3201" s="444">
        <f t="shared" ca="1" si="162"/>
        <v>-15212286926.012114</v>
      </c>
      <c r="M3201" s="460">
        <f t="shared" si="164"/>
        <v>0.05</v>
      </c>
      <c r="N3201" s="464">
        <f t="shared" si="165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63"/>
        <v>-15212286926.012114</v>
      </c>
      <c r="J3202" s="444">
        <f t="array" ref="J3202">IFERROR(INDEX('Retirement Calculator'!J:J,MATCH('Isaac 401k'!N3202,'Retirement Calculator'!A:A,0),0),0)</f>
        <v>0</v>
      </c>
      <c r="K3202" s="444">
        <f t="shared" ca="1" si="161"/>
        <v>-63384528.858383805</v>
      </c>
      <c r="L3202" s="444">
        <f t="shared" ca="1" si="162"/>
        <v>-15275671454.870497</v>
      </c>
      <c r="M3202" s="460">
        <f t="shared" si="164"/>
        <v>0.05</v>
      </c>
      <c r="N3202" s="464">
        <f t="shared" si="165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63"/>
        <v>-15275671454.870497</v>
      </c>
      <c r="J3203" s="444">
        <f t="array" ref="J3203">IFERROR(INDEX('Retirement Calculator'!J:J,MATCH('Isaac 401k'!N3203,'Retirement Calculator'!A:A,0),0),0)</f>
        <v>0</v>
      </c>
      <c r="K3203" s="444">
        <f t="shared" ca="1" si="161"/>
        <v>-63648631.061960399</v>
      </c>
      <c r="L3203" s="444">
        <f t="shared" ca="1" si="162"/>
        <v>-15339320085.932457</v>
      </c>
      <c r="M3203" s="460">
        <f t="shared" si="164"/>
        <v>0.05</v>
      </c>
      <c r="N3203" s="464">
        <f t="shared" si="165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63"/>
        <v>-15339320085.932457</v>
      </c>
      <c r="J3204" s="444">
        <f t="array" ref="J3204">IFERROR(INDEX('Retirement Calculator'!J:J,MATCH('Isaac 401k'!N3204,'Retirement Calculator'!A:A,0),0),0)</f>
        <v>0</v>
      </c>
      <c r="K3204" s="444">
        <f t="shared" ca="1" si="161"/>
        <v>-63913833.691385239</v>
      </c>
      <c r="L3204" s="444">
        <f t="shared" ca="1" si="162"/>
        <v>-15403233919.623842</v>
      </c>
      <c r="M3204" s="460">
        <f t="shared" si="164"/>
        <v>0.05</v>
      </c>
      <c r="N3204" s="464">
        <f t="shared" si="165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63"/>
        <v>-15403233919.623842</v>
      </c>
      <c r="J3205" s="444">
        <f t="array" ref="J3205">IFERROR(INDEX('Retirement Calculator'!J:J,MATCH('Isaac 401k'!N3205,'Retirement Calculator'!A:A,0),0),0)</f>
        <v>0</v>
      </c>
      <c r="K3205" s="444">
        <f t="shared" ca="1" si="161"/>
        <v>-64180141.331766009</v>
      </c>
      <c r="L3205" s="444">
        <f t="shared" ca="1" si="162"/>
        <v>-15467414060.955608</v>
      </c>
      <c r="M3205" s="460">
        <f t="shared" si="164"/>
        <v>0.05</v>
      </c>
      <c r="N3205" s="464">
        <f t="shared" si="165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63"/>
        <v>-15467414060.955608</v>
      </c>
      <c r="J3206" s="444">
        <f t="array" ref="J3206">IFERROR(INDEX('Retirement Calculator'!J:J,MATCH('Isaac 401k'!N3206,'Retirement Calculator'!A:A,0),0),0)</f>
        <v>0</v>
      </c>
      <c r="K3206" s="444">
        <f t="shared" ca="1" si="161"/>
        <v>-64447558.58731503</v>
      </c>
      <c r="L3206" s="444">
        <f t="shared" ca="1" si="162"/>
        <v>-15531861619.542923</v>
      </c>
      <c r="M3206" s="460">
        <f t="shared" si="164"/>
        <v>0.05</v>
      </c>
      <c r="N3206" s="464">
        <f t="shared" si="165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63"/>
        <v>-15531861619.542923</v>
      </c>
      <c r="J3207" s="444">
        <f t="array" ref="J3207">IFERROR(INDEX('Retirement Calculator'!J:J,MATCH('Isaac 401k'!N3207,'Retirement Calculator'!A:A,0),0),0)</f>
        <v>0</v>
      </c>
      <c r="K3207" s="444">
        <f t="shared" ca="1" si="161"/>
        <v>-64716090.081428833</v>
      </c>
      <c r="L3207" s="444">
        <f t="shared" ca="1" si="162"/>
        <v>-15596577709.624352</v>
      </c>
      <c r="M3207" s="460">
        <f t="shared" si="164"/>
        <v>0.05</v>
      </c>
      <c r="N3207" s="464">
        <f t="shared" si="165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63"/>
        <v>-15596577709.624352</v>
      </c>
      <c r="J3208" s="444">
        <f t="array" ref="J3208">IFERROR(INDEX('Retirement Calculator'!J:J,MATCH('Isaac 401k'!N3208,'Retirement Calculator'!A:A,0),0),0)</f>
        <v>0</v>
      </c>
      <c r="K3208" s="444">
        <f t="shared" ca="1" si="161"/>
        <v>-64985740.456768133</v>
      </c>
      <c r="L3208" s="444">
        <f t="shared" ca="1" si="162"/>
        <v>-15661563450.08112</v>
      </c>
      <c r="M3208" s="460">
        <f t="shared" si="164"/>
        <v>0.05</v>
      </c>
      <c r="N3208" s="464">
        <f t="shared" si="165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63"/>
        <v>-15661563450.08112</v>
      </c>
      <c r="J3209" s="444">
        <f t="array" ref="J3209">IFERROR(INDEX('Retirement Calculator'!J:J,MATCH('Isaac 401k'!N3209,'Retirement Calculator'!A:A,0),0),0)</f>
        <v>0</v>
      </c>
      <c r="K3209" s="444">
        <f t="shared" ca="1" si="161"/>
        <v>-65256514.375337996</v>
      </c>
      <c r="L3209" s="444">
        <f t="shared" ca="1" si="162"/>
        <v>-15726819964.456457</v>
      </c>
      <c r="M3209" s="460">
        <f t="shared" si="164"/>
        <v>0.05</v>
      </c>
      <c r="N3209" s="464">
        <f t="shared" si="165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63"/>
        <v>-15726819964.456457</v>
      </c>
      <c r="J3210" s="444">
        <f t="array" ref="J3210">IFERROR(INDEX('Retirement Calculator'!J:J,MATCH('Isaac 401k'!N3210,'Retirement Calculator'!A:A,0),0),0)</f>
        <v>0</v>
      </c>
      <c r="K3210" s="444">
        <f t="shared" ca="1" si="161"/>
        <v>-65528416.518568568</v>
      </c>
      <c r="L3210" s="444">
        <f t="shared" ca="1" si="162"/>
        <v>-15792348380.975025</v>
      </c>
      <c r="M3210" s="460">
        <f t="shared" si="164"/>
        <v>0.05</v>
      </c>
      <c r="N3210" s="464">
        <f t="shared" si="165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63"/>
        <v>-15792348380.975025</v>
      </c>
      <c r="J3211" s="444">
        <f t="array" ref="J3211">IFERROR(INDEX('Retirement Calculator'!J:J,MATCH('Isaac 401k'!N3211,'Retirement Calculator'!A:A,0),0),0)</f>
        <v>0</v>
      </c>
      <c r="K3211" s="444">
        <f t="shared" ca="1" si="161"/>
        <v>-65801451.587395936</v>
      </c>
      <c r="L3211" s="444">
        <f t="shared" ca="1" si="162"/>
        <v>-15858149832.562422</v>
      </c>
      <c r="M3211" s="460">
        <f t="shared" si="164"/>
        <v>0.05</v>
      </c>
      <c r="N3211" s="464">
        <f t="shared" si="165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63"/>
        <v>-15858149832.562422</v>
      </c>
      <c r="J3212" s="444">
        <f t="array" ref="J3212">IFERROR(INDEX('Retirement Calculator'!J:J,MATCH('Isaac 401k'!N3212,'Retirement Calculator'!A:A,0),0),0)</f>
        <v>0</v>
      </c>
      <c r="K3212" s="444">
        <f t="shared" ca="1" si="161"/>
        <v>-66075624.302343428</v>
      </c>
      <c r="L3212" s="444">
        <f t="shared" ca="1" si="162"/>
        <v>-15924225456.864765</v>
      </c>
      <c r="M3212" s="460">
        <f t="shared" si="164"/>
        <v>0.05</v>
      </c>
      <c r="N3212" s="464">
        <f t="shared" si="165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63"/>
        <v>-15924225456.864765</v>
      </c>
      <c r="J3213" s="444">
        <f t="array" ref="J3213">IFERROR(INDEX('Retirement Calculator'!J:J,MATCH('Isaac 401k'!N3213,'Retirement Calculator'!A:A,0),0),0)</f>
        <v>0</v>
      </c>
      <c r="K3213" s="444">
        <f t="shared" ca="1" si="161"/>
        <v>-66350939.403603196</v>
      </c>
      <c r="L3213" s="444">
        <f t="shared" ca="1" si="162"/>
        <v>-15990576396.268368</v>
      </c>
      <c r="M3213" s="460">
        <f t="shared" si="164"/>
        <v>0.05</v>
      </c>
      <c r="N3213" s="464">
        <f t="shared" si="165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63"/>
        <v>-15990576396.268368</v>
      </c>
      <c r="J3214" s="444">
        <f t="array" ref="J3214">IFERROR(INDEX('Retirement Calculator'!J:J,MATCH('Isaac 401k'!N3214,'Retirement Calculator'!A:A,0),0),0)</f>
        <v>0</v>
      </c>
      <c r="K3214" s="444">
        <f t="shared" ca="1" si="161"/>
        <v>-66627401.651118197</v>
      </c>
      <c r="L3214" s="444">
        <f t="shared" ca="1" si="162"/>
        <v>-16057203797.919485</v>
      </c>
      <c r="M3214" s="460">
        <f t="shared" si="164"/>
        <v>0.05</v>
      </c>
      <c r="N3214" s="464">
        <f t="shared" si="165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63"/>
        <v>-16057203797.919485</v>
      </c>
      <c r="J3215" s="444">
        <f t="array" ref="J3215">IFERROR(INDEX('Retirement Calculator'!J:J,MATCH('Isaac 401k'!N3215,'Retirement Calculator'!A:A,0),0),0)</f>
        <v>0</v>
      </c>
      <c r="K3215" s="444">
        <f t="shared" ca="1" si="161"/>
        <v>-66905015.824664518</v>
      </c>
      <c r="L3215" s="444">
        <f t="shared" ca="1" si="162"/>
        <v>-16124108813.74415</v>
      </c>
      <c r="M3215" s="460">
        <f t="shared" si="164"/>
        <v>0.05</v>
      </c>
      <c r="N3215" s="464">
        <f t="shared" si="165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63"/>
        <v>-16124108813.74415</v>
      </c>
      <c r="J3216" s="444">
        <f t="array" ref="J3216">IFERROR(INDEX('Retirement Calculator'!J:J,MATCH('Isaac 401k'!N3216,'Retirement Calculator'!A:A,0),0),0)</f>
        <v>0</v>
      </c>
      <c r="K3216" s="444">
        <f t="shared" ca="1" si="161"/>
        <v>-67183786.723933965</v>
      </c>
      <c r="L3216" s="444">
        <f t="shared" ca="1" si="162"/>
        <v>-16191292600.468084</v>
      </c>
      <c r="M3216" s="460">
        <f t="shared" si="164"/>
        <v>0.05</v>
      </c>
      <c r="N3216" s="464">
        <f t="shared" si="165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63"/>
        <v>-16191292600.468084</v>
      </c>
      <c r="J3217" s="444">
        <f t="array" ref="J3217">IFERROR(INDEX('Retirement Calculator'!J:J,MATCH('Isaac 401k'!N3217,'Retirement Calculator'!A:A,0),0),0)</f>
        <v>0</v>
      </c>
      <c r="K3217" s="444">
        <f t="shared" ca="1" si="161"/>
        <v>-67463719.16861701</v>
      </c>
      <c r="L3217" s="444">
        <f t="shared" ca="1" si="162"/>
        <v>-16258756319.636702</v>
      </c>
      <c r="M3217" s="460">
        <f t="shared" si="164"/>
        <v>0.05</v>
      </c>
      <c r="N3217" s="464">
        <f t="shared" si="165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63"/>
        <v>-16258756319.636702</v>
      </c>
      <c r="J3218" s="444">
        <f t="array" ref="J3218">IFERROR(INDEX('Retirement Calculator'!J:J,MATCH('Isaac 401k'!N3218,'Retirement Calculator'!A:A,0),0),0)</f>
        <v>0</v>
      </c>
      <c r="K3218" s="444">
        <f t="shared" ca="1" si="161"/>
        <v>-67744817.998486251</v>
      </c>
      <c r="L3218" s="444">
        <f t="shared" ca="1" si="162"/>
        <v>-16326501137.635187</v>
      </c>
      <c r="M3218" s="460">
        <f t="shared" si="164"/>
        <v>0.05</v>
      </c>
      <c r="N3218" s="464">
        <f t="shared" si="165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63"/>
        <v>-16326501137.635187</v>
      </c>
      <c r="J3219" s="444">
        <f t="array" ref="J3219">IFERROR(INDEX('Retirement Calculator'!J:J,MATCH('Isaac 401k'!N3219,'Retirement Calculator'!A:A,0),0),0)</f>
        <v>0</v>
      </c>
      <c r="K3219" s="444">
        <f t="shared" ca="1" si="161"/>
        <v>-68027088.07347995</v>
      </c>
      <c r="L3219" s="444">
        <f t="shared" ca="1" si="162"/>
        <v>-16394528225.708668</v>
      </c>
      <c r="M3219" s="460">
        <f t="shared" si="164"/>
        <v>0.05</v>
      </c>
      <c r="N3219" s="464">
        <f t="shared" si="165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63"/>
        <v>-16394528225.708668</v>
      </c>
      <c r="J3220" s="444">
        <f t="array" ref="J3220">IFERROR(INDEX('Retirement Calculator'!J:J,MATCH('Isaac 401k'!N3220,'Retirement Calculator'!A:A,0),0),0)</f>
        <v>0</v>
      </c>
      <c r="K3220" s="444">
        <f t="shared" ca="1" si="161"/>
        <v>-68310534.273786128</v>
      </c>
      <c r="L3220" s="444">
        <f t="shared" ca="1" si="162"/>
        <v>-16462838759.982454</v>
      </c>
      <c r="M3220" s="460">
        <f t="shared" si="164"/>
        <v>0.05</v>
      </c>
      <c r="N3220" s="464">
        <f t="shared" si="165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63"/>
        <v>-16462838759.982454</v>
      </c>
      <c r="J3221" s="444">
        <f t="array" ref="J3221">IFERROR(INDEX('Retirement Calculator'!J:J,MATCH('Isaac 401k'!N3221,'Retirement Calculator'!A:A,0),0),0)</f>
        <v>0</v>
      </c>
      <c r="K3221" s="444">
        <f t="shared" ca="1" si="161"/>
        <v>-68595161.499926895</v>
      </c>
      <c r="L3221" s="444">
        <f t="shared" ca="1" si="162"/>
        <v>-16531433921.482382</v>
      </c>
      <c r="M3221" s="460">
        <f t="shared" si="164"/>
        <v>0.05</v>
      </c>
      <c r="N3221" s="464">
        <f t="shared" si="165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63"/>
        <v>-16531433921.482382</v>
      </c>
      <c r="J3222" s="444">
        <f t="array" ref="J3222">IFERROR(INDEX('Retirement Calculator'!J:J,MATCH('Isaac 401k'!N3222,'Retirement Calculator'!A:A,0),0),0)</f>
        <v>0</v>
      </c>
      <c r="K3222" s="444">
        <f t="shared" ca="1" si="161"/>
        <v>-68880974.672843263</v>
      </c>
      <c r="L3222" s="444">
        <f t="shared" ca="1" si="162"/>
        <v>-16600314896.155226</v>
      </c>
      <c r="M3222" s="460">
        <f t="shared" si="164"/>
        <v>0.05</v>
      </c>
      <c r="N3222" s="464">
        <f t="shared" si="165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63"/>
        <v>-16600314896.155226</v>
      </c>
      <c r="J3223" s="444">
        <f t="array" ref="J3223">IFERROR(INDEX('Retirement Calculator'!J:J,MATCH('Isaac 401k'!N3223,'Retirement Calculator'!A:A,0),0),0)</f>
        <v>0</v>
      </c>
      <c r="K3223" s="444">
        <f t="shared" ca="1" si="161"/>
        <v>-69167978.733980104</v>
      </c>
      <c r="L3223" s="444">
        <f t="shared" ca="1" si="162"/>
        <v>-16669482874.889206</v>
      </c>
      <c r="M3223" s="460">
        <f t="shared" si="164"/>
        <v>0.05</v>
      </c>
      <c r="N3223" s="464">
        <f t="shared" si="165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63"/>
        <v>-16669482874.889206</v>
      </c>
      <c r="J3224" s="444">
        <f t="array" ref="J3224">IFERROR(INDEX('Retirement Calculator'!J:J,MATCH('Isaac 401k'!N3224,'Retirement Calculator'!A:A,0),0),0)</f>
        <v>0</v>
      </c>
      <c r="K3224" s="444">
        <f t="shared" ca="1" si="161"/>
        <v>-69456178.64537169</v>
      </c>
      <c r="L3224" s="444">
        <f t="shared" ca="1" si="162"/>
        <v>-16738939053.534578</v>
      </c>
      <c r="M3224" s="460">
        <f t="shared" si="164"/>
        <v>0.05</v>
      </c>
      <c r="N3224" s="464">
        <f t="shared" si="165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63"/>
        <v>-16738939053.534578</v>
      </c>
      <c r="J3225" s="444">
        <f t="array" ref="J3225">IFERROR(INDEX('Retirement Calculator'!J:J,MATCH('Isaac 401k'!N3225,'Retirement Calculator'!A:A,0),0),0)</f>
        <v>0</v>
      </c>
      <c r="K3225" s="444">
        <f t="shared" ca="1" si="161"/>
        <v>-69745579.389727414</v>
      </c>
      <c r="L3225" s="444">
        <f t="shared" ca="1" si="162"/>
        <v>-16808684632.924305</v>
      </c>
      <c r="M3225" s="460">
        <f t="shared" si="164"/>
        <v>0.05</v>
      </c>
      <c r="N3225" s="464">
        <f t="shared" si="165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63"/>
        <v>-16808684632.924305</v>
      </c>
      <c r="J3226" s="444">
        <f t="array" ref="J3226">IFERROR(INDEX('Retirement Calculator'!J:J,MATCH('Isaac 401k'!N3226,'Retirement Calculator'!A:A,0),0),0)</f>
        <v>0</v>
      </c>
      <c r="K3226" s="444">
        <f t="shared" ca="1" si="161"/>
        <v>-70036185.970517948</v>
      </c>
      <c r="L3226" s="444">
        <f t="shared" ca="1" si="162"/>
        <v>-16878720818.894823</v>
      </c>
      <c r="M3226" s="460">
        <f t="shared" si="164"/>
        <v>0.05</v>
      </c>
      <c r="N3226" s="464">
        <f t="shared" si="165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63"/>
        <v>-16878720818.894823</v>
      </c>
      <c r="J3227" s="444">
        <f t="array" ref="J3227">IFERROR(INDEX('Retirement Calculator'!J:J,MATCH('Isaac 401k'!N3227,'Retirement Calculator'!A:A,0),0),0)</f>
        <v>0</v>
      </c>
      <c r="K3227" s="444">
        <f t="shared" ca="1" si="161"/>
        <v>-70328003.412061766</v>
      </c>
      <c r="L3227" s="444">
        <f t="shared" ca="1" si="162"/>
        <v>-16949048822.306885</v>
      </c>
      <c r="M3227" s="460">
        <f t="shared" si="164"/>
        <v>0.05</v>
      </c>
      <c r="N3227" s="464">
        <f t="shared" si="165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63"/>
        <v>-16949048822.306885</v>
      </c>
      <c r="J3228" s="444">
        <f t="array" ref="J3228">IFERROR(INDEX('Retirement Calculator'!J:J,MATCH('Isaac 401k'!N3228,'Retirement Calculator'!A:A,0),0),0)</f>
        <v>0</v>
      </c>
      <c r="K3228" s="444">
        <f t="shared" ca="1" si="161"/>
        <v>-70621036.759612024</v>
      </c>
      <c r="L3228" s="444">
        <f t="shared" ca="1" si="162"/>
        <v>-17019669859.066496</v>
      </c>
      <c r="M3228" s="460">
        <f t="shared" si="164"/>
        <v>0.05</v>
      </c>
      <c r="N3228" s="464">
        <f t="shared" si="165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63"/>
        <v>-17019669859.066496</v>
      </c>
      <c r="J3229" s="444">
        <f t="array" ref="J3229">IFERROR(INDEX('Retirement Calculator'!J:J,MATCH('Isaac 401k'!N3229,'Retirement Calculator'!A:A,0),0),0)</f>
        <v>0</v>
      </c>
      <c r="K3229" s="444">
        <f t="shared" ca="1" si="161"/>
        <v>-70915291.079443738</v>
      </c>
      <c r="L3229" s="444">
        <f t="shared" ca="1" si="162"/>
        <v>-17090585150.145939</v>
      </c>
      <c r="M3229" s="460">
        <f t="shared" si="164"/>
        <v>0.05</v>
      </c>
      <c r="N3229" s="464">
        <f t="shared" si="165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63"/>
        <v>-17090585150.145939</v>
      </c>
      <c r="J3230" s="444">
        <f t="array" ref="J3230">IFERROR(INDEX('Retirement Calculator'!J:J,MATCH('Isaac 401k'!N3230,'Retirement Calculator'!A:A,0),0),0)</f>
        <v>0</v>
      </c>
      <c r="K3230" s="444">
        <f t="shared" ca="1" si="161"/>
        <v>-71210771.458941415</v>
      </c>
      <c r="L3230" s="444">
        <f t="shared" ca="1" si="162"/>
        <v>-17161795921.604879</v>
      </c>
      <c r="M3230" s="460">
        <f t="shared" si="164"/>
        <v>0.05</v>
      </c>
      <c r="N3230" s="464">
        <f t="shared" si="165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63"/>
        <v>-17161795921.604879</v>
      </c>
      <c r="J3231" s="444">
        <f t="array" ref="J3231">IFERROR(INDEX('Retirement Calculator'!J:J,MATCH('Isaac 401k'!N3231,'Retirement Calculator'!A:A,0),0),0)</f>
        <v>0</v>
      </c>
      <c r="K3231" s="444">
        <f t="shared" ca="1" si="161"/>
        <v>-71507483.006687</v>
      </c>
      <c r="L3231" s="444">
        <f t="shared" ca="1" si="162"/>
        <v>-17233303404.611565</v>
      </c>
      <c r="M3231" s="460">
        <f t="shared" si="164"/>
        <v>0.05</v>
      </c>
      <c r="N3231" s="464">
        <f t="shared" si="165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63"/>
        <v>-17233303404.611565</v>
      </c>
      <c r="J3232" s="444">
        <f t="array" ref="J3232">IFERROR(INDEX('Retirement Calculator'!J:J,MATCH('Isaac 401k'!N3232,'Retirement Calculator'!A:A,0),0),0)</f>
        <v>0</v>
      </c>
      <c r="K3232" s="444">
        <f t="shared" ca="1" si="161"/>
        <v>-71805430.852548182</v>
      </c>
      <c r="L3232" s="444">
        <f t="shared" ca="1" si="162"/>
        <v>-17305108835.464111</v>
      </c>
      <c r="M3232" s="460">
        <f t="shared" si="164"/>
        <v>0.05</v>
      </c>
      <c r="N3232" s="464">
        <f t="shared" si="165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63"/>
        <v>-17305108835.464111</v>
      </c>
      <c r="J3233" s="444">
        <f t="array" ref="J3233">IFERROR(INDEX('Retirement Calculator'!J:J,MATCH('Isaac 401k'!N3233,'Retirement Calculator'!A:A,0),0),0)</f>
        <v>0</v>
      </c>
      <c r="K3233" s="444">
        <f t="shared" ca="1" si="161"/>
        <v>-72104620.147767127</v>
      </c>
      <c r="L3233" s="444">
        <f t="shared" ca="1" si="162"/>
        <v>-17377213455.611877</v>
      </c>
      <c r="M3233" s="460">
        <f t="shared" si="164"/>
        <v>0.05</v>
      </c>
      <c r="N3233" s="464">
        <f t="shared" si="165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63"/>
        <v>-17377213455.611877</v>
      </c>
      <c r="J3234" s="444">
        <f t="array" ref="J3234">IFERROR(INDEX('Retirement Calculator'!J:J,MATCH('Isaac 401k'!N3234,'Retirement Calculator'!A:A,0),0),0)</f>
        <v>0</v>
      </c>
      <c r="K3234" s="444">
        <f t="shared" ca="1" si="161"/>
        <v>-72405056.065049484</v>
      </c>
      <c r="L3234" s="444">
        <f t="shared" ca="1" si="162"/>
        <v>-17449618511.676926</v>
      </c>
      <c r="M3234" s="460">
        <f t="shared" si="164"/>
        <v>0.05</v>
      </c>
      <c r="N3234" s="464">
        <f t="shared" si="165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63"/>
        <v>-17449618511.676926</v>
      </c>
      <c r="J3235" s="444">
        <f t="array" ref="J3235">IFERROR(INDEX('Retirement Calculator'!J:J,MATCH('Isaac 401k'!N3235,'Retirement Calculator'!A:A,0),0),0)</f>
        <v>0</v>
      </c>
      <c r="K3235" s="444">
        <f t="shared" ca="1" si="161"/>
        <v>-72706743.798653856</v>
      </c>
      <c r="L3235" s="444">
        <f t="shared" ca="1" si="162"/>
        <v>-17522325255.475578</v>
      </c>
      <c r="M3235" s="460">
        <f t="shared" si="164"/>
        <v>0.05</v>
      </c>
      <c r="N3235" s="464">
        <f t="shared" si="165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63"/>
        <v>-17522325255.475578</v>
      </c>
      <c r="J3236" s="444">
        <f t="array" ref="J3236">IFERROR(INDEX('Retirement Calculator'!J:J,MATCH('Isaac 401k'!N3236,'Retirement Calculator'!A:A,0),0),0)</f>
        <v>0</v>
      </c>
      <c r="K3236" s="444">
        <f t="shared" ca="1" si="161"/>
        <v>-73009688.564481571</v>
      </c>
      <c r="L3236" s="444">
        <f t="shared" ca="1" si="162"/>
        <v>-17595334944.040058</v>
      </c>
      <c r="M3236" s="460">
        <f t="shared" si="164"/>
        <v>0.05</v>
      </c>
      <c r="N3236" s="464">
        <f t="shared" si="165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63"/>
        <v>-17595334944.040058</v>
      </c>
      <c r="J3237" s="444">
        <f t="array" ref="J3237">IFERROR(INDEX('Retirement Calculator'!J:J,MATCH('Isaac 401k'!N3237,'Retirement Calculator'!A:A,0),0),0)</f>
        <v>0</v>
      </c>
      <c r="K3237" s="444">
        <f t="shared" ca="1" si="161"/>
        <v>-73313895.600166902</v>
      </c>
      <c r="L3237" s="444">
        <f t="shared" ca="1" si="162"/>
        <v>-17668648839.640224</v>
      </c>
      <c r="M3237" s="460">
        <f t="shared" si="164"/>
        <v>0.05</v>
      </c>
      <c r="N3237" s="464">
        <f t="shared" si="165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63"/>
        <v>-17668648839.640224</v>
      </c>
      <c r="J3238" s="444">
        <f t="array" ref="J3238">IFERROR(INDEX('Retirement Calculator'!J:J,MATCH('Isaac 401k'!N3238,'Retirement Calculator'!A:A,0),0),0)</f>
        <v>0</v>
      </c>
      <c r="K3238" s="444">
        <f t="shared" ca="1" si="161"/>
        <v>-73619370.1651676</v>
      </c>
      <c r="L3238" s="444">
        <f t="shared" ca="1" si="162"/>
        <v>-17742268209.805393</v>
      </c>
      <c r="M3238" s="460">
        <f t="shared" si="164"/>
        <v>0.05</v>
      </c>
      <c r="N3238" s="464">
        <f t="shared" si="165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63"/>
        <v>-17742268209.805393</v>
      </c>
      <c r="J3239" s="444">
        <f t="array" ref="J3239">IFERROR(INDEX('Retirement Calculator'!J:J,MATCH('Isaac 401k'!N3239,'Retirement Calculator'!A:A,0),0),0)</f>
        <v>0</v>
      </c>
      <c r="K3239" s="444">
        <f t="shared" ca="1" si="161"/>
        <v>-73926117.54085581</v>
      </c>
      <c r="L3239" s="444">
        <f t="shared" ca="1" si="162"/>
        <v>-17816194327.346249</v>
      </c>
      <c r="M3239" s="460">
        <f t="shared" si="164"/>
        <v>0.05</v>
      </c>
      <c r="N3239" s="464">
        <f t="shared" si="165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63"/>
        <v>-17816194327.346249</v>
      </c>
      <c r="J3240" s="444">
        <f t="array" ref="J3240">IFERROR(INDEX('Retirement Calculator'!J:J,MATCH('Isaac 401k'!N3240,'Retirement Calculator'!A:A,0),0),0)</f>
        <v>0</v>
      </c>
      <c r="K3240" s="444">
        <f t="shared" ca="1" si="161"/>
        <v>-74234143.030609369</v>
      </c>
      <c r="L3240" s="444">
        <f t="shared" ca="1" si="162"/>
        <v>-17890428470.376858</v>
      </c>
      <c r="M3240" s="460">
        <f t="shared" si="164"/>
        <v>0.05</v>
      </c>
      <c r="N3240" s="464">
        <f t="shared" si="165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63"/>
        <v>-17890428470.376858</v>
      </c>
      <c r="J3241" s="444">
        <f t="array" ref="J3241">IFERROR(INDEX('Retirement Calculator'!J:J,MATCH('Isaac 401k'!N3241,'Retirement Calculator'!A:A,0),0),0)</f>
        <v>0</v>
      </c>
      <c r="K3241" s="444">
        <f t="shared" ca="1" si="161"/>
        <v>-74543451.959903568</v>
      </c>
      <c r="L3241" s="444">
        <f t="shared" ca="1" si="162"/>
        <v>-17964971922.336761</v>
      </c>
      <c r="M3241" s="460">
        <f t="shared" si="164"/>
        <v>0.05</v>
      </c>
      <c r="N3241" s="464">
        <f t="shared" si="165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63"/>
        <v>-17964971922.336761</v>
      </c>
      <c r="J3242" s="444">
        <f t="array" ref="J3242">IFERROR(INDEX('Retirement Calculator'!J:J,MATCH('Isaac 401k'!N3242,'Retirement Calculator'!A:A,0),0),0)</f>
        <v>0</v>
      </c>
      <c r="K3242" s="444">
        <f t="shared" ca="1" si="161"/>
        <v>-74854049.676403165</v>
      </c>
      <c r="L3242" s="444">
        <f t="shared" ca="1" si="162"/>
        <v>-18039825972.013165</v>
      </c>
      <c r="M3242" s="460">
        <f t="shared" si="164"/>
        <v>0.05</v>
      </c>
      <c r="N3242" s="464">
        <f t="shared" si="165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63"/>
        <v>-18039825972.013165</v>
      </c>
      <c r="J3243" s="444">
        <f t="array" ref="J3243">IFERROR(INDEX('Retirement Calculator'!J:J,MATCH('Isaac 401k'!N3243,'Retirement Calculator'!A:A,0),0),0)</f>
        <v>0</v>
      </c>
      <c r="K3243" s="444">
        <f t="shared" ca="1" si="161"/>
        <v>-75165941.550054848</v>
      </c>
      <c r="L3243" s="444">
        <f t="shared" ca="1" si="162"/>
        <v>-18114991913.563221</v>
      </c>
      <c r="M3243" s="460">
        <f t="shared" si="164"/>
        <v>0.05</v>
      </c>
      <c r="N3243" s="464">
        <f t="shared" si="165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63"/>
        <v>-18114991913.563221</v>
      </c>
      <c r="J3244" s="444">
        <f t="array" ref="J3244">IFERROR(INDEX('Retirement Calculator'!J:J,MATCH('Isaac 401k'!N3244,'Retirement Calculator'!A:A,0),0),0)</f>
        <v>0</v>
      </c>
      <c r="K3244" s="444">
        <f t="shared" ca="1" si="161"/>
        <v>-75479132.973180085</v>
      </c>
      <c r="L3244" s="444">
        <f t="shared" ca="1" si="162"/>
        <v>-18190471046.5364</v>
      </c>
      <c r="M3244" s="460">
        <f t="shared" si="164"/>
        <v>0.05</v>
      </c>
      <c r="N3244" s="464">
        <f t="shared" si="165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63"/>
        <v>-18190471046.5364</v>
      </c>
      <c r="J3245" s="444">
        <f t="array" ref="J3245">IFERROR(INDEX('Retirement Calculator'!J:J,MATCH('Isaac 401k'!N3245,'Retirement Calculator'!A:A,0),0),0)</f>
        <v>0</v>
      </c>
      <c r="K3245" s="444">
        <f t="shared" ca="1" si="161"/>
        <v>-75793629.36056833</v>
      </c>
      <c r="L3245" s="444">
        <f t="shared" ca="1" si="162"/>
        <v>-18266264675.896969</v>
      </c>
      <c r="M3245" s="460">
        <f t="shared" si="164"/>
        <v>0.05</v>
      </c>
      <c r="N3245" s="464">
        <f t="shared" si="165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63"/>
        <v>-18266264675.896969</v>
      </c>
      <c r="J3246" s="444">
        <f t="array" ref="J3246">IFERROR(INDEX('Retirement Calculator'!J:J,MATCH('Isaac 401k'!N3246,'Retirement Calculator'!A:A,0),0),0)</f>
        <v>0</v>
      </c>
      <c r="K3246" s="444">
        <f t="shared" ca="1" si="161"/>
        <v>-76109436.149570704</v>
      </c>
      <c r="L3246" s="444">
        <f t="shared" ca="1" si="162"/>
        <v>-18342374112.046539</v>
      </c>
      <c r="M3246" s="460">
        <f t="shared" si="164"/>
        <v>0.05</v>
      </c>
      <c r="N3246" s="464">
        <f t="shared" si="165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63"/>
        <v>-18342374112.046539</v>
      </c>
      <c r="J3247" s="444">
        <f t="array" ref="J3247">IFERROR(INDEX('Retirement Calculator'!J:J,MATCH('Isaac 401k'!N3247,'Retirement Calculator'!A:A,0),0),0)</f>
        <v>0</v>
      </c>
      <c r="K3247" s="444">
        <f t="shared" ca="1" si="161"/>
        <v>-76426558.800193906</v>
      </c>
      <c r="L3247" s="444">
        <f t="shared" ca="1" si="162"/>
        <v>-18418800670.846733</v>
      </c>
      <c r="M3247" s="460">
        <f t="shared" si="164"/>
        <v>0.05</v>
      </c>
      <c r="N3247" s="464">
        <f t="shared" si="165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63"/>
        <v>-18418800670.846733</v>
      </c>
      <c r="J3248" s="444">
        <f t="array" ref="J3248">IFERROR(INDEX('Retirement Calculator'!J:J,MATCH('Isaac 401k'!N3248,'Retirement Calculator'!A:A,0),0),0)</f>
        <v>0</v>
      </c>
      <c r="K3248" s="444">
        <f t="shared" ca="1" si="161"/>
        <v>-76745002.795194715</v>
      </c>
      <c r="L3248" s="444">
        <f t="shared" ca="1" si="162"/>
        <v>-18495545673.64193</v>
      </c>
      <c r="M3248" s="460">
        <f t="shared" si="164"/>
        <v>0.05</v>
      </c>
      <c r="N3248" s="464">
        <f t="shared" si="165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63"/>
        <v>-18495545673.64193</v>
      </c>
      <c r="J3249" s="444">
        <f t="array" ref="J3249">IFERROR(INDEX('Retirement Calculator'!J:J,MATCH('Isaac 401k'!N3249,'Retirement Calculator'!A:A,0),0),0)</f>
        <v>0</v>
      </c>
      <c r="K3249" s="444">
        <f t="shared" ca="1" si="161"/>
        <v>-77064773.640174702</v>
      </c>
      <c r="L3249" s="444">
        <f t="shared" ca="1" si="162"/>
        <v>-18572610447.282104</v>
      </c>
      <c r="M3249" s="460">
        <f t="shared" si="164"/>
        <v>0.05</v>
      </c>
      <c r="N3249" s="464">
        <f t="shared" si="165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63"/>
        <v>-18572610447.282104</v>
      </c>
      <c r="J3250" s="444">
        <f t="array" ref="J3250">IFERROR(INDEX('Retirement Calculator'!J:J,MATCH('Isaac 401k'!N3250,'Retirement Calculator'!A:A,0),0),0)</f>
        <v>0</v>
      </c>
      <c r="K3250" s="444">
        <f t="shared" ca="1" si="161"/>
        <v>-77385876.86367543</v>
      </c>
      <c r="L3250" s="444">
        <f t="shared" ca="1" si="162"/>
        <v>-18649996324.145779</v>
      </c>
      <c r="M3250" s="460">
        <f t="shared" si="164"/>
        <v>0.05</v>
      </c>
      <c r="N3250" s="464">
        <f t="shared" si="165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63"/>
        <v>-18649996324.145779</v>
      </c>
      <c r="J3251" s="444">
        <f t="array" ref="J3251">IFERROR(INDEX('Retirement Calculator'!J:J,MATCH('Isaac 401k'!N3251,'Retirement Calculator'!A:A,0),0),0)</f>
        <v>0</v>
      </c>
      <c r="K3251" s="444">
        <f t="shared" ca="1" si="161"/>
        <v>-77708318.017274082</v>
      </c>
      <c r="L3251" s="444">
        <f t="shared" ca="1" si="162"/>
        <v>-18727704642.163052</v>
      </c>
      <c r="M3251" s="460">
        <f t="shared" si="164"/>
        <v>0.05</v>
      </c>
      <c r="N3251" s="464">
        <f t="shared" si="165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63"/>
        <v>-18727704642.163052</v>
      </c>
      <c r="J3252" s="444">
        <f t="array" ref="J3252">IFERROR(INDEX('Retirement Calculator'!J:J,MATCH('Isaac 401k'!N3252,'Retirement Calculator'!A:A,0),0),0)</f>
        <v>0</v>
      </c>
      <c r="K3252" s="444">
        <f t="shared" ca="1" si="161"/>
        <v>-78032102.675679386</v>
      </c>
      <c r="L3252" s="444">
        <f t="shared" ca="1" si="162"/>
        <v>-18805736744.83873</v>
      </c>
      <c r="M3252" s="460">
        <f t="shared" si="164"/>
        <v>0.05</v>
      </c>
      <c r="N3252" s="464">
        <f t="shared" si="165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63"/>
        <v>-18805736744.83873</v>
      </c>
      <c r="J3253" s="444">
        <f t="array" ref="J3253">IFERROR(INDEX('Retirement Calculator'!J:J,MATCH('Isaac 401k'!N3253,'Retirement Calculator'!A:A,0),0),0)</f>
        <v>0</v>
      </c>
      <c r="K3253" s="444">
        <f t="shared" ca="1" si="161"/>
        <v>-78357236.436828047</v>
      </c>
      <c r="L3253" s="444">
        <f t="shared" ca="1" si="162"/>
        <v>-18884093981.275558</v>
      </c>
      <c r="M3253" s="460">
        <f t="shared" si="164"/>
        <v>0.05</v>
      </c>
      <c r="N3253" s="464">
        <f t="shared" si="165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63"/>
        <v>-18884093981.275558</v>
      </c>
      <c r="J3254" s="444">
        <f t="array" ref="J3254">IFERROR(INDEX('Retirement Calculator'!J:J,MATCH('Isaac 401k'!N3254,'Retirement Calculator'!A:A,0),0),0)</f>
        <v>0</v>
      </c>
      <c r="K3254" s="444">
        <f t="shared" ca="1" si="161"/>
        <v>-78683724.921981499</v>
      </c>
      <c r="L3254" s="444">
        <f t="shared" ca="1" si="162"/>
        <v>-18962777706.19754</v>
      </c>
      <c r="M3254" s="460">
        <f t="shared" si="164"/>
        <v>0.05</v>
      </c>
      <c r="N3254" s="464">
        <f t="shared" si="165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63"/>
        <v>-18962777706.19754</v>
      </c>
      <c r="J3255" s="444">
        <f t="array" ref="J3255">IFERROR(INDEX('Retirement Calculator'!J:J,MATCH('Isaac 401k'!N3255,'Retirement Calculator'!A:A,0),0),0)</f>
        <v>0</v>
      </c>
      <c r="K3255" s="444">
        <f t="shared" ca="1" si="161"/>
        <v>-79011573.775823087</v>
      </c>
      <c r="L3255" s="444">
        <f t="shared" ca="1" si="162"/>
        <v>-19041789279.973362</v>
      </c>
      <c r="M3255" s="460">
        <f t="shared" si="164"/>
        <v>0.05</v>
      </c>
      <c r="N3255" s="464">
        <f t="shared" si="165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63"/>
        <v>-19041789279.973362</v>
      </c>
      <c r="J3256" s="444">
        <f t="array" ref="J3256">IFERROR(INDEX('Retirement Calculator'!J:J,MATCH('Isaac 401k'!N3256,'Retirement Calculator'!A:A,0),0),0)</f>
        <v>0</v>
      </c>
      <c r="K3256" s="444">
        <f t="shared" ca="1" si="161"/>
        <v>-79340788.666555673</v>
      </c>
      <c r="L3256" s="444">
        <f t="shared" ca="1" si="162"/>
        <v>-19121130068.639919</v>
      </c>
      <c r="M3256" s="460">
        <f t="shared" si="164"/>
        <v>0.05</v>
      </c>
      <c r="N3256" s="464">
        <f t="shared" si="165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63"/>
        <v>-19121130068.639919</v>
      </c>
      <c r="J3257" s="444">
        <f t="array" ref="J3257">IFERROR(INDEX('Retirement Calculator'!J:J,MATCH('Isaac 401k'!N3257,'Retirement Calculator'!A:A,0),0),0)</f>
        <v>0</v>
      </c>
      <c r="K3257" s="444">
        <f t="shared" ca="1" si="161"/>
        <v>-79671375.285999656</v>
      </c>
      <c r="L3257" s="444">
        <f t="shared" ca="1" si="162"/>
        <v>-19200801443.925919</v>
      </c>
      <c r="M3257" s="460">
        <f t="shared" si="164"/>
        <v>0.05</v>
      </c>
      <c r="N3257" s="464">
        <f t="shared" si="165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63"/>
        <v>-19200801443.925919</v>
      </c>
      <c r="J3258" s="444">
        <f t="array" ref="J3258">IFERROR(INDEX('Retirement Calculator'!J:J,MATCH('Isaac 401k'!N3258,'Retirement Calculator'!A:A,0),0),0)</f>
        <v>0</v>
      </c>
      <c r="K3258" s="444">
        <f t="shared" ca="1" si="161"/>
        <v>-80003339.349691331</v>
      </c>
      <c r="L3258" s="444">
        <f t="shared" ca="1" si="162"/>
        <v>-19280804783.275608</v>
      </c>
      <c r="M3258" s="460">
        <f t="shared" si="164"/>
        <v>0.05</v>
      </c>
      <c r="N3258" s="464">
        <f t="shared" si="165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63"/>
        <v>-19280804783.275608</v>
      </c>
      <c r="J3259" s="444">
        <f t="array" ref="J3259">IFERROR(INDEX('Retirement Calculator'!J:J,MATCH('Isaac 401k'!N3259,'Retirement Calculator'!A:A,0),0),0)</f>
        <v>0</v>
      </c>
      <c r="K3259" s="444">
        <f t="shared" ca="1" si="161"/>
        <v>-80336686.596981704</v>
      </c>
      <c r="L3259" s="444">
        <f t="shared" ca="1" si="162"/>
        <v>-19361141469.872589</v>
      </c>
      <c r="M3259" s="460">
        <f t="shared" si="164"/>
        <v>0.05</v>
      </c>
      <c r="N3259" s="464">
        <f t="shared" si="165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63"/>
        <v>-19361141469.872589</v>
      </c>
      <c r="J3260" s="444">
        <f t="array" ref="J3260">IFERROR(INDEX('Retirement Calculator'!J:J,MATCH('Isaac 401k'!N3260,'Retirement Calculator'!A:A,0),0),0)</f>
        <v>0</v>
      </c>
      <c r="K3260" s="444">
        <f t="shared" ca="1" si="161"/>
        <v>-80671422.791135788</v>
      </c>
      <c r="L3260" s="444">
        <f t="shared" ca="1" si="162"/>
        <v>-19441812892.663727</v>
      </c>
      <c r="M3260" s="460">
        <f t="shared" si="164"/>
        <v>0.05</v>
      </c>
      <c r="N3260" s="464">
        <f t="shared" si="165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63"/>
        <v>-19441812892.663727</v>
      </c>
      <c r="J3261" s="444">
        <f t="array" ref="J3261">IFERROR(INDEX('Retirement Calculator'!J:J,MATCH('Isaac 401k'!N3261,'Retirement Calculator'!A:A,0),0),0)</f>
        <v>0</v>
      </c>
      <c r="K3261" s="444">
        <f t="shared" ca="1" si="161"/>
        <v>-81007553.71943219</v>
      </c>
      <c r="L3261" s="444">
        <f t="shared" ca="1" si="162"/>
        <v>-19522820446.38316</v>
      </c>
      <c r="M3261" s="460">
        <f t="shared" si="164"/>
        <v>0.05</v>
      </c>
      <c r="N3261" s="464">
        <f t="shared" si="165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63"/>
        <v>-19522820446.38316</v>
      </c>
      <c r="J3262" s="444">
        <f t="array" ref="J3262">IFERROR(INDEX('Retirement Calculator'!J:J,MATCH('Isaac 401k'!N3262,'Retirement Calculator'!A:A,0),0),0)</f>
        <v>0</v>
      </c>
      <c r="K3262" s="444">
        <f t="shared" ca="1" si="161"/>
        <v>-81345085.193263158</v>
      </c>
      <c r="L3262" s="444">
        <f t="shared" ca="1" si="162"/>
        <v>-19604165531.576424</v>
      </c>
      <c r="M3262" s="460">
        <f t="shared" si="164"/>
        <v>0.05</v>
      </c>
      <c r="N3262" s="464">
        <f t="shared" si="165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63"/>
        <v>-19604165531.576424</v>
      </c>
      <c r="J3263" s="444">
        <f t="array" ref="J3263">IFERROR(INDEX('Retirement Calculator'!J:J,MATCH('Isaac 401k'!N3263,'Retirement Calculator'!A:A,0),0),0)</f>
        <v>0</v>
      </c>
      <c r="K3263" s="444">
        <f t="shared" ca="1" si="161"/>
        <v>-81684023.048235103</v>
      </c>
      <c r="L3263" s="444">
        <f t="shared" ca="1" si="162"/>
        <v>-19685849554.62466</v>
      </c>
      <c r="M3263" s="460">
        <f t="shared" si="164"/>
        <v>0.05</v>
      </c>
      <c r="N3263" s="464">
        <f t="shared" si="165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63"/>
        <v>-19685849554.62466</v>
      </c>
      <c r="J3264" s="444">
        <f t="array" ref="J3264">IFERROR(INDEX('Retirement Calculator'!J:J,MATCH('Isaac 401k'!N3264,'Retirement Calculator'!A:A,0),0),0)</f>
        <v>0</v>
      </c>
      <c r="K3264" s="444">
        <f t="shared" ca="1" si="161"/>
        <v>-82024373.144269422</v>
      </c>
      <c r="L3264" s="444">
        <f t="shared" ca="1" si="162"/>
        <v>-19767873927.768929</v>
      </c>
      <c r="M3264" s="460">
        <f t="shared" si="164"/>
        <v>0.05</v>
      </c>
      <c r="N3264" s="464">
        <f t="shared" si="165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63"/>
        <v>-19767873927.768929</v>
      </c>
      <c r="J3265" s="444">
        <f t="array" ref="J3265">IFERROR(INDEX('Retirement Calculator'!J:J,MATCH('Isaac 401k'!N3265,'Retirement Calculator'!A:A,0),0),0)</f>
        <v>0</v>
      </c>
      <c r="K3265" s="444">
        <f t="shared" ca="1" si="161"/>
        <v>-82366141.365703866</v>
      </c>
      <c r="L3265" s="444">
        <f t="shared" ca="1" si="162"/>
        <v>-19850240069.134632</v>
      </c>
      <c r="M3265" s="460">
        <f t="shared" si="164"/>
        <v>0.05</v>
      </c>
      <c r="N3265" s="464">
        <f t="shared" si="165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63"/>
        <v>-19850240069.134632</v>
      </c>
      <c r="J3266" s="444">
        <f t="array" ref="J3266">IFERROR(INDEX('Retirement Calculator'!J:J,MATCH('Isaac 401k'!N3266,'Retirement Calculator'!A:A,0),0),0)</f>
        <v>0</v>
      </c>
      <c r="K3266" s="444">
        <f t="shared" ca="1" si="161"/>
        <v>-82709333.621394306</v>
      </c>
      <c r="L3266" s="444">
        <f t="shared" ca="1" si="162"/>
        <v>-19932949402.756027</v>
      </c>
      <c r="M3266" s="460">
        <f t="shared" si="164"/>
        <v>0.05</v>
      </c>
      <c r="N3266" s="464">
        <f t="shared" si="165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63"/>
        <v>-19932949402.756027</v>
      </c>
      <c r="J3267" s="444">
        <f t="array" ref="J3267">IFERROR(INDEX('Retirement Calculator'!J:J,MATCH('Isaac 401k'!N3267,'Retirement Calculator'!A:A,0),0),0)</f>
        <v>0</v>
      </c>
      <c r="K3267" s="444">
        <f t="shared" ca="1" si="161"/>
        <v>-83053955.844816774</v>
      </c>
      <c r="L3267" s="444">
        <f t="shared" ca="1" si="162"/>
        <v>-20016003358.600845</v>
      </c>
      <c r="M3267" s="460">
        <f t="shared" si="164"/>
        <v>0.05</v>
      </c>
      <c r="N3267" s="464">
        <f t="shared" si="165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63"/>
        <v>-20016003358.600845</v>
      </c>
      <c r="J3268" s="444">
        <f t="array" ref="J3268">IFERROR(INDEX('Retirement Calculator'!J:J,MATCH('Isaac 401k'!N3268,'Retirement Calculator'!A:A,0),0),0)</f>
        <v>0</v>
      </c>
      <c r="K3268" s="444">
        <f t="shared" ca="1" si="161"/>
        <v>-83400013.994170189</v>
      </c>
      <c r="L3268" s="444">
        <f t="shared" ca="1" si="162"/>
        <v>-20099403372.595016</v>
      </c>
      <c r="M3268" s="460">
        <f t="shared" si="164"/>
        <v>0.05</v>
      </c>
      <c r="N3268" s="464">
        <f t="shared" si="165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63"/>
        <v>-20099403372.595016</v>
      </c>
      <c r="J3269" s="444">
        <f t="array" ref="J3269">IFERROR(INDEX('Retirement Calculator'!J:J,MATCH('Isaac 401k'!N3269,'Retirement Calculator'!A:A,0),0),0)</f>
        <v>0</v>
      </c>
      <c r="K3269" s="444">
        <f t="shared" ca="1" si="161"/>
        <v>-83747514.052479237</v>
      </c>
      <c r="L3269" s="444">
        <f t="shared" ca="1" si="162"/>
        <v>-20183150886.647495</v>
      </c>
      <c r="M3269" s="460">
        <f t="shared" si="164"/>
        <v>0.05</v>
      </c>
      <c r="N3269" s="464">
        <f t="shared" si="165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63"/>
        <v>-20183150886.647495</v>
      </c>
      <c r="J3270" s="444">
        <f t="array" ref="J3270">IFERROR(INDEX('Retirement Calculator'!J:J,MATCH('Isaac 401k'!N3270,'Retirement Calculator'!A:A,0),0),0)</f>
        <v>0</v>
      </c>
      <c r="K3270" s="444">
        <f t="shared" ca="1" si="161"/>
        <v>-84096462.027697891</v>
      </c>
      <c r="L3270" s="444">
        <f t="shared" ca="1" si="162"/>
        <v>-20267247348.675194</v>
      </c>
      <c r="M3270" s="460">
        <f t="shared" si="164"/>
        <v>0.05</v>
      </c>
      <c r="N3270" s="464">
        <f t="shared" si="165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63"/>
        <v>-20267247348.675194</v>
      </c>
      <c r="J3271" s="444">
        <f t="array" ref="J3271">IFERROR(INDEX('Retirement Calculator'!J:J,MATCH('Isaac 401k'!N3271,'Retirement Calculator'!A:A,0),0),0)</f>
        <v>0</v>
      </c>
      <c r="K3271" s="444">
        <f t="shared" ca="1" si="161"/>
        <v>-84446863.952813312</v>
      </c>
      <c r="L3271" s="444">
        <f t="shared" ca="1" si="162"/>
        <v>-20351694212.628006</v>
      </c>
      <c r="M3271" s="460">
        <f t="shared" si="164"/>
        <v>0.05</v>
      </c>
      <c r="N3271" s="464">
        <f t="shared" si="165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63"/>
        <v>-20351694212.628006</v>
      </c>
      <c r="J3272" s="444">
        <f t="array" ref="J3272">IFERROR(INDEX('Retirement Calculator'!J:J,MATCH('Isaac 401k'!N3272,'Retirement Calculator'!A:A,0),0),0)</f>
        <v>0</v>
      </c>
      <c r="K3272" s="444">
        <f t="shared" ca="1" si="161"/>
        <v>-84798725.885950029</v>
      </c>
      <c r="L3272" s="444">
        <f t="shared" ca="1" si="162"/>
        <v>-20436492938.513954</v>
      </c>
      <c r="M3272" s="460">
        <f t="shared" si="164"/>
        <v>0.05</v>
      </c>
      <c r="N3272" s="464">
        <f t="shared" si="165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63"/>
        <v>-20436492938.513954</v>
      </c>
      <c r="J3273" s="444">
        <f t="array" ref="J3273">IFERROR(INDEX('Retirement Calculator'!J:J,MATCH('Isaac 401k'!N3273,'Retirement Calculator'!A:A,0),0),0)</f>
        <v>0</v>
      </c>
      <c r="K3273" s="444">
        <f t="shared" ca="1" si="161"/>
        <v>-85152053.910474807</v>
      </c>
      <c r="L3273" s="444">
        <f t="shared" ca="1" si="162"/>
        <v>-20521644992.424431</v>
      </c>
      <c r="M3273" s="460">
        <f t="shared" si="164"/>
        <v>0.05</v>
      </c>
      <c r="N3273" s="464">
        <f t="shared" si="165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63"/>
        <v>-20521644992.424431</v>
      </c>
      <c r="J3274" s="444">
        <f t="array" ref="J3274">IFERROR(INDEX('Retirement Calculator'!J:J,MATCH('Isaac 401k'!N3274,'Retirement Calculator'!A:A,0),0),0)</f>
        <v>0</v>
      </c>
      <c r="K3274" s="444">
        <f t="shared" ca="1" si="161"/>
        <v>-85506854.135101795</v>
      </c>
      <c r="L3274" s="444">
        <f t="shared" ca="1" si="162"/>
        <v>-20607151846.559532</v>
      </c>
      <c r="M3274" s="460">
        <f t="shared" si="164"/>
        <v>0.05</v>
      </c>
      <c r="N3274" s="464">
        <f t="shared" si="165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63"/>
        <v>-20607151846.559532</v>
      </c>
      <c r="J3275" s="444">
        <f t="array" ref="J3275">IFERROR(INDEX('Retirement Calculator'!J:J,MATCH('Isaac 401k'!N3275,'Retirement Calculator'!A:A,0),0),0)</f>
        <v>0</v>
      </c>
      <c r="K3275" s="444">
        <f t="shared" ca="1" si="161"/>
        <v>-85863132.693998054</v>
      </c>
      <c r="L3275" s="444">
        <f t="shared" ca="1" si="162"/>
        <v>-20693014979.253529</v>
      </c>
      <c r="M3275" s="460">
        <f t="shared" si="164"/>
        <v>0.05</v>
      </c>
      <c r="N3275" s="464">
        <f t="shared" si="165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63"/>
        <v>-20693014979.253529</v>
      </c>
      <c r="J3276" s="444">
        <f t="array" ref="J3276">IFERROR(INDEX('Retirement Calculator'!J:J,MATCH('Isaac 401k'!N3276,'Retirement Calculator'!A:A,0),0),0)</f>
        <v>0</v>
      </c>
      <c r="K3276" s="444">
        <f t="shared" ca="1" si="161"/>
        <v>-86220895.746889696</v>
      </c>
      <c r="L3276" s="444">
        <f t="shared" ca="1" si="162"/>
        <v>-20779235875.00042</v>
      </c>
      <c r="M3276" s="460">
        <f t="shared" si="164"/>
        <v>0.05</v>
      </c>
      <c r="N3276" s="464">
        <f t="shared" si="165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63"/>
        <v>-20779235875.00042</v>
      </c>
      <c r="J3277" s="444">
        <f t="array" ref="J3277">IFERROR(INDEX('Retirement Calculator'!J:J,MATCH('Isaac 401k'!N3277,'Retirement Calculator'!A:A,0),0),0)</f>
        <v>0</v>
      </c>
      <c r="K3277" s="444">
        <f t="shared" ca="1" si="161"/>
        <v>-86580149.479168415</v>
      </c>
      <c r="L3277" s="444">
        <f t="shared" ca="1" si="162"/>
        <v>-20865816024.479588</v>
      </c>
      <c r="M3277" s="460">
        <f t="shared" si="164"/>
        <v>0.05</v>
      </c>
      <c r="N3277" s="464">
        <f t="shared" si="165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63"/>
        <v>-20865816024.479588</v>
      </c>
      <c r="J3278" s="444">
        <f t="array" ref="J3278">IFERROR(INDEX('Retirement Calculator'!J:J,MATCH('Isaac 401k'!N3278,'Retirement Calculator'!A:A,0),0),0)</f>
        <v>0</v>
      </c>
      <c r="K3278" s="444">
        <f t="shared" ca="1" si="161"/>
        <v>-86940900.101998284</v>
      </c>
      <c r="L3278" s="444">
        <f t="shared" ca="1" si="162"/>
        <v>-20952756924.581585</v>
      </c>
      <c r="M3278" s="460">
        <f t="shared" si="164"/>
        <v>0.05</v>
      </c>
      <c r="N3278" s="464">
        <f t="shared" si="165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63"/>
        <v>-20952756924.581585</v>
      </c>
      <c r="J3279" s="444">
        <f t="array" ref="J3279">IFERROR(INDEX('Retirement Calculator'!J:J,MATCH('Isaac 401k'!N3279,'Retirement Calculator'!A:A,0),0),0)</f>
        <v>0</v>
      </c>
      <c r="K3279" s="444">
        <f t="shared" ca="1" si="161"/>
        <v>-87303153.852423266</v>
      </c>
      <c r="L3279" s="444">
        <f t="shared" ca="1" si="162"/>
        <v>-21040060078.43401</v>
      </c>
      <c r="M3279" s="460">
        <f t="shared" si="164"/>
        <v>0.05</v>
      </c>
      <c r="N3279" s="464">
        <f t="shared" si="165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63"/>
        <v>-21040060078.43401</v>
      </c>
      <c r="J3280" s="444">
        <f t="array" ref="J3280">IFERROR(INDEX('Retirement Calculator'!J:J,MATCH('Isaac 401k'!N3280,'Retirement Calculator'!A:A,0),0),0)</f>
        <v>0</v>
      </c>
      <c r="K3280" s="444">
        <f t="shared" ca="1" si="161"/>
        <v>-87666916.993475035</v>
      </c>
      <c r="L3280" s="444">
        <f t="shared" ca="1" si="162"/>
        <v>-21127726995.427486</v>
      </c>
      <c r="M3280" s="460">
        <f t="shared" si="164"/>
        <v>0.05</v>
      </c>
      <c r="N3280" s="464">
        <f t="shared" si="165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63"/>
        <v>-21127726995.427486</v>
      </c>
      <c r="J3281" s="444">
        <f t="array" ref="J3281">IFERROR(INDEX('Retirement Calculator'!J:J,MATCH('Isaac 401k'!N3281,'Retirement Calculator'!A:A,0),0),0)</f>
        <v>0</v>
      </c>
      <c r="K3281" s="444">
        <f t="shared" ca="1" si="161"/>
        <v>-88032195.814281195</v>
      </c>
      <c r="L3281" s="444">
        <f t="shared" ca="1" si="162"/>
        <v>-21215759191.241768</v>
      </c>
      <c r="M3281" s="460">
        <f t="shared" si="164"/>
        <v>0.05</v>
      </c>
      <c r="N3281" s="464">
        <f t="shared" si="165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63"/>
        <v>-21215759191.241768</v>
      </c>
      <c r="J3282" s="444">
        <f t="array" ref="J3282">IFERROR(INDEX('Retirement Calculator'!J:J,MATCH('Isaac 401k'!N3282,'Retirement Calculator'!A:A,0),0),0)</f>
        <v>0</v>
      </c>
      <c r="K3282" s="444">
        <f t="shared" ca="1" si="161"/>
        <v>-88398996.630174026</v>
      </c>
      <c r="L3282" s="444">
        <f t="shared" ca="1" si="162"/>
        <v>-21304158187.871941</v>
      </c>
      <c r="M3282" s="460">
        <f t="shared" si="164"/>
        <v>0.05</v>
      </c>
      <c r="N3282" s="464">
        <f t="shared" si="165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63"/>
        <v>-21304158187.871941</v>
      </c>
      <c r="J3283" s="444">
        <f t="array" ref="J3283">IFERROR(INDEX('Retirement Calculator'!J:J,MATCH('Isaac 401k'!N3283,'Retirement Calculator'!A:A,0),0),0)</f>
        <v>0</v>
      </c>
      <c r="K3283" s="444">
        <f t="shared" ca="1" si="161"/>
        <v>-88767325.782799751</v>
      </c>
      <c r="L3283" s="444">
        <f t="shared" ca="1" si="162"/>
        <v>-21392925513.654739</v>
      </c>
      <c r="M3283" s="460">
        <f t="shared" si="164"/>
        <v>0.05</v>
      </c>
      <c r="N3283" s="464">
        <f t="shared" si="165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63"/>
        <v>-21392925513.654739</v>
      </c>
      <c r="J3284" s="444">
        <f t="array" ref="J3284">IFERROR(INDEX('Retirement Calculator'!J:J,MATCH('Isaac 401k'!N3284,'Retirement Calculator'!A:A,0),0),0)</f>
        <v>0</v>
      </c>
      <c r="K3284" s="444">
        <f t="shared" ca="1" si="161"/>
        <v>-89137189.640228078</v>
      </c>
      <c r="L3284" s="444">
        <f t="shared" ca="1" si="162"/>
        <v>-21482062703.294968</v>
      </c>
      <c r="M3284" s="460">
        <f t="shared" si="164"/>
        <v>0.05</v>
      </c>
      <c r="N3284" s="464">
        <f t="shared" si="165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63"/>
        <v>-21482062703.294968</v>
      </c>
      <c r="J3285" s="444">
        <f t="array" ref="J3285">IFERROR(INDEX('Retirement Calculator'!J:J,MATCH('Isaac 401k'!N3285,'Retirement Calculator'!A:A,0),0),0)</f>
        <v>0</v>
      </c>
      <c r="K3285" s="444">
        <f t="shared" ca="1" si="161"/>
        <v>-89508594.597062364</v>
      </c>
      <c r="L3285" s="444">
        <f t="shared" ca="1" si="162"/>
        <v>-21571571297.892029</v>
      </c>
      <c r="M3285" s="460">
        <f t="shared" si="164"/>
        <v>0.05</v>
      </c>
      <c r="N3285" s="464">
        <f t="shared" si="165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63"/>
        <v>-21571571297.892029</v>
      </c>
      <c r="J3286" s="444">
        <f t="array" ref="J3286">IFERROR(INDEX('Retirement Calculator'!J:J,MATCH('Isaac 401k'!N3286,'Retirement Calculator'!A:A,0),0),0)</f>
        <v>0</v>
      </c>
      <c r="K3286" s="444">
        <f t="shared" ca="1" si="161"/>
        <v>-89881547.074550122</v>
      </c>
      <c r="L3286" s="444">
        <f t="shared" ca="1" si="162"/>
        <v>-21661452844.966579</v>
      </c>
      <c r="M3286" s="460">
        <f t="shared" si="164"/>
        <v>0.05</v>
      </c>
      <c r="N3286" s="464">
        <f t="shared" si="165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63"/>
        <v>-21661452844.966579</v>
      </c>
      <c r="J3287" s="444">
        <f t="array" ref="J3287">IFERROR(INDEX('Retirement Calculator'!J:J,MATCH('Isaac 401k'!N3287,'Retirement Calculator'!A:A,0),0),0)</f>
        <v>0</v>
      </c>
      <c r="K3287" s="444">
        <f t="shared" ca="1" si="161"/>
        <v>-90256053.520694077</v>
      </c>
      <c r="L3287" s="444">
        <f t="shared" ca="1" si="162"/>
        <v>-21751708898.487274</v>
      </c>
      <c r="M3287" s="460">
        <f t="shared" si="164"/>
        <v>0.05</v>
      </c>
      <c r="N3287" s="464">
        <f t="shared" si="165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63"/>
        <v>-21751708898.487274</v>
      </c>
      <c r="J3288" s="444">
        <f t="array" ref="J3288">IFERROR(INDEX('Retirement Calculator'!J:J,MATCH('Isaac 401k'!N3288,'Retirement Calculator'!A:A,0),0),0)</f>
        <v>0</v>
      </c>
      <c r="K3288" s="444">
        <f t="shared" ca="1" si="161"/>
        <v>-90632120.410363644</v>
      </c>
      <c r="L3288" s="444">
        <f t="shared" ca="1" si="162"/>
        <v>-21842341018.897636</v>
      </c>
      <c r="M3288" s="460">
        <f t="shared" si="164"/>
        <v>0.05</v>
      </c>
      <c r="N3288" s="464">
        <f t="shared" si="165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63"/>
        <v>-21842341018.897636</v>
      </c>
      <c r="J3289" s="444">
        <f t="array" ref="J3289">IFERROR(INDEX('Retirement Calculator'!J:J,MATCH('Isaac 401k'!N3289,'Retirement Calculator'!A:A,0),0),0)</f>
        <v>0</v>
      </c>
      <c r="K3289" s="444">
        <f t="shared" ca="1" si="161"/>
        <v>-91009754.245406821</v>
      </c>
      <c r="L3289" s="444">
        <f t="shared" ca="1" si="162"/>
        <v>-21933350773.143044</v>
      </c>
      <c r="M3289" s="460">
        <f t="shared" si="164"/>
        <v>0.05</v>
      </c>
      <c r="N3289" s="464">
        <f t="shared" si="165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63"/>
        <v>-21933350773.143044</v>
      </c>
      <c r="J3290" s="444">
        <f t="array" ref="J3290">IFERROR(INDEX('Retirement Calculator'!J:J,MATCH('Isaac 401k'!N3290,'Retirement Calculator'!A:A,0),0),0)</f>
        <v>0</v>
      </c>
      <c r="K3290" s="444">
        <f t="shared" ca="1" si="161"/>
        <v>-91388961.554762676</v>
      </c>
      <c r="L3290" s="444">
        <f t="shared" ca="1" si="162"/>
        <v>-22024739734.697807</v>
      </c>
      <c r="M3290" s="460">
        <f t="shared" si="164"/>
        <v>0.05</v>
      </c>
      <c r="N3290" s="464">
        <f t="shared" si="165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63"/>
        <v>-22024739734.697807</v>
      </c>
      <c r="J3291" s="444">
        <f t="array" ref="J3291">IFERROR(INDEX('Retirement Calculator'!J:J,MATCH('Isaac 401k'!N3291,'Retirement Calculator'!A:A,0),0),0)</f>
        <v>0</v>
      </c>
      <c r="K3291" s="444">
        <f t="shared" ca="1" si="161"/>
        <v>-91769748.894574195</v>
      </c>
      <c r="L3291" s="444">
        <f t="shared" ca="1" si="162"/>
        <v>-22116509483.592381</v>
      </c>
      <c r="M3291" s="460">
        <f t="shared" si="164"/>
        <v>0.05</v>
      </c>
      <c r="N3291" s="464">
        <f t="shared" si="165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63"/>
        <v>-22116509483.592381</v>
      </c>
      <c r="J3292" s="444">
        <f t="array" ref="J3292">IFERROR(INDEX('Retirement Calculator'!J:J,MATCH('Isaac 401k'!N3292,'Retirement Calculator'!A:A,0),0),0)</f>
        <v>0</v>
      </c>
      <c r="K3292" s="444">
        <f t="shared" ca="1" si="161"/>
        <v>-92152122.848301589</v>
      </c>
      <c r="L3292" s="444">
        <f t="shared" ca="1" si="162"/>
        <v>-22208661606.440681</v>
      </c>
      <c r="M3292" s="460">
        <f t="shared" si="164"/>
        <v>0.05</v>
      </c>
      <c r="N3292" s="464">
        <f t="shared" si="165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63"/>
        <v>-22208661606.440681</v>
      </c>
      <c r="J3293" s="444">
        <f t="array" ref="J3293">IFERROR(INDEX('Retirement Calculator'!J:J,MATCH('Isaac 401k'!N3293,'Retirement Calculator'!A:A,0),0),0)</f>
        <v>0</v>
      </c>
      <c r="K3293" s="444">
        <f t="shared" ca="1" si="161"/>
        <v>-92536090.026836172</v>
      </c>
      <c r="L3293" s="444">
        <f t="shared" ca="1" si="162"/>
        <v>-22301197696.467518</v>
      </c>
      <c r="M3293" s="460">
        <f t="shared" si="164"/>
        <v>0.05</v>
      </c>
      <c r="N3293" s="464">
        <f t="shared" si="165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63"/>
        <v>-22301197696.467518</v>
      </c>
      <c r="J3294" s="444">
        <f t="array" ref="J3294">IFERROR(INDEX('Retirement Calculator'!J:J,MATCH('Isaac 401k'!N3294,'Retirement Calculator'!A:A,0),0),0)</f>
        <v>0</v>
      </c>
      <c r="K3294" s="444">
        <f t="shared" ca="1" si="161"/>
        <v>-92921657.068614662</v>
      </c>
      <c r="L3294" s="444">
        <f t="shared" ca="1" si="162"/>
        <v>-22394119353.536133</v>
      </c>
      <c r="M3294" s="460">
        <f t="shared" si="164"/>
        <v>0.05</v>
      </c>
      <c r="N3294" s="464">
        <f t="shared" si="165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63"/>
        <v>-22394119353.536133</v>
      </c>
      <c r="J3295" s="444">
        <f t="array" ref="J3295">IFERROR(INDEX('Retirement Calculator'!J:J,MATCH('Isaac 401k'!N3295,'Retirement Calculator'!A:A,0),0),0)</f>
        <v>0</v>
      </c>
      <c r="K3295" s="444">
        <f t="shared" ca="1" si="161"/>
        <v>-93308830.639733881</v>
      </c>
      <c r="L3295" s="444">
        <f t="shared" ca="1" si="162"/>
        <v>-22487428184.175865</v>
      </c>
      <c r="M3295" s="460">
        <f t="shared" si="164"/>
        <v>0.05</v>
      </c>
      <c r="N3295" s="464">
        <f t="shared" si="165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63"/>
        <v>-22487428184.175865</v>
      </c>
      <c r="J3296" s="444">
        <f t="array" ref="J3296">IFERROR(INDEX('Retirement Calculator'!J:J,MATCH('Isaac 401k'!N3296,'Retirement Calculator'!A:A,0),0),0)</f>
        <v>0</v>
      </c>
      <c r="K3296" s="444">
        <f t="shared" ca="1" si="161"/>
        <v>-93697617.434066102</v>
      </c>
      <c r="L3296" s="444">
        <f t="shared" ca="1" si="162"/>
        <v>-22581125801.609932</v>
      </c>
      <c r="M3296" s="460">
        <f t="shared" si="164"/>
        <v>0.05</v>
      </c>
      <c r="N3296" s="464">
        <f t="shared" si="165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63"/>
        <v>-22581125801.609932</v>
      </c>
      <c r="J3297" s="444">
        <f t="array" ref="J3297">IFERROR(INDEX('Retirement Calculator'!J:J,MATCH('Isaac 401k'!N3297,'Retirement Calculator'!A:A,0),0),0)</f>
        <v>0</v>
      </c>
      <c r="K3297" s="444">
        <f t="shared" ca="1" si="161"/>
        <v>-94088024.173374712</v>
      </c>
      <c r="L3297" s="444">
        <f t="shared" ca="1" si="162"/>
        <v>-22675213825.783306</v>
      </c>
      <c r="M3297" s="460">
        <f t="shared" si="164"/>
        <v>0.05</v>
      </c>
      <c r="N3297" s="464">
        <f t="shared" si="165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63"/>
        <v>-22675213825.783306</v>
      </c>
      <c r="J3298" s="444">
        <f t="array" ref="J3298">IFERROR(INDEX('Retirement Calculator'!J:J,MATCH('Isaac 401k'!N3298,'Retirement Calculator'!A:A,0),0),0)</f>
        <v>0</v>
      </c>
      <c r="K3298" s="444">
        <f t="shared" ca="1" si="161"/>
        <v>-94480057.607430443</v>
      </c>
      <c r="L3298" s="444">
        <f t="shared" ca="1" si="162"/>
        <v>-22769693883.390736</v>
      </c>
      <c r="M3298" s="460">
        <f t="shared" si="164"/>
        <v>0.05</v>
      </c>
      <c r="N3298" s="464">
        <f t="shared" si="165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63"/>
        <v>-22769693883.390736</v>
      </c>
      <c r="J3299" s="444">
        <f t="array" ref="J3299">IFERROR(INDEX('Retirement Calculator'!J:J,MATCH('Isaac 401k'!N3299,'Retirement Calculator'!A:A,0),0),0)</f>
        <v>0</v>
      </c>
      <c r="K3299" s="444">
        <f t="shared" ca="1" si="161"/>
        <v>-94873724.514128059</v>
      </c>
      <c r="L3299" s="444">
        <f t="shared" ca="1" si="162"/>
        <v>-22864567607.904865</v>
      </c>
      <c r="M3299" s="460">
        <f t="shared" si="164"/>
        <v>0.05</v>
      </c>
      <c r="N3299" s="464">
        <f t="shared" si="165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63"/>
        <v>-22864567607.904865</v>
      </c>
      <c r="J3300" s="444">
        <f t="array" ref="J3300">IFERROR(INDEX('Retirement Calculator'!J:J,MATCH('Isaac 401k'!N3300,'Retirement Calculator'!A:A,0),0),0)</f>
        <v>0</v>
      </c>
      <c r="K3300" s="444">
        <f t="shared" ca="1" si="161"/>
        <v>-95269031.699603602</v>
      </c>
      <c r="L3300" s="444">
        <f t="shared" ca="1" si="162"/>
        <v>-22959836639.604469</v>
      </c>
      <c r="M3300" s="460">
        <f t="shared" si="164"/>
        <v>0.05</v>
      </c>
      <c r="N3300" s="464">
        <f t="shared" si="165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63"/>
        <v>-22959836639.604469</v>
      </c>
      <c r="J3301" s="444">
        <f t="array" ref="J3301">IFERROR(INDEX('Retirement Calculator'!J:J,MATCH('Isaac 401k'!N3301,'Retirement Calculator'!A:A,0),0),0)</f>
        <v>0</v>
      </c>
      <c r="K3301" s="444">
        <f t="shared" ca="1" si="161"/>
        <v>-95665985.998351961</v>
      </c>
      <c r="L3301" s="444">
        <f t="shared" ca="1" si="162"/>
        <v>-23055502625.602821</v>
      </c>
      <c r="M3301" s="460">
        <f t="shared" si="164"/>
        <v>0.05</v>
      </c>
      <c r="N3301" s="464">
        <f t="shared" si="165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63"/>
        <v>-23055502625.602821</v>
      </c>
      <c r="J3302" s="444">
        <f t="array" ref="J3302">IFERROR(INDEX('Retirement Calculator'!J:J,MATCH('Isaac 401k'!N3302,'Retirement Calculator'!A:A,0),0),0)</f>
        <v>0</v>
      </c>
      <c r="K3302" s="444">
        <f t="shared" ca="1" si="161"/>
        <v>-96064594.273345083</v>
      </c>
      <c r="L3302" s="444">
        <f t="shared" ca="1" si="162"/>
        <v>-23151567219.876167</v>
      </c>
      <c r="M3302" s="460">
        <f t="shared" si="164"/>
        <v>0.05</v>
      </c>
      <c r="N3302" s="464">
        <f t="shared" si="165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63"/>
        <v>-23151567219.876167</v>
      </c>
      <c r="J3303" s="444">
        <f t="array" ref="J3303">IFERROR(INDEX('Retirement Calculator'!J:J,MATCH('Isaac 401k'!N3303,'Retirement Calculator'!A:A,0),0),0)</f>
        <v>0</v>
      </c>
      <c r="K3303" s="444">
        <f t="shared" ca="1" si="161"/>
        <v>-96464863.416150689</v>
      </c>
      <c r="L3303" s="444">
        <f t="shared" ca="1" si="162"/>
        <v>-23248032083.292316</v>
      </c>
      <c r="M3303" s="460">
        <f t="shared" si="164"/>
        <v>0.05</v>
      </c>
      <c r="N3303" s="464">
        <f t="shared" si="165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63"/>
        <v>-23248032083.292316</v>
      </c>
      <c r="J3304" s="444">
        <f t="array" ref="J3304">IFERROR(INDEX('Retirement Calculator'!J:J,MATCH('Isaac 401k'!N3304,'Retirement Calculator'!A:A,0),0),0)</f>
        <v>0</v>
      </c>
      <c r="K3304" s="444">
        <f t="shared" ca="1" si="161"/>
        <v>-96866800.347051322</v>
      </c>
      <c r="L3304" s="444">
        <f t="shared" ca="1" si="162"/>
        <v>-23344898883.639366</v>
      </c>
      <c r="M3304" s="460">
        <f t="shared" si="164"/>
        <v>0.05</v>
      </c>
      <c r="N3304" s="464">
        <f t="shared" si="165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63"/>
        <v>-23344898883.639366</v>
      </c>
      <c r="J3305" s="444">
        <f t="array" ref="J3305">IFERROR(INDEX('Retirement Calculator'!J:J,MATCH('Isaac 401k'!N3305,'Retirement Calculator'!A:A,0),0),0)</f>
        <v>0</v>
      </c>
      <c r="K3305" s="444">
        <f t="shared" ca="1" si="161"/>
        <v>-97270412.015164018</v>
      </c>
      <c r="L3305" s="444">
        <f t="shared" ca="1" si="162"/>
        <v>-23442169295.65453</v>
      </c>
      <c r="M3305" s="460">
        <f t="shared" si="164"/>
        <v>0.05</v>
      </c>
      <c r="N3305" s="464">
        <f t="shared" si="165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63"/>
        <v>-23442169295.65453</v>
      </c>
      <c r="J3306" s="444">
        <f t="array" ref="J3306">IFERROR(INDEX('Retirement Calculator'!J:J,MATCH('Isaac 401k'!N3306,'Retirement Calculator'!A:A,0),0),0)</f>
        <v>0</v>
      </c>
      <c r="K3306" s="444">
        <f t="shared" ca="1" si="161"/>
        <v>-97675705.398560539</v>
      </c>
      <c r="L3306" s="444">
        <f t="shared" ca="1" si="162"/>
        <v>-23539845001.053089</v>
      </c>
      <c r="M3306" s="460">
        <f t="shared" si="164"/>
        <v>0.05</v>
      </c>
      <c r="N3306" s="464">
        <f t="shared" si="165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63"/>
        <v>-23539845001.053089</v>
      </c>
      <c r="J3307" s="444">
        <f t="array" ref="J3307">IFERROR(INDEX('Retirement Calculator'!J:J,MATCH('Isaac 401k'!N3307,'Retirement Calculator'!A:A,0),0),0)</f>
        <v>0</v>
      </c>
      <c r="K3307" s="444">
        <f t="shared" ca="1" si="161"/>
        <v>-98082687.50438787</v>
      </c>
      <c r="L3307" s="444">
        <f t="shared" ca="1" si="162"/>
        <v>-23637927688.557476</v>
      </c>
      <c r="M3307" s="460">
        <f t="shared" si="164"/>
        <v>0.05</v>
      </c>
      <c r="N3307" s="464">
        <f t="shared" si="165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63"/>
        <v>-23637927688.557476</v>
      </c>
      <c r="J3308" s="444">
        <f t="array" ref="J3308">IFERROR(INDEX('Retirement Calculator'!J:J,MATCH('Isaac 401k'!N3308,'Retirement Calculator'!A:A,0),0),0)</f>
        <v>0</v>
      </c>
      <c r="K3308" s="444">
        <f t="shared" ca="1" si="161"/>
        <v>-98491365.368989483</v>
      </c>
      <c r="L3308" s="444">
        <f t="shared" ca="1" si="162"/>
        <v>-23736419053.926464</v>
      </c>
      <c r="M3308" s="460">
        <f t="shared" si="164"/>
        <v>0.05</v>
      </c>
      <c r="N3308" s="464">
        <f t="shared" si="165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63"/>
        <v>-23736419053.926464</v>
      </c>
      <c r="J3309" s="444">
        <f t="array" ref="J3309">IFERROR(INDEX('Retirement Calculator'!J:J,MATCH('Isaac 401k'!N3309,'Retirement Calculator'!A:A,0),0),0)</f>
        <v>0</v>
      </c>
      <c r="K3309" s="444">
        <f t="shared" ca="1" si="161"/>
        <v>-98901746.05802694</v>
      </c>
      <c r="L3309" s="444">
        <f t="shared" ca="1" si="162"/>
        <v>-23835320799.984489</v>
      </c>
      <c r="M3309" s="460">
        <f t="shared" si="164"/>
        <v>0.05</v>
      </c>
      <c r="N3309" s="464">
        <f t="shared" si="165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63"/>
        <v>-23835320799.984489</v>
      </c>
      <c r="J3310" s="444">
        <f t="array" ref="J3310">IFERROR(INDEX('Retirement Calculator'!J:J,MATCH('Isaac 401k'!N3310,'Retirement Calculator'!A:A,0),0),0)</f>
        <v>0</v>
      </c>
      <c r="K3310" s="444">
        <f t="shared" ca="1" si="161"/>
        <v>-99313836.666602045</v>
      </c>
      <c r="L3310" s="444">
        <f t="shared" ca="1" si="162"/>
        <v>-23934634636.651093</v>
      </c>
      <c r="M3310" s="460">
        <f t="shared" si="164"/>
        <v>0.05</v>
      </c>
      <c r="N3310" s="464">
        <f t="shared" si="165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63"/>
        <v>-23934634636.651093</v>
      </c>
      <c r="J3311" s="444">
        <f t="array" ref="J3311">IFERROR(INDEX('Retirement Calculator'!J:J,MATCH('Isaac 401k'!N3311,'Retirement Calculator'!A:A,0),0),0)</f>
        <v>0</v>
      </c>
      <c r="K3311" s="444">
        <f t="shared" ca="1" si="161"/>
        <v>-99727644.319379553</v>
      </c>
      <c r="L3311" s="444">
        <f t="shared" ca="1" si="162"/>
        <v>-24034362280.97047</v>
      </c>
      <c r="M3311" s="460">
        <f t="shared" si="164"/>
        <v>0.05</v>
      </c>
      <c r="N3311" s="464">
        <f t="shared" si="165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63"/>
        <v>-24034362280.97047</v>
      </c>
      <c r="J3312" s="444">
        <f t="array" ref="J3312">IFERROR(INDEX('Retirement Calculator'!J:J,MATCH('Isaac 401k'!N3312,'Retirement Calculator'!A:A,0),0),0)</f>
        <v>0</v>
      </c>
      <c r="K3312" s="444">
        <f t="shared" ca="1" si="161"/>
        <v>-100143176.1707103</v>
      </c>
      <c r="L3312" s="444">
        <f t="shared" ca="1" si="162"/>
        <v>-24134505457.141182</v>
      </c>
      <c r="M3312" s="460">
        <f t="shared" si="164"/>
        <v>0.05</v>
      </c>
      <c r="N3312" s="464">
        <f t="shared" si="165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63"/>
        <v>-24134505457.141182</v>
      </c>
      <c r="J3313" s="444">
        <f t="array" ref="J3313">IFERROR(INDEX('Retirement Calculator'!J:J,MATCH('Isaac 401k'!N3313,'Retirement Calculator'!A:A,0),0),0)</f>
        <v>0</v>
      </c>
      <c r="K3313" s="444">
        <f t="shared" ca="1" si="161"/>
        <v>-100560439.40475492</v>
      </c>
      <c r="L3313" s="444">
        <f t="shared" ca="1" si="162"/>
        <v>-24235065896.545937</v>
      </c>
      <c r="M3313" s="460">
        <f t="shared" si="164"/>
        <v>0.05</v>
      </c>
      <c r="N3313" s="464">
        <f t="shared" si="165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63"/>
        <v>-24235065896.545937</v>
      </c>
      <c r="J3314" s="444">
        <f t="array" ref="J3314">IFERROR(INDEX('Retirement Calculator'!J:J,MATCH('Isaac 401k'!N3314,'Retirement Calculator'!A:A,0),0),0)</f>
        <v>0</v>
      </c>
      <c r="K3314" s="444">
        <f t="shared" ca="1" si="161"/>
        <v>-100979441.23560807</v>
      </c>
      <c r="L3314" s="444">
        <f t="shared" ca="1" si="162"/>
        <v>-24336045337.781544</v>
      </c>
      <c r="M3314" s="460">
        <f t="shared" si="164"/>
        <v>0.05</v>
      </c>
      <c r="N3314" s="464">
        <f t="shared" si="165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63"/>
        <v>-24336045337.781544</v>
      </c>
      <c r="J3315" s="444">
        <f t="array" ref="J3315">IFERROR(INDEX('Retirement Calculator'!J:J,MATCH('Isaac 401k'!N3315,'Retirement Calculator'!A:A,0),0),0)</f>
        <v>0</v>
      </c>
      <c r="K3315" s="444">
        <f t="shared" ca="1" si="161"/>
        <v>-101400188.90742309</v>
      </c>
      <c r="L3315" s="444">
        <f t="shared" ca="1" si="162"/>
        <v>-24437445526.688969</v>
      </c>
      <c r="M3315" s="460">
        <f t="shared" si="164"/>
        <v>0.05</v>
      </c>
      <c r="N3315" s="464">
        <f t="shared" si="165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63"/>
        <v>-24437445526.688969</v>
      </c>
      <c r="J3316" s="444">
        <f t="array" ref="J3316">IFERROR(INDEX('Retirement Calculator'!J:J,MATCH('Isaac 401k'!N3316,'Retirement Calculator'!A:A,0),0),0)</f>
        <v>0</v>
      </c>
      <c r="K3316" s="444">
        <f t="shared" ca="1" si="161"/>
        <v>-101822689.69453737</v>
      </c>
      <c r="L3316" s="444">
        <f t="shared" ca="1" si="162"/>
        <v>-24539268216.383507</v>
      </c>
      <c r="M3316" s="460">
        <f t="shared" si="164"/>
        <v>0.05</v>
      </c>
      <c r="N3316" s="464">
        <f t="shared" si="165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63"/>
        <v>-24539268216.383507</v>
      </c>
      <c r="J3317" s="444">
        <f t="array" ref="J3317">IFERROR(INDEX('Retirement Calculator'!J:J,MATCH('Isaac 401k'!N3317,'Retirement Calculator'!A:A,0),0),0)</f>
        <v>0</v>
      </c>
      <c r="K3317" s="444">
        <f t="shared" ca="1" si="161"/>
        <v>-102246950.90159795</v>
      </c>
      <c r="L3317" s="444">
        <f t="shared" ca="1" si="162"/>
        <v>-24641515167.285103</v>
      </c>
      <c r="M3317" s="460">
        <f t="shared" si="164"/>
        <v>0.05</v>
      </c>
      <c r="N3317" s="464">
        <f t="shared" si="165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63"/>
        <v>-24641515167.285103</v>
      </c>
      <c r="J3318" s="444">
        <f t="array" ref="J3318">IFERROR(INDEX('Retirement Calculator'!J:J,MATCH('Isaac 401k'!N3318,'Retirement Calculator'!A:A,0),0),0)</f>
        <v>0</v>
      </c>
      <c r="K3318" s="444">
        <f t="shared" ca="1" si="161"/>
        <v>-102672979.86368793</v>
      </c>
      <c r="L3318" s="444">
        <f t="shared" ca="1" si="162"/>
        <v>-24744188147.148792</v>
      </c>
      <c r="M3318" s="460">
        <f t="shared" si="164"/>
        <v>0.05</v>
      </c>
      <c r="N3318" s="464">
        <f t="shared" si="165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63"/>
        <v>-24744188147.148792</v>
      </c>
      <c r="J3319" s="444">
        <f t="array" ref="J3319">IFERROR(INDEX('Retirement Calculator'!J:J,MATCH('Isaac 401k'!N3319,'Retirement Calculator'!A:A,0),0),0)</f>
        <v>0</v>
      </c>
      <c r="K3319" s="444">
        <f t="shared" ca="1" si="161"/>
        <v>-103100783.9464533</v>
      </c>
      <c r="L3319" s="444">
        <f t="shared" ca="1" si="162"/>
        <v>-24847288931.095245</v>
      </c>
      <c r="M3319" s="460">
        <f t="shared" si="164"/>
        <v>0.05</v>
      </c>
      <c r="N3319" s="464">
        <f t="shared" si="165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63"/>
        <v>-24847288931.095245</v>
      </c>
      <c r="J3320" s="444">
        <f t="array" ref="J3320">IFERROR(INDEX('Retirement Calculator'!J:J,MATCH('Isaac 401k'!N3320,'Retirement Calculator'!A:A,0),0),0)</f>
        <v>0</v>
      </c>
      <c r="K3320" s="444">
        <f t="shared" ca="1" si="161"/>
        <v>-103530370.54623018</v>
      </c>
      <c r="L3320" s="444">
        <f t="shared" ca="1" si="162"/>
        <v>-24950819301.641476</v>
      </c>
      <c r="M3320" s="460">
        <f t="shared" si="164"/>
        <v>0.05</v>
      </c>
      <c r="N3320" s="464">
        <f t="shared" si="165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63"/>
        <v>-24950819301.641476</v>
      </c>
      <c r="J3321" s="444">
        <f t="array" ref="J3321">IFERROR(INDEX('Retirement Calculator'!J:J,MATCH('Isaac 401k'!N3321,'Retirement Calculator'!A:A,0),0),0)</f>
        <v>0</v>
      </c>
      <c r="K3321" s="444">
        <f t="shared" ca="1" si="161"/>
        <v>-103961747.09017281</v>
      </c>
      <c r="L3321" s="444">
        <f t="shared" ca="1" si="162"/>
        <v>-25054781048.731647</v>
      </c>
      <c r="M3321" s="460">
        <f t="shared" si="164"/>
        <v>0.05</v>
      </c>
      <c r="N3321" s="464">
        <f t="shared" si="165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63"/>
        <v>-25054781048.731647</v>
      </c>
      <c r="J3322" s="444">
        <f t="array" ref="J3322">IFERROR(INDEX('Retirement Calculator'!J:J,MATCH('Isaac 401k'!N3322,'Retirement Calculator'!A:A,0),0),0)</f>
        <v>0</v>
      </c>
      <c r="K3322" s="444">
        <f t="shared" ca="1" si="161"/>
        <v>-104394921.03638187</v>
      </c>
      <c r="L3322" s="444">
        <f t="shared" ca="1" si="162"/>
        <v>-25159175969.768028</v>
      </c>
      <c r="M3322" s="460">
        <f t="shared" si="164"/>
        <v>0.05</v>
      </c>
      <c r="N3322" s="464">
        <f t="shared" si="165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63"/>
        <v>-25159175969.768028</v>
      </c>
      <c r="J3323" s="444">
        <f t="array" ref="J3323">IFERROR(INDEX('Retirement Calculator'!J:J,MATCH('Isaac 401k'!N3323,'Retirement Calculator'!A:A,0),0),0)</f>
        <v>0</v>
      </c>
      <c r="K3323" s="444">
        <f t="shared" ref="K3323:K3577" ca="1" si="166">IPMT(M3323/12,1,12,-I3323+J3323,,0)</f>
        <v>-104829899.87403345</v>
      </c>
      <c r="L3323" s="444">
        <f t="shared" ref="L3323:L3577" ca="1" si="167">I3323-J3323+K3323</f>
        <v>-25264005869.642063</v>
      </c>
      <c r="M3323" s="460">
        <f t="shared" si="164"/>
        <v>0.05</v>
      </c>
      <c r="N3323" s="464">
        <f t="shared" si="165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68">L3323</f>
        <v>-25264005869.642063</v>
      </c>
      <c r="J3324" s="444">
        <f t="array" ref="J3324">IFERROR(INDEX('Retirement Calculator'!J:J,MATCH('Isaac 401k'!N3324,'Retirement Calculator'!A:A,0),0),0)</f>
        <v>0</v>
      </c>
      <c r="K3324" s="444">
        <f t="shared" ca="1" si="166"/>
        <v>-105266691.1235086</v>
      </c>
      <c r="L3324" s="444">
        <f t="shared" ca="1" si="167"/>
        <v>-25369272560.765572</v>
      </c>
      <c r="M3324" s="460">
        <f t="shared" ref="M3324:M3578" si="169">M3323</f>
        <v>0.05</v>
      </c>
      <c r="N3324" s="464">
        <f t="shared" ref="N3324:N3578" si="170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68"/>
        <v>-25369272560.765572</v>
      </c>
      <c r="J3325" s="444">
        <f t="array" ref="J3325">IFERROR(INDEX('Retirement Calculator'!J:J,MATCH('Isaac 401k'!N3325,'Retirement Calculator'!A:A,0),0),0)</f>
        <v>0</v>
      </c>
      <c r="K3325" s="444">
        <f t="shared" ca="1" si="166"/>
        <v>-105705302.33652322</v>
      </c>
      <c r="L3325" s="444">
        <f t="shared" ca="1" si="167"/>
        <v>-25474977863.102097</v>
      </c>
      <c r="M3325" s="460">
        <f t="shared" si="169"/>
        <v>0.05</v>
      </c>
      <c r="N3325" s="464">
        <f t="shared" si="170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68"/>
        <v>-25474977863.102097</v>
      </c>
      <c r="J3326" s="444">
        <f t="array" ref="J3326">IFERROR(INDEX('Retirement Calculator'!J:J,MATCH('Isaac 401k'!N3326,'Retirement Calculator'!A:A,0),0),0)</f>
        <v>0</v>
      </c>
      <c r="K3326" s="444">
        <f t="shared" ca="1" si="166"/>
        <v>-106145741.09625873</v>
      </c>
      <c r="L3326" s="444">
        <f t="shared" ca="1" si="167"/>
        <v>-25581123604.198357</v>
      </c>
      <c r="M3326" s="460">
        <f t="shared" si="169"/>
        <v>0.05</v>
      </c>
      <c r="N3326" s="464">
        <f t="shared" si="170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68"/>
        <v>-25581123604.198357</v>
      </c>
      <c r="J3327" s="444">
        <f t="array" ref="J3327">IFERROR(INDEX('Retirement Calculator'!J:J,MATCH('Isaac 401k'!N3327,'Retirement Calculator'!A:A,0),0),0)</f>
        <v>0</v>
      </c>
      <c r="K3327" s="444">
        <f t="shared" ca="1" si="166"/>
        <v>-106588015.01749316</v>
      </c>
      <c r="L3327" s="444">
        <f t="shared" ca="1" si="167"/>
        <v>-25687711619.215851</v>
      </c>
      <c r="M3327" s="460">
        <f t="shared" si="169"/>
        <v>0.05</v>
      </c>
      <c r="N3327" s="464">
        <f t="shared" si="170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68"/>
        <v>-25687711619.215851</v>
      </c>
      <c r="J3328" s="444">
        <f t="array" ref="J3328">IFERROR(INDEX('Retirement Calculator'!J:J,MATCH('Isaac 401k'!N3328,'Retirement Calculator'!A:A,0),0),0)</f>
        <v>0</v>
      </c>
      <c r="K3328" s="444">
        <f t="shared" ca="1" si="166"/>
        <v>-107032131.74673271</v>
      </c>
      <c r="L3328" s="444">
        <f t="shared" ca="1" si="167"/>
        <v>-25794743750.962585</v>
      </c>
      <c r="M3328" s="460">
        <f t="shared" si="169"/>
        <v>0.05</v>
      </c>
      <c r="N3328" s="464">
        <f t="shared" si="170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68"/>
        <v>-25794743750.962585</v>
      </c>
      <c r="J3329" s="444">
        <f t="array" ref="J3329">IFERROR(INDEX('Retirement Calculator'!J:J,MATCH('Isaac 401k'!N3329,'Retirement Calculator'!A:A,0),0),0)</f>
        <v>0</v>
      </c>
      <c r="K3329" s="444">
        <f t="shared" ca="1" si="166"/>
        <v>-107478098.96234411</v>
      </c>
      <c r="L3329" s="444">
        <f t="shared" ca="1" si="167"/>
        <v>-25902221849.924931</v>
      </c>
      <c r="M3329" s="460">
        <f t="shared" si="169"/>
        <v>0.05</v>
      </c>
      <c r="N3329" s="464">
        <f t="shared" si="170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68"/>
        <v>-25902221849.924931</v>
      </c>
      <c r="J3330" s="444">
        <f t="array" ref="J3330">IFERROR(INDEX('Retirement Calculator'!J:J,MATCH('Isaac 401k'!N3330,'Retirement Calculator'!A:A,0),0),0)</f>
        <v>0</v>
      </c>
      <c r="K3330" s="444">
        <f t="shared" ca="1" si="166"/>
        <v>-107925924.37468721</v>
      </c>
      <c r="L3330" s="444">
        <f t="shared" ca="1" si="167"/>
        <v>-26010147774.299618</v>
      </c>
      <c r="M3330" s="460">
        <f t="shared" si="169"/>
        <v>0.05</v>
      </c>
      <c r="N3330" s="464">
        <f t="shared" si="170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68"/>
        <v>-26010147774.299618</v>
      </c>
      <c r="J3331" s="444">
        <f t="array" ref="J3331">IFERROR(INDEX('Retirement Calculator'!J:J,MATCH('Isaac 401k'!N3331,'Retirement Calculator'!A:A,0),0),0)</f>
        <v>0</v>
      </c>
      <c r="K3331" s="444">
        <f t="shared" ca="1" si="166"/>
        <v>-108375615.7262484</v>
      </c>
      <c r="L3331" s="444">
        <f t="shared" ca="1" si="167"/>
        <v>-26118523390.025867</v>
      </c>
      <c r="M3331" s="460">
        <f t="shared" si="169"/>
        <v>0.05</v>
      </c>
      <c r="N3331" s="464">
        <f t="shared" si="170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68"/>
        <v>-26118523390.025867</v>
      </c>
      <c r="J3332" s="444">
        <f t="array" ref="J3332">IFERROR(INDEX('Retirement Calculator'!J:J,MATCH('Isaac 401k'!N3332,'Retirement Calculator'!A:A,0),0),0)</f>
        <v>0</v>
      </c>
      <c r="K3332" s="444">
        <f t="shared" ca="1" si="166"/>
        <v>-108827180.79177445</v>
      </c>
      <c r="L3332" s="444">
        <f t="shared" ca="1" si="167"/>
        <v>-26227350570.817642</v>
      </c>
      <c r="M3332" s="460">
        <f t="shared" si="169"/>
        <v>0.05</v>
      </c>
      <c r="N3332" s="464">
        <f t="shared" si="170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68"/>
        <v>-26227350570.817642</v>
      </c>
      <c r="J3333" s="444">
        <f t="array" ref="J3333">IFERROR(INDEX('Retirement Calculator'!J:J,MATCH('Isaac 401k'!N3333,'Retirement Calculator'!A:A,0),0),0)</f>
        <v>0</v>
      </c>
      <c r="K3333" s="444">
        <f t="shared" ca="1" si="166"/>
        <v>-109280627.37840684</v>
      </c>
      <c r="L3333" s="444">
        <f t="shared" ca="1" si="167"/>
        <v>-26336631198.196049</v>
      </c>
      <c r="M3333" s="460">
        <f t="shared" si="169"/>
        <v>0.05</v>
      </c>
      <c r="N3333" s="464">
        <f t="shared" si="170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68"/>
        <v>-26336631198.196049</v>
      </c>
      <c r="J3334" s="444">
        <f t="array" ref="J3334">IFERROR(INDEX('Retirement Calculator'!J:J,MATCH('Isaac 401k'!N3334,'Retirement Calculator'!A:A,0),0),0)</f>
        <v>0</v>
      </c>
      <c r="K3334" s="444">
        <f t="shared" ca="1" si="166"/>
        <v>-109735963.32581687</v>
      </c>
      <c r="L3334" s="444">
        <f t="shared" ca="1" si="167"/>
        <v>-26446367161.521866</v>
      </c>
      <c r="M3334" s="460">
        <f t="shared" si="169"/>
        <v>0.05</v>
      </c>
      <c r="N3334" s="464">
        <f t="shared" si="170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68"/>
        <v>-26446367161.521866</v>
      </c>
      <c r="J3335" s="444">
        <f t="array" ref="J3335">IFERROR(INDEX('Retirement Calculator'!J:J,MATCH('Isaac 401k'!N3335,'Retirement Calculator'!A:A,0),0),0)</f>
        <v>0</v>
      </c>
      <c r="K3335" s="444">
        <f t="shared" ca="1" si="166"/>
        <v>-110193196.5063411</v>
      </c>
      <c r="L3335" s="444">
        <f t="shared" ca="1" si="167"/>
        <v>-26556560358.028206</v>
      </c>
      <c r="M3335" s="460">
        <f t="shared" si="169"/>
        <v>0.05</v>
      </c>
      <c r="N3335" s="464">
        <f t="shared" si="170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68"/>
        <v>-26556560358.028206</v>
      </c>
      <c r="J3336" s="444">
        <f t="array" ref="J3336">IFERROR(INDEX('Retirement Calculator'!J:J,MATCH('Isaac 401k'!N3336,'Retirement Calculator'!A:A,0),0),0)</f>
        <v>0</v>
      </c>
      <c r="K3336" s="444">
        <f t="shared" ca="1" si="166"/>
        <v>-110652334.82511753</v>
      </c>
      <c r="L3336" s="444">
        <f t="shared" ca="1" si="167"/>
        <v>-26667212692.853325</v>
      </c>
      <c r="M3336" s="460">
        <f t="shared" si="169"/>
        <v>0.05</v>
      </c>
      <c r="N3336" s="464">
        <f t="shared" si="170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68"/>
        <v>-26667212692.853325</v>
      </c>
      <c r="J3337" s="444">
        <f t="array" ref="J3337">IFERROR(INDEX('Retirement Calculator'!J:J,MATCH('Isaac 401k'!N3337,'Retirement Calculator'!A:A,0),0),0)</f>
        <v>0</v>
      </c>
      <c r="K3337" s="444">
        <f t="shared" ca="1" si="166"/>
        <v>-111113386.22022219</v>
      </c>
      <c r="L3337" s="444">
        <f t="shared" ca="1" si="167"/>
        <v>-26778326079.073547</v>
      </c>
      <c r="M3337" s="460">
        <f t="shared" si="169"/>
        <v>0.05</v>
      </c>
      <c r="N3337" s="464">
        <f t="shared" si="170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68"/>
        <v>-26778326079.073547</v>
      </c>
      <c r="J3338" s="444">
        <f t="array" ref="J3338">IFERROR(INDEX('Retirement Calculator'!J:J,MATCH('Isaac 401k'!N3338,'Retirement Calculator'!A:A,0),0),0)</f>
        <v>0</v>
      </c>
      <c r="K3338" s="444">
        <f t="shared" ca="1" si="166"/>
        <v>-111576358.66280645</v>
      </c>
      <c r="L3338" s="444">
        <f t="shared" ca="1" si="167"/>
        <v>-26889902437.736355</v>
      </c>
      <c r="M3338" s="460">
        <f t="shared" si="169"/>
        <v>0.05</v>
      </c>
      <c r="N3338" s="464">
        <f t="shared" si="170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68"/>
        <v>-26889902437.736355</v>
      </c>
      <c r="J3339" s="444">
        <f t="array" ref="J3339">IFERROR(INDEX('Retirement Calculator'!J:J,MATCH('Isaac 401k'!N3339,'Retirement Calculator'!A:A,0),0),0)</f>
        <v>0</v>
      </c>
      <c r="K3339" s="444">
        <f t="shared" ca="1" si="166"/>
        <v>-112041260.15723479</v>
      </c>
      <c r="L3339" s="444">
        <f t="shared" ca="1" si="167"/>
        <v>-27001943697.893589</v>
      </c>
      <c r="M3339" s="460">
        <f t="shared" si="169"/>
        <v>0.05</v>
      </c>
      <c r="N3339" s="464">
        <f t="shared" si="170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68"/>
        <v>-27001943697.893589</v>
      </c>
      <c r="J3340" s="444">
        <f t="array" ref="J3340">IFERROR(INDEX('Retirement Calculator'!J:J,MATCH('Isaac 401k'!N3340,'Retirement Calculator'!A:A,0),0),0)</f>
        <v>0</v>
      </c>
      <c r="K3340" s="444">
        <f t="shared" ca="1" si="166"/>
        <v>-112508098.74122329</v>
      </c>
      <c r="L3340" s="444">
        <f t="shared" ca="1" si="167"/>
        <v>-27114451796.634811</v>
      </c>
      <c r="M3340" s="460">
        <f t="shared" si="169"/>
        <v>0.05</v>
      </c>
      <c r="N3340" s="464">
        <f t="shared" si="170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68"/>
        <v>-27114451796.634811</v>
      </c>
      <c r="J3341" s="444">
        <f t="array" ref="J3341">IFERROR(INDEX('Retirement Calculator'!J:J,MATCH('Isaac 401k'!N3341,'Retirement Calculator'!A:A,0),0),0)</f>
        <v>0</v>
      </c>
      <c r="K3341" s="444">
        <f t="shared" ca="1" si="166"/>
        <v>-112976882.48597836</v>
      </c>
      <c r="L3341" s="444">
        <f t="shared" ca="1" si="167"/>
        <v>-27227428679.120789</v>
      </c>
      <c r="M3341" s="460">
        <f t="shared" si="169"/>
        <v>0.05</v>
      </c>
      <c r="N3341" s="464">
        <f t="shared" si="170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68"/>
        <v>-27227428679.120789</v>
      </c>
      <c r="J3342" s="444">
        <f t="array" ref="J3342">IFERROR(INDEX('Retirement Calculator'!J:J,MATCH('Isaac 401k'!N3342,'Retirement Calculator'!A:A,0),0),0)</f>
        <v>0</v>
      </c>
      <c r="K3342" s="444">
        <f t="shared" ca="1" si="166"/>
        <v>-113447619.49633664</v>
      </c>
      <c r="L3342" s="444">
        <f t="shared" ca="1" si="167"/>
        <v>-27340876298.617126</v>
      </c>
      <c r="M3342" s="460">
        <f t="shared" si="169"/>
        <v>0.05</v>
      </c>
      <c r="N3342" s="464">
        <f t="shared" si="170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68"/>
        <v>-27340876298.617126</v>
      </c>
      <c r="J3343" s="444">
        <f t="array" ref="J3343">IFERROR(INDEX('Retirement Calculator'!J:J,MATCH('Isaac 401k'!N3343,'Retirement Calculator'!A:A,0),0),0)</f>
        <v>0</v>
      </c>
      <c r="K3343" s="444">
        <f t="shared" ca="1" si="166"/>
        <v>-113920317.91090469</v>
      </c>
      <c r="L3343" s="444">
        <f t="shared" ca="1" si="167"/>
        <v>-27454796616.52803</v>
      </c>
      <c r="M3343" s="460">
        <f t="shared" si="169"/>
        <v>0.05</v>
      </c>
      <c r="N3343" s="464">
        <f t="shared" si="170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68"/>
        <v>-27454796616.52803</v>
      </c>
      <c r="J3344" s="444">
        <f t="array" ref="J3344">IFERROR(INDEX('Retirement Calculator'!J:J,MATCH('Isaac 401k'!N3344,'Retirement Calculator'!A:A,0),0),0)</f>
        <v>0</v>
      </c>
      <c r="K3344" s="444">
        <f t="shared" ca="1" si="166"/>
        <v>-114394985.9022001</v>
      </c>
      <c r="L3344" s="444">
        <f t="shared" ca="1" si="167"/>
        <v>-27569191602.430229</v>
      </c>
      <c r="M3344" s="460">
        <f t="shared" si="169"/>
        <v>0.05</v>
      </c>
      <c r="N3344" s="464">
        <f t="shared" si="170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68"/>
        <v>-27569191602.430229</v>
      </c>
      <c r="J3345" s="444">
        <f t="array" ref="J3345">IFERROR(INDEX('Retirement Calculator'!J:J,MATCH('Isaac 401k'!N3345,'Retirement Calculator'!A:A,0),0),0)</f>
        <v>0</v>
      </c>
      <c r="K3345" s="444">
        <f t="shared" ca="1" si="166"/>
        <v>-114871631.67679262</v>
      </c>
      <c r="L3345" s="444">
        <f t="shared" ca="1" si="167"/>
        <v>-27684063234.107021</v>
      </c>
      <c r="M3345" s="460">
        <f t="shared" si="169"/>
        <v>0.05</v>
      </c>
      <c r="N3345" s="464">
        <f t="shared" si="170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68"/>
        <v>-27684063234.107021</v>
      </c>
      <c r="J3346" s="444">
        <f t="array" ref="J3346">IFERROR(INDEX('Retirement Calculator'!J:J,MATCH('Isaac 401k'!N3346,'Retirement Calculator'!A:A,0),0),0)</f>
        <v>0</v>
      </c>
      <c r="K3346" s="444">
        <f t="shared" ca="1" si="166"/>
        <v>-115350263.47544593</v>
      </c>
      <c r="L3346" s="444">
        <f t="shared" ca="1" si="167"/>
        <v>-27799413497.582466</v>
      </c>
      <c r="M3346" s="460">
        <f t="shared" si="169"/>
        <v>0.05</v>
      </c>
      <c r="N3346" s="464">
        <f t="shared" si="170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68"/>
        <v>-27799413497.582466</v>
      </c>
      <c r="J3347" s="444">
        <f t="array" ref="J3347">IFERROR(INDEX('Retirement Calculator'!J:J,MATCH('Isaac 401k'!N3347,'Retirement Calculator'!A:A,0),0),0)</f>
        <v>0</v>
      </c>
      <c r="K3347" s="444">
        <f t="shared" ca="1" si="166"/>
        <v>-115830889.57326028</v>
      </c>
      <c r="L3347" s="444">
        <f t="shared" ca="1" si="167"/>
        <v>-27915244387.155727</v>
      </c>
      <c r="M3347" s="460">
        <f t="shared" si="169"/>
        <v>0.05</v>
      </c>
      <c r="N3347" s="464">
        <f t="shared" si="170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68"/>
        <v>-27915244387.155727</v>
      </c>
      <c r="J3348" s="444">
        <f t="array" ref="J3348">IFERROR(INDEX('Retirement Calculator'!J:J,MATCH('Isaac 401k'!N3348,'Retirement Calculator'!A:A,0),0),0)</f>
        <v>0</v>
      </c>
      <c r="K3348" s="444">
        <f t="shared" ca="1" si="166"/>
        <v>-116313518.27981551</v>
      </c>
      <c r="L3348" s="444">
        <f t="shared" ca="1" si="167"/>
        <v>-28031557905.435543</v>
      </c>
      <c r="M3348" s="460">
        <f t="shared" si="169"/>
        <v>0.05</v>
      </c>
      <c r="N3348" s="464">
        <f t="shared" si="170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68"/>
        <v>-28031557905.435543</v>
      </c>
      <c r="J3349" s="444">
        <f t="array" ref="J3349">IFERROR(INDEX('Retirement Calculator'!J:J,MATCH('Isaac 401k'!N3349,'Retirement Calculator'!A:A,0),0),0)</f>
        <v>0</v>
      </c>
      <c r="K3349" s="444">
        <f t="shared" ca="1" si="166"/>
        <v>-116798157.93931478</v>
      </c>
      <c r="L3349" s="444">
        <f t="shared" ca="1" si="167"/>
        <v>-28148356063.374859</v>
      </c>
      <c r="M3349" s="460">
        <f t="shared" si="169"/>
        <v>0.05</v>
      </c>
      <c r="N3349" s="464">
        <f t="shared" si="170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68"/>
        <v>-28148356063.374859</v>
      </c>
      <c r="J3350" s="444">
        <f t="array" ref="J3350">IFERROR(INDEX('Retirement Calculator'!J:J,MATCH('Isaac 401k'!N3350,'Retirement Calculator'!A:A,0),0),0)</f>
        <v>0</v>
      </c>
      <c r="K3350" s="444">
        <f t="shared" ca="1" si="166"/>
        <v>-117284816.9307286</v>
      </c>
      <c r="L3350" s="444">
        <f t="shared" ca="1" si="167"/>
        <v>-28265640880.305588</v>
      </c>
      <c r="M3350" s="460">
        <f t="shared" si="169"/>
        <v>0.05</v>
      </c>
      <c r="N3350" s="464">
        <f t="shared" si="170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68"/>
        <v>-28265640880.305588</v>
      </c>
      <c r="J3351" s="444">
        <f t="array" ref="J3351">IFERROR(INDEX('Retirement Calculator'!J:J,MATCH('Isaac 401k'!N3351,'Retirement Calculator'!A:A,0),0),0)</f>
        <v>0</v>
      </c>
      <c r="K3351" s="444">
        <f t="shared" ca="1" si="166"/>
        <v>-117773503.66793993</v>
      </c>
      <c r="L3351" s="444">
        <f t="shared" ca="1" si="167"/>
        <v>-28383414383.973526</v>
      </c>
      <c r="M3351" s="460">
        <f t="shared" si="169"/>
        <v>0.05</v>
      </c>
      <c r="N3351" s="464">
        <f t="shared" si="170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68"/>
        <v>-28383414383.973526</v>
      </c>
      <c r="J3352" s="444">
        <f t="array" ref="J3352">IFERROR(INDEX('Retirement Calculator'!J:J,MATCH('Isaac 401k'!N3352,'Retirement Calculator'!A:A,0),0),0)</f>
        <v>0</v>
      </c>
      <c r="K3352" s="444">
        <f t="shared" ca="1" si="166"/>
        <v>-118264226.5998897</v>
      </c>
      <c r="L3352" s="444">
        <f t="shared" ca="1" si="167"/>
        <v>-28501678610.573414</v>
      </c>
      <c r="M3352" s="460">
        <f t="shared" si="169"/>
        <v>0.05</v>
      </c>
      <c r="N3352" s="464">
        <f t="shared" si="170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68"/>
        <v>-28501678610.573414</v>
      </c>
      <c r="J3353" s="444">
        <f t="array" ref="J3353">IFERROR(INDEX('Retirement Calculator'!J:J,MATCH('Isaac 401k'!N3353,'Retirement Calculator'!A:A,0),0),0)</f>
        <v>0</v>
      </c>
      <c r="K3353" s="444">
        <f t="shared" ca="1" si="166"/>
        <v>-118756994.21072255</v>
      </c>
      <c r="L3353" s="444">
        <f t="shared" ca="1" si="167"/>
        <v>-28620435604.784138</v>
      </c>
      <c r="M3353" s="460">
        <f t="shared" si="169"/>
        <v>0.05</v>
      </c>
      <c r="N3353" s="464">
        <f t="shared" si="170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68"/>
        <v>-28620435604.784138</v>
      </c>
      <c r="J3354" s="444">
        <f t="array" ref="J3354">IFERROR(INDEX('Retirement Calculator'!J:J,MATCH('Isaac 401k'!N3354,'Retirement Calculator'!A:A,0),0),0)</f>
        <v>0</v>
      </c>
      <c r="K3354" s="444">
        <f t="shared" ca="1" si="166"/>
        <v>-119251815.01993391</v>
      </c>
      <c r="L3354" s="444">
        <f t="shared" ca="1" si="167"/>
        <v>-28739687419.804073</v>
      </c>
      <c r="M3354" s="460">
        <f t="shared" si="169"/>
        <v>0.05</v>
      </c>
      <c r="N3354" s="464">
        <f t="shared" si="170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68"/>
        <v>-28739687419.804073</v>
      </c>
      <c r="J3355" s="444">
        <f t="array" ref="J3355">IFERROR(INDEX('Retirement Calculator'!J:J,MATCH('Isaac 401k'!N3355,'Retirement Calculator'!A:A,0),0),0)</f>
        <v>0</v>
      </c>
      <c r="K3355" s="444">
        <f t="shared" ca="1" si="166"/>
        <v>-119748697.58251697</v>
      </c>
      <c r="L3355" s="444">
        <f t="shared" ca="1" si="167"/>
        <v>-28859436117.386589</v>
      </c>
      <c r="M3355" s="460">
        <f t="shared" si="169"/>
        <v>0.05</v>
      </c>
      <c r="N3355" s="464">
        <f t="shared" si="170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68"/>
        <v>-28859436117.386589</v>
      </c>
      <c r="J3356" s="444">
        <f t="array" ref="J3356">IFERROR(INDEX('Retirement Calculator'!J:J,MATCH('Isaac 401k'!N3356,'Retirement Calculator'!A:A,0),0),0)</f>
        <v>0</v>
      </c>
      <c r="K3356" s="444">
        <f t="shared" ca="1" si="166"/>
        <v>-120247650.48911078</v>
      </c>
      <c r="L3356" s="444">
        <f t="shared" ca="1" si="167"/>
        <v>-28979683767.875698</v>
      </c>
      <c r="M3356" s="460">
        <f t="shared" si="169"/>
        <v>0.05</v>
      </c>
      <c r="N3356" s="464">
        <f t="shared" si="170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68"/>
        <v>-28979683767.875698</v>
      </c>
      <c r="J3357" s="444">
        <f t="array" ref="J3357">IFERROR(INDEX('Retirement Calculator'!J:J,MATCH('Isaac 401k'!N3357,'Retirement Calculator'!A:A,0),0),0)</f>
        <v>0</v>
      </c>
      <c r="K3357" s="444">
        <f t="shared" ca="1" si="166"/>
        <v>-120748682.36614875</v>
      </c>
      <c r="L3357" s="444">
        <f t="shared" ca="1" si="167"/>
        <v>-29100432450.241848</v>
      </c>
      <c r="M3357" s="460">
        <f t="shared" si="169"/>
        <v>0.05</v>
      </c>
      <c r="N3357" s="464">
        <f t="shared" si="170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68"/>
        <v>-29100432450.241848</v>
      </c>
      <c r="J3358" s="444">
        <f t="array" ref="J3358">IFERROR(INDEX('Retirement Calculator'!J:J,MATCH('Isaac 401k'!N3358,'Retirement Calculator'!A:A,0),0),0)</f>
        <v>0</v>
      </c>
      <c r="K3358" s="444">
        <f t="shared" ca="1" si="166"/>
        <v>-121251801.87600769</v>
      </c>
      <c r="L3358" s="444">
        <f t="shared" ca="1" si="167"/>
        <v>-29221684252.117855</v>
      </c>
      <c r="M3358" s="460">
        <f t="shared" si="169"/>
        <v>0.05</v>
      </c>
      <c r="N3358" s="464">
        <f t="shared" si="170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68"/>
        <v>-29221684252.117855</v>
      </c>
      <c r="J3359" s="444">
        <f t="array" ref="J3359">IFERROR(INDEX('Retirement Calculator'!J:J,MATCH('Isaac 401k'!N3359,'Retirement Calculator'!A:A,0),0),0)</f>
        <v>0</v>
      </c>
      <c r="K3359" s="444">
        <f t="shared" ca="1" si="166"/>
        <v>-121757017.71715772</v>
      </c>
      <c r="L3359" s="444">
        <f t="shared" ca="1" si="167"/>
        <v>-29343441269.835014</v>
      </c>
      <c r="M3359" s="460">
        <f t="shared" si="169"/>
        <v>0.05</v>
      </c>
      <c r="N3359" s="464">
        <f t="shared" si="170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68"/>
        <v>-29343441269.835014</v>
      </c>
      <c r="J3360" s="444">
        <f t="array" ref="J3360">IFERROR(INDEX('Retirement Calculator'!J:J,MATCH('Isaac 401k'!N3360,'Retirement Calculator'!A:A,0),0),0)</f>
        <v>0</v>
      </c>
      <c r="K3360" s="444">
        <f t="shared" ca="1" si="166"/>
        <v>-122264338.62431256</v>
      </c>
      <c r="L3360" s="444">
        <f t="shared" ca="1" si="167"/>
        <v>-29465705608.459328</v>
      </c>
      <c r="M3360" s="460">
        <f t="shared" si="169"/>
        <v>0.05</v>
      </c>
      <c r="N3360" s="464">
        <f t="shared" si="170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68"/>
        <v>-29465705608.459328</v>
      </c>
      <c r="J3361" s="444">
        <f t="array" ref="J3361">IFERROR(INDEX('Retirement Calculator'!J:J,MATCH('Isaac 401k'!N3361,'Retirement Calculator'!A:A,0),0),0)</f>
        <v>0</v>
      </c>
      <c r="K3361" s="444">
        <f t="shared" ca="1" si="166"/>
        <v>-122773773.36858055</v>
      </c>
      <c r="L3361" s="444">
        <f t="shared" ca="1" si="167"/>
        <v>-29588479381.827908</v>
      </c>
      <c r="M3361" s="460">
        <f t="shared" si="169"/>
        <v>0.05</v>
      </c>
      <c r="N3361" s="464">
        <f t="shared" si="170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68"/>
        <v>-29588479381.827908</v>
      </c>
      <c r="J3362" s="444">
        <f t="array" ref="J3362">IFERROR(INDEX('Retirement Calculator'!J:J,MATCH('Isaac 401k'!N3362,'Retirement Calculator'!A:A,0),0),0)</f>
        <v>0</v>
      </c>
      <c r="K3362" s="444">
        <f t="shared" ca="1" si="166"/>
        <v>-123285330.7576163</v>
      </c>
      <c r="L3362" s="444">
        <f t="shared" ca="1" si="167"/>
        <v>-29711764712.585526</v>
      </c>
      <c r="M3362" s="460">
        <f t="shared" si="169"/>
        <v>0.05</v>
      </c>
      <c r="N3362" s="464">
        <f t="shared" si="170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68"/>
        <v>-29711764712.585526</v>
      </c>
      <c r="J3363" s="444">
        <f t="array" ref="J3363">IFERROR(INDEX('Retirement Calculator'!J:J,MATCH('Isaac 401k'!N3363,'Retirement Calculator'!A:A,0),0),0)</f>
        <v>0</v>
      </c>
      <c r="K3363" s="444">
        <f t="shared" ca="1" si="166"/>
        <v>-123799019.63577302</v>
      </c>
      <c r="L3363" s="444">
        <f t="shared" ca="1" si="167"/>
        <v>-29835563732.221298</v>
      </c>
      <c r="M3363" s="460">
        <f t="shared" si="169"/>
        <v>0.05</v>
      </c>
      <c r="N3363" s="464">
        <f t="shared" si="170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68"/>
        <v>-29835563732.221298</v>
      </c>
      <c r="J3364" s="444">
        <f t="array" ref="J3364">IFERROR(INDEX('Retirement Calculator'!J:J,MATCH('Isaac 401k'!N3364,'Retirement Calculator'!A:A,0),0),0)</f>
        <v>0</v>
      </c>
      <c r="K3364" s="444">
        <f t="shared" ca="1" si="166"/>
        <v>-124314848.88425541</v>
      </c>
      <c r="L3364" s="444">
        <f t="shared" ca="1" si="167"/>
        <v>-29959878581.105553</v>
      </c>
      <c r="M3364" s="460">
        <f t="shared" si="169"/>
        <v>0.05</v>
      </c>
      <c r="N3364" s="464">
        <f t="shared" si="170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68"/>
        <v>-29959878581.105553</v>
      </c>
      <c r="J3365" s="444">
        <f t="array" ref="J3365">IFERROR(INDEX('Retirement Calculator'!J:J,MATCH('Isaac 401k'!N3365,'Retirement Calculator'!A:A,0),0),0)</f>
        <v>0</v>
      </c>
      <c r="K3365" s="444">
        <f t="shared" ca="1" si="166"/>
        <v>-124832827.42127313</v>
      </c>
      <c r="L3365" s="444">
        <f t="shared" ca="1" si="167"/>
        <v>-30084711408.526825</v>
      </c>
      <c r="M3365" s="460">
        <f t="shared" si="169"/>
        <v>0.05</v>
      </c>
      <c r="N3365" s="464">
        <f t="shared" si="170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68"/>
        <v>-30084711408.526825</v>
      </c>
      <c r="J3366" s="444">
        <f t="array" ref="J3366">IFERROR(INDEX('Retirement Calculator'!J:J,MATCH('Isaac 401k'!N3366,'Retirement Calculator'!A:A,0),0),0)</f>
        <v>0</v>
      </c>
      <c r="K3366" s="444">
        <f t="shared" ca="1" si="166"/>
        <v>-125352964.20219511</v>
      </c>
      <c r="L3366" s="444">
        <f t="shared" ca="1" si="167"/>
        <v>-30210064372.729019</v>
      </c>
      <c r="M3366" s="460">
        <f t="shared" si="169"/>
        <v>0.05</v>
      </c>
      <c r="N3366" s="464">
        <f t="shared" si="170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68"/>
        <v>-30210064372.729019</v>
      </c>
      <c r="J3367" s="444">
        <f t="array" ref="J3367">IFERROR(INDEX('Retirement Calculator'!J:J,MATCH('Isaac 401k'!N3367,'Retirement Calculator'!A:A,0),0),0)</f>
        <v>0</v>
      </c>
      <c r="K3367" s="444">
        <f t="shared" ca="1" si="166"/>
        <v>-125875268.21970424</v>
      </c>
      <c r="L3367" s="444">
        <f t="shared" ca="1" si="167"/>
        <v>-30335939640.948723</v>
      </c>
      <c r="M3367" s="460">
        <f t="shared" si="169"/>
        <v>0.05</v>
      </c>
      <c r="N3367" s="464">
        <f t="shared" si="170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68"/>
        <v>-30335939640.948723</v>
      </c>
      <c r="J3368" s="444">
        <f t="array" ref="J3368">IFERROR(INDEX('Retirement Calculator'!J:J,MATCH('Isaac 401k'!N3368,'Retirement Calculator'!A:A,0),0),0)</f>
        <v>0</v>
      </c>
      <c r="K3368" s="444">
        <f t="shared" ca="1" si="166"/>
        <v>-126399748.50395301</v>
      </c>
      <c r="L3368" s="444">
        <f t="shared" ca="1" si="167"/>
        <v>-30462339389.452675</v>
      </c>
      <c r="M3368" s="460">
        <f t="shared" si="169"/>
        <v>0.05</v>
      </c>
      <c r="N3368" s="464">
        <f t="shared" si="170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68"/>
        <v>-30462339389.452675</v>
      </c>
      <c r="J3369" s="444">
        <f t="array" ref="J3369">IFERROR(INDEX('Retirement Calculator'!J:J,MATCH('Isaac 401k'!N3369,'Retirement Calculator'!A:A,0),0),0)</f>
        <v>0</v>
      </c>
      <c r="K3369" s="444">
        <f t="shared" ca="1" si="166"/>
        <v>-126926414.12271948</v>
      </c>
      <c r="L3369" s="444">
        <f t="shared" ca="1" si="167"/>
        <v>-30589265803.575394</v>
      </c>
      <c r="M3369" s="460">
        <f t="shared" si="169"/>
        <v>0.05</v>
      </c>
      <c r="N3369" s="464">
        <f t="shared" si="170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68"/>
        <v>-30589265803.575394</v>
      </c>
      <c r="J3370" s="444">
        <f t="array" ref="J3370">IFERROR(INDEX('Retirement Calculator'!J:J,MATCH('Isaac 401k'!N3370,'Retirement Calculator'!A:A,0),0),0)</f>
        <v>0</v>
      </c>
      <c r="K3370" s="444">
        <f t="shared" ca="1" si="166"/>
        <v>-127455274.18156412</v>
      </c>
      <c r="L3370" s="444">
        <f t="shared" ca="1" si="167"/>
        <v>-30716721077.756958</v>
      </c>
      <c r="M3370" s="460">
        <f t="shared" si="169"/>
        <v>0.05</v>
      </c>
      <c r="N3370" s="464">
        <f t="shared" si="170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68"/>
        <v>-30716721077.756958</v>
      </c>
      <c r="J3371" s="444">
        <f t="array" ref="J3371">IFERROR(INDEX('Retirement Calculator'!J:J,MATCH('Isaac 401k'!N3371,'Retirement Calculator'!A:A,0),0),0)</f>
        <v>0</v>
      </c>
      <c r="K3371" s="444">
        <f t="shared" ca="1" si="166"/>
        <v>-127986337.82398733</v>
      </c>
      <c r="L3371" s="444">
        <f t="shared" ca="1" si="167"/>
        <v>-30844707415.580944</v>
      </c>
      <c r="M3371" s="460">
        <f t="shared" si="169"/>
        <v>0.05</v>
      </c>
      <c r="N3371" s="464">
        <f t="shared" si="170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68"/>
        <v>-30844707415.580944</v>
      </c>
      <c r="J3372" s="444">
        <f t="array" ref="J3372">IFERROR(INDEX('Retirement Calculator'!J:J,MATCH('Isaac 401k'!N3372,'Retirement Calculator'!A:A,0),0),0)</f>
        <v>0</v>
      </c>
      <c r="K3372" s="444">
        <f t="shared" ca="1" si="166"/>
        <v>-128519614.23158726</v>
      </c>
      <c r="L3372" s="444">
        <f t="shared" ca="1" si="167"/>
        <v>-30973227029.812531</v>
      </c>
      <c r="M3372" s="460">
        <f t="shared" si="169"/>
        <v>0.05</v>
      </c>
      <c r="N3372" s="464">
        <f t="shared" si="170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68"/>
        <v>-30973227029.812531</v>
      </c>
      <c r="J3373" s="444">
        <f t="array" ref="J3373">IFERROR(INDEX('Retirement Calculator'!J:J,MATCH('Isaac 401k'!N3373,'Retirement Calculator'!A:A,0),0),0)</f>
        <v>0</v>
      </c>
      <c r="K3373" s="444">
        <f t="shared" ca="1" si="166"/>
        <v>-129055112.62421888</v>
      </c>
      <c r="L3373" s="444">
        <f t="shared" ca="1" si="167"/>
        <v>-31102282142.436749</v>
      </c>
      <c r="M3373" s="460">
        <f t="shared" si="169"/>
        <v>0.05</v>
      </c>
      <c r="N3373" s="464">
        <f t="shared" si="170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68"/>
        <v>-31102282142.436749</v>
      </c>
      <c r="J3374" s="444">
        <f t="array" ref="J3374">IFERROR(INDEX('Retirement Calculator'!J:J,MATCH('Isaac 401k'!N3374,'Retirement Calculator'!A:A,0),0),0)</f>
        <v>0</v>
      </c>
      <c r="K3374" s="444">
        <f t="shared" ca="1" si="166"/>
        <v>-129592842.26015313</v>
      </c>
      <c r="L3374" s="444">
        <f t="shared" ca="1" si="167"/>
        <v>-31231874984.696903</v>
      </c>
      <c r="M3374" s="460">
        <f t="shared" si="169"/>
        <v>0.05</v>
      </c>
      <c r="N3374" s="464">
        <f t="shared" si="170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68"/>
        <v>-31231874984.696903</v>
      </c>
      <c r="J3375" s="444">
        <f t="array" ref="J3375">IFERROR(INDEX('Retirement Calculator'!J:J,MATCH('Isaac 401k'!N3375,'Retirement Calculator'!A:A,0),0),0)</f>
        <v>0</v>
      </c>
      <c r="K3375" s="444">
        <f t="shared" ca="1" si="166"/>
        <v>-130132812.4362371</v>
      </c>
      <c r="L3375" s="444">
        <f t="shared" ca="1" si="167"/>
        <v>-31362007797.133141</v>
      </c>
      <c r="M3375" s="460">
        <f t="shared" si="169"/>
        <v>0.05</v>
      </c>
      <c r="N3375" s="464">
        <f t="shared" si="170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68"/>
        <v>-31362007797.133141</v>
      </c>
      <c r="J3376" s="444">
        <f t="array" ref="J3376">IFERROR(INDEX('Retirement Calculator'!J:J,MATCH('Isaac 401k'!N3376,'Retirement Calculator'!A:A,0),0),0)</f>
        <v>0</v>
      </c>
      <c r="K3376" s="444">
        <f t="shared" ca="1" si="166"/>
        <v>-130675032.48805475</v>
      </c>
      <c r="L3376" s="444">
        <f t="shared" ca="1" si="167"/>
        <v>-31492682829.621197</v>
      </c>
      <c r="M3376" s="460">
        <f t="shared" si="169"/>
        <v>0.05</v>
      </c>
      <c r="N3376" s="464">
        <f t="shared" si="170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68"/>
        <v>-31492682829.621197</v>
      </c>
      <c r="J3377" s="444">
        <f t="array" ref="J3377">IFERROR(INDEX('Retirement Calculator'!J:J,MATCH('Isaac 401k'!N3377,'Retirement Calculator'!A:A,0),0),0)</f>
        <v>0</v>
      </c>
      <c r="K3377" s="444">
        <f t="shared" ca="1" si="166"/>
        <v>-131219511.79008834</v>
      </c>
      <c r="L3377" s="444">
        <f t="shared" ca="1" si="167"/>
        <v>-31623902341.411285</v>
      </c>
      <c r="M3377" s="460">
        <f t="shared" si="169"/>
        <v>0.05</v>
      </c>
      <c r="N3377" s="464">
        <f t="shared" si="170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68"/>
        <v>-31623902341.411285</v>
      </c>
      <c r="J3378" s="444">
        <f t="array" ref="J3378">IFERROR(INDEX('Retirement Calculator'!J:J,MATCH('Isaac 401k'!N3378,'Retirement Calculator'!A:A,0),0),0)</f>
        <v>0</v>
      </c>
      <c r="K3378" s="444">
        <f t="shared" ca="1" si="166"/>
        <v>-131766259.75588037</v>
      </c>
      <c r="L3378" s="444">
        <f t="shared" ca="1" si="167"/>
        <v>-31755668601.167168</v>
      </c>
      <c r="M3378" s="460">
        <f t="shared" si="169"/>
        <v>0.05</v>
      </c>
      <c r="N3378" s="464">
        <f t="shared" si="170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68"/>
        <v>-31755668601.167168</v>
      </c>
      <c r="J3379" s="444">
        <f t="array" ref="J3379">IFERROR(INDEX('Retirement Calculator'!J:J,MATCH('Isaac 401k'!N3379,'Retirement Calculator'!A:A,0),0),0)</f>
        <v>0</v>
      </c>
      <c r="K3379" s="444">
        <f t="shared" ca="1" si="166"/>
        <v>-132315285.83819652</v>
      </c>
      <c r="L3379" s="444">
        <f t="shared" ca="1" si="167"/>
        <v>-31887983887.005363</v>
      </c>
      <c r="M3379" s="460">
        <f t="shared" si="169"/>
        <v>0.05</v>
      </c>
      <c r="N3379" s="464">
        <f t="shared" si="170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68"/>
        <v>-31887983887.005363</v>
      </c>
      <c r="J3380" s="444">
        <f t="array" ref="J3380">IFERROR(INDEX('Retirement Calculator'!J:J,MATCH('Isaac 401k'!N3380,'Retirement Calculator'!A:A,0),0),0)</f>
        <v>0</v>
      </c>
      <c r="K3380" s="444">
        <f t="shared" ca="1" si="166"/>
        <v>-132866599.52918901</v>
      </c>
      <c r="L3380" s="444">
        <f t="shared" ca="1" si="167"/>
        <v>-32020850486.534554</v>
      </c>
      <c r="M3380" s="460">
        <f t="shared" si="169"/>
        <v>0.05</v>
      </c>
      <c r="N3380" s="464">
        <f t="shared" si="170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68"/>
        <v>-32020850486.534554</v>
      </c>
      <c r="J3381" s="444">
        <f t="array" ref="J3381">IFERROR(INDEX('Retirement Calculator'!J:J,MATCH('Isaac 401k'!N3381,'Retirement Calculator'!A:A,0),0),0)</f>
        <v>0</v>
      </c>
      <c r="K3381" s="444">
        <f t="shared" ca="1" si="166"/>
        <v>-133420210.36056063</v>
      </c>
      <c r="L3381" s="444">
        <f t="shared" ca="1" si="167"/>
        <v>-32154270696.895115</v>
      </c>
      <c r="M3381" s="460">
        <f t="shared" si="169"/>
        <v>0.05</v>
      </c>
      <c r="N3381" s="464">
        <f t="shared" si="170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68"/>
        <v>-32154270696.895115</v>
      </c>
      <c r="J3382" s="444">
        <f t="array" ref="J3382">IFERROR(INDEX('Retirement Calculator'!J:J,MATCH('Isaac 401k'!N3382,'Retirement Calculator'!A:A,0),0),0)</f>
        <v>0</v>
      </c>
      <c r="K3382" s="444">
        <f t="shared" ca="1" si="166"/>
        <v>-133976127.90372965</v>
      </c>
      <c r="L3382" s="444">
        <f t="shared" ca="1" si="167"/>
        <v>-32288246824.798843</v>
      </c>
      <c r="M3382" s="460">
        <f t="shared" si="169"/>
        <v>0.05</v>
      </c>
      <c r="N3382" s="464">
        <f t="shared" si="170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68"/>
        <v>-32288246824.798843</v>
      </c>
      <c r="J3383" s="444">
        <f t="array" ref="J3383">IFERROR(INDEX('Retirement Calculator'!J:J,MATCH('Isaac 401k'!N3383,'Retirement Calculator'!A:A,0),0),0)</f>
        <v>0</v>
      </c>
      <c r="K3383" s="444">
        <f t="shared" ca="1" si="166"/>
        <v>-134534361.76999518</v>
      </c>
      <c r="L3383" s="444">
        <f t="shared" ca="1" si="167"/>
        <v>-32422781186.56884</v>
      </c>
      <c r="M3383" s="460">
        <f t="shared" si="169"/>
        <v>0.05</v>
      </c>
      <c r="N3383" s="464">
        <f t="shared" si="170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68"/>
        <v>-32422781186.56884</v>
      </c>
      <c r="J3384" s="444">
        <f t="array" ref="J3384">IFERROR(INDEX('Retirement Calculator'!J:J,MATCH('Isaac 401k'!N3384,'Retirement Calculator'!A:A,0),0),0)</f>
        <v>0</v>
      </c>
      <c r="K3384" s="444">
        <f t="shared" ca="1" si="166"/>
        <v>-135094921.6107035</v>
      </c>
      <c r="L3384" s="444">
        <f t="shared" ca="1" si="167"/>
        <v>-32557876108.179543</v>
      </c>
      <c r="M3384" s="460">
        <f t="shared" si="169"/>
        <v>0.05</v>
      </c>
      <c r="N3384" s="464">
        <f t="shared" si="170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68"/>
        <v>-32557876108.179543</v>
      </c>
      <c r="J3385" s="444">
        <f t="array" ref="J3385">IFERROR(INDEX('Retirement Calculator'!J:J,MATCH('Isaac 401k'!N3385,'Retirement Calculator'!A:A,0),0),0)</f>
        <v>0</v>
      </c>
      <c r="K3385" s="444">
        <f t="shared" ca="1" si="166"/>
        <v>-135657817.11741477</v>
      </c>
      <c r="L3385" s="444">
        <f t="shared" ca="1" si="167"/>
        <v>-32693533925.296959</v>
      </c>
      <c r="M3385" s="460">
        <f t="shared" si="169"/>
        <v>0.05</v>
      </c>
      <c r="N3385" s="464">
        <f t="shared" si="170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68"/>
        <v>-32693533925.296959</v>
      </c>
      <c r="J3386" s="444">
        <f t="array" ref="J3386">IFERROR(INDEX('Retirement Calculator'!J:J,MATCH('Isaac 401k'!N3386,'Retirement Calculator'!A:A,0),0),0)</f>
        <v>0</v>
      </c>
      <c r="K3386" s="444">
        <f t="shared" ca="1" si="166"/>
        <v>-136223058.02207065</v>
      </c>
      <c r="L3386" s="444">
        <f t="shared" ca="1" si="167"/>
        <v>-32829756983.319031</v>
      </c>
      <c r="M3386" s="460">
        <f t="shared" si="169"/>
        <v>0.05</v>
      </c>
      <c r="N3386" s="464">
        <f t="shared" si="170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68"/>
        <v>-32829756983.319031</v>
      </c>
      <c r="J3387" s="444">
        <f t="array" ref="J3387">IFERROR(INDEX('Retirement Calculator'!J:J,MATCH('Isaac 401k'!N3387,'Retirement Calculator'!A:A,0),0),0)</f>
        <v>0</v>
      </c>
      <c r="K3387" s="444">
        <f t="shared" ca="1" si="166"/>
        <v>-136790654.09716263</v>
      </c>
      <c r="L3387" s="444">
        <f t="shared" ca="1" si="167"/>
        <v>-32966547637.416195</v>
      </c>
      <c r="M3387" s="460">
        <f t="shared" si="169"/>
        <v>0.05</v>
      </c>
      <c r="N3387" s="464">
        <f t="shared" si="170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68"/>
        <v>-32966547637.416195</v>
      </c>
      <c r="J3388" s="444">
        <f t="array" ref="J3388">IFERROR(INDEX('Retirement Calculator'!J:J,MATCH('Isaac 401k'!N3388,'Retirement Calculator'!A:A,0),0),0)</f>
        <v>0</v>
      </c>
      <c r="K3388" s="444">
        <f t="shared" ca="1" si="166"/>
        <v>-137360615.15590084</v>
      </c>
      <c r="L3388" s="444">
        <f t="shared" ca="1" si="167"/>
        <v>-33103908252.572094</v>
      </c>
      <c r="M3388" s="460">
        <f t="shared" si="169"/>
        <v>0.05</v>
      </c>
      <c r="N3388" s="464">
        <f t="shared" si="170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68"/>
        <v>-33103908252.572094</v>
      </c>
      <c r="J3389" s="444">
        <f t="array" ref="J3389">IFERROR(INDEX('Retirement Calculator'!J:J,MATCH('Isaac 401k'!N3389,'Retirement Calculator'!A:A,0),0),0)</f>
        <v>0</v>
      </c>
      <c r="K3389" s="444">
        <f t="shared" ca="1" si="166"/>
        <v>-137932951.05238372</v>
      </c>
      <c r="L3389" s="444">
        <f t="shared" ca="1" si="167"/>
        <v>-33241841203.624477</v>
      </c>
      <c r="M3389" s="460">
        <f t="shared" si="169"/>
        <v>0.05</v>
      </c>
      <c r="N3389" s="464">
        <f t="shared" si="170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68"/>
        <v>-33241841203.624477</v>
      </c>
      <c r="J3390" s="444">
        <f t="array" ref="J3390">IFERROR(INDEX('Retirement Calculator'!J:J,MATCH('Isaac 401k'!N3390,'Retirement Calculator'!A:A,0),0),0)</f>
        <v>0</v>
      </c>
      <c r="K3390" s="444">
        <f t="shared" ca="1" si="166"/>
        <v>-138507671.68176866</v>
      </c>
      <c r="L3390" s="444">
        <f t="shared" ca="1" si="167"/>
        <v>-33380348875.306248</v>
      </c>
      <c r="M3390" s="460">
        <f t="shared" si="169"/>
        <v>0.05</v>
      </c>
      <c r="N3390" s="464">
        <f t="shared" si="170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68"/>
        <v>-33380348875.306248</v>
      </c>
      <c r="J3391" s="444">
        <f t="array" ref="J3391">IFERROR(INDEX('Retirement Calculator'!J:J,MATCH('Isaac 401k'!N3391,'Retirement Calculator'!A:A,0),0),0)</f>
        <v>0</v>
      </c>
      <c r="K3391" s="444">
        <f t="shared" ca="1" si="166"/>
        <v>-139084786.9804427</v>
      </c>
      <c r="L3391" s="444">
        <f t="shared" ca="1" si="167"/>
        <v>-33519433662.28669</v>
      </c>
      <c r="M3391" s="460">
        <f t="shared" si="169"/>
        <v>0.05</v>
      </c>
      <c r="N3391" s="464">
        <f t="shared" si="170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68"/>
        <v>-33519433662.28669</v>
      </c>
      <c r="J3392" s="444">
        <f t="array" ref="J3392">IFERROR(INDEX('Retirement Calculator'!J:J,MATCH('Isaac 401k'!N3392,'Retirement Calculator'!A:A,0),0),0)</f>
        <v>0</v>
      </c>
      <c r="K3392" s="444">
        <f t="shared" ca="1" si="166"/>
        <v>-139664306.92619455</v>
      </c>
      <c r="L3392" s="444">
        <f t="shared" ca="1" si="167"/>
        <v>-33659097969.212883</v>
      </c>
      <c r="M3392" s="460">
        <f t="shared" si="169"/>
        <v>0.05</v>
      </c>
      <c r="N3392" s="464">
        <f t="shared" si="170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68"/>
        <v>-33659097969.212883</v>
      </c>
      <c r="J3393" s="444">
        <f t="array" ref="J3393">IFERROR(INDEX('Retirement Calculator'!J:J,MATCH('Isaac 401k'!N3393,'Retirement Calculator'!A:A,0),0),0)</f>
        <v>0</v>
      </c>
      <c r="K3393" s="444">
        <f t="shared" ca="1" si="166"/>
        <v>-140246241.538387</v>
      </c>
      <c r="L3393" s="444">
        <f t="shared" ca="1" si="167"/>
        <v>-33799344210.75127</v>
      </c>
      <c r="M3393" s="460">
        <f t="shared" si="169"/>
        <v>0.05</v>
      </c>
      <c r="N3393" s="464">
        <f t="shared" si="170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68"/>
        <v>-33799344210.75127</v>
      </c>
      <c r="J3394" s="444">
        <f t="array" ref="J3394">IFERROR(INDEX('Retirement Calculator'!J:J,MATCH('Isaac 401k'!N3394,'Retirement Calculator'!A:A,0),0),0)</f>
        <v>0</v>
      </c>
      <c r="K3394" s="444">
        <f t="shared" ca="1" si="166"/>
        <v>-140830600.87813032</v>
      </c>
      <c r="L3394" s="444">
        <f t="shared" ca="1" si="167"/>
        <v>-33940174811.629402</v>
      </c>
      <c r="M3394" s="460">
        <f t="shared" si="169"/>
        <v>0.05</v>
      </c>
      <c r="N3394" s="464">
        <f t="shared" si="170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68"/>
        <v>-33940174811.629402</v>
      </c>
      <c r="J3395" s="444">
        <f t="array" ref="J3395">IFERROR(INDEX('Retirement Calculator'!J:J,MATCH('Isaac 401k'!N3395,'Retirement Calculator'!A:A,0),0),0)</f>
        <v>0</v>
      </c>
      <c r="K3395" s="444">
        <f t="shared" ca="1" si="166"/>
        <v>-141417395.04845583</v>
      </c>
      <c r="L3395" s="444">
        <f t="shared" ca="1" si="167"/>
        <v>-34081592206.677856</v>
      </c>
      <c r="M3395" s="460">
        <f t="shared" si="169"/>
        <v>0.05</v>
      </c>
      <c r="N3395" s="464">
        <f t="shared" si="170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68"/>
        <v>-34081592206.677856</v>
      </c>
      <c r="J3396" s="444">
        <f t="array" ref="J3396">IFERROR(INDEX('Retirement Calculator'!J:J,MATCH('Isaac 401k'!N3396,'Retirement Calculator'!A:A,0),0),0)</f>
        <v>0</v>
      </c>
      <c r="K3396" s="444">
        <f t="shared" ca="1" si="166"/>
        <v>-142006634.19449106</v>
      </c>
      <c r="L3396" s="444">
        <f t="shared" ca="1" si="167"/>
        <v>-34223598840.872349</v>
      </c>
      <c r="M3396" s="460">
        <f t="shared" si="169"/>
        <v>0.05</v>
      </c>
      <c r="N3396" s="464">
        <f t="shared" si="170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68"/>
        <v>-34223598840.872349</v>
      </c>
      <c r="J3397" s="444">
        <f t="array" ref="J3397">IFERROR(INDEX('Retirement Calculator'!J:J,MATCH('Isaac 401k'!N3397,'Retirement Calculator'!A:A,0),0),0)</f>
        <v>0</v>
      </c>
      <c r="K3397" s="444">
        <f t="shared" ca="1" si="166"/>
        <v>-142598328.50363481</v>
      </c>
      <c r="L3397" s="444">
        <f t="shared" ca="1" si="167"/>
        <v>-34366197169.375984</v>
      </c>
      <c r="M3397" s="460">
        <f t="shared" si="169"/>
        <v>0.05</v>
      </c>
      <c r="N3397" s="464">
        <f t="shared" si="170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68"/>
        <v>-34366197169.375984</v>
      </c>
      <c r="J3398" s="444">
        <f t="array" ref="J3398">IFERROR(INDEX('Retirement Calculator'!J:J,MATCH('Isaac 401k'!N3398,'Retirement Calculator'!A:A,0),0),0)</f>
        <v>0</v>
      </c>
      <c r="K3398" s="444">
        <f t="shared" ca="1" si="166"/>
        <v>-143192488.20573327</v>
      </c>
      <c r="L3398" s="444">
        <f t="shared" ca="1" si="167"/>
        <v>-34509389657.581718</v>
      </c>
      <c r="M3398" s="460">
        <f t="shared" si="169"/>
        <v>0.05</v>
      </c>
      <c r="N3398" s="464">
        <f t="shared" si="170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68"/>
        <v>-34509389657.581718</v>
      </c>
      <c r="J3399" s="444">
        <f t="array" ref="J3399">IFERROR(INDEX('Retirement Calculator'!J:J,MATCH('Isaac 401k'!N3399,'Retirement Calculator'!A:A,0),0),0)</f>
        <v>0</v>
      </c>
      <c r="K3399" s="444">
        <f t="shared" ca="1" si="166"/>
        <v>-143789123.57325715</v>
      </c>
      <c r="L3399" s="444">
        <f t="shared" ca="1" si="167"/>
        <v>-34653178781.154976</v>
      </c>
      <c r="M3399" s="460">
        <f t="shared" si="169"/>
        <v>0.05</v>
      </c>
      <c r="N3399" s="464">
        <f t="shared" si="170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68"/>
        <v>-34653178781.154976</v>
      </c>
      <c r="J3400" s="444">
        <f t="array" ref="J3400">IFERROR(INDEX('Retirement Calculator'!J:J,MATCH('Isaac 401k'!N3400,'Retirement Calculator'!A:A,0),0),0)</f>
        <v>0</v>
      </c>
      <c r="K3400" s="444">
        <f t="shared" ca="1" si="166"/>
        <v>-144388244.92147908</v>
      </c>
      <c r="L3400" s="444">
        <f t="shared" ca="1" si="167"/>
        <v>-34797567026.076454</v>
      </c>
      <c r="M3400" s="460">
        <f t="shared" si="169"/>
        <v>0.05</v>
      </c>
      <c r="N3400" s="464">
        <f t="shared" si="170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68"/>
        <v>-34797567026.076454</v>
      </c>
      <c r="J3401" s="444">
        <f t="array" ref="J3401">IFERROR(INDEX('Retirement Calculator'!J:J,MATCH('Isaac 401k'!N3401,'Retirement Calculator'!A:A,0),0),0)</f>
        <v>0</v>
      </c>
      <c r="K3401" s="444">
        <f t="shared" ca="1" si="166"/>
        <v>-144989862.60865188</v>
      </c>
      <c r="L3401" s="444">
        <f t="shared" ca="1" si="167"/>
        <v>-34942556888.685104</v>
      </c>
      <c r="M3401" s="460">
        <f t="shared" si="169"/>
        <v>0.05</v>
      </c>
      <c r="N3401" s="464">
        <f t="shared" si="170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68"/>
        <v>-34942556888.685104</v>
      </c>
      <c r="J3402" s="444">
        <f t="array" ref="J3402">IFERROR(INDEX('Retirement Calculator'!J:J,MATCH('Isaac 401k'!N3402,'Retirement Calculator'!A:A,0),0),0)</f>
        <v>0</v>
      </c>
      <c r="K3402" s="444">
        <f t="shared" ca="1" si="166"/>
        <v>-145593987.03618795</v>
      </c>
      <c r="L3402" s="444">
        <f t="shared" ca="1" si="167"/>
        <v>-35088150875.721291</v>
      </c>
      <c r="M3402" s="460">
        <f t="shared" si="169"/>
        <v>0.05</v>
      </c>
      <c r="N3402" s="464">
        <f t="shared" si="170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68"/>
        <v>-35088150875.721291</v>
      </c>
      <c r="J3403" s="444">
        <f t="array" ref="J3403">IFERROR(INDEX('Retirement Calculator'!J:J,MATCH('Isaac 401k'!N3403,'Retirement Calculator'!A:A,0),0),0)</f>
        <v>0</v>
      </c>
      <c r="K3403" s="444">
        <f t="shared" ca="1" si="166"/>
        <v>-146200628.6488387</v>
      </c>
      <c r="L3403" s="444">
        <f t="shared" ca="1" si="167"/>
        <v>-35234351504.370132</v>
      </c>
      <c r="M3403" s="460">
        <f t="shared" si="169"/>
        <v>0.05</v>
      </c>
      <c r="N3403" s="464">
        <f t="shared" si="170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68"/>
        <v>-35234351504.370132</v>
      </c>
      <c r="J3404" s="444">
        <f t="array" ref="J3404">IFERROR(INDEX('Retirement Calculator'!J:J,MATCH('Isaac 401k'!N3404,'Retirement Calculator'!A:A,0),0),0)</f>
        <v>0</v>
      </c>
      <c r="K3404" s="444">
        <f t="shared" ca="1" si="166"/>
        <v>-146809797.93487555</v>
      </c>
      <c r="L3404" s="444">
        <f t="shared" ca="1" si="167"/>
        <v>-35381161302.305008</v>
      </c>
      <c r="M3404" s="460">
        <f t="shared" si="169"/>
        <v>0.05</v>
      </c>
      <c r="N3404" s="464">
        <f t="shared" si="170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68"/>
        <v>-35381161302.305008</v>
      </c>
      <c r="J3405" s="444">
        <f t="array" ref="J3405">IFERROR(INDEX('Retirement Calculator'!J:J,MATCH('Isaac 401k'!N3405,'Retirement Calculator'!A:A,0),0),0)</f>
        <v>0</v>
      </c>
      <c r="K3405" s="444">
        <f t="shared" ca="1" si="166"/>
        <v>-147421505.42627087</v>
      </c>
      <c r="L3405" s="444">
        <f t="shared" ca="1" si="167"/>
        <v>-35528582807.731277</v>
      </c>
      <c r="M3405" s="460">
        <f t="shared" si="169"/>
        <v>0.05</v>
      </c>
      <c r="N3405" s="464">
        <f t="shared" si="170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68"/>
        <v>-35528582807.731277</v>
      </c>
      <c r="J3406" s="444">
        <f t="array" ref="J3406">IFERROR(INDEX('Retirement Calculator'!J:J,MATCH('Isaac 401k'!N3406,'Retirement Calculator'!A:A,0),0),0)</f>
        <v>0</v>
      </c>
      <c r="K3406" s="444">
        <f t="shared" ca="1" si="166"/>
        <v>-148035761.69888031</v>
      </c>
      <c r="L3406" s="444">
        <f t="shared" ca="1" si="167"/>
        <v>-35676618569.430161</v>
      </c>
      <c r="M3406" s="460">
        <f t="shared" si="169"/>
        <v>0.05</v>
      </c>
      <c r="N3406" s="464">
        <f t="shared" si="170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68"/>
        <v>-35676618569.430161</v>
      </c>
      <c r="J3407" s="444">
        <f t="array" ref="J3407">IFERROR(INDEX('Retirement Calculator'!J:J,MATCH('Isaac 401k'!N3407,'Retirement Calculator'!A:A,0),0),0)</f>
        <v>0</v>
      </c>
      <c r="K3407" s="444">
        <f t="shared" ca="1" si="166"/>
        <v>-148652577.37262568</v>
      </c>
      <c r="L3407" s="444">
        <f t="shared" ca="1" si="167"/>
        <v>-35825271146.802788</v>
      </c>
      <c r="M3407" s="460">
        <f t="shared" si="169"/>
        <v>0.05</v>
      </c>
      <c r="N3407" s="464">
        <f t="shared" si="170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68"/>
        <v>-35825271146.802788</v>
      </c>
      <c r="J3408" s="444">
        <f t="array" ref="J3408">IFERROR(INDEX('Retirement Calculator'!J:J,MATCH('Isaac 401k'!N3408,'Retirement Calculator'!A:A,0),0),0)</f>
        <v>0</v>
      </c>
      <c r="K3408" s="444">
        <f t="shared" ca="1" si="166"/>
        <v>-149271963.11167827</v>
      </c>
      <c r="L3408" s="444">
        <f t="shared" ca="1" si="167"/>
        <v>-35974543109.914467</v>
      </c>
      <c r="M3408" s="460">
        <f t="shared" si="169"/>
        <v>0.05</v>
      </c>
      <c r="N3408" s="464">
        <f t="shared" si="170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68"/>
        <v>-35974543109.914467</v>
      </c>
      <c r="J3409" s="444">
        <f t="array" ref="J3409">IFERROR(INDEX('Retirement Calculator'!J:J,MATCH('Isaac 401k'!N3409,'Retirement Calculator'!A:A,0),0),0)</f>
        <v>0</v>
      </c>
      <c r="K3409" s="444">
        <f t="shared" ca="1" si="166"/>
        <v>-149893929.62464362</v>
      </c>
      <c r="L3409" s="444">
        <f t="shared" ca="1" si="167"/>
        <v>-36124437039.539108</v>
      </c>
      <c r="M3409" s="460">
        <f t="shared" si="169"/>
        <v>0.05</v>
      </c>
      <c r="N3409" s="464">
        <f t="shared" si="170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68"/>
        <v>-36124437039.539108</v>
      </c>
      <c r="J3410" s="444">
        <f t="array" ref="J3410">IFERROR(INDEX('Retirement Calculator'!J:J,MATCH('Isaac 401k'!N3410,'Retirement Calculator'!A:A,0),0),0)</f>
        <v>0</v>
      </c>
      <c r="K3410" s="444">
        <f t="shared" ca="1" si="166"/>
        <v>-150518487.66474628</v>
      </c>
      <c r="L3410" s="444">
        <f t="shared" ca="1" si="167"/>
        <v>-36274955527.203857</v>
      </c>
      <c r="M3410" s="460">
        <f t="shared" si="169"/>
        <v>0.05</v>
      </c>
      <c r="N3410" s="464">
        <f t="shared" si="170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68"/>
        <v>-36274955527.203857</v>
      </c>
      <c r="J3411" s="444">
        <f t="array" ref="J3411">IFERROR(INDEX('Retirement Calculator'!J:J,MATCH('Isaac 401k'!N3411,'Retirement Calculator'!A:A,0),0),0)</f>
        <v>0</v>
      </c>
      <c r="K3411" s="444">
        <f t="shared" ca="1" si="166"/>
        <v>-151145648.03001606</v>
      </c>
      <c r="L3411" s="444">
        <f t="shared" ca="1" si="167"/>
        <v>-36426101175.233871</v>
      </c>
      <c r="M3411" s="460">
        <f t="shared" si="169"/>
        <v>0.05</v>
      </c>
      <c r="N3411" s="464">
        <f t="shared" si="170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68"/>
        <v>-36426101175.233871</v>
      </c>
      <c r="J3412" s="444">
        <f t="array" ref="J3412">IFERROR(INDEX('Retirement Calculator'!J:J,MATCH('Isaac 401k'!N3412,'Retirement Calculator'!A:A,0),0),0)</f>
        <v>0</v>
      </c>
      <c r="K3412" s="444">
        <f t="shared" ca="1" si="166"/>
        <v>-151775421.56347448</v>
      </c>
      <c r="L3412" s="444">
        <f t="shared" ca="1" si="167"/>
        <v>-36577876596.797348</v>
      </c>
      <c r="M3412" s="460">
        <f t="shared" si="169"/>
        <v>0.05</v>
      </c>
      <c r="N3412" s="464">
        <f t="shared" si="170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68"/>
        <v>-36577876596.797348</v>
      </c>
      <c r="J3413" s="444">
        <f t="array" ref="J3413">IFERROR(INDEX('Retirement Calculator'!J:J,MATCH('Isaac 401k'!N3413,'Retirement Calculator'!A:A,0),0),0)</f>
        <v>0</v>
      </c>
      <c r="K3413" s="444">
        <f t="shared" ca="1" si="166"/>
        <v>-152407819.15332228</v>
      </c>
      <c r="L3413" s="444">
        <f t="shared" ca="1" si="167"/>
        <v>-36730284415.950668</v>
      </c>
      <c r="M3413" s="460">
        <f t="shared" si="169"/>
        <v>0.05</v>
      </c>
      <c r="N3413" s="464">
        <f t="shared" si="170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68"/>
        <v>-36730284415.950668</v>
      </c>
      <c r="J3414" s="444">
        <f t="array" ref="J3414">IFERROR(INDEX('Retirement Calculator'!J:J,MATCH('Isaac 401k'!N3414,'Retirement Calculator'!A:A,0),0),0)</f>
        <v>0</v>
      </c>
      <c r="K3414" s="444">
        <f t="shared" ca="1" si="166"/>
        <v>-153042851.73312777</v>
      </c>
      <c r="L3414" s="444">
        <f t="shared" ca="1" si="167"/>
        <v>-36883327267.6838</v>
      </c>
      <c r="M3414" s="460">
        <f t="shared" si="169"/>
        <v>0.05</v>
      </c>
      <c r="N3414" s="464">
        <f t="shared" si="170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68"/>
        <v>-36883327267.6838</v>
      </c>
      <c r="J3415" s="444">
        <f t="array" ref="J3415">IFERROR(INDEX('Retirement Calculator'!J:J,MATCH('Isaac 401k'!N3415,'Retirement Calculator'!A:A,0),0),0)</f>
        <v>0</v>
      </c>
      <c r="K3415" s="444">
        <f t="shared" ca="1" si="166"/>
        <v>-153680530.28201583</v>
      </c>
      <c r="L3415" s="444">
        <f t="shared" ca="1" si="167"/>
        <v>-37037007797.965813</v>
      </c>
      <c r="M3415" s="460">
        <f t="shared" si="169"/>
        <v>0.05</v>
      </c>
      <c r="N3415" s="464">
        <f t="shared" si="170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68"/>
        <v>-37037007797.965813</v>
      </c>
      <c r="J3416" s="444">
        <f t="array" ref="J3416">IFERROR(INDEX('Retirement Calculator'!J:J,MATCH('Isaac 401k'!N3416,'Retirement Calculator'!A:A,0),0),0)</f>
        <v>0</v>
      </c>
      <c r="K3416" s="444">
        <f t="shared" ca="1" si="166"/>
        <v>-154320865.82485756</v>
      </c>
      <c r="L3416" s="444">
        <f t="shared" ca="1" si="167"/>
        <v>-37191328663.790672</v>
      </c>
      <c r="M3416" s="460">
        <f t="shared" si="169"/>
        <v>0.05</v>
      </c>
      <c r="N3416" s="464">
        <f t="shared" si="170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68"/>
        <v>-37191328663.790672</v>
      </c>
      <c r="J3417" s="444">
        <f t="array" ref="J3417">IFERROR(INDEX('Retirement Calculator'!J:J,MATCH('Isaac 401k'!N3417,'Retirement Calculator'!A:A,0),0),0)</f>
        <v>0</v>
      </c>
      <c r="K3417" s="444">
        <f t="shared" ca="1" si="166"/>
        <v>-154963869.43246114</v>
      </c>
      <c r="L3417" s="444">
        <f t="shared" ca="1" si="167"/>
        <v>-37346292533.223137</v>
      </c>
      <c r="M3417" s="460">
        <f t="shared" si="169"/>
        <v>0.05</v>
      </c>
      <c r="N3417" s="464">
        <f t="shared" si="170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68"/>
        <v>-37346292533.223137</v>
      </c>
      <c r="J3418" s="444">
        <f t="array" ref="J3418">IFERROR(INDEX('Retirement Calculator'!J:J,MATCH('Isaac 401k'!N3418,'Retirement Calculator'!A:A,0),0),0)</f>
        <v>0</v>
      </c>
      <c r="K3418" s="444">
        <f t="shared" ca="1" si="166"/>
        <v>-155609552.22176307</v>
      </c>
      <c r="L3418" s="444">
        <f t="shared" ca="1" si="167"/>
        <v>-37501902085.444901</v>
      </c>
      <c r="M3418" s="460">
        <f t="shared" si="169"/>
        <v>0.05</v>
      </c>
      <c r="N3418" s="464">
        <f t="shared" si="170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68"/>
        <v>-37501902085.444901</v>
      </c>
      <c r="J3419" s="444">
        <f t="array" ref="J3419">IFERROR(INDEX('Retirement Calculator'!J:J,MATCH('Isaac 401k'!N3419,'Retirement Calculator'!A:A,0),0),0)</f>
        <v>0</v>
      </c>
      <c r="K3419" s="444">
        <f t="shared" ca="1" si="166"/>
        <v>-156257925.35602042</v>
      </c>
      <c r="L3419" s="444">
        <f t="shared" ca="1" si="167"/>
        <v>-37658160010.800919</v>
      </c>
      <c r="M3419" s="460">
        <f t="shared" si="169"/>
        <v>0.05</v>
      </c>
      <c r="N3419" s="464">
        <f t="shared" si="170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68"/>
        <v>-37658160010.800919</v>
      </c>
      <c r="J3420" s="444">
        <f t="array" ref="J3420">IFERROR(INDEX('Retirement Calculator'!J:J,MATCH('Isaac 401k'!N3420,'Retirement Calculator'!A:A,0),0),0)</f>
        <v>0</v>
      </c>
      <c r="K3420" s="444">
        <f t="shared" ca="1" si="166"/>
        <v>-156909000.04500383</v>
      </c>
      <c r="L3420" s="444">
        <f t="shared" ca="1" si="167"/>
        <v>-37815069010.845924</v>
      </c>
      <c r="M3420" s="460">
        <f t="shared" si="169"/>
        <v>0.05</v>
      </c>
      <c r="N3420" s="464">
        <f t="shared" si="170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68"/>
        <v>-37815069010.845924</v>
      </c>
      <c r="J3421" s="444">
        <f t="array" ref="J3421">IFERROR(INDEX('Retirement Calculator'!J:J,MATCH('Isaac 401k'!N3421,'Retirement Calculator'!A:A,0),0),0)</f>
        <v>0</v>
      </c>
      <c r="K3421" s="444">
        <f t="shared" ca="1" si="166"/>
        <v>-157562787.54519135</v>
      </c>
      <c r="L3421" s="444">
        <f t="shared" ca="1" si="167"/>
        <v>-37972631798.391113</v>
      </c>
      <c r="M3421" s="460">
        <f t="shared" si="169"/>
        <v>0.05</v>
      </c>
      <c r="N3421" s="464">
        <f t="shared" si="170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68"/>
        <v>-37972631798.391113</v>
      </c>
      <c r="J3422" s="444">
        <f t="array" ref="J3422">IFERROR(INDEX('Retirement Calculator'!J:J,MATCH('Isaac 401k'!N3422,'Retirement Calculator'!A:A,0),0),0)</f>
        <v>0</v>
      </c>
      <c r="K3422" s="444">
        <f t="shared" ca="1" si="166"/>
        <v>-158219299.15996298</v>
      </c>
      <c r="L3422" s="444">
        <f t="shared" ca="1" si="167"/>
        <v>-38130851097.551079</v>
      </c>
      <c r="M3422" s="460">
        <f t="shared" si="169"/>
        <v>0.05</v>
      </c>
      <c r="N3422" s="464">
        <f t="shared" si="170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68"/>
        <v>-38130851097.551079</v>
      </c>
      <c r="J3423" s="444">
        <f t="array" ref="J3423">IFERROR(INDEX('Retirement Calculator'!J:J,MATCH('Isaac 401k'!N3423,'Retirement Calculator'!A:A,0),0),0)</f>
        <v>0</v>
      </c>
      <c r="K3423" s="444">
        <f t="shared" ca="1" si="166"/>
        <v>-158878546.23979616</v>
      </c>
      <c r="L3423" s="444">
        <f t="shared" ca="1" si="167"/>
        <v>-38289729643.790878</v>
      </c>
      <c r="M3423" s="460">
        <f t="shared" si="169"/>
        <v>0.05</v>
      </c>
      <c r="N3423" s="464">
        <f t="shared" si="170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68"/>
        <v>-38289729643.790878</v>
      </c>
      <c r="J3424" s="444">
        <f t="array" ref="J3424">IFERROR(INDEX('Retirement Calculator'!J:J,MATCH('Isaac 401k'!N3424,'Retirement Calculator'!A:A,0),0),0)</f>
        <v>0</v>
      </c>
      <c r="K3424" s="444">
        <f t="shared" ca="1" si="166"/>
        <v>-159540540.18246198</v>
      </c>
      <c r="L3424" s="444">
        <f t="shared" ca="1" si="167"/>
        <v>-38449270183.973343</v>
      </c>
      <c r="M3424" s="460">
        <f t="shared" si="169"/>
        <v>0.05</v>
      </c>
      <c r="N3424" s="464">
        <f t="shared" si="170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68"/>
        <v>-38449270183.973343</v>
      </c>
      <c r="J3425" s="444">
        <f t="array" ref="J3425">IFERROR(INDEX('Retirement Calculator'!J:J,MATCH('Isaac 401k'!N3425,'Retirement Calculator'!A:A,0),0),0)</f>
        <v>0</v>
      </c>
      <c r="K3425" s="444">
        <f t="shared" ca="1" si="166"/>
        <v>-160205292.43322226</v>
      </c>
      <c r="L3425" s="444">
        <f t="shared" ca="1" si="167"/>
        <v>-38609475476.406563</v>
      </c>
      <c r="M3425" s="460">
        <f t="shared" si="169"/>
        <v>0.05</v>
      </c>
      <c r="N3425" s="464">
        <f t="shared" si="170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68"/>
        <v>-38609475476.406563</v>
      </c>
      <c r="J3426" s="444">
        <f t="array" ref="J3426">IFERROR(INDEX('Retirement Calculator'!J:J,MATCH('Isaac 401k'!N3426,'Retirement Calculator'!A:A,0),0),0)</f>
        <v>0</v>
      </c>
      <c r="K3426" s="444">
        <f t="shared" ca="1" si="166"/>
        <v>-160872814.48502734</v>
      </c>
      <c r="L3426" s="444">
        <f t="shared" ca="1" si="167"/>
        <v>-38770348290.891594</v>
      </c>
      <c r="M3426" s="460">
        <f t="shared" si="169"/>
        <v>0.05</v>
      </c>
      <c r="N3426" s="464">
        <f t="shared" si="170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68"/>
        <v>-38770348290.891594</v>
      </c>
      <c r="J3427" s="444">
        <f t="array" ref="J3427">IFERROR(INDEX('Retirement Calculator'!J:J,MATCH('Isaac 401k'!N3427,'Retirement Calculator'!A:A,0),0),0)</f>
        <v>0</v>
      </c>
      <c r="K3427" s="444">
        <f t="shared" ca="1" si="166"/>
        <v>-161543117.87871498</v>
      </c>
      <c r="L3427" s="444">
        <f t="shared" ca="1" si="167"/>
        <v>-38931891408.770309</v>
      </c>
      <c r="M3427" s="460">
        <f t="shared" si="169"/>
        <v>0.05</v>
      </c>
      <c r="N3427" s="464">
        <f t="shared" si="170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68"/>
        <v>-38931891408.770309</v>
      </c>
      <c r="J3428" s="444">
        <f t="array" ref="J3428">IFERROR(INDEX('Retirement Calculator'!J:J,MATCH('Isaac 401k'!N3428,'Retirement Calculator'!A:A,0),0),0)</f>
        <v>0</v>
      </c>
      <c r="K3428" s="444">
        <f t="shared" ca="1" si="166"/>
        <v>-162216214.20320961</v>
      </c>
      <c r="L3428" s="444">
        <f t="shared" ca="1" si="167"/>
        <v>-39094107622.973518</v>
      </c>
      <c r="M3428" s="460">
        <f t="shared" si="169"/>
        <v>0.05</v>
      </c>
      <c r="N3428" s="464">
        <f t="shared" si="170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68"/>
        <v>-39094107622.973518</v>
      </c>
      <c r="J3429" s="444">
        <f t="array" ref="J3429">IFERROR(INDEX('Retirement Calculator'!J:J,MATCH('Isaac 401k'!N3429,'Retirement Calculator'!A:A,0),0),0)</f>
        <v>0</v>
      </c>
      <c r="K3429" s="444">
        <f t="shared" ca="1" si="166"/>
        <v>-162892115.095723</v>
      </c>
      <c r="L3429" s="444">
        <f t="shared" ca="1" si="167"/>
        <v>-39256999738.069244</v>
      </c>
      <c r="M3429" s="460">
        <f t="shared" si="169"/>
        <v>0.05</v>
      </c>
      <c r="N3429" s="464">
        <f t="shared" si="170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68"/>
        <v>-39256999738.069244</v>
      </c>
      <c r="J3430" s="444">
        <f t="array" ref="J3430">IFERROR(INDEX('Retirement Calculator'!J:J,MATCH('Isaac 401k'!N3430,'Retirement Calculator'!A:A,0),0),0)</f>
        <v>0</v>
      </c>
      <c r="K3430" s="444">
        <f t="shared" ca="1" si="166"/>
        <v>-163570832.24195519</v>
      </c>
      <c r="L3430" s="444">
        <f t="shared" ca="1" si="167"/>
        <v>-39420570570.311203</v>
      </c>
      <c r="M3430" s="460">
        <f t="shared" si="169"/>
        <v>0.05</v>
      </c>
      <c r="N3430" s="464">
        <f t="shared" si="170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68"/>
        <v>-39420570570.311203</v>
      </c>
      <c r="J3431" s="444">
        <f t="array" ref="J3431">IFERROR(INDEX('Retirement Calculator'!J:J,MATCH('Isaac 401k'!N3431,'Retirement Calculator'!A:A,0),0),0)</f>
        <v>0</v>
      </c>
      <c r="K3431" s="444">
        <f t="shared" ca="1" si="166"/>
        <v>-164252377.37629667</v>
      </c>
      <c r="L3431" s="444">
        <f t="shared" ca="1" si="167"/>
        <v>-39584822947.6875</v>
      </c>
      <c r="M3431" s="460">
        <f t="shared" si="169"/>
        <v>0.05</v>
      </c>
      <c r="N3431" s="464">
        <f t="shared" si="170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68"/>
        <v>-39584822947.6875</v>
      </c>
      <c r="J3432" s="444">
        <f t="array" ref="J3432">IFERROR(INDEX('Retirement Calculator'!J:J,MATCH('Isaac 401k'!N3432,'Retirement Calculator'!A:A,0),0),0)</f>
        <v>0</v>
      </c>
      <c r="K3432" s="444">
        <f t="shared" ca="1" si="166"/>
        <v>-164936762.28203124</v>
      </c>
      <c r="L3432" s="444">
        <f t="shared" ca="1" si="167"/>
        <v>-39749759709.969528</v>
      </c>
      <c r="M3432" s="460">
        <f t="shared" si="169"/>
        <v>0.05</v>
      </c>
      <c r="N3432" s="464">
        <f t="shared" si="170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68"/>
        <v>-39749759709.969528</v>
      </c>
      <c r="J3433" s="444">
        <f t="array" ref="J3433">IFERROR(INDEX('Retirement Calculator'!J:J,MATCH('Isaac 401k'!N3433,'Retirement Calculator'!A:A,0),0),0)</f>
        <v>0</v>
      </c>
      <c r="K3433" s="444">
        <f t="shared" ca="1" si="166"/>
        <v>-165623998.7915397</v>
      </c>
      <c r="L3433" s="444">
        <f t="shared" ca="1" si="167"/>
        <v>-39915383708.76107</v>
      </c>
      <c r="M3433" s="460">
        <f t="shared" si="169"/>
        <v>0.05</v>
      </c>
      <c r="N3433" s="464">
        <f t="shared" si="170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68"/>
        <v>-39915383708.76107</v>
      </c>
      <c r="J3434" s="444">
        <f t="array" ref="J3434">IFERROR(INDEX('Retirement Calculator'!J:J,MATCH('Isaac 401k'!N3434,'Retirement Calculator'!A:A,0),0),0)</f>
        <v>0</v>
      </c>
      <c r="K3434" s="444">
        <f t="shared" ca="1" si="166"/>
        <v>-166314098.78650445</v>
      </c>
      <c r="L3434" s="444">
        <f t="shared" ca="1" si="167"/>
        <v>-40081697807.547577</v>
      </c>
      <c r="M3434" s="460">
        <f t="shared" si="169"/>
        <v>0.05</v>
      </c>
      <c r="N3434" s="464">
        <f t="shared" si="170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68"/>
        <v>-40081697807.547577</v>
      </c>
      <c r="J3435" s="444">
        <f t="array" ref="J3435">IFERROR(INDEX('Retirement Calculator'!J:J,MATCH('Isaac 401k'!N3435,'Retirement Calculator'!A:A,0),0),0)</f>
        <v>0</v>
      </c>
      <c r="K3435" s="444">
        <f t="shared" ca="1" si="166"/>
        <v>-167007074.1981149</v>
      </c>
      <c r="L3435" s="444">
        <f t="shared" ca="1" si="167"/>
        <v>-40248704881.745689</v>
      </c>
      <c r="M3435" s="460">
        <f t="shared" si="169"/>
        <v>0.05</v>
      </c>
      <c r="N3435" s="464">
        <f t="shared" si="170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68"/>
        <v>-40248704881.745689</v>
      </c>
      <c r="J3436" s="444">
        <f t="array" ref="J3436">IFERROR(INDEX('Retirement Calculator'!J:J,MATCH('Isaac 401k'!N3436,'Retirement Calculator'!A:A,0),0),0)</f>
        <v>0</v>
      </c>
      <c r="K3436" s="444">
        <f t="shared" ca="1" si="166"/>
        <v>-167702937.0072737</v>
      </c>
      <c r="L3436" s="444">
        <f t="shared" ca="1" si="167"/>
        <v>-40416407818.75296</v>
      </c>
      <c r="M3436" s="460">
        <f t="shared" si="169"/>
        <v>0.05</v>
      </c>
      <c r="N3436" s="464">
        <f t="shared" si="170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68"/>
        <v>-40416407818.75296</v>
      </c>
      <c r="J3437" s="444">
        <f t="array" ref="J3437">IFERROR(INDEX('Retirement Calculator'!J:J,MATCH('Isaac 401k'!N3437,'Retirement Calculator'!A:A,0),0),0)</f>
        <v>0</v>
      </c>
      <c r="K3437" s="444">
        <f t="shared" ca="1" si="166"/>
        <v>-168401699.24480399</v>
      </c>
      <c r="L3437" s="444">
        <f t="shared" ca="1" si="167"/>
        <v>-40584809517.997765</v>
      </c>
      <c r="M3437" s="460">
        <f t="shared" si="169"/>
        <v>0.05</v>
      </c>
      <c r="N3437" s="464">
        <f t="shared" si="170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68"/>
        <v>-40584809517.997765</v>
      </c>
      <c r="J3438" s="444">
        <f t="array" ref="J3438">IFERROR(INDEX('Retirement Calculator'!J:J,MATCH('Isaac 401k'!N3438,'Retirement Calculator'!A:A,0),0),0)</f>
        <v>0</v>
      </c>
      <c r="K3438" s="444">
        <f t="shared" ca="1" si="166"/>
        <v>-169103372.99165735</v>
      </c>
      <c r="L3438" s="444">
        <f t="shared" ca="1" si="167"/>
        <v>-40753912890.989426</v>
      </c>
      <c r="M3438" s="460">
        <f t="shared" si="169"/>
        <v>0.05</v>
      </c>
      <c r="N3438" s="464">
        <f t="shared" si="170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68"/>
        <v>-40753912890.989426</v>
      </c>
      <c r="J3439" s="444">
        <f t="array" ref="J3439">IFERROR(INDEX('Retirement Calculator'!J:J,MATCH('Isaac 401k'!N3439,'Retirement Calculator'!A:A,0),0),0)</f>
        <v>0</v>
      </c>
      <c r="K3439" s="444">
        <f t="shared" ca="1" si="166"/>
        <v>-169807970.37912261</v>
      </c>
      <c r="L3439" s="444">
        <f t="shared" ca="1" si="167"/>
        <v>-40923720861.368546</v>
      </c>
      <c r="M3439" s="460">
        <f t="shared" si="169"/>
        <v>0.05</v>
      </c>
      <c r="N3439" s="464">
        <f t="shared" si="170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68"/>
        <v>-40923720861.368546</v>
      </c>
      <c r="J3440" s="444">
        <f t="array" ref="J3440">IFERROR(INDEX('Retirement Calculator'!J:J,MATCH('Isaac 401k'!N3440,'Retirement Calculator'!A:A,0),0),0)</f>
        <v>0</v>
      </c>
      <c r="K3440" s="444">
        <f t="shared" ca="1" si="166"/>
        <v>-170515503.5890356</v>
      </c>
      <c r="L3440" s="444">
        <f t="shared" ca="1" si="167"/>
        <v>-41094236364.957581</v>
      </c>
      <c r="M3440" s="460">
        <f t="shared" si="169"/>
        <v>0.05</v>
      </c>
      <c r="N3440" s="464">
        <f t="shared" si="170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68"/>
        <v>-41094236364.957581</v>
      </c>
      <c r="J3441" s="444">
        <f t="array" ref="J3441">IFERROR(INDEX('Retirement Calculator'!J:J,MATCH('Isaac 401k'!N3441,'Retirement Calculator'!A:A,0),0),0)</f>
        <v>0</v>
      </c>
      <c r="K3441" s="444">
        <f t="shared" ca="1" si="166"/>
        <v>-171225984.85398993</v>
      </c>
      <c r="L3441" s="444">
        <f t="shared" ca="1" si="167"/>
        <v>-41265462349.811569</v>
      </c>
      <c r="M3441" s="460">
        <f t="shared" si="169"/>
        <v>0.05</v>
      </c>
      <c r="N3441" s="464">
        <f t="shared" si="170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68"/>
        <v>-41265462349.811569</v>
      </c>
      <c r="J3442" s="444">
        <f t="array" ref="J3442">IFERROR(INDEX('Retirement Calculator'!J:J,MATCH('Isaac 401k'!N3442,'Retirement Calculator'!A:A,0),0),0)</f>
        <v>0</v>
      </c>
      <c r="K3442" s="444">
        <f t="shared" ca="1" si="166"/>
        <v>-171939426.4575482</v>
      </c>
      <c r="L3442" s="444">
        <f t="shared" ca="1" si="167"/>
        <v>-41437401776.269119</v>
      </c>
      <c r="M3442" s="460">
        <f t="shared" si="169"/>
        <v>0.05</v>
      </c>
      <c r="N3442" s="464">
        <f t="shared" si="170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68"/>
        <v>-41437401776.269119</v>
      </c>
      <c r="J3443" s="444">
        <f t="array" ref="J3443">IFERROR(INDEX('Retirement Calculator'!J:J,MATCH('Isaac 401k'!N3443,'Retirement Calculator'!A:A,0),0),0)</f>
        <v>0</v>
      </c>
      <c r="K3443" s="444">
        <f t="shared" ca="1" si="166"/>
        <v>-172655840.73445466</v>
      </c>
      <c r="L3443" s="444">
        <f t="shared" ca="1" si="167"/>
        <v>-41610057617.003571</v>
      </c>
      <c r="M3443" s="460">
        <f t="shared" si="169"/>
        <v>0.05</v>
      </c>
      <c r="N3443" s="464">
        <f t="shared" si="170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68"/>
        <v>-41610057617.003571</v>
      </c>
      <c r="J3444" s="444">
        <f t="array" ref="J3444">IFERROR(INDEX('Retirement Calculator'!J:J,MATCH('Isaac 401k'!N3444,'Retirement Calculator'!A:A,0),0),0)</f>
        <v>0</v>
      </c>
      <c r="K3444" s="444">
        <f t="shared" ca="1" si="166"/>
        <v>-173375240.0708482</v>
      </c>
      <c r="L3444" s="444">
        <f t="shared" ca="1" si="167"/>
        <v>-41783432857.074417</v>
      </c>
      <c r="M3444" s="460">
        <f t="shared" si="169"/>
        <v>0.05</v>
      </c>
      <c r="N3444" s="464">
        <f t="shared" si="170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68"/>
        <v>-41783432857.074417</v>
      </c>
      <c r="J3445" s="444">
        <f t="array" ref="J3445">IFERROR(INDEX('Retirement Calculator'!J:J,MATCH('Isaac 401k'!N3445,'Retirement Calculator'!A:A,0),0),0)</f>
        <v>0</v>
      </c>
      <c r="K3445" s="444">
        <f t="shared" ca="1" si="166"/>
        <v>-174097636.90447673</v>
      </c>
      <c r="L3445" s="444">
        <f t="shared" ca="1" si="167"/>
        <v>-41957530493.978897</v>
      </c>
      <c r="M3445" s="460">
        <f t="shared" si="169"/>
        <v>0.05</v>
      </c>
      <c r="N3445" s="464">
        <f t="shared" si="170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68"/>
        <v>-41957530493.978897</v>
      </c>
      <c r="J3446" s="444">
        <f t="array" ref="J3446">IFERROR(INDEX('Retirement Calculator'!J:J,MATCH('Isaac 401k'!N3446,'Retirement Calculator'!A:A,0),0),0)</f>
        <v>0</v>
      </c>
      <c r="K3446" s="444">
        <f t="shared" ca="1" si="166"/>
        <v>-174823043.72491208</v>
      </c>
      <c r="L3446" s="444">
        <f t="shared" ca="1" si="167"/>
        <v>-42132353537.703812</v>
      </c>
      <c r="M3446" s="460">
        <f t="shared" si="169"/>
        <v>0.05</v>
      </c>
      <c r="N3446" s="464">
        <f t="shared" si="170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68"/>
        <v>-42132353537.703812</v>
      </c>
      <c r="J3447" s="444">
        <f t="array" ref="J3447">IFERROR(INDEX('Retirement Calculator'!J:J,MATCH('Isaac 401k'!N3447,'Retirement Calculator'!A:A,0),0),0)</f>
        <v>0</v>
      </c>
      <c r="K3447" s="444">
        <f t="shared" ca="1" si="166"/>
        <v>-175551473.07376587</v>
      </c>
      <c r="L3447" s="444">
        <f t="shared" ca="1" si="167"/>
        <v>-42307905010.77758</v>
      </c>
      <c r="M3447" s="460">
        <f t="shared" si="169"/>
        <v>0.05</v>
      </c>
      <c r="N3447" s="464">
        <f t="shared" si="170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68"/>
        <v>-42307905010.77758</v>
      </c>
      <c r="J3448" s="444">
        <f t="array" ref="J3448">IFERROR(INDEX('Retirement Calculator'!J:J,MATCH('Isaac 401k'!N3448,'Retirement Calculator'!A:A,0),0),0)</f>
        <v>0</v>
      </c>
      <c r="K3448" s="444">
        <f t="shared" ca="1" si="166"/>
        <v>-176282937.54490659</v>
      </c>
      <c r="L3448" s="444">
        <f t="shared" ca="1" si="167"/>
        <v>-42484187948.322487</v>
      </c>
      <c r="M3448" s="460">
        <f t="shared" si="169"/>
        <v>0.05</v>
      </c>
      <c r="N3448" s="464">
        <f t="shared" si="170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68"/>
        <v>-42484187948.322487</v>
      </c>
      <c r="J3449" s="444">
        <f t="array" ref="J3449">IFERROR(INDEX('Retirement Calculator'!J:J,MATCH('Isaac 401k'!N3449,'Retirement Calculator'!A:A,0),0),0)</f>
        <v>0</v>
      </c>
      <c r="K3449" s="444">
        <f t="shared" ca="1" si="166"/>
        <v>-177017449.78467703</v>
      </c>
      <c r="L3449" s="444">
        <f t="shared" ca="1" si="167"/>
        <v>-42661205398.107162</v>
      </c>
      <c r="M3449" s="460">
        <f t="shared" si="169"/>
        <v>0.05</v>
      </c>
      <c r="N3449" s="464">
        <f t="shared" si="170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68"/>
        <v>-42661205398.107162</v>
      </c>
      <c r="J3450" s="444">
        <f t="array" ref="J3450">IFERROR(INDEX('Retirement Calculator'!J:J,MATCH('Isaac 401k'!N3450,'Retirement Calculator'!A:A,0),0),0)</f>
        <v>0</v>
      </c>
      <c r="K3450" s="444">
        <f t="shared" ca="1" si="166"/>
        <v>-177755022.49211317</v>
      </c>
      <c r="L3450" s="444">
        <f t="shared" ca="1" si="167"/>
        <v>-42838960420.599274</v>
      </c>
      <c r="M3450" s="460">
        <f t="shared" si="169"/>
        <v>0.05</v>
      </c>
      <c r="N3450" s="464">
        <f t="shared" si="170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68"/>
        <v>-42838960420.599274</v>
      </c>
      <c r="J3451" s="444">
        <f t="array" ref="J3451">IFERROR(INDEX('Retirement Calculator'!J:J,MATCH('Isaac 401k'!N3451,'Retirement Calculator'!A:A,0),0),0)</f>
        <v>0</v>
      </c>
      <c r="K3451" s="444">
        <f t="shared" ca="1" si="166"/>
        <v>-178495668.41916364</v>
      </c>
      <c r="L3451" s="444">
        <f t="shared" ca="1" si="167"/>
        <v>-43017456089.01844</v>
      </c>
      <c r="M3451" s="460">
        <f t="shared" si="169"/>
        <v>0.05</v>
      </c>
      <c r="N3451" s="464">
        <f t="shared" si="170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68"/>
        <v>-43017456089.01844</v>
      </c>
      <c r="J3452" s="444">
        <f t="array" ref="J3452">IFERROR(INDEX('Retirement Calculator'!J:J,MATCH('Isaac 401k'!N3452,'Retirement Calculator'!A:A,0),0),0)</f>
        <v>0</v>
      </c>
      <c r="K3452" s="444">
        <f t="shared" ca="1" si="166"/>
        <v>-179239400.37091017</v>
      </c>
      <c r="L3452" s="444">
        <f t="shared" ca="1" si="167"/>
        <v>-43196695489.389351</v>
      </c>
      <c r="M3452" s="460">
        <f t="shared" si="169"/>
        <v>0.05</v>
      </c>
      <c r="N3452" s="464">
        <f t="shared" si="170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68"/>
        <v>-43196695489.389351</v>
      </c>
      <c r="J3453" s="444">
        <f t="array" ref="J3453">IFERROR(INDEX('Retirement Calculator'!J:J,MATCH('Isaac 401k'!N3453,'Retirement Calculator'!A:A,0),0),0)</f>
        <v>0</v>
      </c>
      <c r="K3453" s="444">
        <f t="shared" ca="1" si="166"/>
        <v>-179986231.20578897</v>
      </c>
      <c r="L3453" s="444">
        <f t="shared" ca="1" si="167"/>
        <v>-43376681720.595139</v>
      </c>
      <c r="M3453" s="460">
        <f t="shared" si="169"/>
        <v>0.05</v>
      </c>
      <c r="N3453" s="464">
        <f t="shared" si="170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68"/>
        <v>-43376681720.595139</v>
      </c>
      <c r="J3454" s="444">
        <f t="array" ref="J3454">IFERROR(INDEX('Retirement Calculator'!J:J,MATCH('Isaac 401k'!N3454,'Retirement Calculator'!A:A,0),0),0)</f>
        <v>0</v>
      </c>
      <c r="K3454" s="444">
        <f t="shared" ca="1" si="166"/>
        <v>-180736173.83581308</v>
      </c>
      <c r="L3454" s="444">
        <f t="shared" ca="1" si="167"/>
        <v>-43557417894.430954</v>
      </c>
      <c r="M3454" s="460">
        <f t="shared" si="169"/>
        <v>0.05</v>
      </c>
      <c r="N3454" s="464">
        <f t="shared" si="170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68"/>
        <v>-43557417894.430954</v>
      </c>
      <c r="J3455" s="444">
        <f t="array" ref="J3455">IFERROR(INDEX('Retirement Calculator'!J:J,MATCH('Isaac 401k'!N3455,'Retirement Calculator'!A:A,0),0),0)</f>
        <v>0</v>
      </c>
      <c r="K3455" s="444">
        <f t="shared" ca="1" si="166"/>
        <v>-181489241.22679564</v>
      </c>
      <c r="L3455" s="444">
        <f t="shared" ca="1" si="167"/>
        <v>-43738907135.657753</v>
      </c>
      <c r="M3455" s="460">
        <f t="shared" si="169"/>
        <v>0.05</v>
      </c>
      <c r="N3455" s="464">
        <f t="shared" si="170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68"/>
        <v>-43738907135.657753</v>
      </c>
      <c r="J3456" s="444">
        <f t="array" ref="J3456">IFERROR(INDEX('Retirement Calculator'!J:J,MATCH('Isaac 401k'!N3456,'Retirement Calculator'!A:A,0),0),0)</f>
        <v>0</v>
      </c>
      <c r="K3456" s="444">
        <f t="shared" ca="1" si="166"/>
        <v>-182245446.39857396</v>
      </c>
      <c r="L3456" s="444">
        <f t="shared" ca="1" si="167"/>
        <v>-43921152582.056328</v>
      </c>
      <c r="M3456" s="460">
        <f t="shared" si="169"/>
        <v>0.05</v>
      </c>
      <c r="N3456" s="464">
        <f t="shared" si="170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68"/>
        <v>-43921152582.056328</v>
      </c>
      <c r="J3457" s="444">
        <f t="array" ref="J3457">IFERROR(INDEX('Retirement Calculator'!J:J,MATCH('Isaac 401k'!N3457,'Retirement Calculator'!A:A,0),0),0)</f>
        <v>0</v>
      </c>
      <c r="K3457" s="444">
        <f t="shared" ca="1" si="166"/>
        <v>-183004802.42523471</v>
      </c>
      <c r="L3457" s="444">
        <f t="shared" ca="1" si="167"/>
        <v>-44104157384.48156</v>
      </c>
      <c r="M3457" s="460">
        <f t="shared" si="169"/>
        <v>0.05</v>
      </c>
      <c r="N3457" s="464">
        <f t="shared" si="170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68"/>
        <v>-44104157384.48156</v>
      </c>
      <c r="J3458" s="444">
        <f t="array" ref="J3458">IFERROR(INDEX('Retirement Calculator'!J:J,MATCH('Isaac 401k'!N3458,'Retirement Calculator'!A:A,0),0),0)</f>
        <v>0</v>
      </c>
      <c r="K3458" s="444">
        <f t="shared" ca="1" si="166"/>
        <v>-183767322.43533984</v>
      </c>
      <c r="L3458" s="444">
        <f t="shared" ca="1" si="167"/>
        <v>-44287924706.916901</v>
      </c>
      <c r="M3458" s="460">
        <f t="shared" si="169"/>
        <v>0.05</v>
      </c>
      <c r="N3458" s="464">
        <f t="shared" si="170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68"/>
        <v>-44287924706.916901</v>
      </c>
      <c r="J3459" s="444">
        <f t="array" ref="J3459">IFERROR(INDEX('Retirement Calculator'!J:J,MATCH('Isaac 401k'!N3459,'Retirement Calculator'!A:A,0),0),0)</f>
        <v>0</v>
      </c>
      <c r="K3459" s="444">
        <f t="shared" ca="1" si="166"/>
        <v>-184533019.61215374</v>
      </c>
      <c r="L3459" s="444">
        <f t="shared" ca="1" si="167"/>
        <v>-44472457726.529053</v>
      </c>
      <c r="M3459" s="460">
        <f t="shared" si="169"/>
        <v>0.05</v>
      </c>
      <c r="N3459" s="464">
        <f t="shared" si="170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68"/>
        <v>-44472457726.529053</v>
      </c>
      <c r="J3460" s="444">
        <f t="array" ref="J3460">IFERROR(INDEX('Retirement Calculator'!J:J,MATCH('Isaac 401k'!N3460,'Retirement Calculator'!A:A,0),0),0)</f>
        <v>0</v>
      </c>
      <c r="K3460" s="444">
        <f t="shared" ca="1" si="166"/>
        <v>-185301907.19387105</v>
      </c>
      <c r="L3460" s="444">
        <f t="shared" ca="1" si="167"/>
        <v>-44657759633.722923</v>
      </c>
      <c r="M3460" s="460">
        <f t="shared" si="169"/>
        <v>0.05</v>
      </c>
      <c r="N3460" s="464">
        <f t="shared" si="170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68"/>
        <v>-44657759633.722923</v>
      </c>
      <c r="J3461" s="444">
        <f t="array" ref="J3461">IFERROR(INDEX('Retirement Calculator'!J:J,MATCH('Isaac 401k'!N3461,'Retirement Calculator'!A:A,0),0),0)</f>
        <v>0</v>
      </c>
      <c r="K3461" s="444">
        <f t="shared" ca="1" si="166"/>
        <v>-186073998.47384551</v>
      </c>
      <c r="L3461" s="444">
        <f t="shared" ca="1" si="167"/>
        <v>-44843833632.19677</v>
      </c>
      <c r="M3461" s="460">
        <f t="shared" si="169"/>
        <v>0.05</v>
      </c>
      <c r="N3461" s="464">
        <f t="shared" si="170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68"/>
        <v>-44843833632.19677</v>
      </c>
      <c r="J3462" s="444">
        <f t="array" ref="J3462">IFERROR(INDEX('Retirement Calculator'!J:J,MATCH('Isaac 401k'!N3462,'Retirement Calculator'!A:A,0),0),0)</f>
        <v>0</v>
      </c>
      <c r="K3462" s="444">
        <f t="shared" ca="1" si="166"/>
        <v>-186849306.80081987</v>
      </c>
      <c r="L3462" s="444">
        <f t="shared" ca="1" si="167"/>
        <v>-45030682938.997589</v>
      </c>
      <c r="M3462" s="460">
        <f t="shared" si="169"/>
        <v>0.05</v>
      </c>
      <c r="N3462" s="464">
        <f t="shared" si="170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68"/>
        <v>-45030682938.997589</v>
      </c>
      <c r="J3463" s="444">
        <f t="array" ref="J3463">IFERROR(INDEX('Retirement Calculator'!J:J,MATCH('Isaac 401k'!N3463,'Retirement Calculator'!A:A,0),0),0)</f>
        <v>0</v>
      </c>
      <c r="K3463" s="444">
        <f t="shared" ca="1" si="166"/>
        <v>-187627845.57915661</v>
      </c>
      <c r="L3463" s="444">
        <f t="shared" ca="1" si="167"/>
        <v>-45218310784.576744</v>
      </c>
      <c r="M3463" s="460">
        <f t="shared" si="169"/>
        <v>0.05</v>
      </c>
      <c r="N3463" s="464">
        <f t="shared" si="170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68"/>
        <v>-45218310784.576744</v>
      </c>
      <c r="J3464" s="444">
        <f t="array" ref="J3464">IFERROR(INDEX('Retirement Calculator'!J:J,MATCH('Isaac 401k'!N3464,'Retirement Calculator'!A:A,0),0),0)</f>
        <v>0</v>
      </c>
      <c r="K3464" s="444">
        <f t="shared" ca="1" si="166"/>
        <v>-188409628.26906976</v>
      </c>
      <c r="L3464" s="444">
        <f t="shared" ca="1" si="167"/>
        <v>-45406720412.845818</v>
      </c>
      <c r="M3464" s="460">
        <f t="shared" si="169"/>
        <v>0.05</v>
      </c>
      <c r="N3464" s="464">
        <f t="shared" si="170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68"/>
        <v>-45406720412.845818</v>
      </c>
      <c r="J3465" s="444">
        <f t="array" ref="J3465">IFERROR(INDEX('Retirement Calculator'!J:J,MATCH('Isaac 401k'!N3465,'Retirement Calculator'!A:A,0),0),0)</f>
        <v>0</v>
      </c>
      <c r="K3465" s="444">
        <f t="shared" ca="1" si="166"/>
        <v>-189194668.38685757</v>
      </c>
      <c r="L3465" s="444">
        <f t="shared" ca="1" si="167"/>
        <v>-45595915081.232674</v>
      </c>
      <c r="M3465" s="460">
        <f t="shared" si="169"/>
        <v>0.05</v>
      </c>
      <c r="N3465" s="464">
        <f t="shared" si="170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68"/>
        <v>-45595915081.232674</v>
      </c>
      <c r="J3466" s="444">
        <f t="array" ref="J3466">IFERROR(INDEX('Retirement Calculator'!J:J,MATCH('Isaac 401k'!N3466,'Retirement Calculator'!A:A,0),0),0)</f>
        <v>0</v>
      </c>
      <c r="K3466" s="444">
        <f t="shared" ca="1" si="166"/>
        <v>-189982979.50513613</v>
      </c>
      <c r="L3466" s="444">
        <f t="shared" ca="1" si="167"/>
        <v>-45785898060.737808</v>
      </c>
      <c r="M3466" s="460">
        <f t="shared" si="169"/>
        <v>0.05</v>
      </c>
      <c r="N3466" s="464">
        <f t="shared" si="170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68"/>
        <v>-45785898060.737808</v>
      </c>
      <c r="J3467" s="444">
        <f t="array" ref="J3467">IFERROR(INDEX('Retirement Calculator'!J:J,MATCH('Isaac 401k'!N3467,'Retirement Calculator'!A:A,0),0),0)</f>
        <v>0</v>
      </c>
      <c r="K3467" s="444">
        <f t="shared" ca="1" si="166"/>
        <v>-190774575.2530742</v>
      </c>
      <c r="L3467" s="444">
        <f t="shared" ca="1" si="167"/>
        <v>-45976672635.990883</v>
      </c>
      <c r="M3467" s="460">
        <f t="shared" si="169"/>
        <v>0.05</v>
      </c>
      <c r="N3467" s="464">
        <f t="shared" si="170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68"/>
        <v>-45976672635.990883</v>
      </c>
      <c r="J3468" s="444">
        <f t="array" ref="J3468">IFERROR(INDEX('Retirement Calculator'!J:J,MATCH('Isaac 401k'!N3468,'Retirement Calculator'!A:A,0),0),0)</f>
        <v>0</v>
      </c>
      <c r="K3468" s="444">
        <f t="shared" ca="1" si="166"/>
        <v>-191569469.31662866</v>
      </c>
      <c r="L3468" s="444">
        <f t="shared" ca="1" si="167"/>
        <v>-46168242105.30751</v>
      </c>
      <c r="M3468" s="460">
        <f t="shared" si="169"/>
        <v>0.05</v>
      </c>
      <c r="N3468" s="464">
        <f t="shared" si="170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68"/>
        <v>-46168242105.30751</v>
      </c>
      <c r="J3469" s="444">
        <f t="array" ref="J3469">IFERROR(INDEX('Retirement Calculator'!J:J,MATCH('Isaac 401k'!N3469,'Retirement Calculator'!A:A,0),0),0)</f>
        <v>0</v>
      </c>
      <c r="K3469" s="444">
        <f t="shared" ca="1" si="166"/>
        <v>-192367675.43878129</v>
      </c>
      <c r="L3469" s="444">
        <f t="shared" ca="1" si="167"/>
        <v>-46360609780.746292</v>
      </c>
      <c r="M3469" s="460">
        <f t="shared" si="169"/>
        <v>0.05</v>
      </c>
      <c r="N3469" s="464">
        <f t="shared" si="170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68"/>
        <v>-46360609780.746292</v>
      </c>
      <c r="J3470" s="444">
        <f t="array" ref="J3470">IFERROR(INDEX('Retirement Calculator'!J:J,MATCH('Isaac 401k'!N3470,'Retirement Calculator'!A:A,0),0),0)</f>
        <v>0</v>
      </c>
      <c r="K3470" s="444">
        <f t="shared" ca="1" si="166"/>
        <v>-193169207.4197762</v>
      </c>
      <c r="L3470" s="444">
        <f t="shared" ca="1" si="167"/>
        <v>-46553778988.166069</v>
      </c>
      <c r="M3470" s="460">
        <f t="shared" si="169"/>
        <v>0.05</v>
      </c>
      <c r="N3470" s="464">
        <f t="shared" si="170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68"/>
        <v>-46553778988.166069</v>
      </c>
      <c r="J3471" s="444">
        <f t="array" ref="J3471">IFERROR(INDEX('Retirement Calculator'!J:J,MATCH('Isaac 401k'!N3471,'Retirement Calculator'!A:A,0),0),0)</f>
        <v>0</v>
      </c>
      <c r="K3471" s="444">
        <f t="shared" ca="1" si="166"/>
        <v>-193974079.11735862</v>
      </c>
      <c r="L3471" s="444">
        <f t="shared" ca="1" si="167"/>
        <v>-46747753067.283424</v>
      </c>
      <c r="M3471" s="460">
        <f t="shared" si="169"/>
        <v>0.05</v>
      </c>
      <c r="N3471" s="464">
        <f t="shared" si="170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68"/>
        <v>-46747753067.283424</v>
      </c>
      <c r="J3472" s="444">
        <f t="array" ref="J3472">IFERROR(INDEX('Retirement Calculator'!J:J,MATCH('Isaac 401k'!N3472,'Retirement Calculator'!A:A,0),0),0)</f>
        <v>0</v>
      </c>
      <c r="K3472" s="444">
        <f t="shared" ca="1" si="166"/>
        <v>-194782304.44701427</v>
      </c>
      <c r="L3472" s="444">
        <f t="shared" ca="1" si="167"/>
        <v>-46942535371.730438</v>
      </c>
      <c r="M3472" s="460">
        <f t="shared" si="169"/>
        <v>0.05</v>
      </c>
      <c r="N3472" s="464">
        <f t="shared" si="170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68"/>
        <v>-46942535371.730438</v>
      </c>
      <c r="J3473" s="444">
        <f t="array" ref="J3473">IFERROR(INDEX('Retirement Calculator'!J:J,MATCH('Isaac 401k'!N3473,'Retirement Calculator'!A:A,0),0),0)</f>
        <v>0</v>
      </c>
      <c r="K3473" s="444">
        <f t="shared" ca="1" si="166"/>
        <v>-195593897.38221017</v>
      </c>
      <c r="L3473" s="444">
        <f t="shared" ca="1" si="167"/>
        <v>-47138129269.112648</v>
      </c>
      <c r="M3473" s="460">
        <f t="shared" si="169"/>
        <v>0.05</v>
      </c>
      <c r="N3473" s="464">
        <f t="shared" si="170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68"/>
        <v>-47138129269.112648</v>
      </c>
      <c r="J3474" s="444">
        <f t="array" ref="J3474">IFERROR(INDEX('Retirement Calculator'!J:J,MATCH('Isaac 401k'!N3474,'Retirement Calculator'!A:A,0),0),0)</f>
        <v>0</v>
      </c>
      <c r="K3474" s="444">
        <f t="shared" ca="1" si="166"/>
        <v>-196408871.95463604</v>
      </c>
      <c r="L3474" s="444">
        <f t="shared" ca="1" si="167"/>
        <v>-47334538141.067284</v>
      </c>
      <c r="M3474" s="460">
        <f t="shared" si="169"/>
        <v>0.05</v>
      </c>
      <c r="N3474" s="464">
        <f t="shared" si="170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68"/>
        <v>-47334538141.067284</v>
      </c>
      <c r="J3475" s="444">
        <f t="array" ref="J3475">IFERROR(INDEX('Retirement Calculator'!J:J,MATCH('Isaac 401k'!N3475,'Retirement Calculator'!A:A,0),0),0)</f>
        <v>0</v>
      </c>
      <c r="K3475" s="444">
        <f t="shared" ca="1" si="166"/>
        <v>-197227242.25444701</v>
      </c>
      <c r="L3475" s="444">
        <f t="shared" ca="1" si="167"/>
        <v>-47531765383.321732</v>
      </c>
      <c r="M3475" s="460">
        <f t="shared" si="169"/>
        <v>0.05</v>
      </c>
      <c r="N3475" s="464">
        <f t="shared" si="170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68"/>
        <v>-47531765383.321732</v>
      </c>
      <c r="J3476" s="444">
        <f t="array" ref="J3476">IFERROR(INDEX('Retirement Calculator'!J:J,MATCH('Isaac 401k'!N3476,'Retirement Calculator'!A:A,0),0),0)</f>
        <v>0</v>
      </c>
      <c r="K3476" s="444">
        <f t="shared" ca="1" si="166"/>
        <v>-198049022.43050721</v>
      </c>
      <c r="L3476" s="444">
        <f t="shared" ca="1" si="167"/>
        <v>-47729814405.752235</v>
      </c>
      <c r="M3476" s="460">
        <f t="shared" si="169"/>
        <v>0.05</v>
      </c>
      <c r="N3476" s="464">
        <f t="shared" si="170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68"/>
        <v>-47729814405.752235</v>
      </c>
      <c r="J3477" s="444">
        <f t="array" ref="J3477">IFERROR(INDEX('Retirement Calculator'!J:J,MATCH('Isaac 401k'!N3477,'Retirement Calculator'!A:A,0),0),0)</f>
        <v>0</v>
      </c>
      <c r="K3477" s="444">
        <f t="shared" ca="1" si="166"/>
        <v>-198874226.69063431</v>
      </c>
      <c r="L3477" s="444">
        <f t="shared" ca="1" si="167"/>
        <v>-47928688632.442871</v>
      </c>
      <c r="M3477" s="460">
        <f t="shared" si="169"/>
        <v>0.05</v>
      </c>
      <c r="N3477" s="464">
        <f t="shared" si="170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68"/>
        <v>-47928688632.442871</v>
      </c>
      <c r="J3478" s="444">
        <f t="array" ref="J3478">IFERROR(INDEX('Retirement Calculator'!J:J,MATCH('Isaac 401k'!N3478,'Retirement Calculator'!A:A,0),0),0)</f>
        <v>0</v>
      </c>
      <c r="K3478" s="444">
        <f t="shared" ca="1" si="166"/>
        <v>-199702869.30184528</v>
      </c>
      <c r="L3478" s="444">
        <f t="shared" ca="1" si="167"/>
        <v>-48128391501.744713</v>
      </c>
      <c r="M3478" s="460">
        <f t="shared" si="169"/>
        <v>0.05</v>
      </c>
      <c r="N3478" s="464">
        <f t="shared" si="170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68"/>
        <v>-48128391501.744713</v>
      </c>
      <c r="J3479" s="444">
        <f t="array" ref="J3479">IFERROR(INDEX('Retirement Calculator'!J:J,MATCH('Isaac 401k'!N3479,'Retirement Calculator'!A:A,0),0),0)</f>
        <v>0</v>
      </c>
      <c r="K3479" s="444">
        <f t="shared" ca="1" si="166"/>
        <v>-200534964.59060296</v>
      </c>
      <c r="L3479" s="444">
        <f t="shared" ca="1" si="167"/>
        <v>-48328926466.33532</v>
      </c>
      <c r="M3479" s="460">
        <f t="shared" si="169"/>
        <v>0.05</v>
      </c>
      <c r="N3479" s="464">
        <f t="shared" si="170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68"/>
        <v>-48328926466.33532</v>
      </c>
      <c r="J3480" s="444">
        <f t="array" ref="J3480">IFERROR(INDEX('Retirement Calculator'!J:J,MATCH('Isaac 401k'!N3480,'Retirement Calculator'!A:A,0),0),0)</f>
        <v>0</v>
      </c>
      <c r="K3480" s="444">
        <f t="shared" ca="1" si="166"/>
        <v>-201370526.94306383</v>
      </c>
      <c r="L3480" s="444">
        <f t="shared" ca="1" si="167"/>
        <v>-48530296993.278381</v>
      </c>
      <c r="M3480" s="460">
        <f t="shared" si="169"/>
        <v>0.05</v>
      </c>
      <c r="N3480" s="464">
        <f t="shared" si="170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68"/>
        <v>-48530296993.278381</v>
      </c>
      <c r="J3481" s="444">
        <f t="array" ref="J3481">IFERROR(INDEX('Retirement Calculator'!J:J,MATCH('Isaac 401k'!N3481,'Retirement Calculator'!A:A,0),0),0)</f>
        <v>0</v>
      </c>
      <c r="K3481" s="444">
        <f t="shared" ca="1" si="166"/>
        <v>-202209570.80532658</v>
      </c>
      <c r="L3481" s="444">
        <f t="shared" ca="1" si="167"/>
        <v>-48732506564.08371</v>
      </c>
      <c r="M3481" s="460">
        <f t="shared" si="169"/>
        <v>0.05</v>
      </c>
      <c r="N3481" s="464">
        <f t="shared" si="170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68"/>
        <v>-48732506564.08371</v>
      </c>
      <c r="J3482" s="444">
        <f t="array" ref="J3482">IFERROR(INDEX('Retirement Calculator'!J:J,MATCH('Isaac 401k'!N3482,'Retirement Calculator'!A:A,0),0),0)</f>
        <v>0</v>
      </c>
      <c r="K3482" s="444">
        <f t="shared" ca="1" si="166"/>
        <v>-203052110.68368211</v>
      </c>
      <c r="L3482" s="444">
        <f t="shared" ca="1" si="167"/>
        <v>-48935558674.767395</v>
      </c>
      <c r="M3482" s="460">
        <f t="shared" si="169"/>
        <v>0.05</v>
      </c>
      <c r="N3482" s="464">
        <f t="shared" si="170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68"/>
        <v>-48935558674.767395</v>
      </c>
      <c r="J3483" s="444">
        <f t="array" ref="J3483">IFERROR(INDEX('Retirement Calculator'!J:J,MATCH('Isaac 401k'!N3483,'Retirement Calculator'!A:A,0),0),0)</f>
        <v>0</v>
      </c>
      <c r="K3483" s="444">
        <f t="shared" ca="1" si="166"/>
        <v>-203898161.14486414</v>
      </c>
      <c r="L3483" s="444">
        <f t="shared" ca="1" si="167"/>
        <v>-49139456835.912262</v>
      </c>
      <c r="M3483" s="460">
        <f t="shared" si="169"/>
        <v>0.05</v>
      </c>
      <c r="N3483" s="464">
        <f t="shared" si="170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68"/>
        <v>-49139456835.912262</v>
      </c>
      <c r="J3484" s="444">
        <f t="array" ref="J3484">IFERROR(INDEX('Retirement Calculator'!J:J,MATCH('Isaac 401k'!N3484,'Retirement Calculator'!A:A,0),0),0)</f>
        <v>0</v>
      </c>
      <c r="K3484" s="444">
        <f t="shared" ca="1" si="166"/>
        <v>-204747736.81630108</v>
      </c>
      <c r="L3484" s="444">
        <f t="shared" ca="1" si="167"/>
        <v>-49344204572.728561</v>
      </c>
      <c r="M3484" s="460">
        <f t="shared" si="169"/>
        <v>0.05</v>
      </c>
      <c r="N3484" s="464">
        <f t="shared" si="170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68"/>
        <v>-49344204572.728561</v>
      </c>
      <c r="J3485" s="444">
        <f t="array" ref="J3485">IFERROR(INDEX('Retirement Calculator'!J:J,MATCH('Isaac 401k'!N3485,'Retirement Calculator'!A:A,0),0),0)</f>
        <v>0</v>
      </c>
      <c r="K3485" s="444">
        <f t="shared" ca="1" si="166"/>
        <v>-205600852.38636899</v>
      </c>
      <c r="L3485" s="444">
        <f t="shared" ca="1" si="167"/>
        <v>-49549805425.114929</v>
      </c>
      <c r="M3485" s="460">
        <f t="shared" si="169"/>
        <v>0.05</v>
      </c>
      <c r="N3485" s="464">
        <f t="shared" si="170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68"/>
        <v>-49549805425.114929</v>
      </c>
      <c r="J3486" s="444">
        <f t="array" ref="J3486">IFERROR(INDEX('Retirement Calculator'!J:J,MATCH('Isaac 401k'!N3486,'Retirement Calculator'!A:A,0),0),0)</f>
        <v>0</v>
      </c>
      <c r="K3486" s="444">
        <f t="shared" ca="1" si="166"/>
        <v>-206457522.60464555</v>
      </c>
      <c r="L3486" s="444">
        <f t="shared" ca="1" si="167"/>
        <v>-49756262947.719574</v>
      </c>
      <c r="M3486" s="460">
        <f t="shared" si="169"/>
        <v>0.05</v>
      </c>
      <c r="N3486" s="464">
        <f t="shared" si="170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68"/>
        <v>-49756262947.719574</v>
      </c>
      <c r="J3487" s="444">
        <f t="array" ref="J3487">IFERROR(INDEX('Retirement Calculator'!J:J,MATCH('Isaac 401k'!N3487,'Retirement Calculator'!A:A,0),0),0)</f>
        <v>0</v>
      </c>
      <c r="K3487" s="444">
        <f t="shared" ca="1" si="166"/>
        <v>-207317762.2821649</v>
      </c>
      <c r="L3487" s="444">
        <f t="shared" ca="1" si="167"/>
        <v>-49963580710.00174</v>
      </c>
      <c r="M3487" s="460">
        <f t="shared" si="169"/>
        <v>0.05</v>
      </c>
      <c r="N3487" s="464">
        <f t="shared" si="170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68"/>
        <v>-49963580710.00174</v>
      </c>
      <c r="J3488" s="444">
        <f t="array" ref="J3488">IFERROR(INDEX('Retirement Calculator'!J:J,MATCH('Isaac 401k'!N3488,'Retirement Calculator'!A:A,0),0),0)</f>
        <v>0</v>
      </c>
      <c r="K3488" s="444">
        <f t="shared" ca="1" si="166"/>
        <v>-208181586.2916739</v>
      </c>
      <c r="L3488" s="444">
        <f t="shared" ca="1" si="167"/>
        <v>-50171762296.293411</v>
      </c>
      <c r="M3488" s="460">
        <f t="shared" si="169"/>
        <v>0.05</v>
      </c>
      <c r="N3488" s="464">
        <f t="shared" si="170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68"/>
        <v>-50171762296.293411</v>
      </c>
      <c r="J3489" s="444">
        <f t="array" ref="J3489">IFERROR(INDEX('Retirement Calculator'!J:J,MATCH('Isaac 401k'!N3489,'Retirement Calculator'!A:A,0),0),0)</f>
        <v>0</v>
      </c>
      <c r="K3489" s="444">
        <f t="shared" ca="1" si="166"/>
        <v>-209049009.56788921</v>
      </c>
      <c r="L3489" s="444">
        <f t="shared" ca="1" si="167"/>
        <v>-50380811305.861298</v>
      </c>
      <c r="M3489" s="460">
        <f t="shared" si="169"/>
        <v>0.05</v>
      </c>
      <c r="N3489" s="464">
        <f t="shared" si="170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68"/>
        <v>-50380811305.861298</v>
      </c>
      <c r="J3490" s="444">
        <f t="array" ref="J3490">IFERROR(INDEX('Retirement Calculator'!J:J,MATCH('Isaac 401k'!N3490,'Retirement Calculator'!A:A,0),0),0)</f>
        <v>0</v>
      </c>
      <c r="K3490" s="444">
        <f t="shared" ca="1" si="166"/>
        <v>-209920047.10775539</v>
      </c>
      <c r="L3490" s="444">
        <f t="shared" ca="1" si="167"/>
        <v>-50590731352.969055</v>
      </c>
      <c r="M3490" s="460">
        <f t="shared" si="169"/>
        <v>0.05</v>
      </c>
      <c r="N3490" s="464">
        <f t="shared" si="170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68"/>
        <v>-50590731352.969055</v>
      </c>
      <c r="J3491" s="444">
        <f t="array" ref="J3491">IFERROR(INDEX('Retirement Calculator'!J:J,MATCH('Isaac 401k'!N3491,'Retirement Calculator'!A:A,0),0),0)</f>
        <v>0</v>
      </c>
      <c r="K3491" s="444">
        <f t="shared" ca="1" si="166"/>
        <v>-210794713.97070441</v>
      </c>
      <c r="L3491" s="444">
        <f t="shared" ca="1" si="167"/>
        <v>-50801526066.939758</v>
      </c>
      <c r="M3491" s="460">
        <f t="shared" si="169"/>
        <v>0.05</v>
      </c>
      <c r="N3491" s="464">
        <f t="shared" si="170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68"/>
        <v>-50801526066.939758</v>
      </c>
      <c r="J3492" s="444">
        <f t="array" ref="J3492">IFERROR(INDEX('Retirement Calculator'!J:J,MATCH('Isaac 401k'!N3492,'Retirement Calculator'!A:A,0),0),0)</f>
        <v>0</v>
      </c>
      <c r="K3492" s="444">
        <f t="shared" ca="1" si="166"/>
        <v>-211673025.27891564</v>
      </c>
      <c r="L3492" s="444">
        <f t="shared" ca="1" si="167"/>
        <v>-51013199092.218674</v>
      </c>
      <c r="M3492" s="460">
        <f t="shared" si="169"/>
        <v>0.05</v>
      </c>
      <c r="N3492" s="464">
        <f t="shared" si="170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68"/>
        <v>-51013199092.218674</v>
      </c>
      <c r="J3493" s="444">
        <f t="array" ref="J3493">IFERROR(INDEX('Retirement Calculator'!J:J,MATCH('Isaac 401k'!N3493,'Retirement Calculator'!A:A,0),0),0)</f>
        <v>0</v>
      </c>
      <c r="K3493" s="444">
        <f t="shared" ca="1" si="166"/>
        <v>-212554996.21757782</v>
      </c>
      <c r="L3493" s="444">
        <f t="shared" ca="1" si="167"/>
        <v>-51225754088.436249</v>
      </c>
      <c r="M3493" s="460">
        <f t="shared" si="169"/>
        <v>0.05</v>
      </c>
      <c r="N3493" s="464">
        <f t="shared" si="170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68"/>
        <v>-51225754088.436249</v>
      </c>
      <c r="J3494" s="444">
        <f t="array" ref="J3494">IFERROR(INDEX('Retirement Calculator'!J:J,MATCH('Isaac 401k'!N3494,'Retirement Calculator'!A:A,0),0),0)</f>
        <v>0</v>
      </c>
      <c r="K3494" s="444">
        <f t="shared" ca="1" si="166"/>
        <v>-213440642.03515103</v>
      </c>
      <c r="L3494" s="444">
        <f t="shared" ca="1" si="167"/>
        <v>-51439194730.471397</v>
      </c>
      <c r="M3494" s="460">
        <f t="shared" si="169"/>
        <v>0.05</v>
      </c>
      <c r="N3494" s="464">
        <f t="shared" si="170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68"/>
        <v>-51439194730.471397</v>
      </c>
      <c r="J3495" s="444">
        <f t="array" ref="J3495">IFERROR(INDEX('Retirement Calculator'!J:J,MATCH('Isaac 401k'!N3495,'Retirement Calculator'!A:A,0),0),0)</f>
        <v>0</v>
      </c>
      <c r="K3495" s="444">
        <f t="shared" ca="1" si="166"/>
        <v>-214329978.04363081</v>
      </c>
      <c r="L3495" s="444">
        <f t="shared" ca="1" si="167"/>
        <v>-51653524708.51503</v>
      </c>
      <c r="M3495" s="460">
        <f t="shared" si="169"/>
        <v>0.05</v>
      </c>
      <c r="N3495" s="464">
        <f t="shared" si="170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68"/>
        <v>-51653524708.51503</v>
      </c>
      <c r="J3496" s="444">
        <f t="array" ref="J3496">IFERROR(INDEX('Retirement Calculator'!J:J,MATCH('Isaac 401k'!N3496,'Retirement Calculator'!A:A,0),0),0)</f>
        <v>0</v>
      </c>
      <c r="K3496" s="444">
        <f t="shared" ca="1" si="166"/>
        <v>-215223019.61881262</v>
      </c>
      <c r="L3496" s="444">
        <f t="shared" ca="1" si="167"/>
        <v>-51868747728.133842</v>
      </c>
      <c r="M3496" s="460">
        <f t="shared" si="169"/>
        <v>0.05</v>
      </c>
      <c r="N3496" s="464">
        <f t="shared" si="170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68"/>
        <v>-51868747728.133842</v>
      </c>
      <c r="J3497" s="444">
        <f t="array" ref="J3497">IFERROR(INDEX('Retirement Calculator'!J:J,MATCH('Isaac 401k'!N3497,'Retirement Calculator'!A:A,0),0),0)</f>
        <v>0</v>
      </c>
      <c r="K3497" s="444">
        <f t="shared" ca="1" si="166"/>
        <v>-216119782.20055768</v>
      </c>
      <c r="L3497" s="444">
        <f t="shared" ca="1" si="167"/>
        <v>-52084867510.334396</v>
      </c>
      <c r="M3497" s="460">
        <f t="shared" si="169"/>
        <v>0.05</v>
      </c>
      <c r="N3497" s="464">
        <f t="shared" si="170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68"/>
        <v>-52084867510.334396</v>
      </c>
      <c r="J3498" s="444">
        <f t="array" ref="J3498">IFERROR(INDEX('Retirement Calculator'!J:J,MATCH('Isaac 401k'!N3498,'Retirement Calculator'!A:A,0),0),0)</f>
        <v>0</v>
      </c>
      <c r="K3498" s="444">
        <f t="shared" ca="1" si="166"/>
        <v>-217020281.29305997</v>
      </c>
      <c r="L3498" s="444">
        <f t="shared" ca="1" si="167"/>
        <v>-52301887791.627457</v>
      </c>
      <c r="M3498" s="460">
        <f t="shared" si="169"/>
        <v>0.05</v>
      </c>
      <c r="N3498" s="464">
        <f t="shared" si="170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68"/>
        <v>-52301887791.627457</v>
      </c>
      <c r="J3499" s="444">
        <f t="array" ref="J3499">IFERROR(INDEX('Retirement Calculator'!J:J,MATCH('Isaac 401k'!N3499,'Retirement Calculator'!A:A,0),0),0)</f>
        <v>0</v>
      </c>
      <c r="K3499" s="444">
        <f t="shared" ca="1" si="166"/>
        <v>-217924532.46511438</v>
      </c>
      <c r="L3499" s="444">
        <f t="shared" ca="1" si="167"/>
        <v>-52519812324.092567</v>
      </c>
      <c r="M3499" s="460">
        <f t="shared" si="169"/>
        <v>0.05</v>
      </c>
      <c r="N3499" s="464">
        <f t="shared" si="170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68"/>
        <v>-52519812324.092567</v>
      </c>
      <c r="J3500" s="444">
        <f t="array" ref="J3500">IFERROR(INDEX('Retirement Calculator'!J:J,MATCH('Isaac 401k'!N3500,'Retirement Calculator'!A:A,0),0),0)</f>
        <v>0</v>
      </c>
      <c r="K3500" s="444">
        <f t="shared" ca="1" si="166"/>
        <v>-218832551.3503857</v>
      </c>
      <c r="L3500" s="444">
        <f t="shared" ca="1" si="167"/>
        <v>-52738644875.442955</v>
      </c>
      <c r="M3500" s="460">
        <f t="shared" si="169"/>
        <v>0.05</v>
      </c>
      <c r="N3500" s="464">
        <f t="shared" si="170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68"/>
        <v>-52738644875.442955</v>
      </c>
      <c r="J3501" s="444">
        <f t="array" ref="J3501">IFERROR(INDEX('Retirement Calculator'!J:J,MATCH('Isaac 401k'!N3501,'Retirement Calculator'!A:A,0),0),0)</f>
        <v>0</v>
      </c>
      <c r="K3501" s="444">
        <f t="shared" ca="1" si="166"/>
        <v>-219744353.64767897</v>
      </c>
      <c r="L3501" s="444">
        <f t="shared" ca="1" si="167"/>
        <v>-52958389229.090637</v>
      </c>
      <c r="M3501" s="460">
        <f t="shared" si="169"/>
        <v>0.05</v>
      </c>
      <c r="N3501" s="464">
        <f t="shared" si="170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68"/>
        <v>-52958389229.090637</v>
      </c>
      <c r="J3502" s="444">
        <f t="array" ref="J3502">IFERROR(INDEX('Retirement Calculator'!J:J,MATCH('Isaac 401k'!N3502,'Retirement Calculator'!A:A,0),0),0)</f>
        <v>0</v>
      </c>
      <c r="K3502" s="444">
        <f t="shared" ca="1" si="166"/>
        <v>-220659955.12121099</v>
      </c>
      <c r="L3502" s="444">
        <f t="shared" ca="1" si="167"/>
        <v>-53179049184.211845</v>
      </c>
      <c r="M3502" s="460">
        <f t="shared" si="169"/>
        <v>0.05</v>
      </c>
      <c r="N3502" s="464">
        <f t="shared" si="170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68"/>
        <v>-53179049184.211845</v>
      </c>
      <c r="J3503" s="444">
        <f t="array" ref="J3503">IFERROR(INDEX('Retirement Calculator'!J:J,MATCH('Isaac 401k'!N3503,'Retirement Calculator'!A:A,0),0),0)</f>
        <v>0</v>
      </c>
      <c r="K3503" s="444">
        <f t="shared" ca="1" si="166"/>
        <v>-221579371.60088268</v>
      </c>
      <c r="L3503" s="444">
        <f t="shared" ca="1" si="167"/>
        <v>-53400628555.812729</v>
      </c>
      <c r="M3503" s="460">
        <f t="shared" si="169"/>
        <v>0.05</v>
      </c>
      <c r="N3503" s="464">
        <f t="shared" si="170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68"/>
        <v>-53400628555.812729</v>
      </c>
      <c r="J3504" s="444">
        <f t="array" ref="J3504">IFERROR(INDEX('Retirement Calculator'!J:J,MATCH('Isaac 401k'!N3504,'Retirement Calculator'!A:A,0),0),0)</f>
        <v>0</v>
      </c>
      <c r="K3504" s="444">
        <f t="shared" ca="1" si="166"/>
        <v>-222502618.98255304</v>
      </c>
      <c r="L3504" s="444">
        <f t="shared" ca="1" si="167"/>
        <v>-53623131174.79528</v>
      </c>
      <c r="M3504" s="460">
        <f t="shared" si="169"/>
        <v>0.05</v>
      </c>
      <c r="N3504" s="464">
        <f t="shared" si="170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68"/>
        <v>-53623131174.79528</v>
      </c>
      <c r="J3505" s="444">
        <f t="array" ref="J3505">IFERROR(INDEX('Retirement Calculator'!J:J,MATCH('Isaac 401k'!N3505,'Retirement Calculator'!A:A,0),0),0)</f>
        <v>0</v>
      </c>
      <c r="K3505" s="444">
        <f t="shared" ca="1" si="166"/>
        <v>-223429713.22831368</v>
      </c>
      <c r="L3505" s="444">
        <f t="shared" ca="1" si="167"/>
        <v>-53846560888.023598</v>
      </c>
      <c r="M3505" s="460">
        <f t="shared" si="169"/>
        <v>0.05</v>
      </c>
      <c r="N3505" s="464">
        <f t="shared" si="170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68"/>
        <v>-53846560888.023598</v>
      </c>
      <c r="J3506" s="444">
        <f t="array" ref="J3506">IFERROR(INDEX('Retirement Calculator'!J:J,MATCH('Isaac 401k'!N3506,'Retirement Calculator'!A:A,0),0),0)</f>
        <v>0</v>
      </c>
      <c r="K3506" s="444">
        <f t="shared" ca="1" si="166"/>
        <v>-224360670.36676499</v>
      </c>
      <c r="L3506" s="444">
        <f t="shared" ca="1" si="167"/>
        <v>-54070921558.390366</v>
      </c>
      <c r="M3506" s="460">
        <f t="shared" si="169"/>
        <v>0.05</v>
      </c>
      <c r="N3506" s="464">
        <f t="shared" si="170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68"/>
        <v>-54070921558.390366</v>
      </c>
      <c r="J3507" s="444">
        <f t="array" ref="J3507">IFERROR(INDEX('Retirement Calculator'!J:J,MATCH('Isaac 401k'!N3507,'Retirement Calculator'!A:A,0),0),0)</f>
        <v>0</v>
      </c>
      <c r="K3507" s="444">
        <f t="shared" ca="1" si="166"/>
        <v>-225295506.49329323</v>
      </c>
      <c r="L3507" s="444">
        <f t="shared" ca="1" si="167"/>
        <v>-54296217064.883659</v>
      </c>
      <c r="M3507" s="460">
        <f t="shared" si="169"/>
        <v>0.05</v>
      </c>
      <c r="N3507" s="464">
        <f t="shared" si="170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68"/>
        <v>-54296217064.883659</v>
      </c>
      <c r="J3508" s="444">
        <f t="array" ref="J3508">IFERROR(INDEX('Retirement Calculator'!J:J,MATCH('Isaac 401k'!N3508,'Retirement Calculator'!A:A,0),0),0)</f>
        <v>0</v>
      </c>
      <c r="K3508" s="444">
        <f t="shared" ca="1" si="166"/>
        <v>-226234237.77034858</v>
      </c>
      <c r="L3508" s="444">
        <f t="shared" ca="1" si="167"/>
        <v>-54522451302.654007</v>
      </c>
      <c r="M3508" s="460">
        <f t="shared" si="169"/>
        <v>0.05</v>
      </c>
      <c r="N3508" s="464">
        <f t="shared" si="170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68"/>
        <v>-54522451302.654007</v>
      </c>
      <c r="J3509" s="444">
        <f t="array" ref="J3509">IFERROR(INDEX('Retirement Calculator'!J:J,MATCH('Isaac 401k'!N3509,'Retirement Calculator'!A:A,0),0),0)</f>
        <v>0</v>
      </c>
      <c r="K3509" s="444">
        <f t="shared" ca="1" si="166"/>
        <v>-227176880.42772502</v>
      </c>
      <c r="L3509" s="444">
        <f t="shared" ca="1" si="167"/>
        <v>-54749628183.081734</v>
      </c>
      <c r="M3509" s="460">
        <f t="shared" si="169"/>
        <v>0.05</v>
      </c>
      <c r="N3509" s="464">
        <f t="shared" si="170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68"/>
        <v>-54749628183.081734</v>
      </c>
      <c r="J3510" s="444">
        <f t="array" ref="J3510">IFERROR(INDEX('Retirement Calculator'!J:J,MATCH('Isaac 401k'!N3510,'Retirement Calculator'!A:A,0),0),0)</f>
        <v>0</v>
      </c>
      <c r="K3510" s="444">
        <f t="shared" ca="1" si="166"/>
        <v>-228123450.76284054</v>
      </c>
      <c r="L3510" s="444">
        <f t="shared" ca="1" si="167"/>
        <v>-54977751633.844574</v>
      </c>
      <c r="M3510" s="460">
        <f t="shared" si="169"/>
        <v>0.05</v>
      </c>
      <c r="N3510" s="464">
        <f t="shared" si="170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68"/>
        <v>-54977751633.844574</v>
      </c>
      <c r="J3511" s="444">
        <f t="array" ref="J3511">IFERROR(INDEX('Retirement Calculator'!J:J,MATCH('Isaac 401k'!N3511,'Retirement Calculator'!A:A,0),0),0)</f>
        <v>0</v>
      </c>
      <c r="K3511" s="444">
        <f t="shared" ca="1" si="166"/>
        <v>-229073965.14101905</v>
      </c>
      <c r="L3511" s="444">
        <f t="shared" ca="1" si="167"/>
        <v>-55206825598.985596</v>
      </c>
      <c r="M3511" s="460">
        <f t="shared" si="169"/>
        <v>0.05</v>
      </c>
      <c r="N3511" s="464">
        <f t="shared" si="170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68"/>
        <v>-55206825598.985596</v>
      </c>
      <c r="J3512" s="444">
        <f t="array" ref="J3512">IFERROR(INDEX('Retirement Calculator'!J:J,MATCH('Isaac 401k'!N3512,'Retirement Calculator'!A:A,0),0),0)</f>
        <v>0</v>
      </c>
      <c r="K3512" s="444">
        <f t="shared" ca="1" si="166"/>
        <v>-230028439.99577332</v>
      </c>
      <c r="L3512" s="444">
        <f t="shared" ca="1" si="167"/>
        <v>-55436854038.981369</v>
      </c>
      <c r="M3512" s="460">
        <f t="shared" si="169"/>
        <v>0.05</v>
      </c>
      <c r="N3512" s="464">
        <f t="shared" si="170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68"/>
        <v>-55436854038.981369</v>
      </c>
      <c r="J3513" s="444">
        <f t="array" ref="J3513">IFERROR(INDEX('Retirement Calculator'!J:J,MATCH('Isaac 401k'!N3513,'Retirement Calculator'!A:A,0),0),0)</f>
        <v>0</v>
      </c>
      <c r="K3513" s="444">
        <f t="shared" ca="1" si="166"/>
        <v>-230986891.82908905</v>
      </c>
      <c r="L3513" s="444">
        <f t="shared" ca="1" si="167"/>
        <v>-55667840930.810455</v>
      </c>
      <c r="M3513" s="460">
        <f t="shared" si="169"/>
        <v>0.05</v>
      </c>
      <c r="N3513" s="464">
        <f t="shared" si="170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68"/>
        <v>-55667840930.810455</v>
      </c>
      <c r="J3514" s="444">
        <f t="array" ref="J3514">IFERROR(INDEX('Retirement Calculator'!J:J,MATCH('Isaac 401k'!N3514,'Retirement Calculator'!A:A,0),0),0)</f>
        <v>0</v>
      </c>
      <c r="K3514" s="444">
        <f t="shared" ca="1" si="166"/>
        <v>-231949337.21171021</v>
      </c>
      <c r="L3514" s="444">
        <f t="shared" ca="1" si="167"/>
        <v>-55899790268.022163</v>
      </c>
      <c r="M3514" s="460">
        <f t="shared" si="169"/>
        <v>0.05</v>
      </c>
      <c r="N3514" s="464">
        <f t="shared" si="170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68"/>
        <v>-55899790268.022163</v>
      </c>
      <c r="J3515" s="444">
        <f t="array" ref="J3515">IFERROR(INDEX('Retirement Calculator'!J:J,MATCH('Isaac 401k'!N3515,'Retirement Calculator'!A:A,0),0),0)</f>
        <v>0</v>
      </c>
      <c r="K3515" s="444">
        <f t="shared" ca="1" si="166"/>
        <v>-232915792.78342569</v>
      </c>
      <c r="L3515" s="444">
        <f t="shared" ca="1" si="167"/>
        <v>-56132706060.805588</v>
      </c>
      <c r="M3515" s="460">
        <f t="shared" si="169"/>
        <v>0.05</v>
      </c>
      <c r="N3515" s="464">
        <f t="shared" si="170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68"/>
        <v>-56132706060.805588</v>
      </c>
      <c r="J3516" s="444">
        <f t="array" ref="J3516">IFERROR(INDEX('Retirement Calculator'!J:J,MATCH('Isaac 401k'!N3516,'Retirement Calculator'!A:A,0),0),0)</f>
        <v>0</v>
      </c>
      <c r="K3516" s="444">
        <f t="shared" ca="1" si="166"/>
        <v>-233886275.25335661</v>
      </c>
      <c r="L3516" s="444">
        <f t="shared" ca="1" si="167"/>
        <v>-56366592336.058945</v>
      </c>
      <c r="M3516" s="460">
        <f t="shared" si="169"/>
        <v>0.05</v>
      </c>
      <c r="N3516" s="464">
        <f t="shared" si="170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68"/>
        <v>-56366592336.058945</v>
      </c>
      <c r="J3517" s="444">
        <f t="array" ref="J3517">IFERROR(INDEX('Retirement Calculator'!J:J,MATCH('Isaac 401k'!N3517,'Retirement Calculator'!A:A,0),0),0)</f>
        <v>0</v>
      </c>
      <c r="K3517" s="444">
        <f t="shared" ca="1" si="166"/>
        <v>-234860801.40024558</v>
      </c>
      <c r="L3517" s="444">
        <f t="shared" ca="1" si="167"/>
        <v>-56601453137.45919</v>
      </c>
      <c r="M3517" s="460">
        <f t="shared" si="169"/>
        <v>0.05</v>
      </c>
      <c r="N3517" s="464">
        <f t="shared" si="170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68"/>
        <v>-56601453137.45919</v>
      </c>
      <c r="J3518" s="444">
        <f t="array" ref="J3518">IFERROR(INDEX('Retirement Calculator'!J:J,MATCH('Isaac 401k'!N3518,'Retirement Calculator'!A:A,0),0),0)</f>
        <v>0</v>
      </c>
      <c r="K3518" s="444">
        <f t="shared" ca="1" si="166"/>
        <v>-235839388.07274663</v>
      </c>
      <c r="L3518" s="444">
        <f t="shared" ca="1" si="167"/>
        <v>-56837292525.531937</v>
      </c>
      <c r="M3518" s="460">
        <f t="shared" si="169"/>
        <v>0.05</v>
      </c>
      <c r="N3518" s="464">
        <f t="shared" si="170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68"/>
        <v>-56837292525.531937</v>
      </c>
      <c r="J3519" s="444">
        <f t="array" ref="J3519">IFERROR(INDEX('Retirement Calculator'!J:J,MATCH('Isaac 401k'!N3519,'Retirement Calculator'!A:A,0),0),0)</f>
        <v>0</v>
      </c>
      <c r="K3519" s="444">
        <f t="shared" ca="1" si="166"/>
        <v>-236822052.1897164</v>
      </c>
      <c r="L3519" s="444">
        <f t="shared" ca="1" si="167"/>
        <v>-57074114577.721657</v>
      </c>
      <c r="M3519" s="460">
        <f t="shared" si="169"/>
        <v>0.05</v>
      </c>
      <c r="N3519" s="464">
        <f t="shared" si="170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68"/>
        <v>-57074114577.721657</v>
      </c>
      <c r="J3520" s="444">
        <f t="array" ref="J3520">IFERROR(INDEX('Retirement Calculator'!J:J,MATCH('Isaac 401k'!N3520,'Retirement Calculator'!A:A,0),0),0)</f>
        <v>0</v>
      </c>
      <c r="K3520" s="444">
        <f t="shared" ca="1" si="166"/>
        <v>-237808810.74050689</v>
      </c>
      <c r="L3520" s="444">
        <f t="shared" ca="1" si="167"/>
        <v>-57311923388.462166</v>
      </c>
      <c r="M3520" s="460">
        <f t="shared" si="169"/>
        <v>0.05</v>
      </c>
      <c r="N3520" s="464">
        <f t="shared" si="170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68"/>
        <v>-57311923388.462166</v>
      </c>
      <c r="J3521" s="444">
        <f t="array" ref="J3521">IFERROR(INDEX('Retirement Calculator'!J:J,MATCH('Isaac 401k'!N3521,'Retirement Calculator'!A:A,0),0),0)</f>
        <v>0</v>
      </c>
      <c r="K3521" s="444">
        <f t="shared" ca="1" si="166"/>
        <v>-238799680.78525901</v>
      </c>
      <c r="L3521" s="444">
        <f t="shared" ca="1" si="167"/>
        <v>-57550723069.247421</v>
      </c>
      <c r="M3521" s="460">
        <f t="shared" si="169"/>
        <v>0.05</v>
      </c>
      <c r="N3521" s="464">
        <f t="shared" si="170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68"/>
        <v>-57550723069.247421</v>
      </c>
      <c r="J3522" s="444">
        <f t="array" ref="J3522">IFERROR(INDEX('Retirement Calculator'!J:J,MATCH('Isaac 401k'!N3522,'Retirement Calculator'!A:A,0),0),0)</f>
        <v>0</v>
      </c>
      <c r="K3522" s="444">
        <f t="shared" ca="1" si="166"/>
        <v>-239794679.45519757</v>
      </c>
      <c r="L3522" s="444">
        <f t="shared" ca="1" si="167"/>
        <v>-57790517748.702621</v>
      </c>
      <c r="M3522" s="460">
        <f t="shared" si="169"/>
        <v>0.05</v>
      </c>
      <c r="N3522" s="464">
        <f t="shared" si="170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68"/>
        <v>-57790517748.702621</v>
      </c>
      <c r="J3523" s="444">
        <f t="array" ref="J3523">IFERROR(INDEX('Retirement Calculator'!J:J,MATCH('Isaac 401k'!N3523,'Retirement Calculator'!A:A,0),0),0)</f>
        <v>0</v>
      </c>
      <c r="K3523" s="444">
        <f t="shared" ca="1" si="166"/>
        <v>-240793823.95292756</v>
      </c>
      <c r="L3523" s="444">
        <f t="shared" ca="1" si="167"/>
        <v>-58031311572.655548</v>
      </c>
      <c r="M3523" s="460">
        <f t="shared" si="169"/>
        <v>0.05</v>
      </c>
      <c r="N3523" s="464">
        <f t="shared" si="170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68"/>
        <v>-58031311572.655548</v>
      </c>
      <c r="J3524" s="444">
        <f t="array" ref="J3524">IFERROR(INDEX('Retirement Calculator'!J:J,MATCH('Isaac 401k'!N3524,'Retirement Calculator'!A:A,0),0),0)</f>
        <v>0</v>
      </c>
      <c r="K3524" s="444">
        <f t="shared" ca="1" si="166"/>
        <v>-241797131.55273145</v>
      </c>
      <c r="L3524" s="444">
        <f t="shared" ca="1" si="167"/>
        <v>-58273108704.208282</v>
      </c>
      <c r="M3524" s="460">
        <f t="shared" si="169"/>
        <v>0.05</v>
      </c>
      <c r="N3524" s="464">
        <f t="shared" si="170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68"/>
        <v>-58273108704.208282</v>
      </c>
      <c r="J3525" s="444">
        <f t="array" ref="J3525">IFERROR(INDEX('Retirement Calculator'!J:J,MATCH('Isaac 401k'!N3525,'Retirement Calculator'!A:A,0),0),0)</f>
        <v>0</v>
      </c>
      <c r="K3525" s="444">
        <f t="shared" ca="1" si="166"/>
        <v>-242804619.60086784</v>
      </c>
      <c r="L3525" s="444">
        <f t="shared" ca="1" si="167"/>
        <v>-58515913323.809151</v>
      </c>
      <c r="M3525" s="460">
        <f t="shared" si="169"/>
        <v>0.05</v>
      </c>
      <c r="N3525" s="464">
        <f t="shared" si="170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68"/>
        <v>-58515913323.809151</v>
      </c>
      <c r="J3526" s="444">
        <f t="array" ref="J3526">IFERROR(INDEX('Retirement Calculator'!J:J,MATCH('Isaac 401k'!N3526,'Retirement Calculator'!A:A,0),0),0)</f>
        <v>0</v>
      </c>
      <c r="K3526" s="444">
        <f t="shared" ca="1" si="166"/>
        <v>-243816305.51587144</v>
      </c>
      <c r="L3526" s="444">
        <f t="shared" ca="1" si="167"/>
        <v>-58759729629.32502</v>
      </c>
      <c r="M3526" s="460">
        <f t="shared" si="169"/>
        <v>0.05</v>
      </c>
      <c r="N3526" s="464">
        <f t="shared" si="170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68"/>
        <v>-58759729629.32502</v>
      </c>
      <c r="J3527" s="444">
        <f t="array" ref="J3527">IFERROR(INDEX('Retirement Calculator'!J:J,MATCH('Isaac 401k'!N3527,'Retirement Calculator'!A:A,0),0),0)</f>
        <v>0</v>
      </c>
      <c r="K3527" s="444">
        <f t="shared" ca="1" si="166"/>
        <v>-244832206.78885424</v>
      </c>
      <c r="L3527" s="444">
        <f t="shared" ca="1" si="167"/>
        <v>-59004561836.113876</v>
      </c>
      <c r="M3527" s="460">
        <f t="shared" si="169"/>
        <v>0.05</v>
      </c>
      <c r="N3527" s="464">
        <f t="shared" si="170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68"/>
        <v>-59004561836.113876</v>
      </c>
      <c r="J3528" s="444">
        <f t="array" ref="J3528">IFERROR(INDEX('Retirement Calculator'!J:J,MATCH('Isaac 401k'!N3528,'Retirement Calculator'!A:A,0),0),0)</f>
        <v>0</v>
      </c>
      <c r="K3528" s="444">
        <f t="shared" ca="1" si="166"/>
        <v>-245852340.9838078</v>
      </c>
      <c r="L3528" s="444">
        <f t="shared" ca="1" si="167"/>
        <v>-59250414177.097687</v>
      </c>
      <c r="M3528" s="460">
        <f t="shared" si="169"/>
        <v>0.05</v>
      </c>
      <c r="N3528" s="464">
        <f t="shared" si="170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68"/>
        <v>-59250414177.097687</v>
      </c>
      <c r="J3529" s="444">
        <f t="array" ref="J3529">IFERROR(INDEX('Retirement Calculator'!J:J,MATCH('Isaac 401k'!N3529,'Retirement Calculator'!A:A,0),0),0)</f>
        <v>0</v>
      </c>
      <c r="K3529" s="444">
        <f t="shared" ca="1" si="166"/>
        <v>-246876725.73790699</v>
      </c>
      <c r="L3529" s="444">
        <f t="shared" ca="1" si="167"/>
        <v>-59497290902.835594</v>
      </c>
      <c r="M3529" s="460">
        <f t="shared" si="169"/>
        <v>0.05</v>
      </c>
      <c r="N3529" s="464">
        <f t="shared" si="170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68"/>
        <v>-59497290902.835594</v>
      </c>
      <c r="J3530" s="444">
        <f t="array" ref="J3530">IFERROR(INDEX('Retirement Calculator'!J:J,MATCH('Isaac 401k'!N3530,'Retirement Calculator'!A:A,0),0),0)</f>
        <v>0</v>
      </c>
      <c r="K3530" s="444">
        <f t="shared" ca="1" si="166"/>
        <v>-247905378.76181501</v>
      </c>
      <c r="L3530" s="444">
        <f t="shared" ca="1" si="167"/>
        <v>-59745196281.597412</v>
      </c>
      <c r="M3530" s="460">
        <f t="shared" si="169"/>
        <v>0.05</v>
      </c>
      <c r="N3530" s="464">
        <f t="shared" si="170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68"/>
        <v>-59745196281.597412</v>
      </c>
      <c r="J3531" s="444">
        <f t="array" ref="J3531">IFERROR(INDEX('Retirement Calculator'!J:J,MATCH('Isaac 401k'!N3531,'Retirement Calculator'!A:A,0),0),0)</f>
        <v>0</v>
      </c>
      <c r="K3531" s="444">
        <f t="shared" ca="1" si="166"/>
        <v>-248938317.83998919</v>
      </c>
      <c r="L3531" s="444">
        <f t="shared" ca="1" si="167"/>
        <v>-59994134599.437401</v>
      </c>
      <c r="M3531" s="460">
        <f t="shared" si="169"/>
        <v>0.05</v>
      </c>
      <c r="N3531" s="464">
        <f t="shared" si="170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68"/>
        <v>-59994134599.437401</v>
      </c>
      <c r="J3532" s="444">
        <f t="array" ref="J3532">IFERROR(INDEX('Retirement Calculator'!J:J,MATCH('Isaac 401k'!N3532,'Retirement Calculator'!A:A,0),0),0)</f>
        <v>0</v>
      </c>
      <c r="K3532" s="444">
        <f t="shared" ca="1" si="166"/>
        <v>-249975560.83098912</v>
      </c>
      <c r="L3532" s="444">
        <f t="shared" ca="1" si="167"/>
        <v>-60244110160.268387</v>
      </c>
      <c r="M3532" s="460">
        <f t="shared" si="169"/>
        <v>0.05</v>
      </c>
      <c r="N3532" s="464">
        <f t="shared" si="170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68"/>
        <v>-60244110160.268387</v>
      </c>
      <c r="J3533" s="444">
        <f t="array" ref="J3533">IFERROR(INDEX('Retirement Calculator'!J:J,MATCH('Isaac 401k'!N3533,'Retirement Calculator'!A:A,0),0),0)</f>
        <v>0</v>
      </c>
      <c r="K3533" s="444">
        <f t="shared" ca="1" si="166"/>
        <v>-251017125.66778493</v>
      </c>
      <c r="L3533" s="444">
        <f t="shared" ca="1" si="167"/>
        <v>-60495127285.936172</v>
      </c>
      <c r="M3533" s="460">
        <f t="shared" si="169"/>
        <v>0.05</v>
      </c>
      <c r="N3533" s="464">
        <f t="shared" si="170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68"/>
        <v>-60495127285.936172</v>
      </c>
      <c r="J3534" s="444">
        <f t="array" ref="J3534">IFERROR(INDEX('Retirement Calculator'!J:J,MATCH('Isaac 401k'!N3534,'Retirement Calculator'!A:A,0),0),0)</f>
        <v>0</v>
      </c>
      <c r="K3534" s="444">
        <f t="shared" ca="1" si="166"/>
        <v>-252063030.35806736</v>
      </c>
      <c r="L3534" s="444">
        <f t="shared" ca="1" si="167"/>
        <v>-60747190316.294243</v>
      </c>
      <c r="M3534" s="460">
        <f t="shared" si="169"/>
        <v>0.05</v>
      </c>
      <c r="N3534" s="464">
        <f t="shared" si="170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68"/>
        <v>-60747190316.294243</v>
      </c>
      <c r="J3535" s="444">
        <f t="array" ref="J3535">IFERROR(INDEX('Retirement Calculator'!J:J,MATCH('Isaac 401k'!N3535,'Retirement Calculator'!A:A,0),0),0)</f>
        <v>0</v>
      </c>
      <c r="K3535" s="444">
        <f t="shared" ca="1" si="166"/>
        <v>-253113292.98455933</v>
      </c>
      <c r="L3535" s="444">
        <f t="shared" ca="1" si="167"/>
        <v>-61000303609.278801</v>
      </c>
      <c r="M3535" s="460">
        <f t="shared" si="169"/>
        <v>0.05</v>
      </c>
      <c r="N3535" s="464">
        <f t="shared" si="170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68"/>
        <v>-61000303609.278801</v>
      </c>
      <c r="J3536" s="444">
        <f t="array" ref="J3536">IFERROR(INDEX('Retirement Calculator'!J:J,MATCH('Isaac 401k'!N3536,'Retirement Calculator'!A:A,0),0),0)</f>
        <v>0</v>
      </c>
      <c r="K3536" s="444">
        <f t="shared" ca="1" si="166"/>
        <v>-254167931.70532832</v>
      </c>
      <c r="L3536" s="444">
        <f t="shared" ca="1" si="167"/>
        <v>-61254471540.984131</v>
      </c>
      <c r="M3536" s="460">
        <f t="shared" si="169"/>
        <v>0.05</v>
      </c>
      <c r="N3536" s="464">
        <f t="shared" si="170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68"/>
        <v>-61254471540.984131</v>
      </c>
      <c r="J3537" s="444">
        <f t="array" ref="J3537">IFERROR(INDEX('Retirement Calculator'!J:J,MATCH('Isaac 401k'!N3537,'Retirement Calculator'!A:A,0),0),0)</f>
        <v>0</v>
      </c>
      <c r="K3537" s="444">
        <f t="shared" ca="1" si="166"/>
        <v>-255226964.75410053</v>
      </c>
      <c r="L3537" s="444">
        <f t="shared" ca="1" si="167"/>
        <v>-61509698505.738228</v>
      </c>
      <c r="M3537" s="460">
        <f t="shared" si="169"/>
        <v>0.05</v>
      </c>
      <c r="N3537" s="464">
        <f t="shared" si="170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68"/>
        <v>-61509698505.738228</v>
      </c>
      <c r="J3538" s="444">
        <f t="array" ref="J3538">IFERROR(INDEX('Retirement Calculator'!J:J,MATCH('Isaac 401k'!N3538,'Retirement Calculator'!A:A,0),0),0)</f>
        <v>0</v>
      </c>
      <c r="K3538" s="444">
        <f t="shared" ca="1" si="166"/>
        <v>-256290410.44057593</v>
      </c>
      <c r="L3538" s="444">
        <f t="shared" ca="1" si="167"/>
        <v>-61765988916.178802</v>
      </c>
      <c r="M3538" s="460">
        <f t="shared" si="169"/>
        <v>0.05</v>
      </c>
      <c r="N3538" s="464">
        <f t="shared" si="170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68"/>
        <v>-61765988916.178802</v>
      </c>
      <c r="J3539" s="444">
        <f t="array" ref="J3539">IFERROR(INDEX('Retirement Calculator'!J:J,MATCH('Isaac 401k'!N3539,'Retirement Calculator'!A:A,0),0),0)</f>
        <v>0</v>
      </c>
      <c r="K3539" s="444">
        <f t="shared" ca="1" si="166"/>
        <v>-257358287.15074497</v>
      </c>
      <c r="L3539" s="444">
        <f t="shared" ca="1" si="167"/>
        <v>-62023347203.329544</v>
      </c>
      <c r="M3539" s="460">
        <f t="shared" si="169"/>
        <v>0.05</v>
      </c>
      <c r="N3539" s="464">
        <f t="shared" si="170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68"/>
        <v>-62023347203.329544</v>
      </c>
      <c r="J3540" s="444">
        <f t="array" ref="J3540">IFERROR(INDEX('Retirement Calculator'!J:J,MATCH('Isaac 401k'!N3540,'Retirement Calculator'!A:A,0),0),0)</f>
        <v>0</v>
      </c>
      <c r="K3540" s="444">
        <f t="shared" ca="1" si="166"/>
        <v>-258430613.34720647</v>
      </c>
      <c r="L3540" s="444">
        <f t="shared" ca="1" si="167"/>
        <v>-62281777816.67675</v>
      </c>
      <c r="M3540" s="460">
        <f t="shared" si="169"/>
        <v>0.05</v>
      </c>
      <c r="N3540" s="464">
        <f t="shared" si="170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68"/>
        <v>-62281777816.67675</v>
      </c>
      <c r="J3541" s="444">
        <f t="array" ref="J3541">IFERROR(INDEX('Retirement Calculator'!J:J,MATCH('Isaac 401k'!N3541,'Retirement Calculator'!A:A,0),0),0)</f>
        <v>0</v>
      </c>
      <c r="K3541" s="444">
        <f t="shared" ca="1" si="166"/>
        <v>-259507407.56948647</v>
      </c>
      <c r="L3541" s="444">
        <f t="shared" ca="1" si="167"/>
        <v>-62541285224.246239</v>
      </c>
      <c r="M3541" s="460">
        <f t="shared" si="169"/>
        <v>0.05</v>
      </c>
      <c r="N3541" s="464">
        <f t="shared" si="170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68"/>
        <v>-62541285224.246239</v>
      </c>
      <c r="J3542" s="444">
        <f t="array" ref="J3542">IFERROR(INDEX('Retirement Calculator'!J:J,MATCH('Isaac 401k'!N3542,'Retirement Calculator'!A:A,0),0),0)</f>
        <v>0</v>
      </c>
      <c r="K3542" s="444">
        <f t="shared" ca="1" si="166"/>
        <v>-260588688.43435931</v>
      </c>
      <c r="L3542" s="444">
        <f t="shared" ca="1" si="167"/>
        <v>-62801873912.680595</v>
      </c>
      <c r="M3542" s="460">
        <f t="shared" si="169"/>
        <v>0.05</v>
      </c>
      <c r="N3542" s="464">
        <f t="shared" si="170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68"/>
        <v>-62801873912.680595</v>
      </c>
      <c r="J3543" s="444">
        <f t="array" ref="J3543">IFERROR(INDEX('Retirement Calculator'!J:J,MATCH('Isaac 401k'!N3543,'Retirement Calculator'!A:A,0),0),0)</f>
        <v>0</v>
      </c>
      <c r="K3543" s="444">
        <f t="shared" ca="1" si="166"/>
        <v>-261674474.63616911</v>
      </c>
      <c r="L3543" s="444">
        <f t="shared" ca="1" si="167"/>
        <v>-63063548387.316765</v>
      </c>
      <c r="M3543" s="460">
        <f t="shared" si="169"/>
        <v>0.05</v>
      </c>
      <c r="N3543" s="464">
        <f t="shared" si="170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68"/>
        <v>-63063548387.316765</v>
      </c>
      <c r="J3544" s="444">
        <f t="array" ref="J3544">IFERROR(INDEX('Retirement Calculator'!J:J,MATCH('Isaac 401k'!N3544,'Retirement Calculator'!A:A,0),0),0)</f>
        <v>0</v>
      </c>
      <c r="K3544" s="444">
        <f t="shared" ca="1" si="166"/>
        <v>-262764784.94715318</v>
      </c>
      <c r="L3544" s="444">
        <f t="shared" ca="1" si="167"/>
        <v>-63326313172.263916</v>
      </c>
      <c r="M3544" s="460">
        <f t="shared" si="169"/>
        <v>0.05</v>
      </c>
      <c r="N3544" s="464">
        <f t="shared" si="170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68"/>
        <v>-63326313172.263916</v>
      </c>
      <c r="J3545" s="444">
        <f t="array" ref="J3545">IFERROR(INDEX('Retirement Calculator'!J:J,MATCH('Isaac 401k'!N3545,'Retirement Calculator'!A:A,0),0),0)</f>
        <v>0</v>
      </c>
      <c r="K3545" s="444">
        <f t="shared" ca="1" si="166"/>
        <v>-263859638.21776628</v>
      </c>
      <c r="L3545" s="444">
        <f t="shared" ca="1" si="167"/>
        <v>-63590172810.481682</v>
      </c>
      <c r="M3545" s="460">
        <f t="shared" si="169"/>
        <v>0.05</v>
      </c>
      <c r="N3545" s="464">
        <f t="shared" si="170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68"/>
        <v>-63590172810.481682</v>
      </c>
      <c r="J3546" s="444">
        <f t="array" ref="J3546">IFERROR(INDEX('Retirement Calculator'!J:J,MATCH('Isaac 401k'!N3546,'Retirement Calculator'!A:A,0),0),0)</f>
        <v>0</v>
      </c>
      <c r="K3546" s="444">
        <f t="shared" ca="1" si="166"/>
        <v>-264959053.37700701</v>
      </c>
      <c r="L3546" s="444">
        <f t="shared" ca="1" si="167"/>
        <v>-63855131863.858688</v>
      </c>
      <c r="M3546" s="460">
        <f t="shared" si="169"/>
        <v>0.05</v>
      </c>
      <c r="N3546" s="464">
        <f t="shared" si="170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68"/>
        <v>-63855131863.858688</v>
      </c>
      <c r="J3547" s="444">
        <f t="array" ref="J3547">IFERROR(INDEX('Retirement Calculator'!J:J,MATCH('Isaac 401k'!N3547,'Retirement Calculator'!A:A,0),0),0)</f>
        <v>0</v>
      </c>
      <c r="K3547" s="444">
        <f t="shared" ca="1" si="166"/>
        <v>-266063049.43274456</v>
      </c>
      <c r="L3547" s="444">
        <f t="shared" ca="1" si="167"/>
        <v>-64121194913.291435</v>
      </c>
      <c r="M3547" s="460">
        <f t="shared" si="169"/>
        <v>0.05</v>
      </c>
      <c r="N3547" s="464">
        <f t="shared" si="170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68"/>
        <v>-64121194913.291435</v>
      </c>
      <c r="J3548" s="444">
        <f t="array" ref="J3548">IFERROR(INDEX('Retirement Calculator'!J:J,MATCH('Isaac 401k'!N3548,'Retirement Calculator'!A:A,0),0),0)</f>
        <v>0</v>
      </c>
      <c r="K3548" s="444">
        <f t="shared" ca="1" si="166"/>
        <v>-267171645.47204769</v>
      </c>
      <c r="L3548" s="444">
        <f t="shared" ca="1" si="167"/>
        <v>-64388366558.763481</v>
      </c>
      <c r="M3548" s="460">
        <f t="shared" si="169"/>
        <v>0.05</v>
      </c>
      <c r="N3548" s="464">
        <f t="shared" si="170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68"/>
        <v>-64388366558.763481</v>
      </c>
      <c r="J3549" s="444">
        <f t="array" ref="J3549">IFERROR(INDEX('Retirement Calculator'!J:J,MATCH('Isaac 401k'!N3549,'Retirement Calculator'!A:A,0),0),0)</f>
        <v>0</v>
      </c>
      <c r="K3549" s="444">
        <f t="shared" ca="1" si="166"/>
        <v>-268284860.66151449</v>
      </c>
      <c r="L3549" s="444">
        <f t="shared" ca="1" si="167"/>
        <v>-64656651419.424995</v>
      </c>
      <c r="M3549" s="460">
        <f t="shared" si="169"/>
        <v>0.05</v>
      </c>
      <c r="N3549" s="464">
        <f t="shared" si="170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68"/>
        <v>-64656651419.424995</v>
      </c>
      <c r="J3550" s="444">
        <f t="array" ref="J3550">IFERROR(INDEX('Retirement Calculator'!J:J,MATCH('Isaac 401k'!N3550,'Retirement Calculator'!A:A,0),0),0)</f>
        <v>0</v>
      </c>
      <c r="K3550" s="444">
        <f t="shared" ca="1" si="166"/>
        <v>-269402714.24760419</v>
      </c>
      <c r="L3550" s="444">
        <f t="shared" ca="1" si="167"/>
        <v>-64926054133.6726</v>
      </c>
      <c r="M3550" s="460">
        <f t="shared" si="169"/>
        <v>0.05</v>
      </c>
      <c r="N3550" s="464">
        <f t="shared" si="170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68"/>
        <v>-64926054133.6726</v>
      </c>
      <c r="J3551" s="444">
        <f t="array" ref="J3551">IFERROR(INDEX('Retirement Calculator'!J:J,MATCH('Isaac 401k'!N3551,'Retirement Calculator'!A:A,0),0),0)</f>
        <v>0</v>
      </c>
      <c r="K3551" s="444">
        <f t="shared" ca="1" si="166"/>
        <v>-270525225.55696917</v>
      </c>
      <c r="L3551" s="444">
        <f t="shared" ca="1" si="167"/>
        <v>-65196579359.229568</v>
      </c>
      <c r="M3551" s="460">
        <f t="shared" si="169"/>
        <v>0.05</v>
      </c>
      <c r="N3551" s="464">
        <f t="shared" si="170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68"/>
        <v>-65196579359.229568</v>
      </c>
      <c r="J3552" s="444">
        <f t="array" ref="J3552">IFERROR(INDEX('Retirement Calculator'!J:J,MATCH('Isaac 401k'!N3552,'Retirement Calculator'!A:A,0),0),0)</f>
        <v>0</v>
      </c>
      <c r="K3552" s="444">
        <f t="shared" ca="1" si="166"/>
        <v>-271652413.99678987</v>
      </c>
      <c r="L3552" s="444">
        <f t="shared" ca="1" si="167"/>
        <v>-65468231773.226357</v>
      </c>
      <c r="M3552" s="460">
        <f t="shared" si="169"/>
        <v>0.05</v>
      </c>
      <c r="N3552" s="464">
        <f t="shared" si="170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68"/>
        <v>-65468231773.226357</v>
      </c>
      <c r="J3553" s="444">
        <f t="array" ref="J3553">IFERROR(INDEX('Retirement Calculator'!J:J,MATCH('Isaac 401k'!N3553,'Retirement Calculator'!A:A,0),0),0)</f>
        <v>0</v>
      </c>
      <c r="K3553" s="444">
        <f t="shared" ca="1" si="166"/>
        <v>-272784299.0551098</v>
      </c>
      <c r="L3553" s="444">
        <f t="shared" ca="1" si="167"/>
        <v>-65741016072.281464</v>
      </c>
      <c r="M3553" s="460">
        <f t="shared" si="169"/>
        <v>0.05</v>
      </c>
      <c r="N3553" s="464">
        <f t="shared" si="170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68"/>
        <v>-65741016072.281464</v>
      </c>
      <c r="J3554" s="444">
        <f t="array" ref="J3554">IFERROR(INDEX('Retirement Calculator'!J:J,MATCH('Isaac 401k'!N3554,'Retirement Calculator'!A:A,0),0),0)</f>
        <v>0</v>
      </c>
      <c r="K3554" s="444">
        <f t="shared" ca="1" si="166"/>
        <v>-273920900.30117273</v>
      </c>
      <c r="L3554" s="444">
        <f t="shared" ca="1" si="167"/>
        <v>-66014936972.582634</v>
      </c>
      <c r="M3554" s="460">
        <f t="shared" si="169"/>
        <v>0.05</v>
      </c>
      <c r="N3554" s="464">
        <f t="shared" si="170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68"/>
        <v>-66014936972.582634</v>
      </c>
      <c r="J3555" s="444">
        <f t="array" ref="J3555">IFERROR(INDEX('Retirement Calculator'!J:J,MATCH('Isaac 401k'!N3555,'Retirement Calculator'!A:A,0),0),0)</f>
        <v>0</v>
      </c>
      <c r="K3555" s="444">
        <f t="shared" ca="1" si="166"/>
        <v>-275062237.38576096</v>
      </c>
      <c r="L3555" s="444">
        <f t="shared" ca="1" si="167"/>
        <v>-66289999209.968391</v>
      </c>
      <c r="M3555" s="460">
        <f t="shared" si="169"/>
        <v>0.05</v>
      </c>
      <c r="N3555" s="464">
        <f t="shared" si="170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68"/>
        <v>-66289999209.968391</v>
      </c>
      <c r="J3556" s="444">
        <f t="array" ref="J3556">IFERROR(INDEX('Retirement Calculator'!J:J,MATCH('Isaac 401k'!N3556,'Retirement Calculator'!A:A,0),0),0)</f>
        <v>0</v>
      </c>
      <c r="K3556" s="444">
        <f t="shared" ca="1" si="166"/>
        <v>-276208330.04153496</v>
      </c>
      <c r="L3556" s="444">
        <f t="shared" ca="1" si="167"/>
        <v>-66566207540.009926</v>
      </c>
      <c r="M3556" s="460">
        <f t="shared" si="169"/>
        <v>0.05</v>
      </c>
      <c r="N3556" s="464">
        <f t="shared" si="170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68"/>
        <v>-66566207540.009926</v>
      </c>
      <c r="J3557" s="444">
        <f t="array" ref="J3557">IFERROR(INDEX('Retirement Calculator'!J:J,MATCH('Isaac 401k'!N3557,'Retirement Calculator'!A:A,0),0),0)</f>
        <v>0</v>
      </c>
      <c r="K3557" s="444">
        <f t="shared" ca="1" si="166"/>
        <v>-277359198.08337468</v>
      </c>
      <c r="L3557" s="444">
        <f t="shared" ca="1" si="167"/>
        <v>-66843566738.0933</v>
      </c>
      <c r="M3557" s="460">
        <f t="shared" si="169"/>
        <v>0.05</v>
      </c>
      <c r="N3557" s="464">
        <f t="shared" si="170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68"/>
        <v>-66843566738.0933</v>
      </c>
      <c r="J3558" s="444">
        <f t="array" ref="J3558">IFERROR(INDEX('Retirement Calculator'!J:J,MATCH('Isaac 401k'!N3558,'Retirement Calculator'!A:A,0),0),0)</f>
        <v>0</v>
      </c>
      <c r="K3558" s="444">
        <f t="shared" ca="1" si="166"/>
        <v>-278514861.4087221</v>
      </c>
      <c r="L3558" s="444">
        <f t="shared" ca="1" si="167"/>
        <v>-67122081599.502022</v>
      </c>
      <c r="M3558" s="460">
        <f t="shared" si="169"/>
        <v>0.05</v>
      </c>
      <c r="N3558" s="464">
        <f t="shared" si="170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68"/>
        <v>-67122081599.502022</v>
      </c>
      <c r="J3559" s="444">
        <f t="array" ref="J3559">IFERROR(INDEX('Retirement Calculator'!J:J,MATCH('Isaac 401k'!N3559,'Retirement Calculator'!A:A,0),0),0)</f>
        <v>0</v>
      </c>
      <c r="K3559" s="444">
        <f t="shared" ca="1" si="166"/>
        <v>-279675339.9979251</v>
      </c>
      <c r="L3559" s="444">
        <f t="shared" ca="1" si="167"/>
        <v>-67401756939.499947</v>
      </c>
      <c r="M3559" s="460">
        <f t="shared" si="169"/>
        <v>0.05</v>
      </c>
      <c r="N3559" s="464">
        <f t="shared" si="170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68"/>
        <v>-67401756939.499947</v>
      </c>
      <c r="J3560" s="444">
        <f t="array" ref="J3560">IFERROR(INDEX('Retirement Calculator'!J:J,MATCH('Isaac 401k'!N3560,'Retirement Calculator'!A:A,0),0),0)</f>
        <v>0</v>
      </c>
      <c r="K3560" s="444">
        <f t="shared" ca="1" si="166"/>
        <v>-280840653.91458309</v>
      </c>
      <c r="L3560" s="444">
        <f t="shared" ca="1" si="167"/>
        <v>-67682597593.414528</v>
      </c>
      <c r="M3560" s="460">
        <f t="shared" si="169"/>
        <v>0.05</v>
      </c>
      <c r="N3560" s="464">
        <f t="shared" si="170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68"/>
        <v>-67682597593.414528</v>
      </c>
      <c r="J3561" s="444">
        <f t="array" ref="J3561">IFERROR(INDEX('Retirement Calculator'!J:J,MATCH('Isaac 401k'!N3561,'Retirement Calculator'!A:A,0),0),0)</f>
        <v>0</v>
      </c>
      <c r="K3561" s="444">
        <f t="shared" ca="1" si="166"/>
        <v>-282010823.30589384</v>
      </c>
      <c r="L3561" s="444">
        <f t="shared" ca="1" si="167"/>
        <v>-67964608416.720421</v>
      </c>
      <c r="M3561" s="460">
        <f t="shared" si="169"/>
        <v>0.05</v>
      </c>
      <c r="N3561" s="464">
        <f t="shared" si="170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68"/>
        <v>-67964608416.720421</v>
      </c>
      <c r="J3562" s="444">
        <f t="array" ref="J3562">IFERROR(INDEX('Retirement Calculator'!J:J,MATCH('Isaac 401k'!N3562,'Retirement Calculator'!A:A,0),0),0)</f>
        <v>0</v>
      </c>
      <c r="K3562" s="444">
        <f t="shared" ca="1" si="166"/>
        <v>-283185868.40300173</v>
      </c>
      <c r="L3562" s="444">
        <f t="shared" ca="1" si="167"/>
        <v>-68247794285.123421</v>
      </c>
      <c r="M3562" s="460">
        <f t="shared" si="169"/>
        <v>0.05</v>
      </c>
      <c r="N3562" s="464">
        <f t="shared" si="170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68"/>
        <v>-68247794285.123421</v>
      </c>
      <c r="J3563" s="444">
        <f t="array" ref="J3563">IFERROR(INDEX('Retirement Calculator'!J:J,MATCH('Isaac 401k'!N3563,'Retirement Calculator'!A:A,0),0),0)</f>
        <v>0</v>
      </c>
      <c r="K3563" s="444">
        <f t="shared" ca="1" si="166"/>
        <v>-284365809.52134758</v>
      </c>
      <c r="L3563" s="444">
        <f t="shared" ca="1" si="167"/>
        <v>-68532160094.644768</v>
      </c>
      <c r="M3563" s="460">
        <f t="shared" si="169"/>
        <v>0.05</v>
      </c>
      <c r="N3563" s="464">
        <f t="shared" si="170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68"/>
        <v>-68532160094.644768</v>
      </c>
      <c r="J3564" s="444">
        <f t="array" ref="J3564">IFERROR(INDEX('Retirement Calculator'!J:J,MATCH('Isaac 401k'!N3564,'Retirement Calculator'!A:A,0),0),0)</f>
        <v>0</v>
      </c>
      <c r="K3564" s="444">
        <f t="shared" ca="1" si="166"/>
        <v>-285550667.06101984</v>
      </c>
      <c r="L3564" s="444">
        <f t="shared" ca="1" si="167"/>
        <v>-68817710761.70578</v>
      </c>
      <c r="M3564" s="460">
        <f t="shared" si="169"/>
        <v>0.05</v>
      </c>
      <c r="N3564" s="464">
        <f t="shared" si="170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68"/>
        <v>-68817710761.70578</v>
      </c>
      <c r="J3565" s="444">
        <f t="array" ref="J3565">IFERROR(INDEX('Retirement Calculator'!J:J,MATCH('Isaac 401k'!N3565,'Retirement Calculator'!A:A,0),0),0)</f>
        <v>0</v>
      </c>
      <c r="K3565" s="444">
        <f t="shared" ca="1" si="166"/>
        <v>-286740461.50710744</v>
      </c>
      <c r="L3565" s="444">
        <f t="shared" ca="1" si="167"/>
        <v>-69104451223.212891</v>
      </c>
      <c r="M3565" s="460">
        <f t="shared" si="169"/>
        <v>0.05</v>
      </c>
      <c r="N3565" s="464">
        <f t="shared" si="170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68"/>
        <v>-69104451223.212891</v>
      </c>
      <c r="J3566" s="444">
        <f t="array" ref="J3566">IFERROR(INDEX('Retirement Calculator'!J:J,MATCH('Isaac 401k'!N3566,'Retirement Calculator'!A:A,0),0),0)</f>
        <v>0</v>
      </c>
      <c r="K3566" s="444">
        <f t="shared" ca="1" si="166"/>
        <v>-287935213.43005371</v>
      </c>
      <c r="L3566" s="444">
        <f t="shared" ca="1" si="167"/>
        <v>-69392386436.642944</v>
      </c>
      <c r="M3566" s="460">
        <f t="shared" si="169"/>
        <v>0.05</v>
      </c>
      <c r="N3566" s="464">
        <f t="shared" si="170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68"/>
        <v>-69392386436.642944</v>
      </c>
      <c r="J3567" s="444">
        <f t="array" ref="J3567">IFERROR(INDEX('Retirement Calculator'!J:J,MATCH('Isaac 401k'!N3567,'Retirement Calculator'!A:A,0),0),0)</f>
        <v>0</v>
      </c>
      <c r="K3567" s="444">
        <f t="shared" ca="1" si="166"/>
        <v>-289134943.48601228</v>
      </c>
      <c r="L3567" s="444">
        <f t="shared" ca="1" si="167"/>
        <v>-69681521380.128952</v>
      </c>
      <c r="M3567" s="460">
        <f t="shared" si="169"/>
        <v>0.05</v>
      </c>
      <c r="N3567" s="464">
        <f t="shared" si="170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68"/>
        <v>-69681521380.128952</v>
      </c>
      <c r="J3568" s="444">
        <f t="array" ref="J3568">IFERROR(INDEX('Retirement Calculator'!J:J,MATCH('Isaac 401k'!N3568,'Retirement Calculator'!A:A,0),0),0)</f>
        <v>0</v>
      </c>
      <c r="K3568" s="444">
        <f t="shared" ca="1" si="166"/>
        <v>-290339672.41720396</v>
      </c>
      <c r="L3568" s="444">
        <f t="shared" ca="1" si="167"/>
        <v>-69971861052.546158</v>
      </c>
      <c r="M3568" s="460">
        <f t="shared" si="169"/>
        <v>0.05</v>
      </c>
      <c r="N3568" s="464">
        <f t="shared" si="170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68"/>
        <v>-69971861052.546158</v>
      </c>
      <c r="J3569" s="444">
        <f t="array" ref="J3569">IFERROR(INDEX('Retirement Calculator'!J:J,MATCH('Isaac 401k'!N3569,'Retirement Calculator'!A:A,0),0),0)</f>
        <v>0</v>
      </c>
      <c r="K3569" s="444">
        <f t="shared" ca="1" si="166"/>
        <v>-291549421.05227566</v>
      </c>
      <c r="L3569" s="444">
        <f t="shared" ca="1" si="167"/>
        <v>-70263410473.598434</v>
      </c>
      <c r="M3569" s="460">
        <f t="shared" si="169"/>
        <v>0.05</v>
      </c>
      <c r="N3569" s="464">
        <f t="shared" si="170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68"/>
        <v>-70263410473.598434</v>
      </c>
      <c r="J3570" s="444">
        <f t="array" ref="J3570">IFERROR(INDEX('Retirement Calculator'!J:J,MATCH('Isaac 401k'!N3570,'Retirement Calculator'!A:A,0),0),0)</f>
        <v>0</v>
      </c>
      <c r="K3570" s="444">
        <f t="shared" ca="1" si="166"/>
        <v>-292764210.30666012</v>
      </c>
      <c r="L3570" s="444">
        <f t="shared" ca="1" si="167"/>
        <v>-70556174683.90509</v>
      </c>
      <c r="M3570" s="460">
        <f t="shared" si="169"/>
        <v>0.05</v>
      </c>
      <c r="N3570" s="464">
        <f t="shared" si="170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68"/>
        <v>-70556174683.90509</v>
      </c>
      <c r="J3571" s="444">
        <f t="array" ref="J3571">IFERROR(INDEX('Retirement Calculator'!J:J,MATCH('Isaac 401k'!N3571,'Retirement Calculator'!A:A,0),0),0)</f>
        <v>0</v>
      </c>
      <c r="K3571" s="444">
        <f t="shared" ca="1" si="166"/>
        <v>-293984061.18293786</v>
      </c>
      <c r="L3571" s="444">
        <f t="shared" ca="1" si="167"/>
        <v>-70850158745.088028</v>
      </c>
      <c r="M3571" s="460">
        <f t="shared" si="169"/>
        <v>0.05</v>
      </c>
      <c r="N3571" s="464">
        <f t="shared" si="170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68"/>
        <v>-70850158745.088028</v>
      </c>
      <c r="J3572" s="444">
        <f t="array" ref="J3572">IFERROR(INDEX('Retirement Calculator'!J:J,MATCH('Isaac 401k'!N3572,'Retirement Calculator'!A:A,0),0),0)</f>
        <v>0</v>
      </c>
      <c r="K3572" s="444">
        <f t="shared" ca="1" si="166"/>
        <v>-295208994.77120012</v>
      </c>
      <c r="L3572" s="444">
        <f t="shared" ca="1" si="167"/>
        <v>-71145367739.859222</v>
      </c>
      <c r="M3572" s="460">
        <f t="shared" si="169"/>
        <v>0.05</v>
      </c>
      <c r="N3572" s="464">
        <f t="shared" si="170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68"/>
        <v>-71145367739.859222</v>
      </c>
      <c r="J3573" s="444">
        <f t="array" ref="J3573">IFERROR(INDEX('Retirement Calculator'!J:J,MATCH('Isaac 401k'!N3573,'Retirement Calculator'!A:A,0),0),0)</f>
        <v>0</v>
      </c>
      <c r="K3573" s="444">
        <f t="shared" ca="1" si="166"/>
        <v>-296439032.24941343</v>
      </c>
      <c r="L3573" s="444">
        <f t="shared" ca="1" si="167"/>
        <v>-71441806772.108643</v>
      </c>
      <c r="M3573" s="460">
        <f t="shared" si="169"/>
        <v>0.05</v>
      </c>
      <c r="N3573" s="464">
        <f t="shared" si="170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68"/>
        <v>-71441806772.108643</v>
      </c>
      <c r="J3574" s="444">
        <f t="array" ref="J3574">IFERROR(INDEX('Retirement Calculator'!J:J,MATCH('Isaac 401k'!N3574,'Retirement Calculator'!A:A,0),0),0)</f>
        <v>0</v>
      </c>
      <c r="K3574" s="444">
        <f t="shared" ca="1" si="166"/>
        <v>-297674194.88378602</v>
      </c>
      <c r="L3574" s="444">
        <f t="shared" ca="1" si="167"/>
        <v>-71739480966.992432</v>
      </c>
      <c r="M3574" s="460">
        <f t="shared" si="169"/>
        <v>0.05</v>
      </c>
      <c r="N3574" s="464">
        <f t="shared" si="170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68"/>
        <v>-71739480966.992432</v>
      </c>
      <c r="J3575" s="444">
        <f t="array" ref="J3575">IFERROR(INDEX('Retirement Calculator'!J:J,MATCH('Isaac 401k'!N3575,'Retirement Calculator'!A:A,0),0),0)</f>
        <v>0</v>
      </c>
      <c r="K3575" s="444">
        <f t="shared" ca="1" si="166"/>
        <v>-298914504.02913511</v>
      </c>
      <c r="L3575" s="444">
        <f t="shared" ca="1" si="167"/>
        <v>-72038395471.021561</v>
      </c>
      <c r="M3575" s="460">
        <f t="shared" si="169"/>
        <v>0.05</v>
      </c>
      <c r="N3575" s="464">
        <f t="shared" si="170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68"/>
        <v>-72038395471.021561</v>
      </c>
      <c r="J3576" s="444">
        <f t="array" ref="J3576">IFERROR(INDEX('Retirement Calculator'!J:J,MATCH('Isaac 401k'!N3576,'Retirement Calculator'!A:A,0),0),0)</f>
        <v>0</v>
      </c>
      <c r="K3576" s="444">
        <f t="shared" ca="1" si="166"/>
        <v>-300159981.12925649</v>
      </c>
      <c r="L3576" s="444">
        <f t="shared" ca="1" si="167"/>
        <v>-72338555452.150818</v>
      </c>
      <c r="M3576" s="460">
        <f t="shared" si="169"/>
        <v>0.05</v>
      </c>
      <c r="N3576" s="464">
        <f t="shared" si="170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68"/>
        <v>-72338555452.150818</v>
      </c>
      <c r="J3577" s="444">
        <f t="array" ref="J3577">IFERROR(INDEX('Retirement Calculator'!J:J,MATCH('Isaac 401k'!N3577,'Retirement Calculator'!A:A,0),0),0)</f>
        <v>0</v>
      </c>
      <c r="K3577" s="444">
        <f t="shared" ca="1" si="166"/>
        <v>-301410647.71729505</v>
      </c>
      <c r="L3577" s="444">
        <f t="shared" ca="1" si="167"/>
        <v>-72639966099.868118</v>
      </c>
      <c r="M3577" s="460">
        <f t="shared" si="169"/>
        <v>0.05</v>
      </c>
      <c r="N3577" s="464">
        <f t="shared" si="170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68"/>
        <v>-72639966099.868118</v>
      </c>
      <c r="J3578" s="444">
        <f t="array" ref="J3578">IFERROR(INDEX('Retirement Calculator'!J:J,MATCH('Isaac 401k'!N3578,'Retirement Calculator'!A:A,0),0),0)</f>
        <v>0</v>
      </c>
      <c r="K3578" s="444">
        <f t="shared" ref="K3578:K3832" ca="1" si="171">IPMT(M3578/12,1,12,-I3578+J3578,,0)</f>
        <v>-302666525.41611713</v>
      </c>
      <c r="L3578" s="444">
        <f t="shared" ref="L3578:L3832" ca="1" si="172">I3578-J3578+K3578</f>
        <v>-72942632625.284241</v>
      </c>
      <c r="M3578" s="460">
        <f t="shared" si="169"/>
        <v>0.05</v>
      </c>
      <c r="N3578" s="464">
        <f t="shared" si="170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73">L3578</f>
        <v>-72942632625.284241</v>
      </c>
      <c r="J3579" s="444">
        <f t="array" ref="J3579">IFERROR(INDEX('Retirement Calculator'!J:J,MATCH('Isaac 401k'!N3579,'Retirement Calculator'!A:A,0),0),0)</f>
        <v>0</v>
      </c>
      <c r="K3579" s="444">
        <f t="shared" ca="1" si="171"/>
        <v>-303927635.93868434</v>
      </c>
      <c r="L3579" s="444">
        <f t="shared" ca="1" si="172"/>
        <v>-73246560261.222931</v>
      </c>
      <c r="M3579" s="460">
        <f t="shared" ref="M3579:M3833" si="174">M3578</f>
        <v>0.05</v>
      </c>
      <c r="N3579" s="464">
        <f t="shared" ref="N3579:N3833" si="175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73"/>
        <v>-73246560261.222931</v>
      </c>
      <c r="J3580" s="444">
        <f t="array" ref="J3580">IFERROR(INDEX('Retirement Calculator'!J:J,MATCH('Isaac 401k'!N3580,'Retirement Calculator'!A:A,0),0),0)</f>
        <v>0</v>
      </c>
      <c r="K3580" s="444">
        <f t="shared" ca="1" si="171"/>
        <v>-305194001.08842885</v>
      </c>
      <c r="L3580" s="444">
        <f t="shared" ca="1" si="172"/>
        <v>-73551754262.311356</v>
      </c>
      <c r="M3580" s="460">
        <f t="shared" si="174"/>
        <v>0.05</v>
      </c>
      <c r="N3580" s="464">
        <f t="shared" si="175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73"/>
        <v>-73551754262.311356</v>
      </c>
      <c r="J3581" s="444">
        <f t="array" ref="J3581">IFERROR(INDEX('Retirement Calculator'!J:J,MATCH('Isaac 401k'!N3581,'Retirement Calculator'!A:A,0),0),0)</f>
        <v>0</v>
      </c>
      <c r="K3581" s="444">
        <f t="shared" ca="1" si="171"/>
        <v>-306465642.75963062</v>
      </c>
      <c r="L3581" s="444">
        <f t="shared" ca="1" si="172"/>
        <v>-73858219905.070984</v>
      </c>
      <c r="M3581" s="460">
        <f t="shared" si="174"/>
        <v>0.05</v>
      </c>
      <c r="N3581" s="464">
        <f t="shared" si="175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73"/>
        <v>-73858219905.070984</v>
      </c>
      <c r="J3582" s="444">
        <f t="array" ref="J3582">IFERROR(INDEX('Retirement Calculator'!J:J,MATCH('Isaac 401k'!N3582,'Retirement Calculator'!A:A,0),0),0)</f>
        <v>0</v>
      </c>
      <c r="K3582" s="444">
        <f t="shared" ca="1" si="171"/>
        <v>-307742582.93779576</v>
      </c>
      <c r="L3582" s="444">
        <f t="shared" ca="1" si="172"/>
        <v>-74165962488.008774</v>
      </c>
      <c r="M3582" s="460">
        <f t="shared" si="174"/>
        <v>0.05</v>
      </c>
      <c r="N3582" s="464">
        <f t="shared" si="175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73"/>
        <v>-74165962488.008774</v>
      </c>
      <c r="J3583" s="444">
        <f t="array" ref="J3583">IFERROR(INDEX('Retirement Calculator'!J:J,MATCH('Isaac 401k'!N3583,'Retirement Calculator'!A:A,0),0),0)</f>
        <v>0</v>
      </c>
      <c r="K3583" s="444">
        <f t="shared" ca="1" si="171"/>
        <v>-309024843.70003653</v>
      </c>
      <c r="L3583" s="444">
        <f t="shared" ca="1" si="172"/>
        <v>-74474987331.708817</v>
      </c>
      <c r="M3583" s="460">
        <f t="shared" si="174"/>
        <v>0.05</v>
      </c>
      <c r="N3583" s="464">
        <f t="shared" si="175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73"/>
        <v>-74474987331.708817</v>
      </c>
      <c r="J3584" s="444">
        <f t="array" ref="J3584">IFERROR(INDEX('Retirement Calculator'!J:J,MATCH('Isaac 401k'!N3584,'Retirement Calculator'!A:A,0),0),0)</f>
        <v>0</v>
      </c>
      <c r="K3584" s="444">
        <f t="shared" ca="1" si="171"/>
        <v>-310312447.21545339</v>
      </c>
      <c r="L3584" s="444">
        <f t="shared" ca="1" si="172"/>
        <v>-74785299778.924271</v>
      </c>
      <c r="M3584" s="460">
        <f t="shared" si="174"/>
        <v>0.05</v>
      </c>
      <c r="N3584" s="464">
        <f t="shared" si="175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73"/>
        <v>-74785299778.924271</v>
      </c>
      <c r="J3585" s="444">
        <f t="array" ref="J3585">IFERROR(INDEX('Retirement Calculator'!J:J,MATCH('Isaac 401k'!N3585,'Retirement Calculator'!A:A,0),0),0)</f>
        <v>0</v>
      </c>
      <c r="K3585" s="444">
        <f t="shared" ca="1" si="171"/>
        <v>-311605415.74551779</v>
      </c>
      <c r="L3585" s="444">
        <f t="shared" ca="1" si="172"/>
        <v>-75096905194.669785</v>
      </c>
      <c r="M3585" s="460">
        <f t="shared" si="174"/>
        <v>0.05</v>
      </c>
      <c r="N3585" s="464">
        <f t="shared" si="175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73"/>
        <v>-75096905194.669785</v>
      </c>
      <c r="J3586" s="444">
        <f t="array" ref="J3586">IFERROR(INDEX('Retirement Calculator'!J:J,MATCH('Isaac 401k'!N3586,'Retirement Calculator'!A:A,0),0),0)</f>
        <v>0</v>
      </c>
      <c r="K3586" s="444">
        <f t="shared" ca="1" si="171"/>
        <v>-312903771.64445746</v>
      </c>
      <c r="L3586" s="444">
        <f t="shared" ca="1" si="172"/>
        <v>-75409808966.31424</v>
      </c>
      <c r="M3586" s="460">
        <f t="shared" si="174"/>
        <v>0.05</v>
      </c>
      <c r="N3586" s="464">
        <f t="shared" si="175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73"/>
        <v>-75409808966.31424</v>
      </c>
      <c r="J3587" s="444">
        <f t="array" ref="J3587">IFERROR(INDEX('Retirement Calculator'!J:J,MATCH('Isaac 401k'!N3587,'Retirement Calculator'!A:A,0),0),0)</f>
        <v>0</v>
      </c>
      <c r="K3587" s="444">
        <f t="shared" ca="1" si="171"/>
        <v>-314207537.35964268</v>
      </c>
      <c r="L3587" s="444">
        <f t="shared" ca="1" si="172"/>
        <v>-75724016503.673889</v>
      </c>
      <c r="M3587" s="460">
        <f t="shared" si="174"/>
        <v>0.05</v>
      </c>
      <c r="N3587" s="464">
        <f t="shared" si="175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73"/>
        <v>-75724016503.673889</v>
      </c>
      <c r="J3588" s="444">
        <f t="array" ref="J3588">IFERROR(INDEX('Retirement Calculator'!J:J,MATCH('Isaac 401k'!N3588,'Retirement Calculator'!A:A,0),0),0)</f>
        <v>0</v>
      </c>
      <c r="K3588" s="444">
        <f t="shared" ca="1" si="171"/>
        <v>-315516735.43197453</v>
      </c>
      <c r="L3588" s="444">
        <f t="shared" ca="1" si="172"/>
        <v>-76039533239.105865</v>
      </c>
      <c r="M3588" s="460">
        <f t="shared" si="174"/>
        <v>0.05</v>
      </c>
      <c r="N3588" s="464">
        <f t="shared" si="175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73"/>
        <v>-76039533239.105865</v>
      </c>
      <c r="J3589" s="444">
        <f t="array" ref="J3589">IFERROR(INDEX('Retirement Calculator'!J:J,MATCH('Isaac 401k'!N3589,'Retirement Calculator'!A:A,0),0),0)</f>
        <v>0</v>
      </c>
      <c r="K3589" s="444">
        <f t="shared" ca="1" si="171"/>
        <v>-316831388.49627441</v>
      </c>
      <c r="L3589" s="444">
        <f t="shared" ca="1" si="172"/>
        <v>-76356364627.602142</v>
      </c>
      <c r="M3589" s="460">
        <f t="shared" si="174"/>
        <v>0.05</v>
      </c>
      <c r="N3589" s="464">
        <f t="shared" si="175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73"/>
        <v>-76356364627.602142</v>
      </c>
      <c r="J3590" s="444">
        <f t="array" ref="J3590">IFERROR(INDEX('Retirement Calculator'!J:J,MATCH('Isaac 401k'!N3590,'Retirement Calculator'!A:A,0),0),0)</f>
        <v>0</v>
      </c>
      <c r="K3590" s="444">
        <f t="shared" ca="1" si="171"/>
        <v>-318151519.28167558</v>
      </c>
      <c r="L3590" s="444">
        <f t="shared" ca="1" si="172"/>
        <v>-76674516146.88382</v>
      </c>
      <c r="M3590" s="460">
        <f t="shared" si="174"/>
        <v>0.05</v>
      </c>
      <c r="N3590" s="464">
        <f t="shared" si="175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73"/>
        <v>-76674516146.88382</v>
      </c>
      <c r="J3591" s="444">
        <f t="array" ref="J3591">IFERROR(INDEX('Retirement Calculator'!J:J,MATCH('Isaac 401k'!N3591,'Retirement Calculator'!A:A,0),0),0)</f>
        <v>0</v>
      </c>
      <c r="K3591" s="444">
        <f t="shared" ca="1" si="171"/>
        <v>-319477150.6120159</v>
      </c>
      <c r="L3591" s="444">
        <f t="shared" ca="1" si="172"/>
        <v>-76993993297.495834</v>
      </c>
      <c r="M3591" s="460">
        <f t="shared" si="174"/>
        <v>0.05</v>
      </c>
      <c r="N3591" s="464">
        <f t="shared" si="175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73"/>
        <v>-76993993297.495834</v>
      </c>
      <c r="J3592" s="444">
        <f t="array" ref="J3592">IFERROR(INDEX('Retirement Calculator'!J:J,MATCH('Isaac 401k'!N3592,'Retirement Calculator'!A:A,0),0),0)</f>
        <v>0</v>
      </c>
      <c r="K3592" s="444">
        <f t="shared" ca="1" si="171"/>
        <v>-320808305.40623266</v>
      </c>
      <c r="L3592" s="444">
        <f t="shared" ca="1" si="172"/>
        <v>-77314801602.902069</v>
      </c>
      <c r="M3592" s="460">
        <f t="shared" si="174"/>
        <v>0.05</v>
      </c>
      <c r="N3592" s="464">
        <f t="shared" si="175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73"/>
        <v>-77314801602.902069</v>
      </c>
      <c r="J3593" s="444">
        <f t="array" ref="J3593">IFERROR(INDEX('Retirement Calculator'!J:J,MATCH('Isaac 401k'!N3593,'Retirement Calculator'!A:A,0),0),0)</f>
        <v>0</v>
      </c>
      <c r="K3593" s="444">
        <f t="shared" ca="1" si="171"/>
        <v>-322145006.67875862</v>
      </c>
      <c r="L3593" s="444">
        <f t="shared" ca="1" si="172"/>
        <v>-77636946609.580826</v>
      </c>
      <c r="M3593" s="460">
        <f t="shared" si="174"/>
        <v>0.05</v>
      </c>
      <c r="N3593" s="464">
        <f t="shared" si="175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73"/>
        <v>-77636946609.580826</v>
      </c>
      <c r="J3594" s="444">
        <f t="array" ref="J3594">IFERROR(INDEX('Retirement Calculator'!J:J,MATCH('Isaac 401k'!N3594,'Retirement Calculator'!A:A,0),0),0)</f>
        <v>0</v>
      </c>
      <c r="K3594" s="444">
        <f t="shared" ca="1" si="171"/>
        <v>-323487277.53992009</v>
      </c>
      <c r="L3594" s="444">
        <f t="shared" ca="1" si="172"/>
        <v>-77960433887.120743</v>
      </c>
      <c r="M3594" s="460">
        <f t="shared" si="174"/>
        <v>0.05</v>
      </c>
      <c r="N3594" s="464">
        <f t="shared" si="175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73"/>
        <v>-77960433887.120743</v>
      </c>
      <c r="J3595" s="444">
        <f t="array" ref="J3595">IFERROR(INDEX('Retirement Calculator'!J:J,MATCH('Isaac 401k'!N3595,'Retirement Calculator'!A:A,0),0),0)</f>
        <v>0</v>
      </c>
      <c r="K3595" s="444">
        <f t="shared" ca="1" si="171"/>
        <v>-324835141.19633645</v>
      </c>
      <c r="L3595" s="444">
        <f t="shared" ca="1" si="172"/>
        <v>-78285269028.317078</v>
      </c>
      <c r="M3595" s="460">
        <f t="shared" si="174"/>
        <v>0.05</v>
      </c>
      <c r="N3595" s="464">
        <f t="shared" si="175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73"/>
        <v>-78285269028.317078</v>
      </c>
      <c r="J3596" s="444">
        <f t="array" ref="J3596">IFERROR(INDEX('Retirement Calculator'!J:J,MATCH('Isaac 401k'!N3596,'Retirement Calculator'!A:A,0),0),0)</f>
        <v>0</v>
      </c>
      <c r="K3596" s="444">
        <f t="shared" ca="1" si="171"/>
        <v>-326188620.95132113</v>
      </c>
      <c r="L3596" s="444">
        <f t="shared" ca="1" si="172"/>
        <v>-78611457649.268402</v>
      </c>
      <c r="M3596" s="460">
        <f t="shared" si="174"/>
        <v>0.05</v>
      </c>
      <c r="N3596" s="464">
        <f t="shared" si="175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73"/>
        <v>-78611457649.268402</v>
      </c>
      <c r="J3597" s="444">
        <f t="array" ref="J3597">IFERROR(INDEX('Retirement Calculator'!J:J,MATCH('Isaac 401k'!N3597,'Retirement Calculator'!A:A,0),0),0)</f>
        <v>0</v>
      </c>
      <c r="K3597" s="444">
        <f t="shared" ca="1" si="171"/>
        <v>-327547740.20528501</v>
      </c>
      <c r="L3597" s="444">
        <f t="shared" ca="1" si="172"/>
        <v>-78939005389.473694</v>
      </c>
      <c r="M3597" s="460">
        <f t="shared" si="174"/>
        <v>0.05</v>
      </c>
      <c r="N3597" s="464">
        <f t="shared" si="175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73"/>
        <v>-78939005389.473694</v>
      </c>
      <c r="J3598" s="444">
        <f t="array" ref="J3598">IFERROR(INDEX('Retirement Calculator'!J:J,MATCH('Isaac 401k'!N3598,'Retirement Calculator'!A:A,0),0),0)</f>
        <v>0</v>
      </c>
      <c r="K3598" s="444">
        <f t="shared" ca="1" si="171"/>
        <v>-328912522.4561404</v>
      </c>
      <c r="L3598" s="444">
        <f t="shared" ca="1" si="172"/>
        <v>-79267917911.92984</v>
      </c>
      <c r="M3598" s="460">
        <f t="shared" si="174"/>
        <v>0.05</v>
      </c>
      <c r="N3598" s="464">
        <f t="shared" si="175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73"/>
        <v>-79267917911.92984</v>
      </c>
      <c r="J3599" s="444">
        <f t="array" ref="J3599">IFERROR(INDEX('Retirement Calculator'!J:J,MATCH('Isaac 401k'!N3599,'Retirement Calculator'!A:A,0),0),0)</f>
        <v>0</v>
      </c>
      <c r="K3599" s="444">
        <f t="shared" ca="1" si="171"/>
        <v>-330282991.29970765</v>
      </c>
      <c r="L3599" s="444">
        <f t="shared" ca="1" si="172"/>
        <v>-79598200903.229553</v>
      </c>
      <c r="M3599" s="460">
        <f t="shared" si="174"/>
        <v>0.05</v>
      </c>
      <c r="N3599" s="464">
        <f t="shared" si="175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73"/>
        <v>-79598200903.229553</v>
      </c>
      <c r="J3600" s="444">
        <f t="array" ref="J3600">IFERROR(INDEX('Retirement Calculator'!J:J,MATCH('Isaac 401k'!N3600,'Retirement Calculator'!A:A,0),0),0)</f>
        <v>0</v>
      </c>
      <c r="K3600" s="444">
        <f t="shared" ca="1" si="171"/>
        <v>-331659170.43012315</v>
      </c>
      <c r="L3600" s="444">
        <f t="shared" ca="1" si="172"/>
        <v>-79929860073.659683</v>
      </c>
      <c r="M3600" s="460">
        <f t="shared" si="174"/>
        <v>0.05</v>
      </c>
      <c r="N3600" s="464">
        <f t="shared" si="175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73"/>
        <v>-79929860073.659683</v>
      </c>
      <c r="J3601" s="444">
        <f t="array" ref="J3601">IFERROR(INDEX('Retirement Calculator'!J:J,MATCH('Isaac 401k'!N3601,'Retirement Calculator'!A:A,0),0),0)</f>
        <v>0</v>
      </c>
      <c r="K3601" s="444">
        <f t="shared" ca="1" si="171"/>
        <v>-333041083.64024866</v>
      </c>
      <c r="L3601" s="444">
        <f t="shared" ca="1" si="172"/>
        <v>-80262901157.299927</v>
      </c>
      <c r="M3601" s="460">
        <f t="shared" si="174"/>
        <v>0.05</v>
      </c>
      <c r="N3601" s="464">
        <f t="shared" si="175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73"/>
        <v>-80262901157.299927</v>
      </c>
      <c r="J3602" s="444">
        <f t="array" ref="J3602">IFERROR(INDEX('Retirement Calculator'!J:J,MATCH('Isaac 401k'!N3602,'Retirement Calculator'!A:A,0),0),0)</f>
        <v>0</v>
      </c>
      <c r="K3602" s="444">
        <f t="shared" ca="1" si="171"/>
        <v>-334428754.822083</v>
      </c>
      <c r="L3602" s="444">
        <f t="shared" ca="1" si="172"/>
        <v>-80597329912.122009</v>
      </c>
      <c r="M3602" s="460">
        <f t="shared" si="174"/>
        <v>0.05</v>
      </c>
      <c r="N3602" s="464">
        <f t="shared" si="175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73"/>
        <v>-80597329912.122009</v>
      </c>
      <c r="J3603" s="444">
        <f t="array" ref="J3603">IFERROR(INDEX('Retirement Calculator'!J:J,MATCH('Isaac 401k'!N3603,'Retirement Calculator'!A:A,0),0),0)</f>
        <v>0</v>
      </c>
      <c r="K3603" s="444">
        <f t="shared" ca="1" si="171"/>
        <v>-335822207.96717501</v>
      </c>
      <c r="L3603" s="444">
        <f t="shared" ca="1" si="172"/>
        <v>-80933152120.089188</v>
      </c>
      <c r="M3603" s="460">
        <f t="shared" si="174"/>
        <v>0.05</v>
      </c>
      <c r="N3603" s="464">
        <f t="shared" si="175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73"/>
        <v>-80933152120.089188</v>
      </c>
      <c r="J3604" s="444">
        <f t="array" ref="J3604">IFERROR(INDEX('Retirement Calculator'!J:J,MATCH('Isaac 401k'!N3604,'Retirement Calculator'!A:A,0),0),0)</f>
        <v>0</v>
      </c>
      <c r="K3604" s="444">
        <f t="shared" ca="1" si="171"/>
        <v>-337221467.16703826</v>
      </c>
      <c r="L3604" s="444">
        <f t="shared" ca="1" si="172"/>
        <v>-81270373587.256226</v>
      </c>
      <c r="M3604" s="460">
        <f t="shared" si="174"/>
        <v>0.05</v>
      </c>
      <c r="N3604" s="464">
        <f t="shared" si="175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73"/>
        <v>-81270373587.256226</v>
      </c>
      <c r="J3605" s="444">
        <f t="array" ref="J3605">IFERROR(INDEX('Retirement Calculator'!J:J,MATCH('Isaac 401k'!N3605,'Retirement Calculator'!A:A,0),0),0)</f>
        <v>0</v>
      </c>
      <c r="K3605" s="444">
        <f t="shared" ca="1" si="171"/>
        <v>-338626556.61356759</v>
      </c>
      <c r="L3605" s="444">
        <f t="shared" ca="1" si="172"/>
        <v>-81609000143.869797</v>
      </c>
      <c r="M3605" s="460">
        <f t="shared" si="174"/>
        <v>0.05</v>
      </c>
      <c r="N3605" s="464">
        <f t="shared" si="175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73"/>
        <v>-81609000143.869797</v>
      </c>
      <c r="J3606" s="444">
        <f t="array" ref="J3606">IFERROR(INDEX('Retirement Calculator'!J:J,MATCH('Isaac 401k'!N3606,'Retirement Calculator'!A:A,0),0),0)</f>
        <v>0</v>
      </c>
      <c r="K3606" s="444">
        <f t="shared" ca="1" si="171"/>
        <v>-340037500.5994575</v>
      </c>
      <c r="L3606" s="444">
        <f t="shared" ca="1" si="172"/>
        <v>-81949037644.469254</v>
      </c>
      <c r="M3606" s="460">
        <f t="shared" si="174"/>
        <v>0.05</v>
      </c>
      <c r="N3606" s="464">
        <f t="shared" si="175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73"/>
        <v>-81949037644.469254</v>
      </c>
      <c r="J3607" s="444">
        <f t="array" ref="J3607">IFERROR(INDEX('Retirement Calculator'!J:J,MATCH('Isaac 401k'!N3607,'Retirement Calculator'!A:A,0),0),0)</f>
        <v>0</v>
      </c>
      <c r="K3607" s="444">
        <f t="shared" ca="1" si="171"/>
        <v>-341454323.51862186</v>
      </c>
      <c r="L3607" s="444">
        <f t="shared" ca="1" si="172"/>
        <v>-82290491967.987869</v>
      </c>
      <c r="M3607" s="460">
        <f t="shared" si="174"/>
        <v>0.05</v>
      </c>
      <c r="N3607" s="464">
        <f t="shared" si="175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73"/>
        <v>-82290491967.987869</v>
      </c>
      <c r="J3608" s="444">
        <f t="array" ref="J3608">IFERROR(INDEX('Retirement Calculator'!J:J,MATCH('Isaac 401k'!N3608,'Retirement Calculator'!A:A,0),0),0)</f>
        <v>0</v>
      </c>
      <c r="K3608" s="444">
        <f t="shared" ca="1" si="171"/>
        <v>-342877049.86661613</v>
      </c>
      <c r="L3608" s="444">
        <f t="shared" ca="1" si="172"/>
        <v>-82633369017.854492</v>
      </c>
      <c r="M3608" s="460">
        <f t="shared" si="174"/>
        <v>0.05</v>
      </c>
      <c r="N3608" s="464">
        <f t="shared" si="175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73"/>
        <v>-82633369017.854492</v>
      </c>
      <c r="J3609" s="444">
        <f t="array" ref="J3609">IFERROR(INDEX('Retirement Calculator'!J:J,MATCH('Isaac 401k'!N3609,'Retirement Calculator'!A:A,0),0),0)</f>
        <v>0</v>
      </c>
      <c r="K3609" s="444">
        <f t="shared" ca="1" si="171"/>
        <v>-344305704.24106038</v>
      </c>
      <c r="L3609" s="444">
        <f t="shared" ca="1" si="172"/>
        <v>-82977674722.095551</v>
      </c>
      <c r="M3609" s="460">
        <f t="shared" si="174"/>
        <v>0.05</v>
      </c>
      <c r="N3609" s="464">
        <f t="shared" si="175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73"/>
        <v>-82977674722.095551</v>
      </c>
      <c r="J3610" s="444">
        <f t="array" ref="J3610">IFERROR(INDEX('Retirement Calculator'!J:J,MATCH('Isaac 401k'!N3610,'Retirement Calculator'!A:A,0),0),0)</f>
        <v>0</v>
      </c>
      <c r="K3610" s="444">
        <f t="shared" ca="1" si="171"/>
        <v>-345740311.3420648</v>
      </c>
      <c r="L3610" s="444">
        <f t="shared" ca="1" si="172"/>
        <v>-83323415033.437622</v>
      </c>
      <c r="M3610" s="460">
        <f t="shared" si="174"/>
        <v>0.05</v>
      </c>
      <c r="N3610" s="464">
        <f t="shared" si="175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73"/>
        <v>-83323415033.437622</v>
      </c>
      <c r="J3611" s="444">
        <f t="array" ref="J3611">IFERROR(INDEX('Retirement Calculator'!J:J,MATCH('Isaac 401k'!N3611,'Retirement Calculator'!A:A,0),0),0)</f>
        <v>0</v>
      </c>
      <c r="K3611" s="444">
        <f t="shared" ca="1" si="171"/>
        <v>-347180895.97265673</v>
      </c>
      <c r="L3611" s="444">
        <f t="shared" ca="1" si="172"/>
        <v>-83670595929.410278</v>
      </c>
      <c r="M3611" s="460">
        <f t="shared" si="174"/>
        <v>0.05</v>
      </c>
      <c r="N3611" s="464">
        <f t="shared" si="175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73"/>
        <v>-83670595929.410278</v>
      </c>
      <c r="J3612" s="444">
        <f t="array" ref="J3612">IFERROR(INDEX('Retirement Calculator'!J:J,MATCH('Isaac 401k'!N3612,'Retirement Calculator'!A:A,0),0),0)</f>
        <v>0</v>
      </c>
      <c r="K3612" s="444">
        <f t="shared" ca="1" si="171"/>
        <v>-348627483.03920949</v>
      </c>
      <c r="L3612" s="444">
        <f t="shared" ca="1" si="172"/>
        <v>-84019223412.449493</v>
      </c>
      <c r="M3612" s="460">
        <f t="shared" si="174"/>
        <v>0.05</v>
      </c>
      <c r="N3612" s="464">
        <f t="shared" si="175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73"/>
        <v>-84019223412.449493</v>
      </c>
      <c r="J3613" s="444">
        <f t="array" ref="J3613">IFERROR(INDEX('Retirement Calculator'!J:J,MATCH('Isaac 401k'!N3613,'Retirement Calculator'!A:A,0),0),0)</f>
        <v>0</v>
      </c>
      <c r="K3613" s="444">
        <f t="shared" ca="1" si="171"/>
        <v>-350080097.55187291</v>
      </c>
      <c r="L3613" s="444">
        <f t="shared" ca="1" si="172"/>
        <v>-84369303510.001373</v>
      </c>
      <c r="M3613" s="460">
        <f t="shared" si="174"/>
        <v>0.05</v>
      </c>
      <c r="N3613" s="464">
        <f t="shared" si="175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73"/>
        <v>-84369303510.001373</v>
      </c>
      <c r="J3614" s="444">
        <f t="array" ref="J3614">IFERROR(INDEX('Retirement Calculator'!J:J,MATCH('Isaac 401k'!N3614,'Retirement Calculator'!A:A,0),0),0)</f>
        <v>0</v>
      </c>
      <c r="K3614" s="444">
        <f t="shared" ca="1" si="171"/>
        <v>-351538764.62500572</v>
      </c>
      <c r="L3614" s="444">
        <f t="shared" ca="1" si="172"/>
        <v>-84720842274.626373</v>
      </c>
      <c r="M3614" s="460">
        <f t="shared" si="174"/>
        <v>0.05</v>
      </c>
      <c r="N3614" s="464">
        <f t="shared" si="175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73"/>
        <v>-84720842274.626373</v>
      </c>
      <c r="J3615" s="444">
        <f t="array" ref="J3615">IFERROR(INDEX('Retirement Calculator'!J:J,MATCH('Isaac 401k'!N3615,'Retirement Calculator'!A:A,0),0),0)</f>
        <v>0</v>
      </c>
      <c r="K3615" s="444">
        <f t="shared" ca="1" si="171"/>
        <v>-353003509.47760987</v>
      </c>
      <c r="L3615" s="444">
        <f t="shared" ca="1" si="172"/>
        <v>-85073845784.103989</v>
      </c>
      <c r="M3615" s="460">
        <f t="shared" si="174"/>
        <v>0.05</v>
      </c>
      <c r="N3615" s="464">
        <f t="shared" si="175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73"/>
        <v>-85073845784.103989</v>
      </c>
      <c r="J3616" s="444">
        <f t="array" ref="J3616">IFERROR(INDEX('Retirement Calculator'!J:J,MATCH('Isaac 401k'!N3616,'Retirement Calculator'!A:A,0),0),0)</f>
        <v>0</v>
      </c>
      <c r="K3616" s="444">
        <f t="shared" ca="1" si="171"/>
        <v>-354474357.4337666</v>
      </c>
      <c r="L3616" s="444">
        <f t="shared" ca="1" si="172"/>
        <v>-85428320141.53775</v>
      </c>
      <c r="M3616" s="460">
        <f t="shared" si="174"/>
        <v>0.05</v>
      </c>
      <c r="N3616" s="464">
        <f t="shared" si="175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73"/>
        <v>-85428320141.53775</v>
      </c>
      <c r="J3617" s="444">
        <f t="array" ref="J3617">IFERROR(INDEX('Retirement Calculator'!J:J,MATCH('Isaac 401k'!N3617,'Retirement Calculator'!A:A,0),0),0)</f>
        <v>0</v>
      </c>
      <c r="K3617" s="444">
        <f t="shared" ca="1" si="171"/>
        <v>-355951333.92307395</v>
      </c>
      <c r="L3617" s="444">
        <f t="shared" ca="1" si="172"/>
        <v>-85784271475.460831</v>
      </c>
      <c r="M3617" s="460">
        <f t="shared" si="174"/>
        <v>0.05</v>
      </c>
      <c r="N3617" s="464">
        <f t="shared" si="175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73"/>
        <v>-85784271475.460831</v>
      </c>
      <c r="J3618" s="444">
        <f t="array" ref="J3618">IFERROR(INDEX('Retirement Calculator'!J:J,MATCH('Isaac 401k'!N3618,'Retirement Calculator'!A:A,0),0),0)</f>
        <v>0</v>
      </c>
      <c r="K3618" s="444">
        <f t="shared" ca="1" si="171"/>
        <v>-357434464.48108679</v>
      </c>
      <c r="L3618" s="444">
        <f t="shared" ca="1" si="172"/>
        <v>-86141705939.941925</v>
      </c>
      <c r="M3618" s="460">
        <f t="shared" si="174"/>
        <v>0.05</v>
      </c>
      <c r="N3618" s="464">
        <f t="shared" si="175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73"/>
        <v>-86141705939.941925</v>
      </c>
      <c r="J3619" s="444">
        <f t="array" ref="J3619">IFERROR(INDEX('Retirement Calculator'!J:J,MATCH('Isaac 401k'!N3619,'Retirement Calculator'!A:A,0),0),0)</f>
        <v>0</v>
      </c>
      <c r="K3619" s="444">
        <f t="shared" ca="1" si="171"/>
        <v>-358923774.74975801</v>
      </c>
      <c r="L3619" s="444">
        <f t="shared" ca="1" si="172"/>
        <v>-86500629714.691681</v>
      </c>
      <c r="M3619" s="460">
        <f t="shared" si="174"/>
        <v>0.05</v>
      </c>
      <c r="N3619" s="464">
        <f t="shared" si="175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73"/>
        <v>-86500629714.691681</v>
      </c>
      <c r="J3620" s="444">
        <f t="array" ref="J3620">IFERROR(INDEX('Retirement Calculator'!J:J,MATCH('Isaac 401k'!N3620,'Retirement Calculator'!A:A,0),0),0)</f>
        <v>0</v>
      </c>
      <c r="K3620" s="444">
        <f t="shared" ca="1" si="171"/>
        <v>-360419290.47788203</v>
      </c>
      <c r="L3620" s="444">
        <f t="shared" ca="1" si="172"/>
        <v>-86861049005.169556</v>
      </c>
      <c r="M3620" s="460">
        <f t="shared" si="174"/>
        <v>0.05</v>
      </c>
      <c r="N3620" s="464">
        <f t="shared" si="175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73"/>
        <v>-86861049005.169556</v>
      </c>
      <c r="J3621" s="444">
        <f t="array" ref="J3621">IFERROR(INDEX('Retirement Calculator'!J:J,MATCH('Isaac 401k'!N3621,'Retirement Calculator'!A:A,0),0),0)</f>
        <v>0</v>
      </c>
      <c r="K3621" s="444">
        <f t="shared" ca="1" si="171"/>
        <v>-361921037.52153981</v>
      </c>
      <c r="L3621" s="444">
        <f t="shared" ca="1" si="172"/>
        <v>-87222970042.691101</v>
      </c>
      <c r="M3621" s="460">
        <f t="shared" si="174"/>
        <v>0.05</v>
      </c>
      <c r="N3621" s="464">
        <f t="shared" si="175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73"/>
        <v>-87222970042.691101</v>
      </c>
      <c r="J3622" s="444">
        <f t="array" ref="J3622">IFERROR(INDEX('Retirement Calculator'!J:J,MATCH('Isaac 401k'!N3622,'Retirement Calculator'!A:A,0),0),0)</f>
        <v>0</v>
      </c>
      <c r="K3622" s="444">
        <f t="shared" ca="1" si="171"/>
        <v>-363429041.84454626</v>
      </c>
      <c r="L3622" s="444">
        <f t="shared" ca="1" si="172"/>
        <v>-87586399084.535645</v>
      </c>
      <c r="M3622" s="460">
        <f t="shared" si="174"/>
        <v>0.05</v>
      </c>
      <c r="N3622" s="464">
        <f t="shared" si="175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73"/>
        <v>-87586399084.535645</v>
      </c>
      <c r="J3623" s="444">
        <f t="array" ref="J3623">IFERROR(INDEX('Retirement Calculator'!J:J,MATCH('Isaac 401k'!N3623,'Retirement Calculator'!A:A,0),0),0)</f>
        <v>0</v>
      </c>
      <c r="K3623" s="444">
        <f t="shared" ca="1" si="171"/>
        <v>-364943329.51889849</v>
      </c>
      <c r="L3623" s="444">
        <f t="shared" ca="1" si="172"/>
        <v>-87951342414.05455</v>
      </c>
      <c r="M3623" s="460">
        <f t="shared" si="174"/>
        <v>0.05</v>
      </c>
      <c r="N3623" s="464">
        <f t="shared" si="175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73"/>
        <v>-87951342414.05455</v>
      </c>
      <c r="J3624" s="444">
        <f t="array" ref="J3624">IFERROR(INDEX('Retirement Calculator'!J:J,MATCH('Isaac 401k'!N3624,'Retirement Calculator'!A:A,0),0),0)</f>
        <v>0</v>
      </c>
      <c r="K3624" s="444">
        <f t="shared" ca="1" si="171"/>
        <v>-366463926.7252273</v>
      </c>
      <c r="L3624" s="444">
        <f t="shared" ca="1" si="172"/>
        <v>-88317806340.77977</v>
      </c>
      <c r="M3624" s="460">
        <f t="shared" si="174"/>
        <v>0.05</v>
      </c>
      <c r="N3624" s="464">
        <f t="shared" si="175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73"/>
        <v>-88317806340.77977</v>
      </c>
      <c r="J3625" s="444">
        <f t="array" ref="J3625">IFERROR(INDEX('Retirement Calculator'!J:J,MATCH('Isaac 401k'!N3625,'Retirement Calculator'!A:A,0),0),0)</f>
        <v>0</v>
      </c>
      <c r="K3625" s="444">
        <f t="shared" ca="1" si="171"/>
        <v>-367990859.75324905</v>
      </c>
      <c r="L3625" s="444">
        <f t="shared" ca="1" si="172"/>
        <v>-88685797200.53302</v>
      </c>
      <c r="M3625" s="460">
        <f t="shared" si="174"/>
        <v>0.05</v>
      </c>
      <c r="N3625" s="464">
        <f t="shared" si="175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73"/>
        <v>-88685797200.53302</v>
      </c>
      <c r="J3626" s="444">
        <f t="array" ref="J3626">IFERROR(INDEX('Retirement Calculator'!J:J,MATCH('Isaac 401k'!N3626,'Retirement Calculator'!A:A,0),0),0)</f>
        <v>0</v>
      </c>
      <c r="K3626" s="444">
        <f t="shared" ca="1" si="171"/>
        <v>-369524155.00222093</v>
      </c>
      <c r="L3626" s="444">
        <f t="shared" ca="1" si="172"/>
        <v>-89055321355.535248</v>
      </c>
      <c r="M3626" s="460">
        <f t="shared" si="174"/>
        <v>0.05</v>
      </c>
      <c r="N3626" s="464">
        <f t="shared" si="175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73"/>
        <v>-89055321355.535248</v>
      </c>
      <c r="J3627" s="444">
        <f t="array" ref="J3627">IFERROR(INDEX('Retirement Calculator'!J:J,MATCH('Isaac 401k'!N3627,'Retirement Calculator'!A:A,0),0),0)</f>
        <v>0</v>
      </c>
      <c r="K3627" s="444">
        <f t="shared" ca="1" si="171"/>
        <v>-371063838.98139685</v>
      </c>
      <c r="L3627" s="444">
        <f t="shared" ca="1" si="172"/>
        <v>-89426385194.516647</v>
      </c>
      <c r="M3627" s="460">
        <f t="shared" si="174"/>
        <v>0.05</v>
      </c>
      <c r="N3627" s="464">
        <f t="shared" si="175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73"/>
        <v>-89426385194.516647</v>
      </c>
      <c r="J3628" s="444">
        <f t="array" ref="J3628">IFERROR(INDEX('Retirement Calculator'!J:J,MATCH('Isaac 401k'!N3628,'Retirement Calculator'!A:A,0),0),0)</f>
        <v>0</v>
      </c>
      <c r="K3628" s="444">
        <f t="shared" ca="1" si="171"/>
        <v>-372609938.31048602</v>
      </c>
      <c r="L3628" s="444">
        <f t="shared" ca="1" si="172"/>
        <v>-89798995132.827133</v>
      </c>
      <c r="M3628" s="460">
        <f t="shared" si="174"/>
        <v>0.05</v>
      </c>
      <c r="N3628" s="464">
        <f t="shared" si="175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73"/>
        <v>-89798995132.827133</v>
      </c>
      <c r="J3629" s="444">
        <f t="array" ref="J3629">IFERROR(INDEX('Retirement Calculator'!J:J,MATCH('Isaac 401k'!N3629,'Retirement Calculator'!A:A,0),0),0)</f>
        <v>0</v>
      </c>
      <c r="K3629" s="444">
        <f t="shared" ca="1" si="171"/>
        <v>-374162479.72011304</v>
      </c>
      <c r="L3629" s="444">
        <f t="shared" ca="1" si="172"/>
        <v>-90173157612.547241</v>
      </c>
      <c r="M3629" s="460">
        <f t="shared" si="174"/>
        <v>0.05</v>
      </c>
      <c r="N3629" s="464">
        <f t="shared" si="175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73"/>
        <v>-90173157612.547241</v>
      </c>
      <c r="J3630" s="444">
        <f t="array" ref="J3630">IFERROR(INDEX('Retirement Calculator'!J:J,MATCH('Isaac 401k'!N3630,'Retirement Calculator'!A:A,0),0),0)</f>
        <v>0</v>
      </c>
      <c r="K3630" s="444">
        <f t="shared" ca="1" si="171"/>
        <v>-375721490.05228019</v>
      </c>
      <c r="L3630" s="444">
        <f t="shared" ca="1" si="172"/>
        <v>-90548879102.599518</v>
      </c>
      <c r="M3630" s="460">
        <f t="shared" si="174"/>
        <v>0.05</v>
      </c>
      <c r="N3630" s="464">
        <f t="shared" si="175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73"/>
        <v>-90548879102.599518</v>
      </c>
      <c r="J3631" s="444">
        <f t="array" ref="J3631">IFERROR(INDEX('Retirement Calculator'!J:J,MATCH('Isaac 401k'!N3631,'Retirement Calculator'!A:A,0),0),0)</f>
        <v>0</v>
      </c>
      <c r="K3631" s="444">
        <f t="shared" ca="1" si="171"/>
        <v>-377286996.2608313</v>
      </c>
      <c r="L3631" s="444">
        <f t="shared" ca="1" si="172"/>
        <v>-90926166098.860352</v>
      </c>
      <c r="M3631" s="460">
        <f t="shared" si="174"/>
        <v>0.05</v>
      </c>
      <c r="N3631" s="464">
        <f t="shared" si="175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73"/>
        <v>-90926166098.860352</v>
      </c>
      <c r="J3632" s="444">
        <f t="array" ref="J3632">IFERROR(INDEX('Retirement Calculator'!J:J,MATCH('Isaac 401k'!N3632,'Retirement Calculator'!A:A,0),0),0)</f>
        <v>0</v>
      </c>
      <c r="K3632" s="444">
        <f t="shared" ca="1" si="171"/>
        <v>-378859025.4119181</v>
      </c>
      <c r="L3632" s="444">
        <f t="shared" ca="1" si="172"/>
        <v>-91305025124.272263</v>
      </c>
      <c r="M3632" s="460">
        <f t="shared" si="174"/>
        <v>0.05</v>
      </c>
      <c r="N3632" s="464">
        <f t="shared" si="175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73"/>
        <v>-91305025124.272263</v>
      </c>
      <c r="J3633" s="444">
        <f t="array" ref="J3633">IFERROR(INDEX('Retirement Calculator'!J:J,MATCH('Isaac 401k'!N3633,'Retirement Calculator'!A:A,0),0),0)</f>
        <v>0</v>
      </c>
      <c r="K3633" s="444">
        <f t="shared" ca="1" si="171"/>
        <v>-380437604.68446773</v>
      </c>
      <c r="L3633" s="444">
        <f t="shared" ca="1" si="172"/>
        <v>-91685462728.956726</v>
      </c>
      <c r="M3633" s="460">
        <f t="shared" si="174"/>
        <v>0.05</v>
      </c>
      <c r="N3633" s="464">
        <f t="shared" si="175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73"/>
        <v>-91685462728.956726</v>
      </c>
      <c r="J3634" s="444">
        <f t="array" ref="J3634">IFERROR(INDEX('Retirement Calculator'!J:J,MATCH('Isaac 401k'!N3634,'Retirement Calculator'!A:A,0),0),0)</f>
        <v>0</v>
      </c>
      <c r="K3634" s="444">
        <f t="shared" ca="1" si="171"/>
        <v>-382022761.37065303</v>
      </c>
      <c r="L3634" s="444">
        <f t="shared" ca="1" si="172"/>
        <v>-92067485490.327377</v>
      </c>
      <c r="M3634" s="460">
        <f t="shared" si="174"/>
        <v>0.05</v>
      </c>
      <c r="N3634" s="464">
        <f t="shared" si="175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73"/>
        <v>-92067485490.327377</v>
      </c>
      <c r="J3635" s="444">
        <f t="array" ref="J3635">IFERROR(INDEX('Retirement Calculator'!J:J,MATCH('Isaac 401k'!N3635,'Retirement Calculator'!A:A,0),0),0)</f>
        <v>0</v>
      </c>
      <c r="K3635" s="444">
        <f t="shared" ca="1" si="171"/>
        <v>-383614522.87636405</v>
      </c>
      <c r="L3635" s="444">
        <f t="shared" ca="1" si="172"/>
        <v>-92451100013.203735</v>
      </c>
      <c r="M3635" s="460">
        <f t="shared" si="174"/>
        <v>0.05</v>
      </c>
      <c r="N3635" s="464">
        <f t="shared" si="175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73"/>
        <v>-92451100013.203735</v>
      </c>
      <c r="J3636" s="444">
        <f t="array" ref="J3636">IFERROR(INDEX('Retirement Calculator'!J:J,MATCH('Isaac 401k'!N3636,'Retirement Calculator'!A:A,0),0),0)</f>
        <v>0</v>
      </c>
      <c r="K3636" s="444">
        <f t="shared" ca="1" si="171"/>
        <v>-385212916.72168225</v>
      </c>
      <c r="L3636" s="444">
        <f t="shared" ca="1" si="172"/>
        <v>-92836312929.925415</v>
      </c>
      <c r="M3636" s="460">
        <f t="shared" si="174"/>
        <v>0.05</v>
      </c>
      <c r="N3636" s="464">
        <f t="shared" si="175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73"/>
        <v>-92836312929.925415</v>
      </c>
      <c r="J3637" s="444">
        <f t="array" ref="J3637">IFERROR(INDEX('Retirement Calculator'!J:J,MATCH('Isaac 401k'!N3637,'Retirement Calculator'!A:A,0),0),0)</f>
        <v>0</v>
      </c>
      <c r="K3637" s="444">
        <f t="shared" ca="1" si="171"/>
        <v>-386817970.54135591</v>
      </c>
      <c r="L3637" s="444">
        <f t="shared" ca="1" si="172"/>
        <v>-93223130900.466766</v>
      </c>
      <c r="M3637" s="460">
        <f t="shared" si="174"/>
        <v>0.05</v>
      </c>
      <c r="N3637" s="464">
        <f t="shared" si="175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73"/>
        <v>-93223130900.466766</v>
      </c>
      <c r="J3638" s="444">
        <f t="array" ref="J3638">IFERROR(INDEX('Retirement Calculator'!J:J,MATCH('Isaac 401k'!N3638,'Retirement Calculator'!A:A,0),0),0)</f>
        <v>0</v>
      </c>
      <c r="K3638" s="444">
        <f t="shared" ca="1" si="171"/>
        <v>-388429712.08527821</v>
      </c>
      <c r="L3638" s="444">
        <f t="shared" ca="1" si="172"/>
        <v>-93611560612.552048</v>
      </c>
      <c r="M3638" s="460">
        <f t="shared" si="174"/>
        <v>0.05</v>
      </c>
      <c r="N3638" s="464">
        <f t="shared" si="175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73"/>
        <v>-93611560612.552048</v>
      </c>
      <c r="J3639" s="444">
        <f t="array" ref="J3639">IFERROR(INDEX('Retirement Calculator'!J:J,MATCH('Isaac 401k'!N3639,'Retirement Calculator'!A:A,0),0),0)</f>
        <v>0</v>
      </c>
      <c r="K3639" s="444">
        <f t="shared" ca="1" si="171"/>
        <v>-390048169.21896684</v>
      </c>
      <c r="L3639" s="444">
        <f t="shared" ca="1" si="172"/>
        <v>-94001608781.771011</v>
      </c>
      <c r="M3639" s="460">
        <f t="shared" si="174"/>
        <v>0.05</v>
      </c>
      <c r="N3639" s="464">
        <f t="shared" si="175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73"/>
        <v>-94001608781.771011</v>
      </c>
      <c r="J3640" s="444">
        <f t="array" ref="J3640">IFERROR(INDEX('Retirement Calculator'!J:J,MATCH('Isaac 401k'!N3640,'Retirement Calculator'!A:A,0),0),0)</f>
        <v>0</v>
      </c>
      <c r="K3640" s="444">
        <f t="shared" ca="1" si="171"/>
        <v>-391673369.92404586</v>
      </c>
      <c r="L3640" s="444">
        <f t="shared" ca="1" si="172"/>
        <v>-94393282151.695053</v>
      </c>
      <c r="M3640" s="460">
        <f t="shared" si="174"/>
        <v>0.05</v>
      </c>
      <c r="N3640" s="464">
        <f t="shared" si="175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73"/>
        <v>-94393282151.695053</v>
      </c>
      <c r="J3641" s="444">
        <f t="array" ref="J3641">IFERROR(INDEX('Retirement Calculator'!J:J,MATCH('Isaac 401k'!N3641,'Retirement Calculator'!A:A,0),0),0)</f>
        <v>0</v>
      </c>
      <c r="K3641" s="444">
        <f t="shared" ca="1" si="171"/>
        <v>-393305342.29872936</v>
      </c>
      <c r="L3641" s="444">
        <f t="shared" ca="1" si="172"/>
        <v>-94786587493.99379</v>
      </c>
      <c r="M3641" s="460">
        <f t="shared" si="174"/>
        <v>0.05</v>
      </c>
      <c r="N3641" s="464">
        <f t="shared" si="175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73"/>
        <v>-94786587493.99379</v>
      </c>
      <c r="J3642" s="444">
        <f t="array" ref="J3642">IFERROR(INDEX('Retirement Calculator'!J:J,MATCH('Isaac 401k'!N3642,'Retirement Calculator'!A:A,0),0),0)</f>
        <v>0</v>
      </c>
      <c r="K3642" s="444">
        <f t="shared" ca="1" si="171"/>
        <v>-394944114.55830747</v>
      </c>
      <c r="L3642" s="444">
        <f t="shared" ca="1" si="172"/>
        <v>-95181531608.552094</v>
      </c>
      <c r="M3642" s="460">
        <f t="shared" si="174"/>
        <v>0.05</v>
      </c>
      <c r="N3642" s="464">
        <f t="shared" si="175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73"/>
        <v>-95181531608.552094</v>
      </c>
      <c r="J3643" s="444">
        <f t="array" ref="J3643">IFERROR(INDEX('Retirement Calculator'!J:J,MATCH('Isaac 401k'!N3643,'Retirement Calculator'!A:A,0),0),0)</f>
        <v>0</v>
      </c>
      <c r="K3643" s="444">
        <f t="shared" ca="1" si="171"/>
        <v>-396589715.03563374</v>
      </c>
      <c r="L3643" s="444">
        <f t="shared" ca="1" si="172"/>
        <v>-95578121323.587723</v>
      </c>
      <c r="M3643" s="460">
        <f t="shared" si="174"/>
        <v>0.05</v>
      </c>
      <c r="N3643" s="464">
        <f t="shared" si="175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73"/>
        <v>-95578121323.587723</v>
      </c>
      <c r="J3644" s="444">
        <f t="array" ref="J3644">IFERROR(INDEX('Retirement Calculator'!J:J,MATCH('Isaac 401k'!N3644,'Retirement Calculator'!A:A,0),0),0)</f>
        <v>0</v>
      </c>
      <c r="K3644" s="444">
        <f t="shared" ca="1" si="171"/>
        <v>-398242172.18161553</v>
      </c>
      <c r="L3644" s="444">
        <f t="shared" ca="1" si="172"/>
        <v>-95976363495.769333</v>
      </c>
      <c r="M3644" s="460">
        <f t="shared" si="174"/>
        <v>0.05</v>
      </c>
      <c r="N3644" s="464">
        <f t="shared" si="175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73"/>
        <v>-95976363495.769333</v>
      </c>
      <c r="J3645" s="444">
        <f t="array" ref="J3645">IFERROR(INDEX('Retirement Calculator'!J:J,MATCH('Isaac 401k'!N3645,'Retirement Calculator'!A:A,0),0),0)</f>
        <v>0</v>
      </c>
      <c r="K3645" s="444">
        <f t="shared" ca="1" si="171"/>
        <v>-399901514.56570554</v>
      </c>
      <c r="L3645" s="444">
        <f t="shared" ca="1" si="172"/>
        <v>-96376265010.335037</v>
      </c>
      <c r="M3645" s="460">
        <f t="shared" si="174"/>
        <v>0.05</v>
      </c>
      <c r="N3645" s="464">
        <f t="shared" si="175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73"/>
        <v>-96376265010.335037</v>
      </c>
      <c r="J3646" s="444">
        <f t="array" ref="J3646">IFERROR(INDEX('Retirement Calculator'!J:J,MATCH('Isaac 401k'!N3646,'Retirement Calculator'!A:A,0),0),0)</f>
        <v>0</v>
      </c>
      <c r="K3646" s="444">
        <f t="shared" ca="1" si="171"/>
        <v>-401567770.876396</v>
      </c>
      <c r="L3646" s="444">
        <f t="shared" ca="1" si="172"/>
        <v>-96777832781.211426</v>
      </c>
      <c r="M3646" s="460">
        <f t="shared" si="174"/>
        <v>0.05</v>
      </c>
      <c r="N3646" s="464">
        <f t="shared" si="175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73"/>
        <v>-96777832781.211426</v>
      </c>
      <c r="J3647" s="444">
        <f t="array" ref="J3647">IFERROR(INDEX('Retirement Calculator'!J:J,MATCH('Isaac 401k'!N3647,'Retirement Calculator'!A:A,0),0),0)</f>
        <v>0</v>
      </c>
      <c r="K3647" s="444">
        <f t="shared" ca="1" si="171"/>
        <v>-403240969.92171425</v>
      </c>
      <c r="L3647" s="444">
        <f t="shared" ca="1" si="172"/>
        <v>-97181073751.133133</v>
      </c>
      <c r="M3647" s="460">
        <f t="shared" si="174"/>
        <v>0.05</v>
      </c>
      <c r="N3647" s="464">
        <f t="shared" si="175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73"/>
        <v>-97181073751.133133</v>
      </c>
      <c r="J3648" s="444">
        <f t="array" ref="J3648">IFERROR(INDEX('Retirement Calculator'!J:J,MATCH('Isaac 401k'!N3648,'Retirement Calculator'!A:A,0),0),0)</f>
        <v>0</v>
      </c>
      <c r="K3648" s="444">
        <f t="shared" ca="1" si="171"/>
        <v>-404921140.6297214</v>
      </c>
      <c r="L3648" s="444">
        <f t="shared" ca="1" si="172"/>
        <v>-97585994891.762848</v>
      </c>
      <c r="M3648" s="460">
        <f t="shared" si="174"/>
        <v>0.05</v>
      </c>
      <c r="N3648" s="464">
        <f t="shared" si="175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73"/>
        <v>-97585994891.762848</v>
      </c>
      <c r="J3649" s="444">
        <f t="array" ref="J3649">IFERROR(INDEX('Retirement Calculator'!J:J,MATCH('Isaac 401k'!N3649,'Retirement Calculator'!A:A,0),0),0)</f>
        <v>0</v>
      </c>
      <c r="K3649" s="444">
        <f t="shared" ca="1" si="171"/>
        <v>-406608312.04901189</v>
      </c>
      <c r="L3649" s="444">
        <f t="shared" ca="1" si="172"/>
        <v>-97992603203.811859</v>
      </c>
      <c r="M3649" s="460">
        <f t="shared" si="174"/>
        <v>0.05</v>
      </c>
      <c r="N3649" s="464">
        <f t="shared" si="175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73"/>
        <v>-97992603203.811859</v>
      </c>
      <c r="J3650" s="444">
        <f t="array" ref="J3650">IFERROR(INDEX('Retirement Calculator'!J:J,MATCH('Isaac 401k'!N3650,'Retirement Calculator'!A:A,0),0),0)</f>
        <v>0</v>
      </c>
      <c r="K3650" s="444">
        <f t="shared" ca="1" si="171"/>
        <v>-408302513.3492161</v>
      </c>
      <c r="L3650" s="444">
        <f t="shared" ca="1" si="172"/>
        <v>-98400905717.161072</v>
      </c>
      <c r="M3650" s="460">
        <f t="shared" si="174"/>
        <v>0.05</v>
      </c>
      <c r="N3650" s="464">
        <f t="shared" si="175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73"/>
        <v>-98400905717.161072</v>
      </c>
      <c r="J3651" s="444">
        <f t="array" ref="J3651">IFERROR(INDEX('Retirement Calculator'!J:J,MATCH('Isaac 401k'!N3651,'Retirement Calculator'!A:A,0),0),0)</f>
        <v>0</v>
      </c>
      <c r="K3651" s="444">
        <f t="shared" ca="1" si="171"/>
        <v>-410003773.82150447</v>
      </c>
      <c r="L3651" s="444">
        <f t="shared" ca="1" si="172"/>
        <v>-98810909490.982574</v>
      </c>
      <c r="M3651" s="460">
        <f t="shared" si="174"/>
        <v>0.05</v>
      </c>
      <c r="N3651" s="464">
        <f t="shared" si="175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73"/>
        <v>-98810909490.982574</v>
      </c>
      <c r="J3652" s="444">
        <f t="array" ref="J3652">IFERROR(INDEX('Retirement Calculator'!J:J,MATCH('Isaac 401k'!N3652,'Retirement Calculator'!A:A,0),0),0)</f>
        <v>0</v>
      </c>
      <c r="K3652" s="444">
        <f t="shared" ca="1" si="171"/>
        <v>-411712122.87909406</v>
      </c>
      <c r="L3652" s="444">
        <f t="shared" ca="1" si="172"/>
        <v>-99222621613.861664</v>
      </c>
      <c r="M3652" s="460">
        <f t="shared" si="174"/>
        <v>0.05</v>
      </c>
      <c r="N3652" s="464">
        <f t="shared" si="175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73"/>
        <v>-99222621613.861664</v>
      </c>
      <c r="J3653" s="444">
        <f t="array" ref="J3653">IFERROR(INDEX('Retirement Calculator'!J:J,MATCH('Isaac 401k'!N3653,'Retirement Calculator'!A:A,0),0),0)</f>
        <v>0</v>
      </c>
      <c r="K3653" s="444">
        <f t="shared" ca="1" si="171"/>
        <v>-413427590.0577569</v>
      </c>
      <c r="L3653" s="444">
        <f t="shared" ca="1" si="172"/>
        <v>-99636049203.919418</v>
      </c>
      <c r="M3653" s="460">
        <f t="shared" si="174"/>
        <v>0.05</v>
      </c>
      <c r="N3653" s="464">
        <f t="shared" si="175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73"/>
        <v>-99636049203.919418</v>
      </c>
      <c r="J3654" s="444">
        <f t="array" ref="J3654">IFERROR(INDEX('Retirement Calculator'!J:J,MATCH('Isaac 401k'!N3654,'Retirement Calculator'!A:A,0),0),0)</f>
        <v>0</v>
      </c>
      <c r="K3654" s="444">
        <f t="shared" ca="1" si="171"/>
        <v>-415150205.0163309</v>
      </c>
      <c r="L3654" s="444">
        <f t="shared" ca="1" si="172"/>
        <v>-100051199408.93575</v>
      </c>
      <c r="M3654" s="460">
        <f t="shared" si="174"/>
        <v>0.05</v>
      </c>
      <c r="N3654" s="464">
        <f t="shared" si="175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73"/>
        <v>-100051199408.93575</v>
      </c>
      <c r="J3655" s="444">
        <f t="array" ref="J3655">IFERROR(INDEX('Retirement Calculator'!J:J,MATCH('Isaac 401k'!N3655,'Retirement Calculator'!A:A,0),0),0)</f>
        <v>0</v>
      </c>
      <c r="K3655" s="444">
        <f t="shared" ca="1" si="171"/>
        <v>-416879997.53723228</v>
      </c>
      <c r="L3655" s="444">
        <f t="shared" ca="1" si="172"/>
        <v>-100468079406.47298</v>
      </c>
      <c r="M3655" s="460">
        <f t="shared" si="174"/>
        <v>0.05</v>
      </c>
      <c r="N3655" s="464">
        <f t="shared" si="175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73"/>
        <v>-100468079406.47298</v>
      </c>
      <c r="J3656" s="444">
        <f t="array" ref="J3656">IFERROR(INDEX('Retirement Calculator'!J:J,MATCH('Isaac 401k'!N3656,'Retirement Calculator'!A:A,0),0),0)</f>
        <v>0</v>
      </c>
      <c r="K3656" s="444">
        <f t="shared" ca="1" si="171"/>
        <v>-418616997.52697074</v>
      </c>
      <c r="L3656" s="444">
        <f t="shared" ca="1" si="172"/>
        <v>-100886696403.99995</v>
      </c>
      <c r="M3656" s="460">
        <f t="shared" si="174"/>
        <v>0.05</v>
      </c>
      <c r="N3656" s="464">
        <f t="shared" si="175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73"/>
        <v>-100886696403.99995</v>
      </c>
      <c r="J3657" s="444">
        <f t="array" ref="J3657">IFERROR(INDEX('Retirement Calculator'!J:J,MATCH('Isaac 401k'!N3657,'Retirement Calculator'!A:A,0),0),0)</f>
        <v>0</v>
      </c>
      <c r="K3657" s="444">
        <f t="shared" ca="1" si="171"/>
        <v>-420361235.01666647</v>
      </c>
      <c r="L3657" s="444">
        <f t="shared" ca="1" si="172"/>
        <v>-101307057639.01662</v>
      </c>
      <c r="M3657" s="460">
        <f t="shared" si="174"/>
        <v>0.05</v>
      </c>
      <c r="N3657" s="464">
        <f t="shared" si="175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73"/>
        <v>-101307057639.01662</v>
      </c>
      <c r="J3658" s="444">
        <f t="array" ref="J3658">IFERROR(INDEX('Retirement Calculator'!J:J,MATCH('Isaac 401k'!N3658,'Retirement Calculator'!A:A,0),0),0)</f>
        <v>0</v>
      </c>
      <c r="K3658" s="444">
        <f t="shared" ca="1" si="171"/>
        <v>-422112740.16256922</v>
      </c>
      <c r="L3658" s="444">
        <f t="shared" ca="1" si="172"/>
        <v>-101729170379.17918</v>
      </c>
      <c r="M3658" s="460">
        <f t="shared" si="174"/>
        <v>0.05</v>
      </c>
      <c r="N3658" s="464">
        <f t="shared" si="175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73"/>
        <v>-101729170379.17918</v>
      </c>
      <c r="J3659" s="444">
        <f t="array" ref="J3659">IFERROR(INDEX('Retirement Calculator'!J:J,MATCH('Isaac 401k'!N3659,'Retirement Calculator'!A:A,0),0),0)</f>
        <v>0</v>
      </c>
      <c r="K3659" s="444">
        <f t="shared" ca="1" si="171"/>
        <v>-423871543.24657995</v>
      </c>
      <c r="L3659" s="444">
        <f t="shared" ca="1" si="172"/>
        <v>-102153041922.42577</v>
      </c>
      <c r="M3659" s="460">
        <f t="shared" si="174"/>
        <v>0.05</v>
      </c>
      <c r="N3659" s="464">
        <f t="shared" si="175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73"/>
        <v>-102153041922.42577</v>
      </c>
      <c r="J3660" s="444">
        <f t="array" ref="J3660">IFERROR(INDEX('Retirement Calculator'!J:J,MATCH('Isaac 401k'!N3660,'Retirement Calculator'!A:A,0),0),0)</f>
        <v>0</v>
      </c>
      <c r="K3660" s="444">
        <f t="shared" ca="1" si="171"/>
        <v>-425637674.67677402</v>
      </c>
      <c r="L3660" s="444">
        <f t="shared" ca="1" si="172"/>
        <v>-102578679597.10254</v>
      </c>
      <c r="M3660" s="460">
        <f t="shared" si="174"/>
        <v>0.05</v>
      </c>
      <c r="N3660" s="464">
        <f t="shared" si="175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73"/>
        <v>-102578679597.10254</v>
      </c>
      <c r="J3661" s="444">
        <f t="array" ref="J3661">IFERROR(INDEX('Retirement Calculator'!J:J,MATCH('Isaac 401k'!N3661,'Retirement Calculator'!A:A,0),0),0)</f>
        <v>0</v>
      </c>
      <c r="K3661" s="444">
        <f t="shared" ca="1" si="171"/>
        <v>-427411164.98792726</v>
      </c>
      <c r="L3661" s="444">
        <f t="shared" ca="1" si="172"/>
        <v>-103006090762.09047</v>
      </c>
      <c r="M3661" s="460">
        <f t="shared" si="174"/>
        <v>0.05</v>
      </c>
      <c r="N3661" s="464">
        <f t="shared" si="175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73"/>
        <v>-103006090762.09047</v>
      </c>
      <c r="J3662" s="444">
        <f t="array" ref="J3662">IFERROR(INDEX('Retirement Calculator'!J:J,MATCH('Isaac 401k'!N3662,'Retirement Calculator'!A:A,0),0),0)</f>
        <v>0</v>
      </c>
      <c r="K3662" s="444">
        <f t="shared" ca="1" si="171"/>
        <v>-429192044.84204364</v>
      </c>
      <c r="L3662" s="444">
        <f t="shared" ca="1" si="172"/>
        <v>-103435282806.93251</v>
      </c>
      <c r="M3662" s="460">
        <f t="shared" si="174"/>
        <v>0.05</v>
      </c>
      <c r="N3662" s="464">
        <f t="shared" si="175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73"/>
        <v>-103435282806.93251</v>
      </c>
      <c r="J3663" s="444">
        <f t="array" ref="J3663">IFERROR(INDEX('Retirement Calculator'!J:J,MATCH('Isaac 401k'!N3663,'Retirement Calculator'!A:A,0),0),0)</f>
        <v>0</v>
      </c>
      <c r="K3663" s="444">
        <f t="shared" ca="1" si="171"/>
        <v>-430980345.02888542</v>
      </c>
      <c r="L3663" s="444">
        <f t="shared" ca="1" si="172"/>
        <v>-103866263151.9614</v>
      </c>
      <c r="M3663" s="460">
        <f t="shared" si="174"/>
        <v>0.05</v>
      </c>
      <c r="N3663" s="464">
        <f t="shared" si="175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73"/>
        <v>-103866263151.9614</v>
      </c>
      <c r="J3664" s="444">
        <f t="array" ref="J3664">IFERROR(INDEX('Retirement Calculator'!J:J,MATCH('Isaac 401k'!N3664,'Retirement Calculator'!A:A,0),0),0)</f>
        <v>0</v>
      </c>
      <c r="K3664" s="444">
        <f t="shared" ca="1" si="171"/>
        <v>-432776096.46650583</v>
      </c>
      <c r="L3664" s="444">
        <f t="shared" ca="1" si="172"/>
        <v>-104299039248.4279</v>
      </c>
      <c r="M3664" s="460">
        <f t="shared" si="174"/>
        <v>0.05</v>
      </c>
      <c r="N3664" s="464">
        <f t="shared" si="175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73"/>
        <v>-104299039248.4279</v>
      </c>
      <c r="J3665" s="444">
        <f t="array" ref="J3665">IFERROR(INDEX('Retirement Calculator'!J:J,MATCH('Isaac 401k'!N3665,'Retirement Calculator'!A:A,0),0),0)</f>
        <v>0</v>
      </c>
      <c r="K3665" s="444">
        <f t="shared" ca="1" si="171"/>
        <v>-434579330.20178294</v>
      </c>
      <c r="L3665" s="444">
        <f t="shared" ca="1" si="172"/>
        <v>-104733618578.62968</v>
      </c>
      <c r="M3665" s="460">
        <f t="shared" si="174"/>
        <v>0.05</v>
      </c>
      <c r="N3665" s="464">
        <f t="shared" si="175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73"/>
        <v>-104733618578.62968</v>
      </c>
      <c r="J3666" s="444">
        <f t="array" ref="J3666">IFERROR(INDEX('Retirement Calculator'!J:J,MATCH('Isaac 401k'!N3666,'Retirement Calculator'!A:A,0),0),0)</f>
        <v>0</v>
      </c>
      <c r="K3666" s="444">
        <f t="shared" ca="1" si="171"/>
        <v>-436390077.41095704</v>
      </c>
      <c r="L3666" s="444">
        <f t="shared" ca="1" si="172"/>
        <v>-105170008656.04063</v>
      </c>
      <c r="M3666" s="460">
        <f t="shared" si="174"/>
        <v>0.05</v>
      </c>
      <c r="N3666" s="464">
        <f t="shared" si="175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73"/>
        <v>-105170008656.04063</v>
      </c>
      <c r="J3667" s="444">
        <f t="array" ref="J3667">IFERROR(INDEX('Retirement Calculator'!J:J,MATCH('Isaac 401k'!N3667,'Retirement Calculator'!A:A,0),0),0)</f>
        <v>0</v>
      </c>
      <c r="K3667" s="444">
        <f t="shared" ca="1" si="171"/>
        <v>-438208369.40016931</v>
      </c>
      <c r="L3667" s="444">
        <f t="shared" ca="1" si="172"/>
        <v>-105608217025.4408</v>
      </c>
      <c r="M3667" s="460">
        <f t="shared" si="174"/>
        <v>0.05</v>
      </c>
      <c r="N3667" s="464">
        <f t="shared" si="175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73"/>
        <v>-105608217025.4408</v>
      </c>
      <c r="J3668" s="444">
        <f t="array" ref="J3668">IFERROR(INDEX('Retirement Calculator'!J:J,MATCH('Isaac 401k'!N3668,'Retirement Calculator'!A:A,0),0),0)</f>
        <v>0</v>
      </c>
      <c r="K3668" s="444">
        <f t="shared" ca="1" si="171"/>
        <v>-440034237.60600328</v>
      </c>
      <c r="L3668" s="444">
        <f t="shared" ca="1" si="172"/>
        <v>-106048251263.0468</v>
      </c>
      <c r="M3668" s="460">
        <f t="shared" si="174"/>
        <v>0.05</v>
      </c>
      <c r="N3668" s="464">
        <f t="shared" si="175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73"/>
        <v>-106048251263.0468</v>
      </c>
      <c r="J3669" s="444">
        <f t="array" ref="J3669">IFERROR(INDEX('Retirement Calculator'!J:J,MATCH('Isaac 401k'!N3669,'Retirement Calculator'!A:A,0),0),0)</f>
        <v>0</v>
      </c>
      <c r="K3669" s="444">
        <f t="shared" ca="1" si="171"/>
        <v>-441867713.59602833</v>
      </c>
      <c r="L3669" s="444">
        <f t="shared" ca="1" si="172"/>
        <v>-106490118976.64282</v>
      </c>
      <c r="M3669" s="460">
        <f t="shared" si="174"/>
        <v>0.05</v>
      </c>
      <c r="N3669" s="464">
        <f t="shared" si="175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73"/>
        <v>-106490118976.64282</v>
      </c>
      <c r="J3670" s="444">
        <f t="array" ref="J3670">IFERROR(INDEX('Retirement Calculator'!J:J,MATCH('Isaac 401k'!N3670,'Retirement Calculator'!A:A,0),0),0)</f>
        <v>0</v>
      </c>
      <c r="K3670" s="444">
        <f t="shared" ca="1" si="171"/>
        <v>-443708829.06934506</v>
      </c>
      <c r="L3670" s="444">
        <f t="shared" ca="1" si="172"/>
        <v>-106933827805.71217</v>
      </c>
      <c r="M3670" s="460">
        <f t="shared" si="174"/>
        <v>0.05</v>
      </c>
      <c r="N3670" s="464">
        <f t="shared" si="175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73"/>
        <v>-106933827805.71217</v>
      </c>
      <c r="J3671" s="444">
        <f t="array" ref="J3671">IFERROR(INDEX('Retirement Calculator'!J:J,MATCH('Isaac 401k'!N3671,'Retirement Calculator'!A:A,0),0),0)</f>
        <v>0</v>
      </c>
      <c r="K3671" s="444">
        <f t="shared" ca="1" si="171"/>
        <v>-445557615.85713404</v>
      </c>
      <c r="L3671" s="444">
        <f t="shared" ca="1" si="172"/>
        <v>-107379385421.56931</v>
      </c>
      <c r="M3671" s="460">
        <f t="shared" si="174"/>
        <v>0.05</v>
      </c>
      <c r="N3671" s="464">
        <f t="shared" si="175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73"/>
        <v>-107379385421.56931</v>
      </c>
      <c r="J3672" s="444">
        <f t="array" ref="J3672">IFERROR(INDEX('Retirement Calculator'!J:J,MATCH('Isaac 401k'!N3672,'Retirement Calculator'!A:A,0),0),0)</f>
        <v>0</v>
      </c>
      <c r="K3672" s="444">
        <f t="shared" ca="1" si="171"/>
        <v>-447414105.92320544</v>
      </c>
      <c r="L3672" s="444">
        <f t="shared" ca="1" si="172"/>
        <v>-107826799527.49251</v>
      </c>
      <c r="M3672" s="460">
        <f t="shared" si="174"/>
        <v>0.05</v>
      </c>
      <c r="N3672" s="464">
        <f t="shared" si="175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73"/>
        <v>-107826799527.49251</v>
      </c>
      <c r="J3673" s="444">
        <f t="array" ref="J3673">IFERROR(INDEX('Retirement Calculator'!J:J,MATCH('Isaac 401k'!N3673,'Retirement Calculator'!A:A,0),0),0)</f>
        <v>0</v>
      </c>
      <c r="K3673" s="444">
        <f t="shared" ca="1" si="171"/>
        <v>-449278331.36455208</v>
      </c>
      <c r="L3673" s="444">
        <f t="shared" ca="1" si="172"/>
        <v>-108276077858.85706</v>
      </c>
      <c r="M3673" s="460">
        <f t="shared" si="174"/>
        <v>0.05</v>
      </c>
      <c r="N3673" s="464">
        <f t="shared" si="175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73"/>
        <v>-108276077858.85706</v>
      </c>
      <c r="J3674" s="444">
        <f t="array" ref="J3674">IFERROR(INDEX('Retirement Calculator'!J:J,MATCH('Isaac 401k'!N3674,'Retirement Calculator'!A:A,0),0),0)</f>
        <v>0</v>
      </c>
      <c r="K3674" s="444">
        <f t="shared" ca="1" si="171"/>
        <v>-451150324.41190434</v>
      </c>
      <c r="L3674" s="444">
        <f t="shared" ca="1" si="172"/>
        <v>-108727228183.26897</v>
      </c>
      <c r="M3674" s="460">
        <f t="shared" si="174"/>
        <v>0.05</v>
      </c>
      <c r="N3674" s="464">
        <f t="shared" si="175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73"/>
        <v>-108727228183.26897</v>
      </c>
      <c r="J3675" s="444">
        <f t="array" ref="J3675">IFERROR(INDEX('Retirement Calculator'!J:J,MATCH('Isaac 401k'!N3675,'Retirement Calculator'!A:A,0),0),0)</f>
        <v>0</v>
      </c>
      <c r="K3675" s="444">
        <f t="shared" ca="1" si="171"/>
        <v>-453030117.43028736</v>
      </c>
      <c r="L3675" s="444">
        <f t="shared" ca="1" si="172"/>
        <v>-109180258300.69925</v>
      </c>
      <c r="M3675" s="460">
        <f t="shared" si="174"/>
        <v>0.05</v>
      </c>
      <c r="N3675" s="464">
        <f t="shared" si="175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73"/>
        <v>-109180258300.69925</v>
      </c>
      <c r="J3676" s="444">
        <f t="array" ref="J3676">IFERROR(INDEX('Retirement Calculator'!J:J,MATCH('Isaac 401k'!N3676,'Retirement Calculator'!A:A,0),0),0)</f>
        <v>0</v>
      </c>
      <c r="K3676" s="444">
        <f t="shared" ca="1" si="171"/>
        <v>-454917742.91958022</v>
      </c>
      <c r="L3676" s="444">
        <f t="shared" ca="1" si="172"/>
        <v>-109635176043.61884</v>
      </c>
      <c r="M3676" s="460">
        <f t="shared" si="174"/>
        <v>0.05</v>
      </c>
      <c r="N3676" s="464">
        <f t="shared" si="175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73"/>
        <v>-109635176043.61884</v>
      </c>
      <c r="J3677" s="444">
        <f t="array" ref="J3677">IFERROR(INDEX('Retirement Calculator'!J:J,MATCH('Isaac 401k'!N3677,'Retirement Calculator'!A:A,0),0),0)</f>
        <v>0</v>
      </c>
      <c r="K3677" s="444">
        <f t="shared" ca="1" si="171"/>
        <v>-456813233.51507854</v>
      </c>
      <c r="L3677" s="444">
        <f t="shared" ca="1" si="172"/>
        <v>-110091989277.13391</v>
      </c>
      <c r="M3677" s="460">
        <f t="shared" si="174"/>
        <v>0.05</v>
      </c>
      <c r="N3677" s="464">
        <f t="shared" si="175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73"/>
        <v>-110091989277.13391</v>
      </c>
      <c r="J3678" s="444">
        <f t="array" ref="J3678">IFERROR(INDEX('Retirement Calculator'!J:J,MATCH('Isaac 401k'!N3678,'Retirement Calculator'!A:A,0),0),0)</f>
        <v>0</v>
      </c>
      <c r="K3678" s="444">
        <f t="shared" ca="1" si="171"/>
        <v>-458716621.98805797</v>
      </c>
      <c r="L3678" s="444">
        <f t="shared" ca="1" si="172"/>
        <v>-110550705899.12196</v>
      </c>
      <c r="M3678" s="460">
        <f t="shared" si="174"/>
        <v>0.05</v>
      </c>
      <c r="N3678" s="464">
        <f t="shared" si="175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73"/>
        <v>-110550705899.12196</v>
      </c>
      <c r="J3679" s="444">
        <f t="array" ref="J3679">IFERROR(INDEX('Retirement Calculator'!J:J,MATCH('Isaac 401k'!N3679,'Retirement Calculator'!A:A,0),0),0)</f>
        <v>0</v>
      </c>
      <c r="K3679" s="444">
        <f t="shared" ca="1" si="171"/>
        <v>-460627941.24634153</v>
      </c>
      <c r="L3679" s="444">
        <f t="shared" ca="1" si="172"/>
        <v>-111011333840.3683</v>
      </c>
      <c r="M3679" s="460">
        <f t="shared" si="174"/>
        <v>0.05</v>
      </c>
      <c r="N3679" s="464">
        <f t="shared" si="175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73"/>
        <v>-111011333840.3683</v>
      </c>
      <c r="J3680" s="444">
        <f t="array" ref="J3680">IFERROR(INDEX('Retirement Calculator'!J:J,MATCH('Isaac 401k'!N3680,'Retirement Calculator'!A:A,0),0),0)</f>
        <v>0</v>
      </c>
      <c r="K3680" s="444">
        <f t="shared" ca="1" si="171"/>
        <v>-462547224.33486795</v>
      </c>
      <c r="L3680" s="444">
        <f t="shared" ca="1" si="172"/>
        <v>-111473881064.70317</v>
      </c>
      <c r="M3680" s="460">
        <f t="shared" si="174"/>
        <v>0.05</v>
      </c>
      <c r="N3680" s="464">
        <f t="shared" si="175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73"/>
        <v>-111473881064.70317</v>
      </c>
      <c r="J3681" s="444">
        <f t="array" ref="J3681">IFERROR(INDEX('Retirement Calculator'!J:J,MATCH('Isaac 401k'!N3681,'Retirement Calculator'!A:A,0),0),0)</f>
        <v>0</v>
      </c>
      <c r="K3681" s="444">
        <f t="shared" ca="1" si="171"/>
        <v>-464474504.4362632</v>
      </c>
      <c r="L3681" s="444">
        <f t="shared" ca="1" si="172"/>
        <v>-111938355569.13943</v>
      </c>
      <c r="M3681" s="460">
        <f t="shared" si="174"/>
        <v>0.05</v>
      </c>
      <c r="N3681" s="464">
        <f t="shared" si="175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73"/>
        <v>-111938355569.13943</v>
      </c>
      <c r="J3682" s="444">
        <f t="array" ref="J3682">IFERROR(INDEX('Retirement Calculator'!J:J,MATCH('Isaac 401k'!N3682,'Retirement Calculator'!A:A,0),0),0)</f>
        <v>0</v>
      </c>
      <c r="K3682" s="444">
        <f t="shared" ca="1" si="171"/>
        <v>-466409814.8714143</v>
      </c>
      <c r="L3682" s="444">
        <f t="shared" ca="1" si="172"/>
        <v>-112404765384.01085</v>
      </c>
      <c r="M3682" s="460">
        <f t="shared" si="174"/>
        <v>0.05</v>
      </c>
      <c r="N3682" s="464">
        <f t="shared" si="175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73"/>
        <v>-112404765384.01085</v>
      </c>
      <c r="J3683" s="444">
        <f t="array" ref="J3683">IFERROR(INDEX('Retirement Calculator'!J:J,MATCH('Isaac 401k'!N3683,'Retirement Calculator'!A:A,0),0),0)</f>
        <v>0</v>
      </c>
      <c r="K3683" s="444">
        <f t="shared" ca="1" si="171"/>
        <v>-468353189.1000452</v>
      </c>
      <c r="L3683" s="444">
        <f t="shared" ca="1" si="172"/>
        <v>-112873118573.1109</v>
      </c>
      <c r="M3683" s="460">
        <f t="shared" si="174"/>
        <v>0.05</v>
      </c>
      <c r="N3683" s="464">
        <f t="shared" si="175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73"/>
        <v>-112873118573.1109</v>
      </c>
      <c r="J3684" s="444">
        <f t="array" ref="J3684">IFERROR(INDEX('Retirement Calculator'!J:J,MATCH('Isaac 401k'!N3684,'Retirement Calculator'!A:A,0),0),0)</f>
        <v>0</v>
      </c>
      <c r="K3684" s="444">
        <f t="shared" ca="1" si="171"/>
        <v>-470304660.72129542</v>
      </c>
      <c r="L3684" s="444">
        <f t="shared" ca="1" si="172"/>
        <v>-113343423233.8322</v>
      </c>
      <c r="M3684" s="460">
        <f t="shared" si="174"/>
        <v>0.05</v>
      </c>
      <c r="N3684" s="464">
        <f t="shared" si="175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73"/>
        <v>-113343423233.8322</v>
      </c>
      <c r="J3685" s="444">
        <f t="array" ref="J3685">IFERROR(INDEX('Retirement Calculator'!J:J,MATCH('Isaac 401k'!N3685,'Retirement Calculator'!A:A,0),0),0)</f>
        <v>0</v>
      </c>
      <c r="K3685" s="444">
        <f t="shared" ca="1" si="171"/>
        <v>-472264263.4743008</v>
      </c>
      <c r="L3685" s="444">
        <f t="shared" ca="1" si="172"/>
        <v>-113815687497.3065</v>
      </c>
      <c r="M3685" s="460">
        <f t="shared" si="174"/>
        <v>0.05</v>
      </c>
      <c r="N3685" s="464">
        <f t="shared" si="175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73"/>
        <v>-113815687497.3065</v>
      </c>
      <c r="J3686" s="444">
        <f t="array" ref="J3686">IFERROR(INDEX('Retirement Calculator'!J:J,MATCH('Isaac 401k'!N3686,'Retirement Calculator'!A:A,0),0),0)</f>
        <v>0</v>
      </c>
      <c r="K3686" s="444">
        <f t="shared" ca="1" si="171"/>
        <v>-474232031.23877716</v>
      </c>
      <c r="L3686" s="444">
        <f t="shared" ca="1" si="172"/>
        <v>-114289919528.54529</v>
      </c>
      <c r="M3686" s="460">
        <f t="shared" si="174"/>
        <v>0.05</v>
      </c>
      <c r="N3686" s="464">
        <f t="shared" si="175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73"/>
        <v>-114289919528.54529</v>
      </c>
      <c r="J3687" s="444">
        <f t="array" ref="J3687">IFERROR(INDEX('Retirement Calculator'!J:J,MATCH('Isaac 401k'!N3687,'Retirement Calculator'!A:A,0),0),0)</f>
        <v>0</v>
      </c>
      <c r="K3687" s="444">
        <f t="shared" ca="1" si="171"/>
        <v>-476207998.03560537</v>
      </c>
      <c r="L3687" s="444">
        <f t="shared" ca="1" si="172"/>
        <v>-114766127526.58089</v>
      </c>
      <c r="M3687" s="460">
        <f t="shared" si="174"/>
        <v>0.05</v>
      </c>
      <c r="N3687" s="464">
        <f t="shared" si="175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73"/>
        <v>-114766127526.58089</v>
      </c>
      <c r="J3688" s="444">
        <f t="array" ref="J3688">IFERROR(INDEX('Retirement Calculator'!J:J,MATCH('Isaac 401k'!N3688,'Retirement Calculator'!A:A,0),0),0)</f>
        <v>0</v>
      </c>
      <c r="K3688" s="444">
        <f t="shared" ca="1" si="171"/>
        <v>-478192198.02742034</v>
      </c>
      <c r="L3688" s="444">
        <f t="shared" ca="1" si="172"/>
        <v>-115244319724.60831</v>
      </c>
      <c r="M3688" s="460">
        <f t="shared" si="174"/>
        <v>0.05</v>
      </c>
      <c r="N3688" s="464">
        <f t="shared" si="175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73"/>
        <v>-115244319724.60831</v>
      </c>
      <c r="J3689" s="444">
        <f t="array" ref="J3689">IFERROR(INDEX('Retirement Calculator'!J:J,MATCH('Isaac 401k'!N3689,'Retirement Calculator'!A:A,0),0),0)</f>
        <v>0</v>
      </c>
      <c r="K3689" s="444">
        <f t="shared" ca="1" si="171"/>
        <v>-480184665.51920134</v>
      </c>
      <c r="L3689" s="444">
        <f t="shared" ca="1" si="172"/>
        <v>-115724504390.1275</v>
      </c>
      <c r="M3689" s="460">
        <f t="shared" si="174"/>
        <v>0.05</v>
      </c>
      <c r="N3689" s="464">
        <f t="shared" si="175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73"/>
        <v>-115724504390.1275</v>
      </c>
      <c r="J3690" s="444">
        <f t="array" ref="J3690">IFERROR(INDEX('Retirement Calculator'!J:J,MATCH('Isaac 401k'!N3690,'Retirement Calculator'!A:A,0),0),0)</f>
        <v>0</v>
      </c>
      <c r="K3690" s="444">
        <f t="shared" ca="1" si="171"/>
        <v>-482185434.95886457</v>
      </c>
      <c r="L3690" s="444">
        <f t="shared" ca="1" si="172"/>
        <v>-116206689825.08636</v>
      </c>
      <c r="M3690" s="460">
        <f t="shared" si="174"/>
        <v>0.05</v>
      </c>
      <c r="N3690" s="464">
        <f t="shared" si="175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73"/>
        <v>-116206689825.08636</v>
      </c>
      <c r="J3691" s="444">
        <f t="array" ref="J3691">IFERROR(INDEX('Retirement Calculator'!J:J,MATCH('Isaac 401k'!N3691,'Retirement Calculator'!A:A,0),0),0)</f>
        <v>0</v>
      </c>
      <c r="K3691" s="444">
        <f t="shared" ca="1" si="171"/>
        <v>-484194540.93785983</v>
      </c>
      <c r="L3691" s="444">
        <f t="shared" ca="1" si="172"/>
        <v>-116690884366.02423</v>
      </c>
      <c r="M3691" s="460">
        <f t="shared" si="174"/>
        <v>0.05</v>
      </c>
      <c r="N3691" s="464">
        <f t="shared" si="175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73"/>
        <v>-116690884366.02423</v>
      </c>
      <c r="J3692" s="444">
        <f t="array" ref="J3692">IFERROR(INDEX('Retirement Calculator'!J:J,MATCH('Isaac 401k'!N3692,'Retirement Calculator'!A:A,0),0),0)</f>
        <v>0</v>
      </c>
      <c r="K3692" s="444">
        <f t="shared" ca="1" si="171"/>
        <v>-486212018.19176763</v>
      </c>
      <c r="L3692" s="444">
        <f t="shared" ca="1" si="172"/>
        <v>-117177096384.216</v>
      </c>
      <c r="M3692" s="460">
        <f t="shared" si="174"/>
        <v>0.05</v>
      </c>
      <c r="N3692" s="464">
        <f t="shared" si="175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73"/>
        <v>-117177096384.216</v>
      </c>
      <c r="J3693" s="444">
        <f t="array" ref="J3693">IFERROR(INDEX('Retirement Calculator'!J:J,MATCH('Isaac 401k'!N3693,'Retirement Calculator'!A:A,0),0),0)</f>
        <v>0</v>
      </c>
      <c r="K3693" s="444">
        <f t="shared" ca="1" si="171"/>
        <v>-488237901.60089999</v>
      </c>
      <c r="L3693" s="444">
        <f t="shared" ca="1" si="172"/>
        <v>-117665334285.81691</v>
      </c>
      <c r="M3693" s="460">
        <f t="shared" si="174"/>
        <v>0.05</v>
      </c>
      <c r="N3693" s="464">
        <f t="shared" si="175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73"/>
        <v>-117665334285.81691</v>
      </c>
      <c r="J3694" s="444">
        <f t="array" ref="J3694">IFERROR(INDEX('Retirement Calculator'!J:J,MATCH('Isaac 401k'!N3694,'Retirement Calculator'!A:A,0),0),0)</f>
        <v>0</v>
      </c>
      <c r="K3694" s="444">
        <f t="shared" ca="1" si="171"/>
        <v>-490272226.19090378</v>
      </c>
      <c r="L3694" s="444">
        <f t="shared" ca="1" si="172"/>
        <v>-118155606512.00781</v>
      </c>
      <c r="M3694" s="460">
        <f t="shared" si="174"/>
        <v>0.05</v>
      </c>
      <c r="N3694" s="464">
        <f t="shared" si="175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73"/>
        <v>-118155606512.00781</v>
      </c>
      <c r="J3695" s="444">
        <f t="array" ref="J3695">IFERROR(INDEX('Retirement Calculator'!J:J,MATCH('Isaac 401k'!N3695,'Retirement Calculator'!A:A,0),0),0)</f>
        <v>0</v>
      </c>
      <c r="K3695" s="444">
        <f t="shared" ca="1" si="171"/>
        <v>-492315027.13336587</v>
      </c>
      <c r="L3695" s="444">
        <f t="shared" ca="1" si="172"/>
        <v>-118647921539.14117</v>
      </c>
      <c r="M3695" s="460">
        <f t="shared" si="174"/>
        <v>0.05</v>
      </c>
      <c r="N3695" s="464">
        <f t="shared" si="175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73"/>
        <v>-118647921539.14117</v>
      </c>
      <c r="J3696" s="444">
        <f t="array" ref="J3696">IFERROR(INDEX('Retirement Calculator'!J:J,MATCH('Isaac 401k'!N3696,'Retirement Calculator'!A:A,0),0),0)</f>
        <v>0</v>
      </c>
      <c r="K3696" s="444">
        <f t="shared" ca="1" si="171"/>
        <v>-494366339.74642158</v>
      </c>
      <c r="L3696" s="444">
        <f t="shared" ca="1" si="172"/>
        <v>-119142287878.88759</v>
      </c>
      <c r="M3696" s="460">
        <f t="shared" si="174"/>
        <v>0.05</v>
      </c>
      <c r="N3696" s="464">
        <f t="shared" si="175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73"/>
        <v>-119142287878.88759</v>
      </c>
      <c r="J3697" s="444">
        <f t="array" ref="J3697">IFERROR(INDEX('Retirement Calculator'!J:J,MATCH('Isaac 401k'!N3697,'Retirement Calculator'!A:A,0),0),0)</f>
        <v>0</v>
      </c>
      <c r="K3697" s="444">
        <f t="shared" ca="1" si="171"/>
        <v>-496426199.49536496</v>
      </c>
      <c r="L3697" s="444">
        <f t="shared" ca="1" si="172"/>
        <v>-119638714078.38295</v>
      </c>
      <c r="M3697" s="460">
        <f t="shared" si="174"/>
        <v>0.05</v>
      </c>
      <c r="N3697" s="464">
        <f t="shared" si="175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73"/>
        <v>-119638714078.38295</v>
      </c>
      <c r="J3698" s="444">
        <f t="array" ref="J3698">IFERROR(INDEX('Retirement Calculator'!J:J,MATCH('Isaac 401k'!N3698,'Retirement Calculator'!A:A,0),0),0)</f>
        <v>0</v>
      </c>
      <c r="K3698" s="444">
        <f t="shared" ca="1" si="171"/>
        <v>-498494641.99326235</v>
      </c>
      <c r="L3698" s="444">
        <f t="shared" ca="1" si="172"/>
        <v>-120137208720.37621</v>
      </c>
      <c r="M3698" s="460">
        <f t="shared" si="174"/>
        <v>0.05</v>
      </c>
      <c r="N3698" s="464">
        <f t="shared" si="175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73"/>
        <v>-120137208720.37621</v>
      </c>
      <c r="J3699" s="444">
        <f t="array" ref="J3699">IFERROR(INDEX('Retirement Calculator'!J:J,MATCH('Isaac 401k'!N3699,'Retirement Calculator'!A:A,0),0),0)</f>
        <v>0</v>
      </c>
      <c r="K3699" s="444">
        <f t="shared" ca="1" si="171"/>
        <v>-500571703.0015676</v>
      </c>
      <c r="L3699" s="444">
        <f t="shared" ca="1" si="172"/>
        <v>-120637780423.37778</v>
      </c>
      <c r="M3699" s="460">
        <f t="shared" si="174"/>
        <v>0.05</v>
      </c>
      <c r="N3699" s="464">
        <f t="shared" si="175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73"/>
        <v>-120637780423.37778</v>
      </c>
      <c r="J3700" s="444">
        <f t="array" ref="J3700">IFERROR(INDEX('Retirement Calculator'!J:J,MATCH('Isaac 401k'!N3700,'Retirement Calculator'!A:A,0),0),0)</f>
        <v>0</v>
      </c>
      <c r="K3700" s="444">
        <f t="shared" ca="1" si="171"/>
        <v>-502657418.43074077</v>
      </c>
      <c r="L3700" s="444">
        <f t="shared" ca="1" si="172"/>
        <v>-121140437841.80852</v>
      </c>
      <c r="M3700" s="460">
        <f t="shared" si="174"/>
        <v>0.05</v>
      </c>
      <c r="N3700" s="464">
        <f t="shared" si="175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73"/>
        <v>-121140437841.80852</v>
      </c>
      <c r="J3701" s="444">
        <f t="array" ref="J3701">IFERROR(INDEX('Retirement Calculator'!J:J,MATCH('Isaac 401k'!N3701,'Retirement Calculator'!A:A,0),0),0)</f>
        <v>0</v>
      </c>
      <c r="K3701" s="444">
        <f t="shared" ca="1" si="171"/>
        <v>-504751824.34086883</v>
      </c>
      <c r="L3701" s="444">
        <f t="shared" ca="1" si="172"/>
        <v>-121645189666.14938</v>
      </c>
      <c r="M3701" s="460">
        <f t="shared" si="174"/>
        <v>0.05</v>
      </c>
      <c r="N3701" s="464">
        <f t="shared" si="175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73"/>
        <v>-121645189666.14938</v>
      </c>
      <c r="J3702" s="444">
        <f t="array" ref="J3702">IFERROR(INDEX('Retirement Calculator'!J:J,MATCH('Isaac 401k'!N3702,'Retirement Calculator'!A:A,0),0),0)</f>
        <v>0</v>
      </c>
      <c r="K3702" s="444">
        <f t="shared" ca="1" si="171"/>
        <v>-506854956.94228911</v>
      </c>
      <c r="L3702" s="444">
        <f t="shared" ca="1" si="172"/>
        <v>-122152044623.09167</v>
      </c>
      <c r="M3702" s="460">
        <f t="shared" si="174"/>
        <v>0.05</v>
      </c>
      <c r="N3702" s="464">
        <f t="shared" si="175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73"/>
        <v>-122152044623.09167</v>
      </c>
      <c r="J3703" s="444">
        <f t="array" ref="J3703">IFERROR(INDEX('Retirement Calculator'!J:J,MATCH('Isaac 401k'!N3703,'Retirement Calculator'!A:A,0),0),0)</f>
        <v>0</v>
      </c>
      <c r="K3703" s="444">
        <f t="shared" ca="1" si="171"/>
        <v>-508966852.59621531</v>
      </c>
      <c r="L3703" s="444">
        <f t="shared" ca="1" si="172"/>
        <v>-122661011475.6879</v>
      </c>
      <c r="M3703" s="460">
        <f t="shared" si="174"/>
        <v>0.05</v>
      </c>
      <c r="N3703" s="464">
        <f t="shared" si="175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73"/>
        <v>-122661011475.6879</v>
      </c>
      <c r="J3704" s="444">
        <f t="array" ref="J3704">IFERROR(INDEX('Retirement Calculator'!J:J,MATCH('Isaac 401k'!N3704,'Retirement Calculator'!A:A,0),0),0)</f>
        <v>0</v>
      </c>
      <c r="K3704" s="444">
        <f t="shared" ca="1" si="171"/>
        <v>-511087547.81536627</v>
      </c>
      <c r="L3704" s="444">
        <f t="shared" ca="1" si="172"/>
        <v>-123172099023.50327</v>
      </c>
      <c r="M3704" s="460">
        <f t="shared" si="174"/>
        <v>0.05</v>
      </c>
      <c r="N3704" s="464">
        <f t="shared" si="175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73"/>
        <v>-123172099023.50327</v>
      </c>
      <c r="J3705" s="444">
        <f t="array" ref="J3705">IFERROR(INDEX('Retirement Calculator'!J:J,MATCH('Isaac 401k'!N3705,'Retirement Calculator'!A:A,0),0),0)</f>
        <v>0</v>
      </c>
      <c r="K3705" s="444">
        <f t="shared" ca="1" si="171"/>
        <v>-513217079.26459688</v>
      </c>
      <c r="L3705" s="444">
        <f t="shared" ca="1" si="172"/>
        <v>-123685316102.76787</v>
      </c>
      <c r="M3705" s="460">
        <f t="shared" si="174"/>
        <v>0.05</v>
      </c>
      <c r="N3705" s="464">
        <f t="shared" si="175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73"/>
        <v>-123685316102.76787</v>
      </c>
      <c r="J3706" s="444">
        <f t="array" ref="J3706">IFERROR(INDEX('Retirement Calculator'!J:J,MATCH('Isaac 401k'!N3706,'Retirement Calculator'!A:A,0),0),0)</f>
        <v>0</v>
      </c>
      <c r="K3706" s="444">
        <f t="shared" ca="1" si="171"/>
        <v>-515355483.76153272</v>
      </c>
      <c r="L3706" s="444">
        <f t="shared" ca="1" si="172"/>
        <v>-124200671586.5294</v>
      </c>
      <c r="M3706" s="460">
        <f t="shared" si="174"/>
        <v>0.05</v>
      </c>
      <c r="N3706" s="464">
        <f t="shared" si="175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73"/>
        <v>-124200671586.5294</v>
      </c>
      <c r="J3707" s="444">
        <f t="array" ref="J3707">IFERROR(INDEX('Retirement Calculator'!J:J,MATCH('Isaac 401k'!N3707,'Retirement Calculator'!A:A,0),0),0)</f>
        <v>0</v>
      </c>
      <c r="K3707" s="444">
        <f t="shared" ca="1" si="171"/>
        <v>-517502798.27720577</v>
      </c>
      <c r="L3707" s="444">
        <f t="shared" ca="1" si="172"/>
        <v>-124718174384.80661</v>
      </c>
      <c r="M3707" s="460">
        <f t="shared" si="174"/>
        <v>0.05</v>
      </c>
      <c r="N3707" s="464">
        <f t="shared" si="175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73"/>
        <v>-124718174384.80661</v>
      </c>
      <c r="J3708" s="444">
        <f t="array" ref="J3708">IFERROR(INDEX('Retirement Calculator'!J:J,MATCH('Isaac 401k'!N3708,'Retirement Calculator'!A:A,0),0),0)</f>
        <v>0</v>
      </c>
      <c r="K3708" s="444">
        <f t="shared" ca="1" si="171"/>
        <v>-519659059.9366942</v>
      </c>
      <c r="L3708" s="444">
        <f t="shared" ca="1" si="172"/>
        <v>-125237833444.7433</v>
      </c>
      <c r="M3708" s="460">
        <f t="shared" si="174"/>
        <v>0.05</v>
      </c>
      <c r="N3708" s="464">
        <f t="shared" si="175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73"/>
        <v>-125237833444.7433</v>
      </c>
      <c r="J3709" s="444">
        <f t="array" ref="J3709">IFERROR(INDEX('Retirement Calculator'!J:J,MATCH('Isaac 401k'!N3709,'Retirement Calculator'!A:A,0),0),0)</f>
        <v>0</v>
      </c>
      <c r="K3709" s="444">
        <f t="shared" ca="1" si="171"/>
        <v>-521824306.01976371</v>
      </c>
      <c r="L3709" s="444">
        <f t="shared" ca="1" si="172"/>
        <v>-125759657750.76306</v>
      </c>
      <c r="M3709" s="460">
        <f t="shared" si="174"/>
        <v>0.05</v>
      </c>
      <c r="N3709" s="464">
        <f t="shared" si="175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73"/>
        <v>-125759657750.76306</v>
      </c>
      <c r="J3710" s="444">
        <f t="array" ref="J3710">IFERROR(INDEX('Retirement Calculator'!J:J,MATCH('Isaac 401k'!N3710,'Retirement Calculator'!A:A,0),0),0)</f>
        <v>0</v>
      </c>
      <c r="K3710" s="444">
        <f t="shared" ca="1" si="171"/>
        <v>-523998573.96151274</v>
      </c>
      <c r="L3710" s="444">
        <f t="shared" ca="1" si="172"/>
        <v>-126283656324.72458</v>
      </c>
      <c r="M3710" s="460">
        <f t="shared" si="174"/>
        <v>0.05</v>
      </c>
      <c r="N3710" s="464">
        <f t="shared" si="175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73"/>
        <v>-126283656324.72458</v>
      </c>
      <c r="J3711" s="444">
        <f t="array" ref="J3711">IFERROR(INDEX('Retirement Calculator'!J:J,MATCH('Isaac 401k'!N3711,'Retirement Calculator'!A:A,0),0),0)</f>
        <v>0</v>
      </c>
      <c r="K3711" s="444">
        <f t="shared" ca="1" si="171"/>
        <v>-526181901.353019</v>
      </c>
      <c r="L3711" s="444">
        <f t="shared" ca="1" si="172"/>
        <v>-126809838226.07759</v>
      </c>
      <c r="M3711" s="460">
        <f t="shared" si="174"/>
        <v>0.05</v>
      </c>
      <c r="N3711" s="464">
        <f t="shared" si="175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73"/>
        <v>-126809838226.07759</v>
      </c>
      <c r="J3712" s="444">
        <f t="array" ref="J3712">IFERROR(INDEX('Retirement Calculator'!J:J,MATCH('Isaac 401k'!N3712,'Retirement Calculator'!A:A,0),0),0)</f>
        <v>0</v>
      </c>
      <c r="K3712" s="444">
        <f t="shared" ca="1" si="171"/>
        <v>-528374325.94198996</v>
      </c>
      <c r="L3712" s="444">
        <f t="shared" ca="1" si="172"/>
        <v>-127338212552.01958</v>
      </c>
      <c r="M3712" s="460">
        <f t="shared" si="174"/>
        <v>0.05</v>
      </c>
      <c r="N3712" s="464">
        <f t="shared" si="175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73"/>
        <v>-127338212552.01958</v>
      </c>
      <c r="J3713" s="444">
        <f t="array" ref="J3713">IFERROR(INDEX('Retirement Calculator'!J:J,MATCH('Isaac 401k'!N3713,'Retirement Calculator'!A:A,0),0),0)</f>
        <v>0</v>
      </c>
      <c r="K3713" s="444">
        <f t="shared" ca="1" si="171"/>
        <v>-530575885.6334148</v>
      </c>
      <c r="L3713" s="444">
        <f t="shared" ca="1" si="172"/>
        <v>-127868788437.65298</v>
      </c>
      <c r="M3713" s="460">
        <f t="shared" si="174"/>
        <v>0.05</v>
      </c>
      <c r="N3713" s="464">
        <f t="shared" si="175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73"/>
        <v>-127868788437.65298</v>
      </c>
      <c r="J3714" s="444">
        <f t="array" ref="J3714">IFERROR(INDEX('Retirement Calculator'!J:J,MATCH('Isaac 401k'!N3714,'Retirement Calculator'!A:A,0),0),0)</f>
        <v>0</v>
      </c>
      <c r="K3714" s="444">
        <f t="shared" ca="1" si="171"/>
        <v>-532786618.49022079</v>
      </c>
      <c r="L3714" s="444">
        <f t="shared" ca="1" si="172"/>
        <v>-128401575056.1432</v>
      </c>
      <c r="M3714" s="460">
        <f t="shared" si="174"/>
        <v>0.05</v>
      </c>
      <c r="N3714" s="464">
        <f t="shared" si="175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73"/>
        <v>-128401575056.1432</v>
      </c>
      <c r="J3715" s="444">
        <f t="array" ref="J3715">IFERROR(INDEX('Retirement Calculator'!J:J,MATCH('Isaac 401k'!N3715,'Retirement Calculator'!A:A,0),0),0)</f>
        <v>0</v>
      </c>
      <c r="K3715" s="444">
        <f t="shared" ca="1" si="171"/>
        <v>-535006562.73392999</v>
      </c>
      <c r="L3715" s="444">
        <f t="shared" ca="1" si="172"/>
        <v>-128936581618.87714</v>
      </c>
      <c r="M3715" s="460">
        <f t="shared" si="174"/>
        <v>0.05</v>
      </c>
      <c r="N3715" s="464">
        <f t="shared" si="175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73"/>
        <v>-128936581618.87714</v>
      </c>
      <c r="J3716" s="444">
        <f t="array" ref="J3716">IFERROR(INDEX('Retirement Calculator'!J:J,MATCH('Isaac 401k'!N3716,'Retirement Calculator'!A:A,0),0),0)</f>
        <v>0</v>
      </c>
      <c r="K3716" s="444">
        <f t="shared" ca="1" si="171"/>
        <v>-537235756.74532139</v>
      </c>
      <c r="L3716" s="444">
        <f t="shared" ca="1" si="172"/>
        <v>-129473817375.62245</v>
      </c>
      <c r="M3716" s="460">
        <f t="shared" si="174"/>
        <v>0.05</v>
      </c>
      <c r="N3716" s="464">
        <f t="shared" si="175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73"/>
        <v>-129473817375.62245</v>
      </c>
      <c r="J3717" s="444">
        <f t="array" ref="J3717">IFERROR(INDEX('Retirement Calculator'!J:J,MATCH('Isaac 401k'!N3717,'Retirement Calculator'!A:A,0),0),0)</f>
        <v>0</v>
      </c>
      <c r="K3717" s="444">
        <f t="shared" ca="1" si="171"/>
        <v>-539474239.06509364</v>
      </c>
      <c r="L3717" s="444">
        <f t="shared" ca="1" si="172"/>
        <v>-130013291614.68755</v>
      </c>
      <c r="M3717" s="460">
        <f t="shared" si="174"/>
        <v>0.05</v>
      </c>
      <c r="N3717" s="464">
        <f t="shared" si="175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73"/>
        <v>-130013291614.68755</v>
      </c>
      <c r="J3718" s="444">
        <f t="array" ref="J3718">IFERROR(INDEX('Retirement Calculator'!J:J,MATCH('Isaac 401k'!N3718,'Retirement Calculator'!A:A,0),0),0)</f>
        <v>0</v>
      </c>
      <c r="K3718" s="444">
        <f t="shared" ca="1" si="171"/>
        <v>-541722048.39453149</v>
      </c>
      <c r="L3718" s="444">
        <f t="shared" ca="1" si="172"/>
        <v>-130555013663.08208</v>
      </c>
      <c r="M3718" s="460">
        <f t="shared" si="174"/>
        <v>0.05</v>
      </c>
      <c r="N3718" s="464">
        <f t="shared" si="175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73"/>
        <v>-130555013663.08208</v>
      </c>
      <c r="J3719" s="444">
        <f t="array" ref="J3719">IFERROR(INDEX('Retirement Calculator'!J:J,MATCH('Isaac 401k'!N3719,'Retirement Calculator'!A:A,0),0),0)</f>
        <v>0</v>
      </c>
      <c r="K3719" s="444">
        <f t="shared" ca="1" si="171"/>
        <v>-543979223.59617519</v>
      </c>
      <c r="L3719" s="444">
        <f t="shared" ca="1" si="172"/>
        <v>-131098992886.67825</v>
      </c>
      <c r="M3719" s="460">
        <f t="shared" si="174"/>
        <v>0.05</v>
      </c>
      <c r="N3719" s="464">
        <f t="shared" si="175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73"/>
        <v>-131098992886.67825</v>
      </c>
      <c r="J3720" s="444">
        <f t="array" ref="J3720">IFERROR(INDEX('Retirement Calculator'!J:J,MATCH('Isaac 401k'!N3720,'Retirement Calculator'!A:A,0),0),0)</f>
        <v>0</v>
      </c>
      <c r="K3720" s="444">
        <f t="shared" ca="1" si="171"/>
        <v>-546245803.6944927</v>
      </c>
      <c r="L3720" s="444">
        <f t="shared" ca="1" si="172"/>
        <v>-131645238690.37274</v>
      </c>
      <c r="M3720" s="460">
        <f t="shared" si="174"/>
        <v>0.05</v>
      </c>
      <c r="N3720" s="464">
        <f t="shared" si="175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73"/>
        <v>-131645238690.37274</v>
      </c>
      <c r="J3721" s="444">
        <f t="array" ref="J3721">IFERROR(INDEX('Retirement Calculator'!J:J,MATCH('Isaac 401k'!N3721,'Retirement Calculator'!A:A,0),0),0)</f>
        <v>0</v>
      </c>
      <c r="K3721" s="444">
        <f t="shared" ca="1" si="171"/>
        <v>-548521827.87655306</v>
      </c>
      <c r="L3721" s="444">
        <f t="shared" ca="1" si="172"/>
        <v>-132193760518.2493</v>
      </c>
      <c r="M3721" s="460">
        <f t="shared" si="174"/>
        <v>0.05</v>
      </c>
      <c r="N3721" s="464">
        <f t="shared" si="175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73"/>
        <v>-132193760518.2493</v>
      </c>
      <c r="J3722" s="444">
        <f t="array" ref="J3722">IFERROR(INDEX('Retirement Calculator'!J:J,MATCH('Isaac 401k'!N3722,'Retirement Calculator'!A:A,0),0),0)</f>
        <v>0</v>
      </c>
      <c r="K3722" s="444">
        <f t="shared" ca="1" si="171"/>
        <v>-550807335.49270546</v>
      </c>
      <c r="L3722" s="444">
        <f t="shared" ca="1" si="172"/>
        <v>-132744567853.742</v>
      </c>
      <c r="M3722" s="460">
        <f t="shared" si="174"/>
        <v>0.05</v>
      </c>
      <c r="N3722" s="464">
        <f t="shared" si="175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73"/>
        <v>-132744567853.742</v>
      </c>
      <c r="J3723" s="444">
        <f t="array" ref="J3723">IFERROR(INDEX('Retirement Calculator'!J:J,MATCH('Isaac 401k'!N3723,'Retirement Calculator'!A:A,0),0),0)</f>
        <v>0</v>
      </c>
      <c r="K3723" s="444">
        <f t="shared" ca="1" si="171"/>
        <v>-553102366.05725837</v>
      </c>
      <c r="L3723" s="444">
        <f t="shared" ca="1" si="172"/>
        <v>-133297670219.79926</v>
      </c>
      <c r="M3723" s="460">
        <f t="shared" si="174"/>
        <v>0.05</v>
      </c>
      <c r="N3723" s="464">
        <f t="shared" si="175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73"/>
        <v>-133297670219.79926</v>
      </c>
      <c r="J3724" s="444">
        <f t="array" ref="J3724">IFERROR(INDEX('Retirement Calculator'!J:J,MATCH('Isaac 401k'!N3724,'Retirement Calculator'!A:A,0),0),0)</f>
        <v>0</v>
      </c>
      <c r="K3724" s="444">
        <f t="shared" ca="1" si="171"/>
        <v>-555406959.24916351</v>
      </c>
      <c r="L3724" s="444">
        <f t="shared" ca="1" si="172"/>
        <v>-133853077179.04842</v>
      </c>
      <c r="M3724" s="460">
        <f t="shared" si="174"/>
        <v>0.05</v>
      </c>
      <c r="N3724" s="464">
        <f t="shared" si="175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73"/>
        <v>-133853077179.04842</v>
      </c>
      <c r="J3725" s="444">
        <f t="array" ref="J3725">IFERROR(INDEX('Retirement Calculator'!J:J,MATCH('Isaac 401k'!N3725,'Retirement Calculator'!A:A,0),0),0)</f>
        <v>0</v>
      </c>
      <c r="K3725" s="444">
        <f t="shared" ca="1" si="171"/>
        <v>-557721154.91270173</v>
      </c>
      <c r="L3725" s="444">
        <f t="shared" ca="1" si="172"/>
        <v>-134410798333.96112</v>
      </c>
      <c r="M3725" s="460">
        <f t="shared" si="174"/>
        <v>0.05</v>
      </c>
      <c r="N3725" s="464">
        <f t="shared" si="175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73"/>
        <v>-134410798333.96112</v>
      </c>
      <c r="J3726" s="444">
        <f t="array" ref="J3726">IFERROR(INDEX('Retirement Calculator'!J:J,MATCH('Isaac 401k'!N3726,'Retirement Calculator'!A:A,0),0),0)</f>
        <v>0</v>
      </c>
      <c r="K3726" s="444">
        <f t="shared" ca="1" si="171"/>
        <v>-560044993.05817127</v>
      </c>
      <c r="L3726" s="444">
        <f t="shared" ca="1" si="172"/>
        <v>-134970843327.01929</v>
      </c>
      <c r="M3726" s="460">
        <f t="shared" si="174"/>
        <v>0.05</v>
      </c>
      <c r="N3726" s="464">
        <f t="shared" si="175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73"/>
        <v>-134970843327.01929</v>
      </c>
      <c r="J3727" s="444">
        <f t="array" ref="J3727">IFERROR(INDEX('Retirement Calculator'!J:J,MATCH('Isaac 401k'!N3727,'Retirement Calculator'!A:A,0),0),0)</f>
        <v>0</v>
      </c>
      <c r="K3727" s="444">
        <f t="shared" ca="1" si="171"/>
        <v>-562378513.8625803</v>
      </c>
      <c r="L3727" s="444">
        <f t="shared" ca="1" si="172"/>
        <v>-135533221840.88187</v>
      </c>
      <c r="M3727" s="460">
        <f t="shared" si="174"/>
        <v>0.05</v>
      </c>
      <c r="N3727" s="464">
        <f t="shared" si="175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73"/>
        <v>-135533221840.88187</v>
      </c>
      <c r="J3728" s="444">
        <f t="array" ref="J3728">IFERROR(INDEX('Retirement Calculator'!J:J,MATCH('Isaac 401k'!N3728,'Retirement Calculator'!A:A,0),0),0)</f>
        <v>0</v>
      </c>
      <c r="K3728" s="444">
        <f t="shared" ca="1" si="171"/>
        <v>-564721757.67034113</v>
      </c>
      <c r="L3728" s="444">
        <f t="shared" ca="1" si="172"/>
        <v>-136097943598.5522</v>
      </c>
      <c r="M3728" s="460">
        <f t="shared" si="174"/>
        <v>0.05</v>
      </c>
      <c r="N3728" s="464">
        <f t="shared" si="175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73"/>
        <v>-136097943598.5522</v>
      </c>
      <c r="J3729" s="444">
        <f t="array" ref="J3729">IFERROR(INDEX('Retirement Calculator'!J:J,MATCH('Isaac 401k'!N3729,'Retirement Calculator'!A:A,0),0),0)</f>
        <v>0</v>
      </c>
      <c r="K3729" s="444">
        <f t="shared" ca="1" si="171"/>
        <v>-567074764.99396753</v>
      </c>
      <c r="L3729" s="444">
        <f t="shared" ca="1" si="172"/>
        <v>-136665018363.54617</v>
      </c>
      <c r="M3729" s="460">
        <f t="shared" si="174"/>
        <v>0.05</v>
      </c>
      <c r="N3729" s="464">
        <f t="shared" si="175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73"/>
        <v>-136665018363.54617</v>
      </c>
      <c r="J3730" s="444">
        <f t="array" ref="J3730">IFERROR(INDEX('Retirement Calculator'!J:J,MATCH('Isaac 401k'!N3730,'Retirement Calculator'!A:A,0),0),0)</f>
        <v>0</v>
      </c>
      <c r="K3730" s="444">
        <f t="shared" ca="1" si="171"/>
        <v>-569437576.51477575</v>
      </c>
      <c r="L3730" s="444">
        <f t="shared" ca="1" si="172"/>
        <v>-137234455940.06094</v>
      </c>
      <c r="M3730" s="460">
        <f t="shared" si="174"/>
        <v>0.05</v>
      </c>
      <c r="N3730" s="464">
        <f t="shared" si="175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73"/>
        <v>-137234455940.06094</v>
      </c>
      <c r="J3731" s="444">
        <f t="array" ref="J3731">IFERROR(INDEX('Retirement Calculator'!J:J,MATCH('Isaac 401k'!N3731,'Retirement Calculator'!A:A,0),0),0)</f>
        <v>0</v>
      </c>
      <c r="K3731" s="444">
        <f t="shared" ca="1" si="171"/>
        <v>-571810233.08358729</v>
      </c>
      <c r="L3731" s="444">
        <f t="shared" ca="1" si="172"/>
        <v>-137806266173.14453</v>
      </c>
      <c r="M3731" s="460">
        <f t="shared" si="174"/>
        <v>0.05</v>
      </c>
      <c r="N3731" s="464">
        <f t="shared" si="175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73"/>
        <v>-137806266173.14453</v>
      </c>
      <c r="J3732" s="444">
        <f t="array" ref="J3732">IFERROR(INDEX('Retirement Calculator'!J:J,MATCH('Isaac 401k'!N3732,'Retirement Calculator'!A:A,0),0),0)</f>
        <v>0</v>
      </c>
      <c r="K3732" s="444">
        <f t="shared" ca="1" si="171"/>
        <v>-574192775.72143555</v>
      </c>
      <c r="L3732" s="444">
        <f t="shared" ca="1" si="172"/>
        <v>-138380458948.86597</v>
      </c>
      <c r="M3732" s="460">
        <f t="shared" si="174"/>
        <v>0.05</v>
      </c>
      <c r="N3732" s="464">
        <f t="shared" si="175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73"/>
        <v>-138380458948.86597</v>
      </c>
      <c r="J3733" s="444">
        <f t="array" ref="J3733">IFERROR(INDEX('Retirement Calculator'!J:J,MATCH('Isaac 401k'!N3733,'Retirement Calculator'!A:A,0),0),0)</f>
        <v>0</v>
      </c>
      <c r="K3733" s="444">
        <f t="shared" ca="1" si="171"/>
        <v>-576585245.6202749</v>
      </c>
      <c r="L3733" s="444">
        <f t="shared" ca="1" si="172"/>
        <v>-138957044194.48624</v>
      </c>
      <c r="M3733" s="460">
        <f t="shared" si="174"/>
        <v>0.05</v>
      </c>
      <c r="N3733" s="464">
        <f t="shared" si="175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73"/>
        <v>-138957044194.48624</v>
      </c>
      <c r="J3734" s="444">
        <f t="array" ref="J3734">IFERROR(INDEX('Retirement Calculator'!J:J,MATCH('Isaac 401k'!N3734,'Retirement Calculator'!A:A,0),0),0)</f>
        <v>0</v>
      </c>
      <c r="K3734" s="444">
        <f t="shared" ca="1" si="171"/>
        <v>-578987684.14369261</v>
      </c>
      <c r="L3734" s="444">
        <f t="shared" ca="1" si="172"/>
        <v>-139536031878.62994</v>
      </c>
      <c r="M3734" s="460">
        <f t="shared" si="174"/>
        <v>0.05</v>
      </c>
      <c r="N3734" s="464">
        <f t="shared" si="175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73"/>
        <v>-139536031878.62994</v>
      </c>
      <c r="J3735" s="444">
        <f t="array" ref="J3735">IFERROR(INDEX('Retirement Calculator'!J:J,MATCH('Isaac 401k'!N3735,'Retirement Calculator'!A:A,0),0),0)</f>
        <v>0</v>
      </c>
      <c r="K3735" s="444">
        <f t="shared" ca="1" si="171"/>
        <v>-581400132.8276248</v>
      </c>
      <c r="L3735" s="444">
        <f t="shared" ca="1" si="172"/>
        <v>-140117432011.45758</v>
      </c>
      <c r="M3735" s="460">
        <f t="shared" si="174"/>
        <v>0.05</v>
      </c>
      <c r="N3735" s="464">
        <f t="shared" si="175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73"/>
        <v>-140117432011.45758</v>
      </c>
      <c r="J3736" s="444">
        <f t="array" ref="J3736">IFERROR(INDEX('Retirement Calculator'!J:J,MATCH('Isaac 401k'!N3736,'Retirement Calculator'!A:A,0),0),0)</f>
        <v>0</v>
      </c>
      <c r="K3736" s="444">
        <f t="shared" ca="1" si="171"/>
        <v>-583822633.38107324</v>
      </c>
      <c r="L3736" s="444">
        <f t="shared" ca="1" si="172"/>
        <v>-140701254644.83865</v>
      </c>
      <c r="M3736" s="460">
        <f t="shared" si="174"/>
        <v>0.05</v>
      </c>
      <c r="N3736" s="464">
        <f t="shared" si="175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73"/>
        <v>-140701254644.83865</v>
      </c>
      <c r="J3737" s="444">
        <f t="array" ref="J3737">IFERROR(INDEX('Retirement Calculator'!J:J,MATCH('Isaac 401k'!N3737,'Retirement Calculator'!A:A,0),0),0)</f>
        <v>0</v>
      </c>
      <c r="K3737" s="444">
        <f t="shared" ca="1" si="171"/>
        <v>-586255227.68682766</v>
      </c>
      <c r="L3737" s="444">
        <f t="shared" ca="1" si="172"/>
        <v>-141287509872.52548</v>
      </c>
      <c r="M3737" s="460">
        <f t="shared" si="174"/>
        <v>0.05</v>
      </c>
      <c r="N3737" s="464">
        <f t="shared" si="175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73"/>
        <v>-141287509872.52548</v>
      </c>
      <c r="J3738" s="444">
        <f t="array" ref="J3738">IFERROR(INDEX('Retirement Calculator'!J:J,MATCH('Isaac 401k'!N3738,'Retirement Calculator'!A:A,0),0),0)</f>
        <v>0</v>
      </c>
      <c r="K3738" s="444">
        <f t="shared" ca="1" si="171"/>
        <v>-588697957.80218947</v>
      </c>
      <c r="L3738" s="444">
        <f t="shared" ca="1" si="172"/>
        <v>-141876207830.32767</v>
      </c>
      <c r="M3738" s="460">
        <f t="shared" si="174"/>
        <v>0.05</v>
      </c>
      <c r="N3738" s="464">
        <f t="shared" si="175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73"/>
        <v>-141876207830.32767</v>
      </c>
      <c r="J3739" s="444">
        <f t="array" ref="J3739">IFERROR(INDEX('Retirement Calculator'!J:J,MATCH('Isaac 401k'!N3739,'Retirement Calculator'!A:A,0),0),0)</f>
        <v>0</v>
      </c>
      <c r="K3739" s="444">
        <f t="shared" ca="1" si="171"/>
        <v>-591150865.95969856</v>
      </c>
      <c r="L3739" s="444">
        <f t="shared" ca="1" si="172"/>
        <v>-142467358696.28735</v>
      </c>
      <c r="M3739" s="460">
        <f t="shared" si="174"/>
        <v>0.05</v>
      </c>
      <c r="N3739" s="464">
        <f t="shared" si="175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73"/>
        <v>-142467358696.28735</v>
      </c>
      <c r="J3740" s="444">
        <f t="array" ref="J3740">IFERROR(INDEX('Retirement Calculator'!J:J,MATCH('Isaac 401k'!N3740,'Retirement Calculator'!A:A,0),0),0)</f>
        <v>0</v>
      </c>
      <c r="K3740" s="444">
        <f t="shared" ca="1" si="171"/>
        <v>-593613994.56786394</v>
      </c>
      <c r="L3740" s="444">
        <f t="shared" ca="1" si="172"/>
        <v>-143060972690.85522</v>
      </c>
      <c r="M3740" s="460">
        <f t="shared" si="174"/>
        <v>0.05</v>
      </c>
      <c r="N3740" s="464">
        <f t="shared" si="175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73"/>
        <v>-143060972690.85522</v>
      </c>
      <c r="J3741" s="444">
        <f t="array" ref="J3741">IFERROR(INDEX('Retirement Calculator'!J:J,MATCH('Isaac 401k'!N3741,'Retirement Calculator'!A:A,0),0),0)</f>
        <v>0</v>
      </c>
      <c r="K3741" s="444">
        <f t="shared" ca="1" si="171"/>
        <v>-596087386.21189678</v>
      </c>
      <c r="L3741" s="444">
        <f t="shared" ca="1" si="172"/>
        <v>-143657060077.06711</v>
      </c>
      <c r="M3741" s="460">
        <f t="shared" si="174"/>
        <v>0.05</v>
      </c>
      <c r="N3741" s="464">
        <f t="shared" si="175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73"/>
        <v>-143657060077.06711</v>
      </c>
      <c r="J3742" s="444">
        <f t="array" ref="J3742">IFERROR(INDEX('Retirement Calculator'!J:J,MATCH('Isaac 401k'!N3742,'Retirement Calculator'!A:A,0),0),0)</f>
        <v>0</v>
      </c>
      <c r="K3742" s="444">
        <f t="shared" ca="1" si="171"/>
        <v>-598571083.65444624</v>
      </c>
      <c r="L3742" s="444">
        <f t="shared" ca="1" si="172"/>
        <v>-144255631160.72156</v>
      </c>
      <c r="M3742" s="460">
        <f t="shared" si="174"/>
        <v>0.05</v>
      </c>
      <c r="N3742" s="464">
        <f t="shared" si="175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73"/>
        <v>-144255631160.72156</v>
      </c>
      <c r="J3743" s="444">
        <f t="array" ref="J3743">IFERROR(INDEX('Retirement Calculator'!J:J,MATCH('Isaac 401k'!N3743,'Retirement Calculator'!A:A,0),0),0)</f>
        <v>0</v>
      </c>
      <c r="K3743" s="444">
        <f t="shared" ca="1" si="171"/>
        <v>-601065129.83633983</v>
      </c>
      <c r="L3743" s="444">
        <f t="shared" ca="1" si="172"/>
        <v>-144856696290.55789</v>
      </c>
      <c r="M3743" s="460">
        <f t="shared" si="174"/>
        <v>0.05</v>
      </c>
      <c r="N3743" s="464">
        <f t="shared" si="175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73"/>
        <v>-144856696290.55789</v>
      </c>
      <c r="J3744" s="444">
        <f t="array" ref="J3744">IFERROR(INDEX('Retirement Calculator'!J:J,MATCH('Isaac 401k'!N3744,'Retirement Calculator'!A:A,0),0),0)</f>
        <v>0</v>
      </c>
      <c r="K3744" s="444">
        <f t="shared" ca="1" si="171"/>
        <v>-603569567.87732458</v>
      </c>
      <c r="L3744" s="444">
        <f t="shared" ca="1" si="172"/>
        <v>-145460265858.43521</v>
      </c>
      <c r="M3744" s="460">
        <f t="shared" si="174"/>
        <v>0.05</v>
      </c>
      <c r="N3744" s="464">
        <f t="shared" si="175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73"/>
        <v>-145460265858.43521</v>
      </c>
      <c r="J3745" s="444">
        <f t="array" ref="J3745">IFERROR(INDEX('Retirement Calculator'!J:J,MATCH('Isaac 401k'!N3745,'Retirement Calculator'!A:A,0),0),0)</f>
        <v>0</v>
      </c>
      <c r="K3745" s="444">
        <f t="shared" ca="1" si="171"/>
        <v>-606084441.07681334</v>
      </c>
      <c r="L3745" s="444">
        <f t="shared" ca="1" si="172"/>
        <v>-146066350299.51202</v>
      </c>
      <c r="M3745" s="460">
        <f t="shared" si="174"/>
        <v>0.05</v>
      </c>
      <c r="N3745" s="464">
        <f t="shared" si="175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73"/>
        <v>-146066350299.51202</v>
      </c>
      <c r="J3746" s="444">
        <f t="array" ref="J3746">IFERROR(INDEX('Retirement Calculator'!J:J,MATCH('Isaac 401k'!N3746,'Retirement Calculator'!A:A,0),0),0)</f>
        <v>0</v>
      </c>
      <c r="K3746" s="444">
        <f t="shared" ca="1" si="171"/>
        <v>-608609792.91463339</v>
      </c>
      <c r="L3746" s="444">
        <f t="shared" ca="1" si="172"/>
        <v>-146674960092.42667</v>
      </c>
      <c r="M3746" s="460">
        <f t="shared" si="174"/>
        <v>0.05</v>
      </c>
      <c r="N3746" s="464">
        <f t="shared" si="175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73"/>
        <v>-146674960092.42667</v>
      </c>
      <c r="J3747" s="444">
        <f t="array" ref="J3747">IFERROR(INDEX('Retirement Calculator'!J:J,MATCH('Isaac 401k'!N3747,'Retirement Calculator'!A:A,0),0),0)</f>
        <v>0</v>
      </c>
      <c r="K3747" s="444">
        <f t="shared" ca="1" si="171"/>
        <v>-611145667.05177772</v>
      </c>
      <c r="L3747" s="444">
        <f t="shared" ca="1" si="172"/>
        <v>-147286105759.47845</v>
      </c>
      <c r="M3747" s="460">
        <f t="shared" si="174"/>
        <v>0.05</v>
      </c>
      <c r="N3747" s="464">
        <f t="shared" si="175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73"/>
        <v>-147286105759.47845</v>
      </c>
      <c r="J3748" s="444">
        <f t="array" ref="J3748">IFERROR(INDEX('Retirement Calculator'!J:J,MATCH('Isaac 401k'!N3748,'Retirement Calculator'!A:A,0),0),0)</f>
        <v>0</v>
      </c>
      <c r="K3748" s="444">
        <f t="shared" ca="1" si="171"/>
        <v>-613692107.33116019</v>
      </c>
      <c r="L3748" s="444">
        <f t="shared" ca="1" si="172"/>
        <v>-147899797866.8096</v>
      </c>
      <c r="M3748" s="460">
        <f t="shared" si="174"/>
        <v>0.05</v>
      </c>
      <c r="N3748" s="464">
        <f t="shared" si="175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73"/>
        <v>-147899797866.8096</v>
      </c>
      <c r="J3749" s="444">
        <f t="array" ref="J3749">IFERROR(INDEX('Retirement Calculator'!J:J,MATCH('Isaac 401k'!N3749,'Retirement Calculator'!A:A,0),0),0)</f>
        <v>0</v>
      </c>
      <c r="K3749" s="444">
        <f t="shared" ca="1" si="171"/>
        <v>-616249157.77837336</v>
      </c>
      <c r="L3749" s="444">
        <f t="shared" ca="1" si="172"/>
        <v>-148516047024.58798</v>
      </c>
      <c r="M3749" s="460">
        <f t="shared" si="174"/>
        <v>0.05</v>
      </c>
      <c r="N3749" s="464">
        <f t="shared" si="175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73"/>
        <v>-148516047024.58798</v>
      </c>
      <c r="J3750" s="444">
        <f t="array" ref="J3750">IFERROR(INDEX('Retirement Calculator'!J:J,MATCH('Isaac 401k'!N3750,'Retirement Calculator'!A:A,0),0),0)</f>
        <v>0</v>
      </c>
      <c r="K3750" s="444">
        <f t="shared" ca="1" si="171"/>
        <v>-618816862.60244989</v>
      </c>
      <c r="L3750" s="444">
        <f t="shared" ca="1" si="172"/>
        <v>-149134863887.19043</v>
      </c>
      <c r="M3750" s="460">
        <f t="shared" si="174"/>
        <v>0.05</v>
      </c>
      <c r="N3750" s="464">
        <f t="shared" si="175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73"/>
        <v>-149134863887.19043</v>
      </c>
      <c r="J3751" s="444">
        <f t="array" ref="J3751">IFERROR(INDEX('Retirement Calculator'!J:J,MATCH('Isaac 401k'!N3751,'Retirement Calculator'!A:A,0),0),0)</f>
        <v>0</v>
      </c>
      <c r="K3751" s="444">
        <f t="shared" ca="1" si="171"/>
        <v>-621395266.19662678</v>
      </c>
      <c r="L3751" s="444">
        <f t="shared" ca="1" si="172"/>
        <v>-149756259153.38705</v>
      </c>
      <c r="M3751" s="460">
        <f t="shared" si="174"/>
        <v>0.05</v>
      </c>
      <c r="N3751" s="464">
        <f t="shared" si="175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73"/>
        <v>-149756259153.38705</v>
      </c>
      <c r="J3752" s="444">
        <f t="array" ref="J3752">IFERROR(INDEX('Retirement Calculator'!J:J,MATCH('Isaac 401k'!N3752,'Retirement Calculator'!A:A,0),0),0)</f>
        <v>0</v>
      </c>
      <c r="K3752" s="444">
        <f t="shared" ca="1" si="171"/>
        <v>-623984413.13911271</v>
      </c>
      <c r="L3752" s="444">
        <f t="shared" ca="1" si="172"/>
        <v>-150380243566.52615</v>
      </c>
      <c r="M3752" s="460">
        <f t="shared" si="174"/>
        <v>0.05</v>
      </c>
      <c r="N3752" s="464">
        <f t="shared" si="175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73"/>
        <v>-150380243566.52615</v>
      </c>
      <c r="J3753" s="444">
        <f t="array" ref="J3753">IFERROR(INDEX('Retirement Calculator'!J:J,MATCH('Isaac 401k'!N3753,'Retirement Calculator'!A:A,0),0),0)</f>
        <v>0</v>
      </c>
      <c r="K3753" s="444">
        <f t="shared" ca="1" si="171"/>
        <v>-626584348.19385898</v>
      </c>
      <c r="L3753" s="444">
        <f t="shared" ca="1" si="172"/>
        <v>-151006827914.72</v>
      </c>
      <c r="M3753" s="460">
        <f t="shared" si="174"/>
        <v>0.05</v>
      </c>
      <c r="N3753" s="464">
        <f t="shared" si="175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73"/>
        <v>-151006827914.72</v>
      </c>
      <c r="J3754" s="444">
        <f t="array" ref="J3754">IFERROR(INDEX('Retirement Calculator'!J:J,MATCH('Isaac 401k'!N3754,'Retirement Calculator'!A:A,0),0),0)</f>
        <v>0</v>
      </c>
      <c r="K3754" s="444">
        <f t="shared" ca="1" si="171"/>
        <v>-629195116.3113333</v>
      </c>
      <c r="L3754" s="444">
        <f t="shared" ca="1" si="172"/>
        <v>-151636023031.03134</v>
      </c>
      <c r="M3754" s="460">
        <f t="shared" si="174"/>
        <v>0.05</v>
      </c>
      <c r="N3754" s="464">
        <f t="shared" si="175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73"/>
        <v>-151636023031.03134</v>
      </c>
      <c r="J3755" s="444">
        <f t="array" ref="J3755">IFERROR(INDEX('Retirement Calculator'!J:J,MATCH('Isaac 401k'!N3755,'Retirement Calculator'!A:A,0),0),0)</f>
        <v>0</v>
      </c>
      <c r="K3755" s="444">
        <f t="shared" ca="1" si="171"/>
        <v>-631816762.62929726</v>
      </c>
      <c r="L3755" s="444">
        <f t="shared" ca="1" si="172"/>
        <v>-152267839793.66064</v>
      </c>
      <c r="M3755" s="460">
        <f t="shared" si="174"/>
        <v>0.05</v>
      </c>
      <c r="N3755" s="464">
        <f t="shared" si="175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73"/>
        <v>-152267839793.66064</v>
      </c>
      <c r="J3756" s="444">
        <f t="array" ref="J3756">IFERROR(INDEX('Retirement Calculator'!J:J,MATCH('Isaac 401k'!N3756,'Retirement Calculator'!A:A,0),0),0)</f>
        <v>0</v>
      </c>
      <c r="K3756" s="444">
        <f t="shared" ca="1" si="171"/>
        <v>-634449332.47358596</v>
      </c>
      <c r="L3756" s="444">
        <f t="shared" ca="1" si="172"/>
        <v>-152902289126.13422</v>
      </c>
      <c r="M3756" s="460">
        <f t="shared" si="174"/>
        <v>0.05</v>
      </c>
      <c r="N3756" s="464">
        <f t="shared" si="175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73"/>
        <v>-152902289126.13422</v>
      </c>
      <c r="J3757" s="444">
        <f t="array" ref="J3757">IFERROR(INDEX('Retirement Calculator'!J:J,MATCH('Isaac 401k'!N3757,'Retirement Calculator'!A:A,0),0),0)</f>
        <v>0</v>
      </c>
      <c r="K3757" s="444">
        <f t="shared" ca="1" si="171"/>
        <v>-637092871.35889256</v>
      </c>
      <c r="L3757" s="444">
        <f t="shared" ca="1" si="172"/>
        <v>-153539381997.4931</v>
      </c>
      <c r="M3757" s="460">
        <f t="shared" si="174"/>
        <v>0.05</v>
      </c>
      <c r="N3757" s="464">
        <f t="shared" si="175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73"/>
        <v>-153539381997.4931</v>
      </c>
      <c r="J3758" s="444">
        <f t="array" ref="J3758">IFERROR(INDEX('Retirement Calculator'!J:J,MATCH('Isaac 401k'!N3758,'Retirement Calculator'!A:A,0),0),0)</f>
        <v>0</v>
      </c>
      <c r="K3758" s="444">
        <f t="shared" ca="1" si="171"/>
        <v>-639747424.98955464</v>
      </c>
      <c r="L3758" s="444">
        <f t="shared" ca="1" si="172"/>
        <v>-154179129422.48267</v>
      </c>
      <c r="M3758" s="460">
        <f t="shared" si="174"/>
        <v>0.05</v>
      </c>
      <c r="N3758" s="464">
        <f t="shared" si="175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73"/>
        <v>-154179129422.48267</v>
      </c>
      <c r="J3759" s="444">
        <f t="array" ref="J3759">IFERROR(INDEX('Retirement Calculator'!J:J,MATCH('Isaac 401k'!N3759,'Retirement Calculator'!A:A,0),0),0)</f>
        <v>0</v>
      </c>
      <c r="K3759" s="444">
        <f t="shared" ca="1" si="171"/>
        <v>-642413039.26034439</v>
      </c>
      <c r="L3759" s="444">
        <f t="shared" ca="1" si="172"/>
        <v>-154821542461.74301</v>
      </c>
      <c r="M3759" s="460">
        <f t="shared" si="174"/>
        <v>0.05</v>
      </c>
      <c r="N3759" s="464">
        <f t="shared" si="175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73"/>
        <v>-154821542461.74301</v>
      </c>
      <c r="J3760" s="444">
        <f t="array" ref="J3760">IFERROR(INDEX('Retirement Calculator'!J:J,MATCH('Isaac 401k'!N3760,'Retirement Calculator'!A:A,0),0),0)</f>
        <v>0</v>
      </c>
      <c r="K3760" s="444">
        <f t="shared" ca="1" si="171"/>
        <v>-645089760.25726259</v>
      </c>
      <c r="L3760" s="444">
        <f t="shared" ca="1" si="172"/>
        <v>-155466632222.00027</v>
      </c>
      <c r="M3760" s="460">
        <f t="shared" si="174"/>
        <v>0.05</v>
      </c>
      <c r="N3760" s="464">
        <f t="shared" si="175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73"/>
        <v>-155466632222.00027</v>
      </c>
      <c r="J3761" s="444">
        <f t="array" ref="J3761">IFERROR(INDEX('Retirement Calculator'!J:J,MATCH('Isaac 401k'!N3761,'Retirement Calculator'!A:A,0),0),0)</f>
        <v>0</v>
      </c>
      <c r="K3761" s="444">
        <f t="shared" ca="1" si="171"/>
        <v>-647777634.25833452</v>
      </c>
      <c r="L3761" s="444">
        <f t="shared" ca="1" si="172"/>
        <v>-156114409856.25861</v>
      </c>
      <c r="M3761" s="460">
        <f t="shared" si="174"/>
        <v>0.05</v>
      </c>
      <c r="N3761" s="464">
        <f t="shared" si="175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73"/>
        <v>-156114409856.25861</v>
      </c>
      <c r="J3762" s="444">
        <f t="array" ref="J3762">IFERROR(INDEX('Retirement Calculator'!J:J,MATCH('Isaac 401k'!N3762,'Retirement Calculator'!A:A,0),0),0)</f>
        <v>0</v>
      </c>
      <c r="K3762" s="444">
        <f t="shared" ca="1" si="171"/>
        <v>-650476707.73441088</v>
      </c>
      <c r="L3762" s="444">
        <f t="shared" ca="1" si="172"/>
        <v>-156764886563.99301</v>
      </c>
      <c r="M3762" s="460">
        <f t="shared" si="174"/>
        <v>0.05</v>
      </c>
      <c r="N3762" s="464">
        <f t="shared" si="175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73"/>
        <v>-156764886563.99301</v>
      </c>
      <c r="J3763" s="444">
        <f t="array" ref="J3763">IFERROR(INDEX('Retirement Calculator'!J:J,MATCH('Isaac 401k'!N3763,'Retirement Calculator'!A:A,0),0),0)</f>
        <v>0</v>
      </c>
      <c r="K3763" s="444">
        <f t="shared" ca="1" si="171"/>
        <v>-653187027.34997082</v>
      </c>
      <c r="L3763" s="444">
        <f t="shared" ca="1" si="172"/>
        <v>-157418073591.34299</v>
      </c>
      <c r="M3763" s="460">
        <f t="shared" si="174"/>
        <v>0.05</v>
      </c>
      <c r="N3763" s="464">
        <f t="shared" si="175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73"/>
        <v>-157418073591.34299</v>
      </c>
      <c r="J3764" s="444">
        <f t="array" ref="J3764">IFERROR(INDEX('Retirement Calculator'!J:J,MATCH('Isaac 401k'!N3764,'Retirement Calculator'!A:A,0),0),0)</f>
        <v>0</v>
      </c>
      <c r="K3764" s="444">
        <f t="shared" ca="1" si="171"/>
        <v>-655908639.96392906</v>
      </c>
      <c r="L3764" s="444">
        <f t="shared" ca="1" si="172"/>
        <v>-158073982231.30692</v>
      </c>
      <c r="M3764" s="460">
        <f t="shared" si="174"/>
        <v>0.05</v>
      </c>
      <c r="N3764" s="464">
        <f t="shared" si="175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73"/>
        <v>-158073982231.30692</v>
      </c>
      <c r="J3765" s="444">
        <f t="array" ref="J3765">IFERROR(INDEX('Retirement Calculator'!J:J,MATCH('Isaac 401k'!N3765,'Retirement Calculator'!A:A,0),0),0)</f>
        <v>0</v>
      </c>
      <c r="K3765" s="444">
        <f t="shared" ca="1" si="171"/>
        <v>-658641592.63044548</v>
      </c>
      <c r="L3765" s="444">
        <f t="shared" ca="1" si="172"/>
        <v>-158732623823.93735</v>
      </c>
      <c r="M3765" s="460">
        <f t="shared" si="174"/>
        <v>0.05</v>
      </c>
      <c r="N3765" s="464">
        <f t="shared" si="175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73"/>
        <v>-158732623823.93735</v>
      </c>
      <c r="J3766" s="444">
        <f t="array" ref="J3766">IFERROR(INDEX('Retirement Calculator'!J:J,MATCH('Isaac 401k'!N3766,'Retirement Calculator'!A:A,0),0),0)</f>
        <v>0</v>
      </c>
      <c r="K3766" s="444">
        <f t="shared" ca="1" si="171"/>
        <v>-661385932.59973896</v>
      </c>
      <c r="L3766" s="444">
        <f t="shared" ca="1" si="172"/>
        <v>-159394009756.53708</v>
      </c>
      <c r="M3766" s="460">
        <f t="shared" si="174"/>
        <v>0.05</v>
      </c>
      <c r="N3766" s="464">
        <f t="shared" si="175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73"/>
        <v>-159394009756.53708</v>
      </c>
      <c r="J3767" s="444">
        <f t="array" ref="J3767">IFERROR(INDEX('Retirement Calculator'!J:J,MATCH('Isaac 401k'!N3767,'Retirement Calculator'!A:A,0),0),0)</f>
        <v>0</v>
      </c>
      <c r="K3767" s="444">
        <f t="shared" ca="1" si="171"/>
        <v>-664141707.31890452</v>
      </c>
      <c r="L3767" s="444">
        <f t="shared" ca="1" si="172"/>
        <v>-160058151463.85599</v>
      </c>
      <c r="M3767" s="460">
        <f t="shared" si="174"/>
        <v>0.05</v>
      </c>
      <c r="N3767" s="464">
        <f t="shared" si="175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73"/>
        <v>-160058151463.85599</v>
      </c>
      <c r="J3768" s="444">
        <f t="array" ref="J3768">IFERROR(INDEX('Retirement Calculator'!J:J,MATCH('Isaac 401k'!N3768,'Retirement Calculator'!A:A,0),0),0)</f>
        <v>0</v>
      </c>
      <c r="K3768" s="444">
        <f t="shared" ca="1" si="171"/>
        <v>-666908964.4327333</v>
      </c>
      <c r="L3768" s="444">
        <f t="shared" ca="1" si="172"/>
        <v>-160725060428.28873</v>
      </c>
      <c r="M3768" s="460">
        <f t="shared" si="174"/>
        <v>0.05</v>
      </c>
      <c r="N3768" s="464">
        <f t="shared" si="175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73"/>
        <v>-160725060428.28873</v>
      </c>
      <c r="J3769" s="444">
        <f t="array" ref="J3769">IFERROR(INDEX('Retirement Calculator'!J:J,MATCH('Isaac 401k'!N3769,'Retirement Calculator'!A:A,0),0),0)</f>
        <v>0</v>
      </c>
      <c r="K3769" s="444">
        <f t="shared" ca="1" si="171"/>
        <v>-669687751.78453636</v>
      </c>
      <c r="L3769" s="444">
        <f t="shared" ca="1" si="172"/>
        <v>-161394748180.07327</v>
      </c>
      <c r="M3769" s="460">
        <f t="shared" si="174"/>
        <v>0.05</v>
      </c>
      <c r="N3769" s="464">
        <f t="shared" si="175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73"/>
        <v>-161394748180.07327</v>
      </c>
      <c r="J3770" s="444">
        <f t="array" ref="J3770">IFERROR(INDEX('Retirement Calculator'!J:J,MATCH('Isaac 401k'!N3770,'Retirement Calculator'!A:A,0),0),0)</f>
        <v>0</v>
      </c>
      <c r="K3770" s="444">
        <f t="shared" ca="1" si="171"/>
        <v>-672478117.41697192</v>
      </c>
      <c r="L3770" s="444">
        <f t="shared" ca="1" si="172"/>
        <v>-162067226297.49023</v>
      </c>
      <c r="M3770" s="460">
        <f t="shared" si="174"/>
        <v>0.05</v>
      </c>
      <c r="N3770" s="464">
        <f t="shared" si="175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73"/>
        <v>-162067226297.49023</v>
      </c>
      <c r="J3771" s="444">
        <f t="array" ref="J3771">IFERROR(INDEX('Retirement Calculator'!J:J,MATCH('Isaac 401k'!N3771,'Retirement Calculator'!A:A,0),0),0)</f>
        <v>0</v>
      </c>
      <c r="K3771" s="444">
        <f t="shared" ca="1" si="171"/>
        <v>-675280109.57287598</v>
      </c>
      <c r="L3771" s="444">
        <f t="shared" ca="1" si="172"/>
        <v>-162742506407.06311</v>
      </c>
      <c r="M3771" s="460">
        <f t="shared" si="174"/>
        <v>0.05</v>
      </c>
      <c r="N3771" s="464">
        <f t="shared" si="175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73"/>
        <v>-162742506407.06311</v>
      </c>
      <c r="J3772" s="444">
        <f t="array" ref="J3772">IFERROR(INDEX('Retirement Calculator'!J:J,MATCH('Isaac 401k'!N3772,'Retirement Calculator'!A:A,0),0),0)</f>
        <v>0</v>
      </c>
      <c r="K3772" s="444">
        <f t="shared" ca="1" si="171"/>
        <v>-678093776.6960963</v>
      </c>
      <c r="L3772" s="444">
        <f t="shared" ca="1" si="172"/>
        <v>-163420600183.75922</v>
      </c>
      <c r="M3772" s="460">
        <f t="shared" si="174"/>
        <v>0.05</v>
      </c>
      <c r="N3772" s="464">
        <f t="shared" si="175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73"/>
        <v>-163420600183.75922</v>
      </c>
      <c r="J3773" s="444">
        <f t="array" ref="J3773">IFERROR(INDEX('Retirement Calculator'!J:J,MATCH('Isaac 401k'!N3773,'Retirement Calculator'!A:A,0),0),0)</f>
        <v>0</v>
      </c>
      <c r="K3773" s="444">
        <f t="shared" ca="1" si="171"/>
        <v>-680919167.43233001</v>
      </c>
      <c r="L3773" s="444">
        <f t="shared" ca="1" si="172"/>
        <v>-164101519351.19156</v>
      </c>
      <c r="M3773" s="460">
        <f t="shared" si="174"/>
        <v>0.05</v>
      </c>
      <c r="N3773" s="464">
        <f t="shared" si="175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73"/>
        <v>-164101519351.19156</v>
      </c>
      <c r="J3774" s="444">
        <f t="array" ref="J3774">IFERROR(INDEX('Retirement Calculator'!J:J,MATCH('Isaac 401k'!N3774,'Retirement Calculator'!A:A,0),0),0)</f>
        <v>0</v>
      </c>
      <c r="K3774" s="444">
        <f t="shared" ca="1" si="171"/>
        <v>-683756330.62996483</v>
      </c>
      <c r="L3774" s="444">
        <f t="shared" ca="1" si="172"/>
        <v>-164785275681.82153</v>
      </c>
      <c r="M3774" s="460">
        <f t="shared" si="174"/>
        <v>0.05</v>
      </c>
      <c r="N3774" s="464">
        <f t="shared" si="175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73"/>
        <v>-164785275681.82153</v>
      </c>
      <c r="J3775" s="444">
        <f t="array" ref="J3775">IFERROR(INDEX('Retirement Calculator'!J:J,MATCH('Isaac 401k'!N3775,'Retirement Calculator'!A:A,0),0),0)</f>
        <v>0</v>
      </c>
      <c r="K3775" s="444">
        <f t="shared" ca="1" si="171"/>
        <v>-686605315.34092307</v>
      </c>
      <c r="L3775" s="444">
        <f t="shared" ca="1" si="172"/>
        <v>-165471880997.16245</v>
      </c>
      <c r="M3775" s="460">
        <f t="shared" si="174"/>
        <v>0.05</v>
      </c>
      <c r="N3775" s="464">
        <f t="shared" si="175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73"/>
        <v>-165471880997.16245</v>
      </c>
      <c r="J3776" s="444">
        <f t="array" ref="J3776">IFERROR(INDEX('Retirement Calculator'!J:J,MATCH('Isaac 401k'!N3776,'Retirement Calculator'!A:A,0),0),0)</f>
        <v>0</v>
      </c>
      <c r="K3776" s="444">
        <f t="shared" ca="1" si="171"/>
        <v>-689466170.8215102</v>
      </c>
      <c r="L3776" s="444">
        <f t="shared" ca="1" si="172"/>
        <v>-166161347167.98395</v>
      </c>
      <c r="M3776" s="460">
        <f t="shared" si="174"/>
        <v>0.05</v>
      </c>
      <c r="N3776" s="464">
        <f t="shared" si="175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73"/>
        <v>-166161347167.98395</v>
      </c>
      <c r="J3777" s="444">
        <f t="array" ref="J3777">IFERROR(INDEX('Retirement Calculator'!J:J,MATCH('Isaac 401k'!N3777,'Retirement Calculator'!A:A,0),0),0)</f>
        <v>0</v>
      </c>
      <c r="K3777" s="444">
        <f t="shared" ca="1" si="171"/>
        <v>-692338946.53326643</v>
      </c>
      <c r="L3777" s="444">
        <f t="shared" ca="1" si="172"/>
        <v>-166853686114.51721</v>
      </c>
      <c r="M3777" s="460">
        <f t="shared" si="174"/>
        <v>0.05</v>
      </c>
      <c r="N3777" s="464">
        <f t="shared" si="175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73"/>
        <v>-166853686114.51721</v>
      </c>
      <c r="J3778" s="444">
        <f t="array" ref="J3778">IFERROR(INDEX('Retirement Calculator'!J:J,MATCH('Isaac 401k'!N3778,'Retirement Calculator'!A:A,0),0),0)</f>
        <v>0</v>
      </c>
      <c r="K3778" s="444">
        <f t="shared" ca="1" si="171"/>
        <v>-695223692.14382172</v>
      </c>
      <c r="L3778" s="444">
        <f t="shared" ca="1" si="172"/>
        <v>-167548909806.66104</v>
      </c>
      <c r="M3778" s="460">
        <f t="shared" si="174"/>
        <v>0.05</v>
      </c>
      <c r="N3778" s="464">
        <f t="shared" si="175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73"/>
        <v>-167548909806.66104</v>
      </c>
      <c r="J3779" s="444">
        <f t="array" ref="J3779">IFERROR(INDEX('Retirement Calculator'!J:J,MATCH('Isaac 401k'!N3779,'Retirement Calculator'!A:A,0),0),0)</f>
        <v>0</v>
      </c>
      <c r="K3779" s="444">
        <f t="shared" ca="1" si="171"/>
        <v>-698120457.52775431</v>
      </c>
      <c r="L3779" s="444">
        <f t="shared" ca="1" si="172"/>
        <v>-168247030264.18878</v>
      </c>
      <c r="M3779" s="460">
        <f t="shared" si="174"/>
        <v>0.05</v>
      </c>
      <c r="N3779" s="464">
        <f t="shared" si="175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73"/>
        <v>-168247030264.18878</v>
      </c>
      <c r="J3780" s="444">
        <f t="array" ref="J3780">IFERROR(INDEX('Retirement Calculator'!J:J,MATCH('Isaac 401k'!N3780,'Retirement Calculator'!A:A,0),0),0)</f>
        <v>0</v>
      </c>
      <c r="K3780" s="444">
        <f t="shared" ca="1" si="171"/>
        <v>-701029292.76745319</v>
      </c>
      <c r="L3780" s="444">
        <f t="shared" ca="1" si="172"/>
        <v>-168948059556.95624</v>
      </c>
      <c r="M3780" s="460">
        <f t="shared" si="174"/>
        <v>0.05</v>
      </c>
      <c r="N3780" s="464">
        <f t="shared" si="175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73"/>
        <v>-168948059556.95624</v>
      </c>
      <c r="J3781" s="444">
        <f t="array" ref="J3781">IFERROR(INDEX('Retirement Calculator'!J:J,MATCH('Isaac 401k'!N3781,'Retirement Calculator'!A:A,0),0),0)</f>
        <v>0</v>
      </c>
      <c r="K3781" s="444">
        <f t="shared" ca="1" si="171"/>
        <v>-703950248.15398431</v>
      </c>
      <c r="L3781" s="444">
        <f t="shared" ca="1" si="172"/>
        <v>-169652009805.11023</v>
      </c>
      <c r="M3781" s="460">
        <f t="shared" si="174"/>
        <v>0.05</v>
      </c>
      <c r="N3781" s="464">
        <f t="shared" si="175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73"/>
        <v>-169652009805.11023</v>
      </c>
      <c r="J3782" s="444">
        <f t="array" ref="J3782">IFERROR(INDEX('Retirement Calculator'!J:J,MATCH('Isaac 401k'!N3782,'Retirement Calculator'!A:A,0),0),0)</f>
        <v>0</v>
      </c>
      <c r="K3782" s="444">
        <f t="shared" ca="1" si="171"/>
        <v>-706883374.18795931</v>
      </c>
      <c r="L3782" s="444">
        <f t="shared" ca="1" si="172"/>
        <v>-170358893179.29819</v>
      </c>
      <c r="M3782" s="460">
        <f t="shared" si="174"/>
        <v>0.05</v>
      </c>
      <c r="N3782" s="464">
        <f t="shared" si="175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73"/>
        <v>-170358893179.29819</v>
      </c>
      <c r="J3783" s="444">
        <f t="array" ref="J3783">IFERROR(INDEX('Retirement Calculator'!J:J,MATCH('Isaac 401k'!N3783,'Retirement Calculator'!A:A,0),0),0)</f>
        <v>0</v>
      </c>
      <c r="K3783" s="444">
        <f t="shared" ca="1" si="171"/>
        <v>-709828721.58040905</v>
      </c>
      <c r="L3783" s="444">
        <f t="shared" ca="1" si="172"/>
        <v>-171068721900.8786</v>
      </c>
      <c r="M3783" s="460">
        <f t="shared" si="174"/>
        <v>0.05</v>
      </c>
      <c r="N3783" s="464">
        <f t="shared" si="175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73"/>
        <v>-171068721900.8786</v>
      </c>
      <c r="J3784" s="444">
        <f t="array" ref="J3784">IFERROR(INDEX('Retirement Calculator'!J:J,MATCH('Isaac 401k'!N3784,'Retirement Calculator'!A:A,0),0),0)</f>
        <v>0</v>
      </c>
      <c r="K3784" s="444">
        <f t="shared" ca="1" si="171"/>
        <v>-712786341.2536608</v>
      </c>
      <c r="L3784" s="444">
        <f t="shared" ca="1" si="172"/>
        <v>-171781508242.13226</v>
      </c>
      <c r="M3784" s="460">
        <f t="shared" si="174"/>
        <v>0.05</v>
      </c>
      <c r="N3784" s="464">
        <f t="shared" si="175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73"/>
        <v>-171781508242.13226</v>
      </c>
      <c r="J3785" s="444">
        <f t="array" ref="J3785">IFERROR(INDEX('Retirement Calculator'!J:J,MATCH('Isaac 401k'!N3785,'Retirement Calculator'!A:A,0),0),0)</f>
        <v>0</v>
      </c>
      <c r="K3785" s="444">
        <f t="shared" ca="1" si="171"/>
        <v>-715756284.3422178</v>
      </c>
      <c r="L3785" s="444">
        <f t="shared" ca="1" si="172"/>
        <v>-172497264526.47449</v>
      </c>
      <c r="M3785" s="460">
        <f t="shared" si="174"/>
        <v>0.05</v>
      </c>
      <c r="N3785" s="464">
        <f t="shared" si="175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73"/>
        <v>-172497264526.47449</v>
      </c>
      <c r="J3786" s="444">
        <f t="array" ref="J3786">IFERROR(INDEX('Retirement Calculator'!J:J,MATCH('Isaac 401k'!N3786,'Retirement Calculator'!A:A,0),0),0)</f>
        <v>0</v>
      </c>
      <c r="K3786" s="444">
        <f t="shared" ca="1" si="171"/>
        <v>-718738602.19364369</v>
      </c>
      <c r="L3786" s="444">
        <f t="shared" ca="1" si="172"/>
        <v>-173216003128.66812</v>
      </c>
      <c r="M3786" s="460">
        <f t="shared" si="174"/>
        <v>0.05</v>
      </c>
      <c r="N3786" s="464">
        <f t="shared" si="175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73"/>
        <v>-173216003128.66812</v>
      </c>
      <c r="J3787" s="444">
        <f t="array" ref="J3787">IFERROR(INDEX('Retirement Calculator'!J:J,MATCH('Isaac 401k'!N3787,'Retirement Calculator'!A:A,0),0),0)</f>
        <v>0</v>
      </c>
      <c r="K3787" s="444">
        <f t="shared" ca="1" si="171"/>
        <v>-721733346.36945045</v>
      </c>
      <c r="L3787" s="444">
        <f t="shared" ca="1" si="172"/>
        <v>-173937736475.03757</v>
      </c>
      <c r="M3787" s="460">
        <f t="shared" si="174"/>
        <v>0.05</v>
      </c>
      <c r="N3787" s="464">
        <f t="shared" si="175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73"/>
        <v>-173937736475.03757</v>
      </c>
      <c r="J3788" s="444">
        <f t="array" ref="J3788">IFERROR(INDEX('Retirement Calculator'!J:J,MATCH('Isaac 401k'!N3788,'Retirement Calculator'!A:A,0),0),0)</f>
        <v>0</v>
      </c>
      <c r="K3788" s="444">
        <f t="shared" ca="1" si="171"/>
        <v>-724740568.64598989</v>
      </c>
      <c r="L3788" s="444">
        <f t="shared" ca="1" si="172"/>
        <v>-174662477043.68356</v>
      </c>
      <c r="M3788" s="460">
        <f t="shared" si="174"/>
        <v>0.05</v>
      </c>
      <c r="N3788" s="464">
        <f t="shared" si="175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73"/>
        <v>-174662477043.68356</v>
      </c>
      <c r="J3789" s="444">
        <f t="array" ref="J3789">IFERROR(INDEX('Retirement Calculator'!J:J,MATCH('Isaac 401k'!N3789,'Retirement Calculator'!A:A,0),0),0)</f>
        <v>0</v>
      </c>
      <c r="K3789" s="444">
        <f t="shared" ca="1" si="171"/>
        <v>-727760321.0153482</v>
      </c>
      <c r="L3789" s="444">
        <f t="shared" ca="1" si="172"/>
        <v>-175390237364.69891</v>
      </c>
      <c r="M3789" s="460">
        <f t="shared" si="174"/>
        <v>0.05</v>
      </c>
      <c r="N3789" s="464">
        <f t="shared" si="175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73"/>
        <v>-175390237364.69891</v>
      </c>
      <c r="J3790" s="444">
        <f t="array" ref="J3790">IFERROR(INDEX('Retirement Calculator'!J:J,MATCH('Isaac 401k'!N3790,'Retirement Calculator'!A:A,0),0),0)</f>
        <v>0</v>
      </c>
      <c r="K3790" s="444">
        <f t="shared" ca="1" si="171"/>
        <v>-730792655.68624544</v>
      </c>
      <c r="L3790" s="444">
        <f t="shared" ca="1" si="172"/>
        <v>-176121030020.38516</v>
      </c>
      <c r="M3790" s="460">
        <f t="shared" si="174"/>
        <v>0.05</v>
      </c>
      <c r="N3790" s="464">
        <f t="shared" si="175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73"/>
        <v>-176121030020.38516</v>
      </c>
      <c r="J3791" s="444">
        <f t="array" ref="J3791">IFERROR(INDEX('Retirement Calculator'!J:J,MATCH('Isaac 401k'!N3791,'Retirement Calculator'!A:A,0),0),0)</f>
        <v>0</v>
      </c>
      <c r="K3791" s="444">
        <f t="shared" ca="1" si="171"/>
        <v>-733837625.08493817</v>
      </c>
      <c r="L3791" s="444">
        <f t="shared" ca="1" si="172"/>
        <v>-176854867645.47009</v>
      </c>
      <c r="M3791" s="460">
        <f t="shared" si="174"/>
        <v>0.05</v>
      </c>
      <c r="N3791" s="464">
        <f t="shared" si="175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73"/>
        <v>-176854867645.47009</v>
      </c>
      <c r="J3792" s="444">
        <f t="array" ref="J3792">IFERROR(INDEX('Retirement Calculator'!J:J,MATCH('Isaac 401k'!N3792,'Retirement Calculator'!A:A,0),0),0)</f>
        <v>0</v>
      </c>
      <c r="K3792" s="444">
        <f t="shared" ca="1" si="171"/>
        <v>-736895281.85612535</v>
      </c>
      <c r="L3792" s="444">
        <f t="shared" ca="1" si="172"/>
        <v>-177591762927.32623</v>
      </c>
      <c r="M3792" s="460">
        <f t="shared" si="174"/>
        <v>0.05</v>
      </c>
      <c r="N3792" s="464">
        <f t="shared" si="175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73"/>
        <v>-177591762927.32623</v>
      </c>
      <c r="J3793" s="444">
        <f t="array" ref="J3793">IFERROR(INDEX('Retirement Calculator'!J:J,MATCH('Isaac 401k'!N3793,'Retirement Calculator'!A:A,0),0),0)</f>
        <v>0</v>
      </c>
      <c r="K3793" s="444">
        <f t="shared" ca="1" si="171"/>
        <v>-739965678.8638593</v>
      </c>
      <c r="L3793" s="444">
        <f t="shared" ca="1" si="172"/>
        <v>-178331728606.19009</v>
      </c>
      <c r="M3793" s="460">
        <f t="shared" si="174"/>
        <v>0.05</v>
      </c>
      <c r="N3793" s="464">
        <f t="shared" si="175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73"/>
        <v>-178331728606.19009</v>
      </c>
      <c r="J3794" s="444">
        <f t="array" ref="J3794">IFERROR(INDEX('Retirement Calculator'!J:J,MATCH('Isaac 401k'!N3794,'Retirement Calculator'!A:A,0),0),0)</f>
        <v>0</v>
      </c>
      <c r="K3794" s="444">
        <f t="shared" ca="1" si="171"/>
        <v>-743048869.19245875</v>
      </c>
      <c r="L3794" s="444">
        <f t="shared" ca="1" si="172"/>
        <v>-179074777475.38254</v>
      </c>
      <c r="M3794" s="460">
        <f t="shared" si="174"/>
        <v>0.05</v>
      </c>
      <c r="N3794" s="464">
        <f t="shared" si="175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73"/>
        <v>-179074777475.38254</v>
      </c>
      <c r="J3795" s="444">
        <f t="array" ref="J3795">IFERROR(INDEX('Retirement Calculator'!J:J,MATCH('Isaac 401k'!N3795,'Retirement Calculator'!A:A,0),0),0)</f>
        <v>0</v>
      </c>
      <c r="K3795" s="444">
        <f t="shared" ca="1" si="171"/>
        <v>-746144906.1474272</v>
      </c>
      <c r="L3795" s="444">
        <f t="shared" ca="1" si="172"/>
        <v>-179820922381.52997</v>
      </c>
      <c r="M3795" s="460">
        <f t="shared" si="174"/>
        <v>0.05</v>
      </c>
      <c r="N3795" s="464">
        <f t="shared" si="175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73"/>
        <v>-179820922381.52997</v>
      </c>
      <c r="J3796" s="444">
        <f t="array" ref="J3796">IFERROR(INDEX('Retirement Calculator'!J:J,MATCH('Isaac 401k'!N3796,'Retirement Calculator'!A:A,0),0),0)</f>
        <v>0</v>
      </c>
      <c r="K3796" s="444">
        <f t="shared" ca="1" si="171"/>
        <v>-749253843.25637484</v>
      </c>
      <c r="L3796" s="444">
        <f t="shared" ca="1" si="172"/>
        <v>-180570176224.78635</v>
      </c>
      <c r="M3796" s="460">
        <f t="shared" si="174"/>
        <v>0.05</v>
      </c>
      <c r="N3796" s="464">
        <f t="shared" si="175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73"/>
        <v>-180570176224.78635</v>
      </c>
      <c r="J3797" s="444">
        <f t="array" ref="J3797">IFERROR(INDEX('Retirement Calculator'!J:J,MATCH('Isaac 401k'!N3797,'Retirement Calculator'!A:A,0),0),0)</f>
        <v>0</v>
      </c>
      <c r="K3797" s="444">
        <f t="shared" ca="1" si="171"/>
        <v>-752375734.26994312</v>
      </c>
      <c r="L3797" s="444">
        <f t="shared" ca="1" si="172"/>
        <v>-181322551959.05627</v>
      </c>
      <c r="M3797" s="460">
        <f t="shared" si="174"/>
        <v>0.05</v>
      </c>
      <c r="N3797" s="464">
        <f t="shared" si="175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73"/>
        <v>-181322551959.05627</v>
      </c>
      <c r="J3798" s="444">
        <f t="array" ref="J3798">IFERROR(INDEX('Retirement Calculator'!J:J,MATCH('Isaac 401k'!N3798,'Retirement Calculator'!A:A,0),0),0)</f>
        <v>0</v>
      </c>
      <c r="K3798" s="444">
        <f t="shared" ca="1" si="171"/>
        <v>-755510633.16273451</v>
      </c>
      <c r="L3798" s="444">
        <f t="shared" ca="1" si="172"/>
        <v>-182078062592.21899</v>
      </c>
      <c r="M3798" s="460">
        <f t="shared" si="174"/>
        <v>0.05</v>
      </c>
      <c r="N3798" s="464">
        <f t="shared" si="175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73"/>
        <v>-182078062592.21899</v>
      </c>
      <c r="J3799" s="444">
        <f t="array" ref="J3799">IFERROR(INDEX('Retirement Calculator'!J:J,MATCH('Isaac 401k'!N3799,'Retirement Calculator'!A:A,0),0),0)</f>
        <v>0</v>
      </c>
      <c r="K3799" s="444">
        <f t="shared" ca="1" si="171"/>
        <v>-758658594.13424575</v>
      </c>
      <c r="L3799" s="444">
        <f t="shared" ca="1" si="172"/>
        <v>-182836721186.35324</v>
      </c>
      <c r="M3799" s="460">
        <f t="shared" si="174"/>
        <v>0.05</v>
      </c>
      <c r="N3799" s="464">
        <f t="shared" si="175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73"/>
        <v>-182836721186.35324</v>
      </c>
      <c r="J3800" s="444">
        <f t="array" ref="J3800">IFERROR(INDEX('Retirement Calculator'!J:J,MATCH('Isaac 401k'!N3800,'Retirement Calculator'!A:A,0),0),0)</f>
        <v>0</v>
      </c>
      <c r="K3800" s="444">
        <f t="shared" ca="1" si="171"/>
        <v>-761819671.60980511</v>
      </c>
      <c r="L3800" s="444">
        <f t="shared" ca="1" si="172"/>
        <v>-183598540857.96304</v>
      </c>
      <c r="M3800" s="460">
        <f t="shared" si="174"/>
        <v>0.05</v>
      </c>
      <c r="N3800" s="464">
        <f t="shared" si="175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73"/>
        <v>-183598540857.96304</v>
      </c>
      <c r="J3801" s="444">
        <f t="array" ref="J3801">IFERROR(INDEX('Retirement Calculator'!J:J,MATCH('Isaac 401k'!N3801,'Retirement Calculator'!A:A,0),0),0)</f>
        <v>0</v>
      </c>
      <c r="K3801" s="444">
        <f t="shared" ca="1" si="171"/>
        <v>-764993920.24151266</v>
      </c>
      <c r="L3801" s="444">
        <f t="shared" ca="1" si="172"/>
        <v>-184363534778.20456</v>
      </c>
      <c r="M3801" s="460">
        <f t="shared" si="174"/>
        <v>0.05</v>
      </c>
      <c r="N3801" s="464">
        <f t="shared" si="175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73"/>
        <v>-184363534778.20456</v>
      </c>
      <c r="J3802" s="444">
        <f t="array" ref="J3802">IFERROR(INDEX('Retirement Calculator'!J:J,MATCH('Isaac 401k'!N3802,'Retirement Calculator'!A:A,0),0),0)</f>
        <v>0</v>
      </c>
      <c r="K3802" s="444">
        <f t="shared" ca="1" si="171"/>
        <v>-768181394.90918565</v>
      </c>
      <c r="L3802" s="444">
        <f t="shared" ca="1" si="172"/>
        <v>-185131716173.11374</v>
      </c>
      <c r="M3802" s="460">
        <f t="shared" si="174"/>
        <v>0.05</v>
      </c>
      <c r="N3802" s="464">
        <f t="shared" si="175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73"/>
        <v>-185131716173.11374</v>
      </c>
      <c r="J3803" s="444">
        <f t="array" ref="J3803">IFERROR(INDEX('Retirement Calculator'!J:J,MATCH('Isaac 401k'!N3803,'Retirement Calculator'!A:A,0),0),0)</f>
        <v>0</v>
      </c>
      <c r="K3803" s="444">
        <f t="shared" ca="1" si="171"/>
        <v>-771382150.72130728</v>
      </c>
      <c r="L3803" s="444">
        <f t="shared" ca="1" si="172"/>
        <v>-185903098323.83505</v>
      </c>
      <c r="M3803" s="460">
        <f t="shared" si="174"/>
        <v>0.05</v>
      </c>
      <c r="N3803" s="464">
        <f t="shared" si="175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73"/>
        <v>-185903098323.83505</v>
      </c>
      <c r="J3804" s="444">
        <f t="array" ref="J3804">IFERROR(INDEX('Retirement Calculator'!J:J,MATCH('Isaac 401k'!N3804,'Retirement Calculator'!A:A,0),0),0)</f>
        <v>0</v>
      </c>
      <c r="K3804" s="444">
        <f t="shared" ca="1" si="171"/>
        <v>-774596243.01597941</v>
      </c>
      <c r="L3804" s="444">
        <f t="shared" ca="1" si="172"/>
        <v>-186677694566.85104</v>
      </c>
      <c r="M3804" s="460">
        <f t="shared" si="174"/>
        <v>0.05</v>
      </c>
      <c r="N3804" s="464">
        <f t="shared" si="175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73"/>
        <v>-186677694566.85104</v>
      </c>
      <c r="J3805" s="444">
        <f t="array" ref="J3805">IFERROR(INDEX('Retirement Calculator'!J:J,MATCH('Isaac 401k'!N3805,'Retirement Calculator'!A:A,0),0),0)</f>
        <v>0</v>
      </c>
      <c r="K3805" s="444">
        <f t="shared" ca="1" si="171"/>
        <v>-777823727.36187935</v>
      </c>
      <c r="L3805" s="444">
        <f t="shared" ca="1" si="172"/>
        <v>-187455518294.21292</v>
      </c>
      <c r="M3805" s="460">
        <f t="shared" si="174"/>
        <v>0.05</v>
      </c>
      <c r="N3805" s="464">
        <f t="shared" si="175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73"/>
        <v>-187455518294.21292</v>
      </c>
      <c r="J3806" s="444">
        <f t="array" ref="J3806">IFERROR(INDEX('Retirement Calculator'!J:J,MATCH('Isaac 401k'!N3806,'Retirement Calculator'!A:A,0),0),0)</f>
        <v>0</v>
      </c>
      <c r="K3806" s="444">
        <f t="shared" ca="1" si="171"/>
        <v>-781064659.55922055</v>
      </c>
      <c r="L3806" s="444">
        <f t="shared" ca="1" si="172"/>
        <v>-188236582953.77216</v>
      </c>
      <c r="M3806" s="460">
        <f t="shared" si="174"/>
        <v>0.05</v>
      </c>
      <c r="N3806" s="464">
        <f t="shared" si="175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73"/>
        <v>-188236582953.77216</v>
      </c>
      <c r="J3807" s="444">
        <f t="array" ref="J3807">IFERROR(INDEX('Retirement Calculator'!J:J,MATCH('Isaac 401k'!N3807,'Retirement Calculator'!A:A,0),0),0)</f>
        <v>0</v>
      </c>
      <c r="K3807" s="444">
        <f t="shared" ca="1" si="171"/>
        <v>-784319095.64071727</v>
      </c>
      <c r="L3807" s="444">
        <f t="shared" ca="1" si="172"/>
        <v>-189020902049.41287</v>
      </c>
      <c r="M3807" s="460">
        <f t="shared" si="174"/>
        <v>0.05</v>
      </c>
      <c r="N3807" s="464">
        <f t="shared" si="175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73"/>
        <v>-189020902049.41287</v>
      </c>
      <c r="J3808" s="444">
        <f t="array" ref="J3808">IFERROR(INDEX('Retirement Calculator'!J:J,MATCH('Isaac 401k'!N3808,'Retirement Calculator'!A:A,0),0),0)</f>
        <v>0</v>
      </c>
      <c r="K3808" s="444">
        <f t="shared" ca="1" si="171"/>
        <v>-787587091.87255359</v>
      </c>
      <c r="L3808" s="444">
        <f t="shared" ca="1" si="172"/>
        <v>-189808489141.28543</v>
      </c>
      <c r="M3808" s="460">
        <f t="shared" si="174"/>
        <v>0.05</v>
      </c>
      <c r="N3808" s="464">
        <f t="shared" si="175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73"/>
        <v>-189808489141.28543</v>
      </c>
      <c r="J3809" s="444">
        <f t="array" ref="J3809">IFERROR(INDEX('Retirement Calculator'!J:J,MATCH('Isaac 401k'!N3809,'Retirement Calculator'!A:A,0),0),0)</f>
        <v>0</v>
      </c>
      <c r="K3809" s="444">
        <f t="shared" ca="1" si="171"/>
        <v>-790868704.75535595</v>
      </c>
      <c r="L3809" s="444">
        <f t="shared" ca="1" si="172"/>
        <v>-190599357846.0408</v>
      </c>
      <c r="M3809" s="460">
        <f t="shared" si="174"/>
        <v>0.05</v>
      </c>
      <c r="N3809" s="464">
        <f t="shared" si="175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73"/>
        <v>-190599357846.0408</v>
      </c>
      <c r="J3810" s="444">
        <f t="array" ref="J3810">IFERROR(INDEX('Retirement Calculator'!J:J,MATCH('Isaac 401k'!N3810,'Retirement Calculator'!A:A,0),0),0)</f>
        <v>0</v>
      </c>
      <c r="K3810" s="444">
        <f t="shared" ca="1" si="171"/>
        <v>-794163991.02516997</v>
      </c>
      <c r="L3810" s="444">
        <f t="shared" ca="1" si="172"/>
        <v>-191393521837.06598</v>
      </c>
      <c r="M3810" s="460">
        <f t="shared" si="174"/>
        <v>0.05</v>
      </c>
      <c r="N3810" s="464">
        <f t="shared" si="175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73"/>
        <v>-191393521837.06598</v>
      </c>
      <c r="J3811" s="444">
        <f t="array" ref="J3811">IFERROR(INDEX('Retirement Calculator'!J:J,MATCH('Isaac 401k'!N3811,'Retirement Calculator'!A:A,0),0),0)</f>
        <v>0</v>
      </c>
      <c r="K3811" s="444">
        <f t="shared" ca="1" si="171"/>
        <v>-797473007.6544416</v>
      </c>
      <c r="L3811" s="444">
        <f t="shared" ca="1" si="172"/>
        <v>-192190994844.72043</v>
      </c>
      <c r="M3811" s="460">
        <f t="shared" si="174"/>
        <v>0.05</v>
      </c>
      <c r="N3811" s="464">
        <f t="shared" si="175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73"/>
        <v>-192190994844.72043</v>
      </c>
      <c r="J3812" s="444">
        <f t="array" ref="J3812">IFERROR(INDEX('Retirement Calculator'!J:J,MATCH('Isaac 401k'!N3812,'Retirement Calculator'!A:A,0),0),0)</f>
        <v>0</v>
      </c>
      <c r="K3812" s="444">
        <f t="shared" ca="1" si="171"/>
        <v>-800795811.85300183</v>
      </c>
      <c r="L3812" s="444">
        <f t="shared" ca="1" si="172"/>
        <v>-192991790656.57343</v>
      </c>
      <c r="M3812" s="460">
        <f t="shared" si="174"/>
        <v>0.05</v>
      </c>
      <c r="N3812" s="464">
        <f t="shared" si="175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73"/>
        <v>-192991790656.57343</v>
      </c>
      <c r="J3813" s="444">
        <f t="array" ref="J3813">IFERROR(INDEX('Retirement Calculator'!J:J,MATCH('Isaac 401k'!N3813,'Retirement Calculator'!A:A,0),0),0)</f>
        <v>0</v>
      </c>
      <c r="K3813" s="444">
        <f t="shared" ca="1" si="171"/>
        <v>-804132461.06905591</v>
      </c>
      <c r="L3813" s="444">
        <f t="shared" ca="1" si="172"/>
        <v>-193795923117.64249</v>
      </c>
      <c r="M3813" s="460">
        <f t="shared" si="174"/>
        <v>0.05</v>
      </c>
      <c r="N3813" s="464">
        <f t="shared" si="175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73"/>
        <v>-193795923117.64249</v>
      </c>
      <c r="J3814" s="444">
        <f t="array" ref="J3814">IFERROR(INDEX('Retirement Calculator'!J:J,MATCH('Isaac 401k'!N3814,'Retirement Calculator'!A:A,0),0),0)</f>
        <v>0</v>
      </c>
      <c r="K3814" s="444">
        <f t="shared" ca="1" si="171"/>
        <v>-807483012.99017704</v>
      </c>
      <c r="L3814" s="444">
        <f t="shared" ca="1" si="172"/>
        <v>-194603406130.63266</v>
      </c>
      <c r="M3814" s="460">
        <f t="shared" si="174"/>
        <v>0.05</v>
      </c>
      <c r="N3814" s="464">
        <f t="shared" si="175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73"/>
        <v>-194603406130.63266</v>
      </c>
      <c r="J3815" s="444">
        <f t="array" ref="J3815">IFERROR(INDEX('Retirement Calculator'!J:J,MATCH('Isaac 401k'!N3815,'Retirement Calculator'!A:A,0),0),0)</f>
        <v>0</v>
      </c>
      <c r="K3815" s="444">
        <f t="shared" ca="1" si="171"/>
        <v>-810847525.5443027</v>
      </c>
      <c r="L3815" s="444">
        <f t="shared" ca="1" si="172"/>
        <v>-195414253656.17697</v>
      </c>
      <c r="M3815" s="460">
        <f t="shared" si="174"/>
        <v>0.05</v>
      </c>
      <c r="N3815" s="464">
        <f t="shared" si="175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73"/>
        <v>-195414253656.17697</v>
      </c>
      <c r="J3816" s="444">
        <f t="array" ref="J3816">IFERROR(INDEX('Retirement Calculator'!J:J,MATCH('Isaac 401k'!N3816,'Retirement Calculator'!A:A,0),0),0)</f>
        <v>0</v>
      </c>
      <c r="K3816" s="444">
        <f t="shared" ca="1" si="171"/>
        <v>-814226056.9007374</v>
      </c>
      <c r="L3816" s="444">
        <f t="shared" ca="1" si="172"/>
        <v>-196228479713.0777</v>
      </c>
      <c r="M3816" s="460">
        <f t="shared" si="174"/>
        <v>0.05</v>
      </c>
      <c r="N3816" s="464">
        <f t="shared" si="175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73"/>
        <v>-196228479713.0777</v>
      </c>
      <c r="J3817" s="444">
        <f t="array" ref="J3817">IFERROR(INDEX('Retirement Calculator'!J:J,MATCH('Isaac 401k'!N3817,'Retirement Calculator'!A:A,0),0),0)</f>
        <v>0</v>
      </c>
      <c r="K3817" s="444">
        <f t="shared" ca="1" si="171"/>
        <v>-817618665.47115707</v>
      </c>
      <c r="L3817" s="444">
        <f t="shared" ca="1" si="172"/>
        <v>-197046098378.54886</v>
      </c>
      <c r="M3817" s="460">
        <f t="shared" si="174"/>
        <v>0.05</v>
      </c>
      <c r="N3817" s="464">
        <f t="shared" si="175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73"/>
        <v>-197046098378.54886</v>
      </c>
      <c r="J3818" s="444">
        <f t="array" ref="J3818">IFERROR(INDEX('Retirement Calculator'!J:J,MATCH('Isaac 401k'!N3818,'Retirement Calculator'!A:A,0),0),0)</f>
        <v>0</v>
      </c>
      <c r="K3818" s="444">
        <f t="shared" ca="1" si="171"/>
        <v>-821025409.91062021</v>
      </c>
      <c r="L3818" s="444">
        <f t="shared" ca="1" si="172"/>
        <v>-197867123788.45947</v>
      </c>
      <c r="M3818" s="460">
        <f t="shared" si="174"/>
        <v>0.05</v>
      </c>
      <c r="N3818" s="464">
        <f t="shared" si="175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73"/>
        <v>-197867123788.45947</v>
      </c>
      <c r="J3819" s="444">
        <f t="array" ref="J3819">IFERROR(INDEX('Retirement Calculator'!J:J,MATCH('Isaac 401k'!N3819,'Retirement Calculator'!A:A,0),0),0)</f>
        <v>0</v>
      </c>
      <c r="K3819" s="444">
        <f t="shared" ca="1" si="171"/>
        <v>-824446349.11858118</v>
      </c>
      <c r="L3819" s="444">
        <f t="shared" ca="1" si="172"/>
        <v>-198691570137.57806</v>
      </c>
      <c r="M3819" s="460">
        <f t="shared" si="174"/>
        <v>0.05</v>
      </c>
      <c r="N3819" s="464">
        <f t="shared" si="175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73"/>
        <v>-198691570137.57806</v>
      </c>
      <c r="J3820" s="444">
        <f t="array" ref="J3820">IFERROR(INDEX('Retirement Calculator'!J:J,MATCH('Isaac 401k'!N3820,'Retirement Calculator'!A:A,0),0),0)</f>
        <v>0</v>
      </c>
      <c r="K3820" s="444">
        <f t="shared" ca="1" si="171"/>
        <v>-827881542.23990858</v>
      </c>
      <c r="L3820" s="444">
        <f t="shared" ca="1" si="172"/>
        <v>-199519451679.81796</v>
      </c>
      <c r="M3820" s="460">
        <f t="shared" si="174"/>
        <v>0.05</v>
      </c>
      <c r="N3820" s="464">
        <f t="shared" si="175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73"/>
        <v>-199519451679.81796</v>
      </c>
      <c r="J3821" s="444">
        <f t="array" ref="J3821">IFERROR(INDEX('Retirement Calculator'!J:J,MATCH('Isaac 401k'!N3821,'Retirement Calculator'!A:A,0),0),0)</f>
        <v>0</v>
      </c>
      <c r="K3821" s="444">
        <f t="shared" ca="1" si="171"/>
        <v>-831331048.66590822</v>
      </c>
      <c r="L3821" s="444">
        <f t="shared" ca="1" si="172"/>
        <v>-200350782728.48386</v>
      </c>
      <c r="M3821" s="460">
        <f t="shared" si="174"/>
        <v>0.05</v>
      </c>
      <c r="N3821" s="464">
        <f t="shared" si="175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73"/>
        <v>-200350782728.48386</v>
      </c>
      <c r="J3822" s="444">
        <f t="array" ref="J3822">IFERROR(INDEX('Retirement Calculator'!J:J,MATCH('Isaac 401k'!N3822,'Retirement Calculator'!A:A,0),0),0)</f>
        <v>0</v>
      </c>
      <c r="K3822" s="444">
        <f t="shared" ca="1" si="171"/>
        <v>-834794928.03534937</v>
      </c>
      <c r="L3822" s="444">
        <f t="shared" ca="1" si="172"/>
        <v>-201185577656.5192</v>
      </c>
      <c r="M3822" s="460">
        <f t="shared" si="174"/>
        <v>0.05</v>
      </c>
      <c r="N3822" s="464">
        <f t="shared" si="175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73"/>
        <v>-201185577656.5192</v>
      </c>
      <c r="J3823" s="444">
        <f t="array" ref="J3823">IFERROR(INDEX('Retirement Calculator'!J:J,MATCH('Isaac 401k'!N3823,'Retirement Calculator'!A:A,0),0),0)</f>
        <v>0</v>
      </c>
      <c r="K3823" s="444">
        <f t="shared" ca="1" si="171"/>
        <v>-838273240.23549664</v>
      </c>
      <c r="L3823" s="444">
        <f t="shared" ca="1" si="172"/>
        <v>-202023850896.7547</v>
      </c>
      <c r="M3823" s="460">
        <f t="shared" si="174"/>
        <v>0.05</v>
      </c>
      <c r="N3823" s="464">
        <f t="shared" si="175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73"/>
        <v>-202023850896.7547</v>
      </c>
      <c r="J3824" s="444">
        <f t="array" ref="J3824">IFERROR(INDEX('Retirement Calculator'!J:J,MATCH('Isaac 401k'!N3824,'Retirement Calculator'!A:A,0),0),0)</f>
        <v>0</v>
      </c>
      <c r="K3824" s="444">
        <f t="shared" ca="1" si="171"/>
        <v>-841766045.4031446</v>
      </c>
      <c r="L3824" s="444">
        <f t="shared" ca="1" si="172"/>
        <v>-202865616942.15784</v>
      </c>
      <c r="M3824" s="460">
        <f t="shared" si="174"/>
        <v>0.05</v>
      </c>
      <c r="N3824" s="464">
        <f t="shared" si="175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73"/>
        <v>-202865616942.15784</v>
      </c>
      <c r="J3825" s="444">
        <f t="array" ref="J3825">IFERROR(INDEX('Retirement Calculator'!J:J,MATCH('Isaac 401k'!N3825,'Retirement Calculator'!A:A,0),0),0)</f>
        <v>0</v>
      </c>
      <c r="K3825" s="444">
        <f t="shared" ca="1" si="171"/>
        <v>-845273403.92565763</v>
      </c>
      <c r="L3825" s="444">
        <f t="shared" ca="1" si="172"/>
        <v>-203710890346.0835</v>
      </c>
      <c r="M3825" s="460">
        <f t="shared" si="174"/>
        <v>0.05</v>
      </c>
      <c r="N3825" s="464">
        <f t="shared" si="175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73"/>
        <v>-203710890346.0835</v>
      </c>
      <c r="J3826" s="444">
        <f t="array" ref="J3826">IFERROR(INDEX('Retirement Calculator'!J:J,MATCH('Isaac 401k'!N3826,'Retirement Calculator'!A:A,0),0),0)</f>
        <v>0</v>
      </c>
      <c r="K3826" s="444">
        <f t="shared" ca="1" si="171"/>
        <v>-848795376.44201458</v>
      </c>
      <c r="L3826" s="444">
        <f t="shared" ca="1" si="172"/>
        <v>-204559685722.52551</v>
      </c>
      <c r="M3826" s="460">
        <f t="shared" si="174"/>
        <v>0.05</v>
      </c>
      <c r="N3826" s="464">
        <f t="shared" si="175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73"/>
        <v>-204559685722.52551</v>
      </c>
      <c r="J3827" s="444">
        <f t="array" ref="J3827">IFERROR(INDEX('Retirement Calculator'!J:J,MATCH('Isaac 401k'!N3827,'Retirement Calculator'!A:A,0),0),0)</f>
        <v>0</v>
      </c>
      <c r="K3827" s="444">
        <f t="shared" ca="1" si="171"/>
        <v>-852332023.84385633</v>
      </c>
      <c r="L3827" s="444">
        <f t="shared" ca="1" si="172"/>
        <v>-205412017746.36935</v>
      </c>
      <c r="M3827" s="460">
        <f t="shared" si="174"/>
        <v>0.05</v>
      </c>
      <c r="N3827" s="464">
        <f t="shared" si="175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73"/>
        <v>-205412017746.36935</v>
      </c>
      <c r="J3828" s="444">
        <f t="array" ref="J3828">IFERROR(INDEX('Retirement Calculator'!J:J,MATCH('Isaac 401k'!N3828,'Retirement Calculator'!A:A,0),0),0)</f>
        <v>0</v>
      </c>
      <c r="K3828" s="444">
        <f t="shared" ca="1" si="171"/>
        <v>-855883407.27653897</v>
      </c>
      <c r="L3828" s="444">
        <f t="shared" ca="1" si="172"/>
        <v>-206267901153.6459</v>
      </c>
      <c r="M3828" s="460">
        <f t="shared" si="174"/>
        <v>0.05</v>
      </c>
      <c r="N3828" s="464">
        <f t="shared" si="175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73"/>
        <v>-206267901153.6459</v>
      </c>
      <c r="J3829" s="444">
        <f t="array" ref="J3829">IFERROR(INDEX('Retirement Calculator'!J:J,MATCH('Isaac 401k'!N3829,'Retirement Calculator'!A:A,0),0),0)</f>
        <v>0</v>
      </c>
      <c r="K3829" s="444">
        <f t="shared" ca="1" si="171"/>
        <v>-859449588.14019132</v>
      </c>
      <c r="L3829" s="444">
        <f t="shared" ca="1" si="172"/>
        <v>-207127350741.7861</v>
      </c>
      <c r="M3829" s="460">
        <f t="shared" si="174"/>
        <v>0.05</v>
      </c>
      <c r="N3829" s="464">
        <f t="shared" si="175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73"/>
        <v>-207127350741.7861</v>
      </c>
      <c r="J3830" s="444">
        <f t="array" ref="J3830">IFERROR(INDEX('Retirement Calculator'!J:J,MATCH('Isaac 401k'!N3830,'Retirement Calculator'!A:A,0),0),0)</f>
        <v>0</v>
      </c>
      <c r="K3830" s="444">
        <f t="shared" ca="1" si="171"/>
        <v>-863030628.09077537</v>
      </c>
      <c r="L3830" s="444">
        <f t="shared" ca="1" si="172"/>
        <v>-207990381369.87689</v>
      </c>
      <c r="M3830" s="460">
        <f t="shared" si="174"/>
        <v>0.05</v>
      </c>
      <c r="N3830" s="464">
        <f t="shared" si="175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73"/>
        <v>-207990381369.87689</v>
      </c>
      <c r="J3831" s="444">
        <f t="array" ref="J3831">IFERROR(INDEX('Retirement Calculator'!J:J,MATCH('Isaac 401k'!N3831,'Retirement Calculator'!A:A,0),0),0)</f>
        <v>0</v>
      </c>
      <c r="K3831" s="444">
        <f t="shared" ca="1" si="171"/>
        <v>-866626589.04115367</v>
      </c>
      <c r="L3831" s="444">
        <f t="shared" ca="1" si="172"/>
        <v>-208857007958.91806</v>
      </c>
      <c r="M3831" s="460">
        <f t="shared" si="174"/>
        <v>0.05</v>
      </c>
      <c r="N3831" s="464">
        <f t="shared" si="175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73"/>
        <v>-208857007958.91806</v>
      </c>
      <c r="J3832" s="444">
        <f t="array" ref="J3832">IFERROR(INDEX('Retirement Calculator'!J:J,MATCH('Isaac 401k'!N3832,'Retirement Calculator'!A:A,0),0),0)</f>
        <v>0</v>
      </c>
      <c r="K3832" s="444">
        <f t="shared" ca="1" si="171"/>
        <v>-870237533.16215861</v>
      </c>
      <c r="L3832" s="444">
        <f t="shared" ca="1" si="172"/>
        <v>-209727245492.08023</v>
      </c>
      <c r="M3832" s="460">
        <f t="shared" si="174"/>
        <v>0.05</v>
      </c>
      <c r="N3832" s="464">
        <f t="shared" si="175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73"/>
        <v>-209727245492.08023</v>
      </c>
      <c r="J3833" s="444">
        <f t="array" ref="J3833">IFERROR(INDEX('Retirement Calculator'!J:J,MATCH('Isaac 401k'!N3833,'Retirement Calculator'!A:A,0),0),0)</f>
        <v>0</v>
      </c>
      <c r="K3833" s="444">
        <f t="shared" ref="K3833:K4087" ca="1" si="176">IPMT(M3833/12,1,12,-I3833+J3833,,0)</f>
        <v>-873863522.88366759</v>
      </c>
      <c r="L3833" s="444">
        <f t="shared" ref="L3833:L4087" ca="1" si="177">I3833-J3833+K3833</f>
        <v>-210601109014.9639</v>
      </c>
      <c r="M3833" s="460">
        <f t="shared" si="174"/>
        <v>0.05</v>
      </c>
      <c r="N3833" s="464">
        <f t="shared" si="175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78">L3833</f>
        <v>-210601109014.9639</v>
      </c>
      <c r="J3834" s="444">
        <f t="array" ref="J3834">IFERROR(INDEX('Retirement Calculator'!J:J,MATCH('Isaac 401k'!N3834,'Retirement Calculator'!A:A,0),0),0)</f>
        <v>0</v>
      </c>
      <c r="K3834" s="444">
        <f t="shared" ca="1" si="176"/>
        <v>-877504620.89568293</v>
      </c>
      <c r="L3834" s="444">
        <f t="shared" ca="1" si="177"/>
        <v>-211478613635.85959</v>
      </c>
      <c r="M3834" s="460">
        <f t="shared" ref="M3834:M4088" si="179">M3833</f>
        <v>0.05</v>
      </c>
      <c r="N3834" s="464">
        <f t="shared" ref="N3834:N4088" si="180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78"/>
        <v>-211478613635.85959</v>
      </c>
      <c r="J3835" s="444">
        <f t="array" ref="J3835">IFERROR(INDEX('Retirement Calculator'!J:J,MATCH('Isaac 401k'!N3835,'Retirement Calculator'!A:A,0),0),0)</f>
        <v>0</v>
      </c>
      <c r="K3835" s="444">
        <f t="shared" ca="1" si="176"/>
        <v>-881160890.1494149</v>
      </c>
      <c r="L3835" s="444">
        <f t="shared" ca="1" si="177"/>
        <v>-212359774526.009</v>
      </c>
      <c r="M3835" s="460">
        <f t="shared" si="179"/>
        <v>0.05</v>
      </c>
      <c r="N3835" s="464">
        <f t="shared" si="180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78"/>
        <v>-212359774526.009</v>
      </c>
      <c r="J3836" s="444">
        <f t="array" ref="J3836">IFERROR(INDEX('Retirement Calculator'!J:J,MATCH('Isaac 401k'!N3836,'Retirement Calculator'!A:A,0),0),0)</f>
        <v>0</v>
      </c>
      <c r="K3836" s="444">
        <f t="shared" ca="1" si="176"/>
        <v>-884832393.85837078</v>
      </c>
      <c r="L3836" s="444">
        <f t="shared" ca="1" si="177"/>
        <v>-213244606919.86737</v>
      </c>
      <c r="M3836" s="460">
        <f t="shared" si="179"/>
        <v>0.05</v>
      </c>
      <c r="N3836" s="464">
        <f t="shared" si="180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78"/>
        <v>-213244606919.86737</v>
      </c>
      <c r="J3837" s="444">
        <f t="array" ref="J3837">IFERROR(INDEX('Retirement Calculator'!J:J,MATCH('Isaac 401k'!N3837,'Retirement Calculator'!A:A,0),0),0)</f>
        <v>0</v>
      </c>
      <c r="K3837" s="444">
        <f t="shared" ca="1" si="176"/>
        <v>-888519195.49944735</v>
      </c>
      <c r="L3837" s="444">
        <f t="shared" ca="1" si="177"/>
        <v>-214133126115.36682</v>
      </c>
      <c r="M3837" s="460">
        <f t="shared" si="179"/>
        <v>0.05</v>
      </c>
      <c r="N3837" s="464">
        <f t="shared" si="180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78"/>
        <v>-214133126115.36682</v>
      </c>
      <c r="J3838" s="444">
        <f t="array" ref="J3838">IFERROR(INDEX('Retirement Calculator'!J:J,MATCH('Isaac 401k'!N3838,'Retirement Calculator'!A:A,0),0),0)</f>
        <v>0</v>
      </c>
      <c r="K3838" s="444">
        <f t="shared" ca="1" si="176"/>
        <v>-892221358.81402838</v>
      </c>
      <c r="L3838" s="444">
        <f t="shared" ca="1" si="177"/>
        <v>-215025347474.18085</v>
      </c>
      <c r="M3838" s="460">
        <f t="shared" si="179"/>
        <v>0.05</v>
      </c>
      <c r="N3838" s="464">
        <f t="shared" si="180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78"/>
        <v>-215025347474.18085</v>
      </c>
      <c r="J3839" s="444">
        <f t="array" ref="J3839">IFERROR(INDEX('Retirement Calculator'!J:J,MATCH('Isaac 401k'!N3839,'Retirement Calculator'!A:A,0),0),0)</f>
        <v>0</v>
      </c>
      <c r="K3839" s="444">
        <f t="shared" ca="1" si="176"/>
        <v>-895938947.8090868</v>
      </c>
      <c r="L3839" s="444">
        <f t="shared" ca="1" si="177"/>
        <v>-215921286421.98993</v>
      </c>
      <c r="M3839" s="460">
        <f t="shared" si="179"/>
        <v>0.05</v>
      </c>
      <c r="N3839" s="464">
        <f t="shared" si="180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78"/>
        <v>-215921286421.98993</v>
      </c>
      <c r="J3840" s="444">
        <f t="array" ref="J3840">IFERROR(INDEX('Retirement Calculator'!J:J,MATCH('Isaac 401k'!N3840,'Retirement Calculator'!A:A,0),0),0)</f>
        <v>0</v>
      </c>
      <c r="K3840" s="444">
        <f t="shared" ca="1" si="176"/>
        <v>-899672026.75829136</v>
      </c>
      <c r="L3840" s="444">
        <f t="shared" ca="1" si="177"/>
        <v>-216820958448.74823</v>
      </c>
      <c r="M3840" s="460">
        <f t="shared" si="179"/>
        <v>0.05</v>
      </c>
      <c r="N3840" s="464">
        <f t="shared" si="180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78"/>
        <v>-216820958448.74823</v>
      </c>
      <c r="J3841" s="444">
        <f t="array" ref="J3841">IFERROR(INDEX('Retirement Calculator'!J:J,MATCH('Isaac 401k'!N3841,'Retirement Calculator'!A:A,0),0),0)</f>
        <v>0</v>
      </c>
      <c r="K3841" s="444">
        <f t="shared" ca="1" si="176"/>
        <v>-903420660.20311773</v>
      </c>
      <c r="L3841" s="444">
        <f t="shared" ca="1" si="177"/>
        <v>-217724379108.95135</v>
      </c>
      <c r="M3841" s="460">
        <f t="shared" si="179"/>
        <v>0.05</v>
      </c>
      <c r="N3841" s="464">
        <f t="shared" si="180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78"/>
        <v>-217724379108.95135</v>
      </c>
      <c r="J3842" s="444">
        <f t="array" ref="J3842">IFERROR(INDEX('Retirement Calculator'!J:J,MATCH('Isaac 401k'!N3842,'Retirement Calculator'!A:A,0),0),0)</f>
        <v>0</v>
      </c>
      <c r="K3842" s="444">
        <f t="shared" ca="1" si="176"/>
        <v>-907184912.95396399</v>
      </c>
      <c r="L3842" s="444">
        <f t="shared" ca="1" si="177"/>
        <v>-218631564021.9053</v>
      </c>
      <c r="M3842" s="460">
        <f t="shared" si="179"/>
        <v>0.05</v>
      </c>
      <c r="N3842" s="464">
        <f t="shared" si="180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78"/>
        <v>-218631564021.9053</v>
      </c>
      <c r="J3843" s="444">
        <f t="array" ref="J3843">IFERROR(INDEX('Retirement Calculator'!J:J,MATCH('Isaac 401k'!N3843,'Retirement Calculator'!A:A,0),0),0)</f>
        <v>0</v>
      </c>
      <c r="K3843" s="444">
        <f t="shared" ca="1" si="176"/>
        <v>-910964850.09127212</v>
      </c>
      <c r="L3843" s="444">
        <f t="shared" ca="1" si="177"/>
        <v>-219542528871.99658</v>
      </c>
      <c r="M3843" s="460">
        <f t="shared" si="179"/>
        <v>0.05</v>
      </c>
      <c r="N3843" s="464">
        <f t="shared" si="180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78"/>
        <v>-219542528871.99658</v>
      </c>
      <c r="J3844" s="444">
        <f t="array" ref="J3844">IFERROR(INDEX('Retirement Calculator'!J:J,MATCH('Isaac 401k'!N3844,'Retirement Calculator'!A:A,0),0),0)</f>
        <v>0</v>
      </c>
      <c r="K3844" s="444">
        <f t="shared" ca="1" si="176"/>
        <v>-914760536.96665239</v>
      </c>
      <c r="L3844" s="444">
        <f t="shared" ca="1" si="177"/>
        <v>-220457289408.96323</v>
      </c>
      <c r="M3844" s="460">
        <f t="shared" si="179"/>
        <v>0.05</v>
      </c>
      <c r="N3844" s="464">
        <f t="shared" si="180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78"/>
        <v>-220457289408.96323</v>
      </c>
      <c r="J3845" s="444">
        <f t="array" ref="J3845">IFERROR(INDEX('Retirement Calculator'!J:J,MATCH('Isaac 401k'!N3845,'Retirement Calculator'!A:A,0),0),0)</f>
        <v>0</v>
      </c>
      <c r="K3845" s="444">
        <f t="shared" ca="1" si="176"/>
        <v>-918572039.20401347</v>
      </c>
      <c r="L3845" s="444">
        <f t="shared" ca="1" si="177"/>
        <v>-221375861448.16724</v>
      </c>
      <c r="M3845" s="460">
        <f t="shared" si="179"/>
        <v>0.05</v>
      </c>
      <c r="N3845" s="464">
        <f t="shared" si="180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78"/>
        <v>-221375861448.16724</v>
      </c>
      <c r="J3846" s="444">
        <f t="array" ref="J3846">IFERROR(INDEX('Retirement Calculator'!J:J,MATCH('Isaac 401k'!N3846,'Retirement Calculator'!A:A,0),0),0)</f>
        <v>0</v>
      </c>
      <c r="K3846" s="444">
        <f t="shared" ca="1" si="176"/>
        <v>-922399422.70069683</v>
      </c>
      <c r="L3846" s="444">
        <f t="shared" ca="1" si="177"/>
        <v>-222298260870.86792</v>
      </c>
      <c r="M3846" s="460">
        <f t="shared" si="179"/>
        <v>0.05</v>
      </c>
      <c r="N3846" s="464">
        <f t="shared" si="180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78"/>
        <v>-222298260870.86792</v>
      </c>
      <c r="J3847" s="444">
        <f t="array" ref="J3847">IFERROR(INDEX('Retirement Calculator'!J:J,MATCH('Isaac 401k'!N3847,'Retirement Calculator'!A:A,0),0),0)</f>
        <v>0</v>
      </c>
      <c r="K3847" s="444">
        <f t="shared" ca="1" si="176"/>
        <v>-926242753.62861645</v>
      </c>
      <c r="L3847" s="444">
        <f t="shared" ca="1" si="177"/>
        <v>-223224503624.49655</v>
      </c>
      <c r="M3847" s="460">
        <f t="shared" si="179"/>
        <v>0.05</v>
      </c>
      <c r="N3847" s="464">
        <f t="shared" si="180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78"/>
        <v>-223224503624.49655</v>
      </c>
      <c r="J3848" s="444">
        <f t="array" ref="J3848">IFERROR(INDEX('Retirement Calculator'!J:J,MATCH('Isaac 401k'!N3848,'Retirement Calculator'!A:A,0),0),0)</f>
        <v>0</v>
      </c>
      <c r="K3848" s="444">
        <f t="shared" ca="1" si="176"/>
        <v>-930102098.43540227</v>
      </c>
      <c r="L3848" s="444">
        <f t="shared" ca="1" si="177"/>
        <v>-224154605722.93195</v>
      </c>
      <c r="M3848" s="460">
        <f t="shared" si="179"/>
        <v>0.05</v>
      </c>
      <c r="N3848" s="464">
        <f t="shared" si="180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78"/>
        <v>-224154605722.93195</v>
      </c>
      <c r="J3849" s="444">
        <f t="array" ref="J3849">IFERROR(INDEX('Retirement Calculator'!J:J,MATCH('Isaac 401k'!N3849,'Retirement Calculator'!A:A,0),0),0)</f>
        <v>0</v>
      </c>
      <c r="K3849" s="444">
        <f t="shared" ca="1" si="176"/>
        <v>-933977523.84554958</v>
      </c>
      <c r="L3849" s="444">
        <f t="shared" ca="1" si="177"/>
        <v>-225088583246.7775</v>
      </c>
      <c r="M3849" s="460">
        <f t="shared" si="179"/>
        <v>0.05</v>
      </c>
      <c r="N3849" s="464">
        <f t="shared" si="180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78"/>
        <v>-225088583246.7775</v>
      </c>
      <c r="J3850" s="444">
        <f t="array" ref="J3850">IFERROR(INDEX('Retirement Calculator'!J:J,MATCH('Isaac 401k'!N3850,'Retirement Calculator'!A:A,0),0),0)</f>
        <v>0</v>
      </c>
      <c r="K3850" s="444">
        <f t="shared" ca="1" si="176"/>
        <v>-937869096.86157286</v>
      </c>
      <c r="L3850" s="444">
        <f t="shared" ca="1" si="177"/>
        <v>-226026452343.63907</v>
      </c>
      <c r="M3850" s="460">
        <f t="shared" si="179"/>
        <v>0.05</v>
      </c>
      <c r="N3850" s="464">
        <f t="shared" si="180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78"/>
        <v>-226026452343.63907</v>
      </c>
      <c r="J3851" s="444">
        <f t="array" ref="J3851">IFERROR(INDEX('Retirement Calculator'!J:J,MATCH('Isaac 401k'!N3851,'Retirement Calculator'!A:A,0),0),0)</f>
        <v>0</v>
      </c>
      <c r="K3851" s="444">
        <f t="shared" ca="1" si="176"/>
        <v>-941776884.76516259</v>
      </c>
      <c r="L3851" s="444">
        <f t="shared" ca="1" si="177"/>
        <v>-226968229228.40424</v>
      </c>
      <c r="M3851" s="460">
        <f t="shared" si="179"/>
        <v>0.05</v>
      </c>
      <c r="N3851" s="464">
        <f t="shared" si="180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78"/>
        <v>-226968229228.40424</v>
      </c>
      <c r="J3852" s="444">
        <f t="array" ref="J3852">IFERROR(INDEX('Retirement Calculator'!J:J,MATCH('Isaac 401k'!N3852,'Retirement Calculator'!A:A,0),0),0)</f>
        <v>0</v>
      </c>
      <c r="K3852" s="444">
        <f t="shared" ca="1" si="176"/>
        <v>-945700955.1183511</v>
      </c>
      <c r="L3852" s="444">
        <f t="shared" ca="1" si="177"/>
        <v>-227913930183.52258</v>
      </c>
      <c r="M3852" s="460">
        <f t="shared" si="179"/>
        <v>0.05</v>
      </c>
      <c r="N3852" s="464">
        <f t="shared" si="180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78"/>
        <v>-227913930183.52258</v>
      </c>
      <c r="J3853" s="444">
        <f t="array" ref="J3853">IFERROR(INDEX('Retirement Calculator'!J:J,MATCH('Isaac 401k'!N3853,'Retirement Calculator'!A:A,0),0),0)</f>
        <v>0</v>
      </c>
      <c r="K3853" s="444">
        <f t="shared" ca="1" si="176"/>
        <v>-949641375.76467729</v>
      </c>
      <c r="L3853" s="444">
        <f t="shared" ca="1" si="177"/>
        <v>-228863571559.28726</v>
      </c>
      <c r="M3853" s="460">
        <f t="shared" si="179"/>
        <v>0.05</v>
      </c>
      <c r="N3853" s="464">
        <f t="shared" si="180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78"/>
        <v>-228863571559.28726</v>
      </c>
      <c r="J3854" s="444">
        <f t="array" ref="J3854">IFERROR(INDEX('Retirement Calculator'!J:J,MATCH('Isaac 401k'!N3854,'Retirement Calculator'!A:A,0),0),0)</f>
        <v>0</v>
      </c>
      <c r="K3854" s="444">
        <f t="shared" ca="1" si="176"/>
        <v>-953598214.83036363</v>
      </c>
      <c r="L3854" s="444">
        <f t="shared" ca="1" si="177"/>
        <v>-229817169774.11761</v>
      </c>
      <c r="M3854" s="460">
        <f t="shared" si="179"/>
        <v>0.05</v>
      </c>
      <c r="N3854" s="464">
        <f t="shared" si="180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78"/>
        <v>-229817169774.11761</v>
      </c>
      <c r="J3855" s="444">
        <f t="array" ref="J3855">IFERROR(INDEX('Retirement Calculator'!J:J,MATCH('Isaac 401k'!N3855,'Retirement Calculator'!A:A,0),0),0)</f>
        <v>0</v>
      </c>
      <c r="K3855" s="444">
        <f t="shared" ca="1" si="176"/>
        <v>-957571540.72549009</v>
      </c>
      <c r="L3855" s="444">
        <f t="shared" ca="1" si="177"/>
        <v>-230774741314.84311</v>
      </c>
      <c r="M3855" s="460">
        <f t="shared" si="179"/>
        <v>0.05</v>
      </c>
      <c r="N3855" s="464">
        <f t="shared" si="180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78"/>
        <v>-230774741314.84311</v>
      </c>
      <c r="J3856" s="444">
        <f t="array" ref="J3856">IFERROR(INDEX('Retirement Calculator'!J:J,MATCH('Isaac 401k'!N3856,'Retirement Calculator'!A:A,0),0),0)</f>
        <v>0</v>
      </c>
      <c r="K3856" s="444">
        <f t="shared" ca="1" si="176"/>
        <v>-961561422.14517963</v>
      </c>
      <c r="L3856" s="444">
        <f t="shared" ca="1" si="177"/>
        <v>-231736302736.98828</v>
      </c>
      <c r="M3856" s="460">
        <f t="shared" si="179"/>
        <v>0.05</v>
      </c>
      <c r="N3856" s="464">
        <f t="shared" si="180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78"/>
        <v>-231736302736.98828</v>
      </c>
      <c r="J3857" s="444">
        <f t="array" ref="J3857">IFERROR(INDEX('Retirement Calculator'!J:J,MATCH('Isaac 401k'!N3857,'Retirement Calculator'!A:A,0),0),0)</f>
        <v>0</v>
      </c>
      <c r="K3857" s="444">
        <f t="shared" ca="1" si="176"/>
        <v>-965567928.07078445</v>
      </c>
      <c r="L3857" s="444">
        <f t="shared" ca="1" si="177"/>
        <v>-232701870665.05905</v>
      </c>
      <c r="M3857" s="460">
        <f t="shared" si="179"/>
        <v>0.05</v>
      </c>
      <c r="N3857" s="464">
        <f t="shared" si="180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78"/>
        <v>-232701870665.05905</v>
      </c>
      <c r="J3858" s="444">
        <f t="array" ref="J3858">IFERROR(INDEX('Retirement Calculator'!J:J,MATCH('Isaac 401k'!N3858,'Retirement Calculator'!A:A,0),0),0)</f>
        <v>0</v>
      </c>
      <c r="K3858" s="444">
        <f t="shared" ca="1" si="176"/>
        <v>-969591127.77107954</v>
      </c>
      <c r="L3858" s="444">
        <f t="shared" ca="1" si="177"/>
        <v>-233671461792.83014</v>
      </c>
      <c r="M3858" s="460">
        <f t="shared" si="179"/>
        <v>0.05</v>
      </c>
      <c r="N3858" s="464">
        <f t="shared" si="180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78"/>
        <v>-233671461792.83014</v>
      </c>
      <c r="J3859" s="444">
        <f t="array" ref="J3859">IFERROR(INDEX('Retirement Calculator'!J:J,MATCH('Isaac 401k'!N3859,'Retirement Calculator'!A:A,0),0),0)</f>
        <v>0</v>
      </c>
      <c r="K3859" s="444">
        <f t="shared" ca="1" si="176"/>
        <v>-973631090.80345881</v>
      </c>
      <c r="L3859" s="444">
        <f t="shared" ca="1" si="177"/>
        <v>-234645092883.63361</v>
      </c>
      <c r="M3859" s="460">
        <f t="shared" si="179"/>
        <v>0.05</v>
      </c>
      <c r="N3859" s="464">
        <f t="shared" si="180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78"/>
        <v>-234645092883.63361</v>
      </c>
      <c r="J3860" s="444">
        <f t="array" ref="J3860">IFERROR(INDEX('Retirement Calculator'!J:J,MATCH('Isaac 401k'!N3860,'Retirement Calculator'!A:A,0),0),0)</f>
        <v>0</v>
      </c>
      <c r="K3860" s="444">
        <f t="shared" ca="1" si="176"/>
        <v>-977687887.01514006</v>
      </c>
      <c r="L3860" s="444">
        <f t="shared" ca="1" si="177"/>
        <v>-235622780770.64874</v>
      </c>
      <c r="M3860" s="460">
        <f t="shared" si="179"/>
        <v>0.05</v>
      </c>
      <c r="N3860" s="464">
        <f t="shared" si="180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78"/>
        <v>-235622780770.64874</v>
      </c>
      <c r="J3861" s="444">
        <f t="array" ref="J3861">IFERROR(INDEX('Retirement Calculator'!J:J,MATCH('Isaac 401k'!N3861,'Retirement Calculator'!A:A,0),0),0)</f>
        <v>0</v>
      </c>
      <c r="K3861" s="444">
        <f t="shared" ca="1" si="176"/>
        <v>-981761586.54436982</v>
      </c>
      <c r="L3861" s="444">
        <f t="shared" ca="1" si="177"/>
        <v>-236604542357.19312</v>
      </c>
      <c r="M3861" s="460">
        <f t="shared" si="179"/>
        <v>0.05</v>
      </c>
      <c r="N3861" s="464">
        <f t="shared" si="180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78"/>
        <v>-236604542357.19312</v>
      </c>
      <c r="J3862" s="444">
        <f t="array" ref="J3862">IFERROR(INDEX('Retirement Calculator'!J:J,MATCH('Isaac 401k'!N3862,'Retirement Calculator'!A:A,0),0),0)</f>
        <v>0</v>
      </c>
      <c r="K3862" s="444">
        <f t="shared" ca="1" si="176"/>
        <v>-985852259.82163787</v>
      </c>
      <c r="L3862" s="444">
        <f t="shared" ca="1" si="177"/>
        <v>-237590394617.01474</v>
      </c>
      <c r="M3862" s="460">
        <f t="shared" si="179"/>
        <v>0.05</v>
      </c>
      <c r="N3862" s="464">
        <f t="shared" si="180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78"/>
        <v>-237590394617.01474</v>
      </c>
      <c r="J3863" s="444">
        <f t="array" ref="J3863">IFERROR(INDEX('Retirement Calculator'!J:J,MATCH('Isaac 401k'!N3863,'Retirement Calculator'!A:A,0),0),0)</f>
        <v>0</v>
      </c>
      <c r="K3863" s="444">
        <f t="shared" ca="1" si="176"/>
        <v>-989959977.57089472</v>
      </c>
      <c r="L3863" s="444">
        <f t="shared" ca="1" si="177"/>
        <v>-238580354594.58563</v>
      </c>
      <c r="M3863" s="460">
        <f t="shared" si="179"/>
        <v>0.05</v>
      </c>
      <c r="N3863" s="464">
        <f t="shared" si="180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78"/>
        <v>-238580354594.58563</v>
      </c>
      <c r="J3864" s="444">
        <f t="array" ref="J3864">IFERROR(INDEX('Retirement Calculator'!J:J,MATCH('Isaac 401k'!N3864,'Retirement Calculator'!A:A,0),0),0)</f>
        <v>0</v>
      </c>
      <c r="K3864" s="444">
        <f t="shared" ca="1" si="176"/>
        <v>-994084810.81077349</v>
      </c>
      <c r="L3864" s="444">
        <f t="shared" ca="1" si="177"/>
        <v>-239574439405.39639</v>
      </c>
      <c r="M3864" s="460">
        <f t="shared" si="179"/>
        <v>0.05</v>
      </c>
      <c r="N3864" s="464">
        <f t="shared" si="180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78"/>
        <v>-239574439405.39639</v>
      </c>
      <c r="J3865" s="444">
        <f t="array" ref="J3865">IFERROR(INDEX('Retirement Calculator'!J:J,MATCH('Isaac 401k'!N3865,'Retirement Calculator'!A:A,0),0),0)</f>
        <v>0</v>
      </c>
      <c r="K3865" s="444">
        <f t="shared" ca="1" si="176"/>
        <v>-998226830.85581815</v>
      </c>
      <c r="L3865" s="444">
        <f t="shared" ca="1" si="177"/>
        <v>-240572666236.2522</v>
      </c>
      <c r="M3865" s="460">
        <f t="shared" si="179"/>
        <v>0.05</v>
      </c>
      <c r="N3865" s="464">
        <f t="shared" si="180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78"/>
        <v>-240572666236.2522</v>
      </c>
      <c r="J3866" s="444">
        <f t="array" ref="J3866">IFERROR(INDEX('Retirement Calculator'!J:J,MATCH('Isaac 401k'!N3866,'Retirement Calculator'!A:A,0),0),0)</f>
        <v>0</v>
      </c>
      <c r="K3866" s="444">
        <f t="shared" ca="1" si="176"/>
        <v>-1002386109.3177174</v>
      </c>
      <c r="L3866" s="444">
        <f t="shared" ca="1" si="177"/>
        <v>-241575052345.56992</v>
      </c>
      <c r="M3866" s="460">
        <f t="shared" si="179"/>
        <v>0.05</v>
      </c>
      <c r="N3866" s="464">
        <f t="shared" si="180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78"/>
        <v>-241575052345.56992</v>
      </c>
      <c r="J3867" s="444">
        <f t="array" ref="J3867">IFERROR(INDEX('Retirement Calculator'!J:J,MATCH('Isaac 401k'!N3867,'Retirement Calculator'!A:A,0),0),0)</f>
        <v>0</v>
      </c>
      <c r="K3867" s="444">
        <f t="shared" ca="1" si="176"/>
        <v>-1006562718.1065413</v>
      </c>
      <c r="L3867" s="444">
        <f t="shared" ca="1" si="177"/>
        <v>-242581615063.67645</v>
      </c>
      <c r="M3867" s="460">
        <f t="shared" si="179"/>
        <v>0.05</v>
      </c>
      <c r="N3867" s="464">
        <f t="shared" si="180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78"/>
        <v>-242581615063.67645</v>
      </c>
      <c r="J3868" s="444">
        <f t="array" ref="J3868">IFERROR(INDEX('Retirement Calculator'!J:J,MATCH('Isaac 401k'!N3868,'Retirement Calculator'!A:A,0),0),0)</f>
        <v>0</v>
      </c>
      <c r="K3868" s="444">
        <f t="shared" ca="1" si="176"/>
        <v>-1010756729.431985</v>
      </c>
      <c r="L3868" s="444">
        <f t="shared" ca="1" si="177"/>
        <v>-243592371793.10843</v>
      </c>
      <c r="M3868" s="460">
        <f t="shared" si="179"/>
        <v>0.05</v>
      </c>
      <c r="N3868" s="464">
        <f t="shared" si="180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78"/>
        <v>-243592371793.10843</v>
      </c>
      <c r="J3869" s="444">
        <f t="array" ref="J3869">IFERROR(INDEX('Retirement Calculator'!J:J,MATCH('Isaac 401k'!N3869,'Retirement Calculator'!A:A,0),0),0)</f>
        <v>0</v>
      </c>
      <c r="K3869" s="444">
        <f t="shared" ca="1" si="176"/>
        <v>-1014968215.8046186</v>
      </c>
      <c r="L3869" s="444">
        <f t="shared" ca="1" si="177"/>
        <v>-244607340008.91306</v>
      </c>
      <c r="M3869" s="460">
        <f t="shared" si="179"/>
        <v>0.05</v>
      </c>
      <c r="N3869" s="464">
        <f t="shared" si="180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78"/>
        <v>-244607340008.91306</v>
      </c>
      <c r="J3870" s="444">
        <f t="array" ref="J3870">IFERROR(INDEX('Retirement Calculator'!J:J,MATCH('Isaac 401k'!N3870,'Retirement Calculator'!A:A,0),0),0)</f>
        <v>0</v>
      </c>
      <c r="K3870" s="444">
        <f t="shared" ca="1" si="176"/>
        <v>-1019197250.0371377</v>
      </c>
      <c r="L3870" s="444">
        <f t="shared" ca="1" si="177"/>
        <v>-245626537258.9502</v>
      </c>
      <c r="M3870" s="460">
        <f t="shared" si="179"/>
        <v>0.05</v>
      </c>
      <c r="N3870" s="464">
        <f t="shared" si="180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78"/>
        <v>-245626537258.9502</v>
      </c>
      <c r="J3871" s="444">
        <f t="array" ref="J3871">IFERROR(INDEX('Retirement Calculator'!J:J,MATCH('Isaac 401k'!N3871,'Retirement Calculator'!A:A,0),0),0)</f>
        <v>0</v>
      </c>
      <c r="K3871" s="444">
        <f t="shared" ca="1" si="176"/>
        <v>-1023443905.2456259</v>
      </c>
      <c r="L3871" s="444">
        <f t="shared" ca="1" si="177"/>
        <v>-246649981164.19583</v>
      </c>
      <c r="M3871" s="460">
        <f t="shared" si="179"/>
        <v>0.05</v>
      </c>
      <c r="N3871" s="464">
        <f t="shared" si="180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78"/>
        <v>-246649981164.19583</v>
      </c>
      <c r="J3872" s="444">
        <f t="array" ref="J3872">IFERROR(INDEX('Retirement Calculator'!J:J,MATCH('Isaac 401k'!N3872,'Retirement Calculator'!A:A,0),0),0)</f>
        <v>0</v>
      </c>
      <c r="K3872" s="444">
        <f t="shared" ca="1" si="176"/>
        <v>-1027708254.8508161</v>
      </c>
      <c r="L3872" s="444">
        <f t="shared" ca="1" si="177"/>
        <v>-247677689419.04666</v>
      </c>
      <c r="M3872" s="460">
        <f t="shared" si="179"/>
        <v>0.05</v>
      </c>
      <c r="N3872" s="464">
        <f t="shared" si="180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78"/>
        <v>-247677689419.04666</v>
      </c>
      <c r="J3873" s="444">
        <f t="array" ref="J3873">IFERROR(INDEX('Retirement Calculator'!J:J,MATCH('Isaac 401k'!N3873,'Retirement Calculator'!A:A,0),0),0)</f>
        <v>0</v>
      </c>
      <c r="K3873" s="444">
        <f t="shared" ca="1" si="176"/>
        <v>-1031990372.5793611</v>
      </c>
      <c r="L3873" s="444">
        <f t="shared" ca="1" si="177"/>
        <v>-248709679791.62604</v>
      </c>
      <c r="M3873" s="460">
        <f t="shared" si="179"/>
        <v>0.05</v>
      </c>
      <c r="N3873" s="464">
        <f t="shared" si="180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78"/>
        <v>-248709679791.62604</v>
      </c>
      <c r="J3874" s="444">
        <f t="array" ref="J3874">IFERROR(INDEX('Retirement Calculator'!J:J,MATCH('Isaac 401k'!N3874,'Retirement Calculator'!A:A,0),0),0)</f>
        <v>0</v>
      </c>
      <c r="K3874" s="444">
        <f t="shared" ca="1" si="176"/>
        <v>-1036290332.4651084</v>
      </c>
      <c r="L3874" s="444">
        <f t="shared" ca="1" si="177"/>
        <v>-249745970124.09116</v>
      </c>
      <c r="M3874" s="460">
        <f t="shared" si="179"/>
        <v>0.05</v>
      </c>
      <c r="N3874" s="464">
        <f t="shared" si="180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78"/>
        <v>-249745970124.09116</v>
      </c>
      <c r="J3875" s="444">
        <f t="array" ref="J3875">IFERROR(INDEX('Retirement Calculator'!J:J,MATCH('Isaac 401k'!N3875,'Retirement Calculator'!A:A,0),0),0)</f>
        <v>0</v>
      </c>
      <c r="K3875" s="444">
        <f t="shared" ca="1" si="176"/>
        <v>-1040608208.8503798</v>
      </c>
      <c r="L3875" s="444">
        <f t="shared" ca="1" si="177"/>
        <v>-250786578332.94153</v>
      </c>
      <c r="M3875" s="460">
        <f t="shared" si="179"/>
        <v>0.05</v>
      </c>
      <c r="N3875" s="464">
        <f t="shared" si="180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78"/>
        <v>-250786578332.94153</v>
      </c>
      <c r="J3876" s="444">
        <f t="array" ref="J3876">IFERROR(INDEX('Retirement Calculator'!J:J,MATCH('Isaac 401k'!N3876,'Retirement Calculator'!A:A,0),0),0)</f>
        <v>0</v>
      </c>
      <c r="K3876" s="444">
        <f t="shared" ca="1" si="176"/>
        <v>-1044944076.3872564</v>
      </c>
      <c r="L3876" s="444">
        <f t="shared" ca="1" si="177"/>
        <v>-251831522409.3288</v>
      </c>
      <c r="M3876" s="460">
        <f t="shared" si="179"/>
        <v>0.05</v>
      </c>
      <c r="N3876" s="464">
        <f t="shared" si="180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78"/>
        <v>-251831522409.3288</v>
      </c>
      <c r="J3877" s="444">
        <f t="array" ref="J3877">IFERROR(INDEX('Retirement Calculator'!J:J,MATCH('Isaac 401k'!N3877,'Retirement Calculator'!A:A,0),0),0)</f>
        <v>0</v>
      </c>
      <c r="K3877" s="444">
        <f t="shared" ca="1" si="176"/>
        <v>-1049298010.03887</v>
      </c>
      <c r="L3877" s="444">
        <f t="shared" ca="1" si="177"/>
        <v>-252880820419.36768</v>
      </c>
      <c r="M3877" s="460">
        <f t="shared" si="179"/>
        <v>0.05</v>
      </c>
      <c r="N3877" s="464">
        <f t="shared" si="180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78"/>
        <v>-252880820419.36768</v>
      </c>
      <c r="J3878" s="444">
        <f t="array" ref="J3878">IFERROR(INDEX('Retirement Calculator'!J:J,MATCH('Isaac 401k'!N3878,'Retirement Calculator'!A:A,0),0),0)</f>
        <v>0</v>
      </c>
      <c r="K3878" s="444">
        <f t="shared" ca="1" si="176"/>
        <v>-1053670085.0806986</v>
      </c>
      <c r="L3878" s="444">
        <f t="shared" ca="1" si="177"/>
        <v>-253934490504.44836</v>
      </c>
      <c r="M3878" s="460">
        <f t="shared" si="179"/>
        <v>0.05</v>
      </c>
      <c r="N3878" s="464">
        <f t="shared" si="180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78"/>
        <v>-253934490504.44836</v>
      </c>
      <c r="J3879" s="444">
        <f t="array" ref="J3879">IFERROR(INDEX('Retirement Calculator'!J:J,MATCH('Isaac 401k'!N3879,'Retirement Calculator'!A:A,0),0),0)</f>
        <v>0</v>
      </c>
      <c r="K3879" s="444">
        <f t="shared" ca="1" si="176"/>
        <v>-1058060377.1018682</v>
      </c>
      <c r="L3879" s="444">
        <f t="shared" ca="1" si="177"/>
        <v>-254992550881.55023</v>
      </c>
      <c r="M3879" s="460">
        <f t="shared" si="179"/>
        <v>0.05</v>
      </c>
      <c r="N3879" s="464">
        <f t="shared" si="180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78"/>
        <v>-254992550881.55023</v>
      </c>
      <c r="J3880" s="444">
        <f t="array" ref="J3880">IFERROR(INDEX('Retirement Calculator'!J:J,MATCH('Isaac 401k'!N3880,'Retirement Calculator'!A:A,0),0),0)</f>
        <v>0</v>
      </c>
      <c r="K3880" s="444">
        <f t="shared" ca="1" si="176"/>
        <v>-1062468962.0064592</v>
      </c>
      <c r="L3880" s="444">
        <f t="shared" ca="1" si="177"/>
        <v>-256055019843.5567</v>
      </c>
      <c r="M3880" s="460">
        <f t="shared" si="179"/>
        <v>0.05</v>
      </c>
      <c r="N3880" s="464">
        <f t="shared" si="180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78"/>
        <v>-256055019843.5567</v>
      </c>
      <c r="J3881" s="444">
        <f t="array" ref="J3881">IFERROR(INDEX('Retirement Calculator'!J:J,MATCH('Isaac 401k'!N3881,'Retirement Calculator'!A:A,0),0),0)</f>
        <v>0</v>
      </c>
      <c r="K3881" s="444">
        <f t="shared" ca="1" si="176"/>
        <v>-1066895916.0148196</v>
      </c>
      <c r="L3881" s="444">
        <f t="shared" ca="1" si="177"/>
        <v>-257121915759.57153</v>
      </c>
      <c r="M3881" s="460">
        <f t="shared" si="179"/>
        <v>0.05</v>
      </c>
      <c r="N3881" s="464">
        <f t="shared" si="180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78"/>
        <v>-257121915759.57153</v>
      </c>
      <c r="J3882" s="444">
        <f t="array" ref="J3882">IFERROR(INDEX('Retirement Calculator'!J:J,MATCH('Isaac 401k'!N3882,'Retirement Calculator'!A:A,0),0),0)</f>
        <v>0</v>
      </c>
      <c r="K3882" s="444">
        <f t="shared" ca="1" si="176"/>
        <v>-1071341315.6648813</v>
      </c>
      <c r="L3882" s="444">
        <f t="shared" ca="1" si="177"/>
        <v>-258193257075.23642</v>
      </c>
      <c r="M3882" s="460">
        <f t="shared" si="179"/>
        <v>0.05</v>
      </c>
      <c r="N3882" s="464">
        <f t="shared" si="180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78"/>
        <v>-258193257075.23642</v>
      </c>
      <c r="J3883" s="444">
        <f t="array" ref="J3883">IFERROR(INDEX('Retirement Calculator'!J:J,MATCH('Isaac 401k'!N3883,'Retirement Calculator'!A:A,0),0),0)</f>
        <v>0</v>
      </c>
      <c r="K3883" s="444">
        <f t="shared" ca="1" si="176"/>
        <v>-1075805237.8134851</v>
      </c>
      <c r="L3883" s="444">
        <f t="shared" ca="1" si="177"/>
        <v>-259269062313.0499</v>
      </c>
      <c r="M3883" s="460">
        <f t="shared" si="179"/>
        <v>0.05</v>
      </c>
      <c r="N3883" s="464">
        <f t="shared" si="180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78"/>
        <v>-259269062313.0499</v>
      </c>
      <c r="J3884" s="444">
        <f t="array" ref="J3884">IFERROR(INDEX('Retirement Calculator'!J:J,MATCH('Isaac 401k'!N3884,'Retirement Calculator'!A:A,0),0),0)</f>
        <v>0</v>
      </c>
      <c r="K3884" s="444">
        <f t="shared" ca="1" si="176"/>
        <v>-1080287759.6377079</v>
      </c>
      <c r="L3884" s="444">
        <f t="shared" ca="1" si="177"/>
        <v>-260349350072.68759</v>
      </c>
      <c r="M3884" s="460">
        <f t="shared" si="179"/>
        <v>0.05</v>
      </c>
      <c r="N3884" s="464">
        <f t="shared" si="180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78"/>
        <v>-260349350072.68759</v>
      </c>
      <c r="J3885" s="444">
        <f t="array" ref="J3885">IFERROR(INDEX('Retirement Calculator'!J:J,MATCH('Isaac 401k'!N3885,'Retirement Calculator'!A:A,0),0),0)</f>
        <v>0</v>
      </c>
      <c r="K3885" s="444">
        <f t="shared" ca="1" si="176"/>
        <v>-1084788958.6361983</v>
      </c>
      <c r="L3885" s="444">
        <f t="shared" ca="1" si="177"/>
        <v>-261434139031.32379</v>
      </c>
      <c r="M3885" s="460">
        <f t="shared" si="179"/>
        <v>0.05</v>
      </c>
      <c r="N3885" s="464">
        <f t="shared" si="180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78"/>
        <v>-261434139031.32379</v>
      </c>
      <c r="J3886" s="444">
        <f t="array" ref="J3886">IFERROR(INDEX('Retirement Calculator'!J:J,MATCH('Isaac 401k'!N3886,'Retirement Calculator'!A:A,0),0),0)</f>
        <v>0</v>
      </c>
      <c r="K3886" s="444">
        <f t="shared" ca="1" si="176"/>
        <v>-1089308912.6305156</v>
      </c>
      <c r="L3886" s="444">
        <f t="shared" ca="1" si="177"/>
        <v>-262523447943.95432</v>
      </c>
      <c r="M3886" s="460">
        <f t="shared" si="179"/>
        <v>0.05</v>
      </c>
      <c r="N3886" s="464">
        <f t="shared" si="180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78"/>
        <v>-262523447943.95432</v>
      </c>
      <c r="J3887" s="444">
        <f t="array" ref="J3887">IFERROR(INDEX('Retirement Calculator'!J:J,MATCH('Isaac 401k'!N3887,'Retirement Calculator'!A:A,0),0),0)</f>
        <v>0</v>
      </c>
      <c r="K3887" s="444">
        <f t="shared" ca="1" si="176"/>
        <v>-1093847699.7664762</v>
      </c>
      <c r="L3887" s="444">
        <f t="shared" ca="1" si="177"/>
        <v>-263617295643.72079</v>
      </c>
      <c r="M3887" s="460">
        <f t="shared" si="179"/>
        <v>0.05</v>
      </c>
      <c r="N3887" s="464">
        <f t="shared" si="180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78"/>
        <v>-263617295643.72079</v>
      </c>
      <c r="J3888" s="444">
        <f t="array" ref="J3888">IFERROR(INDEX('Retirement Calculator'!J:J,MATCH('Isaac 401k'!N3888,'Retirement Calculator'!A:A,0),0),0)</f>
        <v>0</v>
      </c>
      <c r="K3888" s="444">
        <f t="shared" ca="1" si="176"/>
        <v>-1098405398.5155034</v>
      </c>
      <c r="L3888" s="444">
        <f t="shared" ca="1" si="177"/>
        <v>-264715701042.2363</v>
      </c>
      <c r="M3888" s="460">
        <f t="shared" si="179"/>
        <v>0.05</v>
      </c>
      <c r="N3888" s="464">
        <f t="shared" si="180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78"/>
        <v>-264715701042.2363</v>
      </c>
      <c r="J3889" s="444">
        <f t="array" ref="J3889">IFERROR(INDEX('Retirement Calculator'!J:J,MATCH('Isaac 401k'!N3889,'Retirement Calculator'!A:A,0),0),0)</f>
        <v>0</v>
      </c>
      <c r="K3889" s="444">
        <f t="shared" ca="1" si="176"/>
        <v>-1102982087.6759844</v>
      </c>
      <c r="L3889" s="444">
        <f t="shared" ca="1" si="177"/>
        <v>-265818683129.91229</v>
      </c>
      <c r="M3889" s="460">
        <f t="shared" si="179"/>
        <v>0.05</v>
      </c>
      <c r="N3889" s="464">
        <f t="shared" si="180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78"/>
        <v>-265818683129.91229</v>
      </c>
      <c r="J3890" s="444">
        <f t="array" ref="J3890">IFERROR(INDEX('Retirement Calculator'!J:J,MATCH('Isaac 401k'!N3890,'Retirement Calculator'!A:A,0),0),0)</f>
        <v>0</v>
      </c>
      <c r="K3890" s="444">
        <f t="shared" ca="1" si="176"/>
        <v>-1107577846.3746345</v>
      </c>
      <c r="L3890" s="444">
        <f t="shared" ca="1" si="177"/>
        <v>-266926260976.28693</v>
      </c>
      <c r="M3890" s="460">
        <f t="shared" si="179"/>
        <v>0.05</v>
      </c>
      <c r="N3890" s="464">
        <f t="shared" si="180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78"/>
        <v>-266926260976.28693</v>
      </c>
      <c r="J3891" s="444">
        <f t="array" ref="J3891">IFERROR(INDEX('Retirement Calculator'!J:J,MATCH('Isaac 401k'!N3891,'Retirement Calculator'!A:A,0),0),0)</f>
        <v>0</v>
      </c>
      <c r="K3891" s="444">
        <f t="shared" ca="1" si="176"/>
        <v>-1112192754.0678623</v>
      </c>
      <c r="L3891" s="444">
        <f t="shared" ca="1" si="177"/>
        <v>-268038453730.3548</v>
      </c>
      <c r="M3891" s="460">
        <f t="shared" si="179"/>
        <v>0.05</v>
      </c>
      <c r="N3891" s="464">
        <f t="shared" si="180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78"/>
        <v>-268038453730.3548</v>
      </c>
      <c r="J3892" s="444">
        <f t="array" ref="J3892">IFERROR(INDEX('Retirement Calculator'!J:J,MATCH('Isaac 401k'!N3892,'Retirement Calculator'!A:A,0),0),0)</f>
        <v>0</v>
      </c>
      <c r="K3892" s="444">
        <f t="shared" ca="1" si="176"/>
        <v>-1116826890.5431449</v>
      </c>
      <c r="L3892" s="444">
        <f t="shared" ca="1" si="177"/>
        <v>-269155280620.89795</v>
      </c>
      <c r="M3892" s="460">
        <f t="shared" si="179"/>
        <v>0.05</v>
      </c>
      <c r="N3892" s="464">
        <f t="shared" si="180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78"/>
        <v>-269155280620.89795</v>
      </c>
      <c r="J3893" s="444">
        <f t="array" ref="J3893">IFERROR(INDEX('Retirement Calculator'!J:J,MATCH('Isaac 401k'!N3893,'Retirement Calculator'!A:A,0),0),0)</f>
        <v>0</v>
      </c>
      <c r="K3893" s="444">
        <f t="shared" ca="1" si="176"/>
        <v>-1121480335.9204082</v>
      </c>
      <c r="L3893" s="444">
        <f t="shared" ca="1" si="177"/>
        <v>-270276760956.81836</v>
      </c>
      <c r="M3893" s="460">
        <f t="shared" si="179"/>
        <v>0.05</v>
      </c>
      <c r="N3893" s="464">
        <f t="shared" si="180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78"/>
        <v>-270276760956.81836</v>
      </c>
      <c r="J3894" s="444">
        <f t="array" ref="J3894">IFERROR(INDEX('Retirement Calculator'!J:J,MATCH('Isaac 401k'!N3894,'Retirement Calculator'!A:A,0),0),0)</f>
        <v>0</v>
      </c>
      <c r="K3894" s="444">
        <f t="shared" ca="1" si="176"/>
        <v>-1126153170.6534097</v>
      </c>
      <c r="L3894" s="444">
        <f t="shared" ca="1" si="177"/>
        <v>-271402914127.47177</v>
      </c>
      <c r="M3894" s="460">
        <f t="shared" si="179"/>
        <v>0.05</v>
      </c>
      <c r="N3894" s="464">
        <f t="shared" si="180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78"/>
        <v>-271402914127.47177</v>
      </c>
      <c r="J3895" s="444">
        <f t="array" ref="J3895">IFERROR(INDEX('Retirement Calculator'!J:J,MATCH('Isaac 401k'!N3895,'Retirement Calculator'!A:A,0),0),0)</f>
        <v>0</v>
      </c>
      <c r="K3895" s="444">
        <f t="shared" ca="1" si="176"/>
        <v>-1130845475.5311325</v>
      </c>
      <c r="L3895" s="444">
        <f t="shared" ca="1" si="177"/>
        <v>-272533759603.0029</v>
      </c>
      <c r="M3895" s="460">
        <f t="shared" si="179"/>
        <v>0.05</v>
      </c>
      <c r="N3895" s="464">
        <f t="shared" si="180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78"/>
        <v>-272533759603.0029</v>
      </c>
      <c r="J3896" s="444">
        <f t="array" ref="J3896">IFERROR(INDEX('Retirement Calculator'!J:J,MATCH('Isaac 401k'!N3896,'Retirement Calculator'!A:A,0),0),0)</f>
        <v>0</v>
      </c>
      <c r="K3896" s="444">
        <f t="shared" ca="1" si="176"/>
        <v>-1135557331.679179</v>
      </c>
      <c r="L3896" s="444">
        <f t="shared" ca="1" si="177"/>
        <v>-273669316934.68207</v>
      </c>
      <c r="M3896" s="460">
        <f t="shared" si="179"/>
        <v>0.05</v>
      </c>
      <c r="N3896" s="464">
        <f t="shared" si="180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78"/>
        <v>-273669316934.68207</v>
      </c>
      <c r="J3897" s="444">
        <f t="array" ref="J3897">IFERROR(INDEX('Retirement Calculator'!J:J,MATCH('Isaac 401k'!N3897,'Retirement Calculator'!A:A,0),0),0)</f>
        <v>0</v>
      </c>
      <c r="K3897" s="444">
        <f t="shared" ca="1" si="176"/>
        <v>-1140288820.5611753</v>
      </c>
      <c r="L3897" s="444">
        <f t="shared" ca="1" si="177"/>
        <v>-274809605755.24326</v>
      </c>
      <c r="M3897" s="460">
        <f t="shared" si="179"/>
        <v>0.05</v>
      </c>
      <c r="N3897" s="464">
        <f t="shared" si="180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78"/>
        <v>-274809605755.24326</v>
      </c>
      <c r="J3898" s="444">
        <f t="array" ref="J3898">IFERROR(INDEX('Retirement Calculator'!J:J,MATCH('Isaac 401k'!N3898,'Retirement Calculator'!A:A,0),0),0)</f>
        <v>0</v>
      </c>
      <c r="K3898" s="444">
        <f t="shared" ca="1" si="176"/>
        <v>-1145040023.9801803</v>
      </c>
      <c r="L3898" s="444">
        <f t="shared" ca="1" si="177"/>
        <v>-275954645779.22345</v>
      </c>
      <c r="M3898" s="460">
        <f t="shared" si="179"/>
        <v>0.05</v>
      </c>
      <c r="N3898" s="464">
        <f t="shared" si="180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78"/>
        <v>-275954645779.22345</v>
      </c>
      <c r="J3899" s="444">
        <f t="array" ref="J3899">IFERROR(INDEX('Retirement Calculator'!J:J,MATCH('Isaac 401k'!N3899,'Retirement Calculator'!A:A,0),0),0)</f>
        <v>0</v>
      </c>
      <c r="K3899" s="444">
        <f t="shared" ca="1" si="176"/>
        <v>-1149811024.0800977</v>
      </c>
      <c r="L3899" s="444">
        <f t="shared" ca="1" si="177"/>
        <v>-277104456803.30353</v>
      </c>
      <c r="M3899" s="460">
        <f t="shared" si="179"/>
        <v>0.05</v>
      </c>
      <c r="N3899" s="464">
        <f t="shared" si="180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78"/>
        <v>-277104456803.30353</v>
      </c>
      <c r="J3900" s="444">
        <f t="array" ref="J3900">IFERROR(INDEX('Retirement Calculator'!J:J,MATCH('Isaac 401k'!N3900,'Retirement Calculator'!A:A,0),0),0)</f>
        <v>0</v>
      </c>
      <c r="K3900" s="444">
        <f t="shared" ca="1" si="176"/>
        <v>-1154601903.3470981</v>
      </c>
      <c r="L3900" s="444">
        <f t="shared" ca="1" si="177"/>
        <v>-278259058706.65063</v>
      </c>
      <c r="M3900" s="460">
        <f t="shared" si="179"/>
        <v>0.05</v>
      </c>
      <c r="N3900" s="464">
        <f t="shared" si="180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78"/>
        <v>-278259058706.65063</v>
      </c>
      <c r="J3901" s="444">
        <f t="array" ref="J3901">IFERROR(INDEX('Retirement Calculator'!J:J,MATCH('Isaac 401k'!N3901,'Retirement Calculator'!A:A,0),0),0)</f>
        <v>0</v>
      </c>
      <c r="K3901" s="444">
        <f t="shared" ca="1" si="176"/>
        <v>-1159412744.6110444</v>
      </c>
      <c r="L3901" s="444">
        <f t="shared" ca="1" si="177"/>
        <v>-279418471451.26166</v>
      </c>
      <c r="M3901" s="460">
        <f t="shared" si="179"/>
        <v>0.05</v>
      </c>
      <c r="N3901" s="464">
        <f t="shared" si="180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78"/>
        <v>-279418471451.26166</v>
      </c>
      <c r="J3902" s="444">
        <f t="array" ref="J3902">IFERROR(INDEX('Retirement Calculator'!J:J,MATCH('Isaac 401k'!N3902,'Retirement Calculator'!A:A,0),0),0)</f>
        <v>0</v>
      </c>
      <c r="K3902" s="444">
        <f t="shared" ca="1" si="176"/>
        <v>-1164243631.0469236</v>
      </c>
      <c r="L3902" s="444">
        <f t="shared" ca="1" si="177"/>
        <v>-280582715082.30859</v>
      </c>
      <c r="M3902" s="460">
        <f t="shared" si="179"/>
        <v>0.05</v>
      </c>
      <c r="N3902" s="464">
        <f t="shared" si="180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78"/>
        <v>-280582715082.30859</v>
      </c>
      <c r="J3903" s="444">
        <f t="array" ref="J3903">IFERROR(INDEX('Retirement Calculator'!J:J,MATCH('Isaac 401k'!N3903,'Retirement Calculator'!A:A,0),0),0)</f>
        <v>0</v>
      </c>
      <c r="K3903" s="444">
        <f t="shared" ca="1" si="176"/>
        <v>-1169094646.1762857</v>
      </c>
      <c r="L3903" s="444">
        <f t="shared" ca="1" si="177"/>
        <v>-281751809728.48486</v>
      </c>
      <c r="M3903" s="460">
        <f t="shared" si="179"/>
        <v>0.05</v>
      </c>
      <c r="N3903" s="464">
        <f t="shared" si="180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78"/>
        <v>-281751809728.48486</v>
      </c>
      <c r="J3904" s="444">
        <f t="array" ref="J3904">IFERROR(INDEX('Retirement Calculator'!J:J,MATCH('Isaac 401k'!N3904,'Retirement Calculator'!A:A,0),0),0)</f>
        <v>0</v>
      </c>
      <c r="K3904" s="444">
        <f t="shared" ca="1" si="176"/>
        <v>-1173965873.8686869</v>
      </c>
      <c r="L3904" s="444">
        <f t="shared" ca="1" si="177"/>
        <v>-282925775602.35358</v>
      </c>
      <c r="M3904" s="460">
        <f t="shared" si="179"/>
        <v>0.05</v>
      </c>
      <c r="N3904" s="464">
        <f t="shared" si="180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78"/>
        <v>-282925775602.35358</v>
      </c>
      <c r="J3905" s="444">
        <f t="array" ref="J3905">IFERROR(INDEX('Retirement Calculator'!J:J,MATCH('Isaac 401k'!N3905,'Retirement Calculator'!A:A,0),0),0)</f>
        <v>0</v>
      </c>
      <c r="K3905" s="444">
        <f t="shared" ca="1" si="176"/>
        <v>-1178857398.3431399</v>
      </c>
      <c r="L3905" s="444">
        <f t="shared" ca="1" si="177"/>
        <v>-284104633000.69672</v>
      </c>
      <c r="M3905" s="460">
        <f t="shared" si="179"/>
        <v>0.05</v>
      </c>
      <c r="N3905" s="464">
        <f t="shared" si="180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78"/>
        <v>-284104633000.69672</v>
      </c>
      <c r="J3906" s="444">
        <f t="array" ref="J3906">IFERROR(INDEX('Retirement Calculator'!J:J,MATCH('Isaac 401k'!N3906,'Retirement Calculator'!A:A,0),0),0)</f>
        <v>0</v>
      </c>
      <c r="K3906" s="444">
        <f t="shared" ca="1" si="176"/>
        <v>-1183769304.1695697</v>
      </c>
      <c r="L3906" s="444">
        <f t="shared" ca="1" si="177"/>
        <v>-285288402304.86627</v>
      </c>
      <c r="M3906" s="460">
        <f t="shared" si="179"/>
        <v>0.05</v>
      </c>
      <c r="N3906" s="464">
        <f t="shared" si="180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78"/>
        <v>-285288402304.86627</v>
      </c>
      <c r="J3907" s="444">
        <f t="array" ref="J3907">IFERROR(INDEX('Retirement Calculator'!J:J,MATCH('Isaac 401k'!N3907,'Retirement Calculator'!A:A,0),0),0)</f>
        <v>0</v>
      </c>
      <c r="K3907" s="444">
        <f t="shared" ca="1" si="176"/>
        <v>-1188701676.2702761</v>
      </c>
      <c r="L3907" s="444">
        <f t="shared" ca="1" si="177"/>
        <v>-286477103981.13654</v>
      </c>
      <c r="M3907" s="460">
        <f t="shared" si="179"/>
        <v>0.05</v>
      </c>
      <c r="N3907" s="464">
        <f t="shared" si="180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78"/>
        <v>-286477103981.13654</v>
      </c>
      <c r="J3908" s="444">
        <f t="array" ref="J3908">IFERROR(INDEX('Retirement Calculator'!J:J,MATCH('Isaac 401k'!N3908,'Retirement Calculator'!A:A,0),0),0)</f>
        <v>0</v>
      </c>
      <c r="K3908" s="444">
        <f t="shared" ca="1" si="176"/>
        <v>-1193654599.9214022</v>
      </c>
      <c r="L3908" s="444">
        <f t="shared" ca="1" si="177"/>
        <v>-287670758581.05792</v>
      </c>
      <c r="M3908" s="460">
        <f t="shared" si="179"/>
        <v>0.05</v>
      </c>
      <c r="N3908" s="464">
        <f t="shared" si="180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78"/>
        <v>-287670758581.05792</v>
      </c>
      <c r="J3909" s="444">
        <f t="array" ref="J3909">IFERROR(INDEX('Retirement Calculator'!J:J,MATCH('Isaac 401k'!N3909,'Retirement Calculator'!A:A,0),0),0)</f>
        <v>0</v>
      </c>
      <c r="K3909" s="444">
        <f t="shared" ca="1" si="176"/>
        <v>-1198628160.7544079</v>
      </c>
      <c r="L3909" s="444">
        <f t="shared" ca="1" si="177"/>
        <v>-288869386741.81232</v>
      </c>
      <c r="M3909" s="460">
        <f t="shared" si="179"/>
        <v>0.05</v>
      </c>
      <c r="N3909" s="464">
        <f t="shared" si="180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78"/>
        <v>-288869386741.81232</v>
      </c>
      <c r="J3910" s="444">
        <f t="array" ref="J3910">IFERROR(INDEX('Retirement Calculator'!J:J,MATCH('Isaac 401k'!N3910,'Retirement Calculator'!A:A,0),0),0)</f>
        <v>0</v>
      </c>
      <c r="K3910" s="444">
        <f t="shared" ca="1" si="176"/>
        <v>-1203622444.7575512</v>
      </c>
      <c r="L3910" s="444">
        <f t="shared" ca="1" si="177"/>
        <v>-290073009186.56989</v>
      </c>
      <c r="M3910" s="460">
        <f t="shared" si="179"/>
        <v>0.05</v>
      </c>
      <c r="N3910" s="464">
        <f t="shared" si="180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78"/>
        <v>-290073009186.56989</v>
      </c>
      <c r="J3911" s="444">
        <f t="array" ref="J3911">IFERROR(INDEX('Retirement Calculator'!J:J,MATCH('Isaac 401k'!N3911,'Retirement Calculator'!A:A,0),0),0)</f>
        <v>0</v>
      </c>
      <c r="K3911" s="444">
        <f t="shared" ca="1" si="176"/>
        <v>-1208637538.2773745</v>
      </c>
      <c r="L3911" s="444">
        <f t="shared" ca="1" si="177"/>
        <v>-291281646724.84729</v>
      </c>
      <c r="M3911" s="460">
        <f t="shared" si="179"/>
        <v>0.05</v>
      </c>
      <c r="N3911" s="464">
        <f t="shared" si="180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78"/>
        <v>-291281646724.84729</v>
      </c>
      <c r="J3912" s="444">
        <f t="array" ref="J3912">IFERROR(INDEX('Retirement Calculator'!J:J,MATCH('Isaac 401k'!N3912,'Retirement Calculator'!A:A,0),0),0)</f>
        <v>0</v>
      </c>
      <c r="K3912" s="444">
        <f t="shared" ca="1" si="176"/>
        <v>-1213673528.0201969</v>
      </c>
      <c r="L3912" s="444">
        <f t="shared" ca="1" si="177"/>
        <v>-292495320252.86749</v>
      </c>
      <c r="M3912" s="460">
        <f t="shared" si="179"/>
        <v>0.05</v>
      </c>
      <c r="N3912" s="464">
        <f t="shared" si="180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78"/>
        <v>-292495320252.86749</v>
      </c>
      <c r="J3913" s="444">
        <f t="array" ref="J3913">IFERROR(INDEX('Retirement Calculator'!J:J,MATCH('Isaac 401k'!N3913,'Retirement Calculator'!A:A,0),0),0)</f>
        <v>0</v>
      </c>
      <c r="K3913" s="444">
        <f t="shared" ca="1" si="176"/>
        <v>-1218730501.0536146</v>
      </c>
      <c r="L3913" s="444">
        <f t="shared" ca="1" si="177"/>
        <v>-293714050753.92108</v>
      </c>
      <c r="M3913" s="460">
        <f t="shared" si="179"/>
        <v>0.05</v>
      </c>
      <c r="N3913" s="464">
        <f t="shared" si="180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78"/>
        <v>-293714050753.92108</v>
      </c>
      <c r="J3914" s="444">
        <f t="array" ref="J3914">IFERROR(INDEX('Retirement Calculator'!J:J,MATCH('Isaac 401k'!N3914,'Retirement Calculator'!A:A,0),0),0)</f>
        <v>0</v>
      </c>
      <c r="K3914" s="444">
        <f t="shared" ca="1" si="176"/>
        <v>-1223808544.8080044</v>
      </c>
      <c r="L3914" s="444">
        <f t="shared" ca="1" si="177"/>
        <v>-294937859298.72906</v>
      </c>
      <c r="M3914" s="460">
        <f t="shared" si="179"/>
        <v>0.05</v>
      </c>
      <c r="N3914" s="464">
        <f t="shared" si="180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78"/>
        <v>-294937859298.72906</v>
      </c>
      <c r="J3915" s="444">
        <f t="array" ref="J3915">IFERROR(INDEX('Retirement Calculator'!J:J,MATCH('Isaac 401k'!N3915,'Retirement Calculator'!A:A,0),0),0)</f>
        <v>0</v>
      </c>
      <c r="K3915" s="444">
        <f t="shared" ca="1" si="176"/>
        <v>-1228907747.0780377</v>
      </c>
      <c r="L3915" s="444">
        <f t="shared" ca="1" si="177"/>
        <v>-296166767045.80713</v>
      </c>
      <c r="M3915" s="460">
        <f t="shared" si="179"/>
        <v>0.05</v>
      </c>
      <c r="N3915" s="464">
        <f t="shared" si="180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78"/>
        <v>-296166767045.80713</v>
      </c>
      <c r="J3916" s="444">
        <f t="array" ref="J3916">IFERROR(INDEX('Retirement Calculator'!J:J,MATCH('Isaac 401k'!N3916,'Retirement Calculator'!A:A,0),0),0)</f>
        <v>0</v>
      </c>
      <c r="K3916" s="444">
        <f t="shared" ca="1" si="176"/>
        <v>-1234028196.0241964</v>
      </c>
      <c r="L3916" s="444">
        <f t="shared" ca="1" si="177"/>
        <v>-297400795241.8313</v>
      </c>
      <c r="M3916" s="460">
        <f t="shared" si="179"/>
        <v>0.05</v>
      </c>
      <c r="N3916" s="464">
        <f t="shared" si="180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78"/>
        <v>-297400795241.8313</v>
      </c>
      <c r="J3917" s="444">
        <f t="array" ref="J3917">IFERROR(INDEX('Retirement Calculator'!J:J,MATCH('Isaac 401k'!N3917,'Retirement Calculator'!A:A,0),0),0)</f>
        <v>0</v>
      </c>
      <c r="K3917" s="444">
        <f t="shared" ca="1" si="176"/>
        <v>-1239169980.1742971</v>
      </c>
      <c r="L3917" s="444">
        <f t="shared" ca="1" si="177"/>
        <v>-298639965222.00562</v>
      </c>
      <c r="M3917" s="460">
        <f t="shared" si="179"/>
        <v>0.05</v>
      </c>
      <c r="N3917" s="464">
        <f t="shared" si="180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78"/>
        <v>-298639965222.00562</v>
      </c>
      <c r="J3918" s="444">
        <f t="array" ref="J3918">IFERROR(INDEX('Retirement Calculator'!J:J,MATCH('Isaac 401k'!N3918,'Retirement Calculator'!A:A,0),0),0)</f>
        <v>0</v>
      </c>
      <c r="K3918" s="444">
        <f t="shared" ca="1" si="176"/>
        <v>-1244333188.4250233</v>
      </c>
      <c r="L3918" s="444">
        <f t="shared" ca="1" si="177"/>
        <v>-299884298410.43066</v>
      </c>
      <c r="M3918" s="460">
        <f t="shared" si="179"/>
        <v>0.05</v>
      </c>
      <c r="N3918" s="464">
        <f t="shared" si="180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78"/>
        <v>-299884298410.43066</v>
      </c>
      <c r="J3919" s="444">
        <f t="array" ref="J3919">IFERROR(INDEX('Retirement Calculator'!J:J,MATCH('Isaac 401k'!N3919,'Retirement Calculator'!A:A,0),0),0)</f>
        <v>0</v>
      </c>
      <c r="K3919" s="444">
        <f t="shared" ca="1" si="176"/>
        <v>-1249517910.0434611</v>
      </c>
      <c r="L3919" s="444">
        <f t="shared" ca="1" si="177"/>
        <v>-301133816320.47412</v>
      </c>
      <c r="M3919" s="460">
        <f t="shared" si="179"/>
        <v>0.05</v>
      </c>
      <c r="N3919" s="464">
        <f t="shared" si="180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78"/>
        <v>-301133816320.47412</v>
      </c>
      <c r="J3920" s="444">
        <f t="array" ref="J3920">IFERROR(INDEX('Retirement Calculator'!J:J,MATCH('Isaac 401k'!N3920,'Retirement Calculator'!A:A,0),0),0)</f>
        <v>0</v>
      </c>
      <c r="K3920" s="444">
        <f t="shared" ca="1" si="176"/>
        <v>-1254724234.668642</v>
      </c>
      <c r="L3920" s="444">
        <f t="shared" ca="1" si="177"/>
        <v>-302388540555.14276</v>
      </c>
      <c r="M3920" s="460">
        <f t="shared" si="179"/>
        <v>0.05</v>
      </c>
      <c r="N3920" s="464">
        <f t="shared" si="180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78"/>
        <v>-302388540555.14276</v>
      </c>
      <c r="J3921" s="444">
        <f t="array" ref="J3921">IFERROR(INDEX('Retirement Calculator'!J:J,MATCH('Isaac 401k'!N3921,'Retirement Calculator'!A:A,0),0),0)</f>
        <v>0</v>
      </c>
      <c r="K3921" s="444">
        <f t="shared" ca="1" si="176"/>
        <v>-1259952252.3130949</v>
      </c>
      <c r="L3921" s="444">
        <f t="shared" ca="1" si="177"/>
        <v>-303648492807.45587</v>
      </c>
      <c r="M3921" s="460">
        <f t="shared" si="179"/>
        <v>0.05</v>
      </c>
      <c r="N3921" s="464">
        <f t="shared" si="180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78"/>
        <v>-303648492807.45587</v>
      </c>
      <c r="J3922" s="444">
        <f t="array" ref="J3922">IFERROR(INDEX('Retirement Calculator'!J:J,MATCH('Isaac 401k'!N3922,'Retirement Calculator'!A:A,0),0),0)</f>
        <v>0</v>
      </c>
      <c r="K3922" s="444">
        <f t="shared" ca="1" si="176"/>
        <v>-1265202053.3643994</v>
      </c>
      <c r="L3922" s="444">
        <f t="shared" ca="1" si="177"/>
        <v>-304913694860.82025</v>
      </c>
      <c r="M3922" s="460">
        <f t="shared" si="179"/>
        <v>0.05</v>
      </c>
      <c r="N3922" s="464">
        <f t="shared" si="180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78"/>
        <v>-304913694860.82025</v>
      </c>
      <c r="J3923" s="444">
        <f t="array" ref="J3923">IFERROR(INDEX('Retirement Calculator'!J:J,MATCH('Isaac 401k'!N3923,'Retirement Calculator'!A:A,0),0),0)</f>
        <v>0</v>
      </c>
      <c r="K3923" s="444">
        <f t="shared" ca="1" si="176"/>
        <v>-1270473728.586751</v>
      </c>
      <c r="L3923" s="444">
        <f t="shared" ca="1" si="177"/>
        <v>-306184168589.40698</v>
      </c>
      <c r="M3923" s="460">
        <f t="shared" si="179"/>
        <v>0.05</v>
      </c>
      <c r="N3923" s="464">
        <f t="shared" si="180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78"/>
        <v>-306184168589.40698</v>
      </c>
      <c r="J3924" s="444">
        <f t="array" ref="J3924">IFERROR(INDEX('Retirement Calculator'!J:J,MATCH('Isaac 401k'!N3924,'Retirement Calculator'!A:A,0),0),0)</f>
        <v>0</v>
      </c>
      <c r="K3924" s="444">
        <f t="shared" ca="1" si="176"/>
        <v>-1275767369.122529</v>
      </c>
      <c r="L3924" s="444">
        <f t="shared" ca="1" si="177"/>
        <v>-307459935958.52954</v>
      </c>
      <c r="M3924" s="460">
        <f t="shared" si="179"/>
        <v>0.05</v>
      </c>
      <c r="N3924" s="464">
        <f t="shared" si="180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78"/>
        <v>-307459935958.52954</v>
      </c>
      <c r="J3925" s="444">
        <f t="array" ref="J3925">IFERROR(INDEX('Retirement Calculator'!J:J,MATCH('Isaac 401k'!N3925,'Retirement Calculator'!A:A,0),0),0)</f>
        <v>0</v>
      </c>
      <c r="K3925" s="444">
        <f t="shared" ca="1" si="176"/>
        <v>-1281083066.4938731</v>
      </c>
      <c r="L3925" s="444">
        <f t="shared" ca="1" si="177"/>
        <v>-308741019025.02344</v>
      </c>
      <c r="M3925" s="460">
        <f t="shared" si="179"/>
        <v>0.05</v>
      </c>
      <c r="N3925" s="464">
        <f t="shared" si="180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78"/>
        <v>-308741019025.02344</v>
      </c>
      <c r="J3926" s="444">
        <f t="array" ref="J3926">IFERROR(INDEX('Retirement Calculator'!J:J,MATCH('Isaac 401k'!N3926,'Retirement Calculator'!A:A,0),0),0)</f>
        <v>0</v>
      </c>
      <c r="K3926" s="444">
        <f t="shared" ca="1" si="176"/>
        <v>-1286420912.6042643</v>
      </c>
      <c r="L3926" s="444">
        <f t="shared" ca="1" si="177"/>
        <v>-310027439937.62769</v>
      </c>
      <c r="M3926" s="460">
        <f t="shared" si="179"/>
        <v>0.05</v>
      </c>
      <c r="N3926" s="464">
        <f t="shared" si="180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78"/>
        <v>-310027439937.62769</v>
      </c>
      <c r="J3927" s="444">
        <f t="array" ref="J3927">IFERROR(INDEX('Retirement Calculator'!J:J,MATCH('Isaac 401k'!N3927,'Retirement Calculator'!A:A,0),0),0)</f>
        <v>0</v>
      </c>
      <c r="K3927" s="444">
        <f t="shared" ca="1" si="176"/>
        <v>-1291780999.7401154</v>
      </c>
      <c r="L3927" s="444">
        <f t="shared" ca="1" si="177"/>
        <v>-311319220937.3678</v>
      </c>
      <c r="M3927" s="460">
        <f t="shared" si="179"/>
        <v>0.05</v>
      </c>
      <c r="N3927" s="464">
        <f t="shared" si="180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78"/>
        <v>-311319220937.3678</v>
      </c>
      <c r="J3928" s="444">
        <f t="array" ref="J3928">IFERROR(INDEX('Retirement Calculator'!J:J,MATCH('Isaac 401k'!N3928,'Retirement Calculator'!A:A,0),0),0)</f>
        <v>0</v>
      </c>
      <c r="K3928" s="444">
        <f t="shared" ca="1" si="176"/>
        <v>-1297163420.5723658</v>
      </c>
      <c r="L3928" s="444">
        <f t="shared" ca="1" si="177"/>
        <v>-312616384357.94019</v>
      </c>
      <c r="M3928" s="460">
        <f t="shared" si="179"/>
        <v>0.05</v>
      </c>
      <c r="N3928" s="464">
        <f t="shared" si="180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78"/>
        <v>-312616384357.94019</v>
      </c>
      <c r="J3929" s="444">
        <f t="array" ref="J3929">IFERROR(INDEX('Retirement Calculator'!J:J,MATCH('Isaac 401k'!N3929,'Retirement Calculator'!A:A,0),0),0)</f>
        <v>0</v>
      </c>
      <c r="K3929" s="444">
        <f t="shared" ca="1" si="176"/>
        <v>-1302568268.1580842</v>
      </c>
      <c r="L3929" s="444">
        <f t="shared" ca="1" si="177"/>
        <v>-313918952626.09827</v>
      </c>
      <c r="M3929" s="460">
        <f t="shared" si="179"/>
        <v>0.05</v>
      </c>
      <c r="N3929" s="464">
        <f t="shared" si="180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78"/>
        <v>-313918952626.09827</v>
      </c>
      <c r="J3930" s="444">
        <f t="array" ref="J3930">IFERROR(INDEX('Retirement Calculator'!J:J,MATCH('Isaac 401k'!N3930,'Retirement Calculator'!A:A,0),0),0)</f>
        <v>0</v>
      </c>
      <c r="K3930" s="444">
        <f t="shared" ca="1" si="176"/>
        <v>-1307995635.9420762</v>
      </c>
      <c r="L3930" s="444">
        <f t="shared" ca="1" si="177"/>
        <v>-315226948262.04034</v>
      </c>
      <c r="M3930" s="460">
        <f t="shared" si="179"/>
        <v>0.05</v>
      </c>
      <c r="N3930" s="464">
        <f t="shared" si="180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78"/>
        <v>-315226948262.04034</v>
      </c>
      <c r="J3931" s="444">
        <f t="array" ref="J3931">IFERROR(INDEX('Retirement Calculator'!J:J,MATCH('Isaac 401k'!N3931,'Retirement Calculator'!A:A,0),0),0)</f>
        <v>0</v>
      </c>
      <c r="K3931" s="444">
        <f t="shared" ca="1" si="176"/>
        <v>-1313445617.7585015</v>
      </c>
      <c r="L3931" s="444">
        <f t="shared" ca="1" si="177"/>
        <v>-316540393879.79883</v>
      </c>
      <c r="M3931" s="460">
        <f t="shared" si="179"/>
        <v>0.05</v>
      </c>
      <c r="N3931" s="464">
        <f t="shared" si="180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78"/>
        <v>-316540393879.79883</v>
      </c>
      <c r="J3932" s="444">
        <f t="array" ref="J3932">IFERROR(INDEX('Retirement Calculator'!J:J,MATCH('Isaac 401k'!N3932,'Retirement Calculator'!A:A,0),0),0)</f>
        <v>0</v>
      </c>
      <c r="K3932" s="444">
        <f t="shared" ca="1" si="176"/>
        <v>-1318918307.8324952</v>
      </c>
      <c r="L3932" s="444">
        <f t="shared" ca="1" si="177"/>
        <v>-317859312187.63135</v>
      </c>
      <c r="M3932" s="460">
        <f t="shared" si="179"/>
        <v>0.05</v>
      </c>
      <c r="N3932" s="464">
        <f t="shared" si="180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78"/>
        <v>-317859312187.63135</v>
      </c>
      <c r="J3933" s="444">
        <f t="array" ref="J3933">IFERROR(INDEX('Retirement Calculator'!J:J,MATCH('Isaac 401k'!N3933,'Retirement Calculator'!A:A,0),0),0)</f>
        <v>0</v>
      </c>
      <c r="K3933" s="444">
        <f t="shared" ca="1" si="176"/>
        <v>-1324413800.7817972</v>
      </c>
      <c r="L3933" s="444">
        <f t="shared" ca="1" si="177"/>
        <v>-319183725988.41315</v>
      </c>
      <c r="M3933" s="460">
        <f t="shared" si="179"/>
        <v>0.05</v>
      </c>
      <c r="N3933" s="464">
        <f t="shared" si="180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78"/>
        <v>-319183725988.41315</v>
      </c>
      <c r="J3934" s="444">
        <f t="array" ref="J3934">IFERROR(INDEX('Retirement Calculator'!J:J,MATCH('Isaac 401k'!N3934,'Retirement Calculator'!A:A,0),0),0)</f>
        <v>0</v>
      </c>
      <c r="K3934" s="444">
        <f t="shared" ca="1" si="176"/>
        <v>-1329932191.6183882</v>
      </c>
      <c r="L3934" s="444">
        <f t="shared" ca="1" si="177"/>
        <v>-320513658180.03156</v>
      </c>
      <c r="M3934" s="460">
        <f t="shared" si="179"/>
        <v>0.05</v>
      </c>
      <c r="N3934" s="464">
        <f t="shared" si="180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78"/>
        <v>-320513658180.03156</v>
      </c>
      <c r="J3935" s="444">
        <f t="array" ref="J3935">IFERROR(INDEX('Retirement Calculator'!J:J,MATCH('Isaac 401k'!N3935,'Retirement Calculator'!A:A,0),0),0)</f>
        <v>0</v>
      </c>
      <c r="K3935" s="444">
        <f t="shared" ca="1" si="176"/>
        <v>-1335473575.7501314</v>
      </c>
      <c r="L3935" s="444">
        <f t="shared" ca="1" si="177"/>
        <v>-321849131755.78168</v>
      </c>
      <c r="M3935" s="460">
        <f t="shared" si="179"/>
        <v>0.05</v>
      </c>
      <c r="N3935" s="464">
        <f t="shared" si="180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78"/>
        <v>-321849131755.78168</v>
      </c>
      <c r="J3936" s="444">
        <f t="array" ref="J3936">IFERROR(INDEX('Retirement Calculator'!J:J,MATCH('Isaac 401k'!N3936,'Retirement Calculator'!A:A,0),0),0)</f>
        <v>0</v>
      </c>
      <c r="K3936" s="444">
        <f t="shared" ca="1" si="176"/>
        <v>-1341038048.9824235</v>
      </c>
      <c r="L3936" s="444">
        <f t="shared" ca="1" si="177"/>
        <v>-323190169804.7641</v>
      </c>
      <c r="M3936" s="460">
        <f t="shared" si="179"/>
        <v>0.05</v>
      </c>
      <c r="N3936" s="464">
        <f t="shared" si="180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78"/>
        <v>-323190169804.7641</v>
      </c>
      <c r="J3937" s="444">
        <f t="array" ref="J3937">IFERROR(INDEX('Retirement Calculator'!J:J,MATCH('Isaac 401k'!N3937,'Retirement Calculator'!A:A,0),0),0)</f>
        <v>0</v>
      </c>
      <c r="K3937" s="444">
        <f t="shared" ca="1" si="176"/>
        <v>-1346625707.5198505</v>
      </c>
      <c r="L3937" s="444">
        <f t="shared" ca="1" si="177"/>
        <v>-324536795512.28394</v>
      </c>
      <c r="M3937" s="460">
        <f t="shared" si="179"/>
        <v>0.05</v>
      </c>
      <c r="N3937" s="464">
        <f t="shared" si="180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78"/>
        <v>-324536795512.28394</v>
      </c>
      <c r="J3938" s="444">
        <f t="array" ref="J3938">IFERROR(INDEX('Retirement Calculator'!J:J,MATCH('Isaac 401k'!N3938,'Retirement Calculator'!A:A,0),0),0)</f>
        <v>0</v>
      </c>
      <c r="K3938" s="444">
        <f t="shared" ca="1" si="176"/>
        <v>-1352236647.9678497</v>
      </c>
      <c r="L3938" s="444">
        <f t="shared" ca="1" si="177"/>
        <v>-325889032160.25177</v>
      </c>
      <c r="M3938" s="460">
        <f t="shared" si="179"/>
        <v>0.05</v>
      </c>
      <c r="N3938" s="464">
        <f t="shared" si="180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78"/>
        <v>-325889032160.25177</v>
      </c>
      <c r="J3939" s="444">
        <f t="array" ref="J3939">IFERROR(INDEX('Retirement Calculator'!J:J,MATCH('Isaac 401k'!N3939,'Retirement Calculator'!A:A,0),0),0)</f>
        <v>0</v>
      </c>
      <c r="K3939" s="444">
        <f t="shared" ca="1" si="176"/>
        <v>-1357870967.3343823</v>
      </c>
      <c r="L3939" s="444">
        <f t="shared" ca="1" si="177"/>
        <v>-327246903127.58618</v>
      </c>
      <c r="M3939" s="460">
        <f t="shared" si="179"/>
        <v>0.05</v>
      </c>
      <c r="N3939" s="464">
        <f t="shared" si="180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78"/>
        <v>-327246903127.58618</v>
      </c>
      <c r="J3940" s="444">
        <f t="array" ref="J3940">IFERROR(INDEX('Retirement Calculator'!J:J,MATCH('Isaac 401k'!N3940,'Retirement Calculator'!A:A,0),0),0)</f>
        <v>0</v>
      </c>
      <c r="K3940" s="444">
        <f t="shared" ca="1" si="176"/>
        <v>-1363528763.0316091</v>
      </c>
      <c r="L3940" s="444">
        <f t="shared" ca="1" si="177"/>
        <v>-328610431890.6178</v>
      </c>
      <c r="M3940" s="460">
        <f t="shared" si="179"/>
        <v>0.05</v>
      </c>
      <c r="N3940" s="464">
        <f t="shared" si="180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78"/>
        <v>-328610431890.6178</v>
      </c>
      <c r="J3941" s="444">
        <f t="array" ref="J3941">IFERROR(INDEX('Retirement Calculator'!J:J,MATCH('Isaac 401k'!N3941,'Retirement Calculator'!A:A,0),0),0)</f>
        <v>0</v>
      </c>
      <c r="K3941" s="444">
        <f t="shared" ca="1" si="176"/>
        <v>-1369210132.8775742</v>
      </c>
      <c r="L3941" s="444">
        <f t="shared" ca="1" si="177"/>
        <v>-329979642023.49536</v>
      </c>
      <c r="M3941" s="460">
        <f t="shared" si="179"/>
        <v>0.05</v>
      </c>
      <c r="N3941" s="464">
        <f t="shared" si="180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78"/>
        <v>-329979642023.49536</v>
      </c>
      <c r="J3942" s="444">
        <f t="array" ref="J3942">IFERROR(INDEX('Retirement Calculator'!J:J,MATCH('Isaac 401k'!N3942,'Retirement Calculator'!A:A,0),0),0)</f>
        <v>0</v>
      </c>
      <c r="K3942" s="444">
        <f t="shared" ca="1" si="176"/>
        <v>-1374915175.0978973</v>
      </c>
      <c r="L3942" s="444">
        <f t="shared" ca="1" si="177"/>
        <v>-331354557198.59326</v>
      </c>
      <c r="M3942" s="460">
        <f t="shared" si="179"/>
        <v>0.05</v>
      </c>
      <c r="N3942" s="464">
        <f t="shared" si="180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78"/>
        <v>-331354557198.59326</v>
      </c>
      <c r="J3943" s="444">
        <f t="array" ref="J3943">IFERROR(INDEX('Retirement Calculator'!J:J,MATCH('Isaac 401k'!N3943,'Retirement Calculator'!A:A,0),0),0)</f>
        <v>0</v>
      </c>
      <c r="K3943" s="444">
        <f t="shared" ca="1" si="176"/>
        <v>-1380643988.327472</v>
      </c>
      <c r="L3943" s="444">
        <f t="shared" ca="1" si="177"/>
        <v>-332735201186.92072</v>
      </c>
      <c r="M3943" s="460">
        <f t="shared" si="179"/>
        <v>0.05</v>
      </c>
      <c r="N3943" s="464">
        <f t="shared" si="180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78"/>
        <v>-332735201186.92072</v>
      </c>
      <c r="J3944" s="444">
        <f t="array" ref="J3944">IFERROR(INDEX('Retirement Calculator'!J:J,MATCH('Isaac 401k'!N3944,'Retirement Calculator'!A:A,0),0),0)</f>
        <v>0</v>
      </c>
      <c r="K3944" s="444">
        <f t="shared" ca="1" si="176"/>
        <v>-1386396671.6121697</v>
      </c>
      <c r="L3944" s="444">
        <f t="shared" ca="1" si="177"/>
        <v>-334121597858.5329</v>
      </c>
      <c r="M3944" s="460">
        <f t="shared" si="179"/>
        <v>0.05</v>
      </c>
      <c r="N3944" s="464">
        <f t="shared" si="180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78"/>
        <v>-334121597858.5329</v>
      </c>
      <c r="J3945" s="444">
        <f t="array" ref="J3945">IFERROR(INDEX('Retirement Calculator'!J:J,MATCH('Isaac 401k'!N3945,'Retirement Calculator'!A:A,0),0),0)</f>
        <v>0</v>
      </c>
      <c r="K3945" s="444">
        <f t="shared" ca="1" si="176"/>
        <v>-1392173324.4105537</v>
      </c>
      <c r="L3945" s="444">
        <f t="shared" ca="1" si="177"/>
        <v>-335513771182.94348</v>
      </c>
      <c r="M3945" s="460">
        <f t="shared" si="179"/>
        <v>0.05</v>
      </c>
      <c r="N3945" s="464">
        <f t="shared" si="180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78"/>
        <v>-335513771182.94348</v>
      </c>
      <c r="J3946" s="444">
        <f t="array" ref="J3946">IFERROR(INDEX('Retirement Calculator'!J:J,MATCH('Isaac 401k'!N3946,'Retirement Calculator'!A:A,0),0),0)</f>
        <v>0</v>
      </c>
      <c r="K3946" s="444">
        <f t="shared" ca="1" si="176"/>
        <v>-1397974046.5955977</v>
      </c>
      <c r="L3946" s="444">
        <f t="shared" ca="1" si="177"/>
        <v>-336911745229.53906</v>
      </c>
      <c r="M3946" s="460">
        <f t="shared" si="179"/>
        <v>0.05</v>
      </c>
      <c r="N3946" s="464">
        <f t="shared" si="180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78"/>
        <v>-336911745229.53906</v>
      </c>
      <c r="J3947" s="444">
        <f t="array" ref="J3947">IFERROR(INDEX('Retirement Calculator'!J:J,MATCH('Isaac 401k'!N3947,'Retirement Calculator'!A:A,0),0),0)</f>
        <v>0</v>
      </c>
      <c r="K3947" s="444">
        <f t="shared" ca="1" si="176"/>
        <v>-1403798938.4564128</v>
      </c>
      <c r="L3947" s="444">
        <f t="shared" ca="1" si="177"/>
        <v>-338315544167.99548</v>
      </c>
      <c r="M3947" s="460">
        <f t="shared" si="179"/>
        <v>0.05</v>
      </c>
      <c r="N3947" s="464">
        <f t="shared" si="180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78"/>
        <v>-338315544167.99548</v>
      </c>
      <c r="J3948" s="444">
        <f t="array" ref="J3948">IFERROR(INDEX('Retirement Calculator'!J:J,MATCH('Isaac 401k'!N3948,'Retirement Calculator'!A:A,0),0),0)</f>
        <v>0</v>
      </c>
      <c r="K3948" s="444">
        <f t="shared" ca="1" si="176"/>
        <v>-1409648100.6999812</v>
      </c>
      <c r="L3948" s="444">
        <f t="shared" ca="1" si="177"/>
        <v>-339725192268.69543</v>
      </c>
      <c r="M3948" s="460">
        <f t="shared" si="179"/>
        <v>0.05</v>
      </c>
      <c r="N3948" s="464">
        <f t="shared" si="180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78"/>
        <v>-339725192268.69543</v>
      </c>
      <c r="J3949" s="444">
        <f t="array" ref="J3949">IFERROR(INDEX('Retirement Calculator'!J:J,MATCH('Isaac 401k'!N3949,'Retirement Calculator'!A:A,0),0),0)</f>
        <v>0</v>
      </c>
      <c r="K3949" s="444">
        <f t="shared" ca="1" si="176"/>
        <v>-1415521634.4528975</v>
      </c>
      <c r="L3949" s="444">
        <f t="shared" ca="1" si="177"/>
        <v>-341140713903.14832</v>
      </c>
      <c r="M3949" s="460">
        <f t="shared" si="179"/>
        <v>0.05</v>
      </c>
      <c r="N3949" s="464">
        <f t="shared" si="180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78"/>
        <v>-341140713903.14832</v>
      </c>
      <c r="J3950" s="444">
        <f t="array" ref="J3950">IFERROR(INDEX('Retirement Calculator'!J:J,MATCH('Isaac 401k'!N3950,'Retirement Calculator'!A:A,0),0),0)</f>
        <v>0</v>
      </c>
      <c r="K3950" s="444">
        <f t="shared" ca="1" si="176"/>
        <v>-1421419641.263118</v>
      </c>
      <c r="L3950" s="444">
        <f t="shared" ca="1" si="177"/>
        <v>-342562133544.41144</v>
      </c>
      <c r="M3950" s="460">
        <f t="shared" si="179"/>
        <v>0.05</v>
      </c>
      <c r="N3950" s="464">
        <f t="shared" si="180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78"/>
        <v>-342562133544.41144</v>
      </c>
      <c r="J3951" s="444">
        <f t="array" ref="J3951">IFERROR(INDEX('Retirement Calculator'!J:J,MATCH('Isaac 401k'!N3951,'Retirement Calculator'!A:A,0),0),0)</f>
        <v>0</v>
      </c>
      <c r="K3951" s="444">
        <f t="shared" ca="1" si="176"/>
        <v>-1427342223.1017144</v>
      </c>
      <c r="L3951" s="444">
        <f t="shared" ca="1" si="177"/>
        <v>-343989475767.51312</v>
      </c>
      <c r="M3951" s="460">
        <f t="shared" si="179"/>
        <v>0.05</v>
      </c>
      <c r="N3951" s="464">
        <f t="shared" si="180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78"/>
        <v>-343989475767.51312</v>
      </c>
      <c r="J3952" s="444">
        <f t="array" ref="J3952">IFERROR(INDEX('Retirement Calculator'!J:J,MATCH('Isaac 401k'!N3952,'Retirement Calculator'!A:A,0),0),0)</f>
        <v>0</v>
      </c>
      <c r="K3952" s="444">
        <f t="shared" ca="1" si="176"/>
        <v>-1433289482.3646381</v>
      </c>
      <c r="L3952" s="444">
        <f t="shared" ca="1" si="177"/>
        <v>-345422765249.87775</v>
      </c>
      <c r="M3952" s="460">
        <f t="shared" si="179"/>
        <v>0.05</v>
      </c>
      <c r="N3952" s="464">
        <f t="shared" si="180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78"/>
        <v>-345422765249.87775</v>
      </c>
      <c r="J3953" s="444">
        <f t="array" ref="J3953">IFERROR(INDEX('Retirement Calculator'!J:J,MATCH('Isaac 401k'!N3953,'Retirement Calculator'!A:A,0),0),0)</f>
        <v>0</v>
      </c>
      <c r="K3953" s="444">
        <f t="shared" ca="1" si="176"/>
        <v>-1439261521.8744905</v>
      </c>
      <c r="L3953" s="444">
        <f t="shared" ca="1" si="177"/>
        <v>-346862026771.75226</v>
      </c>
      <c r="M3953" s="460">
        <f t="shared" si="179"/>
        <v>0.05</v>
      </c>
      <c r="N3953" s="464">
        <f t="shared" si="180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78"/>
        <v>-346862026771.75226</v>
      </c>
      <c r="J3954" s="444">
        <f t="array" ref="J3954">IFERROR(INDEX('Retirement Calculator'!J:J,MATCH('Isaac 401k'!N3954,'Retirement Calculator'!A:A,0),0),0)</f>
        <v>0</v>
      </c>
      <c r="K3954" s="444">
        <f t="shared" ca="1" si="176"/>
        <v>-1445258444.8823011</v>
      </c>
      <c r="L3954" s="444">
        <f t="shared" ca="1" si="177"/>
        <v>-348307285216.63458</v>
      </c>
      <c r="M3954" s="460">
        <f t="shared" si="179"/>
        <v>0.05</v>
      </c>
      <c r="N3954" s="464">
        <f t="shared" si="180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78"/>
        <v>-348307285216.63458</v>
      </c>
      <c r="J3955" s="444">
        <f t="array" ref="J3955">IFERROR(INDEX('Retirement Calculator'!J:J,MATCH('Isaac 401k'!N3955,'Retirement Calculator'!A:A,0),0),0)</f>
        <v>0</v>
      </c>
      <c r="K3955" s="444">
        <f t="shared" ca="1" si="176"/>
        <v>-1451280355.0693107</v>
      </c>
      <c r="L3955" s="444">
        <f t="shared" ca="1" si="177"/>
        <v>-349758565571.70392</v>
      </c>
      <c r="M3955" s="460">
        <f t="shared" si="179"/>
        <v>0.05</v>
      </c>
      <c r="N3955" s="464">
        <f t="shared" si="180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78"/>
        <v>-349758565571.70392</v>
      </c>
      <c r="J3956" s="444">
        <f t="array" ref="J3956">IFERROR(INDEX('Retirement Calculator'!J:J,MATCH('Isaac 401k'!N3956,'Retirement Calculator'!A:A,0),0),0)</f>
        <v>0</v>
      </c>
      <c r="K3956" s="444">
        <f t="shared" ca="1" si="176"/>
        <v>-1457327356.5487664</v>
      </c>
      <c r="L3956" s="444">
        <f t="shared" ca="1" si="177"/>
        <v>-351215892928.25269</v>
      </c>
      <c r="M3956" s="460">
        <f t="shared" si="179"/>
        <v>0.05</v>
      </c>
      <c r="N3956" s="464">
        <f t="shared" si="180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78"/>
        <v>-351215892928.25269</v>
      </c>
      <c r="J3957" s="444">
        <f t="array" ref="J3957">IFERROR(INDEX('Retirement Calculator'!J:J,MATCH('Isaac 401k'!N3957,'Retirement Calculator'!A:A,0),0),0)</f>
        <v>0</v>
      </c>
      <c r="K3957" s="444">
        <f t="shared" ca="1" si="176"/>
        <v>-1463399553.8677194</v>
      </c>
      <c r="L3957" s="444">
        <f t="shared" ca="1" si="177"/>
        <v>-352679292482.12042</v>
      </c>
      <c r="M3957" s="460">
        <f t="shared" si="179"/>
        <v>0.05</v>
      </c>
      <c r="N3957" s="464">
        <f t="shared" si="180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78"/>
        <v>-352679292482.12042</v>
      </c>
      <c r="J3958" s="444">
        <f t="array" ref="J3958">IFERROR(INDEX('Retirement Calculator'!J:J,MATCH('Isaac 401k'!N3958,'Retirement Calculator'!A:A,0),0),0)</f>
        <v>0</v>
      </c>
      <c r="K3958" s="444">
        <f t="shared" ca="1" si="176"/>
        <v>-1469497052.0088351</v>
      </c>
      <c r="L3958" s="444">
        <f t="shared" ca="1" si="177"/>
        <v>-354148789534.12927</v>
      </c>
      <c r="M3958" s="460">
        <f t="shared" si="179"/>
        <v>0.05</v>
      </c>
      <c r="N3958" s="464">
        <f t="shared" si="180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78"/>
        <v>-354148789534.12927</v>
      </c>
      <c r="J3959" s="444">
        <f t="array" ref="J3959">IFERROR(INDEX('Retirement Calculator'!J:J,MATCH('Isaac 401k'!N3959,'Retirement Calculator'!A:A,0),0),0)</f>
        <v>0</v>
      </c>
      <c r="K3959" s="444">
        <f t="shared" ca="1" si="176"/>
        <v>-1475619956.3922052</v>
      </c>
      <c r="L3959" s="444">
        <f t="shared" ca="1" si="177"/>
        <v>-355624409490.52148</v>
      </c>
      <c r="M3959" s="460">
        <f t="shared" si="179"/>
        <v>0.05</v>
      </c>
      <c r="N3959" s="464">
        <f t="shared" si="180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78"/>
        <v>-355624409490.52148</v>
      </c>
      <c r="J3960" s="444">
        <f t="array" ref="J3960">IFERROR(INDEX('Retirement Calculator'!J:J,MATCH('Isaac 401k'!N3960,'Retirement Calculator'!A:A,0),0),0)</f>
        <v>0</v>
      </c>
      <c r="K3960" s="444">
        <f t="shared" ca="1" si="176"/>
        <v>-1481768372.8771729</v>
      </c>
      <c r="L3960" s="444">
        <f t="shared" ca="1" si="177"/>
        <v>-357106177863.39868</v>
      </c>
      <c r="M3960" s="460">
        <f t="shared" si="179"/>
        <v>0.05</v>
      </c>
      <c r="N3960" s="464">
        <f t="shared" si="180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78"/>
        <v>-357106177863.39868</v>
      </c>
      <c r="J3961" s="444">
        <f t="array" ref="J3961">IFERROR(INDEX('Retirement Calculator'!J:J,MATCH('Isaac 401k'!N3961,'Retirement Calculator'!A:A,0),0),0)</f>
        <v>0</v>
      </c>
      <c r="K3961" s="444">
        <f t="shared" ca="1" si="176"/>
        <v>-1487942407.7641611</v>
      </c>
      <c r="L3961" s="444">
        <f t="shared" ca="1" si="177"/>
        <v>-358594120271.16284</v>
      </c>
      <c r="M3961" s="460">
        <f t="shared" si="179"/>
        <v>0.05</v>
      </c>
      <c r="N3961" s="464">
        <f t="shared" si="180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78"/>
        <v>-358594120271.16284</v>
      </c>
      <c r="J3962" s="444">
        <f t="array" ref="J3962">IFERROR(INDEX('Retirement Calculator'!J:J,MATCH('Isaac 401k'!N3962,'Retirement Calculator'!A:A,0),0),0)</f>
        <v>0</v>
      </c>
      <c r="K3962" s="444">
        <f t="shared" ca="1" si="176"/>
        <v>-1494142167.7965119</v>
      </c>
      <c r="L3962" s="444">
        <f t="shared" ca="1" si="177"/>
        <v>-360088262438.95935</v>
      </c>
      <c r="M3962" s="460">
        <f t="shared" si="179"/>
        <v>0.05</v>
      </c>
      <c r="N3962" s="464">
        <f t="shared" si="180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78"/>
        <v>-360088262438.95935</v>
      </c>
      <c r="J3963" s="444">
        <f t="array" ref="J3963">IFERROR(INDEX('Retirement Calculator'!J:J,MATCH('Isaac 401k'!N3963,'Retirement Calculator'!A:A,0),0),0)</f>
        <v>0</v>
      </c>
      <c r="K3963" s="444">
        <f t="shared" ca="1" si="176"/>
        <v>-1500367760.1623306</v>
      </c>
      <c r="L3963" s="444">
        <f t="shared" ca="1" si="177"/>
        <v>-361588630199.1217</v>
      </c>
      <c r="M3963" s="460">
        <f t="shared" si="179"/>
        <v>0.05</v>
      </c>
      <c r="N3963" s="464">
        <f t="shared" si="180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78"/>
        <v>-361588630199.1217</v>
      </c>
      <c r="J3964" s="444">
        <f t="array" ref="J3964">IFERROR(INDEX('Retirement Calculator'!J:J,MATCH('Isaac 401k'!N3964,'Retirement Calculator'!A:A,0),0),0)</f>
        <v>0</v>
      </c>
      <c r="K3964" s="444">
        <f t="shared" ca="1" si="176"/>
        <v>-1506619292.4963405</v>
      </c>
      <c r="L3964" s="444">
        <f t="shared" ca="1" si="177"/>
        <v>-363095249491.61804</v>
      </c>
      <c r="M3964" s="460">
        <f t="shared" si="179"/>
        <v>0.05</v>
      </c>
      <c r="N3964" s="464">
        <f t="shared" si="180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78"/>
        <v>-363095249491.61804</v>
      </c>
      <c r="J3965" s="444">
        <f t="array" ref="J3965">IFERROR(INDEX('Retirement Calculator'!J:J,MATCH('Isaac 401k'!N3965,'Retirement Calculator'!A:A,0),0),0)</f>
        <v>0</v>
      </c>
      <c r="K3965" s="444">
        <f t="shared" ca="1" si="176"/>
        <v>-1512896872.8817418</v>
      </c>
      <c r="L3965" s="444">
        <f t="shared" ca="1" si="177"/>
        <v>-364608146364.49976</v>
      </c>
      <c r="M3965" s="460">
        <f t="shared" si="179"/>
        <v>0.05</v>
      </c>
      <c r="N3965" s="464">
        <f t="shared" si="180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78"/>
        <v>-364608146364.49976</v>
      </c>
      <c r="J3966" s="444">
        <f t="array" ref="J3966">IFERROR(INDEX('Retirement Calculator'!J:J,MATCH('Isaac 401k'!N3966,'Retirement Calculator'!A:A,0),0),0)</f>
        <v>0</v>
      </c>
      <c r="K3966" s="444">
        <f t="shared" ca="1" si="176"/>
        <v>-1519200609.8520823</v>
      </c>
      <c r="L3966" s="444">
        <f t="shared" ca="1" si="177"/>
        <v>-366127346974.35187</v>
      </c>
      <c r="M3966" s="460">
        <f t="shared" si="179"/>
        <v>0.05</v>
      </c>
      <c r="N3966" s="464">
        <f t="shared" si="180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78"/>
        <v>-366127346974.35187</v>
      </c>
      <c r="J3967" s="444">
        <f t="array" ref="J3967">IFERROR(INDEX('Retirement Calculator'!J:J,MATCH('Isaac 401k'!N3967,'Retirement Calculator'!A:A,0),0),0)</f>
        <v>0</v>
      </c>
      <c r="K3967" s="444">
        <f t="shared" ca="1" si="176"/>
        <v>-1525530612.3931327</v>
      </c>
      <c r="L3967" s="444">
        <f t="shared" ca="1" si="177"/>
        <v>-367652877586.745</v>
      </c>
      <c r="M3967" s="460">
        <f t="shared" si="179"/>
        <v>0.05</v>
      </c>
      <c r="N3967" s="464">
        <f t="shared" si="180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78"/>
        <v>-367652877586.745</v>
      </c>
      <c r="J3968" s="444">
        <f t="array" ref="J3968">IFERROR(INDEX('Retirement Calculator'!J:J,MATCH('Isaac 401k'!N3968,'Retirement Calculator'!A:A,0),0),0)</f>
        <v>0</v>
      </c>
      <c r="K3968" s="444">
        <f t="shared" ca="1" si="176"/>
        <v>-1531886989.9447708</v>
      </c>
      <c r="L3968" s="444">
        <f t="shared" ca="1" si="177"/>
        <v>-369184764576.68976</v>
      </c>
      <c r="M3968" s="460">
        <f t="shared" si="179"/>
        <v>0.05</v>
      </c>
      <c r="N3968" s="464">
        <f t="shared" si="180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78"/>
        <v>-369184764576.68976</v>
      </c>
      <c r="J3969" s="444">
        <f t="array" ref="J3969">IFERROR(INDEX('Retirement Calculator'!J:J,MATCH('Isaac 401k'!N3969,'Retirement Calculator'!A:A,0),0),0)</f>
        <v>0</v>
      </c>
      <c r="K3969" s="444">
        <f t="shared" ca="1" si="176"/>
        <v>-1538269852.402874</v>
      </c>
      <c r="L3969" s="444">
        <f t="shared" ca="1" si="177"/>
        <v>-370723034429.09265</v>
      </c>
      <c r="M3969" s="460">
        <f t="shared" si="179"/>
        <v>0.05</v>
      </c>
      <c r="N3969" s="464">
        <f t="shared" si="180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78"/>
        <v>-370723034429.09265</v>
      </c>
      <c r="J3970" s="444">
        <f t="array" ref="J3970">IFERROR(INDEX('Retirement Calculator'!J:J,MATCH('Isaac 401k'!N3970,'Retirement Calculator'!A:A,0),0),0)</f>
        <v>0</v>
      </c>
      <c r="K3970" s="444">
        <f t="shared" ca="1" si="176"/>
        <v>-1544679310.1212194</v>
      </c>
      <c r="L3970" s="444">
        <f t="shared" ca="1" si="177"/>
        <v>-372267713739.21387</v>
      </c>
      <c r="M3970" s="460">
        <f t="shared" si="179"/>
        <v>0.05</v>
      </c>
      <c r="N3970" s="464">
        <f t="shared" si="180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78"/>
        <v>-372267713739.21387</v>
      </c>
      <c r="J3971" s="444">
        <f t="array" ref="J3971">IFERROR(INDEX('Retirement Calculator'!J:J,MATCH('Isaac 401k'!N3971,'Retirement Calculator'!A:A,0),0),0)</f>
        <v>0</v>
      </c>
      <c r="K3971" s="444">
        <f t="shared" ca="1" si="176"/>
        <v>-1551115473.9133911</v>
      </c>
      <c r="L3971" s="444">
        <f t="shared" ca="1" si="177"/>
        <v>-373818829213.12726</v>
      </c>
      <c r="M3971" s="460">
        <f t="shared" si="179"/>
        <v>0.05</v>
      </c>
      <c r="N3971" s="464">
        <f t="shared" si="180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78"/>
        <v>-373818829213.12726</v>
      </c>
      <c r="J3972" s="444">
        <f t="array" ref="J3972">IFERROR(INDEX('Retirement Calculator'!J:J,MATCH('Isaac 401k'!N3972,'Retirement Calculator'!A:A,0),0),0)</f>
        <v>0</v>
      </c>
      <c r="K3972" s="444">
        <f t="shared" ca="1" si="176"/>
        <v>-1557578455.0546968</v>
      </c>
      <c r="L3972" s="444">
        <f t="shared" ca="1" si="177"/>
        <v>-375376407668.18195</v>
      </c>
      <c r="M3972" s="460">
        <f t="shared" si="179"/>
        <v>0.05</v>
      </c>
      <c r="N3972" s="464">
        <f t="shared" si="180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78"/>
        <v>-375376407668.18195</v>
      </c>
      <c r="J3973" s="444">
        <f t="array" ref="J3973">IFERROR(INDEX('Retirement Calculator'!J:J,MATCH('Isaac 401k'!N3973,'Retirement Calculator'!A:A,0),0),0)</f>
        <v>0</v>
      </c>
      <c r="K3973" s="444">
        <f t="shared" ca="1" si="176"/>
        <v>-1564068365.2840915</v>
      </c>
      <c r="L3973" s="444">
        <f t="shared" ca="1" si="177"/>
        <v>-376940476033.46606</v>
      </c>
      <c r="M3973" s="460">
        <f t="shared" si="179"/>
        <v>0.05</v>
      </c>
      <c r="N3973" s="464">
        <f t="shared" si="180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78"/>
        <v>-376940476033.46606</v>
      </c>
      <c r="J3974" s="444">
        <f t="array" ref="J3974">IFERROR(INDEX('Retirement Calculator'!J:J,MATCH('Isaac 401k'!N3974,'Retirement Calculator'!A:A,0),0),0)</f>
        <v>0</v>
      </c>
      <c r="K3974" s="444">
        <f t="shared" ca="1" si="176"/>
        <v>-1570585316.8061085</v>
      </c>
      <c r="L3974" s="444">
        <f t="shared" ca="1" si="177"/>
        <v>-378511061350.27216</v>
      </c>
      <c r="M3974" s="460">
        <f t="shared" si="179"/>
        <v>0.05</v>
      </c>
      <c r="N3974" s="464">
        <f t="shared" si="180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78"/>
        <v>-378511061350.27216</v>
      </c>
      <c r="J3975" s="444">
        <f t="array" ref="J3975">IFERROR(INDEX('Retirement Calculator'!J:J,MATCH('Isaac 401k'!N3975,'Retirement Calculator'!A:A,0),0),0)</f>
        <v>0</v>
      </c>
      <c r="K3975" s="444">
        <f t="shared" ca="1" si="176"/>
        <v>-1577129422.2928007</v>
      </c>
      <c r="L3975" s="444">
        <f t="shared" ca="1" si="177"/>
        <v>-380088190772.56494</v>
      </c>
      <c r="M3975" s="460">
        <f t="shared" si="179"/>
        <v>0.05</v>
      </c>
      <c r="N3975" s="464">
        <f t="shared" si="180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78"/>
        <v>-380088190772.56494</v>
      </c>
      <c r="J3976" s="444">
        <f t="array" ref="J3976">IFERROR(INDEX('Retirement Calculator'!J:J,MATCH('Isaac 401k'!N3976,'Retirement Calculator'!A:A,0),0),0)</f>
        <v>0</v>
      </c>
      <c r="K3976" s="444">
        <f t="shared" ca="1" si="176"/>
        <v>-1583700794.8856874</v>
      </c>
      <c r="L3976" s="444">
        <f t="shared" ca="1" si="177"/>
        <v>-381671891567.45062</v>
      </c>
      <c r="M3976" s="460">
        <f t="shared" si="179"/>
        <v>0.05</v>
      </c>
      <c r="N3976" s="464">
        <f t="shared" si="180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78"/>
        <v>-381671891567.45062</v>
      </c>
      <c r="J3977" s="444">
        <f t="array" ref="J3977">IFERROR(INDEX('Retirement Calculator'!J:J,MATCH('Isaac 401k'!N3977,'Retirement Calculator'!A:A,0),0),0)</f>
        <v>0</v>
      </c>
      <c r="K3977" s="444">
        <f t="shared" ca="1" si="176"/>
        <v>-1590299548.197711</v>
      </c>
      <c r="L3977" s="444">
        <f t="shared" ca="1" si="177"/>
        <v>-383262191115.64832</v>
      </c>
      <c r="M3977" s="460">
        <f t="shared" si="179"/>
        <v>0.05</v>
      </c>
      <c r="N3977" s="464">
        <f t="shared" si="180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78"/>
        <v>-383262191115.64832</v>
      </c>
      <c r="J3978" s="444">
        <f t="array" ref="J3978">IFERROR(INDEX('Retirement Calculator'!J:J,MATCH('Isaac 401k'!N3978,'Retirement Calculator'!A:A,0),0),0)</f>
        <v>0</v>
      </c>
      <c r="K3978" s="444">
        <f t="shared" ca="1" si="176"/>
        <v>-1596925796.3152013</v>
      </c>
      <c r="L3978" s="444">
        <f t="shared" ca="1" si="177"/>
        <v>-384859116911.9635</v>
      </c>
      <c r="M3978" s="460">
        <f t="shared" si="179"/>
        <v>0.05</v>
      </c>
      <c r="N3978" s="464">
        <f t="shared" si="180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78"/>
        <v>-384859116911.9635</v>
      </c>
      <c r="J3979" s="444">
        <f t="array" ref="J3979">IFERROR(INDEX('Retirement Calculator'!J:J,MATCH('Isaac 401k'!N3979,'Retirement Calculator'!A:A,0),0),0)</f>
        <v>0</v>
      </c>
      <c r="K3979" s="444">
        <f t="shared" ca="1" si="176"/>
        <v>-1603579653.7998478</v>
      </c>
      <c r="L3979" s="444">
        <f t="shared" ca="1" si="177"/>
        <v>-386462696565.76337</v>
      </c>
      <c r="M3979" s="460">
        <f t="shared" si="179"/>
        <v>0.05</v>
      </c>
      <c r="N3979" s="464">
        <f t="shared" si="180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78"/>
        <v>-386462696565.76337</v>
      </c>
      <c r="J3980" s="444">
        <f t="array" ref="J3980">IFERROR(INDEX('Retirement Calculator'!J:J,MATCH('Isaac 401k'!N3980,'Retirement Calculator'!A:A,0),0),0)</f>
        <v>0</v>
      </c>
      <c r="K3980" s="444">
        <f t="shared" ca="1" si="176"/>
        <v>-1610261235.6906807</v>
      </c>
      <c r="L3980" s="444">
        <f t="shared" ca="1" si="177"/>
        <v>-388072957801.45404</v>
      </c>
      <c r="M3980" s="460">
        <f t="shared" si="179"/>
        <v>0.05</v>
      </c>
      <c r="N3980" s="464">
        <f t="shared" si="180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78"/>
        <v>-388072957801.45404</v>
      </c>
      <c r="J3981" s="444">
        <f t="array" ref="J3981">IFERROR(INDEX('Retirement Calculator'!J:J,MATCH('Isaac 401k'!N3981,'Retirement Calculator'!A:A,0),0),0)</f>
        <v>0</v>
      </c>
      <c r="K3981" s="444">
        <f t="shared" ca="1" si="176"/>
        <v>-1616970657.5060585</v>
      </c>
      <c r="L3981" s="444">
        <f t="shared" ca="1" si="177"/>
        <v>-389689928458.96008</v>
      </c>
      <c r="M3981" s="460">
        <f t="shared" si="179"/>
        <v>0.05</v>
      </c>
      <c r="N3981" s="464">
        <f t="shared" si="180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78"/>
        <v>-389689928458.96008</v>
      </c>
      <c r="J3982" s="444">
        <f t="array" ref="J3982">IFERROR(INDEX('Retirement Calculator'!J:J,MATCH('Isaac 401k'!N3982,'Retirement Calculator'!A:A,0),0),0)</f>
        <v>0</v>
      </c>
      <c r="K3982" s="444">
        <f t="shared" ca="1" si="176"/>
        <v>-1623708035.245667</v>
      </c>
      <c r="L3982" s="444">
        <f t="shared" ca="1" si="177"/>
        <v>-391313636494.20575</v>
      </c>
      <c r="M3982" s="460">
        <f t="shared" si="179"/>
        <v>0.05</v>
      </c>
      <c r="N3982" s="464">
        <f t="shared" si="180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78"/>
        <v>-391313636494.20575</v>
      </c>
      <c r="J3983" s="444">
        <f t="array" ref="J3983">IFERROR(INDEX('Retirement Calculator'!J:J,MATCH('Isaac 401k'!N3983,'Retirement Calculator'!A:A,0),0),0)</f>
        <v>0</v>
      </c>
      <c r="K3983" s="444">
        <f t="shared" ca="1" si="176"/>
        <v>-1630473485.392524</v>
      </c>
      <c r="L3983" s="444">
        <f t="shared" ca="1" si="177"/>
        <v>-392944109979.59827</v>
      </c>
      <c r="M3983" s="460">
        <f t="shared" si="179"/>
        <v>0.05</v>
      </c>
      <c r="N3983" s="464">
        <f t="shared" si="180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78"/>
        <v>-392944109979.59827</v>
      </c>
      <c r="J3984" s="444">
        <f t="array" ref="J3984">IFERROR(INDEX('Retirement Calculator'!J:J,MATCH('Isaac 401k'!N3984,'Retirement Calculator'!A:A,0),0),0)</f>
        <v>0</v>
      </c>
      <c r="K3984" s="444">
        <f t="shared" ca="1" si="176"/>
        <v>-1637267124.9149928</v>
      </c>
      <c r="L3984" s="444">
        <f t="shared" ca="1" si="177"/>
        <v>-394581377104.51324</v>
      </c>
      <c r="M3984" s="460">
        <f t="shared" si="179"/>
        <v>0.05</v>
      </c>
      <c r="N3984" s="464">
        <f t="shared" si="180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78"/>
        <v>-394581377104.51324</v>
      </c>
      <c r="J3985" s="444">
        <f t="array" ref="J3985">IFERROR(INDEX('Retirement Calculator'!J:J,MATCH('Isaac 401k'!N3985,'Retirement Calculator'!A:A,0),0),0)</f>
        <v>0</v>
      </c>
      <c r="K3985" s="444">
        <f t="shared" ca="1" si="176"/>
        <v>-1644089071.2688053</v>
      </c>
      <c r="L3985" s="444">
        <f t="shared" ca="1" si="177"/>
        <v>-396225466175.78204</v>
      </c>
      <c r="M3985" s="460">
        <f t="shared" si="179"/>
        <v>0.05</v>
      </c>
      <c r="N3985" s="464">
        <f t="shared" si="180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78"/>
        <v>-396225466175.78204</v>
      </c>
      <c r="J3986" s="444">
        <f t="array" ref="J3986">IFERROR(INDEX('Retirement Calculator'!J:J,MATCH('Isaac 401k'!N3986,'Retirement Calculator'!A:A,0),0),0)</f>
        <v>0</v>
      </c>
      <c r="K3986" s="444">
        <f t="shared" ca="1" si="176"/>
        <v>-1650939442.3990917</v>
      </c>
      <c r="L3986" s="444">
        <f t="shared" ca="1" si="177"/>
        <v>-397876405618.18115</v>
      </c>
      <c r="M3986" s="460">
        <f t="shared" si="179"/>
        <v>0.05</v>
      </c>
      <c r="N3986" s="464">
        <f t="shared" si="180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78"/>
        <v>-397876405618.18115</v>
      </c>
      <c r="J3987" s="444">
        <f t="array" ref="J3987">IFERROR(INDEX('Retirement Calculator'!J:J,MATCH('Isaac 401k'!N3987,'Retirement Calculator'!A:A,0),0),0)</f>
        <v>0</v>
      </c>
      <c r="K3987" s="444">
        <f t="shared" ca="1" si="176"/>
        <v>-1657818356.7424214</v>
      </c>
      <c r="L3987" s="444">
        <f t="shared" ca="1" si="177"/>
        <v>-399534223974.92358</v>
      </c>
      <c r="M3987" s="460">
        <f t="shared" si="179"/>
        <v>0.05</v>
      </c>
      <c r="N3987" s="464">
        <f t="shared" si="180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78"/>
        <v>-399534223974.92358</v>
      </c>
      <c r="J3988" s="444">
        <f t="array" ref="J3988">IFERROR(INDEX('Retirement Calculator'!J:J,MATCH('Isaac 401k'!N3988,'Retirement Calculator'!A:A,0),0),0)</f>
        <v>0</v>
      </c>
      <c r="K3988" s="444">
        <f t="shared" ca="1" si="176"/>
        <v>-1664725933.2288482</v>
      </c>
      <c r="L3988" s="444">
        <f t="shared" ca="1" si="177"/>
        <v>-401198949908.1524</v>
      </c>
      <c r="M3988" s="460">
        <f t="shared" si="179"/>
        <v>0.05</v>
      </c>
      <c r="N3988" s="464">
        <f t="shared" si="180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78"/>
        <v>-401198949908.1524</v>
      </c>
      <c r="J3989" s="444">
        <f t="array" ref="J3989">IFERROR(INDEX('Retirement Calculator'!J:J,MATCH('Isaac 401k'!N3989,'Retirement Calculator'!A:A,0),0),0)</f>
        <v>0</v>
      </c>
      <c r="K3989" s="444">
        <f t="shared" ca="1" si="176"/>
        <v>-1671662291.2839684</v>
      </c>
      <c r="L3989" s="444">
        <f t="shared" ca="1" si="177"/>
        <v>-402870612199.4364</v>
      </c>
      <c r="M3989" s="460">
        <f t="shared" si="179"/>
        <v>0.05</v>
      </c>
      <c r="N3989" s="464">
        <f t="shared" si="180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78"/>
        <v>-402870612199.4364</v>
      </c>
      <c r="J3990" s="444">
        <f t="array" ref="J3990">IFERROR(INDEX('Retirement Calculator'!J:J,MATCH('Isaac 401k'!N3990,'Retirement Calculator'!A:A,0),0),0)</f>
        <v>0</v>
      </c>
      <c r="K3990" s="444">
        <f t="shared" ca="1" si="176"/>
        <v>-1678627550.8309851</v>
      </c>
      <c r="L3990" s="444">
        <f t="shared" ca="1" si="177"/>
        <v>-404549239750.2674</v>
      </c>
      <c r="M3990" s="460">
        <f t="shared" si="179"/>
        <v>0.05</v>
      </c>
      <c r="N3990" s="464">
        <f t="shared" si="180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78"/>
        <v>-404549239750.2674</v>
      </c>
      <c r="J3991" s="444">
        <f t="array" ref="J3991">IFERROR(INDEX('Retirement Calculator'!J:J,MATCH('Isaac 401k'!N3991,'Retirement Calculator'!A:A,0),0),0)</f>
        <v>0</v>
      </c>
      <c r="K3991" s="444">
        <f t="shared" ca="1" si="176"/>
        <v>-1685621832.2927809</v>
      </c>
      <c r="L3991" s="444">
        <f t="shared" ca="1" si="177"/>
        <v>-406234861582.56018</v>
      </c>
      <c r="M3991" s="460">
        <f t="shared" si="179"/>
        <v>0.05</v>
      </c>
      <c r="N3991" s="464">
        <f t="shared" si="180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78"/>
        <v>-406234861582.56018</v>
      </c>
      <c r="J3992" s="444">
        <f t="array" ref="J3992">IFERROR(INDEX('Retirement Calculator'!J:J,MATCH('Isaac 401k'!N3992,'Retirement Calculator'!A:A,0),0),0)</f>
        <v>0</v>
      </c>
      <c r="K3992" s="444">
        <f t="shared" ca="1" si="176"/>
        <v>-1692645256.5940008</v>
      </c>
      <c r="L3992" s="444">
        <f t="shared" ca="1" si="177"/>
        <v>-407927506839.15417</v>
      </c>
      <c r="M3992" s="460">
        <f t="shared" si="179"/>
        <v>0.05</v>
      </c>
      <c r="N3992" s="464">
        <f t="shared" si="180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78"/>
        <v>-407927506839.15417</v>
      </c>
      <c r="J3993" s="444">
        <f t="array" ref="J3993">IFERROR(INDEX('Retirement Calculator'!J:J,MATCH('Isaac 401k'!N3993,'Retirement Calculator'!A:A,0),0),0)</f>
        <v>0</v>
      </c>
      <c r="K3993" s="444">
        <f t="shared" ca="1" si="176"/>
        <v>-1699697945.1631424</v>
      </c>
      <c r="L3993" s="444">
        <f t="shared" ca="1" si="177"/>
        <v>-409627204784.31732</v>
      </c>
      <c r="M3993" s="460">
        <f t="shared" si="179"/>
        <v>0.05</v>
      </c>
      <c r="N3993" s="464">
        <f t="shared" si="180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78"/>
        <v>-409627204784.31732</v>
      </c>
      <c r="J3994" s="444">
        <f t="array" ref="J3994">IFERROR(INDEX('Retirement Calculator'!J:J,MATCH('Isaac 401k'!N3994,'Retirement Calculator'!A:A,0),0),0)</f>
        <v>0</v>
      </c>
      <c r="K3994" s="444">
        <f t="shared" ca="1" si="176"/>
        <v>-1706780019.9346554</v>
      </c>
      <c r="L3994" s="444">
        <f t="shared" ca="1" si="177"/>
        <v>-411333984804.25195</v>
      </c>
      <c r="M3994" s="460">
        <f t="shared" si="179"/>
        <v>0.05</v>
      </c>
      <c r="N3994" s="464">
        <f t="shared" si="180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78"/>
        <v>-411333984804.25195</v>
      </c>
      <c r="J3995" s="444">
        <f t="array" ref="J3995">IFERROR(INDEX('Retirement Calculator'!J:J,MATCH('Isaac 401k'!N3995,'Retirement Calculator'!A:A,0),0),0)</f>
        <v>0</v>
      </c>
      <c r="K3995" s="444">
        <f t="shared" ca="1" si="176"/>
        <v>-1713891603.3510499</v>
      </c>
      <c r="L3995" s="444">
        <f t="shared" ca="1" si="177"/>
        <v>-413047876407.60303</v>
      </c>
      <c r="M3995" s="460">
        <f t="shared" si="179"/>
        <v>0.05</v>
      </c>
      <c r="N3995" s="464">
        <f t="shared" si="180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78"/>
        <v>-413047876407.60303</v>
      </c>
      <c r="J3996" s="444">
        <f t="array" ref="J3996">IFERROR(INDEX('Retirement Calculator'!J:J,MATCH('Isaac 401k'!N3996,'Retirement Calculator'!A:A,0),0),0)</f>
        <v>0</v>
      </c>
      <c r="K3996" s="444">
        <f t="shared" ca="1" si="176"/>
        <v>-1721032818.3650126</v>
      </c>
      <c r="L3996" s="444">
        <f t="shared" ca="1" si="177"/>
        <v>-414768909225.96802</v>
      </c>
      <c r="M3996" s="460">
        <f t="shared" si="179"/>
        <v>0.05</v>
      </c>
      <c r="N3996" s="464">
        <f t="shared" si="180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78"/>
        <v>-414768909225.96802</v>
      </c>
      <c r="J3997" s="444">
        <f t="array" ref="J3997">IFERROR(INDEX('Retirement Calculator'!J:J,MATCH('Isaac 401k'!N3997,'Retirement Calculator'!A:A,0),0),0)</f>
        <v>0</v>
      </c>
      <c r="K3997" s="444">
        <f t="shared" ca="1" si="176"/>
        <v>-1728203788.4415333</v>
      </c>
      <c r="L3997" s="444">
        <f t="shared" ca="1" si="177"/>
        <v>-416497113014.40955</v>
      </c>
      <c r="M3997" s="460">
        <f t="shared" si="179"/>
        <v>0.05</v>
      </c>
      <c r="N3997" s="464">
        <f t="shared" si="180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78"/>
        <v>-416497113014.40955</v>
      </c>
      <c r="J3998" s="444">
        <f t="array" ref="J3998">IFERROR(INDEX('Retirement Calculator'!J:J,MATCH('Isaac 401k'!N3998,'Retirement Calculator'!A:A,0),0),0)</f>
        <v>0</v>
      </c>
      <c r="K3998" s="444">
        <f t="shared" ca="1" si="176"/>
        <v>-1735404637.5600398</v>
      </c>
      <c r="L3998" s="444">
        <f t="shared" ca="1" si="177"/>
        <v>-418232517651.9696</v>
      </c>
      <c r="M3998" s="460">
        <f t="shared" si="179"/>
        <v>0.05</v>
      </c>
      <c r="N3998" s="464">
        <f t="shared" si="180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78"/>
        <v>-418232517651.9696</v>
      </c>
      <c r="J3999" s="444">
        <f t="array" ref="J3999">IFERROR(INDEX('Retirement Calculator'!J:J,MATCH('Isaac 401k'!N3999,'Retirement Calculator'!A:A,0),0),0)</f>
        <v>0</v>
      </c>
      <c r="K3999" s="444">
        <f t="shared" ca="1" si="176"/>
        <v>-1742635490.2165401</v>
      </c>
      <c r="L3999" s="444">
        <f t="shared" ca="1" si="177"/>
        <v>-419975153142.18616</v>
      </c>
      <c r="M3999" s="460">
        <f t="shared" si="179"/>
        <v>0.05</v>
      </c>
      <c r="N3999" s="464">
        <f t="shared" si="180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78"/>
        <v>-419975153142.18616</v>
      </c>
      <c r="J4000" s="444">
        <f t="array" ref="J4000">IFERROR(INDEX('Retirement Calculator'!J:J,MATCH('Isaac 401k'!N4000,'Retirement Calculator'!A:A,0),0),0)</f>
        <v>0</v>
      </c>
      <c r="K4000" s="444">
        <f t="shared" ca="1" si="176"/>
        <v>-1749896471.4257755</v>
      </c>
      <c r="L4000" s="444">
        <f t="shared" ca="1" si="177"/>
        <v>-421725049613.61194</v>
      </c>
      <c r="M4000" s="460">
        <f t="shared" si="179"/>
        <v>0.05</v>
      </c>
      <c r="N4000" s="464">
        <f t="shared" si="180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78"/>
        <v>-421725049613.61194</v>
      </c>
      <c r="J4001" s="444">
        <f t="array" ref="J4001">IFERROR(INDEX('Retirement Calculator'!J:J,MATCH('Isaac 401k'!N4001,'Retirement Calculator'!A:A,0),0),0)</f>
        <v>0</v>
      </c>
      <c r="K4001" s="444">
        <f t="shared" ca="1" si="176"/>
        <v>-1757187706.7233829</v>
      </c>
      <c r="L4001" s="444">
        <f t="shared" ca="1" si="177"/>
        <v>-423482237320.33533</v>
      </c>
      <c r="M4001" s="460">
        <f t="shared" si="179"/>
        <v>0.05</v>
      </c>
      <c r="N4001" s="464">
        <f t="shared" si="180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78"/>
        <v>-423482237320.33533</v>
      </c>
      <c r="J4002" s="444">
        <f t="array" ref="J4002">IFERROR(INDEX('Retirement Calculator'!J:J,MATCH('Isaac 401k'!N4002,'Retirement Calculator'!A:A,0),0),0)</f>
        <v>0</v>
      </c>
      <c r="K4002" s="444">
        <f t="shared" ca="1" si="176"/>
        <v>-1764509322.1680639</v>
      </c>
      <c r="L4002" s="444">
        <f t="shared" ca="1" si="177"/>
        <v>-425246746642.50342</v>
      </c>
      <c r="M4002" s="460">
        <f t="shared" si="179"/>
        <v>0.05</v>
      </c>
      <c r="N4002" s="464">
        <f t="shared" si="180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78"/>
        <v>-425246746642.50342</v>
      </c>
      <c r="J4003" s="444">
        <f t="array" ref="J4003">IFERROR(INDEX('Retirement Calculator'!J:J,MATCH('Isaac 401k'!N4003,'Retirement Calculator'!A:A,0),0),0)</f>
        <v>0</v>
      </c>
      <c r="K4003" s="444">
        <f t="shared" ca="1" si="176"/>
        <v>-1771861444.3437643</v>
      </c>
      <c r="L4003" s="444">
        <f t="shared" ca="1" si="177"/>
        <v>-427018608086.84717</v>
      </c>
      <c r="M4003" s="460">
        <f t="shared" si="179"/>
        <v>0.05</v>
      </c>
      <c r="N4003" s="464">
        <f t="shared" si="180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78"/>
        <v>-427018608086.84717</v>
      </c>
      <c r="J4004" s="444">
        <f t="array" ref="J4004">IFERROR(INDEX('Retirement Calculator'!J:J,MATCH('Isaac 401k'!N4004,'Retirement Calculator'!A:A,0),0),0)</f>
        <v>0</v>
      </c>
      <c r="K4004" s="444">
        <f t="shared" ca="1" si="176"/>
        <v>-1779244200.3618631</v>
      </c>
      <c r="L4004" s="444">
        <f t="shared" ca="1" si="177"/>
        <v>-428797852287.20905</v>
      </c>
      <c r="M4004" s="460">
        <f t="shared" si="179"/>
        <v>0.05</v>
      </c>
      <c r="N4004" s="464">
        <f t="shared" si="180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78"/>
        <v>-428797852287.20905</v>
      </c>
      <c r="J4005" s="444">
        <f t="array" ref="J4005">IFERROR(INDEX('Retirement Calculator'!J:J,MATCH('Isaac 401k'!N4005,'Retirement Calculator'!A:A,0),0),0)</f>
        <v>0</v>
      </c>
      <c r="K4005" s="444">
        <f t="shared" ca="1" si="176"/>
        <v>-1786657717.8633709</v>
      </c>
      <c r="L4005" s="444">
        <f t="shared" ca="1" si="177"/>
        <v>-430584510005.07239</v>
      </c>
      <c r="M4005" s="460">
        <f t="shared" si="179"/>
        <v>0.05</v>
      </c>
      <c r="N4005" s="464">
        <f t="shared" si="180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78"/>
        <v>-430584510005.07239</v>
      </c>
      <c r="J4006" s="444">
        <f t="array" ref="J4006">IFERROR(INDEX('Retirement Calculator'!J:J,MATCH('Isaac 401k'!N4006,'Retirement Calculator'!A:A,0),0),0)</f>
        <v>0</v>
      </c>
      <c r="K4006" s="444">
        <f t="shared" ca="1" si="176"/>
        <v>-1794102125.0211346</v>
      </c>
      <c r="L4006" s="444">
        <f t="shared" ca="1" si="177"/>
        <v>-432378612130.09351</v>
      </c>
      <c r="M4006" s="460">
        <f t="shared" si="179"/>
        <v>0.05</v>
      </c>
      <c r="N4006" s="464">
        <f t="shared" si="180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78"/>
        <v>-432378612130.09351</v>
      </c>
      <c r="J4007" s="444">
        <f t="array" ref="J4007">IFERROR(INDEX('Retirement Calculator'!J:J,MATCH('Isaac 401k'!N4007,'Retirement Calculator'!A:A,0),0),0)</f>
        <v>0</v>
      </c>
      <c r="K4007" s="444">
        <f t="shared" ca="1" si="176"/>
        <v>-1801577550.5420563</v>
      </c>
      <c r="L4007" s="444">
        <f t="shared" ca="1" si="177"/>
        <v>-434180189680.63556</v>
      </c>
      <c r="M4007" s="460">
        <f t="shared" si="179"/>
        <v>0.05</v>
      </c>
      <c r="N4007" s="464">
        <f t="shared" si="180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78"/>
        <v>-434180189680.63556</v>
      </c>
      <c r="J4008" s="444">
        <f t="array" ref="J4008">IFERROR(INDEX('Retirement Calculator'!J:J,MATCH('Isaac 401k'!N4008,'Retirement Calculator'!A:A,0),0),0)</f>
        <v>0</v>
      </c>
      <c r="K4008" s="444">
        <f t="shared" ca="1" si="176"/>
        <v>-1809084123.6693146</v>
      </c>
      <c r="L4008" s="444">
        <f t="shared" ca="1" si="177"/>
        <v>-435989273804.30487</v>
      </c>
      <c r="M4008" s="460">
        <f t="shared" si="179"/>
        <v>0.05</v>
      </c>
      <c r="N4008" s="464">
        <f t="shared" si="180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78"/>
        <v>-435989273804.30487</v>
      </c>
      <c r="J4009" s="444">
        <f t="array" ref="J4009">IFERROR(INDEX('Retirement Calculator'!J:J,MATCH('Isaac 401k'!N4009,'Retirement Calculator'!A:A,0),0),0)</f>
        <v>0</v>
      </c>
      <c r="K4009" s="444">
        <f t="shared" ca="1" si="176"/>
        <v>-1816621974.1846035</v>
      </c>
      <c r="L4009" s="444">
        <f t="shared" ca="1" si="177"/>
        <v>-437805895778.4895</v>
      </c>
      <c r="M4009" s="460">
        <f t="shared" si="179"/>
        <v>0.05</v>
      </c>
      <c r="N4009" s="464">
        <f t="shared" si="180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78"/>
        <v>-437805895778.4895</v>
      </c>
      <c r="J4010" s="444">
        <f t="array" ref="J4010">IFERROR(INDEX('Retirement Calculator'!J:J,MATCH('Isaac 401k'!N4010,'Retirement Calculator'!A:A,0),0),0)</f>
        <v>0</v>
      </c>
      <c r="K4010" s="444">
        <f t="shared" ca="1" si="176"/>
        <v>-1824191232.410373</v>
      </c>
      <c r="L4010" s="444">
        <f t="shared" ca="1" si="177"/>
        <v>-439630087010.8999</v>
      </c>
      <c r="M4010" s="460">
        <f t="shared" si="179"/>
        <v>0.05</v>
      </c>
      <c r="N4010" s="464">
        <f t="shared" si="180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78"/>
        <v>-439630087010.8999</v>
      </c>
      <c r="J4011" s="444">
        <f t="array" ref="J4011">IFERROR(INDEX('Retirement Calculator'!J:J,MATCH('Isaac 401k'!N4011,'Retirement Calculator'!A:A,0),0),0)</f>
        <v>0</v>
      </c>
      <c r="K4011" s="444">
        <f t="shared" ca="1" si="176"/>
        <v>-1831792029.2120829</v>
      </c>
      <c r="L4011" s="444">
        <f t="shared" ca="1" si="177"/>
        <v>-441461879040.112</v>
      </c>
      <c r="M4011" s="460">
        <f t="shared" si="179"/>
        <v>0.05</v>
      </c>
      <c r="N4011" s="464">
        <f t="shared" si="180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78"/>
        <v>-441461879040.112</v>
      </c>
      <c r="J4012" s="444">
        <f t="array" ref="J4012">IFERROR(INDEX('Retirement Calculator'!J:J,MATCH('Isaac 401k'!N4012,'Retirement Calculator'!A:A,0),0),0)</f>
        <v>0</v>
      </c>
      <c r="K4012" s="444">
        <f t="shared" ca="1" si="176"/>
        <v>-1839424496.0004666</v>
      </c>
      <c r="L4012" s="444">
        <f t="shared" ca="1" si="177"/>
        <v>-443301303536.11249</v>
      </c>
      <c r="M4012" s="460">
        <f t="shared" si="179"/>
        <v>0.05</v>
      </c>
      <c r="N4012" s="464">
        <f t="shared" si="180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78"/>
        <v>-443301303536.11249</v>
      </c>
      <c r="J4013" s="444">
        <f t="array" ref="J4013">IFERROR(INDEX('Retirement Calculator'!J:J,MATCH('Isaac 401k'!N4013,'Retirement Calculator'!A:A,0),0),0)</f>
        <v>0</v>
      </c>
      <c r="K4013" s="444">
        <f t="shared" ca="1" si="176"/>
        <v>-1847088764.7338023</v>
      </c>
      <c r="L4013" s="444">
        <f t="shared" ca="1" si="177"/>
        <v>-445148392300.84631</v>
      </c>
      <c r="M4013" s="460">
        <f t="shared" si="179"/>
        <v>0.05</v>
      </c>
      <c r="N4013" s="464">
        <f t="shared" si="180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78"/>
        <v>-445148392300.84631</v>
      </c>
      <c r="J4014" s="444">
        <f t="array" ref="J4014">IFERROR(INDEX('Retirement Calculator'!J:J,MATCH('Isaac 401k'!N4014,'Retirement Calculator'!A:A,0),0),0)</f>
        <v>0</v>
      </c>
      <c r="K4014" s="444">
        <f t="shared" ca="1" si="176"/>
        <v>-1854784967.920193</v>
      </c>
      <c r="L4014" s="444">
        <f t="shared" ca="1" si="177"/>
        <v>-447003177268.76648</v>
      </c>
      <c r="M4014" s="460">
        <f t="shared" si="179"/>
        <v>0.05</v>
      </c>
      <c r="N4014" s="464">
        <f t="shared" si="180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78"/>
        <v>-447003177268.76648</v>
      </c>
      <c r="J4015" s="444">
        <f t="array" ref="J4015">IFERROR(INDEX('Retirement Calculator'!J:J,MATCH('Isaac 401k'!N4015,'Retirement Calculator'!A:A,0),0),0)</f>
        <v>0</v>
      </c>
      <c r="K4015" s="444">
        <f t="shared" ca="1" si="176"/>
        <v>-1862513238.6198604</v>
      </c>
      <c r="L4015" s="444">
        <f t="shared" ca="1" si="177"/>
        <v>-448865690507.38635</v>
      </c>
      <c r="M4015" s="460">
        <f t="shared" si="179"/>
        <v>0.05</v>
      </c>
      <c r="N4015" s="464">
        <f t="shared" si="180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78"/>
        <v>-448865690507.38635</v>
      </c>
      <c r="J4016" s="444">
        <f t="array" ref="J4016">IFERROR(INDEX('Retirement Calculator'!J:J,MATCH('Isaac 401k'!N4016,'Retirement Calculator'!A:A,0),0),0)</f>
        <v>0</v>
      </c>
      <c r="K4016" s="444">
        <f t="shared" ca="1" si="176"/>
        <v>-1870273710.447443</v>
      </c>
      <c r="L4016" s="444">
        <f t="shared" ca="1" si="177"/>
        <v>-450735964217.8338</v>
      </c>
      <c r="M4016" s="460">
        <f t="shared" si="179"/>
        <v>0.05</v>
      </c>
      <c r="N4016" s="464">
        <f t="shared" si="180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78"/>
        <v>-450735964217.8338</v>
      </c>
      <c r="J4017" s="444">
        <f t="array" ref="J4017">IFERROR(INDEX('Retirement Calculator'!J:J,MATCH('Isaac 401k'!N4017,'Retirement Calculator'!A:A,0),0),0)</f>
        <v>0</v>
      </c>
      <c r="K4017" s="444">
        <f t="shared" ca="1" si="176"/>
        <v>-1878066517.5743072</v>
      </c>
      <c r="L4017" s="444">
        <f t="shared" ca="1" si="177"/>
        <v>-452614030735.40808</v>
      </c>
      <c r="M4017" s="460">
        <f t="shared" si="179"/>
        <v>0.05</v>
      </c>
      <c r="N4017" s="464">
        <f t="shared" si="180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78"/>
        <v>-452614030735.40808</v>
      </c>
      <c r="J4018" s="444">
        <f t="array" ref="J4018">IFERROR(INDEX('Retirement Calculator'!J:J,MATCH('Isaac 401k'!N4018,'Retirement Calculator'!A:A,0),0),0)</f>
        <v>0</v>
      </c>
      <c r="K4018" s="444">
        <f t="shared" ca="1" si="176"/>
        <v>-1885891794.7308669</v>
      </c>
      <c r="L4018" s="444">
        <f t="shared" ca="1" si="177"/>
        <v>-454499922530.13898</v>
      </c>
      <c r="M4018" s="460">
        <f t="shared" si="179"/>
        <v>0.05</v>
      </c>
      <c r="N4018" s="464">
        <f t="shared" si="180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78"/>
        <v>-454499922530.13898</v>
      </c>
      <c r="J4019" s="444">
        <f t="array" ref="J4019">IFERROR(INDEX('Retirement Calculator'!J:J,MATCH('Isaac 401k'!N4019,'Retirement Calculator'!A:A,0),0),0)</f>
        <v>0</v>
      </c>
      <c r="K4019" s="444">
        <f t="shared" ca="1" si="176"/>
        <v>-1893749677.2089124</v>
      </c>
      <c r="L4019" s="444">
        <f t="shared" ca="1" si="177"/>
        <v>-456393672207.3479</v>
      </c>
      <c r="M4019" s="460">
        <f t="shared" si="179"/>
        <v>0.05</v>
      </c>
      <c r="N4019" s="464">
        <f t="shared" si="180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78"/>
        <v>-456393672207.3479</v>
      </c>
      <c r="J4020" s="444">
        <f t="array" ref="J4020">IFERROR(INDEX('Retirement Calculator'!J:J,MATCH('Isaac 401k'!N4020,'Retirement Calculator'!A:A,0),0),0)</f>
        <v>0</v>
      </c>
      <c r="K4020" s="444">
        <f t="shared" ca="1" si="176"/>
        <v>-1901640300.8639495</v>
      </c>
      <c r="L4020" s="444">
        <f t="shared" ca="1" si="177"/>
        <v>-458295312508.21185</v>
      </c>
      <c r="M4020" s="460">
        <f t="shared" si="179"/>
        <v>0.05</v>
      </c>
      <c r="N4020" s="464">
        <f t="shared" si="180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78"/>
        <v>-458295312508.21185</v>
      </c>
      <c r="J4021" s="444">
        <f t="array" ref="J4021">IFERROR(INDEX('Retirement Calculator'!J:J,MATCH('Isaac 401k'!N4021,'Retirement Calculator'!A:A,0),0),0)</f>
        <v>0</v>
      </c>
      <c r="K4021" s="444">
        <f t="shared" ca="1" si="176"/>
        <v>-1909563802.1175494</v>
      </c>
      <c r="L4021" s="444">
        <f t="shared" ca="1" si="177"/>
        <v>-460204876310.32941</v>
      </c>
      <c r="M4021" s="460">
        <f t="shared" si="179"/>
        <v>0.05</v>
      </c>
      <c r="N4021" s="464">
        <f t="shared" si="180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78"/>
        <v>-460204876310.32941</v>
      </c>
      <c r="J4022" s="444">
        <f t="array" ref="J4022">IFERROR(INDEX('Retirement Calculator'!J:J,MATCH('Isaac 401k'!N4022,'Retirement Calculator'!A:A,0),0),0)</f>
        <v>0</v>
      </c>
      <c r="K4022" s="444">
        <f t="shared" ca="1" si="176"/>
        <v>-1917520317.9597058</v>
      </c>
      <c r="L4022" s="444">
        <f t="shared" ca="1" si="177"/>
        <v>-462122396628.28912</v>
      </c>
      <c r="M4022" s="460">
        <f t="shared" si="179"/>
        <v>0.05</v>
      </c>
      <c r="N4022" s="464">
        <f t="shared" si="180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78"/>
        <v>-462122396628.28912</v>
      </c>
      <c r="J4023" s="444">
        <f t="array" ref="J4023">IFERROR(INDEX('Retirement Calculator'!J:J,MATCH('Isaac 401k'!N4023,'Retirement Calculator'!A:A,0),0),0)</f>
        <v>0</v>
      </c>
      <c r="K4023" s="444">
        <f t="shared" ca="1" si="176"/>
        <v>-1925509985.951205</v>
      </c>
      <c r="L4023" s="444">
        <f t="shared" ca="1" si="177"/>
        <v>-464047906614.24036</v>
      </c>
      <c r="M4023" s="460">
        <f t="shared" si="179"/>
        <v>0.05</v>
      </c>
      <c r="N4023" s="464">
        <f t="shared" si="180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78"/>
        <v>-464047906614.24036</v>
      </c>
      <c r="J4024" s="444">
        <f t="array" ref="J4024">IFERROR(INDEX('Retirement Calculator'!J:J,MATCH('Isaac 401k'!N4024,'Retirement Calculator'!A:A,0),0),0)</f>
        <v>0</v>
      </c>
      <c r="K4024" s="444">
        <f t="shared" ca="1" si="176"/>
        <v>-1933532944.2260015</v>
      </c>
      <c r="L4024" s="444">
        <f t="shared" ca="1" si="177"/>
        <v>-465981439558.46637</v>
      </c>
      <c r="M4024" s="460">
        <f t="shared" si="179"/>
        <v>0.05</v>
      </c>
      <c r="N4024" s="464">
        <f t="shared" si="180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78"/>
        <v>-465981439558.46637</v>
      </c>
      <c r="J4025" s="444">
        <f t="array" ref="J4025">IFERROR(INDEX('Retirement Calculator'!J:J,MATCH('Isaac 401k'!N4025,'Retirement Calculator'!A:A,0),0),0)</f>
        <v>0</v>
      </c>
      <c r="K4025" s="444">
        <f t="shared" ca="1" si="176"/>
        <v>-1941589331.4936099</v>
      </c>
      <c r="L4025" s="444">
        <f t="shared" ca="1" si="177"/>
        <v>-467923028889.95996</v>
      </c>
      <c r="M4025" s="460">
        <f t="shared" si="179"/>
        <v>0.05</v>
      </c>
      <c r="N4025" s="464">
        <f t="shared" si="180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78"/>
        <v>-467923028889.95996</v>
      </c>
      <c r="J4026" s="444">
        <f t="array" ref="J4026">IFERROR(INDEX('Retirement Calculator'!J:J,MATCH('Isaac 401k'!N4026,'Retirement Calculator'!A:A,0),0),0)</f>
        <v>0</v>
      </c>
      <c r="K4026" s="444">
        <f t="shared" ca="1" si="176"/>
        <v>-1949679287.0414999</v>
      </c>
      <c r="L4026" s="444">
        <f t="shared" ca="1" si="177"/>
        <v>-469872708177.00146</v>
      </c>
      <c r="M4026" s="460">
        <f t="shared" si="179"/>
        <v>0.05</v>
      </c>
      <c r="N4026" s="464">
        <f t="shared" si="180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78"/>
        <v>-469872708177.00146</v>
      </c>
      <c r="J4027" s="444">
        <f t="array" ref="J4027">IFERROR(INDEX('Retirement Calculator'!J:J,MATCH('Isaac 401k'!N4027,'Retirement Calculator'!A:A,0),0),0)</f>
        <v>0</v>
      </c>
      <c r="K4027" s="444">
        <f t="shared" ca="1" si="176"/>
        <v>-1957802950.7375062</v>
      </c>
      <c r="L4027" s="444">
        <f t="shared" ca="1" si="177"/>
        <v>-471830511127.73895</v>
      </c>
      <c r="M4027" s="460">
        <f t="shared" si="179"/>
        <v>0.05</v>
      </c>
      <c r="N4027" s="464">
        <f t="shared" si="180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78"/>
        <v>-471830511127.73895</v>
      </c>
      <c r="J4028" s="444">
        <f t="array" ref="J4028">IFERROR(INDEX('Retirement Calculator'!J:J,MATCH('Isaac 401k'!N4028,'Retirement Calculator'!A:A,0),0),0)</f>
        <v>0</v>
      </c>
      <c r="K4028" s="444">
        <f t="shared" ca="1" si="176"/>
        <v>-1965960463.0322456</v>
      </c>
      <c r="L4028" s="444">
        <f t="shared" ca="1" si="177"/>
        <v>-473796471590.77118</v>
      </c>
      <c r="M4028" s="460">
        <f t="shared" si="179"/>
        <v>0.05</v>
      </c>
      <c r="N4028" s="464">
        <f t="shared" si="180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78"/>
        <v>-473796471590.77118</v>
      </c>
      <c r="J4029" s="444">
        <f t="array" ref="J4029">IFERROR(INDEX('Retirement Calculator'!J:J,MATCH('Isaac 401k'!N4029,'Retirement Calculator'!A:A,0),0),0)</f>
        <v>0</v>
      </c>
      <c r="K4029" s="444">
        <f t="shared" ca="1" si="176"/>
        <v>-1974151964.9615462</v>
      </c>
      <c r="L4029" s="444">
        <f t="shared" ca="1" si="177"/>
        <v>-475770623555.73273</v>
      </c>
      <c r="M4029" s="460">
        <f t="shared" si="179"/>
        <v>0.05</v>
      </c>
      <c r="N4029" s="464">
        <f t="shared" si="180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78"/>
        <v>-475770623555.73273</v>
      </c>
      <c r="J4030" s="444">
        <f t="array" ref="J4030">IFERROR(INDEX('Retirement Calculator'!J:J,MATCH('Isaac 401k'!N4030,'Retirement Calculator'!A:A,0),0),0)</f>
        <v>0</v>
      </c>
      <c r="K4030" s="444">
        <f t="shared" ca="1" si="176"/>
        <v>-1982377598.1488867</v>
      </c>
      <c r="L4030" s="444">
        <f t="shared" ca="1" si="177"/>
        <v>-477753001153.88159</v>
      </c>
      <c r="M4030" s="460">
        <f t="shared" si="179"/>
        <v>0.05</v>
      </c>
      <c r="N4030" s="464">
        <f t="shared" si="180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78"/>
        <v>-477753001153.88159</v>
      </c>
      <c r="J4031" s="444">
        <f t="array" ref="J4031">IFERROR(INDEX('Retirement Calculator'!J:J,MATCH('Isaac 401k'!N4031,'Retirement Calculator'!A:A,0),0),0)</f>
        <v>0</v>
      </c>
      <c r="K4031" s="444">
        <f t="shared" ca="1" si="176"/>
        <v>-1990637504.8078396</v>
      </c>
      <c r="L4031" s="444">
        <f t="shared" ca="1" si="177"/>
        <v>-479743638658.68945</v>
      </c>
      <c r="M4031" s="460">
        <f t="shared" si="179"/>
        <v>0.05</v>
      </c>
      <c r="N4031" s="464">
        <f t="shared" si="180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78"/>
        <v>-479743638658.68945</v>
      </c>
      <c r="J4032" s="444">
        <f t="array" ref="J4032">IFERROR(INDEX('Retirement Calculator'!J:J,MATCH('Isaac 401k'!N4032,'Retirement Calculator'!A:A,0),0),0)</f>
        <v>0</v>
      </c>
      <c r="K4032" s="444">
        <f t="shared" ca="1" si="176"/>
        <v>-1998931827.7445393</v>
      </c>
      <c r="L4032" s="444">
        <f t="shared" ca="1" si="177"/>
        <v>-481742570486.43402</v>
      </c>
      <c r="M4032" s="460">
        <f t="shared" si="179"/>
        <v>0.05</v>
      </c>
      <c r="N4032" s="464">
        <f t="shared" si="180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78"/>
        <v>-481742570486.43402</v>
      </c>
      <c r="J4033" s="444">
        <f t="array" ref="J4033">IFERROR(INDEX('Retirement Calculator'!J:J,MATCH('Isaac 401k'!N4033,'Retirement Calculator'!A:A,0),0),0)</f>
        <v>0</v>
      </c>
      <c r="K4033" s="444">
        <f t="shared" ca="1" si="176"/>
        <v>-2007260710.3601418</v>
      </c>
      <c r="L4033" s="444">
        <f t="shared" ca="1" si="177"/>
        <v>-483749831196.79419</v>
      </c>
      <c r="M4033" s="460">
        <f t="shared" si="179"/>
        <v>0.05</v>
      </c>
      <c r="N4033" s="464">
        <f t="shared" si="180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78"/>
        <v>-483749831196.79419</v>
      </c>
      <c r="J4034" s="444">
        <f t="array" ref="J4034">IFERROR(INDEX('Retirement Calculator'!J:J,MATCH('Isaac 401k'!N4034,'Retirement Calculator'!A:A,0),0),0)</f>
        <v>0</v>
      </c>
      <c r="K4034" s="444">
        <f t="shared" ca="1" si="176"/>
        <v>-2015624296.6533091</v>
      </c>
      <c r="L4034" s="444">
        <f t="shared" ca="1" si="177"/>
        <v>-485765455493.44751</v>
      </c>
      <c r="M4034" s="460">
        <f t="shared" si="179"/>
        <v>0.05</v>
      </c>
      <c r="N4034" s="464">
        <f t="shared" si="180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78"/>
        <v>-485765455493.44751</v>
      </c>
      <c r="J4035" s="444">
        <f t="array" ref="J4035">IFERROR(INDEX('Retirement Calculator'!J:J,MATCH('Isaac 401k'!N4035,'Retirement Calculator'!A:A,0),0),0)</f>
        <v>0</v>
      </c>
      <c r="K4035" s="444">
        <f t="shared" ca="1" si="176"/>
        <v>-2024022731.2226977</v>
      </c>
      <c r="L4035" s="444">
        <f t="shared" ca="1" si="177"/>
        <v>-487789478224.67023</v>
      </c>
      <c r="M4035" s="460">
        <f t="shared" si="179"/>
        <v>0.05</v>
      </c>
      <c r="N4035" s="464">
        <f t="shared" si="180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78"/>
        <v>-487789478224.67023</v>
      </c>
      <c r="J4036" s="444">
        <f t="array" ref="J4036">IFERROR(INDEX('Retirement Calculator'!J:J,MATCH('Isaac 401k'!N4036,'Retirement Calculator'!A:A,0),0),0)</f>
        <v>0</v>
      </c>
      <c r="K4036" s="444">
        <f t="shared" ca="1" si="176"/>
        <v>-2032456159.2694592</v>
      </c>
      <c r="L4036" s="444">
        <f t="shared" ca="1" si="177"/>
        <v>-489821934383.9397</v>
      </c>
      <c r="M4036" s="460">
        <f t="shared" si="179"/>
        <v>0.05</v>
      </c>
      <c r="N4036" s="464">
        <f t="shared" si="180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78"/>
        <v>-489821934383.9397</v>
      </c>
      <c r="J4037" s="444">
        <f t="array" ref="J4037">IFERROR(INDEX('Retirement Calculator'!J:J,MATCH('Isaac 401k'!N4037,'Retirement Calculator'!A:A,0),0),0)</f>
        <v>0</v>
      </c>
      <c r="K4037" s="444">
        <f t="shared" ca="1" si="176"/>
        <v>-2040924726.5997486</v>
      </c>
      <c r="L4037" s="444">
        <f t="shared" ca="1" si="177"/>
        <v>-491862859110.53943</v>
      </c>
      <c r="M4037" s="460">
        <f t="shared" si="179"/>
        <v>0.05</v>
      </c>
      <c r="N4037" s="464">
        <f t="shared" si="180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78"/>
        <v>-491862859110.53943</v>
      </c>
      <c r="J4038" s="444">
        <f t="array" ref="J4038">IFERROR(INDEX('Retirement Calculator'!J:J,MATCH('Isaac 401k'!N4038,'Retirement Calculator'!A:A,0),0),0)</f>
        <v>0</v>
      </c>
      <c r="K4038" s="444">
        <f t="shared" ca="1" si="176"/>
        <v>-2049428579.6272473</v>
      </c>
      <c r="L4038" s="444">
        <f t="shared" ca="1" si="177"/>
        <v>-493912287690.16669</v>
      </c>
      <c r="M4038" s="460">
        <f t="shared" si="179"/>
        <v>0.05</v>
      </c>
      <c r="N4038" s="464">
        <f t="shared" si="180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78"/>
        <v>-493912287690.16669</v>
      </c>
      <c r="J4039" s="444">
        <f t="array" ref="J4039">IFERROR(INDEX('Retirement Calculator'!J:J,MATCH('Isaac 401k'!N4039,'Retirement Calculator'!A:A,0),0),0)</f>
        <v>0</v>
      </c>
      <c r="K4039" s="444">
        <f t="shared" ca="1" si="176"/>
        <v>-2057967865.3756945</v>
      </c>
      <c r="L4039" s="444">
        <f t="shared" ca="1" si="177"/>
        <v>-495970255555.54236</v>
      </c>
      <c r="M4039" s="460">
        <f t="shared" si="179"/>
        <v>0.05</v>
      </c>
      <c r="N4039" s="464">
        <f t="shared" si="180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78"/>
        <v>-495970255555.54236</v>
      </c>
      <c r="J4040" s="444">
        <f t="array" ref="J4040">IFERROR(INDEX('Retirement Calculator'!J:J,MATCH('Isaac 401k'!N4040,'Retirement Calculator'!A:A,0),0),0)</f>
        <v>0</v>
      </c>
      <c r="K4040" s="444">
        <f t="shared" ca="1" si="176"/>
        <v>-2066542731.4814265</v>
      </c>
      <c r="L4040" s="444">
        <f t="shared" ca="1" si="177"/>
        <v>-498036798287.0238</v>
      </c>
      <c r="M4040" s="460">
        <f t="shared" si="179"/>
        <v>0.05</v>
      </c>
      <c r="N4040" s="464">
        <f t="shared" si="180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78"/>
        <v>-498036798287.0238</v>
      </c>
      <c r="J4041" s="444">
        <f t="array" ref="J4041">IFERROR(INDEX('Retirement Calculator'!J:J,MATCH('Isaac 401k'!N4041,'Retirement Calculator'!A:A,0),0),0)</f>
        <v>0</v>
      </c>
      <c r="K4041" s="444">
        <f t="shared" ca="1" si="176"/>
        <v>-2075153326.1959326</v>
      </c>
      <c r="L4041" s="444">
        <f t="shared" ca="1" si="177"/>
        <v>-500111951613.21973</v>
      </c>
      <c r="M4041" s="460">
        <f t="shared" si="179"/>
        <v>0.05</v>
      </c>
      <c r="N4041" s="464">
        <f t="shared" si="180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78"/>
        <v>-500111951613.21973</v>
      </c>
      <c r="J4042" s="444">
        <f t="array" ref="J4042">IFERROR(INDEX('Retirement Calculator'!J:J,MATCH('Isaac 401k'!N4042,'Retirement Calculator'!A:A,0),0),0)</f>
        <v>0</v>
      </c>
      <c r="K4042" s="444">
        <f t="shared" ca="1" si="176"/>
        <v>-2083799798.3884156</v>
      </c>
      <c r="L4042" s="444">
        <f t="shared" ca="1" si="177"/>
        <v>-502195751411.60815</v>
      </c>
      <c r="M4042" s="460">
        <f t="shared" si="179"/>
        <v>0.05</v>
      </c>
      <c r="N4042" s="464">
        <f t="shared" si="180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78"/>
        <v>-502195751411.60815</v>
      </c>
      <c r="J4043" s="444">
        <f t="array" ref="J4043">IFERROR(INDEX('Retirement Calculator'!J:J,MATCH('Isaac 401k'!N4043,'Retirement Calculator'!A:A,0),0),0)</f>
        <v>0</v>
      </c>
      <c r="K4043" s="444">
        <f t="shared" ca="1" si="176"/>
        <v>-2092482297.5483673</v>
      </c>
      <c r="L4043" s="444">
        <f t="shared" ca="1" si="177"/>
        <v>-504288233709.15649</v>
      </c>
      <c r="M4043" s="460">
        <f t="shared" si="179"/>
        <v>0.05</v>
      </c>
      <c r="N4043" s="464">
        <f t="shared" si="180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78"/>
        <v>-504288233709.15649</v>
      </c>
      <c r="J4044" s="444">
        <f t="array" ref="J4044">IFERROR(INDEX('Retirement Calculator'!J:J,MATCH('Isaac 401k'!N4044,'Retirement Calculator'!A:A,0),0),0)</f>
        <v>0</v>
      </c>
      <c r="K4044" s="444">
        <f t="shared" ca="1" si="176"/>
        <v>-2101200973.7881522</v>
      </c>
      <c r="L4044" s="444">
        <f t="shared" ca="1" si="177"/>
        <v>-506389434682.94464</v>
      </c>
      <c r="M4044" s="460">
        <f t="shared" si="179"/>
        <v>0.05</v>
      </c>
      <c r="N4044" s="464">
        <f t="shared" si="180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78"/>
        <v>-506389434682.94464</v>
      </c>
      <c r="J4045" s="444">
        <f t="array" ref="J4045">IFERROR(INDEX('Retirement Calculator'!J:J,MATCH('Isaac 401k'!N4045,'Retirement Calculator'!A:A,0),0),0)</f>
        <v>0</v>
      </c>
      <c r="K4045" s="444">
        <f t="shared" ca="1" si="176"/>
        <v>-2109955977.8456028</v>
      </c>
      <c r="L4045" s="444">
        <f t="shared" ca="1" si="177"/>
        <v>-508499390660.79022</v>
      </c>
      <c r="M4045" s="460">
        <f t="shared" si="179"/>
        <v>0.05</v>
      </c>
      <c r="N4045" s="464">
        <f t="shared" si="180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78"/>
        <v>-508499390660.79022</v>
      </c>
      <c r="J4046" s="444">
        <f t="array" ref="J4046">IFERROR(INDEX('Retirement Calculator'!J:J,MATCH('Isaac 401k'!N4046,'Retirement Calculator'!A:A,0),0),0)</f>
        <v>0</v>
      </c>
      <c r="K4046" s="444">
        <f t="shared" ca="1" si="176"/>
        <v>-2118747461.0866261</v>
      </c>
      <c r="L4046" s="444">
        <f t="shared" ca="1" si="177"/>
        <v>-510618138121.87683</v>
      </c>
      <c r="M4046" s="460">
        <f t="shared" si="179"/>
        <v>0.05</v>
      </c>
      <c r="N4046" s="464">
        <f t="shared" si="180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78"/>
        <v>-510618138121.87683</v>
      </c>
      <c r="J4047" s="444">
        <f t="array" ref="J4047">IFERROR(INDEX('Retirement Calculator'!J:J,MATCH('Isaac 401k'!N4047,'Retirement Calculator'!A:A,0),0),0)</f>
        <v>0</v>
      </c>
      <c r="K4047" s="444">
        <f t="shared" ca="1" si="176"/>
        <v>-2127575575.5078201</v>
      </c>
      <c r="L4047" s="444">
        <f t="shared" ca="1" si="177"/>
        <v>-512745713697.38464</v>
      </c>
      <c r="M4047" s="460">
        <f t="shared" si="179"/>
        <v>0.05</v>
      </c>
      <c r="N4047" s="464">
        <f t="shared" si="180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78"/>
        <v>-512745713697.38464</v>
      </c>
      <c r="J4048" s="444">
        <f t="array" ref="J4048">IFERROR(INDEX('Retirement Calculator'!J:J,MATCH('Isaac 401k'!N4048,'Retirement Calculator'!A:A,0),0),0)</f>
        <v>0</v>
      </c>
      <c r="K4048" s="444">
        <f t="shared" ca="1" si="176"/>
        <v>-2136440473.7391026</v>
      </c>
      <c r="L4048" s="444">
        <f t="shared" ca="1" si="177"/>
        <v>-514882154171.12372</v>
      </c>
      <c r="M4048" s="460">
        <f t="shared" si="179"/>
        <v>0.05</v>
      </c>
      <c r="N4048" s="464">
        <f t="shared" si="180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78"/>
        <v>-514882154171.12372</v>
      </c>
      <c r="J4049" s="444">
        <f t="array" ref="J4049">IFERROR(INDEX('Retirement Calculator'!J:J,MATCH('Isaac 401k'!N4049,'Retirement Calculator'!A:A,0),0),0)</f>
        <v>0</v>
      </c>
      <c r="K4049" s="444">
        <f t="shared" ca="1" si="176"/>
        <v>-2145342309.0463488</v>
      </c>
      <c r="L4049" s="444">
        <f t="shared" ca="1" si="177"/>
        <v>-517027496480.17004</v>
      </c>
      <c r="M4049" s="460">
        <f t="shared" si="179"/>
        <v>0.05</v>
      </c>
      <c r="N4049" s="464">
        <f t="shared" si="180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78"/>
        <v>-517027496480.17004</v>
      </c>
      <c r="J4050" s="444">
        <f t="array" ref="J4050">IFERROR(INDEX('Retirement Calculator'!J:J,MATCH('Isaac 401k'!N4050,'Retirement Calculator'!A:A,0),0),0)</f>
        <v>0</v>
      </c>
      <c r="K4050" s="444">
        <f t="shared" ca="1" si="176"/>
        <v>-2154281235.3340416</v>
      </c>
      <c r="L4050" s="444">
        <f t="shared" ca="1" si="177"/>
        <v>-519181777715.50409</v>
      </c>
      <c r="M4050" s="460">
        <f t="shared" si="179"/>
        <v>0.05</v>
      </c>
      <c r="N4050" s="464">
        <f t="shared" si="180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78"/>
        <v>-519181777715.50409</v>
      </c>
      <c r="J4051" s="444">
        <f t="array" ref="J4051">IFERROR(INDEX('Retirement Calculator'!J:J,MATCH('Isaac 401k'!N4051,'Retirement Calculator'!A:A,0),0),0)</f>
        <v>0</v>
      </c>
      <c r="K4051" s="444">
        <f t="shared" ca="1" si="176"/>
        <v>-2163257407.147934</v>
      </c>
      <c r="L4051" s="444">
        <f t="shared" ca="1" si="177"/>
        <v>-521345035122.65204</v>
      </c>
      <c r="M4051" s="460">
        <f t="shared" si="179"/>
        <v>0.05</v>
      </c>
      <c r="N4051" s="464">
        <f t="shared" si="180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78"/>
        <v>-521345035122.65204</v>
      </c>
      <c r="J4052" s="444">
        <f t="array" ref="J4052">IFERROR(INDEX('Retirement Calculator'!J:J,MATCH('Isaac 401k'!N4052,'Retirement Calculator'!A:A,0),0),0)</f>
        <v>0</v>
      </c>
      <c r="K4052" s="444">
        <f t="shared" ca="1" si="176"/>
        <v>-2172270979.6777167</v>
      </c>
      <c r="L4052" s="444">
        <f t="shared" ca="1" si="177"/>
        <v>-523517306102.32977</v>
      </c>
      <c r="M4052" s="460">
        <f t="shared" si="179"/>
        <v>0.05</v>
      </c>
      <c r="N4052" s="464">
        <f t="shared" si="180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78"/>
        <v>-523517306102.32977</v>
      </c>
      <c r="J4053" s="444">
        <f t="array" ref="J4053">IFERROR(INDEX('Retirement Calculator'!J:J,MATCH('Isaac 401k'!N4053,'Retirement Calculator'!A:A,0),0),0)</f>
        <v>0</v>
      </c>
      <c r="K4053" s="444">
        <f t="shared" ca="1" si="176"/>
        <v>-2181322108.7597075</v>
      </c>
      <c r="L4053" s="444">
        <f t="shared" ca="1" si="177"/>
        <v>-525698628211.08948</v>
      </c>
      <c r="M4053" s="460">
        <f t="shared" si="179"/>
        <v>0.05</v>
      </c>
      <c r="N4053" s="464">
        <f t="shared" si="180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78"/>
        <v>-525698628211.08948</v>
      </c>
      <c r="J4054" s="444">
        <f t="array" ref="J4054">IFERROR(INDEX('Retirement Calculator'!J:J,MATCH('Isaac 401k'!N4054,'Retirement Calculator'!A:A,0),0),0)</f>
        <v>0</v>
      </c>
      <c r="K4054" s="444">
        <f t="shared" ca="1" si="176"/>
        <v>-2190410950.8795395</v>
      </c>
      <c r="L4054" s="444">
        <f t="shared" ca="1" si="177"/>
        <v>-527889039161.96899</v>
      </c>
      <c r="M4054" s="460">
        <f t="shared" si="179"/>
        <v>0.05</v>
      </c>
      <c r="N4054" s="464">
        <f t="shared" si="180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78"/>
        <v>-527889039161.96899</v>
      </c>
      <c r="J4055" s="444">
        <f t="array" ref="J4055">IFERROR(INDEX('Retirement Calculator'!J:J,MATCH('Isaac 401k'!N4055,'Retirement Calculator'!A:A,0),0),0)</f>
        <v>0</v>
      </c>
      <c r="K4055" s="444">
        <f t="shared" ca="1" si="176"/>
        <v>-2199537663.174871</v>
      </c>
      <c r="L4055" s="444">
        <f t="shared" ca="1" si="177"/>
        <v>-530088576825.14386</v>
      </c>
      <c r="M4055" s="460">
        <f t="shared" si="179"/>
        <v>0.05</v>
      </c>
      <c r="N4055" s="464">
        <f t="shared" si="180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78"/>
        <v>-530088576825.14386</v>
      </c>
      <c r="J4056" s="444">
        <f t="array" ref="J4056">IFERROR(INDEX('Retirement Calculator'!J:J,MATCH('Isaac 401k'!N4056,'Retirement Calculator'!A:A,0),0),0)</f>
        <v>0</v>
      </c>
      <c r="K4056" s="444">
        <f t="shared" ca="1" si="176"/>
        <v>-2208702403.4380989</v>
      </c>
      <c r="L4056" s="444">
        <f t="shared" ca="1" si="177"/>
        <v>-532297279228.58197</v>
      </c>
      <c r="M4056" s="460">
        <f t="shared" si="179"/>
        <v>0.05</v>
      </c>
      <c r="N4056" s="464">
        <f t="shared" si="180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78"/>
        <v>-532297279228.58197</v>
      </c>
      <c r="J4057" s="444">
        <f t="array" ref="J4057">IFERROR(INDEX('Retirement Calculator'!J:J,MATCH('Isaac 401k'!N4057,'Retirement Calculator'!A:A,0),0),0)</f>
        <v>0</v>
      </c>
      <c r="K4057" s="444">
        <f t="shared" ca="1" si="176"/>
        <v>-2217905330.1190915</v>
      </c>
      <c r="L4057" s="444">
        <f t="shared" ca="1" si="177"/>
        <v>-534515184558.70105</v>
      </c>
      <c r="M4057" s="460">
        <f t="shared" si="179"/>
        <v>0.05</v>
      </c>
      <c r="N4057" s="464">
        <f t="shared" si="180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78"/>
        <v>-534515184558.70105</v>
      </c>
      <c r="J4058" s="444">
        <f t="array" ref="J4058">IFERROR(INDEX('Retirement Calculator'!J:J,MATCH('Isaac 401k'!N4058,'Retirement Calculator'!A:A,0),0),0)</f>
        <v>0</v>
      </c>
      <c r="K4058" s="444">
        <f t="shared" ca="1" si="176"/>
        <v>-2227146602.3279209</v>
      </c>
      <c r="L4058" s="444">
        <f t="shared" ca="1" si="177"/>
        <v>-536742331161.02899</v>
      </c>
      <c r="M4058" s="460">
        <f t="shared" si="179"/>
        <v>0.05</v>
      </c>
      <c r="N4058" s="464">
        <f t="shared" si="180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78"/>
        <v>-536742331161.02899</v>
      </c>
      <c r="J4059" s="444">
        <f t="array" ref="J4059">IFERROR(INDEX('Retirement Calculator'!J:J,MATCH('Isaac 401k'!N4059,'Retirement Calculator'!A:A,0),0),0)</f>
        <v>0</v>
      </c>
      <c r="K4059" s="444">
        <f t="shared" ca="1" si="176"/>
        <v>-2236426379.8376207</v>
      </c>
      <c r="L4059" s="444">
        <f t="shared" ca="1" si="177"/>
        <v>-538978757540.86664</v>
      </c>
      <c r="M4059" s="460">
        <f t="shared" si="179"/>
        <v>0.05</v>
      </c>
      <c r="N4059" s="464">
        <f t="shared" si="180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78"/>
        <v>-538978757540.86664</v>
      </c>
      <c r="J4060" s="444">
        <f t="array" ref="J4060">IFERROR(INDEX('Retirement Calculator'!J:J,MATCH('Isaac 401k'!N4060,'Retirement Calculator'!A:A,0),0),0)</f>
        <v>0</v>
      </c>
      <c r="K4060" s="444">
        <f t="shared" ca="1" si="176"/>
        <v>-2245744823.0869441</v>
      </c>
      <c r="L4060" s="444">
        <f t="shared" ca="1" si="177"/>
        <v>-541224502363.95355</v>
      </c>
      <c r="M4060" s="460">
        <f t="shared" si="179"/>
        <v>0.05</v>
      </c>
      <c r="N4060" s="464">
        <f t="shared" si="180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78"/>
        <v>-541224502363.95355</v>
      </c>
      <c r="J4061" s="444">
        <f t="array" ref="J4061">IFERROR(INDEX('Retirement Calculator'!J:J,MATCH('Isaac 401k'!N4061,'Retirement Calculator'!A:A,0),0),0)</f>
        <v>0</v>
      </c>
      <c r="K4061" s="444">
        <f t="shared" ca="1" si="176"/>
        <v>-2255102093.1831393</v>
      </c>
      <c r="L4061" s="444">
        <f t="shared" ca="1" si="177"/>
        <v>-543479604457.13672</v>
      </c>
      <c r="M4061" s="460">
        <f t="shared" si="179"/>
        <v>0.05</v>
      </c>
      <c r="N4061" s="464">
        <f t="shared" si="180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78"/>
        <v>-543479604457.13672</v>
      </c>
      <c r="J4062" s="444">
        <f t="array" ref="J4062">IFERROR(INDEX('Retirement Calculator'!J:J,MATCH('Isaac 401k'!N4062,'Retirement Calculator'!A:A,0),0),0)</f>
        <v>0</v>
      </c>
      <c r="K4062" s="444">
        <f t="shared" ca="1" si="176"/>
        <v>-2264498351.9047365</v>
      </c>
      <c r="L4062" s="444">
        <f t="shared" ca="1" si="177"/>
        <v>-545744102809.04144</v>
      </c>
      <c r="M4062" s="460">
        <f t="shared" si="179"/>
        <v>0.05</v>
      </c>
      <c r="N4062" s="464">
        <f t="shared" si="180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78"/>
        <v>-545744102809.04144</v>
      </c>
      <c r="J4063" s="444">
        <f t="array" ref="J4063">IFERROR(INDEX('Retirement Calculator'!J:J,MATCH('Isaac 401k'!N4063,'Retirement Calculator'!A:A,0),0),0)</f>
        <v>0</v>
      </c>
      <c r="K4063" s="444">
        <f t="shared" ca="1" si="176"/>
        <v>-2273933761.7043395</v>
      </c>
      <c r="L4063" s="444">
        <f t="shared" ca="1" si="177"/>
        <v>-548018036570.74579</v>
      </c>
      <c r="M4063" s="460">
        <f t="shared" si="179"/>
        <v>0.05</v>
      </c>
      <c r="N4063" s="464">
        <f t="shared" si="180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78"/>
        <v>-548018036570.74579</v>
      </c>
      <c r="J4064" s="444">
        <f t="array" ref="J4064">IFERROR(INDEX('Retirement Calculator'!J:J,MATCH('Isaac 401k'!N4064,'Retirement Calculator'!A:A,0),0),0)</f>
        <v>0</v>
      </c>
      <c r="K4064" s="444">
        <f t="shared" ca="1" si="176"/>
        <v>-2283408485.7114406</v>
      </c>
      <c r="L4064" s="444">
        <f t="shared" ca="1" si="177"/>
        <v>-550301445056.45728</v>
      </c>
      <c r="M4064" s="460">
        <f t="shared" si="179"/>
        <v>0.05</v>
      </c>
      <c r="N4064" s="464">
        <f t="shared" si="180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78"/>
        <v>-550301445056.45728</v>
      </c>
      <c r="J4065" s="444">
        <f t="array" ref="J4065">IFERROR(INDEX('Retirement Calculator'!J:J,MATCH('Isaac 401k'!N4065,'Retirement Calculator'!A:A,0),0),0)</f>
        <v>0</v>
      </c>
      <c r="K4065" s="444">
        <f t="shared" ca="1" si="176"/>
        <v>-2292922687.7352386</v>
      </c>
      <c r="L4065" s="444">
        <f t="shared" ca="1" si="177"/>
        <v>-552594367744.1925</v>
      </c>
      <c r="M4065" s="460">
        <f t="shared" si="179"/>
        <v>0.05</v>
      </c>
      <c r="N4065" s="464">
        <f t="shared" si="180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78"/>
        <v>-552594367744.1925</v>
      </c>
      <c r="J4066" s="444">
        <f t="array" ref="J4066">IFERROR(INDEX('Retirement Calculator'!J:J,MATCH('Isaac 401k'!N4066,'Retirement Calculator'!A:A,0),0),0)</f>
        <v>0</v>
      </c>
      <c r="K4066" s="444">
        <f t="shared" ca="1" si="176"/>
        <v>-2302476532.2674689</v>
      </c>
      <c r="L4066" s="444">
        <f t="shared" ca="1" si="177"/>
        <v>-554896844276.45996</v>
      </c>
      <c r="M4066" s="460">
        <f t="shared" si="179"/>
        <v>0.05</v>
      </c>
      <c r="N4066" s="464">
        <f t="shared" si="180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78"/>
        <v>-554896844276.45996</v>
      </c>
      <c r="J4067" s="444">
        <f t="array" ref="J4067">IFERROR(INDEX('Retirement Calculator'!J:J,MATCH('Isaac 401k'!N4067,'Retirement Calculator'!A:A,0),0),0)</f>
        <v>0</v>
      </c>
      <c r="K4067" s="444">
        <f t="shared" ca="1" si="176"/>
        <v>-2312070184.48525</v>
      </c>
      <c r="L4067" s="444">
        <f t="shared" ca="1" si="177"/>
        <v>-557208914460.94519</v>
      </c>
      <c r="M4067" s="460">
        <f t="shared" si="179"/>
        <v>0.05</v>
      </c>
      <c r="N4067" s="464">
        <f t="shared" si="180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78"/>
        <v>-557208914460.94519</v>
      </c>
      <c r="J4068" s="444">
        <f t="array" ref="J4068">IFERROR(INDEX('Retirement Calculator'!J:J,MATCH('Isaac 401k'!N4068,'Retirement Calculator'!A:A,0),0),0)</f>
        <v>0</v>
      </c>
      <c r="K4068" s="444">
        <f t="shared" ca="1" si="176"/>
        <v>-2321703810.2539382</v>
      </c>
      <c r="L4068" s="444">
        <f t="shared" ca="1" si="177"/>
        <v>-559530618271.1991</v>
      </c>
      <c r="M4068" s="460">
        <f t="shared" si="179"/>
        <v>0.05</v>
      </c>
      <c r="N4068" s="464">
        <f t="shared" si="180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78"/>
        <v>-559530618271.1991</v>
      </c>
      <c r="J4069" s="444">
        <f t="array" ref="J4069">IFERROR(INDEX('Retirement Calculator'!J:J,MATCH('Isaac 401k'!N4069,'Retirement Calculator'!A:A,0),0),0)</f>
        <v>0</v>
      </c>
      <c r="K4069" s="444">
        <f t="shared" ca="1" si="176"/>
        <v>-2331377576.1299963</v>
      </c>
      <c r="L4069" s="444">
        <f t="shared" ca="1" si="177"/>
        <v>-561861995847.3291</v>
      </c>
      <c r="M4069" s="460">
        <f t="shared" si="179"/>
        <v>0.05</v>
      </c>
      <c r="N4069" s="464">
        <f t="shared" si="180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78"/>
        <v>-561861995847.3291</v>
      </c>
      <c r="J4070" s="444">
        <f t="array" ref="J4070">IFERROR(INDEX('Retirement Calculator'!J:J,MATCH('Isaac 401k'!N4070,'Retirement Calculator'!A:A,0),0),0)</f>
        <v>0</v>
      </c>
      <c r="K4070" s="444">
        <f t="shared" ca="1" si="176"/>
        <v>-2341091649.3638711</v>
      </c>
      <c r="L4070" s="444">
        <f t="shared" ca="1" si="177"/>
        <v>-564203087496.69299</v>
      </c>
      <c r="M4070" s="460">
        <f t="shared" si="179"/>
        <v>0.05</v>
      </c>
      <c r="N4070" s="464">
        <f t="shared" si="180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78"/>
        <v>-564203087496.69299</v>
      </c>
      <c r="J4071" s="444">
        <f t="array" ref="J4071">IFERROR(INDEX('Retirement Calculator'!J:J,MATCH('Isaac 401k'!N4071,'Retirement Calculator'!A:A,0),0),0)</f>
        <v>0</v>
      </c>
      <c r="K4071" s="444">
        <f t="shared" ca="1" si="176"/>
        <v>-2350846197.9028873</v>
      </c>
      <c r="L4071" s="444">
        <f t="shared" ca="1" si="177"/>
        <v>-566553933694.59583</v>
      </c>
      <c r="M4071" s="460">
        <f t="shared" si="179"/>
        <v>0.05</v>
      </c>
      <c r="N4071" s="464">
        <f t="shared" si="180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78"/>
        <v>-566553933694.59583</v>
      </c>
      <c r="J4072" s="444">
        <f t="array" ref="J4072">IFERROR(INDEX('Retirement Calculator'!J:J,MATCH('Isaac 401k'!N4072,'Retirement Calculator'!A:A,0),0),0)</f>
        <v>0</v>
      </c>
      <c r="K4072" s="444">
        <f t="shared" ca="1" si="176"/>
        <v>-2360641390.3941493</v>
      </c>
      <c r="L4072" s="444">
        <f t="shared" ca="1" si="177"/>
        <v>-568914575084.98999</v>
      </c>
      <c r="M4072" s="460">
        <f t="shared" si="179"/>
        <v>0.05</v>
      </c>
      <c r="N4072" s="464">
        <f t="shared" si="180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78"/>
        <v>-568914575084.98999</v>
      </c>
      <c r="J4073" s="444">
        <f t="array" ref="J4073">IFERROR(INDEX('Retirement Calculator'!J:J,MATCH('Isaac 401k'!N4073,'Retirement Calculator'!A:A,0),0),0)</f>
        <v>0</v>
      </c>
      <c r="K4073" s="444">
        <f t="shared" ca="1" si="176"/>
        <v>-2370477396.187458</v>
      </c>
      <c r="L4073" s="444">
        <f t="shared" ca="1" si="177"/>
        <v>-571285052481.17749</v>
      </c>
      <c r="M4073" s="460">
        <f t="shared" si="179"/>
        <v>0.05</v>
      </c>
      <c r="N4073" s="464">
        <f t="shared" si="180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78"/>
        <v>-571285052481.17749</v>
      </c>
      <c r="J4074" s="444">
        <f t="array" ref="J4074">IFERROR(INDEX('Retirement Calculator'!J:J,MATCH('Isaac 401k'!N4074,'Retirement Calculator'!A:A,0),0),0)</f>
        <v>0</v>
      </c>
      <c r="K4074" s="444">
        <f t="shared" ca="1" si="176"/>
        <v>-2380354385.3382397</v>
      </c>
      <c r="L4074" s="444">
        <f t="shared" ca="1" si="177"/>
        <v>-573665406866.51575</v>
      </c>
      <c r="M4074" s="460">
        <f t="shared" si="179"/>
        <v>0.05</v>
      </c>
      <c r="N4074" s="464">
        <f t="shared" si="180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78"/>
        <v>-573665406866.51575</v>
      </c>
      <c r="J4075" s="444">
        <f t="array" ref="J4075">IFERROR(INDEX('Retirement Calculator'!J:J,MATCH('Isaac 401k'!N4075,'Retirement Calculator'!A:A,0),0),0)</f>
        <v>0</v>
      </c>
      <c r="K4075" s="444">
        <f t="shared" ca="1" si="176"/>
        <v>-2390272528.6104822</v>
      </c>
      <c r="L4075" s="444">
        <f t="shared" ca="1" si="177"/>
        <v>-576055679395.12622</v>
      </c>
      <c r="M4075" s="460">
        <f t="shared" si="179"/>
        <v>0.05</v>
      </c>
      <c r="N4075" s="464">
        <f t="shared" si="180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78"/>
        <v>-576055679395.12622</v>
      </c>
      <c r="J4076" s="444">
        <f t="array" ref="J4076">IFERROR(INDEX('Retirement Calculator'!J:J,MATCH('Isaac 401k'!N4076,'Retirement Calculator'!A:A,0),0),0)</f>
        <v>0</v>
      </c>
      <c r="K4076" s="444">
        <f t="shared" ca="1" si="176"/>
        <v>-2400231997.4796925</v>
      </c>
      <c r="L4076" s="444">
        <f t="shared" ca="1" si="177"/>
        <v>-578455911392.60596</v>
      </c>
      <c r="M4076" s="460">
        <f t="shared" si="179"/>
        <v>0.05</v>
      </c>
      <c r="N4076" s="464">
        <f t="shared" si="180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78"/>
        <v>-578455911392.60596</v>
      </c>
      <c r="J4077" s="444">
        <f t="array" ref="J4077">IFERROR(INDEX('Retirement Calculator'!J:J,MATCH('Isaac 401k'!N4077,'Retirement Calculator'!A:A,0),0),0)</f>
        <v>0</v>
      </c>
      <c r="K4077" s="444">
        <f t="shared" ca="1" si="176"/>
        <v>-2410232964.1358581</v>
      </c>
      <c r="L4077" s="444">
        <f t="shared" ca="1" si="177"/>
        <v>-580866144356.74182</v>
      </c>
      <c r="M4077" s="460">
        <f t="shared" si="179"/>
        <v>0.05</v>
      </c>
      <c r="N4077" s="464">
        <f t="shared" si="180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78"/>
        <v>-580866144356.74182</v>
      </c>
      <c r="J4078" s="444">
        <f t="array" ref="J4078">IFERROR(INDEX('Retirement Calculator'!J:J,MATCH('Isaac 401k'!N4078,'Retirement Calculator'!A:A,0),0),0)</f>
        <v>0</v>
      </c>
      <c r="K4078" s="444">
        <f t="shared" ca="1" si="176"/>
        <v>-2420275601.4864244</v>
      </c>
      <c r="L4078" s="444">
        <f t="shared" ca="1" si="177"/>
        <v>-583286419958.22827</v>
      </c>
      <c r="M4078" s="460">
        <f t="shared" si="179"/>
        <v>0.05</v>
      </c>
      <c r="N4078" s="464">
        <f t="shared" si="180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78"/>
        <v>-583286419958.22827</v>
      </c>
      <c r="J4079" s="444">
        <f t="array" ref="J4079">IFERROR(INDEX('Retirement Calculator'!J:J,MATCH('Isaac 401k'!N4079,'Retirement Calculator'!A:A,0),0),0)</f>
        <v>0</v>
      </c>
      <c r="K4079" s="444">
        <f t="shared" ca="1" si="176"/>
        <v>-2430360083.1592846</v>
      </c>
      <c r="L4079" s="444">
        <f t="shared" ca="1" si="177"/>
        <v>-585716780041.38757</v>
      </c>
      <c r="M4079" s="460">
        <f t="shared" si="179"/>
        <v>0.05</v>
      </c>
      <c r="N4079" s="464">
        <f t="shared" si="180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78"/>
        <v>-585716780041.38757</v>
      </c>
      <c r="J4080" s="444">
        <f t="array" ref="J4080">IFERROR(INDEX('Retirement Calculator'!J:J,MATCH('Isaac 401k'!N4080,'Retirement Calculator'!A:A,0),0),0)</f>
        <v>0</v>
      </c>
      <c r="K4080" s="444">
        <f t="shared" ca="1" si="176"/>
        <v>-2440486583.5057817</v>
      </c>
      <c r="L4080" s="444">
        <f t="shared" ca="1" si="177"/>
        <v>-588157266624.89331</v>
      </c>
      <c r="M4080" s="460">
        <f t="shared" si="179"/>
        <v>0.05</v>
      </c>
      <c r="N4080" s="464">
        <f t="shared" si="180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78"/>
        <v>-588157266624.89331</v>
      </c>
      <c r="J4081" s="444">
        <f t="array" ref="J4081">IFERROR(INDEX('Retirement Calculator'!J:J,MATCH('Isaac 401k'!N4081,'Retirement Calculator'!A:A,0),0),0)</f>
        <v>0</v>
      </c>
      <c r="K4081" s="444">
        <f t="shared" ca="1" si="176"/>
        <v>-2450655277.6037221</v>
      </c>
      <c r="L4081" s="444">
        <f t="shared" ca="1" si="177"/>
        <v>-590607921902.49707</v>
      </c>
      <c r="M4081" s="460">
        <f t="shared" si="179"/>
        <v>0.05</v>
      </c>
      <c r="N4081" s="464">
        <f t="shared" si="180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78"/>
        <v>-590607921902.49707</v>
      </c>
      <c r="J4082" s="444">
        <f t="array" ref="J4082">IFERROR(INDEX('Retirement Calculator'!J:J,MATCH('Isaac 401k'!N4082,'Retirement Calculator'!A:A,0),0),0)</f>
        <v>0</v>
      </c>
      <c r="K4082" s="444">
        <f t="shared" ca="1" si="176"/>
        <v>-2460866341.2604046</v>
      </c>
      <c r="L4082" s="444">
        <f t="shared" ca="1" si="177"/>
        <v>-593068788243.75745</v>
      </c>
      <c r="M4082" s="460">
        <f t="shared" si="179"/>
        <v>0.05</v>
      </c>
      <c r="N4082" s="464">
        <f t="shared" si="180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78"/>
        <v>-593068788243.75745</v>
      </c>
      <c r="J4083" s="444">
        <f t="array" ref="J4083">IFERROR(INDEX('Retirement Calculator'!J:J,MATCH('Isaac 401k'!N4083,'Retirement Calculator'!A:A,0),0),0)</f>
        <v>0</v>
      </c>
      <c r="K4083" s="444">
        <f t="shared" ca="1" si="176"/>
        <v>-2471119951.015656</v>
      </c>
      <c r="L4083" s="444">
        <f t="shared" ca="1" si="177"/>
        <v>-595539908194.77307</v>
      </c>
      <c r="M4083" s="460">
        <f t="shared" si="179"/>
        <v>0.05</v>
      </c>
      <c r="N4083" s="464">
        <f t="shared" si="180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78"/>
        <v>-595539908194.77307</v>
      </c>
      <c r="J4084" s="444">
        <f t="array" ref="J4084">IFERROR(INDEX('Retirement Calculator'!J:J,MATCH('Isaac 401k'!N4084,'Retirement Calculator'!A:A,0),0),0)</f>
        <v>0</v>
      </c>
      <c r="K4084" s="444">
        <f t="shared" ca="1" si="176"/>
        <v>-2481416284.1448879</v>
      </c>
      <c r="L4084" s="444">
        <f t="shared" ca="1" si="177"/>
        <v>-598021324478.91797</v>
      </c>
      <c r="M4084" s="460">
        <f t="shared" si="179"/>
        <v>0.05</v>
      </c>
      <c r="N4084" s="464">
        <f t="shared" si="180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78"/>
        <v>-598021324478.91797</v>
      </c>
      <c r="J4085" s="444">
        <f t="array" ref="J4085">IFERROR(INDEX('Retirement Calculator'!J:J,MATCH('Isaac 401k'!N4085,'Retirement Calculator'!A:A,0),0),0)</f>
        <v>0</v>
      </c>
      <c r="K4085" s="444">
        <f t="shared" ca="1" si="176"/>
        <v>-2491755518.662158</v>
      </c>
      <c r="L4085" s="444">
        <f t="shared" ca="1" si="177"/>
        <v>-600513079997.58008</v>
      </c>
      <c r="M4085" s="460">
        <f t="shared" si="179"/>
        <v>0.05</v>
      </c>
      <c r="N4085" s="464">
        <f t="shared" si="180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78"/>
        <v>-600513079997.58008</v>
      </c>
      <c r="J4086" s="444">
        <f t="array" ref="J4086">IFERROR(INDEX('Retirement Calculator'!J:J,MATCH('Isaac 401k'!N4086,'Retirement Calculator'!A:A,0),0),0)</f>
        <v>0</v>
      </c>
      <c r="K4086" s="444">
        <f t="shared" ca="1" si="176"/>
        <v>-2502137833.3232503</v>
      </c>
      <c r="L4086" s="444">
        <f t="shared" ca="1" si="177"/>
        <v>-603015217830.90332</v>
      </c>
      <c r="M4086" s="460">
        <f t="shared" si="179"/>
        <v>0.05</v>
      </c>
      <c r="N4086" s="464">
        <f t="shared" si="180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78"/>
        <v>-603015217830.90332</v>
      </c>
      <c r="J4087" s="444">
        <f t="array" ref="J4087">IFERROR(INDEX('Retirement Calculator'!J:J,MATCH('Isaac 401k'!N4087,'Retirement Calculator'!A:A,0),0),0)</f>
        <v>0</v>
      </c>
      <c r="K4087" s="444">
        <f t="shared" ca="1" si="176"/>
        <v>-2512563407.6287637</v>
      </c>
      <c r="L4087" s="444">
        <f t="shared" ca="1" si="177"/>
        <v>-605527781238.5321</v>
      </c>
      <c r="M4087" s="460">
        <f t="shared" si="179"/>
        <v>0.05</v>
      </c>
      <c r="N4087" s="464">
        <f t="shared" si="180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78"/>
        <v>-605527781238.5321</v>
      </c>
      <c r="J4088" s="444">
        <f t="array" ref="J4088">IFERROR(INDEX('Retirement Calculator'!J:J,MATCH('Isaac 401k'!N4088,'Retirement Calculator'!A:A,0),0),0)</f>
        <v>0</v>
      </c>
      <c r="K4088" s="444">
        <f t="shared" ref="K4088:K4342" ca="1" si="181">IPMT(M4088/12,1,12,-I4088+J4088,,0)</f>
        <v>-2523032421.8272171</v>
      </c>
      <c r="L4088" s="444">
        <f t="shared" ref="L4088:L4342" ca="1" si="182">I4088-J4088+K4088</f>
        <v>-608050813660.35938</v>
      </c>
      <c r="M4088" s="460">
        <f t="shared" si="179"/>
        <v>0.05</v>
      </c>
      <c r="N4088" s="464">
        <f t="shared" si="180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83">L4088</f>
        <v>-608050813660.35938</v>
      </c>
      <c r="J4089" s="444">
        <f t="array" ref="J4089">IFERROR(INDEX('Retirement Calculator'!J:J,MATCH('Isaac 401k'!N4089,'Retirement Calculator'!A:A,0),0),0)</f>
        <v>0</v>
      </c>
      <c r="K4089" s="444">
        <f t="shared" ca="1" si="181"/>
        <v>-2533545056.9181643</v>
      </c>
      <c r="L4089" s="444">
        <f t="shared" ca="1" si="182"/>
        <v>-610584358717.27759</v>
      </c>
      <c r="M4089" s="460">
        <f t="shared" ref="M4089:M4343" si="184">M4088</f>
        <v>0.05</v>
      </c>
      <c r="N4089" s="464">
        <f t="shared" ref="N4089:N4343" si="185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83"/>
        <v>-610584358717.27759</v>
      </c>
      <c r="J4090" s="444">
        <f t="array" ref="J4090">IFERROR(INDEX('Retirement Calculator'!J:J,MATCH('Isaac 401k'!N4090,'Retirement Calculator'!A:A,0),0),0)</f>
        <v>0</v>
      </c>
      <c r="K4090" s="444">
        <f t="shared" ca="1" si="181"/>
        <v>-2544101494.655323</v>
      </c>
      <c r="L4090" s="444">
        <f t="shared" ca="1" si="182"/>
        <v>-613128460211.93286</v>
      </c>
      <c r="M4090" s="460">
        <f t="shared" si="184"/>
        <v>0.05</v>
      </c>
      <c r="N4090" s="464">
        <f t="shared" si="185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83"/>
        <v>-613128460211.93286</v>
      </c>
      <c r="J4091" s="444">
        <f t="array" ref="J4091">IFERROR(INDEX('Retirement Calculator'!J:J,MATCH('Isaac 401k'!N4091,'Retirement Calculator'!A:A,0),0),0)</f>
        <v>0</v>
      </c>
      <c r="K4091" s="444">
        <f t="shared" ca="1" si="181"/>
        <v>-2554701917.5497203</v>
      </c>
      <c r="L4091" s="444">
        <f t="shared" ca="1" si="182"/>
        <v>-615683162129.48254</v>
      </c>
      <c r="M4091" s="460">
        <f t="shared" si="184"/>
        <v>0.05</v>
      </c>
      <c r="N4091" s="464">
        <f t="shared" si="185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83"/>
        <v>-615683162129.48254</v>
      </c>
      <c r="J4092" s="444">
        <f t="array" ref="J4092">IFERROR(INDEX('Retirement Calculator'!J:J,MATCH('Isaac 401k'!N4092,'Retirement Calculator'!A:A,0),0),0)</f>
        <v>0</v>
      </c>
      <c r="K4092" s="444">
        <f t="shared" ca="1" si="181"/>
        <v>-2565346508.8728437</v>
      </c>
      <c r="L4092" s="444">
        <f t="shared" ca="1" si="182"/>
        <v>-618248508638.35535</v>
      </c>
      <c r="M4092" s="460">
        <f t="shared" si="184"/>
        <v>0.05</v>
      </c>
      <c r="N4092" s="464">
        <f t="shared" si="185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83"/>
        <v>-618248508638.35535</v>
      </c>
      <c r="J4093" s="444">
        <f t="array" ref="J4093">IFERROR(INDEX('Retirement Calculator'!J:J,MATCH('Isaac 401k'!N4093,'Retirement Calculator'!A:A,0),0),0)</f>
        <v>0</v>
      </c>
      <c r="K4093" s="444">
        <f t="shared" ca="1" si="181"/>
        <v>-2576035452.6598139</v>
      </c>
      <c r="L4093" s="444">
        <f t="shared" ca="1" si="182"/>
        <v>-620824544091.01514</v>
      </c>
      <c r="M4093" s="460">
        <f t="shared" si="184"/>
        <v>0.05</v>
      </c>
      <c r="N4093" s="464">
        <f t="shared" si="185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83"/>
        <v>-620824544091.01514</v>
      </c>
      <c r="J4094" s="444">
        <f t="array" ref="J4094">IFERROR(INDEX('Retirement Calculator'!J:J,MATCH('Isaac 401k'!N4094,'Retirement Calculator'!A:A,0),0),0)</f>
        <v>0</v>
      </c>
      <c r="K4094" s="444">
        <f t="shared" ca="1" si="181"/>
        <v>-2586768933.712563</v>
      </c>
      <c r="L4094" s="444">
        <f t="shared" ca="1" si="182"/>
        <v>-623411313024.72766</v>
      </c>
      <c r="M4094" s="460">
        <f t="shared" si="184"/>
        <v>0.05</v>
      </c>
      <c r="N4094" s="464">
        <f t="shared" si="185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83"/>
        <v>-623411313024.72766</v>
      </c>
      <c r="J4095" s="444">
        <f t="array" ref="J4095">IFERROR(INDEX('Retirement Calculator'!J:J,MATCH('Isaac 401k'!N4095,'Retirement Calculator'!A:A,0),0),0)</f>
        <v>0</v>
      </c>
      <c r="K4095" s="444">
        <f t="shared" ca="1" si="181"/>
        <v>-2597547137.6030321</v>
      </c>
      <c r="L4095" s="444">
        <f t="shared" ca="1" si="182"/>
        <v>-626008860162.33069</v>
      </c>
      <c r="M4095" s="460">
        <f t="shared" si="184"/>
        <v>0.05</v>
      </c>
      <c r="N4095" s="464">
        <f t="shared" si="185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83"/>
        <v>-626008860162.33069</v>
      </c>
      <c r="J4096" s="444">
        <f t="array" ref="J4096">IFERROR(INDEX('Retirement Calculator'!J:J,MATCH('Isaac 401k'!N4096,'Retirement Calculator'!A:A,0),0),0)</f>
        <v>0</v>
      </c>
      <c r="K4096" s="444">
        <f t="shared" ca="1" si="181"/>
        <v>-2608370250.6763778</v>
      </c>
      <c r="L4096" s="444">
        <f t="shared" ca="1" si="182"/>
        <v>-628617230413.00708</v>
      </c>
      <c r="M4096" s="460">
        <f t="shared" si="184"/>
        <v>0.05</v>
      </c>
      <c r="N4096" s="464">
        <f t="shared" si="185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83"/>
        <v>-628617230413.00708</v>
      </c>
      <c r="J4097" s="444">
        <f t="array" ref="J4097">IFERROR(INDEX('Retirement Calculator'!J:J,MATCH('Isaac 401k'!N4097,'Retirement Calculator'!A:A,0),0),0)</f>
        <v>0</v>
      </c>
      <c r="K4097" s="444">
        <f t="shared" ca="1" si="181"/>
        <v>-2619238460.0541964</v>
      </c>
      <c r="L4097" s="444">
        <f t="shared" ca="1" si="182"/>
        <v>-631236468873.06128</v>
      </c>
      <c r="M4097" s="460">
        <f t="shared" si="184"/>
        <v>0.05</v>
      </c>
      <c r="N4097" s="464">
        <f t="shared" si="185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83"/>
        <v>-631236468873.06128</v>
      </c>
      <c r="J4098" s="444">
        <f t="array" ref="J4098">IFERROR(INDEX('Retirement Calculator'!J:J,MATCH('Isaac 401k'!N4098,'Retirement Calculator'!A:A,0),0),0)</f>
        <v>0</v>
      </c>
      <c r="K4098" s="444">
        <f t="shared" ca="1" si="181"/>
        <v>-2630151953.6377554</v>
      </c>
      <c r="L4098" s="444">
        <f t="shared" ca="1" si="182"/>
        <v>-633866620826.69897</v>
      </c>
      <c r="M4098" s="460">
        <f t="shared" si="184"/>
        <v>0.05</v>
      </c>
      <c r="N4098" s="464">
        <f t="shared" si="185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83"/>
        <v>-633866620826.69897</v>
      </c>
      <c r="J4099" s="444">
        <f t="array" ref="J4099">IFERROR(INDEX('Retirement Calculator'!J:J,MATCH('Isaac 401k'!N4099,'Retirement Calculator'!A:A,0),0),0)</f>
        <v>0</v>
      </c>
      <c r="K4099" s="444">
        <f t="shared" ca="1" si="181"/>
        <v>-2641110920.1112456</v>
      </c>
      <c r="L4099" s="444">
        <f t="shared" ca="1" si="182"/>
        <v>-636507731746.81018</v>
      </c>
      <c r="M4099" s="460">
        <f t="shared" si="184"/>
        <v>0.05</v>
      </c>
      <c r="N4099" s="464">
        <f t="shared" si="185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83"/>
        <v>-636507731746.81018</v>
      </c>
      <c r="J4100" s="444">
        <f t="array" ref="J4100">IFERROR(INDEX('Retirement Calculator'!J:J,MATCH('Isaac 401k'!N4100,'Retirement Calculator'!A:A,0),0),0)</f>
        <v>0</v>
      </c>
      <c r="K4100" s="444">
        <f t="shared" ca="1" si="181"/>
        <v>-2652115548.9450426</v>
      </c>
      <c r="L4100" s="444">
        <f t="shared" ca="1" si="182"/>
        <v>-639159847295.75525</v>
      </c>
      <c r="M4100" s="460">
        <f t="shared" si="184"/>
        <v>0.05</v>
      </c>
      <c r="N4100" s="464">
        <f t="shared" si="185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83"/>
        <v>-639159847295.75525</v>
      </c>
      <c r="J4101" s="444">
        <f t="array" ref="J4101">IFERROR(INDEX('Retirement Calculator'!J:J,MATCH('Isaac 401k'!N4101,'Retirement Calculator'!A:A,0),0),0)</f>
        <v>0</v>
      </c>
      <c r="K4101" s="444">
        <f t="shared" ca="1" si="181"/>
        <v>-2663166030.3989801</v>
      </c>
      <c r="L4101" s="444">
        <f t="shared" ca="1" si="182"/>
        <v>-641823013326.15417</v>
      </c>
      <c r="M4101" s="460">
        <f t="shared" si="184"/>
        <v>0.05</v>
      </c>
      <c r="N4101" s="464">
        <f t="shared" si="185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83"/>
        <v>-641823013326.15417</v>
      </c>
      <c r="J4102" s="444">
        <f t="array" ref="J4102">IFERROR(INDEX('Retirement Calculator'!J:J,MATCH('Isaac 401k'!N4102,'Retirement Calculator'!A:A,0),0),0)</f>
        <v>0</v>
      </c>
      <c r="K4102" s="444">
        <f t="shared" ca="1" si="181"/>
        <v>-2674262555.5256424</v>
      </c>
      <c r="L4102" s="444">
        <f t="shared" ca="1" si="182"/>
        <v>-644497275881.67981</v>
      </c>
      <c r="M4102" s="460">
        <f t="shared" si="184"/>
        <v>0.05</v>
      </c>
      <c r="N4102" s="464">
        <f t="shared" si="185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83"/>
        <v>-644497275881.67981</v>
      </c>
      <c r="J4103" s="444">
        <f t="array" ref="J4103">IFERROR(INDEX('Retirement Calculator'!J:J,MATCH('Isaac 401k'!N4103,'Retirement Calculator'!A:A,0),0),0)</f>
        <v>0</v>
      </c>
      <c r="K4103" s="444">
        <f t="shared" ca="1" si="181"/>
        <v>-2685405316.173666</v>
      </c>
      <c r="L4103" s="444">
        <f t="shared" ca="1" si="182"/>
        <v>-647182681197.85352</v>
      </c>
      <c r="M4103" s="460">
        <f t="shared" si="184"/>
        <v>0.05</v>
      </c>
      <c r="N4103" s="464">
        <f t="shared" si="185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83"/>
        <v>-647182681197.85352</v>
      </c>
      <c r="J4104" s="444">
        <f t="array" ref="J4104">IFERROR(INDEX('Retirement Calculator'!J:J,MATCH('Isaac 401k'!N4104,'Retirement Calculator'!A:A,0),0),0)</f>
        <v>0</v>
      </c>
      <c r="K4104" s="444">
        <f t="shared" ca="1" si="181"/>
        <v>-2696594504.9910564</v>
      </c>
      <c r="L4104" s="444">
        <f t="shared" ca="1" si="182"/>
        <v>-649879275702.8446</v>
      </c>
      <c r="M4104" s="460">
        <f t="shared" si="184"/>
        <v>0.05</v>
      </c>
      <c r="N4104" s="464">
        <f t="shared" si="185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83"/>
        <v>-649879275702.8446</v>
      </c>
      <c r="J4105" s="444">
        <f t="array" ref="J4105">IFERROR(INDEX('Retirement Calculator'!J:J,MATCH('Isaac 401k'!N4105,'Retirement Calculator'!A:A,0),0),0)</f>
        <v>0</v>
      </c>
      <c r="K4105" s="444">
        <f t="shared" ca="1" si="181"/>
        <v>-2707830315.4285192</v>
      </c>
      <c r="L4105" s="444">
        <f t="shared" ca="1" si="182"/>
        <v>-652587106018.27307</v>
      </c>
      <c r="M4105" s="460">
        <f t="shared" si="184"/>
        <v>0.05</v>
      </c>
      <c r="N4105" s="464">
        <f t="shared" si="185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83"/>
        <v>-652587106018.27307</v>
      </c>
      <c r="J4106" s="444">
        <f t="array" ref="J4106">IFERROR(INDEX('Retirement Calculator'!J:J,MATCH('Isaac 401k'!N4106,'Retirement Calculator'!A:A,0),0),0)</f>
        <v>0</v>
      </c>
      <c r="K4106" s="444">
        <f t="shared" ca="1" si="181"/>
        <v>-2719112941.7428045</v>
      </c>
      <c r="L4106" s="444">
        <f t="shared" ca="1" si="182"/>
        <v>-655306218960.01587</v>
      </c>
      <c r="M4106" s="460">
        <f t="shared" si="184"/>
        <v>0.05</v>
      </c>
      <c r="N4106" s="464">
        <f t="shared" si="185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83"/>
        <v>-655306218960.01587</v>
      </c>
      <c r="J4107" s="444">
        <f t="array" ref="J4107">IFERROR(INDEX('Retirement Calculator'!J:J,MATCH('Isaac 401k'!N4107,'Retirement Calculator'!A:A,0),0),0)</f>
        <v>0</v>
      </c>
      <c r="K4107" s="444">
        <f t="shared" ca="1" si="181"/>
        <v>-2730442579.0000663</v>
      </c>
      <c r="L4107" s="444">
        <f t="shared" ca="1" si="182"/>
        <v>-658036661539.01599</v>
      </c>
      <c r="M4107" s="460">
        <f t="shared" si="184"/>
        <v>0.05</v>
      </c>
      <c r="N4107" s="464">
        <f t="shared" si="185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83"/>
        <v>-658036661539.01599</v>
      </c>
      <c r="J4108" s="444">
        <f t="array" ref="J4108">IFERROR(INDEX('Retirement Calculator'!J:J,MATCH('Isaac 401k'!N4108,'Retirement Calculator'!A:A,0),0),0)</f>
        <v>0</v>
      </c>
      <c r="K4108" s="444">
        <f t="shared" ca="1" si="181"/>
        <v>-2741819423.0792332</v>
      </c>
      <c r="L4108" s="444">
        <f t="shared" ca="1" si="182"/>
        <v>-660778480962.09521</v>
      </c>
      <c r="M4108" s="460">
        <f t="shared" si="184"/>
        <v>0.05</v>
      </c>
      <c r="N4108" s="464">
        <f t="shared" si="185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83"/>
        <v>-660778480962.09521</v>
      </c>
      <c r="J4109" s="444">
        <f t="array" ref="J4109">IFERROR(INDEX('Retirement Calculator'!J:J,MATCH('Isaac 401k'!N4109,'Retirement Calculator'!A:A,0),0),0)</f>
        <v>0</v>
      </c>
      <c r="K4109" s="444">
        <f t="shared" ca="1" si="181"/>
        <v>-2753243670.6753969</v>
      </c>
      <c r="L4109" s="444">
        <f t="shared" ca="1" si="182"/>
        <v>-663531724632.77063</v>
      </c>
      <c r="M4109" s="460">
        <f t="shared" si="184"/>
        <v>0.05</v>
      </c>
      <c r="N4109" s="464">
        <f t="shared" si="185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83"/>
        <v>-663531724632.77063</v>
      </c>
      <c r="J4110" s="444">
        <f t="array" ref="J4110">IFERROR(INDEX('Retirement Calculator'!J:J,MATCH('Isaac 401k'!N4110,'Retirement Calculator'!A:A,0),0),0)</f>
        <v>0</v>
      </c>
      <c r="K4110" s="444">
        <f t="shared" ca="1" si="181"/>
        <v>-2764715519.3032107</v>
      </c>
      <c r="L4110" s="444">
        <f t="shared" ca="1" si="182"/>
        <v>-666296440152.07385</v>
      </c>
      <c r="M4110" s="460">
        <f t="shared" si="184"/>
        <v>0.05</v>
      </c>
      <c r="N4110" s="464">
        <f t="shared" si="185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83"/>
        <v>-666296440152.07385</v>
      </c>
      <c r="J4111" s="444">
        <f t="array" ref="J4111">IFERROR(INDEX('Retirement Calculator'!J:J,MATCH('Isaac 401k'!N4111,'Retirement Calculator'!A:A,0),0),0)</f>
        <v>0</v>
      </c>
      <c r="K4111" s="444">
        <f t="shared" ca="1" si="181"/>
        <v>-2776235167.3003078</v>
      </c>
      <c r="L4111" s="444">
        <f t="shared" ca="1" si="182"/>
        <v>-669072675319.37415</v>
      </c>
      <c r="M4111" s="460">
        <f t="shared" si="184"/>
        <v>0.05</v>
      </c>
      <c r="N4111" s="464">
        <f t="shared" si="185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83"/>
        <v>-669072675319.37415</v>
      </c>
      <c r="J4112" s="444">
        <f t="array" ref="J4112">IFERROR(INDEX('Retirement Calculator'!J:J,MATCH('Isaac 401k'!N4112,'Retirement Calculator'!A:A,0),0),0)</f>
        <v>0</v>
      </c>
      <c r="K4112" s="444">
        <f t="shared" ca="1" si="181"/>
        <v>-2787802813.8307257</v>
      </c>
      <c r="L4112" s="444">
        <f t="shared" ca="1" si="182"/>
        <v>-671860478133.20483</v>
      </c>
      <c r="M4112" s="460">
        <f t="shared" si="184"/>
        <v>0.05</v>
      </c>
      <c r="N4112" s="464">
        <f t="shared" si="185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83"/>
        <v>-671860478133.20483</v>
      </c>
      <c r="J4113" s="444">
        <f t="array" ref="J4113">IFERROR(INDEX('Retirement Calculator'!J:J,MATCH('Isaac 401k'!N4113,'Retirement Calculator'!A:A,0),0),0)</f>
        <v>0</v>
      </c>
      <c r="K4113" s="444">
        <f t="shared" ca="1" si="181"/>
        <v>-2799418658.8883533</v>
      </c>
      <c r="L4113" s="444">
        <f t="shared" ca="1" si="182"/>
        <v>-674659896792.09314</v>
      </c>
      <c r="M4113" s="460">
        <f t="shared" si="184"/>
        <v>0.05</v>
      </c>
      <c r="N4113" s="464">
        <f t="shared" si="185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83"/>
        <v>-674659896792.09314</v>
      </c>
      <c r="J4114" s="444">
        <f t="array" ref="J4114">IFERROR(INDEX('Retirement Calculator'!J:J,MATCH('Isaac 401k'!N4114,'Retirement Calculator'!A:A,0),0),0)</f>
        <v>0</v>
      </c>
      <c r="K4114" s="444">
        <f t="shared" ca="1" si="181"/>
        <v>-2811082903.3003879</v>
      </c>
      <c r="L4114" s="444">
        <f t="shared" ca="1" si="182"/>
        <v>-677470979695.39355</v>
      </c>
      <c r="M4114" s="460">
        <f t="shared" si="184"/>
        <v>0.05</v>
      </c>
      <c r="N4114" s="464">
        <f t="shared" si="185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83"/>
        <v>-677470979695.39355</v>
      </c>
      <c r="J4115" s="444">
        <f t="array" ref="J4115">IFERROR(INDEX('Retirement Calculator'!J:J,MATCH('Isaac 401k'!N4115,'Retirement Calculator'!A:A,0),0),0)</f>
        <v>0</v>
      </c>
      <c r="K4115" s="444">
        <f t="shared" ca="1" si="181"/>
        <v>-2822795748.7308064</v>
      </c>
      <c r="L4115" s="444">
        <f t="shared" ca="1" si="182"/>
        <v>-680293775444.12439</v>
      </c>
      <c r="M4115" s="460">
        <f t="shared" si="184"/>
        <v>0.05</v>
      </c>
      <c r="N4115" s="464">
        <f t="shared" si="185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83"/>
        <v>-680293775444.12439</v>
      </c>
      <c r="J4116" s="444">
        <f t="array" ref="J4116">IFERROR(INDEX('Retirement Calculator'!J:J,MATCH('Isaac 401k'!N4116,'Retirement Calculator'!A:A,0),0),0)</f>
        <v>0</v>
      </c>
      <c r="K4116" s="444">
        <f t="shared" ca="1" si="181"/>
        <v>-2834557397.6838517</v>
      </c>
      <c r="L4116" s="444">
        <f t="shared" ca="1" si="182"/>
        <v>-683128332841.80823</v>
      </c>
      <c r="M4116" s="460">
        <f t="shared" si="184"/>
        <v>0.05</v>
      </c>
      <c r="N4116" s="464">
        <f t="shared" si="185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83"/>
        <v>-683128332841.80823</v>
      </c>
      <c r="J4117" s="444">
        <f t="array" ref="J4117">IFERROR(INDEX('Retirement Calculator'!J:J,MATCH('Isaac 401k'!N4117,'Retirement Calculator'!A:A,0),0),0)</f>
        <v>0</v>
      </c>
      <c r="K4117" s="444">
        <f t="shared" ca="1" si="181"/>
        <v>-2846368053.507534</v>
      </c>
      <c r="L4117" s="444">
        <f t="shared" ca="1" si="182"/>
        <v>-685974700895.3158</v>
      </c>
      <c r="M4117" s="460">
        <f t="shared" si="184"/>
        <v>0.05</v>
      </c>
      <c r="N4117" s="464">
        <f t="shared" si="185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83"/>
        <v>-685974700895.3158</v>
      </c>
      <c r="J4118" s="444">
        <f t="array" ref="J4118">IFERROR(INDEX('Retirement Calculator'!J:J,MATCH('Isaac 401k'!N4118,'Retirement Calculator'!A:A,0),0),0)</f>
        <v>0</v>
      </c>
      <c r="K4118" s="444">
        <f t="shared" ca="1" si="181"/>
        <v>-2858227920.3971491</v>
      </c>
      <c r="L4118" s="444">
        <f t="shared" ca="1" si="182"/>
        <v>-688832928815.71289</v>
      </c>
      <c r="M4118" s="460">
        <f t="shared" si="184"/>
        <v>0.05</v>
      </c>
      <c r="N4118" s="464">
        <f t="shared" si="185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83"/>
        <v>-688832928815.71289</v>
      </c>
      <c r="J4119" s="444">
        <f t="array" ref="J4119">IFERROR(INDEX('Retirement Calculator'!J:J,MATCH('Isaac 401k'!N4119,'Retirement Calculator'!A:A,0),0),0)</f>
        <v>0</v>
      </c>
      <c r="K4119" s="444">
        <f t="shared" ca="1" si="181"/>
        <v>-2870137203.3988037</v>
      </c>
      <c r="L4119" s="444">
        <f t="shared" ca="1" si="182"/>
        <v>-691703066019.11169</v>
      </c>
      <c r="M4119" s="460">
        <f t="shared" si="184"/>
        <v>0.05</v>
      </c>
      <c r="N4119" s="464">
        <f t="shared" si="185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83"/>
        <v>-691703066019.11169</v>
      </c>
      <c r="J4120" s="444">
        <f t="array" ref="J4120">IFERROR(INDEX('Retirement Calculator'!J:J,MATCH('Isaac 401k'!N4120,'Retirement Calculator'!A:A,0),0),0)</f>
        <v>0</v>
      </c>
      <c r="K4120" s="444">
        <f t="shared" ca="1" si="181"/>
        <v>-2882096108.4129653</v>
      </c>
      <c r="L4120" s="444">
        <f t="shared" ca="1" si="182"/>
        <v>-694585162127.52466</v>
      </c>
      <c r="M4120" s="460">
        <f t="shared" si="184"/>
        <v>0.05</v>
      </c>
      <c r="N4120" s="464">
        <f t="shared" si="185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83"/>
        <v>-694585162127.52466</v>
      </c>
      <c r="J4121" s="444">
        <f t="array" ref="J4121">IFERROR(INDEX('Retirement Calculator'!J:J,MATCH('Isaac 401k'!N4121,'Retirement Calculator'!A:A,0),0),0)</f>
        <v>0</v>
      </c>
      <c r="K4121" s="444">
        <f t="shared" ca="1" si="181"/>
        <v>-2894104842.1980195</v>
      </c>
      <c r="L4121" s="444">
        <f t="shared" ca="1" si="182"/>
        <v>-697479266969.72266</v>
      </c>
      <c r="M4121" s="460">
        <f t="shared" si="184"/>
        <v>0.05</v>
      </c>
      <c r="N4121" s="464">
        <f t="shared" si="185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83"/>
        <v>-697479266969.72266</v>
      </c>
      <c r="J4122" s="444">
        <f t="array" ref="J4122">IFERROR(INDEX('Retirement Calculator'!J:J,MATCH('Isaac 401k'!N4122,'Retirement Calculator'!A:A,0),0),0)</f>
        <v>0</v>
      </c>
      <c r="K4122" s="444">
        <f t="shared" ca="1" si="181"/>
        <v>-2906163612.3738441</v>
      </c>
      <c r="L4122" s="444">
        <f t="shared" ca="1" si="182"/>
        <v>-700385430582.09656</v>
      </c>
      <c r="M4122" s="460">
        <f t="shared" si="184"/>
        <v>0.05</v>
      </c>
      <c r="N4122" s="464">
        <f t="shared" si="185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83"/>
        <v>-700385430582.09656</v>
      </c>
      <c r="J4123" s="444">
        <f t="array" ref="J4123">IFERROR(INDEX('Retirement Calculator'!J:J,MATCH('Isaac 401k'!N4123,'Retirement Calculator'!A:A,0),0),0)</f>
        <v>0</v>
      </c>
      <c r="K4123" s="444">
        <f t="shared" ca="1" si="181"/>
        <v>-2918272627.4254022</v>
      </c>
      <c r="L4123" s="444">
        <f t="shared" ca="1" si="182"/>
        <v>-703303703209.52197</v>
      </c>
      <c r="M4123" s="460">
        <f t="shared" si="184"/>
        <v>0.05</v>
      </c>
      <c r="N4123" s="464">
        <f t="shared" si="185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83"/>
        <v>-703303703209.52197</v>
      </c>
      <c r="J4124" s="444">
        <f t="array" ref="J4124">IFERROR(INDEX('Retirement Calculator'!J:J,MATCH('Isaac 401k'!N4124,'Retirement Calculator'!A:A,0),0),0)</f>
        <v>0</v>
      </c>
      <c r="K4124" s="444">
        <f t="shared" ca="1" si="181"/>
        <v>-2930432096.7063417</v>
      </c>
      <c r="L4124" s="444">
        <f t="shared" ca="1" si="182"/>
        <v>-706234135306.22827</v>
      </c>
      <c r="M4124" s="460">
        <f t="shared" si="184"/>
        <v>0.05</v>
      </c>
      <c r="N4124" s="464">
        <f t="shared" si="185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83"/>
        <v>-706234135306.22827</v>
      </c>
      <c r="J4125" s="444">
        <f t="array" ref="J4125">IFERROR(INDEX('Retirement Calculator'!J:J,MATCH('Isaac 401k'!N4125,'Retirement Calculator'!A:A,0),0),0)</f>
        <v>0</v>
      </c>
      <c r="K4125" s="444">
        <f t="shared" ca="1" si="181"/>
        <v>-2942642230.4426179</v>
      </c>
      <c r="L4125" s="444">
        <f t="shared" ca="1" si="182"/>
        <v>-709176777536.6709</v>
      </c>
      <c r="M4125" s="460">
        <f t="shared" si="184"/>
        <v>0.05</v>
      </c>
      <c r="N4125" s="464">
        <f t="shared" si="185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83"/>
        <v>-709176777536.6709</v>
      </c>
      <c r="J4126" s="444">
        <f t="array" ref="J4126">IFERROR(INDEX('Retirement Calculator'!J:J,MATCH('Isaac 401k'!N4126,'Retirement Calculator'!A:A,0),0),0)</f>
        <v>0</v>
      </c>
      <c r="K4126" s="444">
        <f t="shared" ca="1" si="181"/>
        <v>-2954903239.7361288</v>
      </c>
      <c r="L4126" s="444">
        <f t="shared" ca="1" si="182"/>
        <v>-712131680776.40698</v>
      </c>
      <c r="M4126" s="460">
        <f t="shared" si="184"/>
        <v>0.05</v>
      </c>
      <c r="N4126" s="464">
        <f t="shared" si="185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83"/>
        <v>-712131680776.40698</v>
      </c>
      <c r="J4127" s="444">
        <f t="array" ref="J4127">IFERROR(INDEX('Retirement Calculator'!J:J,MATCH('Isaac 401k'!N4127,'Retirement Calculator'!A:A,0),0),0)</f>
        <v>0</v>
      </c>
      <c r="K4127" s="444">
        <f t="shared" ca="1" si="181"/>
        <v>-2967215336.5683622</v>
      </c>
      <c r="L4127" s="444">
        <f t="shared" ca="1" si="182"/>
        <v>-715098896112.97534</v>
      </c>
      <c r="M4127" s="460">
        <f t="shared" si="184"/>
        <v>0.05</v>
      </c>
      <c r="N4127" s="464">
        <f t="shared" si="185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83"/>
        <v>-715098896112.97534</v>
      </c>
      <c r="J4128" s="444">
        <f t="array" ref="J4128">IFERROR(INDEX('Retirement Calculator'!J:J,MATCH('Isaac 401k'!N4128,'Retirement Calculator'!A:A,0),0),0)</f>
        <v>0</v>
      </c>
      <c r="K4128" s="444">
        <f t="shared" ca="1" si="181"/>
        <v>-2979578733.8040638</v>
      </c>
      <c r="L4128" s="444">
        <f t="shared" ca="1" si="182"/>
        <v>-718078474846.77942</v>
      </c>
      <c r="M4128" s="460">
        <f t="shared" si="184"/>
        <v>0.05</v>
      </c>
      <c r="N4128" s="464">
        <f t="shared" si="185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83"/>
        <v>-718078474846.77942</v>
      </c>
      <c r="J4129" s="444">
        <f t="array" ref="J4129">IFERROR(INDEX('Retirement Calculator'!J:J,MATCH('Isaac 401k'!N4129,'Retirement Calculator'!A:A,0),0),0)</f>
        <v>0</v>
      </c>
      <c r="K4129" s="444">
        <f t="shared" ca="1" si="181"/>
        <v>-2991993645.1949143</v>
      </c>
      <c r="L4129" s="444">
        <f t="shared" ca="1" si="182"/>
        <v>-721070468491.97437</v>
      </c>
      <c r="M4129" s="460">
        <f t="shared" si="184"/>
        <v>0.05</v>
      </c>
      <c r="N4129" s="464">
        <f t="shared" si="185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83"/>
        <v>-721070468491.97437</v>
      </c>
      <c r="J4130" s="444">
        <f t="array" ref="J4130">IFERROR(INDEX('Retirement Calculator'!J:J,MATCH('Isaac 401k'!N4130,'Retirement Calculator'!A:A,0),0),0)</f>
        <v>0</v>
      </c>
      <c r="K4130" s="444">
        <f t="shared" ca="1" si="181"/>
        <v>-3004460285.3832264</v>
      </c>
      <c r="L4130" s="444">
        <f t="shared" ca="1" si="182"/>
        <v>-724074928777.35754</v>
      </c>
      <c r="M4130" s="460">
        <f t="shared" si="184"/>
        <v>0.05</v>
      </c>
      <c r="N4130" s="464">
        <f t="shared" si="185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83"/>
        <v>-724074928777.35754</v>
      </c>
      <c r="J4131" s="444">
        <f t="array" ref="J4131">IFERROR(INDEX('Retirement Calculator'!J:J,MATCH('Isaac 401k'!N4131,'Retirement Calculator'!A:A,0),0),0)</f>
        <v>0</v>
      </c>
      <c r="K4131" s="444">
        <f t="shared" ca="1" si="181"/>
        <v>-3016978869.9056563</v>
      </c>
      <c r="L4131" s="444">
        <f t="shared" ca="1" si="182"/>
        <v>-727091907647.26318</v>
      </c>
      <c r="M4131" s="460">
        <f t="shared" si="184"/>
        <v>0.05</v>
      </c>
      <c r="N4131" s="464">
        <f t="shared" si="185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83"/>
        <v>-727091907647.26318</v>
      </c>
      <c r="J4132" s="444">
        <f t="array" ref="J4132">IFERROR(INDEX('Retirement Calculator'!J:J,MATCH('Isaac 401k'!N4132,'Retirement Calculator'!A:A,0),0),0)</f>
        <v>0</v>
      </c>
      <c r="K4132" s="444">
        <f t="shared" ca="1" si="181"/>
        <v>-3029549615.1969299</v>
      </c>
      <c r="L4132" s="444">
        <f t="shared" ca="1" si="182"/>
        <v>-730121457262.46008</v>
      </c>
      <c r="M4132" s="460">
        <f t="shared" si="184"/>
        <v>0.05</v>
      </c>
      <c r="N4132" s="464">
        <f t="shared" si="185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83"/>
        <v>-730121457262.46008</v>
      </c>
      <c r="J4133" s="444">
        <f t="array" ref="J4133">IFERROR(INDEX('Retirement Calculator'!J:J,MATCH('Isaac 401k'!N4133,'Retirement Calculator'!A:A,0),0),0)</f>
        <v>0</v>
      </c>
      <c r="K4133" s="444">
        <f t="shared" ca="1" si="181"/>
        <v>-3042172738.5935836</v>
      </c>
      <c r="L4133" s="444">
        <f t="shared" ca="1" si="182"/>
        <v>-733163630001.05371</v>
      </c>
      <c r="M4133" s="460">
        <f t="shared" si="184"/>
        <v>0.05</v>
      </c>
      <c r="N4133" s="464">
        <f t="shared" si="185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83"/>
        <v>-733163630001.05371</v>
      </c>
      <c r="J4134" s="444">
        <f t="array" ref="J4134">IFERROR(INDEX('Retirement Calculator'!J:J,MATCH('Isaac 401k'!N4134,'Retirement Calculator'!A:A,0),0),0)</f>
        <v>0</v>
      </c>
      <c r="K4134" s="444">
        <f t="shared" ca="1" si="181"/>
        <v>-3054848458.3377237</v>
      </c>
      <c r="L4134" s="444">
        <f t="shared" ca="1" si="182"/>
        <v>-736218478459.39148</v>
      </c>
      <c r="M4134" s="460">
        <f t="shared" si="184"/>
        <v>0.05</v>
      </c>
      <c r="N4134" s="464">
        <f t="shared" si="185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83"/>
        <v>-736218478459.39148</v>
      </c>
      <c r="J4135" s="444">
        <f t="array" ref="J4135">IFERROR(INDEX('Retirement Calculator'!J:J,MATCH('Isaac 401k'!N4135,'Retirement Calculator'!A:A,0),0),0)</f>
        <v>0</v>
      </c>
      <c r="K4135" s="444">
        <f t="shared" ca="1" si="181"/>
        <v>-3067576993.5807977</v>
      </c>
      <c r="L4135" s="444">
        <f t="shared" ca="1" si="182"/>
        <v>-739286055452.97229</v>
      </c>
      <c r="M4135" s="460">
        <f t="shared" si="184"/>
        <v>0.05</v>
      </c>
      <c r="N4135" s="464">
        <f t="shared" si="185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83"/>
        <v>-739286055452.97229</v>
      </c>
      <c r="J4136" s="444">
        <f t="array" ref="J4136">IFERROR(INDEX('Retirement Calculator'!J:J,MATCH('Isaac 401k'!N4136,'Retirement Calculator'!A:A,0),0),0)</f>
        <v>0</v>
      </c>
      <c r="K4136" s="444">
        <f t="shared" ca="1" si="181"/>
        <v>-3080358564.3873844</v>
      </c>
      <c r="L4136" s="444">
        <f t="shared" ca="1" si="182"/>
        <v>-742366414017.35962</v>
      </c>
      <c r="M4136" s="460">
        <f t="shared" si="184"/>
        <v>0.05</v>
      </c>
      <c r="N4136" s="464">
        <f t="shared" si="185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83"/>
        <v>-742366414017.35962</v>
      </c>
      <c r="J4137" s="444">
        <f t="array" ref="J4137">IFERROR(INDEX('Retirement Calculator'!J:J,MATCH('Isaac 401k'!N4137,'Retirement Calculator'!A:A,0),0),0)</f>
        <v>0</v>
      </c>
      <c r="K4137" s="444">
        <f t="shared" ca="1" si="181"/>
        <v>-3093193391.7389984</v>
      </c>
      <c r="L4137" s="444">
        <f t="shared" ca="1" si="182"/>
        <v>-745459607409.09863</v>
      </c>
      <c r="M4137" s="460">
        <f t="shared" si="184"/>
        <v>0.05</v>
      </c>
      <c r="N4137" s="464">
        <f t="shared" si="185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83"/>
        <v>-745459607409.09863</v>
      </c>
      <c r="J4138" s="444">
        <f t="array" ref="J4138">IFERROR(INDEX('Retirement Calculator'!J:J,MATCH('Isaac 401k'!N4138,'Retirement Calculator'!A:A,0),0),0)</f>
        <v>0</v>
      </c>
      <c r="K4138" s="444">
        <f t="shared" ca="1" si="181"/>
        <v>-3106081697.5379109</v>
      </c>
      <c r="L4138" s="444">
        <f t="shared" ca="1" si="182"/>
        <v>-748565689106.6366</v>
      </c>
      <c r="M4138" s="460">
        <f t="shared" si="184"/>
        <v>0.05</v>
      </c>
      <c r="N4138" s="464">
        <f t="shared" si="185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83"/>
        <v>-748565689106.6366</v>
      </c>
      <c r="J4139" s="444">
        <f t="array" ref="J4139">IFERROR(INDEX('Retirement Calculator'!J:J,MATCH('Isaac 401k'!N4139,'Retirement Calculator'!A:A,0),0),0)</f>
        <v>0</v>
      </c>
      <c r="K4139" s="444">
        <f t="shared" ca="1" si="181"/>
        <v>-3119023704.6109858</v>
      </c>
      <c r="L4139" s="444">
        <f t="shared" ca="1" si="182"/>
        <v>-751684712811.24756</v>
      </c>
      <c r="M4139" s="460">
        <f t="shared" si="184"/>
        <v>0.05</v>
      </c>
      <c r="N4139" s="464">
        <f t="shared" si="185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83"/>
        <v>-751684712811.24756</v>
      </c>
      <c r="J4140" s="444">
        <f t="array" ref="J4140">IFERROR(INDEX('Retirement Calculator'!J:J,MATCH('Isaac 401k'!N4140,'Retirement Calculator'!A:A,0),0),0)</f>
        <v>0</v>
      </c>
      <c r="K4140" s="444">
        <f t="shared" ca="1" si="181"/>
        <v>-3132019636.7135315</v>
      </c>
      <c r="L4140" s="444">
        <f t="shared" ca="1" si="182"/>
        <v>-754816732447.96106</v>
      </c>
      <c r="M4140" s="460">
        <f t="shared" si="184"/>
        <v>0.05</v>
      </c>
      <c r="N4140" s="464">
        <f t="shared" si="185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83"/>
        <v>-754816732447.96106</v>
      </c>
      <c r="J4141" s="444">
        <f t="array" ref="J4141">IFERROR(INDEX('Retirement Calculator'!J:J,MATCH('Isaac 401k'!N4141,'Retirement Calculator'!A:A,0),0),0)</f>
        <v>0</v>
      </c>
      <c r="K4141" s="444">
        <f t="shared" ca="1" si="181"/>
        <v>-3145069718.5331712</v>
      </c>
      <c r="L4141" s="444">
        <f t="shared" ca="1" si="182"/>
        <v>-757961802166.49426</v>
      </c>
      <c r="M4141" s="460">
        <f t="shared" si="184"/>
        <v>0.05</v>
      </c>
      <c r="N4141" s="464">
        <f t="shared" si="185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83"/>
        <v>-757961802166.49426</v>
      </c>
      <c r="J4142" s="444">
        <f t="array" ref="J4142">IFERROR(INDEX('Retirement Calculator'!J:J,MATCH('Isaac 401k'!N4142,'Retirement Calculator'!A:A,0),0),0)</f>
        <v>0</v>
      </c>
      <c r="K4142" s="444">
        <f t="shared" ca="1" si="181"/>
        <v>-3158174175.6937261</v>
      </c>
      <c r="L4142" s="444">
        <f t="shared" ca="1" si="182"/>
        <v>-761119976342.18799</v>
      </c>
      <c r="M4142" s="460">
        <f t="shared" si="184"/>
        <v>0.05</v>
      </c>
      <c r="N4142" s="464">
        <f t="shared" si="185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83"/>
        <v>-761119976342.18799</v>
      </c>
      <c r="J4143" s="444">
        <f t="array" ref="J4143">IFERROR(INDEX('Retirement Calculator'!J:J,MATCH('Isaac 401k'!N4143,'Retirement Calculator'!A:A,0),0),0)</f>
        <v>0</v>
      </c>
      <c r="K4143" s="444">
        <f t="shared" ca="1" si="181"/>
        <v>-3171333234.7591166</v>
      </c>
      <c r="L4143" s="444">
        <f t="shared" ca="1" si="182"/>
        <v>-764291309576.94714</v>
      </c>
      <c r="M4143" s="460">
        <f t="shared" si="184"/>
        <v>0.05</v>
      </c>
      <c r="N4143" s="464">
        <f t="shared" si="185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83"/>
        <v>-764291309576.94714</v>
      </c>
      <c r="J4144" s="444">
        <f t="array" ref="J4144">IFERROR(INDEX('Retirement Calculator'!J:J,MATCH('Isaac 401k'!N4144,'Retirement Calculator'!A:A,0),0),0)</f>
        <v>0</v>
      </c>
      <c r="K4144" s="444">
        <f t="shared" ca="1" si="181"/>
        <v>-3184547123.2372799</v>
      </c>
      <c r="L4144" s="444">
        <f t="shared" ca="1" si="182"/>
        <v>-767475856700.18445</v>
      </c>
      <c r="M4144" s="460">
        <f t="shared" si="184"/>
        <v>0.05</v>
      </c>
      <c r="N4144" s="464">
        <f t="shared" si="185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83"/>
        <v>-767475856700.18445</v>
      </c>
      <c r="J4145" s="444">
        <f t="array" ref="J4145">IFERROR(INDEX('Retirement Calculator'!J:J,MATCH('Isaac 401k'!N4145,'Retirement Calculator'!A:A,0),0),0)</f>
        <v>0</v>
      </c>
      <c r="K4145" s="444">
        <f t="shared" ca="1" si="181"/>
        <v>-3197816069.5841017</v>
      </c>
      <c r="L4145" s="444">
        <f t="shared" ca="1" si="182"/>
        <v>-770673672769.76855</v>
      </c>
      <c r="M4145" s="460">
        <f t="shared" si="184"/>
        <v>0.05</v>
      </c>
      <c r="N4145" s="464">
        <f t="shared" si="185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83"/>
        <v>-770673672769.76855</v>
      </c>
      <c r="J4146" s="444">
        <f t="array" ref="J4146">IFERROR(INDEX('Retirement Calculator'!J:J,MATCH('Isaac 401k'!N4146,'Retirement Calculator'!A:A,0),0),0)</f>
        <v>0</v>
      </c>
      <c r="K4146" s="444">
        <f t="shared" ca="1" si="181"/>
        <v>-3211140303.2073689</v>
      </c>
      <c r="L4146" s="444">
        <f t="shared" ca="1" si="182"/>
        <v>-773884813072.97595</v>
      </c>
      <c r="M4146" s="460">
        <f t="shared" si="184"/>
        <v>0.05</v>
      </c>
      <c r="N4146" s="464">
        <f t="shared" si="185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83"/>
        <v>-773884813072.97595</v>
      </c>
      <c r="J4147" s="444">
        <f t="array" ref="J4147">IFERROR(INDEX('Retirement Calculator'!J:J,MATCH('Isaac 401k'!N4147,'Retirement Calculator'!A:A,0),0),0)</f>
        <v>0</v>
      </c>
      <c r="K4147" s="444">
        <f t="shared" ca="1" si="181"/>
        <v>-3224520054.4707332</v>
      </c>
      <c r="L4147" s="444">
        <f t="shared" ca="1" si="182"/>
        <v>-777109333127.44666</v>
      </c>
      <c r="M4147" s="460">
        <f t="shared" si="184"/>
        <v>0.05</v>
      </c>
      <c r="N4147" s="464">
        <f t="shared" si="185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83"/>
        <v>-777109333127.44666</v>
      </c>
      <c r="J4148" s="444">
        <f t="array" ref="J4148">IFERROR(INDEX('Retirement Calculator'!J:J,MATCH('Isaac 401k'!N4148,'Retirement Calculator'!A:A,0),0),0)</f>
        <v>0</v>
      </c>
      <c r="K4148" s="444">
        <f t="shared" ca="1" si="181"/>
        <v>-3237955554.6976943</v>
      </c>
      <c r="L4148" s="444">
        <f t="shared" ca="1" si="182"/>
        <v>-780347288682.14441</v>
      </c>
      <c r="M4148" s="460">
        <f t="shared" si="184"/>
        <v>0.05</v>
      </c>
      <c r="N4148" s="464">
        <f t="shared" si="185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83"/>
        <v>-780347288682.14441</v>
      </c>
      <c r="J4149" s="444">
        <f t="array" ref="J4149">IFERROR(INDEX('Retirement Calculator'!J:J,MATCH('Isaac 401k'!N4149,'Retirement Calculator'!A:A,0),0),0)</f>
        <v>0</v>
      </c>
      <c r="K4149" s="444">
        <f t="shared" ca="1" si="181"/>
        <v>-3251447036.1756015</v>
      </c>
      <c r="L4149" s="444">
        <f t="shared" ca="1" si="182"/>
        <v>-783598735718.32007</v>
      </c>
      <c r="M4149" s="460">
        <f t="shared" si="184"/>
        <v>0.05</v>
      </c>
      <c r="N4149" s="464">
        <f t="shared" si="185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83"/>
        <v>-783598735718.32007</v>
      </c>
      <c r="J4150" s="444">
        <f t="array" ref="J4150">IFERROR(INDEX('Retirement Calculator'!J:J,MATCH('Isaac 401k'!N4150,'Retirement Calculator'!A:A,0),0),0)</f>
        <v>0</v>
      </c>
      <c r="K4150" s="444">
        <f t="shared" ca="1" si="181"/>
        <v>-3264994732.159667</v>
      </c>
      <c r="L4150" s="444">
        <f t="shared" ca="1" si="182"/>
        <v>-786863730450.47974</v>
      </c>
      <c r="M4150" s="460">
        <f t="shared" si="184"/>
        <v>0.05</v>
      </c>
      <c r="N4150" s="464">
        <f t="shared" si="185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83"/>
        <v>-786863730450.47974</v>
      </c>
      <c r="J4151" s="444">
        <f t="array" ref="J4151">IFERROR(INDEX('Retirement Calculator'!J:J,MATCH('Isaac 401k'!N4151,'Retirement Calculator'!A:A,0),0),0)</f>
        <v>0</v>
      </c>
      <c r="K4151" s="444">
        <f t="shared" ca="1" si="181"/>
        <v>-3278598876.8769989</v>
      </c>
      <c r="L4151" s="444">
        <f t="shared" ca="1" si="182"/>
        <v>-790142329327.35669</v>
      </c>
      <c r="M4151" s="460">
        <f t="shared" si="184"/>
        <v>0.05</v>
      </c>
      <c r="N4151" s="464">
        <f t="shared" si="185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83"/>
        <v>-790142329327.35669</v>
      </c>
      <c r="J4152" s="444">
        <f t="array" ref="J4152">IFERROR(INDEX('Retirement Calculator'!J:J,MATCH('Isaac 401k'!N4152,'Retirement Calculator'!A:A,0),0),0)</f>
        <v>0</v>
      </c>
      <c r="K4152" s="444">
        <f t="shared" ca="1" si="181"/>
        <v>-3292259705.530653</v>
      </c>
      <c r="L4152" s="444">
        <f t="shared" ca="1" si="182"/>
        <v>-793434589032.88733</v>
      </c>
      <c r="M4152" s="460">
        <f t="shared" si="184"/>
        <v>0.05</v>
      </c>
      <c r="N4152" s="464">
        <f t="shared" si="185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83"/>
        <v>-793434589032.88733</v>
      </c>
      <c r="J4153" s="444">
        <f t="array" ref="J4153">IFERROR(INDEX('Retirement Calculator'!J:J,MATCH('Isaac 401k'!N4153,'Retirement Calculator'!A:A,0),0),0)</f>
        <v>0</v>
      </c>
      <c r="K4153" s="444">
        <f t="shared" ca="1" si="181"/>
        <v>-3305977454.3036971</v>
      </c>
      <c r="L4153" s="444">
        <f t="shared" ca="1" si="182"/>
        <v>-796740566487.19104</v>
      </c>
      <c r="M4153" s="460">
        <f t="shared" si="184"/>
        <v>0.05</v>
      </c>
      <c r="N4153" s="464">
        <f t="shared" si="185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83"/>
        <v>-796740566487.19104</v>
      </c>
      <c r="J4154" s="444">
        <f t="array" ref="J4154">IFERROR(INDEX('Retirement Calculator'!J:J,MATCH('Isaac 401k'!N4154,'Retirement Calculator'!A:A,0),0),0)</f>
        <v>0</v>
      </c>
      <c r="K4154" s="444">
        <f t="shared" ca="1" si="181"/>
        <v>-3319752360.363296</v>
      </c>
      <c r="L4154" s="444">
        <f t="shared" ca="1" si="182"/>
        <v>-800060318847.55432</v>
      </c>
      <c r="M4154" s="460">
        <f t="shared" si="184"/>
        <v>0.05</v>
      </c>
      <c r="N4154" s="464">
        <f t="shared" si="185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83"/>
        <v>-800060318847.55432</v>
      </c>
      <c r="J4155" s="444">
        <f t="array" ref="J4155">IFERROR(INDEX('Retirement Calculator'!J:J,MATCH('Isaac 401k'!N4155,'Retirement Calculator'!A:A,0),0),0)</f>
        <v>0</v>
      </c>
      <c r="K4155" s="444">
        <f t="shared" ca="1" si="181"/>
        <v>-3333584661.8648095</v>
      </c>
      <c r="L4155" s="444">
        <f t="shared" ca="1" si="182"/>
        <v>-803393903509.41919</v>
      </c>
      <c r="M4155" s="460">
        <f t="shared" si="184"/>
        <v>0.05</v>
      </c>
      <c r="N4155" s="464">
        <f t="shared" si="185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83"/>
        <v>-803393903509.41919</v>
      </c>
      <c r="J4156" s="444">
        <f t="array" ref="J4156">IFERROR(INDEX('Retirement Calculator'!J:J,MATCH('Isaac 401k'!N4156,'Retirement Calculator'!A:A,0),0),0)</f>
        <v>0</v>
      </c>
      <c r="K4156" s="444">
        <f t="shared" ca="1" si="181"/>
        <v>-3347474597.9559131</v>
      </c>
      <c r="L4156" s="444">
        <f t="shared" ca="1" si="182"/>
        <v>-806741378107.37512</v>
      </c>
      <c r="M4156" s="460">
        <f t="shared" si="184"/>
        <v>0.05</v>
      </c>
      <c r="N4156" s="464">
        <f t="shared" si="185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83"/>
        <v>-806741378107.37512</v>
      </c>
      <c r="J4157" s="444">
        <f t="array" ref="J4157">IFERROR(INDEX('Retirement Calculator'!J:J,MATCH('Isaac 401k'!N4157,'Retirement Calculator'!A:A,0),0),0)</f>
        <v>0</v>
      </c>
      <c r="K4157" s="444">
        <f t="shared" ca="1" si="181"/>
        <v>-3361422408.7807298</v>
      </c>
      <c r="L4157" s="444">
        <f t="shared" ca="1" si="182"/>
        <v>-810102800516.15588</v>
      </c>
      <c r="M4157" s="460">
        <f t="shared" si="184"/>
        <v>0.05</v>
      </c>
      <c r="N4157" s="464">
        <f t="shared" si="185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83"/>
        <v>-810102800516.15588</v>
      </c>
      <c r="J4158" s="444">
        <f t="array" ref="J4158">IFERROR(INDEX('Retirement Calculator'!J:J,MATCH('Isaac 401k'!N4158,'Retirement Calculator'!A:A,0),0),0)</f>
        <v>0</v>
      </c>
      <c r="K4158" s="444">
        <f t="shared" ca="1" si="181"/>
        <v>-3375428335.483983</v>
      </c>
      <c r="L4158" s="444">
        <f t="shared" ca="1" si="182"/>
        <v>-813478228851.63989</v>
      </c>
      <c r="M4158" s="460">
        <f t="shared" si="184"/>
        <v>0.05</v>
      </c>
      <c r="N4158" s="464">
        <f t="shared" si="185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83"/>
        <v>-813478228851.63989</v>
      </c>
      <c r="J4159" s="444">
        <f t="array" ref="J4159">IFERROR(INDEX('Retirement Calculator'!J:J,MATCH('Isaac 401k'!N4159,'Retirement Calculator'!A:A,0),0),0)</f>
        <v>0</v>
      </c>
      <c r="K4159" s="444">
        <f t="shared" ca="1" si="181"/>
        <v>-3389492620.2151661</v>
      </c>
      <c r="L4159" s="444">
        <f t="shared" ca="1" si="182"/>
        <v>-816867721471.8551</v>
      </c>
      <c r="M4159" s="460">
        <f t="shared" si="184"/>
        <v>0.05</v>
      </c>
      <c r="N4159" s="464">
        <f t="shared" si="185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83"/>
        <v>-816867721471.8551</v>
      </c>
      <c r="J4160" s="444">
        <f t="array" ref="J4160">IFERROR(INDEX('Retirement Calculator'!J:J,MATCH('Isaac 401k'!N4160,'Retirement Calculator'!A:A,0),0),0)</f>
        <v>0</v>
      </c>
      <c r="K4160" s="444">
        <f t="shared" ca="1" si="181"/>
        <v>-3403615506.1327295</v>
      </c>
      <c r="L4160" s="444">
        <f t="shared" ca="1" si="182"/>
        <v>-820271336977.98779</v>
      </c>
      <c r="M4160" s="460">
        <f t="shared" si="184"/>
        <v>0.05</v>
      </c>
      <c r="N4160" s="464">
        <f t="shared" si="185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83"/>
        <v>-820271336977.98779</v>
      </c>
      <c r="J4161" s="444">
        <f t="array" ref="J4161">IFERROR(INDEX('Retirement Calculator'!J:J,MATCH('Isaac 401k'!N4161,'Retirement Calculator'!A:A,0),0),0)</f>
        <v>0</v>
      </c>
      <c r="K4161" s="444">
        <f t="shared" ca="1" si="181"/>
        <v>-3417797237.4082823</v>
      </c>
      <c r="L4161" s="444">
        <f t="shared" ca="1" si="182"/>
        <v>-823689134215.39612</v>
      </c>
      <c r="M4161" s="460">
        <f t="shared" si="184"/>
        <v>0.05</v>
      </c>
      <c r="N4161" s="464">
        <f t="shared" si="185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83"/>
        <v>-823689134215.39612</v>
      </c>
      <c r="J4162" s="444">
        <f t="array" ref="J4162">IFERROR(INDEX('Retirement Calculator'!J:J,MATCH('Isaac 401k'!N4162,'Retirement Calculator'!A:A,0),0),0)</f>
        <v>0</v>
      </c>
      <c r="K4162" s="444">
        <f t="shared" ca="1" si="181"/>
        <v>-3432038059.2308173</v>
      </c>
      <c r="L4162" s="444">
        <f t="shared" ca="1" si="182"/>
        <v>-827121172274.62695</v>
      </c>
      <c r="M4162" s="460">
        <f t="shared" si="184"/>
        <v>0.05</v>
      </c>
      <c r="N4162" s="464">
        <f t="shared" si="185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83"/>
        <v>-827121172274.62695</v>
      </c>
      <c r="J4163" s="444">
        <f t="array" ref="J4163">IFERROR(INDEX('Retirement Calculator'!J:J,MATCH('Isaac 401k'!N4163,'Retirement Calculator'!A:A,0),0),0)</f>
        <v>0</v>
      </c>
      <c r="K4163" s="444">
        <f t="shared" ca="1" si="181"/>
        <v>-3446338217.8109455</v>
      </c>
      <c r="L4163" s="444">
        <f t="shared" ca="1" si="182"/>
        <v>-830567510492.43787</v>
      </c>
      <c r="M4163" s="460">
        <f t="shared" si="184"/>
        <v>0.05</v>
      </c>
      <c r="N4163" s="464">
        <f t="shared" si="185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83"/>
        <v>-830567510492.43787</v>
      </c>
      <c r="J4164" s="444">
        <f t="array" ref="J4164">IFERROR(INDEX('Retirement Calculator'!J:J,MATCH('Isaac 401k'!N4164,'Retirement Calculator'!A:A,0),0),0)</f>
        <v>0</v>
      </c>
      <c r="K4164" s="444">
        <f t="shared" ca="1" si="181"/>
        <v>-3460697960.3851576</v>
      </c>
      <c r="L4164" s="444">
        <f t="shared" ca="1" si="182"/>
        <v>-834028208452.823</v>
      </c>
      <c r="M4164" s="460">
        <f t="shared" si="184"/>
        <v>0.05</v>
      </c>
      <c r="N4164" s="464">
        <f t="shared" si="185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83"/>
        <v>-834028208452.823</v>
      </c>
      <c r="J4165" s="444">
        <f t="array" ref="J4165">IFERROR(INDEX('Retirement Calculator'!J:J,MATCH('Isaac 401k'!N4165,'Retirement Calculator'!A:A,0),0),0)</f>
        <v>0</v>
      </c>
      <c r="K4165" s="444">
        <f t="shared" ca="1" si="181"/>
        <v>-3475117535.2200956</v>
      </c>
      <c r="L4165" s="444">
        <f t="shared" ca="1" si="182"/>
        <v>-837503325988.04309</v>
      </c>
      <c r="M4165" s="460">
        <f t="shared" si="184"/>
        <v>0.05</v>
      </c>
      <c r="N4165" s="464">
        <f t="shared" si="185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83"/>
        <v>-837503325988.04309</v>
      </c>
      <c r="J4166" s="444">
        <f t="array" ref="J4166">IFERROR(INDEX('Retirement Calculator'!J:J,MATCH('Isaac 401k'!N4166,'Retirement Calculator'!A:A,0),0),0)</f>
        <v>0</v>
      </c>
      <c r="K4166" s="444">
        <f t="shared" ca="1" si="181"/>
        <v>-3489597191.6168461</v>
      </c>
      <c r="L4166" s="444">
        <f t="shared" ca="1" si="182"/>
        <v>-840992923179.65991</v>
      </c>
      <c r="M4166" s="460">
        <f t="shared" si="184"/>
        <v>0.05</v>
      </c>
      <c r="N4166" s="464">
        <f t="shared" si="185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83"/>
        <v>-840992923179.65991</v>
      </c>
      <c r="J4167" s="444">
        <f t="array" ref="J4167">IFERROR(INDEX('Retirement Calculator'!J:J,MATCH('Isaac 401k'!N4167,'Retirement Calculator'!A:A,0),0),0)</f>
        <v>0</v>
      </c>
      <c r="K4167" s="444">
        <f t="shared" ca="1" si="181"/>
        <v>-3504137179.9152493</v>
      </c>
      <c r="L4167" s="444">
        <f t="shared" ca="1" si="182"/>
        <v>-844497060359.5752</v>
      </c>
      <c r="M4167" s="460">
        <f t="shared" si="184"/>
        <v>0.05</v>
      </c>
      <c r="N4167" s="464">
        <f t="shared" si="185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83"/>
        <v>-844497060359.5752</v>
      </c>
      <c r="J4168" s="444">
        <f t="array" ref="J4168">IFERROR(INDEX('Retirement Calculator'!J:J,MATCH('Isaac 401k'!N4168,'Retirement Calculator'!A:A,0),0),0)</f>
        <v>0</v>
      </c>
      <c r="K4168" s="444">
        <f t="shared" ca="1" si="181"/>
        <v>-3518737751.49823</v>
      </c>
      <c r="L4168" s="444">
        <f t="shared" ca="1" si="182"/>
        <v>-848015798111.07349</v>
      </c>
      <c r="M4168" s="460">
        <f t="shared" si="184"/>
        <v>0.05</v>
      </c>
      <c r="N4168" s="464">
        <f t="shared" si="185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83"/>
        <v>-848015798111.07349</v>
      </c>
      <c r="J4169" s="444">
        <f t="array" ref="J4169">IFERROR(INDEX('Retirement Calculator'!J:J,MATCH('Isaac 401k'!N4169,'Retirement Calculator'!A:A,0),0),0)</f>
        <v>0</v>
      </c>
      <c r="K4169" s="444">
        <f t="shared" ca="1" si="181"/>
        <v>-3533399158.7961392</v>
      </c>
      <c r="L4169" s="444">
        <f t="shared" ca="1" si="182"/>
        <v>-851549197269.86963</v>
      </c>
      <c r="M4169" s="460">
        <f t="shared" si="184"/>
        <v>0.05</v>
      </c>
      <c r="N4169" s="464">
        <f t="shared" si="185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83"/>
        <v>-851549197269.86963</v>
      </c>
      <c r="J4170" s="444">
        <f t="array" ref="J4170">IFERROR(INDEX('Retirement Calculator'!J:J,MATCH('Isaac 401k'!N4170,'Retirement Calculator'!A:A,0),0),0)</f>
        <v>0</v>
      </c>
      <c r="K4170" s="444">
        <f t="shared" ca="1" si="181"/>
        <v>-3548121655.2911234</v>
      </c>
      <c r="L4170" s="444">
        <f t="shared" ca="1" si="182"/>
        <v>-855097318925.16077</v>
      </c>
      <c r="M4170" s="460">
        <f t="shared" si="184"/>
        <v>0.05</v>
      </c>
      <c r="N4170" s="464">
        <f t="shared" si="185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83"/>
        <v>-855097318925.16077</v>
      </c>
      <c r="J4171" s="444">
        <f t="array" ref="J4171">IFERROR(INDEX('Retirement Calculator'!J:J,MATCH('Isaac 401k'!N4171,'Retirement Calculator'!A:A,0),0),0)</f>
        <v>0</v>
      </c>
      <c r="K4171" s="444">
        <f t="shared" ca="1" si="181"/>
        <v>-3562905495.521503</v>
      </c>
      <c r="L4171" s="444">
        <f t="shared" ca="1" si="182"/>
        <v>-858660224420.68225</v>
      </c>
      <c r="M4171" s="460">
        <f t="shared" si="184"/>
        <v>0.05</v>
      </c>
      <c r="N4171" s="464">
        <f t="shared" si="185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83"/>
        <v>-858660224420.68225</v>
      </c>
      <c r="J4172" s="444">
        <f t="array" ref="J4172">IFERROR(INDEX('Retirement Calculator'!J:J,MATCH('Isaac 401k'!N4172,'Retirement Calculator'!A:A,0),0),0)</f>
        <v>0</v>
      </c>
      <c r="K4172" s="444">
        <f t="shared" ca="1" si="181"/>
        <v>-3577750935.0861759</v>
      </c>
      <c r="L4172" s="444">
        <f t="shared" ca="1" si="182"/>
        <v>-862237975355.76843</v>
      </c>
      <c r="M4172" s="460">
        <f t="shared" si="184"/>
        <v>0.05</v>
      </c>
      <c r="N4172" s="464">
        <f t="shared" si="185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83"/>
        <v>-862237975355.76843</v>
      </c>
      <c r="J4173" s="444">
        <f t="array" ref="J4173">IFERROR(INDEX('Retirement Calculator'!J:J,MATCH('Isaac 401k'!N4173,'Retirement Calculator'!A:A,0),0),0)</f>
        <v>0</v>
      </c>
      <c r="K4173" s="444">
        <f t="shared" ca="1" si="181"/>
        <v>-3592658230.649035</v>
      </c>
      <c r="L4173" s="444">
        <f t="shared" ca="1" si="182"/>
        <v>-865830633586.41748</v>
      </c>
      <c r="M4173" s="460">
        <f t="shared" si="184"/>
        <v>0.05</v>
      </c>
      <c r="N4173" s="464">
        <f t="shared" si="185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83"/>
        <v>-865830633586.41748</v>
      </c>
      <c r="J4174" s="444">
        <f t="array" ref="J4174">IFERROR(INDEX('Retirement Calculator'!J:J,MATCH('Isaac 401k'!N4174,'Retirement Calculator'!A:A,0),0),0)</f>
        <v>0</v>
      </c>
      <c r="K4174" s="444">
        <f t="shared" ca="1" si="181"/>
        <v>-3607627639.9434061</v>
      </c>
      <c r="L4174" s="444">
        <f t="shared" ca="1" si="182"/>
        <v>-869438261226.36084</v>
      </c>
      <c r="M4174" s="460">
        <f t="shared" si="184"/>
        <v>0.05</v>
      </c>
      <c r="N4174" s="464">
        <f t="shared" si="185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83"/>
        <v>-869438261226.36084</v>
      </c>
      <c r="J4175" s="444">
        <f t="array" ref="J4175">IFERROR(INDEX('Retirement Calculator'!J:J,MATCH('Isaac 401k'!N4175,'Retirement Calculator'!A:A,0),0),0)</f>
        <v>0</v>
      </c>
      <c r="K4175" s="444">
        <f t="shared" ca="1" si="181"/>
        <v>-3622659421.7765036</v>
      </c>
      <c r="L4175" s="444">
        <f t="shared" ca="1" si="182"/>
        <v>-873060920648.13733</v>
      </c>
      <c r="M4175" s="460">
        <f t="shared" si="184"/>
        <v>0.05</v>
      </c>
      <c r="N4175" s="464">
        <f t="shared" si="185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83"/>
        <v>-873060920648.13733</v>
      </c>
      <c r="J4176" s="444">
        <f t="array" ref="J4176">IFERROR(INDEX('Retirement Calculator'!J:J,MATCH('Isaac 401k'!N4176,'Retirement Calculator'!A:A,0),0),0)</f>
        <v>0</v>
      </c>
      <c r="K4176" s="444">
        <f t="shared" ca="1" si="181"/>
        <v>-3637753836.0339055</v>
      </c>
      <c r="L4176" s="444">
        <f t="shared" ca="1" si="182"/>
        <v>-876698674484.17126</v>
      </c>
      <c r="M4176" s="460">
        <f t="shared" si="184"/>
        <v>0.05</v>
      </c>
      <c r="N4176" s="464">
        <f t="shared" si="185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83"/>
        <v>-876698674484.17126</v>
      </c>
      <c r="J4177" s="444">
        <f t="array" ref="J4177">IFERROR(INDEX('Retirement Calculator'!J:J,MATCH('Isaac 401k'!N4177,'Retirement Calculator'!A:A,0),0),0)</f>
        <v>0</v>
      </c>
      <c r="K4177" s="444">
        <f t="shared" ca="1" si="181"/>
        <v>-3652911143.6840472</v>
      </c>
      <c r="L4177" s="444">
        <f t="shared" ca="1" si="182"/>
        <v>-880351585627.85535</v>
      </c>
      <c r="M4177" s="460">
        <f t="shared" si="184"/>
        <v>0.05</v>
      </c>
      <c r="N4177" s="464">
        <f t="shared" si="185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83"/>
        <v>-880351585627.85535</v>
      </c>
      <c r="J4178" s="444">
        <f t="array" ref="J4178">IFERROR(INDEX('Retirement Calculator'!J:J,MATCH('Isaac 401k'!N4178,'Retirement Calculator'!A:A,0),0),0)</f>
        <v>0</v>
      </c>
      <c r="K4178" s="444">
        <f t="shared" ca="1" si="181"/>
        <v>-3668131606.7827301</v>
      </c>
      <c r="L4178" s="444">
        <f t="shared" ca="1" si="182"/>
        <v>-884019717234.63806</v>
      </c>
      <c r="M4178" s="460">
        <f t="shared" si="184"/>
        <v>0.05</v>
      </c>
      <c r="N4178" s="464">
        <f t="shared" si="185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83"/>
        <v>-884019717234.63806</v>
      </c>
      <c r="J4179" s="444">
        <f t="array" ref="J4179">IFERROR(INDEX('Retirement Calculator'!J:J,MATCH('Isaac 401k'!N4179,'Retirement Calculator'!A:A,0),0),0)</f>
        <v>0</v>
      </c>
      <c r="K4179" s="444">
        <f t="shared" ca="1" si="181"/>
        <v>-3683415488.4776587</v>
      </c>
      <c r="L4179" s="444">
        <f t="shared" ca="1" si="182"/>
        <v>-887703132723.11572</v>
      </c>
      <c r="M4179" s="460">
        <f t="shared" si="184"/>
        <v>0.05</v>
      </c>
      <c r="N4179" s="464">
        <f t="shared" si="185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83"/>
        <v>-887703132723.11572</v>
      </c>
      <c r="J4180" s="444">
        <f t="array" ref="J4180">IFERROR(INDEX('Retirement Calculator'!J:J,MATCH('Isaac 401k'!N4180,'Retirement Calculator'!A:A,0),0),0)</f>
        <v>0</v>
      </c>
      <c r="K4180" s="444">
        <f t="shared" ca="1" si="181"/>
        <v>-3698763053.0129814</v>
      </c>
      <c r="L4180" s="444">
        <f t="shared" ca="1" si="182"/>
        <v>-891401895776.12866</v>
      </c>
      <c r="M4180" s="460">
        <f t="shared" si="184"/>
        <v>0.05</v>
      </c>
      <c r="N4180" s="464">
        <f t="shared" si="185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83"/>
        <v>-891401895776.12866</v>
      </c>
      <c r="J4181" s="444">
        <f t="array" ref="J4181">IFERROR(INDEX('Retirement Calculator'!J:J,MATCH('Isaac 401k'!N4181,'Retirement Calculator'!A:A,0),0),0)</f>
        <v>0</v>
      </c>
      <c r="K4181" s="444">
        <f t="shared" ca="1" si="181"/>
        <v>-3714174565.7338696</v>
      </c>
      <c r="L4181" s="444">
        <f t="shared" ca="1" si="182"/>
        <v>-895116070341.86255</v>
      </c>
      <c r="M4181" s="460">
        <f t="shared" si="184"/>
        <v>0.05</v>
      </c>
      <c r="N4181" s="464">
        <f t="shared" si="185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83"/>
        <v>-895116070341.86255</v>
      </c>
      <c r="J4182" s="444">
        <f t="array" ref="J4182">IFERROR(INDEX('Retirement Calculator'!J:J,MATCH('Isaac 401k'!N4182,'Retirement Calculator'!A:A,0),0),0)</f>
        <v>0</v>
      </c>
      <c r="K4182" s="444">
        <f t="shared" ca="1" si="181"/>
        <v>-3729650293.091094</v>
      </c>
      <c r="L4182" s="444">
        <f t="shared" ca="1" si="182"/>
        <v>-898845720634.95361</v>
      </c>
      <c r="M4182" s="460">
        <f t="shared" si="184"/>
        <v>0.05</v>
      </c>
      <c r="N4182" s="464">
        <f t="shared" si="185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83"/>
        <v>-898845720634.95361</v>
      </c>
      <c r="J4183" s="444">
        <f t="array" ref="J4183">IFERROR(INDEX('Retirement Calculator'!J:J,MATCH('Isaac 401k'!N4183,'Retirement Calculator'!A:A,0),0),0)</f>
        <v>0</v>
      </c>
      <c r="K4183" s="444">
        <f t="shared" ca="1" si="181"/>
        <v>-3745190502.6456399</v>
      </c>
      <c r="L4183" s="444">
        <f t="shared" ca="1" si="182"/>
        <v>-902590911137.59924</v>
      </c>
      <c r="M4183" s="460">
        <f t="shared" si="184"/>
        <v>0.05</v>
      </c>
      <c r="N4183" s="464">
        <f t="shared" si="185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83"/>
        <v>-902590911137.59924</v>
      </c>
      <c r="J4184" s="444">
        <f t="array" ref="J4184">IFERROR(INDEX('Retirement Calculator'!J:J,MATCH('Isaac 401k'!N4184,'Retirement Calculator'!A:A,0),0),0)</f>
        <v>0</v>
      </c>
      <c r="K4184" s="444">
        <f t="shared" ca="1" si="181"/>
        <v>-3760795463.0733299</v>
      </c>
      <c r="L4184" s="444">
        <f t="shared" ca="1" si="182"/>
        <v>-906351706600.67261</v>
      </c>
      <c r="M4184" s="460">
        <f t="shared" si="184"/>
        <v>0.05</v>
      </c>
      <c r="N4184" s="464">
        <f t="shared" si="185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83"/>
        <v>-906351706600.67261</v>
      </c>
      <c r="J4185" s="444">
        <f t="array" ref="J4185">IFERROR(INDEX('Retirement Calculator'!J:J,MATCH('Isaac 401k'!N4185,'Retirement Calculator'!A:A,0),0),0)</f>
        <v>0</v>
      </c>
      <c r="K4185" s="444">
        <f t="shared" ca="1" si="181"/>
        <v>-3776465444.1694694</v>
      </c>
      <c r="L4185" s="444">
        <f t="shared" ca="1" si="182"/>
        <v>-910128172044.84204</v>
      </c>
      <c r="M4185" s="460">
        <f t="shared" si="184"/>
        <v>0.05</v>
      </c>
      <c r="N4185" s="464">
        <f t="shared" si="185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83"/>
        <v>-910128172044.84204</v>
      </c>
      <c r="J4186" s="444">
        <f t="array" ref="J4186">IFERROR(INDEX('Retirement Calculator'!J:J,MATCH('Isaac 401k'!N4186,'Retirement Calculator'!A:A,0),0),0)</f>
        <v>0</v>
      </c>
      <c r="K4186" s="444">
        <f t="shared" ca="1" si="181"/>
        <v>-3792200716.8535085</v>
      </c>
      <c r="L4186" s="444">
        <f t="shared" ca="1" si="182"/>
        <v>-913920372761.69556</v>
      </c>
      <c r="M4186" s="460">
        <f t="shared" si="184"/>
        <v>0.05</v>
      </c>
      <c r="N4186" s="464">
        <f t="shared" si="185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83"/>
        <v>-913920372761.69556</v>
      </c>
      <c r="J4187" s="444">
        <f t="array" ref="J4187">IFERROR(INDEX('Retirement Calculator'!J:J,MATCH('Isaac 401k'!N4187,'Retirement Calculator'!A:A,0),0),0)</f>
        <v>0</v>
      </c>
      <c r="K4187" s="444">
        <f t="shared" ca="1" si="181"/>
        <v>-3808001553.1737313</v>
      </c>
      <c r="L4187" s="444">
        <f t="shared" ca="1" si="182"/>
        <v>-917728374314.86926</v>
      </c>
      <c r="M4187" s="460">
        <f t="shared" si="184"/>
        <v>0.05</v>
      </c>
      <c r="N4187" s="464">
        <f t="shared" si="185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83"/>
        <v>-917728374314.86926</v>
      </c>
      <c r="J4188" s="444">
        <f t="array" ref="J4188">IFERROR(INDEX('Retirement Calculator'!J:J,MATCH('Isaac 401k'!N4188,'Retirement Calculator'!A:A,0),0),0)</f>
        <v>0</v>
      </c>
      <c r="K4188" s="444">
        <f t="shared" ca="1" si="181"/>
        <v>-3823868226.311955</v>
      </c>
      <c r="L4188" s="444">
        <f t="shared" ca="1" si="182"/>
        <v>-921552242541.18127</v>
      </c>
      <c r="M4188" s="460">
        <f t="shared" si="184"/>
        <v>0.05</v>
      </c>
      <c r="N4188" s="464">
        <f t="shared" si="185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83"/>
        <v>-921552242541.18127</v>
      </c>
      <c r="J4189" s="444">
        <f t="array" ref="J4189">IFERROR(INDEX('Retirement Calculator'!J:J,MATCH('Isaac 401k'!N4189,'Retirement Calculator'!A:A,0),0),0)</f>
        <v>0</v>
      </c>
      <c r="K4189" s="444">
        <f t="shared" ca="1" si="181"/>
        <v>-3839801010.5882554</v>
      </c>
      <c r="L4189" s="444">
        <f t="shared" ca="1" si="182"/>
        <v>-925392043551.76953</v>
      </c>
      <c r="M4189" s="460">
        <f t="shared" si="184"/>
        <v>0.05</v>
      </c>
      <c r="N4189" s="464">
        <f t="shared" si="185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83"/>
        <v>-925392043551.76953</v>
      </c>
      <c r="J4190" s="444">
        <f t="array" ref="J4190">IFERROR(INDEX('Retirement Calculator'!J:J,MATCH('Isaac 401k'!N4190,'Retirement Calculator'!A:A,0),0),0)</f>
        <v>0</v>
      </c>
      <c r="K4190" s="444">
        <f t="shared" ca="1" si="181"/>
        <v>-3855800181.4657063</v>
      </c>
      <c r="L4190" s="444">
        <f t="shared" ca="1" si="182"/>
        <v>-929247843733.23523</v>
      </c>
      <c r="M4190" s="460">
        <f t="shared" si="184"/>
        <v>0.05</v>
      </c>
      <c r="N4190" s="464">
        <f t="shared" si="185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83"/>
        <v>-929247843733.23523</v>
      </c>
      <c r="J4191" s="444">
        <f t="array" ref="J4191">IFERROR(INDEX('Retirement Calculator'!J:J,MATCH('Isaac 401k'!N4191,'Retirement Calculator'!A:A,0),0),0)</f>
        <v>0</v>
      </c>
      <c r="K4191" s="444">
        <f t="shared" ca="1" si="181"/>
        <v>-3871866015.5551467</v>
      </c>
      <c r="L4191" s="444">
        <f t="shared" ca="1" si="182"/>
        <v>-933119709748.79041</v>
      </c>
      <c r="M4191" s="460">
        <f t="shared" si="184"/>
        <v>0.05</v>
      </c>
      <c r="N4191" s="464">
        <f t="shared" si="185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83"/>
        <v>-933119709748.79041</v>
      </c>
      <c r="J4192" s="444">
        <f t="array" ref="J4192">IFERROR(INDEX('Retirement Calculator'!J:J,MATCH('Isaac 401k'!N4192,'Retirement Calculator'!A:A,0),0),0)</f>
        <v>0</v>
      </c>
      <c r="K4192" s="444">
        <f t="shared" ca="1" si="181"/>
        <v>-3887998790.6199598</v>
      </c>
      <c r="L4192" s="444">
        <f t="shared" ca="1" si="182"/>
        <v>-937007708539.4104</v>
      </c>
      <c r="M4192" s="460">
        <f t="shared" si="184"/>
        <v>0.05</v>
      </c>
      <c r="N4192" s="464">
        <f t="shared" si="185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83"/>
        <v>-937007708539.4104</v>
      </c>
      <c r="J4193" s="444">
        <f t="array" ref="J4193">IFERROR(INDEX('Retirement Calculator'!J:J,MATCH('Isaac 401k'!N4193,'Retirement Calculator'!A:A,0),0),0)</f>
        <v>0</v>
      </c>
      <c r="K4193" s="444">
        <f t="shared" ca="1" si="181"/>
        <v>-3904198785.5808759</v>
      </c>
      <c r="L4193" s="444">
        <f t="shared" ca="1" si="182"/>
        <v>-940911907324.99133</v>
      </c>
      <c r="M4193" s="460">
        <f t="shared" si="184"/>
        <v>0.05</v>
      </c>
      <c r="N4193" s="464">
        <f t="shared" si="185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83"/>
        <v>-940911907324.99133</v>
      </c>
      <c r="J4194" s="444">
        <f t="array" ref="J4194">IFERROR(INDEX('Retirement Calculator'!J:J,MATCH('Isaac 401k'!N4194,'Retirement Calculator'!A:A,0),0),0)</f>
        <v>0</v>
      </c>
      <c r="K4194" s="444">
        <f t="shared" ca="1" si="181"/>
        <v>-3920466280.5207977</v>
      </c>
      <c r="L4194" s="444">
        <f t="shared" ca="1" si="182"/>
        <v>-944832373605.51208</v>
      </c>
      <c r="M4194" s="460">
        <f t="shared" si="184"/>
        <v>0.05</v>
      </c>
      <c r="N4194" s="464">
        <f t="shared" si="185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83"/>
        <v>-944832373605.51208</v>
      </c>
      <c r="J4195" s="444">
        <f t="array" ref="J4195">IFERROR(INDEX('Retirement Calculator'!J:J,MATCH('Isaac 401k'!N4195,'Retirement Calculator'!A:A,0),0),0)</f>
        <v>0</v>
      </c>
      <c r="K4195" s="444">
        <f t="shared" ca="1" si="181"/>
        <v>-3936801556.6896343</v>
      </c>
      <c r="L4195" s="444">
        <f t="shared" ca="1" si="182"/>
        <v>-948769175162.20166</v>
      </c>
      <c r="M4195" s="460">
        <f t="shared" si="184"/>
        <v>0.05</v>
      </c>
      <c r="N4195" s="464">
        <f t="shared" si="185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83"/>
        <v>-948769175162.20166</v>
      </c>
      <c r="J4196" s="444">
        <f t="array" ref="J4196">IFERROR(INDEX('Retirement Calculator'!J:J,MATCH('Isaac 401k'!N4196,'Retirement Calculator'!A:A,0),0),0)</f>
        <v>0</v>
      </c>
      <c r="K4196" s="444">
        <f t="shared" ca="1" si="181"/>
        <v>-3953204896.5091734</v>
      </c>
      <c r="L4196" s="444">
        <f t="shared" ca="1" si="182"/>
        <v>-952722380058.71082</v>
      </c>
      <c r="M4196" s="460">
        <f t="shared" si="184"/>
        <v>0.05</v>
      </c>
      <c r="N4196" s="464">
        <f t="shared" si="185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83"/>
        <v>-952722380058.71082</v>
      </c>
      <c r="J4197" s="444">
        <f t="array" ref="J4197">IFERROR(INDEX('Retirement Calculator'!J:J,MATCH('Isaac 401k'!N4197,'Retirement Calculator'!A:A,0),0),0)</f>
        <v>0</v>
      </c>
      <c r="K4197" s="444">
        <f t="shared" ca="1" si="181"/>
        <v>-3969676583.5779614</v>
      </c>
      <c r="L4197" s="444">
        <f t="shared" ca="1" si="182"/>
        <v>-956692056642.28882</v>
      </c>
      <c r="M4197" s="460">
        <f t="shared" si="184"/>
        <v>0.05</v>
      </c>
      <c r="N4197" s="464">
        <f t="shared" si="185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83"/>
        <v>-956692056642.28882</v>
      </c>
      <c r="J4198" s="444">
        <f t="array" ref="J4198">IFERROR(INDEX('Retirement Calculator'!J:J,MATCH('Isaac 401k'!N4198,'Retirement Calculator'!A:A,0),0),0)</f>
        <v>0</v>
      </c>
      <c r="K4198" s="444">
        <f t="shared" ca="1" si="181"/>
        <v>-3986216902.6762037</v>
      </c>
      <c r="L4198" s="444">
        <f t="shared" ca="1" si="182"/>
        <v>-960678273544.96497</v>
      </c>
      <c r="M4198" s="460">
        <f t="shared" si="184"/>
        <v>0.05</v>
      </c>
      <c r="N4198" s="464">
        <f t="shared" si="185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83"/>
        <v>-960678273544.96497</v>
      </c>
      <c r="J4199" s="444">
        <f t="array" ref="J4199">IFERROR(INDEX('Retirement Calculator'!J:J,MATCH('Isaac 401k'!N4199,'Retirement Calculator'!A:A,0),0),0)</f>
        <v>0</v>
      </c>
      <c r="K4199" s="444">
        <f t="shared" ca="1" si="181"/>
        <v>-4002826139.7706871</v>
      </c>
      <c r="L4199" s="444">
        <f t="shared" ca="1" si="182"/>
        <v>-964681099684.7356</v>
      </c>
      <c r="M4199" s="460">
        <f t="shared" si="184"/>
        <v>0.05</v>
      </c>
      <c r="N4199" s="464">
        <f t="shared" si="185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83"/>
        <v>-964681099684.7356</v>
      </c>
      <c r="J4200" s="444">
        <f t="array" ref="J4200">IFERROR(INDEX('Retirement Calculator'!J:J,MATCH('Isaac 401k'!N4200,'Retirement Calculator'!A:A,0),0),0)</f>
        <v>0</v>
      </c>
      <c r="K4200" s="444">
        <f t="shared" ca="1" si="181"/>
        <v>-4019504582.019732</v>
      </c>
      <c r="L4200" s="444">
        <f t="shared" ca="1" si="182"/>
        <v>-968700604266.75537</v>
      </c>
      <c r="M4200" s="460">
        <f t="shared" si="184"/>
        <v>0.05</v>
      </c>
      <c r="N4200" s="464">
        <f t="shared" si="185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83"/>
        <v>-968700604266.75537</v>
      </c>
      <c r="J4201" s="444">
        <f t="array" ref="J4201">IFERROR(INDEX('Retirement Calculator'!J:J,MATCH('Isaac 401k'!N4201,'Retirement Calculator'!A:A,0),0),0)</f>
        <v>0</v>
      </c>
      <c r="K4201" s="444">
        <f t="shared" ca="1" si="181"/>
        <v>-4036252517.7781472</v>
      </c>
      <c r="L4201" s="444">
        <f t="shared" ca="1" si="182"/>
        <v>-972736856784.53357</v>
      </c>
      <c r="M4201" s="460">
        <f t="shared" si="184"/>
        <v>0.05</v>
      </c>
      <c r="N4201" s="464">
        <f t="shared" si="185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83"/>
        <v>-972736856784.53357</v>
      </c>
      <c r="J4202" s="444">
        <f t="array" ref="J4202">IFERROR(INDEX('Retirement Calculator'!J:J,MATCH('Isaac 401k'!N4202,'Retirement Calculator'!A:A,0),0),0)</f>
        <v>0</v>
      </c>
      <c r="K4202" s="444">
        <f t="shared" ca="1" si="181"/>
        <v>-4053070236.6022229</v>
      </c>
      <c r="L4202" s="444">
        <f t="shared" ca="1" si="182"/>
        <v>-976789927021.13574</v>
      </c>
      <c r="M4202" s="460">
        <f t="shared" si="184"/>
        <v>0.05</v>
      </c>
      <c r="N4202" s="464">
        <f t="shared" si="185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83"/>
        <v>-976789927021.13574</v>
      </c>
      <c r="J4203" s="444">
        <f t="array" ref="J4203">IFERROR(INDEX('Retirement Calculator'!J:J,MATCH('Isaac 401k'!N4203,'Retirement Calculator'!A:A,0),0),0)</f>
        <v>0</v>
      </c>
      <c r="K4203" s="444">
        <f t="shared" ca="1" si="181"/>
        <v>-4069958029.2547321</v>
      </c>
      <c r="L4203" s="444">
        <f t="shared" ca="1" si="182"/>
        <v>-980859885050.3905</v>
      </c>
      <c r="M4203" s="460">
        <f t="shared" si="184"/>
        <v>0.05</v>
      </c>
      <c r="N4203" s="464">
        <f t="shared" si="185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83"/>
        <v>-980859885050.3905</v>
      </c>
      <c r="J4204" s="444">
        <f t="array" ref="J4204">IFERROR(INDEX('Retirement Calculator'!J:J,MATCH('Isaac 401k'!N4204,'Retirement Calculator'!A:A,0),0),0)</f>
        <v>0</v>
      </c>
      <c r="K4204" s="444">
        <f t="shared" ca="1" si="181"/>
        <v>-4086916187.7099609</v>
      </c>
      <c r="L4204" s="444">
        <f t="shared" ca="1" si="182"/>
        <v>-984946801238.10046</v>
      </c>
      <c r="M4204" s="460">
        <f t="shared" si="184"/>
        <v>0.05</v>
      </c>
      <c r="N4204" s="464">
        <f t="shared" si="185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83"/>
        <v>-984946801238.10046</v>
      </c>
      <c r="J4205" s="444">
        <f t="array" ref="J4205">IFERROR(INDEX('Retirement Calculator'!J:J,MATCH('Isaac 401k'!N4205,'Retirement Calculator'!A:A,0),0),0)</f>
        <v>0</v>
      </c>
      <c r="K4205" s="444">
        <f t="shared" ca="1" si="181"/>
        <v>-4103945005.158752</v>
      </c>
      <c r="L4205" s="444">
        <f t="shared" ca="1" si="182"/>
        <v>-989050746243.25916</v>
      </c>
      <c r="M4205" s="460">
        <f t="shared" si="184"/>
        <v>0.05</v>
      </c>
      <c r="N4205" s="464">
        <f t="shared" si="185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83"/>
        <v>-989050746243.25916</v>
      </c>
      <c r="J4206" s="444">
        <f t="array" ref="J4206">IFERROR(INDEX('Retirement Calculator'!J:J,MATCH('Isaac 401k'!N4206,'Retirement Calculator'!A:A,0),0),0)</f>
        <v>0</v>
      </c>
      <c r="K4206" s="444">
        <f t="shared" ca="1" si="181"/>
        <v>-4121044776.0135798</v>
      </c>
      <c r="L4206" s="444">
        <f t="shared" ca="1" si="182"/>
        <v>-993171791019.27271</v>
      </c>
      <c r="M4206" s="460">
        <f t="shared" si="184"/>
        <v>0.05</v>
      </c>
      <c r="N4206" s="464">
        <f t="shared" si="185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83"/>
        <v>-993171791019.27271</v>
      </c>
      <c r="J4207" s="444">
        <f t="array" ref="J4207">IFERROR(INDEX('Retirement Calculator'!J:J,MATCH('Isaac 401k'!N4207,'Retirement Calculator'!A:A,0),0),0)</f>
        <v>0</v>
      </c>
      <c r="K4207" s="444">
        <f t="shared" ca="1" si="181"/>
        <v>-4138215795.9136367</v>
      </c>
      <c r="L4207" s="444">
        <f t="shared" ca="1" si="182"/>
        <v>-997310006815.1864</v>
      </c>
      <c r="M4207" s="460">
        <f t="shared" si="184"/>
        <v>0.05</v>
      </c>
      <c r="N4207" s="464">
        <f t="shared" si="185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83"/>
        <v>-997310006815.1864</v>
      </c>
      <c r="J4208" s="444">
        <f t="array" ref="J4208">IFERROR(INDEX('Retirement Calculator'!J:J,MATCH('Isaac 401k'!N4208,'Retirement Calculator'!A:A,0),0),0)</f>
        <v>0</v>
      </c>
      <c r="K4208" s="444">
        <f t="shared" ca="1" si="181"/>
        <v>-4155458361.7299428</v>
      </c>
      <c r="L4208" s="444">
        <f t="shared" ca="1" si="182"/>
        <v>-1001465465176.9164</v>
      </c>
      <c r="M4208" s="460">
        <f t="shared" si="184"/>
        <v>0.05</v>
      </c>
      <c r="N4208" s="464">
        <f t="shared" si="185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83"/>
        <v>-1001465465176.9164</v>
      </c>
      <c r="J4209" s="444">
        <f t="array" ref="J4209">IFERROR(INDEX('Retirement Calculator'!J:J,MATCH('Isaac 401k'!N4209,'Retirement Calculator'!A:A,0),0),0)</f>
        <v>0</v>
      </c>
      <c r="K4209" s="444">
        <f t="shared" ca="1" si="181"/>
        <v>-4172772771.5704856</v>
      </c>
      <c r="L4209" s="444">
        <f t="shared" ca="1" si="182"/>
        <v>-1005638237948.4868</v>
      </c>
      <c r="M4209" s="460">
        <f t="shared" si="184"/>
        <v>0.05</v>
      </c>
      <c r="N4209" s="464">
        <f t="shared" si="185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83"/>
        <v>-1005638237948.4868</v>
      </c>
      <c r="J4210" s="444">
        <f t="array" ref="J4210">IFERROR(INDEX('Retirement Calculator'!J:J,MATCH('Isaac 401k'!N4210,'Retirement Calculator'!A:A,0),0),0)</f>
        <v>0</v>
      </c>
      <c r="K4210" s="444">
        <f t="shared" ca="1" si="181"/>
        <v>-4190159324.7853618</v>
      </c>
      <c r="L4210" s="444">
        <f t="shared" ca="1" si="182"/>
        <v>-1009828397273.2722</v>
      </c>
      <c r="M4210" s="460">
        <f t="shared" si="184"/>
        <v>0.05</v>
      </c>
      <c r="N4210" s="464">
        <f t="shared" si="185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83"/>
        <v>-1009828397273.2722</v>
      </c>
      <c r="J4211" s="444">
        <f t="array" ref="J4211">IFERROR(INDEX('Retirement Calculator'!J:J,MATCH('Isaac 401k'!N4211,'Retirement Calculator'!A:A,0),0),0)</f>
        <v>0</v>
      </c>
      <c r="K4211" s="444">
        <f t="shared" ca="1" si="181"/>
        <v>-4207618321.9719677</v>
      </c>
      <c r="L4211" s="444">
        <f t="shared" ca="1" si="182"/>
        <v>-1014036015595.2441</v>
      </c>
      <c r="M4211" s="460">
        <f t="shared" si="184"/>
        <v>0.05</v>
      </c>
      <c r="N4211" s="464">
        <f t="shared" si="185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83"/>
        <v>-1014036015595.2441</v>
      </c>
      <c r="J4212" s="444">
        <f t="array" ref="J4212">IFERROR(INDEX('Retirement Calculator'!J:J,MATCH('Isaac 401k'!N4212,'Retirement Calculator'!A:A,0),0),0)</f>
        <v>0</v>
      </c>
      <c r="K4212" s="444">
        <f t="shared" ca="1" si="181"/>
        <v>-4225150064.9801841</v>
      </c>
      <c r="L4212" s="444">
        <f t="shared" ca="1" si="182"/>
        <v>-1018261165660.2244</v>
      </c>
      <c r="M4212" s="460">
        <f t="shared" si="184"/>
        <v>0.05</v>
      </c>
      <c r="N4212" s="464">
        <f t="shared" si="185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83"/>
        <v>-1018261165660.2244</v>
      </c>
      <c r="J4213" s="444">
        <f t="array" ref="J4213">IFERROR(INDEX('Retirement Calculator'!J:J,MATCH('Isaac 401k'!N4213,'Retirement Calculator'!A:A,0),0),0)</f>
        <v>0</v>
      </c>
      <c r="K4213" s="444">
        <f t="shared" ca="1" si="181"/>
        <v>-4242754856.9176016</v>
      </c>
      <c r="L4213" s="444">
        <f t="shared" ca="1" si="182"/>
        <v>-1022503920517.142</v>
      </c>
      <c r="M4213" s="460">
        <f t="shared" si="184"/>
        <v>0.05</v>
      </c>
      <c r="N4213" s="464">
        <f t="shared" si="185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83"/>
        <v>-1022503920517.142</v>
      </c>
      <c r="J4214" s="444">
        <f t="array" ref="J4214">IFERROR(INDEX('Retirement Calculator'!J:J,MATCH('Isaac 401k'!N4214,'Retirement Calculator'!A:A,0),0),0)</f>
        <v>0</v>
      </c>
      <c r="K4214" s="444">
        <f t="shared" ca="1" si="181"/>
        <v>-4260433002.154758</v>
      </c>
      <c r="L4214" s="444">
        <f t="shared" ca="1" si="182"/>
        <v>-1026764353519.2968</v>
      </c>
      <c r="M4214" s="460">
        <f t="shared" si="184"/>
        <v>0.05</v>
      </c>
      <c r="N4214" s="464">
        <f t="shared" si="185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83"/>
        <v>-1026764353519.2968</v>
      </c>
      <c r="J4215" s="444">
        <f t="array" ref="J4215">IFERROR(INDEX('Retirement Calculator'!J:J,MATCH('Isaac 401k'!N4215,'Retirement Calculator'!A:A,0),0),0)</f>
        <v>0</v>
      </c>
      <c r="K4215" s="444">
        <f t="shared" ca="1" si="181"/>
        <v>-4278184806.3304029</v>
      </c>
      <c r="L4215" s="444">
        <f t="shared" ca="1" si="182"/>
        <v>-1031042538325.6272</v>
      </c>
      <c r="M4215" s="460">
        <f t="shared" si="184"/>
        <v>0.05</v>
      </c>
      <c r="N4215" s="464">
        <f t="shared" si="185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83"/>
        <v>-1031042538325.6272</v>
      </c>
      <c r="J4216" s="444">
        <f t="array" ref="J4216">IFERROR(INDEX('Retirement Calculator'!J:J,MATCH('Isaac 401k'!N4216,'Retirement Calculator'!A:A,0),0),0)</f>
        <v>0</v>
      </c>
      <c r="K4216" s="444">
        <f t="shared" ca="1" si="181"/>
        <v>-4296010576.3567791</v>
      </c>
      <c r="L4216" s="444">
        <f t="shared" ca="1" si="182"/>
        <v>-1035338548901.984</v>
      </c>
      <c r="M4216" s="460">
        <f t="shared" si="184"/>
        <v>0.05</v>
      </c>
      <c r="N4216" s="464">
        <f t="shared" si="185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83"/>
        <v>-1035338548901.984</v>
      </c>
      <c r="J4217" s="444">
        <f t="array" ref="J4217">IFERROR(INDEX('Retirement Calculator'!J:J,MATCH('Isaac 401k'!N4217,'Retirement Calculator'!A:A,0),0),0)</f>
        <v>0</v>
      </c>
      <c r="K4217" s="444">
        <f t="shared" ca="1" si="181"/>
        <v>-4313910620.4249334</v>
      </c>
      <c r="L4217" s="444">
        <f t="shared" ca="1" si="182"/>
        <v>-1039652459522.4089</v>
      </c>
      <c r="M4217" s="460">
        <f t="shared" si="184"/>
        <v>0.05</v>
      </c>
      <c r="N4217" s="464">
        <f t="shared" si="185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83"/>
        <v>-1039652459522.4089</v>
      </c>
      <c r="J4218" s="444">
        <f t="array" ref="J4218">IFERROR(INDEX('Retirement Calculator'!J:J,MATCH('Isaac 401k'!N4218,'Retirement Calculator'!A:A,0),0),0)</f>
        <v>0</v>
      </c>
      <c r="K4218" s="444">
        <f t="shared" ca="1" si="181"/>
        <v>-4331885248.0100365</v>
      </c>
      <c r="L4218" s="444">
        <f t="shared" ca="1" si="182"/>
        <v>-1043984344770.4189</v>
      </c>
      <c r="M4218" s="460">
        <f t="shared" si="184"/>
        <v>0.05</v>
      </c>
      <c r="N4218" s="464">
        <f t="shared" si="185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83"/>
        <v>-1043984344770.4189</v>
      </c>
      <c r="J4219" s="444">
        <f t="array" ref="J4219">IFERROR(INDEX('Retirement Calculator'!J:J,MATCH('Isaac 401k'!N4219,'Retirement Calculator'!A:A,0),0),0)</f>
        <v>0</v>
      </c>
      <c r="K4219" s="444">
        <f t="shared" ca="1" si="181"/>
        <v>-4349934769.8767462</v>
      </c>
      <c r="L4219" s="444">
        <f t="shared" ca="1" si="182"/>
        <v>-1048334279540.2957</v>
      </c>
      <c r="M4219" s="460">
        <f t="shared" si="184"/>
        <v>0.05</v>
      </c>
      <c r="N4219" s="464">
        <f t="shared" si="185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83"/>
        <v>-1048334279540.2957</v>
      </c>
      <c r="J4220" s="444">
        <f t="array" ref="J4220">IFERROR(INDEX('Retirement Calculator'!J:J,MATCH('Isaac 401k'!N4220,'Retirement Calculator'!A:A,0),0),0)</f>
        <v>0</v>
      </c>
      <c r="K4220" s="444">
        <f t="shared" ca="1" si="181"/>
        <v>-4368059498.0845642</v>
      </c>
      <c r="L4220" s="444">
        <f t="shared" ca="1" si="182"/>
        <v>-1052702339038.3802</v>
      </c>
      <c r="M4220" s="460">
        <f t="shared" si="184"/>
        <v>0.05</v>
      </c>
      <c r="N4220" s="464">
        <f t="shared" si="185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83"/>
        <v>-1052702339038.3802</v>
      </c>
      <c r="J4221" s="444">
        <f t="array" ref="J4221">IFERROR(INDEX('Retirement Calculator'!J:J,MATCH('Isaac 401k'!N4221,'Retirement Calculator'!A:A,0),0),0)</f>
        <v>0</v>
      </c>
      <c r="K4221" s="444">
        <f t="shared" ca="1" si="181"/>
        <v>-4386259745.9932508</v>
      </c>
      <c r="L4221" s="444">
        <f t="shared" ca="1" si="182"/>
        <v>-1057088598784.3735</v>
      </c>
      <c r="M4221" s="460">
        <f t="shared" si="184"/>
        <v>0.05</v>
      </c>
      <c r="N4221" s="464">
        <f t="shared" si="185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83"/>
        <v>-1057088598784.3735</v>
      </c>
      <c r="J4222" s="444">
        <f t="array" ref="J4222">IFERROR(INDEX('Retirement Calculator'!J:J,MATCH('Isaac 401k'!N4222,'Retirement Calculator'!A:A,0),0),0)</f>
        <v>0</v>
      </c>
      <c r="K4222" s="444">
        <f t="shared" ca="1" si="181"/>
        <v>-4404535828.2682228</v>
      </c>
      <c r="L4222" s="444">
        <f t="shared" ca="1" si="182"/>
        <v>-1061493134612.6417</v>
      </c>
      <c r="M4222" s="460">
        <f t="shared" si="184"/>
        <v>0.05</v>
      </c>
      <c r="N4222" s="464">
        <f t="shared" si="185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83"/>
        <v>-1061493134612.6417</v>
      </c>
      <c r="J4223" s="444">
        <f t="array" ref="J4223">IFERROR(INDEX('Retirement Calculator'!J:J,MATCH('Isaac 401k'!N4223,'Retirement Calculator'!A:A,0),0),0)</f>
        <v>0</v>
      </c>
      <c r="K4223" s="444">
        <f t="shared" ca="1" si="181"/>
        <v>-4422888060.8860073</v>
      </c>
      <c r="L4223" s="444">
        <f t="shared" ca="1" si="182"/>
        <v>-1065916022673.5277</v>
      </c>
      <c r="M4223" s="460">
        <f t="shared" si="184"/>
        <v>0.05</v>
      </c>
      <c r="N4223" s="464">
        <f t="shared" si="185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83"/>
        <v>-1065916022673.5277</v>
      </c>
      <c r="J4224" s="444">
        <f t="array" ref="J4224">IFERROR(INDEX('Retirement Calculator'!J:J,MATCH('Isaac 401k'!N4224,'Retirement Calculator'!A:A,0),0),0)</f>
        <v>0</v>
      </c>
      <c r="K4224" s="444">
        <f t="shared" ca="1" si="181"/>
        <v>-4441316761.139699</v>
      </c>
      <c r="L4224" s="444">
        <f t="shared" ca="1" si="182"/>
        <v>-1070357339434.6674</v>
      </c>
      <c r="M4224" s="460">
        <f t="shared" si="184"/>
        <v>0.05</v>
      </c>
      <c r="N4224" s="464">
        <f t="shared" si="185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83"/>
        <v>-1070357339434.6674</v>
      </c>
      <c r="J4225" s="444">
        <f t="array" ref="J4225">IFERROR(INDEX('Retirement Calculator'!J:J,MATCH('Isaac 401k'!N4225,'Retirement Calculator'!A:A,0),0),0)</f>
        <v>0</v>
      </c>
      <c r="K4225" s="444">
        <f t="shared" ca="1" si="181"/>
        <v>-4459822247.6444473</v>
      </c>
      <c r="L4225" s="444">
        <f t="shared" ca="1" si="182"/>
        <v>-1074817161682.3118</v>
      </c>
      <c r="M4225" s="460">
        <f t="shared" si="184"/>
        <v>0.05</v>
      </c>
      <c r="N4225" s="464">
        <f t="shared" si="185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83"/>
        <v>-1074817161682.3118</v>
      </c>
      <c r="J4226" s="444">
        <f t="array" ref="J4226">IFERROR(INDEX('Retirement Calculator'!J:J,MATCH('Isaac 401k'!N4226,'Retirement Calculator'!A:A,0),0),0)</f>
        <v>0</v>
      </c>
      <c r="K4226" s="444">
        <f t="shared" ca="1" si="181"/>
        <v>-4478404840.3429661</v>
      </c>
      <c r="L4226" s="444">
        <f t="shared" ca="1" si="182"/>
        <v>-1079295566522.6548</v>
      </c>
      <c r="M4226" s="460">
        <f t="shared" si="184"/>
        <v>0.05</v>
      </c>
      <c r="N4226" s="464">
        <f t="shared" si="185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83"/>
        <v>-1079295566522.6548</v>
      </c>
      <c r="J4227" s="444">
        <f t="array" ref="J4227">IFERROR(INDEX('Retirement Calculator'!J:J,MATCH('Isaac 401k'!N4227,'Retirement Calculator'!A:A,0),0),0)</f>
        <v>0</v>
      </c>
      <c r="K4227" s="444">
        <f t="shared" ca="1" si="181"/>
        <v>-4497064860.5110607</v>
      </c>
      <c r="L4227" s="444">
        <f t="shared" ca="1" si="182"/>
        <v>-1083792631383.1659</v>
      </c>
      <c r="M4227" s="460">
        <f t="shared" si="184"/>
        <v>0.05</v>
      </c>
      <c r="N4227" s="464">
        <f t="shared" si="185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83"/>
        <v>-1083792631383.1659</v>
      </c>
      <c r="J4228" s="444">
        <f t="array" ref="J4228">IFERROR(INDEX('Retirement Calculator'!J:J,MATCH('Isaac 401k'!N4228,'Retirement Calculator'!A:A,0),0),0)</f>
        <v>0</v>
      </c>
      <c r="K4228" s="444">
        <f t="shared" ca="1" si="181"/>
        <v>-4515802630.7631912</v>
      </c>
      <c r="L4228" s="444">
        <f t="shared" ca="1" si="182"/>
        <v>-1088308434013.9291</v>
      </c>
      <c r="M4228" s="460">
        <f t="shared" si="184"/>
        <v>0.05</v>
      </c>
      <c r="N4228" s="464">
        <f t="shared" si="185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83"/>
        <v>-1088308434013.9291</v>
      </c>
      <c r="J4229" s="444">
        <f t="array" ref="J4229">IFERROR(INDEX('Retirement Calculator'!J:J,MATCH('Isaac 401k'!N4229,'Retirement Calculator'!A:A,0),0),0)</f>
        <v>0</v>
      </c>
      <c r="K4229" s="444">
        <f t="shared" ca="1" si="181"/>
        <v>-4534618475.0580378</v>
      </c>
      <c r="L4229" s="444">
        <f t="shared" ca="1" si="182"/>
        <v>-1092843052488.9871</v>
      </c>
      <c r="M4229" s="460">
        <f t="shared" si="184"/>
        <v>0.05</v>
      </c>
      <c r="N4229" s="464">
        <f t="shared" si="185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83"/>
        <v>-1092843052488.9871</v>
      </c>
      <c r="J4230" s="444">
        <f t="array" ref="J4230">IFERROR(INDEX('Retirement Calculator'!J:J,MATCH('Isaac 401k'!N4230,'Retirement Calculator'!A:A,0),0),0)</f>
        <v>0</v>
      </c>
      <c r="K4230" s="444">
        <f t="shared" ca="1" si="181"/>
        <v>-4553512718.704113</v>
      </c>
      <c r="L4230" s="444">
        <f t="shared" ca="1" si="182"/>
        <v>-1097396565207.6912</v>
      </c>
      <c r="M4230" s="460">
        <f t="shared" si="184"/>
        <v>0.05</v>
      </c>
      <c r="N4230" s="464">
        <f t="shared" si="185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83"/>
        <v>-1097396565207.6912</v>
      </c>
      <c r="J4231" s="444">
        <f t="array" ref="J4231">IFERROR(INDEX('Retirement Calculator'!J:J,MATCH('Isaac 401k'!N4231,'Retirement Calculator'!A:A,0),0),0)</f>
        <v>0</v>
      </c>
      <c r="K4231" s="444">
        <f t="shared" ca="1" si="181"/>
        <v>-4572485688.3653793</v>
      </c>
      <c r="L4231" s="444">
        <f t="shared" ca="1" si="182"/>
        <v>-1101969050896.0566</v>
      </c>
      <c r="M4231" s="460">
        <f t="shared" si="184"/>
        <v>0.05</v>
      </c>
      <c r="N4231" s="464">
        <f t="shared" si="185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83"/>
        <v>-1101969050896.0566</v>
      </c>
      <c r="J4232" s="444">
        <f t="array" ref="J4232">IFERROR(INDEX('Retirement Calculator'!J:J,MATCH('Isaac 401k'!N4232,'Retirement Calculator'!A:A,0),0),0)</f>
        <v>0</v>
      </c>
      <c r="K4232" s="444">
        <f t="shared" ca="1" si="181"/>
        <v>-4591537712.0669022</v>
      </c>
      <c r="L4232" s="444">
        <f t="shared" ca="1" si="182"/>
        <v>-1106560588608.1235</v>
      </c>
      <c r="M4232" s="460">
        <f t="shared" si="184"/>
        <v>0.05</v>
      </c>
      <c r="N4232" s="464">
        <f t="shared" si="185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83"/>
        <v>-1106560588608.1235</v>
      </c>
      <c r="J4233" s="444">
        <f t="array" ref="J4233">IFERROR(INDEX('Retirement Calculator'!J:J,MATCH('Isaac 401k'!N4233,'Retirement Calculator'!A:A,0),0),0)</f>
        <v>0</v>
      </c>
      <c r="K4233" s="444">
        <f t="shared" ca="1" si="181"/>
        <v>-4610669119.2005148</v>
      </c>
      <c r="L4233" s="444">
        <f t="shared" ca="1" si="182"/>
        <v>-1111171257727.324</v>
      </c>
      <c r="M4233" s="460">
        <f t="shared" si="184"/>
        <v>0.05</v>
      </c>
      <c r="N4233" s="464">
        <f t="shared" si="185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83"/>
        <v>-1111171257727.324</v>
      </c>
      <c r="J4234" s="444">
        <f t="array" ref="J4234">IFERROR(INDEX('Retirement Calculator'!J:J,MATCH('Isaac 401k'!N4234,'Retirement Calculator'!A:A,0),0),0)</f>
        <v>0</v>
      </c>
      <c r="K4234" s="444">
        <f t="shared" ca="1" si="181"/>
        <v>-4629880240.5305166</v>
      </c>
      <c r="L4234" s="444">
        <f t="shared" ca="1" si="182"/>
        <v>-1115801137967.8545</v>
      </c>
      <c r="M4234" s="460">
        <f t="shared" si="184"/>
        <v>0.05</v>
      </c>
      <c r="N4234" s="464">
        <f t="shared" si="185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83"/>
        <v>-1115801137967.8545</v>
      </c>
      <c r="J4235" s="444">
        <f t="array" ref="J4235">IFERROR(INDEX('Retirement Calculator'!J:J,MATCH('Isaac 401k'!N4235,'Retirement Calculator'!A:A,0),0),0)</f>
        <v>0</v>
      </c>
      <c r="K4235" s="444">
        <f t="shared" ca="1" si="181"/>
        <v>-4649171408.1993933</v>
      </c>
      <c r="L4235" s="444">
        <f t="shared" ca="1" si="182"/>
        <v>-1120450309376.054</v>
      </c>
      <c r="M4235" s="460">
        <f t="shared" si="184"/>
        <v>0.05</v>
      </c>
      <c r="N4235" s="464">
        <f t="shared" si="185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83"/>
        <v>-1120450309376.054</v>
      </c>
      <c r="J4236" s="444">
        <f t="array" ref="J4236">IFERROR(INDEX('Retirement Calculator'!J:J,MATCH('Isaac 401k'!N4236,'Retirement Calculator'!A:A,0),0),0)</f>
        <v>0</v>
      </c>
      <c r="K4236" s="444">
        <f t="shared" ca="1" si="181"/>
        <v>-4668542955.7335577</v>
      </c>
      <c r="L4236" s="444">
        <f t="shared" ca="1" si="182"/>
        <v>-1125118852331.7876</v>
      </c>
      <c r="M4236" s="460">
        <f t="shared" si="184"/>
        <v>0.05</v>
      </c>
      <c r="N4236" s="464">
        <f t="shared" si="185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83"/>
        <v>-1125118852331.7876</v>
      </c>
      <c r="J4237" s="444">
        <f t="array" ref="J4237">IFERROR(INDEX('Retirement Calculator'!J:J,MATCH('Isaac 401k'!N4237,'Retirement Calculator'!A:A,0),0),0)</f>
        <v>0</v>
      </c>
      <c r="K4237" s="444">
        <f t="shared" ca="1" si="181"/>
        <v>-4687995218.0491152</v>
      </c>
      <c r="L4237" s="444">
        <f t="shared" ca="1" si="182"/>
        <v>-1129806847549.8367</v>
      </c>
      <c r="M4237" s="460">
        <f t="shared" si="184"/>
        <v>0.05</v>
      </c>
      <c r="N4237" s="464">
        <f t="shared" si="185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83"/>
        <v>-1129806847549.8367</v>
      </c>
      <c r="J4238" s="444">
        <f t="array" ref="J4238">IFERROR(INDEX('Retirement Calculator'!J:J,MATCH('Isaac 401k'!N4238,'Retirement Calculator'!A:A,0),0),0)</f>
        <v>0</v>
      </c>
      <c r="K4238" s="444">
        <f t="shared" ca="1" si="181"/>
        <v>-4707528531.457653</v>
      </c>
      <c r="L4238" s="444">
        <f t="shared" ca="1" si="182"/>
        <v>-1134514376081.2944</v>
      </c>
      <c r="M4238" s="460">
        <f t="shared" si="184"/>
        <v>0.05</v>
      </c>
      <c r="N4238" s="464">
        <f t="shared" si="185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83"/>
        <v>-1134514376081.2944</v>
      </c>
      <c r="J4239" s="444">
        <f t="array" ref="J4239">IFERROR(INDEX('Retirement Calculator'!J:J,MATCH('Isaac 401k'!N4239,'Retirement Calculator'!A:A,0),0),0)</f>
        <v>0</v>
      </c>
      <c r="K4239" s="444">
        <f t="shared" ca="1" si="181"/>
        <v>-4727143233.67206</v>
      </c>
      <c r="L4239" s="444">
        <f t="shared" ca="1" si="182"/>
        <v>-1139241519314.9666</v>
      </c>
      <c r="M4239" s="460">
        <f t="shared" si="184"/>
        <v>0.05</v>
      </c>
      <c r="N4239" s="464">
        <f t="shared" si="185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83"/>
        <v>-1139241519314.9666</v>
      </c>
      <c r="J4240" s="444">
        <f t="array" ref="J4240">IFERROR(INDEX('Retirement Calculator'!J:J,MATCH('Isaac 401k'!N4240,'Retirement Calculator'!A:A,0),0),0)</f>
        <v>0</v>
      </c>
      <c r="K4240" s="444">
        <f t="shared" ca="1" si="181"/>
        <v>-4746839663.8123608</v>
      </c>
      <c r="L4240" s="444">
        <f t="shared" ca="1" si="182"/>
        <v>-1143988358978.7788</v>
      </c>
      <c r="M4240" s="460">
        <f t="shared" si="184"/>
        <v>0.05</v>
      </c>
      <c r="N4240" s="464">
        <f t="shared" si="185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83"/>
        <v>-1143988358978.7788</v>
      </c>
      <c r="J4241" s="444">
        <f t="array" ref="J4241">IFERROR(INDEX('Retirement Calculator'!J:J,MATCH('Isaac 401k'!N4241,'Retirement Calculator'!A:A,0),0),0)</f>
        <v>0</v>
      </c>
      <c r="K4241" s="444">
        <f t="shared" ca="1" si="181"/>
        <v>-4766618162.4115782</v>
      </c>
      <c r="L4241" s="444">
        <f t="shared" ca="1" si="182"/>
        <v>-1148754977141.1904</v>
      </c>
      <c r="M4241" s="460">
        <f t="shared" si="184"/>
        <v>0.05</v>
      </c>
      <c r="N4241" s="464">
        <f t="shared" si="185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83"/>
        <v>-1148754977141.1904</v>
      </c>
      <c r="J4242" s="444">
        <f t="array" ref="J4242">IFERROR(INDEX('Retirement Calculator'!J:J,MATCH('Isaac 401k'!N4242,'Retirement Calculator'!A:A,0),0),0)</f>
        <v>0</v>
      </c>
      <c r="K4242" s="444">
        <f t="shared" ca="1" si="181"/>
        <v>-4786479071.421627</v>
      </c>
      <c r="L4242" s="444">
        <f t="shared" ca="1" si="182"/>
        <v>-1153541456212.6121</v>
      </c>
      <c r="M4242" s="460">
        <f t="shared" si="184"/>
        <v>0.05</v>
      </c>
      <c r="N4242" s="464">
        <f t="shared" si="185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83"/>
        <v>-1153541456212.6121</v>
      </c>
      <c r="J4243" s="444">
        <f t="array" ref="J4243">IFERROR(INDEX('Retirement Calculator'!J:J,MATCH('Isaac 401k'!N4243,'Retirement Calculator'!A:A,0),0),0)</f>
        <v>0</v>
      </c>
      <c r="K4243" s="444">
        <f t="shared" ca="1" si="181"/>
        <v>-4806422734.2192173</v>
      </c>
      <c r="L4243" s="444">
        <f t="shared" ca="1" si="182"/>
        <v>-1158347878946.8313</v>
      </c>
      <c r="M4243" s="460">
        <f t="shared" si="184"/>
        <v>0.05</v>
      </c>
      <c r="N4243" s="464">
        <f t="shared" si="185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83"/>
        <v>-1158347878946.8313</v>
      </c>
      <c r="J4244" s="444">
        <f t="array" ref="J4244">IFERROR(INDEX('Retirement Calculator'!J:J,MATCH('Isaac 401k'!N4244,'Retirement Calculator'!A:A,0),0),0)</f>
        <v>0</v>
      </c>
      <c r="K4244" s="444">
        <f t="shared" ca="1" si="181"/>
        <v>-4826449495.6117973</v>
      </c>
      <c r="L4244" s="444">
        <f t="shared" ca="1" si="182"/>
        <v>-1163174328442.4431</v>
      </c>
      <c r="M4244" s="460">
        <f t="shared" si="184"/>
        <v>0.05</v>
      </c>
      <c r="N4244" s="464">
        <f t="shared" si="185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83"/>
        <v>-1163174328442.4431</v>
      </c>
      <c r="J4245" s="444">
        <f t="array" ref="J4245">IFERROR(INDEX('Retirement Calculator'!J:J,MATCH('Isaac 401k'!N4245,'Retirement Calculator'!A:A,0),0),0)</f>
        <v>0</v>
      </c>
      <c r="K4245" s="444">
        <f t="shared" ca="1" si="181"/>
        <v>-4846559701.8435125</v>
      </c>
      <c r="L4245" s="444">
        <f t="shared" ca="1" si="182"/>
        <v>-1168020888144.2866</v>
      </c>
      <c r="M4245" s="460">
        <f t="shared" si="184"/>
        <v>0.05</v>
      </c>
      <c r="N4245" s="464">
        <f t="shared" si="185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83"/>
        <v>-1168020888144.2866</v>
      </c>
      <c r="J4246" s="444">
        <f t="array" ref="J4246">IFERROR(INDEX('Retirement Calculator'!J:J,MATCH('Isaac 401k'!N4246,'Retirement Calculator'!A:A,0),0),0)</f>
        <v>0</v>
      </c>
      <c r="K4246" s="444">
        <f t="shared" ca="1" si="181"/>
        <v>-4866753700.6011944</v>
      </c>
      <c r="L4246" s="444">
        <f t="shared" ca="1" si="182"/>
        <v>-1172887641844.8877</v>
      </c>
      <c r="M4246" s="460">
        <f t="shared" si="184"/>
        <v>0.05</v>
      </c>
      <c r="N4246" s="464">
        <f t="shared" si="185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83"/>
        <v>-1172887641844.8877</v>
      </c>
      <c r="J4247" s="444">
        <f t="array" ref="J4247">IFERROR(INDEX('Retirement Calculator'!J:J,MATCH('Isaac 401k'!N4247,'Retirement Calculator'!A:A,0),0),0)</f>
        <v>0</v>
      </c>
      <c r="K4247" s="444">
        <f t="shared" ca="1" si="181"/>
        <v>-4887031841.0203657</v>
      </c>
      <c r="L4247" s="444">
        <f t="shared" ca="1" si="182"/>
        <v>-1177774673685.908</v>
      </c>
      <c r="M4247" s="460">
        <f t="shared" si="184"/>
        <v>0.05</v>
      </c>
      <c r="N4247" s="464">
        <f t="shared" si="185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83"/>
        <v>-1177774673685.908</v>
      </c>
      <c r="J4248" s="444">
        <f t="array" ref="J4248">IFERROR(INDEX('Retirement Calculator'!J:J,MATCH('Isaac 401k'!N4248,'Retirement Calculator'!A:A,0),0),0)</f>
        <v>0</v>
      </c>
      <c r="K4248" s="444">
        <f t="shared" ca="1" si="181"/>
        <v>-4907394473.6912832</v>
      </c>
      <c r="L4248" s="444">
        <f t="shared" ca="1" si="182"/>
        <v>-1182682068159.5991</v>
      </c>
      <c r="M4248" s="460">
        <f t="shared" si="184"/>
        <v>0.05</v>
      </c>
      <c r="N4248" s="464">
        <f t="shared" si="185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83"/>
        <v>-1182682068159.5991</v>
      </c>
      <c r="J4249" s="444">
        <f t="array" ref="J4249">IFERROR(INDEX('Retirement Calculator'!J:J,MATCH('Isaac 401k'!N4249,'Retirement Calculator'!A:A,0),0),0)</f>
        <v>0</v>
      </c>
      <c r="K4249" s="444">
        <f t="shared" ca="1" si="181"/>
        <v>-4927841950.6649961</v>
      </c>
      <c r="L4249" s="444">
        <f t="shared" ca="1" si="182"/>
        <v>-1187609910110.2642</v>
      </c>
      <c r="M4249" s="460">
        <f t="shared" si="184"/>
        <v>0.05</v>
      </c>
      <c r="N4249" s="464">
        <f t="shared" si="185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83"/>
        <v>-1187609910110.2642</v>
      </c>
      <c r="J4250" s="444">
        <f t="array" ref="J4250">IFERROR(INDEX('Retirement Calculator'!J:J,MATCH('Isaac 401k'!N4250,'Retirement Calculator'!A:A,0),0),0)</f>
        <v>0</v>
      </c>
      <c r="K4250" s="444">
        <f t="shared" ca="1" si="181"/>
        <v>-4948374625.4594336</v>
      </c>
      <c r="L4250" s="444">
        <f t="shared" ca="1" si="182"/>
        <v>-1192558284735.7236</v>
      </c>
      <c r="M4250" s="460">
        <f t="shared" si="184"/>
        <v>0.05</v>
      </c>
      <c r="N4250" s="464">
        <f t="shared" si="185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83"/>
        <v>-1192558284735.7236</v>
      </c>
      <c r="J4251" s="444">
        <f t="array" ref="J4251">IFERROR(INDEX('Retirement Calculator'!J:J,MATCH('Isaac 401k'!N4251,'Retirement Calculator'!A:A,0),0),0)</f>
        <v>0</v>
      </c>
      <c r="K4251" s="444">
        <f t="shared" ca="1" si="181"/>
        <v>-4968992853.0655155</v>
      </c>
      <c r="L4251" s="444">
        <f t="shared" ca="1" si="182"/>
        <v>-1197527277588.7891</v>
      </c>
      <c r="M4251" s="460">
        <f t="shared" si="184"/>
        <v>0.05</v>
      </c>
      <c r="N4251" s="464">
        <f t="shared" si="185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83"/>
        <v>-1197527277588.7891</v>
      </c>
      <c r="J4252" s="444">
        <f t="array" ref="J4252">IFERROR(INDEX('Retirement Calculator'!J:J,MATCH('Isaac 401k'!N4252,'Retirement Calculator'!A:A,0),0),0)</f>
        <v>0</v>
      </c>
      <c r="K4252" s="444">
        <f t="shared" ca="1" si="181"/>
        <v>-4989696989.9532881</v>
      </c>
      <c r="L4252" s="444">
        <f t="shared" ca="1" si="182"/>
        <v>-1202516974578.7424</v>
      </c>
      <c r="M4252" s="460">
        <f t="shared" si="184"/>
        <v>0.05</v>
      </c>
      <c r="N4252" s="464">
        <f t="shared" si="185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83"/>
        <v>-1202516974578.7424</v>
      </c>
      <c r="J4253" s="444">
        <f t="array" ref="J4253">IFERROR(INDEX('Retirement Calculator'!J:J,MATCH('Isaac 401k'!N4253,'Retirement Calculator'!A:A,0),0),0)</f>
        <v>0</v>
      </c>
      <c r="K4253" s="444">
        <f t="shared" ca="1" si="181"/>
        <v>-5010487394.0780935</v>
      </c>
      <c r="L4253" s="444">
        <f t="shared" ca="1" si="182"/>
        <v>-1207527461972.8206</v>
      </c>
      <c r="M4253" s="460">
        <f t="shared" si="184"/>
        <v>0.05</v>
      </c>
      <c r="N4253" s="464">
        <f t="shared" si="185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83"/>
        <v>-1207527461972.8206</v>
      </c>
      <c r="J4254" s="444">
        <f t="array" ref="J4254">IFERROR(INDEX('Retirement Calculator'!J:J,MATCH('Isaac 401k'!N4254,'Retirement Calculator'!A:A,0),0),0)</f>
        <v>0</v>
      </c>
      <c r="K4254" s="444">
        <f t="shared" ca="1" si="181"/>
        <v>-5031364424.8867521</v>
      </c>
      <c r="L4254" s="444">
        <f t="shared" ca="1" si="182"/>
        <v>-1212558826397.7073</v>
      </c>
      <c r="M4254" s="460">
        <f t="shared" si="184"/>
        <v>0.05</v>
      </c>
      <c r="N4254" s="464">
        <f t="shared" si="185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83"/>
        <v>-1212558826397.7073</v>
      </c>
      <c r="J4255" s="444">
        <f t="array" ref="J4255">IFERROR(INDEX('Retirement Calculator'!J:J,MATCH('Isaac 401k'!N4255,'Retirement Calculator'!A:A,0),0),0)</f>
        <v>0</v>
      </c>
      <c r="K4255" s="444">
        <f t="shared" ca="1" si="181"/>
        <v>-5052328443.3237801</v>
      </c>
      <c r="L4255" s="444">
        <f t="shared" ca="1" si="182"/>
        <v>-1217611154841.031</v>
      </c>
      <c r="M4255" s="460">
        <f t="shared" si="184"/>
        <v>0.05</v>
      </c>
      <c r="N4255" s="464">
        <f t="shared" si="185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83"/>
        <v>-1217611154841.031</v>
      </c>
      <c r="J4256" s="444">
        <f t="array" ref="J4256">IFERROR(INDEX('Retirement Calculator'!J:J,MATCH('Isaac 401k'!N4256,'Retirement Calculator'!A:A,0),0),0)</f>
        <v>0</v>
      </c>
      <c r="K4256" s="444">
        <f t="shared" ca="1" si="181"/>
        <v>-5073379811.8376293</v>
      </c>
      <c r="L4256" s="444">
        <f t="shared" ca="1" si="182"/>
        <v>-1222684534652.8687</v>
      </c>
      <c r="M4256" s="460">
        <f t="shared" si="184"/>
        <v>0.05</v>
      </c>
      <c r="N4256" s="464">
        <f t="shared" si="185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83"/>
        <v>-1222684534652.8687</v>
      </c>
      <c r="J4257" s="444">
        <f t="array" ref="J4257">IFERROR(INDEX('Retirement Calculator'!J:J,MATCH('Isaac 401k'!N4257,'Retirement Calculator'!A:A,0),0),0)</f>
        <v>0</v>
      </c>
      <c r="K4257" s="444">
        <f t="shared" ca="1" si="181"/>
        <v>-5094518894.3869524</v>
      </c>
      <c r="L4257" s="444">
        <f t="shared" ca="1" si="182"/>
        <v>-1227779053547.2556</v>
      </c>
      <c r="M4257" s="460">
        <f t="shared" si="184"/>
        <v>0.05</v>
      </c>
      <c r="N4257" s="464">
        <f t="shared" si="185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83"/>
        <v>-1227779053547.2556</v>
      </c>
      <c r="J4258" s="444">
        <f t="array" ref="J4258">IFERROR(INDEX('Retirement Calculator'!J:J,MATCH('Isaac 401k'!N4258,'Retirement Calculator'!A:A,0),0),0)</f>
        <v>0</v>
      </c>
      <c r="K4258" s="444">
        <f t="shared" ca="1" si="181"/>
        <v>-5115746056.4468985</v>
      </c>
      <c r="L4258" s="444">
        <f t="shared" ca="1" si="182"/>
        <v>-1232894799603.7024</v>
      </c>
      <c r="M4258" s="460">
        <f t="shared" si="184"/>
        <v>0.05</v>
      </c>
      <c r="N4258" s="464">
        <f t="shared" si="185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83"/>
        <v>-1232894799603.7024</v>
      </c>
      <c r="J4259" s="444">
        <f t="array" ref="J4259">IFERROR(INDEX('Retirement Calculator'!J:J,MATCH('Isaac 401k'!N4259,'Retirement Calculator'!A:A,0),0),0)</f>
        <v>0</v>
      </c>
      <c r="K4259" s="444">
        <f t="shared" ca="1" si="181"/>
        <v>-5137061665.0154266</v>
      </c>
      <c r="L4259" s="444">
        <f t="shared" ca="1" si="182"/>
        <v>-1238031861268.7178</v>
      </c>
      <c r="M4259" s="460">
        <f t="shared" si="184"/>
        <v>0.05</v>
      </c>
      <c r="N4259" s="464">
        <f t="shared" si="185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83"/>
        <v>-1238031861268.7178</v>
      </c>
      <c r="J4260" s="444">
        <f t="array" ref="J4260">IFERROR(INDEX('Retirement Calculator'!J:J,MATCH('Isaac 401k'!N4260,'Retirement Calculator'!A:A,0),0),0)</f>
        <v>0</v>
      </c>
      <c r="K4260" s="444">
        <f t="shared" ca="1" si="181"/>
        <v>-5158466088.6196575</v>
      </c>
      <c r="L4260" s="444">
        <f t="shared" ca="1" si="182"/>
        <v>-1243190327357.3374</v>
      </c>
      <c r="M4260" s="460">
        <f t="shared" si="184"/>
        <v>0.05</v>
      </c>
      <c r="N4260" s="464">
        <f t="shared" si="185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83"/>
        <v>-1243190327357.3374</v>
      </c>
      <c r="J4261" s="444">
        <f t="array" ref="J4261">IFERROR(INDEX('Retirement Calculator'!J:J,MATCH('Isaac 401k'!N4261,'Retirement Calculator'!A:A,0),0),0)</f>
        <v>0</v>
      </c>
      <c r="K4261" s="444">
        <f t="shared" ca="1" si="181"/>
        <v>-5179959697.3222389</v>
      </c>
      <c r="L4261" s="444">
        <f t="shared" ca="1" si="182"/>
        <v>-1248370287054.6597</v>
      </c>
      <c r="M4261" s="460">
        <f t="shared" si="184"/>
        <v>0.05</v>
      </c>
      <c r="N4261" s="464">
        <f t="shared" si="185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83"/>
        <v>-1248370287054.6597</v>
      </c>
      <c r="J4262" s="444">
        <f t="array" ref="J4262">IFERROR(INDEX('Retirement Calculator'!J:J,MATCH('Isaac 401k'!N4262,'Retirement Calculator'!A:A,0),0),0)</f>
        <v>0</v>
      </c>
      <c r="K4262" s="444">
        <f t="shared" ca="1" si="181"/>
        <v>-5201542862.7277489</v>
      </c>
      <c r="L4262" s="444">
        <f t="shared" ca="1" si="182"/>
        <v>-1253571829917.3875</v>
      </c>
      <c r="M4262" s="460">
        <f t="shared" si="184"/>
        <v>0.05</v>
      </c>
      <c r="N4262" s="464">
        <f t="shared" si="185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83"/>
        <v>-1253571829917.3875</v>
      </c>
      <c r="J4263" s="444">
        <f t="array" ref="J4263">IFERROR(INDEX('Retirement Calculator'!J:J,MATCH('Isaac 401k'!N4263,'Retirement Calculator'!A:A,0),0),0)</f>
        <v>0</v>
      </c>
      <c r="K4263" s="444">
        <f t="shared" ca="1" si="181"/>
        <v>-5223215957.9891148</v>
      </c>
      <c r="L4263" s="444">
        <f t="shared" ca="1" si="182"/>
        <v>-1258795045875.3765</v>
      </c>
      <c r="M4263" s="460">
        <f t="shared" si="184"/>
        <v>0.05</v>
      </c>
      <c r="N4263" s="464">
        <f t="shared" si="185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83"/>
        <v>-1258795045875.3765</v>
      </c>
      <c r="J4264" s="444">
        <f t="array" ref="J4264">IFERROR(INDEX('Retirement Calculator'!J:J,MATCH('Isaac 401k'!N4264,'Retirement Calculator'!A:A,0),0),0)</f>
        <v>0</v>
      </c>
      <c r="K4264" s="444">
        <f t="shared" ca="1" si="181"/>
        <v>-5244979357.8140688</v>
      </c>
      <c r="L4264" s="444">
        <f t="shared" ca="1" si="182"/>
        <v>-1264040025233.1904</v>
      </c>
      <c r="M4264" s="460">
        <f t="shared" si="184"/>
        <v>0.05</v>
      </c>
      <c r="N4264" s="464">
        <f t="shared" si="185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83"/>
        <v>-1264040025233.1904</v>
      </c>
      <c r="J4265" s="444">
        <f t="array" ref="J4265">IFERROR(INDEX('Retirement Calculator'!J:J,MATCH('Isaac 401k'!N4265,'Retirement Calculator'!A:A,0),0),0)</f>
        <v>0</v>
      </c>
      <c r="K4265" s="444">
        <f t="shared" ca="1" si="181"/>
        <v>-5266833438.4716263</v>
      </c>
      <c r="L4265" s="444">
        <f t="shared" ca="1" si="182"/>
        <v>-1269306858671.6621</v>
      </c>
      <c r="M4265" s="460">
        <f t="shared" si="184"/>
        <v>0.05</v>
      </c>
      <c r="N4265" s="464">
        <f t="shared" si="185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83"/>
        <v>-1269306858671.6621</v>
      </c>
      <c r="J4266" s="444">
        <f t="array" ref="J4266">IFERROR(INDEX('Retirement Calculator'!J:J,MATCH('Isaac 401k'!N4266,'Retirement Calculator'!A:A,0),0),0)</f>
        <v>0</v>
      </c>
      <c r="K4266" s="444">
        <f t="shared" ca="1" si="181"/>
        <v>-5288778577.7985916</v>
      </c>
      <c r="L4266" s="444">
        <f t="shared" ca="1" si="182"/>
        <v>-1274595637249.4607</v>
      </c>
      <c r="M4266" s="460">
        <f t="shared" si="184"/>
        <v>0.05</v>
      </c>
      <c r="N4266" s="464">
        <f t="shared" si="185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83"/>
        <v>-1274595637249.4607</v>
      </c>
      <c r="J4267" s="444">
        <f t="array" ref="J4267">IFERROR(INDEX('Retirement Calculator'!J:J,MATCH('Isaac 401k'!N4267,'Retirement Calculator'!A:A,0),0),0)</f>
        <v>0</v>
      </c>
      <c r="K4267" s="444">
        <f t="shared" ca="1" si="181"/>
        <v>-5310815155.2060862</v>
      </c>
      <c r="L4267" s="444">
        <f t="shared" ca="1" si="182"/>
        <v>-1279906452404.6667</v>
      </c>
      <c r="M4267" s="460">
        <f t="shared" si="184"/>
        <v>0.05</v>
      </c>
      <c r="N4267" s="464">
        <f t="shared" si="185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83"/>
        <v>-1279906452404.6667</v>
      </c>
      <c r="J4268" s="444">
        <f t="array" ref="J4268">IFERROR(INDEX('Retirement Calculator'!J:J,MATCH('Isaac 401k'!N4268,'Retirement Calculator'!A:A,0),0),0)</f>
        <v>0</v>
      </c>
      <c r="K4268" s="444">
        <f t="shared" ca="1" si="181"/>
        <v>-5332943551.6861115</v>
      </c>
      <c r="L4268" s="444">
        <f t="shared" ca="1" si="182"/>
        <v>-1285239395956.3528</v>
      </c>
      <c r="M4268" s="460">
        <f t="shared" si="184"/>
        <v>0.05</v>
      </c>
      <c r="N4268" s="464">
        <f t="shared" si="185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83"/>
        <v>-1285239395956.3528</v>
      </c>
      <c r="J4269" s="444">
        <f t="array" ref="J4269">IFERROR(INDEX('Retirement Calculator'!J:J,MATCH('Isaac 401k'!N4269,'Retirement Calculator'!A:A,0),0),0)</f>
        <v>0</v>
      </c>
      <c r="K4269" s="444">
        <f t="shared" ca="1" si="181"/>
        <v>-5355164149.8181362</v>
      </c>
      <c r="L4269" s="444">
        <f t="shared" ca="1" si="182"/>
        <v>-1290594560106.1709</v>
      </c>
      <c r="M4269" s="460">
        <f t="shared" si="184"/>
        <v>0.05</v>
      </c>
      <c r="N4269" s="464">
        <f t="shared" si="185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83"/>
        <v>-1290594560106.1709</v>
      </c>
      <c r="J4270" s="444">
        <f t="array" ref="J4270">IFERROR(INDEX('Retirement Calculator'!J:J,MATCH('Isaac 401k'!N4270,'Retirement Calculator'!A:A,0),0),0)</f>
        <v>0</v>
      </c>
      <c r="K4270" s="444">
        <f t="shared" ca="1" si="181"/>
        <v>-5377477333.775712</v>
      </c>
      <c r="L4270" s="444">
        <f t="shared" ca="1" si="182"/>
        <v>-1295972037439.9465</v>
      </c>
      <c r="M4270" s="460">
        <f t="shared" si="184"/>
        <v>0.05</v>
      </c>
      <c r="N4270" s="464">
        <f t="shared" si="185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83"/>
        <v>-1295972037439.9465</v>
      </c>
      <c r="J4271" s="444">
        <f t="array" ref="J4271">IFERROR(INDEX('Retirement Calculator'!J:J,MATCH('Isaac 401k'!N4271,'Retirement Calculator'!A:A,0),0),0)</f>
        <v>0</v>
      </c>
      <c r="K4271" s="444">
        <f t="shared" ca="1" si="181"/>
        <v>-5399883489.3331108</v>
      </c>
      <c r="L4271" s="444">
        <f t="shared" ca="1" si="182"/>
        <v>-1301371920929.2795</v>
      </c>
      <c r="M4271" s="460">
        <f t="shared" si="184"/>
        <v>0.05</v>
      </c>
      <c r="N4271" s="464">
        <f t="shared" si="185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83"/>
        <v>-1301371920929.2795</v>
      </c>
      <c r="J4272" s="444">
        <f t="array" ref="J4272">IFERROR(INDEX('Retirement Calculator'!J:J,MATCH('Isaac 401k'!N4272,'Retirement Calculator'!A:A,0),0),0)</f>
        <v>0</v>
      </c>
      <c r="K4272" s="444">
        <f t="shared" ca="1" si="181"/>
        <v>-5422383003.8719978</v>
      </c>
      <c r="L4272" s="444">
        <f t="shared" ca="1" si="182"/>
        <v>-1306794303933.1516</v>
      </c>
      <c r="M4272" s="460">
        <f t="shared" si="184"/>
        <v>0.05</v>
      </c>
      <c r="N4272" s="464">
        <f t="shared" si="185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83"/>
        <v>-1306794303933.1516</v>
      </c>
      <c r="J4273" s="444">
        <f t="array" ref="J4273">IFERROR(INDEX('Retirement Calculator'!J:J,MATCH('Isaac 401k'!N4273,'Retirement Calculator'!A:A,0),0),0)</f>
        <v>0</v>
      </c>
      <c r="K4273" s="444">
        <f t="shared" ca="1" si="181"/>
        <v>-5444976266.3881321</v>
      </c>
      <c r="L4273" s="444">
        <f t="shared" ca="1" si="182"/>
        <v>-1312239280199.5398</v>
      </c>
      <c r="M4273" s="460">
        <f t="shared" si="184"/>
        <v>0.05</v>
      </c>
      <c r="N4273" s="464">
        <f t="shared" si="185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83"/>
        <v>-1312239280199.5398</v>
      </c>
      <c r="J4274" s="444">
        <f t="array" ref="J4274">IFERROR(INDEX('Retirement Calculator'!J:J,MATCH('Isaac 401k'!N4274,'Retirement Calculator'!A:A,0),0),0)</f>
        <v>0</v>
      </c>
      <c r="K4274" s="444">
        <f t="shared" ca="1" si="181"/>
        <v>-5467663667.4980822</v>
      </c>
      <c r="L4274" s="444">
        <f t="shared" ca="1" si="182"/>
        <v>-1317706943867.0378</v>
      </c>
      <c r="M4274" s="460">
        <f t="shared" si="184"/>
        <v>0.05</v>
      </c>
      <c r="N4274" s="464">
        <f t="shared" si="185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83"/>
        <v>-1317706943867.0378</v>
      </c>
      <c r="J4275" s="444">
        <f t="array" ref="J4275">IFERROR(INDEX('Retirement Calculator'!J:J,MATCH('Isaac 401k'!N4275,'Retirement Calculator'!A:A,0),0),0)</f>
        <v>0</v>
      </c>
      <c r="K4275" s="444">
        <f t="shared" ca="1" si="181"/>
        <v>-5490445599.4459906</v>
      </c>
      <c r="L4275" s="444">
        <f t="shared" ca="1" si="182"/>
        <v>-1323197389466.4839</v>
      </c>
      <c r="M4275" s="460">
        <f t="shared" si="184"/>
        <v>0.05</v>
      </c>
      <c r="N4275" s="464">
        <f t="shared" si="185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83"/>
        <v>-1323197389466.4839</v>
      </c>
      <c r="J4276" s="444">
        <f t="array" ref="J4276">IFERROR(INDEX('Retirement Calculator'!J:J,MATCH('Isaac 401k'!N4276,'Retirement Calculator'!A:A,0),0),0)</f>
        <v>0</v>
      </c>
      <c r="K4276" s="444">
        <f t="shared" ca="1" si="181"/>
        <v>-5513322456.1103497</v>
      </c>
      <c r="L4276" s="444">
        <f t="shared" ca="1" si="182"/>
        <v>-1328710711922.5942</v>
      </c>
      <c r="M4276" s="460">
        <f t="shared" si="184"/>
        <v>0.05</v>
      </c>
      <c r="N4276" s="464">
        <f t="shared" si="185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83"/>
        <v>-1328710711922.5942</v>
      </c>
      <c r="J4277" s="444">
        <f t="array" ref="J4277">IFERROR(INDEX('Retirement Calculator'!J:J,MATCH('Isaac 401k'!N4277,'Retirement Calculator'!A:A,0),0),0)</f>
        <v>0</v>
      </c>
      <c r="K4277" s="444">
        <f t="shared" ca="1" si="181"/>
        <v>-5536294633.0108089</v>
      </c>
      <c r="L4277" s="444">
        <f t="shared" ca="1" si="182"/>
        <v>-1334247006555.605</v>
      </c>
      <c r="M4277" s="460">
        <f t="shared" si="184"/>
        <v>0.05</v>
      </c>
      <c r="N4277" s="464">
        <f t="shared" si="185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83"/>
        <v>-1334247006555.605</v>
      </c>
      <c r="J4278" s="444">
        <f t="array" ref="J4278">IFERROR(INDEX('Retirement Calculator'!J:J,MATCH('Isaac 401k'!N4278,'Retirement Calculator'!A:A,0),0),0)</f>
        <v>0</v>
      </c>
      <c r="K4278" s="444">
        <f t="shared" ca="1" si="181"/>
        <v>-5559362527.3150206</v>
      </c>
      <c r="L4278" s="444">
        <f t="shared" ca="1" si="182"/>
        <v>-1339806369082.9199</v>
      </c>
      <c r="M4278" s="460">
        <f t="shared" si="184"/>
        <v>0.05</v>
      </c>
      <c r="N4278" s="464">
        <f t="shared" si="185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83"/>
        <v>-1339806369082.9199</v>
      </c>
      <c r="J4279" s="444">
        <f t="array" ref="J4279">IFERROR(INDEX('Retirement Calculator'!J:J,MATCH('Isaac 401k'!N4279,'Retirement Calculator'!A:A,0),0),0)</f>
        <v>0</v>
      </c>
      <c r="K4279" s="444">
        <f t="shared" ca="1" si="181"/>
        <v>-5582526537.8455</v>
      </c>
      <c r="L4279" s="444">
        <f t="shared" ca="1" si="182"/>
        <v>-1345388895620.7654</v>
      </c>
      <c r="M4279" s="460">
        <f t="shared" si="184"/>
        <v>0.05</v>
      </c>
      <c r="N4279" s="464">
        <f t="shared" si="185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83"/>
        <v>-1345388895620.7654</v>
      </c>
      <c r="J4280" s="444">
        <f t="array" ref="J4280">IFERROR(INDEX('Retirement Calculator'!J:J,MATCH('Isaac 401k'!N4280,'Retirement Calculator'!A:A,0),0),0)</f>
        <v>0</v>
      </c>
      <c r="K4280" s="444">
        <f t="shared" ca="1" si="181"/>
        <v>-5605787065.0865221</v>
      </c>
      <c r="L4280" s="444">
        <f t="shared" ca="1" si="182"/>
        <v>-1350994682685.8518</v>
      </c>
      <c r="M4280" s="460">
        <f t="shared" si="184"/>
        <v>0.05</v>
      </c>
      <c r="N4280" s="464">
        <f t="shared" si="185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83"/>
        <v>-1350994682685.8518</v>
      </c>
      <c r="J4281" s="444">
        <f t="array" ref="J4281">IFERROR(INDEX('Retirement Calculator'!J:J,MATCH('Isaac 401k'!N4281,'Retirement Calculator'!A:A,0),0),0)</f>
        <v>0</v>
      </c>
      <c r="K4281" s="444">
        <f t="shared" ca="1" si="181"/>
        <v>-5629144511.1910496</v>
      </c>
      <c r="L4281" s="444">
        <f t="shared" ca="1" si="182"/>
        <v>-1356623827197.043</v>
      </c>
      <c r="M4281" s="460">
        <f t="shared" si="184"/>
        <v>0.05</v>
      </c>
      <c r="N4281" s="464">
        <f t="shared" si="185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83"/>
        <v>-1356623827197.043</v>
      </c>
      <c r="J4282" s="444">
        <f t="array" ref="J4282">IFERROR(INDEX('Retirement Calculator'!J:J,MATCH('Isaac 401k'!N4282,'Retirement Calculator'!A:A,0),0),0)</f>
        <v>0</v>
      </c>
      <c r="K4282" s="444">
        <f t="shared" ca="1" si="181"/>
        <v>-5652599279.9876785</v>
      </c>
      <c r="L4282" s="444">
        <f t="shared" ca="1" si="182"/>
        <v>-1362276426477.0308</v>
      </c>
      <c r="M4282" s="460">
        <f t="shared" si="184"/>
        <v>0.05</v>
      </c>
      <c r="N4282" s="464">
        <f t="shared" si="185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83"/>
        <v>-1362276426477.0308</v>
      </c>
      <c r="J4283" s="444">
        <f t="array" ref="J4283">IFERROR(INDEX('Retirement Calculator'!J:J,MATCH('Isaac 401k'!N4283,'Retirement Calculator'!A:A,0),0),0)</f>
        <v>0</v>
      </c>
      <c r="K4283" s="444">
        <f t="shared" ca="1" si="181"/>
        <v>-5676151776.987628</v>
      </c>
      <c r="L4283" s="444">
        <f t="shared" ca="1" si="182"/>
        <v>-1367952578254.0183</v>
      </c>
      <c r="M4283" s="460">
        <f t="shared" si="184"/>
        <v>0.05</v>
      </c>
      <c r="N4283" s="464">
        <f t="shared" si="185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83"/>
        <v>-1367952578254.0183</v>
      </c>
      <c r="J4284" s="444">
        <f t="array" ref="J4284">IFERROR(INDEX('Retirement Calculator'!J:J,MATCH('Isaac 401k'!N4284,'Retirement Calculator'!A:A,0),0),0)</f>
        <v>0</v>
      </c>
      <c r="K4284" s="444">
        <f t="shared" ca="1" si="181"/>
        <v>-5699802409.3917427</v>
      </c>
      <c r="L4284" s="444">
        <f t="shared" ca="1" si="182"/>
        <v>-1373652380663.4102</v>
      </c>
      <c r="M4284" s="460">
        <f t="shared" si="184"/>
        <v>0.05</v>
      </c>
      <c r="N4284" s="464">
        <f t="shared" si="185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83"/>
        <v>-1373652380663.4102</v>
      </c>
      <c r="J4285" s="444">
        <f t="array" ref="J4285">IFERROR(INDEX('Retirement Calculator'!J:J,MATCH('Isaac 401k'!N4285,'Retirement Calculator'!A:A,0),0),0)</f>
        <v>0</v>
      </c>
      <c r="K4285" s="444">
        <f t="shared" ca="1" si="181"/>
        <v>-5723551586.0975418</v>
      </c>
      <c r="L4285" s="444">
        <f t="shared" ca="1" si="182"/>
        <v>-1379375932249.5078</v>
      </c>
      <c r="M4285" s="460">
        <f t="shared" si="184"/>
        <v>0.05</v>
      </c>
      <c r="N4285" s="464">
        <f t="shared" si="185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83"/>
        <v>-1379375932249.5078</v>
      </c>
      <c r="J4286" s="444">
        <f t="array" ref="J4286">IFERROR(INDEX('Retirement Calculator'!J:J,MATCH('Isaac 401k'!N4286,'Retirement Calculator'!A:A,0),0),0)</f>
        <v>0</v>
      </c>
      <c r="K4286" s="444">
        <f t="shared" ca="1" si="181"/>
        <v>-5747399717.7062826</v>
      </c>
      <c r="L4286" s="444">
        <f t="shared" ca="1" si="182"/>
        <v>-1385123331967.2141</v>
      </c>
      <c r="M4286" s="460">
        <f t="shared" si="184"/>
        <v>0.05</v>
      </c>
      <c r="N4286" s="464">
        <f t="shared" si="185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83"/>
        <v>-1385123331967.2141</v>
      </c>
      <c r="J4287" s="444">
        <f t="array" ref="J4287">IFERROR(INDEX('Retirement Calculator'!J:J,MATCH('Isaac 401k'!N4287,'Retirement Calculator'!A:A,0),0),0)</f>
        <v>0</v>
      </c>
      <c r="K4287" s="444">
        <f t="shared" ca="1" si="181"/>
        <v>-5771347216.5300589</v>
      </c>
      <c r="L4287" s="444">
        <f t="shared" ca="1" si="182"/>
        <v>-1390894679183.7441</v>
      </c>
      <c r="M4287" s="460">
        <f t="shared" si="184"/>
        <v>0.05</v>
      </c>
      <c r="N4287" s="464">
        <f t="shared" si="185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83"/>
        <v>-1390894679183.7441</v>
      </c>
      <c r="J4288" s="444">
        <f t="array" ref="J4288">IFERROR(INDEX('Retirement Calculator'!J:J,MATCH('Isaac 401k'!N4288,'Retirement Calculator'!A:A,0),0),0)</f>
        <v>0</v>
      </c>
      <c r="K4288" s="444">
        <f t="shared" ca="1" si="181"/>
        <v>-5795394496.5989342</v>
      </c>
      <c r="L4288" s="444">
        <f t="shared" ca="1" si="182"/>
        <v>-1396690073680.343</v>
      </c>
      <c r="M4288" s="460">
        <f t="shared" si="184"/>
        <v>0.05</v>
      </c>
      <c r="N4288" s="464">
        <f t="shared" si="185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83"/>
        <v>-1396690073680.343</v>
      </c>
      <c r="J4289" s="444">
        <f t="array" ref="J4289">IFERROR(INDEX('Retirement Calculator'!J:J,MATCH('Isaac 401k'!N4289,'Retirement Calculator'!A:A,0),0),0)</f>
        <v>0</v>
      </c>
      <c r="K4289" s="444">
        <f t="shared" ca="1" si="181"/>
        <v>-5819541973.6680956</v>
      </c>
      <c r="L4289" s="444">
        <f t="shared" ca="1" si="182"/>
        <v>-1402509615654.0112</v>
      </c>
      <c r="M4289" s="460">
        <f t="shared" si="184"/>
        <v>0.05</v>
      </c>
      <c r="N4289" s="464">
        <f t="shared" si="185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83"/>
        <v>-1402509615654.0112</v>
      </c>
      <c r="J4290" s="444">
        <f t="array" ref="J4290">IFERROR(INDEX('Retirement Calculator'!J:J,MATCH('Isaac 401k'!N4290,'Retirement Calculator'!A:A,0),0),0)</f>
        <v>0</v>
      </c>
      <c r="K4290" s="444">
        <f t="shared" ca="1" si="181"/>
        <v>-5843790065.2250471</v>
      </c>
      <c r="L4290" s="444">
        <f t="shared" ca="1" si="182"/>
        <v>-1408353405719.2363</v>
      </c>
      <c r="M4290" s="460">
        <f t="shared" si="184"/>
        <v>0.05</v>
      </c>
      <c r="N4290" s="464">
        <f t="shared" si="185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83"/>
        <v>-1408353405719.2363</v>
      </c>
      <c r="J4291" s="444">
        <f t="array" ref="J4291">IFERROR(INDEX('Retirement Calculator'!J:J,MATCH('Isaac 401k'!N4291,'Retirement Calculator'!A:A,0),0),0)</f>
        <v>0</v>
      </c>
      <c r="K4291" s="444">
        <f t="shared" ca="1" si="181"/>
        <v>-5868139190.4968176</v>
      </c>
      <c r="L4291" s="444">
        <f t="shared" ca="1" si="182"/>
        <v>-1414221544909.7332</v>
      </c>
      <c r="M4291" s="460">
        <f t="shared" si="184"/>
        <v>0.05</v>
      </c>
      <c r="N4291" s="464">
        <f t="shared" si="185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83"/>
        <v>-1414221544909.7332</v>
      </c>
      <c r="J4292" s="444">
        <f t="array" ref="J4292">IFERROR(INDEX('Retirement Calculator'!J:J,MATCH('Isaac 401k'!N4292,'Retirement Calculator'!A:A,0),0),0)</f>
        <v>0</v>
      </c>
      <c r="K4292" s="444">
        <f t="shared" ca="1" si="181"/>
        <v>-5892589770.457221</v>
      </c>
      <c r="L4292" s="444">
        <f t="shared" ca="1" si="182"/>
        <v>-1420114134680.1904</v>
      </c>
      <c r="M4292" s="460">
        <f t="shared" si="184"/>
        <v>0.05</v>
      </c>
      <c r="N4292" s="464">
        <f t="shared" si="185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83"/>
        <v>-1420114134680.1904</v>
      </c>
      <c r="J4293" s="444">
        <f t="array" ref="J4293">IFERROR(INDEX('Retirement Calculator'!J:J,MATCH('Isaac 401k'!N4293,'Retirement Calculator'!A:A,0),0),0)</f>
        <v>0</v>
      </c>
      <c r="K4293" s="444">
        <f t="shared" ca="1" si="181"/>
        <v>-5917142227.8341265</v>
      </c>
      <c r="L4293" s="444">
        <f t="shared" ca="1" si="182"/>
        <v>-1426031276908.0247</v>
      </c>
      <c r="M4293" s="460">
        <f t="shared" si="184"/>
        <v>0.05</v>
      </c>
      <c r="N4293" s="464">
        <f t="shared" si="185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83"/>
        <v>-1426031276908.0247</v>
      </c>
      <c r="J4294" s="444">
        <f t="array" ref="J4294">IFERROR(INDEX('Retirement Calculator'!J:J,MATCH('Isaac 401k'!N4294,'Retirement Calculator'!A:A,0),0),0)</f>
        <v>0</v>
      </c>
      <c r="K4294" s="444">
        <f t="shared" ca="1" si="181"/>
        <v>-5941796987.1167698</v>
      </c>
      <c r="L4294" s="444">
        <f t="shared" ca="1" si="182"/>
        <v>-1431973073895.1414</v>
      </c>
      <c r="M4294" s="460">
        <f t="shared" si="184"/>
        <v>0.05</v>
      </c>
      <c r="N4294" s="464">
        <f t="shared" si="185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83"/>
        <v>-1431973073895.1414</v>
      </c>
      <c r="J4295" s="444">
        <f t="array" ref="J4295">IFERROR(INDEX('Retirement Calculator'!J:J,MATCH('Isaac 401k'!N4295,'Retirement Calculator'!A:A,0),0),0)</f>
        <v>0</v>
      </c>
      <c r="K4295" s="444">
        <f t="shared" ca="1" si="181"/>
        <v>-5966554474.5630894</v>
      </c>
      <c r="L4295" s="444">
        <f t="shared" ca="1" si="182"/>
        <v>-1437939628369.7043</v>
      </c>
      <c r="M4295" s="460">
        <f t="shared" si="184"/>
        <v>0.05</v>
      </c>
      <c r="N4295" s="464">
        <f t="shared" si="185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83"/>
        <v>-1437939628369.7043</v>
      </c>
      <c r="J4296" s="444">
        <f t="array" ref="J4296">IFERROR(INDEX('Retirement Calculator'!J:J,MATCH('Isaac 401k'!N4296,'Retirement Calculator'!A:A,0),0),0)</f>
        <v>0</v>
      </c>
      <c r="K4296" s="444">
        <f t="shared" ca="1" si="181"/>
        <v>-5991415118.2071018</v>
      </c>
      <c r="L4296" s="444">
        <f t="shared" ca="1" si="182"/>
        <v>-1443931043487.9114</v>
      </c>
      <c r="M4296" s="460">
        <f t="shared" si="184"/>
        <v>0.05</v>
      </c>
      <c r="N4296" s="464">
        <f t="shared" si="185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83"/>
        <v>-1443931043487.9114</v>
      </c>
      <c r="J4297" s="444">
        <f t="array" ref="J4297">IFERROR(INDEX('Retirement Calculator'!J:J,MATCH('Isaac 401k'!N4297,'Retirement Calculator'!A:A,0),0),0)</f>
        <v>0</v>
      </c>
      <c r="K4297" s="444">
        <f t="shared" ca="1" si="181"/>
        <v>-6016379347.8662977</v>
      </c>
      <c r="L4297" s="444">
        <f t="shared" ca="1" si="182"/>
        <v>-1449947422835.7776</v>
      </c>
      <c r="M4297" s="460">
        <f t="shared" si="184"/>
        <v>0.05</v>
      </c>
      <c r="N4297" s="464">
        <f t="shared" si="185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83"/>
        <v>-1449947422835.7776</v>
      </c>
      <c r="J4298" s="444">
        <f t="array" ref="J4298">IFERROR(INDEX('Retirement Calculator'!J:J,MATCH('Isaac 401k'!N4298,'Retirement Calculator'!A:A,0),0),0)</f>
        <v>0</v>
      </c>
      <c r="K4298" s="444">
        <f t="shared" ca="1" si="181"/>
        <v>-6041447595.1490736</v>
      </c>
      <c r="L4298" s="444">
        <f t="shared" ca="1" si="182"/>
        <v>-1455988870430.9268</v>
      </c>
      <c r="M4298" s="460">
        <f t="shared" si="184"/>
        <v>0.05</v>
      </c>
      <c r="N4298" s="464">
        <f t="shared" si="185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83"/>
        <v>-1455988870430.9268</v>
      </c>
      <c r="J4299" s="444">
        <f t="array" ref="J4299">IFERROR(INDEX('Retirement Calculator'!J:J,MATCH('Isaac 401k'!N4299,'Retirement Calculator'!A:A,0),0),0)</f>
        <v>0</v>
      </c>
      <c r="K4299" s="444">
        <f t="shared" ca="1" si="181"/>
        <v>-6066620293.4621944</v>
      </c>
      <c r="L4299" s="444">
        <f t="shared" ca="1" si="182"/>
        <v>-1462055490724.3889</v>
      </c>
      <c r="M4299" s="460">
        <f t="shared" si="184"/>
        <v>0.05</v>
      </c>
      <c r="N4299" s="464">
        <f t="shared" si="185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83"/>
        <v>-1462055490724.3889</v>
      </c>
      <c r="J4300" s="444">
        <f t="array" ref="J4300">IFERROR(INDEX('Retirement Calculator'!J:J,MATCH('Isaac 401k'!N4300,'Retirement Calculator'!A:A,0),0),0)</f>
        <v>0</v>
      </c>
      <c r="K4300" s="444">
        <f t="shared" ca="1" si="181"/>
        <v>-6091897878.0182867</v>
      </c>
      <c r="L4300" s="444">
        <f t="shared" ca="1" si="182"/>
        <v>-1468147388602.4072</v>
      </c>
      <c r="M4300" s="460">
        <f t="shared" si="184"/>
        <v>0.05</v>
      </c>
      <c r="N4300" s="464">
        <f t="shared" si="185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83"/>
        <v>-1468147388602.4072</v>
      </c>
      <c r="J4301" s="444">
        <f t="array" ref="J4301">IFERROR(INDEX('Retirement Calculator'!J:J,MATCH('Isaac 401k'!N4301,'Retirement Calculator'!A:A,0),0),0)</f>
        <v>0</v>
      </c>
      <c r="K4301" s="444">
        <f t="shared" ca="1" si="181"/>
        <v>-6117280785.8433638</v>
      </c>
      <c r="L4301" s="444">
        <f t="shared" ca="1" si="182"/>
        <v>-1474264669388.2505</v>
      </c>
      <c r="M4301" s="460">
        <f t="shared" si="184"/>
        <v>0.05</v>
      </c>
      <c r="N4301" s="464">
        <f t="shared" si="185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83"/>
        <v>-1474264669388.2505</v>
      </c>
      <c r="J4302" s="444">
        <f t="array" ref="J4302">IFERROR(INDEX('Retirement Calculator'!J:J,MATCH('Isaac 401k'!N4302,'Retirement Calculator'!A:A,0),0),0)</f>
        <v>0</v>
      </c>
      <c r="K4302" s="444">
        <f t="shared" ca="1" si="181"/>
        <v>-6142769455.7843771</v>
      </c>
      <c r="L4302" s="444">
        <f t="shared" ca="1" si="182"/>
        <v>-1480407438844.0349</v>
      </c>
      <c r="M4302" s="460">
        <f t="shared" si="184"/>
        <v>0.05</v>
      </c>
      <c r="N4302" s="464">
        <f t="shared" si="185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83"/>
        <v>-1480407438844.0349</v>
      </c>
      <c r="J4303" s="444">
        <f t="array" ref="J4303">IFERROR(INDEX('Retirement Calculator'!J:J,MATCH('Isaac 401k'!N4303,'Retirement Calculator'!A:A,0),0),0)</f>
        <v>0</v>
      </c>
      <c r="K4303" s="444">
        <f t="shared" ca="1" si="181"/>
        <v>-6168364328.5168123</v>
      </c>
      <c r="L4303" s="444">
        <f t="shared" ca="1" si="182"/>
        <v>-1486575803172.5518</v>
      </c>
      <c r="M4303" s="460">
        <f t="shared" si="184"/>
        <v>0.05</v>
      </c>
      <c r="N4303" s="464">
        <f t="shared" si="185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83"/>
        <v>-1486575803172.5518</v>
      </c>
      <c r="J4304" s="444">
        <f t="array" ref="J4304">IFERROR(INDEX('Retirement Calculator'!J:J,MATCH('Isaac 401k'!N4304,'Retirement Calculator'!A:A,0),0),0)</f>
        <v>0</v>
      </c>
      <c r="K4304" s="444">
        <f t="shared" ca="1" si="181"/>
        <v>-6194065846.5522985</v>
      </c>
      <c r="L4304" s="444">
        <f t="shared" ca="1" si="182"/>
        <v>-1492769869019.104</v>
      </c>
      <c r="M4304" s="460">
        <f t="shared" si="184"/>
        <v>0.05</v>
      </c>
      <c r="N4304" s="464">
        <f t="shared" si="185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83"/>
        <v>-1492769869019.104</v>
      </c>
      <c r="J4305" s="444">
        <f t="array" ref="J4305">IFERROR(INDEX('Retirement Calculator'!J:J,MATCH('Isaac 401k'!N4305,'Retirement Calculator'!A:A,0),0),0)</f>
        <v>0</v>
      </c>
      <c r="K4305" s="444">
        <f t="shared" ca="1" si="181"/>
        <v>-6219874454.2462664</v>
      </c>
      <c r="L4305" s="444">
        <f t="shared" ca="1" si="182"/>
        <v>-1498989743473.3503</v>
      </c>
      <c r="M4305" s="460">
        <f t="shared" si="184"/>
        <v>0.05</v>
      </c>
      <c r="N4305" s="464">
        <f t="shared" si="185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83"/>
        <v>-1498989743473.3503</v>
      </c>
      <c r="J4306" s="444">
        <f t="array" ref="J4306">IFERROR(INDEX('Retirement Calculator'!J:J,MATCH('Isaac 401k'!N4306,'Retirement Calculator'!A:A,0),0),0)</f>
        <v>0</v>
      </c>
      <c r="K4306" s="444">
        <f t="shared" ca="1" si="181"/>
        <v>-6245790597.8056259</v>
      </c>
      <c r="L4306" s="444">
        <f t="shared" ca="1" si="182"/>
        <v>-1505235534071.156</v>
      </c>
      <c r="M4306" s="460">
        <f t="shared" si="184"/>
        <v>0.05</v>
      </c>
      <c r="N4306" s="464">
        <f t="shared" si="185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83"/>
        <v>-1505235534071.156</v>
      </c>
      <c r="J4307" s="444">
        <f t="array" ref="J4307">IFERROR(INDEX('Retirement Calculator'!J:J,MATCH('Isaac 401k'!N4307,'Retirement Calculator'!A:A,0),0),0)</f>
        <v>0</v>
      </c>
      <c r="K4307" s="444">
        <f t="shared" ca="1" si="181"/>
        <v>-6271814725.296483</v>
      </c>
      <c r="L4307" s="444">
        <f t="shared" ca="1" si="182"/>
        <v>-1511507348796.4524</v>
      </c>
      <c r="M4307" s="460">
        <f t="shared" si="184"/>
        <v>0.05</v>
      </c>
      <c r="N4307" s="464">
        <f t="shared" si="185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83"/>
        <v>-1511507348796.4524</v>
      </c>
      <c r="J4308" s="444">
        <f t="array" ref="J4308">IFERROR(INDEX('Retirement Calculator'!J:J,MATCH('Isaac 401k'!N4308,'Retirement Calculator'!A:A,0),0),0)</f>
        <v>0</v>
      </c>
      <c r="K4308" s="444">
        <f t="shared" ca="1" si="181"/>
        <v>-6297947286.651885</v>
      </c>
      <c r="L4308" s="444">
        <f t="shared" ca="1" si="182"/>
        <v>-1517805296083.1042</v>
      </c>
      <c r="M4308" s="460">
        <f t="shared" si="184"/>
        <v>0.05</v>
      </c>
      <c r="N4308" s="464">
        <f t="shared" si="185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83"/>
        <v>-1517805296083.1042</v>
      </c>
      <c r="J4309" s="444">
        <f t="array" ref="J4309">IFERROR(INDEX('Retirement Calculator'!J:J,MATCH('Isaac 401k'!N4309,'Retirement Calculator'!A:A,0),0),0)</f>
        <v>0</v>
      </c>
      <c r="K4309" s="444">
        <f t="shared" ca="1" si="181"/>
        <v>-6324188733.6796007</v>
      </c>
      <c r="L4309" s="444">
        <f t="shared" ca="1" si="182"/>
        <v>-1524129484816.7839</v>
      </c>
      <c r="M4309" s="460">
        <f t="shared" si="184"/>
        <v>0.05</v>
      </c>
      <c r="N4309" s="464">
        <f t="shared" si="185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83"/>
        <v>-1524129484816.7839</v>
      </c>
      <c r="J4310" s="444">
        <f t="array" ref="J4310">IFERROR(INDEX('Retirement Calculator'!J:J,MATCH('Isaac 401k'!N4310,'Retirement Calculator'!A:A,0),0),0)</f>
        <v>0</v>
      </c>
      <c r="K4310" s="444">
        <f t="shared" ca="1" si="181"/>
        <v>-6350539520.0699329</v>
      </c>
      <c r="L4310" s="444">
        <f t="shared" ca="1" si="182"/>
        <v>-1530480024336.8538</v>
      </c>
      <c r="M4310" s="460">
        <f t="shared" si="184"/>
        <v>0.05</v>
      </c>
      <c r="N4310" s="464">
        <f t="shared" si="185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83"/>
        <v>-1530480024336.8538</v>
      </c>
      <c r="J4311" s="444">
        <f t="array" ref="J4311">IFERROR(INDEX('Retirement Calculator'!J:J,MATCH('Isaac 401k'!N4311,'Retirement Calculator'!A:A,0),0),0)</f>
        <v>0</v>
      </c>
      <c r="K4311" s="444">
        <f t="shared" ca="1" si="181"/>
        <v>-6377000101.4035568</v>
      </c>
      <c r="L4311" s="444">
        <f t="shared" ca="1" si="182"/>
        <v>-1536857024438.2573</v>
      </c>
      <c r="M4311" s="460">
        <f t="shared" si="184"/>
        <v>0.05</v>
      </c>
      <c r="N4311" s="464">
        <f t="shared" si="185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83"/>
        <v>-1536857024438.2573</v>
      </c>
      <c r="J4312" s="444">
        <f t="array" ref="J4312">IFERROR(INDEX('Retirement Calculator'!J:J,MATCH('Isaac 401k'!N4312,'Retirement Calculator'!A:A,0),0),0)</f>
        <v>0</v>
      </c>
      <c r="K4312" s="444">
        <f t="shared" ca="1" si="181"/>
        <v>-6403570935.1594057</v>
      </c>
      <c r="L4312" s="444">
        <f t="shared" ca="1" si="182"/>
        <v>-1543260595373.4167</v>
      </c>
      <c r="M4312" s="460">
        <f t="shared" si="184"/>
        <v>0.05</v>
      </c>
      <c r="N4312" s="464">
        <f t="shared" si="185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83"/>
        <v>-1543260595373.4167</v>
      </c>
      <c r="J4313" s="444">
        <f t="array" ref="J4313">IFERROR(INDEX('Retirement Calculator'!J:J,MATCH('Isaac 401k'!N4313,'Retirement Calculator'!A:A,0),0),0)</f>
        <v>0</v>
      </c>
      <c r="K4313" s="444">
        <f t="shared" ca="1" si="181"/>
        <v>-6430252480.7225695</v>
      </c>
      <c r="L4313" s="444">
        <f t="shared" ca="1" si="182"/>
        <v>-1549690847854.1394</v>
      </c>
      <c r="M4313" s="460">
        <f t="shared" si="184"/>
        <v>0.05</v>
      </c>
      <c r="N4313" s="464">
        <f t="shared" si="185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83"/>
        <v>-1549690847854.1394</v>
      </c>
      <c r="J4314" s="444">
        <f t="array" ref="J4314">IFERROR(INDEX('Retirement Calculator'!J:J,MATCH('Isaac 401k'!N4314,'Retirement Calculator'!A:A,0),0),0)</f>
        <v>0</v>
      </c>
      <c r="K4314" s="444">
        <f t="shared" ca="1" si="181"/>
        <v>-6457045199.3922472</v>
      </c>
      <c r="L4314" s="444">
        <f t="shared" ca="1" si="182"/>
        <v>-1556147893053.5317</v>
      </c>
      <c r="M4314" s="460">
        <f t="shared" si="184"/>
        <v>0.05</v>
      </c>
      <c r="N4314" s="464">
        <f t="shared" si="185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83"/>
        <v>-1556147893053.5317</v>
      </c>
      <c r="J4315" s="444">
        <f t="array" ref="J4315">IFERROR(INDEX('Retirement Calculator'!J:J,MATCH('Isaac 401k'!N4315,'Retirement Calculator'!A:A,0),0),0)</f>
        <v>0</v>
      </c>
      <c r="K4315" s="444">
        <f t="shared" ca="1" si="181"/>
        <v>-6483949554.3897152</v>
      </c>
      <c r="L4315" s="444">
        <f t="shared" ca="1" si="182"/>
        <v>-1562631842607.9214</v>
      </c>
      <c r="M4315" s="460">
        <f t="shared" si="184"/>
        <v>0.05</v>
      </c>
      <c r="N4315" s="464">
        <f t="shared" si="185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83"/>
        <v>-1562631842607.9214</v>
      </c>
      <c r="J4316" s="444">
        <f t="array" ref="J4316">IFERROR(INDEX('Retirement Calculator'!J:J,MATCH('Isaac 401k'!N4316,'Retirement Calculator'!A:A,0),0),0)</f>
        <v>0</v>
      </c>
      <c r="K4316" s="444">
        <f t="shared" ca="1" si="181"/>
        <v>-6510966010.8663387</v>
      </c>
      <c r="L4316" s="444">
        <f t="shared" ca="1" si="182"/>
        <v>-1569142808618.7878</v>
      </c>
      <c r="M4316" s="460">
        <f t="shared" si="184"/>
        <v>0.05</v>
      </c>
      <c r="N4316" s="464">
        <f t="shared" si="185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83"/>
        <v>-1569142808618.7878</v>
      </c>
      <c r="J4317" s="444">
        <f t="array" ref="J4317">IFERROR(INDEX('Retirement Calculator'!J:J,MATCH('Isaac 401k'!N4317,'Retirement Calculator'!A:A,0),0),0)</f>
        <v>0</v>
      </c>
      <c r="K4317" s="444">
        <f t="shared" ca="1" si="181"/>
        <v>-6538095035.9116163</v>
      </c>
      <c r="L4317" s="444">
        <f t="shared" ca="1" si="182"/>
        <v>-1575680903654.6995</v>
      </c>
      <c r="M4317" s="460">
        <f t="shared" si="184"/>
        <v>0.05</v>
      </c>
      <c r="N4317" s="464">
        <f t="shared" si="185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83"/>
        <v>-1575680903654.6995</v>
      </c>
      <c r="J4318" s="444">
        <f t="array" ref="J4318">IFERROR(INDEX('Retirement Calculator'!J:J,MATCH('Isaac 401k'!N4318,'Retirement Calculator'!A:A,0),0),0)</f>
        <v>0</v>
      </c>
      <c r="K4318" s="444">
        <f t="shared" ca="1" si="181"/>
        <v>-6565337098.5612478</v>
      </c>
      <c r="L4318" s="444">
        <f t="shared" ca="1" si="182"/>
        <v>-1582246240753.2607</v>
      </c>
      <c r="M4318" s="460">
        <f t="shared" si="184"/>
        <v>0.05</v>
      </c>
      <c r="N4318" s="464">
        <f t="shared" si="185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83"/>
        <v>-1582246240753.2607</v>
      </c>
      <c r="J4319" s="444">
        <f t="array" ref="J4319">IFERROR(INDEX('Retirement Calculator'!J:J,MATCH('Isaac 401k'!N4319,'Retirement Calculator'!A:A,0),0),0)</f>
        <v>0</v>
      </c>
      <c r="K4319" s="444">
        <f t="shared" ca="1" si="181"/>
        <v>-6592692669.805253</v>
      </c>
      <c r="L4319" s="444">
        <f t="shared" ca="1" si="182"/>
        <v>-1588838933423.0659</v>
      </c>
      <c r="M4319" s="460">
        <f t="shared" si="184"/>
        <v>0.05</v>
      </c>
      <c r="N4319" s="464">
        <f t="shared" si="185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83"/>
        <v>-1588838933423.0659</v>
      </c>
      <c r="J4320" s="444">
        <f t="array" ref="J4320">IFERROR(INDEX('Retirement Calculator'!J:J,MATCH('Isaac 401k'!N4320,'Retirement Calculator'!A:A,0),0),0)</f>
        <v>0</v>
      </c>
      <c r="K4320" s="444">
        <f t="shared" ca="1" si="181"/>
        <v>-6620162222.5961075</v>
      </c>
      <c r="L4320" s="444">
        <f t="shared" ca="1" si="182"/>
        <v>-1595459095645.6621</v>
      </c>
      <c r="M4320" s="460">
        <f t="shared" si="184"/>
        <v>0.05</v>
      </c>
      <c r="N4320" s="464">
        <f t="shared" si="185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83"/>
        <v>-1595459095645.6621</v>
      </c>
      <c r="J4321" s="444">
        <f t="array" ref="J4321">IFERROR(INDEX('Retirement Calculator'!J:J,MATCH('Isaac 401k'!N4321,'Retirement Calculator'!A:A,0),0),0)</f>
        <v>0</v>
      </c>
      <c r="K4321" s="444">
        <f t="shared" ca="1" si="181"/>
        <v>-6647746231.856925</v>
      </c>
      <c r="L4321" s="444">
        <f t="shared" ca="1" si="182"/>
        <v>-1602106841877.519</v>
      </c>
      <c r="M4321" s="460">
        <f t="shared" si="184"/>
        <v>0.05</v>
      </c>
      <c r="N4321" s="464">
        <f t="shared" si="185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83"/>
        <v>-1602106841877.519</v>
      </c>
      <c r="J4322" s="444">
        <f t="array" ref="J4322">IFERROR(INDEX('Retirement Calculator'!J:J,MATCH('Isaac 401k'!N4322,'Retirement Calculator'!A:A,0),0),0)</f>
        <v>0</v>
      </c>
      <c r="K4322" s="444">
        <f t="shared" ca="1" si="181"/>
        <v>-6675445174.4896622</v>
      </c>
      <c r="L4322" s="444">
        <f t="shared" ca="1" si="182"/>
        <v>-1608782287052.0088</v>
      </c>
      <c r="M4322" s="460">
        <f t="shared" si="184"/>
        <v>0.05</v>
      </c>
      <c r="N4322" s="464">
        <f t="shared" si="185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83"/>
        <v>-1608782287052.0088</v>
      </c>
      <c r="J4323" s="444">
        <f t="array" ref="J4323">IFERROR(INDEX('Retirement Calculator'!J:J,MATCH('Isaac 401k'!N4323,'Retirement Calculator'!A:A,0),0),0)</f>
        <v>0</v>
      </c>
      <c r="K4323" s="444">
        <f t="shared" ca="1" si="181"/>
        <v>-6703259529.3833694</v>
      </c>
      <c r="L4323" s="444">
        <f t="shared" ca="1" si="182"/>
        <v>-1615485546581.3921</v>
      </c>
      <c r="M4323" s="460">
        <f t="shared" si="184"/>
        <v>0.05</v>
      </c>
      <c r="N4323" s="464">
        <f t="shared" si="185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83"/>
        <v>-1615485546581.3921</v>
      </c>
      <c r="J4324" s="444">
        <f t="array" ref="J4324">IFERROR(INDEX('Retirement Calculator'!J:J,MATCH('Isaac 401k'!N4324,'Retirement Calculator'!A:A,0),0),0)</f>
        <v>0</v>
      </c>
      <c r="K4324" s="444">
        <f t="shared" ca="1" si="181"/>
        <v>-6731189777.4224672</v>
      </c>
      <c r="L4324" s="444">
        <f t="shared" ca="1" si="182"/>
        <v>-1622216736358.8145</v>
      </c>
      <c r="M4324" s="460">
        <f t="shared" si="184"/>
        <v>0.05</v>
      </c>
      <c r="N4324" s="464">
        <f t="shared" si="185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83"/>
        <v>-1622216736358.8145</v>
      </c>
      <c r="J4325" s="444">
        <f t="array" ref="J4325">IFERROR(INDEX('Retirement Calculator'!J:J,MATCH('Isaac 401k'!N4325,'Retirement Calculator'!A:A,0),0),0)</f>
        <v>0</v>
      </c>
      <c r="K4325" s="444">
        <f t="shared" ca="1" si="181"/>
        <v>-6759236401.49506</v>
      </c>
      <c r="L4325" s="444">
        <f t="shared" ca="1" si="182"/>
        <v>-1628975972760.3096</v>
      </c>
      <c r="M4325" s="460">
        <f t="shared" si="184"/>
        <v>0.05</v>
      </c>
      <c r="N4325" s="464">
        <f t="shared" si="185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83"/>
        <v>-1628975972760.3096</v>
      </c>
      <c r="J4326" s="444">
        <f t="array" ref="J4326">IFERROR(INDEX('Retirement Calculator'!J:J,MATCH('Isaac 401k'!N4326,'Retirement Calculator'!A:A,0),0),0)</f>
        <v>0</v>
      </c>
      <c r="K4326" s="444">
        <f t="shared" ca="1" si="181"/>
        <v>-6787399886.5012894</v>
      </c>
      <c r="L4326" s="444">
        <f t="shared" ca="1" si="182"/>
        <v>-1635763372646.8108</v>
      </c>
      <c r="M4326" s="460">
        <f t="shared" si="184"/>
        <v>0.05</v>
      </c>
      <c r="N4326" s="464">
        <f t="shared" si="185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83"/>
        <v>-1635763372646.8108</v>
      </c>
      <c r="J4327" s="444">
        <f t="array" ref="J4327">IFERROR(INDEX('Retirement Calculator'!J:J,MATCH('Isaac 401k'!N4327,'Retirement Calculator'!A:A,0),0),0)</f>
        <v>0</v>
      </c>
      <c r="K4327" s="444">
        <f t="shared" ca="1" si="181"/>
        <v>-6815680719.3617115</v>
      </c>
      <c r="L4327" s="444">
        <f t="shared" ca="1" si="182"/>
        <v>-1642579053366.1726</v>
      </c>
      <c r="M4327" s="460">
        <f t="shared" si="184"/>
        <v>0.05</v>
      </c>
      <c r="N4327" s="464">
        <f t="shared" si="185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83"/>
        <v>-1642579053366.1726</v>
      </c>
      <c r="J4328" s="444">
        <f t="array" ref="J4328">IFERROR(INDEX('Retirement Calculator'!J:J,MATCH('Isaac 401k'!N4328,'Retirement Calculator'!A:A,0),0),0)</f>
        <v>0</v>
      </c>
      <c r="K4328" s="444">
        <f t="shared" ca="1" si="181"/>
        <v>-6844079389.0257187</v>
      </c>
      <c r="L4328" s="444">
        <f t="shared" ca="1" si="182"/>
        <v>-1649423132755.1982</v>
      </c>
      <c r="M4328" s="460">
        <f t="shared" si="184"/>
        <v>0.05</v>
      </c>
      <c r="N4328" s="464">
        <f t="shared" si="185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83"/>
        <v>-1649423132755.1982</v>
      </c>
      <c r="J4329" s="444">
        <f t="array" ref="J4329">IFERROR(INDEX('Retirement Calculator'!J:J,MATCH('Isaac 401k'!N4329,'Retirement Calculator'!A:A,0),0),0)</f>
        <v>0</v>
      </c>
      <c r="K4329" s="444">
        <f t="shared" ca="1" si="181"/>
        <v>-6872596386.4799929</v>
      </c>
      <c r="L4329" s="444">
        <f t="shared" ca="1" si="182"/>
        <v>-1656295729141.6782</v>
      </c>
      <c r="M4329" s="460">
        <f t="shared" si="184"/>
        <v>0.05</v>
      </c>
      <c r="N4329" s="464">
        <f t="shared" si="185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83"/>
        <v>-1656295729141.6782</v>
      </c>
      <c r="J4330" s="444">
        <f t="array" ref="J4330">IFERROR(INDEX('Retirement Calculator'!J:J,MATCH('Isaac 401k'!N4330,'Retirement Calculator'!A:A,0),0),0)</f>
        <v>0</v>
      </c>
      <c r="K4330" s="444">
        <f t="shared" ca="1" si="181"/>
        <v>-6901232204.7569923</v>
      </c>
      <c r="L4330" s="444">
        <f t="shared" ca="1" si="182"/>
        <v>-1663196961346.4353</v>
      </c>
      <c r="M4330" s="460">
        <f t="shared" si="184"/>
        <v>0.05</v>
      </c>
      <c r="N4330" s="464">
        <f t="shared" si="185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83"/>
        <v>-1663196961346.4353</v>
      </c>
      <c r="J4331" s="444">
        <f t="array" ref="J4331">IFERROR(INDEX('Retirement Calculator'!J:J,MATCH('Isaac 401k'!N4331,'Retirement Calculator'!A:A,0),0),0)</f>
        <v>0</v>
      </c>
      <c r="K4331" s="444">
        <f t="shared" ca="1" si="181"/>
        <v>-6929987338.9434805</v>
      </c>
      <c r="L4331" s="444">
        <f t="shared" ca="1" si="182"/>
        <v>-1670126948685.3787</v>
      </c>
      <c r="M4331" s="460">
        <f t="shared" si="184"/>
        <v>0.05</v>
      </c>
      <c r="N4331" s="464">
        <f t="shared" si="185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83"/>
        <v>-1670126948685.3787</v>
      </c>
      <c r="J4332" s="444">
        <f t="array" ref="J4332">IFERROR(INDEX('Retirement Calculator'!J:J,MATCH('Isaac 401k'!N4332,'Retirement Calculator'!A:A,0),0),0)</f>
        <v>0</v>
      </c>
      <c r="K4332" s="444">
        <f t="shared" ca="1" si="181"/>
        <v>-6958862286.1890774</v>
      </c>
      <c r="L4332" s="444">
        <f t="shared" ca="1" si="182"/>
        <v>-1677085810971.5676</v>
      </c>
      <c r="M4332" s="460">
        <f t="shared" si="184"/>
        <v>0.05</v>
      </c>
      <c r="N4332" s="464">
        <f t="shared" si="185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83"/>
        <v>-1677085810971.5676</v>
      </c>
      <c r="J4333" s="444">
        <f t="array" ref="J4333">IFERROR(INDEX('Retirement Calculator'!J:J,MATCH('Isaac 401k'!N4333,'Retirement Calculator'!A:A,0),0),0)</f>
        <v>0</v>
      </c>
      <c r="K4333" s="444">
        <f t="shared" ca="1" si="181"/>
        <v>-6987857545.7148647</v>
      </c>
      <c r="L4333" s="444">
        <f t="shared" ca="1" si="182"/>
        <v>-1684073668517.2825</v>
      </c>
      <c r="M4333" s="460">
        <f t="shared" si="184"/>
        <v>0.05</v>
      </c>
      <c r="N4333" s="464">
        <f t="shared" si="185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83"/>
        <v>-1684073668517.2825</v>
      </c>
      <c r="J4334" s="444">
        <f t="array" ref="J4334">IFERROR(INDEX('Retirement Calculator'!J:J,MATCH('Isaac 401k'!N4334,'Retirement Calculator'!A:A,0),0),0)</f>
        <v>0</v>
      </c>
      <c r="K4334" s="444">
        <f t="shared" ca="1" si="181"/>
        <v>-7016973618.82201</v>
      </c>
      <c r="L4334" s="444">
        <f t="shared" ca="1" si="182"/>
        <v>-1691090642136.1045</v>
      </c>
      <c r="M4334" s="460">
        <f t="shared" si="184"/>
        <v>0.05</v>
      </c>
      <c r="N4334" s="464">
        <f t="shared" si="185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83"/>
        <v>-1691090642136.1045</v>
      </c>
      <c r="J4335" s="444">
        <f t="array" ref="J4335">IFERROR(INDEX('Retirement Calculator'!J:J,MATCH('Isaac 401k'!N4335,'Retirement Calculator'!A:A,0),0),0)</f>
        <v>0</v>
      </c>
      <c r="K4335" s="444">
        <f t="shared" ca="1" si="181"/>
        <v>-7046211008.9004354</v>
      </c>
      <c r="L4335" s="444">
        <f t="shared" ca="1" si="182"/>
        <v>-1698136853145.0049</v>
      </c>
      <c r="M4335" s="460">
        <f t="shared" si="184"/>
        <v>0.05</v>
      </c>
      <c r="N4335" s="464">
        <f t="shared" si="185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83"/>
        <v>-1698136853145.0049</v>
      </c>
      <c r="J4336" s="444">
        <f t="array" ref="J4336">IFERROR(INDEX('Retirement Calculator'!J:J,MATCH('Isaac 401k'!N4336,'Retirement Calculator'!A:A,0),0),0)</f>
        <v>0</v>
      </c>
      <c r="K4336" s="444">
        <f t="shared" ca="1" si="181"/>
        <v>-7075570221.43752</v>
      </c>
      <c r="L4336" s="444">
        <f t="shared" ca="1" si="182"/>
        <v>-1705212423366.4424</v>
      </c>
      <c r="M4336" s="460">
        <f t="shared" si="184"/>
        <v>0.05</v>
      </c>
      <c r="N4336" s="464">
        <f t="shared" si="185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83"/>
        <v>-1705212423366.4424</v>
      </c>
      <c r="J4337" s="444">
        <f t="array" ref="J4337">IFERROR(INDEX('Retirement Calculator'!J:J,MATCH('Isaac 401k'!N4337,'Retirement Calculator'!A:A,0),0),0)</f>
        <v>0</v>
      </c>
      <c r="K4337" s="444">
        <f t="shared" ca="1" si="181"/>
        <v>-7105051764.0268431</v>
      </c>
      <c r="L4337" s="444">
        <f t="shared" ca="1" si="182"/>
        <v>-1712317475130.4692</v>
      </c>
      <c r="M4337" s="460">
        <f t="shared" si="184"/>
        <v>0.05</v>
      </c>
      <c r="N4337" s="464">
        <f t="shared" si="185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83"/>
        <v>-1712317475130.4692</v>
      </c>
      <c r="J4338" s="444">
        <f t="array" ref="J4338">IFERROR(INDEX('Retirement Calculator'!J:J,MATCH('Isaac 401k'!N4338,'Retirement Calculator'!A:A,0),0),0)</f>
        <v>0</v>
      </c>
      <c r="K4338" s="444">
        <f t="shared" ca="1" si="181"/>
        <v>-7134656146.376955</v>
      </c>
      <c r="L4338" s="444">
        <f t="shared" ca="1" si="182"/>
        <v>-1719452131276.8462</v>
      </c>
      <c r="M4338" s="460">
        <f t="shared" si="184"/>
        <v>0.05</v>
      </c>
      <c r="N4338" s="464">
        <f t="shared" si="185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83"/>
        <v>-1719452131276.8462</v>
      </c>
      <c r="J4339" s="444">
        <f t="array" ref="J4339">IFERROR(INDEX('Retirement Calculator'!J:J,MATCH('Isaac 401k'!N4339,'Retirement Calculator'!A:A,0),0),0)</f>
        <v>0</v>
      </c>
      <c r="K4339" s="444">
        <f t="shared" ca="1" si="181"/>
        <v>-7164383880.3201923</v>
      </c>
      <c r="L4339" s="444">
        <f t="shared" ca="1" si="182"/>
        <v>-1726616515157.1665</v>
      </c>
      <c r="M4339" s="460">
        <f t="shared" si="184"/>
        <v>0.05</v>
      </c>
      <c r="N4339" s="464">
        <f t="shared" si="185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83"/>
        <v>-1726616515157.1665</v>
      </c>
      <c r="J4340" s="444">
        <f t="array" ref="J4340">IFERROR(INDEX('Retirement Calculator'!J:J,MATCH('Isaac 401k'!N4340,'Retirement Calculator'!A:A,0),0),0)</f>
        <v>0</v>
      </c>
      <c r="K4340" s="444">
        <f t="shared" ca="1" si="181"/>
        <v>-7194235479.8215284</v>
      </c>
      <c r="L4340" s="444">
        <f t="shared" ca="1" si="182"/>
        <v>-1733810750636.988</v>
      </c>
      <c r="M4340" s="460">
        <f t="shared" si="184"/>
        <v>0.05</v>
      </c>
      <c r="N4340" s="464">
        <f t="shared" si="185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83"/>
        <v>-1733810750636.988</v>
      </c>
      <c r="J4341" s="444">
        <f t="array" ref="J4341">IFERROR(INDEX('Retirement Calculator'!J:J,MATCH('Isaac 401k'!N4341,'Retirement Calculator'!A:A,0),0),0)</f>
        <v>0</v>
      </c>
      <c r="K4341" s="444">
        <f t="shared" ca="1" si="181"/>
        <v>-7224211460.9874506</v>
      </c>
      <c r="L4341" s="444">
        <f t="shared" ca="1" si="182"/>
        <v>-1741034962097.9756</v>
      </c>
      <c r="M4341" s="460">
        <f t="shared" si="184"/>
        <v>0.05</v>
      </c>
      <c r="N4341" s="464">
        <f t="shared" si="185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83"/>
        <v>-1741034962097.9756</v>
      </c>
      <c r="J4342" s="444">
        <f t="array" ref="J4342">IFERROR(INDEX('Retirement Calculator'!J:J,MATCH('Isaac 401k'!N4342,'Retirement Calculator'!A:A,0),0),0)</f>
        <v>0</v>
      </c>
      <c r="K4342" s="444">
        <f t="shared" ca="1" si="181"/>
        <v>-7254312342.0748978</v>
      </c>
      <c r="L4342" s="444">
        <f t="shared" ca="1" si="182"/>
        <v>-1748289274440.0505</v>
      </c>
      <c r="M4342" s="460">
        <f t="shared" si="184"/>
        <v>0.05</v>
      </c>
      <c r="N4342" s="464">
        <f t="shared" si="185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83"/>
        <v>-1748289274440.0505</v>
      </c>
      <c r="J4343" s="444">
        <f t="array" ref="J4343">IFERROR(INDEX('Retirement Calculator'!J:J,MATCH('Isaac 401k'!N4343,'Retirement Calculator'!A:A,0),0),0)</f>
        <v>0</v>
      </c>
      <c r="K4343" s="444">
        <f t="shared" ref="K4343:K4597" ca="1" si="186">IPMT(M4343/12,1,12,-I4343+J4343,,0)</f>
        <v>-7284538643.5002098</v>
      </c>
      <c r="L4343" s="444">
        <f t="shared" ref="L4343:L4597" ca="1" si="187">I4343-J4343+K4343</f>
        <v>-1755573813083.5508</v>
      </c>
      <c r="M4343" s="460">
        <f t="shared" si="184"/>
        <v>0.05</v>
      </c>
      <c r="N4343" s="464">
        <f t="shared" si="185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88">L4343</f>
        <v>-1755573813083.5508</v>
      </c>
      <c r="J4344" s="444">
        <f t="array" ref="J4344">IFERROR(INDEX('Retirement Calculator'!J:J,MATCH('Isaac 401k'!N4344,'Retirement Calculator'!A:A,0),0),0)</f>
        <v>0</v>
      </c>
      <c r="K4344" s="444">
        <f t="shared" ca="1" si="186"/>
        <v>-7314890887.8481283</v>
      </c>
      <c r="L4344" s="444">
        <f t="shared" ca="1" si="187"/>
        <v>-1762888703971.3989</v>
      </c>
      <c r="M4344" s="460">
        <f t="shared" ref="M4344:M4598" si="189">M4343</f>
        <v>0.05</v>
      </c>
      <c r="N4344" s="464">
        <f t="shared" ref="N4344:N4598" si="190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88"/>
        <v>-1762888703971.3989</v>
      </c>
      <c r="J4345" s="444">
        <f t="array" ref="J4345">IFERROR(INDEX('Retirement Calculator'!J:J,MATCH('Isaac 401k'!N4345,'Retirement Calculator'!A:A,0),0),0)</f>
        <v>0</v>
      </c>
      <c r="K4345" s="444">
        <f t="shared" ca="1" si="186"/>
        <v>-7345369599.8808289</v>
      </c>
      <c r="L4345" s="444">
        <f t="shared" ca="1" si="187"/>
        <v>-1770234073571.2798</v>
      </c>
      <c r="M4345" s="460">
        <f t="shared" si="189"/>
        <v>0.05</v>
      </c>
      <c r="N4345" s="464">
        <f t="shared" si="190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88"/>
        <v>-1770234073571.2798</v>
      </c>
      <c r="J4346" s="444">
        <f t="array" ref="J4346">IFERROR(INDEX('Retirement Calculator'!J:J,MATCH('Isaac 401k'!N4346,'Retirement Calculator'!A:A,0),0),0)</f>
        <v>0</v>
      </c>
      <c r="K4346" s="444">
        <f t="shared" ca="1" si="186"/>
        <v>-7375975306.546999</v>
      </c>
      <c r="L4346" s="444">
        <f t="shared" ca="1" si="187"/>
        <v>-1777610048877.8269</v>
      </c>
      <c r="M4346" s="460">
        <f t="shared" si="189"/>
        <v>0.05</v>
      </c>
      <c r="N4346" s="464">
        <f t="shared" si="190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88"/>
        <v>-1777610048877.8269</v>
      </c>
      <c r="J4347" s="444">
        <f t="array" ref="J4347">IFERROR(INDEX('Retirement Calculator'!J:J,MATCH('Isaac 401k'!N4347,'Retirement Calculator'!A:A,0),0),0)</f>
        <v>0</v>
      </c>
      <c r="K4347" s="444">
        <f t="shared" ca="1" si="186"/>
        <v>-7406708536.9909439</v>
      </c>
      <c r="L4347" s="444">
        <f t="shared" ca="1" si="187"/>
        <v>-1785016757414.8179</v>
      </c>
      <c r="M4347" s="460">
        <f t="shared" si="189"/>
        <v>0.05</v>
      </c>
      <c r="N4347" s="464">
        <f t="shared" si="190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88"/>
        <v>-1785016757414.8179</v>
      </c>
      <c r="J4348" s="444">
        <f t="array" ref="J4348">IFERROR(INDEX('Retirement Calculator'!J:J,MATCH('Isaac 401k'!N4348,'Retirement Calculator'!A:A,0),0),0)</f>
        <v>0</v>
      </c>
      <c r="K4348" s="444">
        <f t="shared" ca="1" si="186"/>
        <v>-7437569822.5617399</v>
      </c>
      <c r="L4348" s="444">
        <f t="shared" ca="1" si="187"/>
        <v>-1792454327237.3796</v>
      </c>
      <c r="M4348" s="460">
        <f t="shared" si="189"/>
        <v>0.05</v>
      </c>
      <c r="N4348" s="464">
        <f t="shared" si="190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88"/>
        <v>-1792454327237.3796</v>
      </c>
      <c r="J4349" s="444">
        <f t="array" ref="J4349">IFERROR(INDEX('Retirement Calculator'!J:J,MATCH('Isaac 401k'!N4349,'Retirement Calculator'!A:A,0),0),0)</f>
        <v>0</v>
      </c>
      <c r="K4349" s="444">
        <f t="shared" ca="1" si="186"/>
        <v>-7468559696.8224154</v>
      </c>
      <c r="L4349" s="444">
        <f t="shared" ca="1" si="187"/>
        <v>-1799922886934.2021</v>
      </c>
      <c r="M4349" s="460">
        <f t="shared" si="189"/>
        <v>0.05</v>
      </c>
      <c r="N4349" s="464">
        <f t="shared" si="190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88"/>
        <v>-1799922886934.2021</v>
      </c>
      <c r="J4350" s="444">
        <f t="array" ref="J4350">IFERROR(INDEX('Retirement Calculator'!J:J,MATCH('Isaac 401k'!N4350,'Retirement Calculator'!A:A,0),0),0)</f>
        <v>0</v>
      </c>
      <c r="K4350" s="444">
        <f t="shared" ca="1" si="186"/>
        <v>-7499678695.5591745</v>
      </c>
      <c r="L4350" s="444">
        <f t="shared" ca="1" si="187"/>
        <v>-1807422565629.7612</v>
      </c>
      <c r="M4350" s="460">
        <f t="shared" si="189"/>
        <v>0.05</v>
      </c>
      <c r="N4350" s="464">
        <f t="shared" si="190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88"/>
        <v>-1807422565629.7612</v>
      </c>
      <c r="J4351" s="444">
        <f t="array" ref="J4351">IFERROR(INDEX('Retirement Calculator'!J:J,MATCH('Isaac 401k'!N4351,'Retirement Calculator'!A:A,0),0),0)</f>
        <v>0</v>
      </c>
      <c r="K4351" s="444">
        <f t="shared" ca="1" si="186"/>
        <v>-7530927356.7906713</v>
      </c>
      <c r="L4351" s="444">
        <f t="shared" ca="1" si="187"/>
        <v>-1814953492986.552</v>
      </c>
      <c r="M4351" s="460">
        <f t="shared" si="189"/>
        <v>0.05</v>
      </c>
      <c r="N4351" s="464">
        <f t="shared" si="190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88"/>
        <v>-1814953492986.552</v>
      </c>
      <c r="J4352" s="444">
        <f t="array" ref="J4352">IFERROR(INDEX('Retirement Calculator'!J:J,MATCH('Isaac 401k'!N4352,'Retirement Calculator'!A:A,0),0),0)</f>
        <v>0</v>
      </c>
      <c r="K4352" s="444">
        <f t="shared" ca="1" si="186"/>
        <v>-7562306220.7773008</v>
      </c>
      <c r="L4352" s="444">
        <f t="shared" ca="1" si="187"/>
        <v>-1822515799207.3293</v>
      </c>
      <c r="M4352" s="460">
        <f t="shared" si="189"/>
        <v>0.05</v>
      </c>
      <c r="N4352" s="464">
        <f t="shared" si="190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88"/>
        <v>-1822515799207.3293</v>
      </c>
      <c r="J4353" s="444">
        <f t="array" ref="J4353">IFERROR(INDEX('Retirement Calculator'!J:J,MATCH('Isaac 401k'!N4353,'Retirement Calculator'!A:A,0),0),0)</f>
        <v>0</v>
      </c>
      <c r="K4353" s="444">
        <f t="shared" ca="1" si="186"/>
        <v>-7593815830.0305386</v>
      </c>
      <c r="L4353" s="444">
        <f t="shared" ca="1" si="187"/>
        <v>-1830109615037.3599</v>
      </c>
      <c r="M4353" s="460">
        <f t="shared" si="189"/>
        <v>0.05</v>
      </c>
      <c r="N4353" s="464">
        <f t="shared" si="190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88"/>
        <v>-1830109615037.3599</v>
      </c>
      <c r="J4354" s="444">
        <f t="array" ref="J4354">IFERROR(INDEX('Retirement Calculator'!J:J,MATCH('Isaac 401k'!N4354,'Retirement Calculator'!A:A,0),0),0)</f>
        <v>0</v>
      </c>
      <c r="K4354" s="444">
        <f t="shared" ca="1" si="186"/>
        <v>-7625456729.3223324</v>
      </c>
      <c r="L4354" s="444">
        <f t="shared" ca="1" si="187"/>
        <v>-1837735071766.6821</v>
      </c>
      <c r="M4354" s="460">
        <f t="shared" si="189"/>
        <v>0.05</v>
      </c>
      <c r="N4354" s="464">
        <f t="shared" si="190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88"/>
        <v>-1837735071766.6821</v>
      </c>
      <c r="J4355" s="444">
        <f t="array" ref="J4355">IFERROR(INDEX('Retirement Calculator'!J:J,MATCH('Isaac 401k'!N4355,'Retirement Calculator'!A:A,0),0),0)</f>
        <v>0</v>
      </c>
      <c r="K4355" s="444">
        <f t="shared" ca="1" si="186"/>
        <v>-7657229465.6945095</v>
      </c>
      <c r="L4355" s="444">
        <f t="shared" ca="1" si="187"/>
        <v>-1845392301232.3767</v>
      </c>
      <c r="M4355" s="460">
        <f t="shared" si="189"/>
        <v>0.05</v>
      </c>
      <c r="N4355" s="464">
        <f t="shared" si="190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88"/>
        <v>-1845392301232.3767</v>
      </c>
      <c r="J4356" s="444">
        <f t="array" ref="J4356">IFERROR(INDEX('Retirement Calculator'!J:J,MATCH('Isaac 401k'!N4356,'Retirement Calculator'!A:A,0),0),0)</f>
        <v>0</v>
      </c>
      <c r="K4356" s="444">
        <f t="shared" ca="1" si="186"/>
        <v>-7689134588.468235</v>
      </c>
      <c r="L4356" s="444">
        <f t="shared" ca="1" si="187"/>
        <v>-1853081435820.845</v>
      </c>
      <c r="M4356" s="460">
        <f t="shared" si="189"/>
        <v>0.05</v>
      </c>
      <c r="N4356" s="464">
        <f t="shared" si="190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88"/>
        <v>-1853081435820.845</v>
      </c>
      <c r="J4357" s="444">
        <f t="array" ref="J4357">IFERROR(INDEX('Retirement Calculator'!J:J,MATCH('Isaac 401k'!N4357,'Retirement Calculator'!A:A,0),0),0)</f>
        <v>0</v>
      </c>
      <c r="K4357" s="444">
        <f t="shared" ca="1" si="186"/>
        <v>-7721172649.25352</v>
      </c>
      <c r="L4357" s="444">
        <f t="shared" ca="1" si="187"/>
        <v>-1860802608470.0984</v>
      </c>
      <c r="M4357" s="460">
        <f t="shared" si="189"/>
        <v>0.05</v>
      </c>
      <c r="N4357" s="464">
        <f t="shared" si="190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88"/>
        <v>-1860802608470.0984</v>
      </c>
      <c r="J4358" s="444">
        <f t="array" ref="J4358">IFERROR(INDEX('Retirement Calculator'!J:J,MATCH('Isaac 401k'!N4358,'Retirement Calculator'!A:A,0),0),0)</f>
        <v>0</v>
      </c>
      <c r="K4358" s="444">
        <f t="shared" ca="1" si="186"/>
        <v>-7753344201.9587431</v>
      </c>
      <c r="L4358" s="444">
        <f t="shared" ca="1" si="187"/>
        <v>-1868555952672.0571</v>
      </c>
      <c r="M4358" s="460">
        <f t="shared" si="189"/>
        <v>0.05</v>
      </c>
      <c r="N4358" s="464">
        <f t="shared" si="190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88"/>
        <v>-1868555952672.0571</v>
      </c>
      <c r="J4359" s="444">
        <f t="array" ref="J4359">IFERROR(INDEX('Retirement Calculator'!J:J,MATCH('Isaac 401k'!N4359,'Retirement Calculator'!A:A,0),0),0)</f>
        <v>0</v>
      </c>
      <c r="K4359" s="444">
        <f t="shared" ca="1" si="186"/>
        <v>-7785649802.8002377</v>
      </c>
      <c r="L4359" s="444">
        <f t="shared" ca="1" si="187"/>
        <v>-1876341602474.8574</v>
      </c>
      <c r="M4359" s="460">
        <f t="shared" si="189"/>
        <v>0.05</v>
      </c>
      <c r="N4359" s="464">
        <f t="shared" si="190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88"/>
        <v>-1876341602474.8574</v>
      </c>
      <c r="J4360" s="444">
        <f t="array" ref="J4360">IFERROR(INDEX('Retirement Calculator'!J:J,MATCH('Isaac 401k'!N4360,'Retirement Calculator'!A:A,0),0),0)</f>
        <v>0</v>
      </c>
      <c r="K4360" s="444">
        <f t="shared" ca="1" si="186"/>
        <v>-7818090010.3119068</v>
      </c>
      <c r="L4360" s="444">
        <f t="shared" ca="1" si="187"/>
        <v>-1884159692485.1694</v>
      </c>
      <c r="M4360" s="460">
        <f t="shared" si="189"/>
        <v>0.05</v>
      </c>
      <c r="N4360" s="464">
        <f t="shared" si="190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88"/>
        <v>-1884159692485.1694</v>
      </c>
      <c r="J4361" s="444">
        <f t="array" ref="J4361">IFERROR(INDEX('Retirement Calculator'!J:J,MATCH('Isaac 401k'!N4361,'Retirement Calculator'!A:A,0),0),0)</f>
        <v>0</v>
      </c>
      <c r="K4361" s="444">
        <f t="shared" ca="1" si="186"/>
        <v>-7850665385.3548717</v>
      </c>
      <c r="L4361" s="444">
        <f t="shared" ca="1" si="187"/>
        <v>-1892010357870.5244</v>
      </c>
      <c r="M4361" s="460">
        <f t="shared" si="189"/>
        <v>0.05</v>
      </c>
      <c r="N4361" s="464">
        <f t="shared" si="190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88"/>
        <v>-1892010357870.5244</v>
      </c>
      <c r="J4362" s="444">
        <f t="array" ref="J4362">IFERROR(INDEX('Retirement Calculator'!J:J,MATCH('Isaac 401k'!N4362,'Retirement Calculator'!A:A,0),0),0)</f>
        <v>0</v>
      </c>
      <c r="K4362" s="444">
        <f t="shared" ca="1" si="186"/>
        <v>-7883376491.1271849</v>
      </c>
      <c r="L4362" s="444">
        <f t="shared" ca="1" si="187"/>
        <v>-1899893734361.6516</v>
      </c>
      <c r="M4362" s="460">
        <f t="shared" si="189"/>
        <v>0.05</v>
      </c>
      <c r="N4362" s="464">
        <f t="shared" si="190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88"/>
        <v>-1899893734361.6516</v>
      </c>
      <c r="J4363" s="444">
        <f t="array" ref="J4363">IFERROR(INDEX('Retirement Calculator'!J:J,MATCH('Isaac 401k'!N4363,'Retirement Calculator'!A:A,0),0),0)</f>
        <v>0</v>
      </c>
      <c r="K4363" s="444">
        <f t="shared" ca="1" si="186"/>
        <v>-7916223893.1735487</v>
      </c>
      <c r="L4363" s="444">
        <f t="shared" ca="1" si="187"/>
        <v>-1907809958254.8252</v>
      </c>
      <c r="M4363" s="460">
        <f t="shared" si="189"/>
        <v>0.05</v>
      </c>
      <c r="N4363" s="464">
        <f t="shared" si="190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88"/>
        <v>-1907809958254.8252</v>
      </c>
      <c r="J4364" s="444">
        <f t="array" ref="J4364">IFERROR(INDEX('Retirement Calculator'!J:J,MATCH('Isaac 401k'!N4364,'Retirement Calculator'!A:A,0),0),0)</f>
        <v>0</v>
      </c>
      <c r="K4364" s="444">
        <f t="shared" ca="1" si="186"/>
        <v>-7949208159.3951044</v>
      </c>
      <c r="L4364" s="444">
        <f t="shared" ca="1" si="187"/>
        <v>-1915759166414.2202</v>
      </c>
      <c r="M4364" s="460">
        <f t="shared" si="189"/>
        <v>0.05</v>
      </c>
      <c r="N4364" s="464">
        <f t="shared" si="190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88"/>
        <v>-1915759166414.2202</v>
      </c>
      <c r="J4365" s="444">
        <f t="array" ref="J4365">IFERROR(INDEX('Retirement Calculator'!J:J,MATCH('Isaac 401k'!N4365,'Retirement Calculator'!A:A,0),0),0)</f>
        <v>0</v>
      </c>
      <c r="K4365" s="444">
        <f t="shared" ca="1" si="186"/>
        <v>-7982329860.0592508</v>
      </c>
      <c r="L4365" s="444">
        <f t="shared" ca="1" si="187"/>
        <v>-1923741496274.2795</v>
      </c>
      <c r="M4365" s="460">
        <f t="shared" si="189"/>
        <v>0.05</v>
      </c>
      <c r="N4365" s="464">
        <f t="shared" si="190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88"/>
        <v>-1923741496274.2795</v>
      </c>
      <c r="J4366" s="444">
        <f t="array" ref="J4366">IFERROR(INDEX('Retirement Calculator'!J:J,MATCH('Isaac 401k'!N4366,'Retirement Calculator'!A:A,0),0),0)</f>
        <v>0</v>
      </c>
      <c r="K4366" s="444">
        <f t="shared" ca="1" si="186"/>
        <v>-8015589567.8094969</v>
      </c>
      <c r="L4366" s="444">
        <f t="shared" ca="1" si="187"/>
        <v>-1931757085842.0891</v>
      </c>
      <c r="M4366" s="460">
        <f t="shared" si="189"/>
        <v>0.05</v>
      </c>
      <c r="N4366" s="464">
        <f t="shared" si="190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88"/>
        <v>-1931757085842.0891</v>
      </c>
      <c r="J4367" s="444">
        <f t="array" ref="J4367">IFERROR(INDEX('Retirement Calculator'!J:J,MATCH('Isaac 401k'!N4367,'Retirement Calculator'!A:A,0),0),0)</f>
        <v>0</v>
      </c>
      <c r="K4367" s="444">
        <f t="shared" ca="1" si="186"/>
        <v>-8048987857.6753712</v>
      </c>
      <c r="L4367" s="444">
        <f t="shared" ca="1" si="187"/>
        <v>-1939806073699.7644</v>
      </c>
      <c r="M4367" s="460">
        <f t="shared" si="189"/>
        <v>0.05</v>
      </c>
      <c r="N4367" s="464">
        <f t="shared" si="190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88"/>
        <v>-1939806073699.7644</v>
      </c>
      <c r="J4368" s="444">
        <f t="array" ref="J4368">IFERROR(INDEX('Retirement Calculator'!J:J,MATCH('Isaac 401k'!N4368,'Retirement Calculator'!A:A,0),0),0)</f>
        <v>0</v>
      </c>
      <c r="K4368" s="444">
        <f t="shared" ca="1" si="186"/>
        <v>-8082525307.0823517</v>
      </c>
      <c r="L4368" s="444">
        <f t="shared" ca="1" si="187"/>
        <v>-1947888599006.8467</v>
      </c>
      <c r="M4368" s="460">
        <f t="shared" si="189"/>
        <v>0.05</v>
      </c>
      <c r="N4368" s="464">
        <f t="shared" si="190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88"/>
        <v>-1947888599006.8467</v>
      </c>
      <c r="J4369" s="444">
        <f t="array" ref="J4369">IFERROR(INDEX('Retirement Calculator'!J:J,MATCH('Isaac 401k'!N4369,'Retirement Calculator'!A:A,0),0),0)</f>
        <v>0</v>
      </c>
      <c r="K4369" s="444">
        <f t="shared" ca="1" si="186"/>
        <v>-8116202495.8618612</v>
      </c>
      <c r="L4369" s="444">
        <f t="shared" ca="1" si="187"/>
        <v>-1956004801502.7085</v>
      </c>
      <c r="M4369" s="460">
        <f t="shared" si="189"/>
        <v>0.05</v>
      </c>
      <c r="N4369" s="464">
        <f t="shared" si="190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88"/>
        <v>-1956004801502.7085</v>
      </c>
      <c r="J4370" s="444">
        <f t="array" ref="J4370">IFERROR(INDEX('Retirement Calculator'!J:J,MATCH('Isaac 401k'!N4370,'Retirement Calculator'!A:A,0),0),0)</f>
        <v>0</v>
      </c>
      <c r="K4370" s="444">
        <f t="shared" ca="1" si="186"/>
        <v>-8150020006.2612867</v>
      </c>
      <c r="L4370" s="444">
        <f t="shared" ca="1" si="187"/>
        <v>-1964154821508.9697</v>
      </c>
      <c r="M4370" s="460">
        <f t="shared" si="189"/>
        <v>0.05</v>
      </c>
      <c r="N4370" s="464">
        <f t="shared" si="190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88"/>
        <v>-1964154821508.9697</v>
      </c>
      <c r="J4371" s="444">
        <f t="array" ref="J4371">IFERROR(INDEX('Retirement Calculator'!J:J,MATCH('Isaac 401k'!N4371,'Retirement Calculator'!A:A,0),0),0)</f>
        <v>0</v>
      </c>
      <c r="K4371" s="444">
        <f t="shared" ca="1" si="186"/>
        <v>-8183978422.9540396</v>
      </c>
      <c r="L4371" s="444">
        <f t="shared" ca="1" si="187"/>
        <v>-1972338799931.9238</v>
      </c>
      <c r="M4371" s="460">
        <f t="shared" si="189"/>
        <v>0.05</v>
      </c>
      <c r="N4371" s="464">
        <f t="shared" si="190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88"/>
        <v>-1972338799931.9238</v>
      </c>
      <c r="J4372" s="444">
        <f t="array" ref="J4372">IFERROR(INDEX('Retirement Calculator'!J:J,MATCH('Isaac 401k'!N4372,'Retirement Calculator'!A:A,0),0),0)</f>
        <v>0</v>
      </c>
      <c r="K4372" s="444">
        <f t="shared" ca="1" si="186"/>
        <v>-8218078333.0496826</v>
      </c>
      <c r="L4372" s="444">
        <f t="shared" ca="1" si="187"/>
        <v>-1980556878264.9736</v>
      </c>
      <c r="M4372" s="460">
        <f t="shared" si="189"/>
        <v>0.05</v>
      </c>
      <c r="N4372" s="464">
        <f t="shared" si="190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88"/>
        <v>-1980556878264.9736</v>
      </c>
      <c r="J4373" s="444">
        <f t="array" ref="J4373">IFERROR(INDEX('Retirement Calculator'!J:J,MATCH('Isaac 401k'!N4373,'Retirement Calculator'!A:A,0),0),0)</f>
        <v>0</v>
      </c>
      <c r="K4373" s="444">
        <f t="shared" ca="1" si="186"/>
        <v>-8252320326.1040554</v>
      </c>
      <c r="L4373" s="444">
        <f t="shared" ca="1" si="187"/>
        <v>-1988809198591.0776</v>
      </c>
      <c r="M4373" s="460">
        <f t="shared" si="189"/>
        <v>0.05</v>
      </c>
      <c r="N4373" s="464">
        <f t="shared" si="190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88"/>
        <v>-1988809198591.0776</v>
      </c>
      <c r="J4374" s="444">
        <f t="array" ref="J4374">IFERROR(INDEX('Retirement Calculator'!J:J,MATCH('Isaac 401k'!N4374,'Retirement Calculator'!A:A,0),0),0)</f>
        <v>0</v>
      </c>
      <c r="K4374" s="444">
        <f t="shared" ca="1" si="186"/>
        <v>-8286704994.1294899</v>
      </c>
      <c r="L4374" s="444">
        <f t="shared" ca="1" si="187"/>
        <v>-1997095903585.207</v>
      </c>
      <c r="M4374" s="460">
        <f t="shared" si="189"/>
        <v>0.05</v>
      </c>
      <c r="N4374" s="464">
        <f t="shared" si="190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88"/>
        <v>-1997095903585.207</v>
      </c>
      <c r="J4375" s="444">
        <f t="array" ref="J4375">IFERROR(INDEX('Retirement Calculator'!J:J,MATCH('Isaac 401k'!N4375,'Retirement Calculator'!A:A,0),0),0)</f>
        <v>0</v>
      </c>
      <c r="K4375" s="444">
        <f t="shared" ca="1" si="186"/>
        <v>-8321232931.6050282</v>
      </c>
      <c r="L4375" s="444">
        <f t="shared" ca="1" si="187"/>
        <v>-2005417136516.812</v>
      </c>
      <c r="M4375" s="460">
        <f t="shared" si="189"/>
        <v>0.05</v>
      </c>
      <c r="N4375" s="464">
        <f t="shared" si="190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88"/>
        <v>-2005417136516.812</v>
      </c>
      <c r="J4376" s="444">
        <f t="array" ref="J4376">IFERROR(INDEX('Retirement Calculator'!J:J,MATCH('Isaac 401k'!N4376,'Retirement Calculator'!A:A,0),0),0)</f>
        <v>0</v>
      </c>
      <c r="K4376" s="444">
        <f t="shared" ca="1" si="186"/>
        <v>-8355904735.4867153</v>
      </c>
      <c r="L4376" s="444">
        <f t="shared" ca="1" si="187"/>
        <v>-2013773041252.2988</v>
      </c>
      <c r="M4376" s="460">
        <f t="shared" si="189"/>
        <v>0.05</v>
      </c>
      <c r="N4376" s="464">
        <f t="shared" si="190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88"/>
        <v>-2013773041252.2988</v>
      </c>
      <c r="J4377" s="444">
        <f t="array" ref="J4377">IFERROR(INDEX('Retirement Calculator'!J:J,MATCH('Isaac 401k'!N4377,'Retirement Calculator'!A:A,0),0),0)</f>
        <v>0</v>
      </c>
      <c r="K4377" s="444">
        <f t="shared" ca="1" si="186"/>
        <v>-8390721005.2179117</v>
      </c>
      <c r="L4377" s="444">
        <f t="shared" ca="1" si="187"/>
        <v>-2022163762257.5168</v>
      </c>
      <c r="M4377" s="460">
        <f t="shared" si="189"/>
        <v>0.05</v>
      </c>
      <c r="N4377" s="464">
        <f t="shared" si="190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88"/>
        <v>-2022163762257.5168</v>
      </c>
      <c r="J4378" s="444">
        <f t="array" ref="J4378">IFERROR(INDEX('Retirement Calculator'!J:J,MATCH('Isaac 401k'!N4378,'Retirement Calculator'!A:A,0),0),0)</f>
        <v>0</v>
      </c>
      <c r="K4378" s="444">
        <f t="shared" ca="1" si="186"/>
        <v>-8425682342.7396545</v>
      </c>
      <c r="L4378" s="444">
        <f t="shared" ca="1" si="187"/>
        <v>-2030589444600.2566</v>
      </c>
      <c r="M4378" s="460">
        <f t="shared" si="189"/>
        <v>0.05</v>
      </c>
      <c r="N4378" s="464">
        <f t="shared" si="190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88"/>
        <v>-2030589444600.2566</v>
      </c>
      <c r="J4379" s="444">
        <f t="array" ref="J4379">IFERROR(INDEX('Retirement Calculator'!J:J,MATCH('Isaac 401k'!N4379,'Retirement Calculator'!A:A,0),0),0)</f>
        <v>0</v>
      </c>
      <c r="K4379" s="444">
        <f t="shared" ca="1" si="186"/>
        <v>-8460789352.5010691</v>
      </c>
      <c r="L4379" s="444">
        <f t="shared" ca="1" si="187"/>
        <v>-2039050233952.7576</v>
      </c>
      <c r="M4379" s="460">
        <f t="shared" si="189"/>
        <v>0.05</v>
      </c>
      <c r="N4379" s="464">
        <f t="shared" si="190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88"/>
        <v>-2039050233952.7576</v>
      </c>
      <c r="J4380" s="444">
        <f t="array" ref="J4380">IFERROR(INDEX('Retirement Calculator'!J:J,MATCH('Isaac 401k'!N4380,'Retirement Calculator'!A:A,0),0),0)</f>
        <v>0</v>
      </c>
      <c r="K4380" s="444">
        <f t="shared" ca="1" si="186"/>
        <v>-8496042641.4698229</v>
      </c>
      <c r="L4380" s="444">
        <f t="shared" ca="1" si="187"/>
        <v>-2047546276594.2273</v>
      </c>
      <c r="M4380" s="460">
        <f t="shared" si="189"/>
        <v>0.05</v>
      </c>
      <c r="N4380" s="464">
        <f t="shared" si="190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88"/>
        <v>-2047546276594.2273</v>
      </c>
      <c r="J4381" s="444">
        <f t="array" ref="J4381">IFERROR(INDEX('Retirement Calculator'!J:J,MATCH('Isaac 401k'!N4381,'Retirement Calculator'!A:A,0),0),0)</f>
        <v>0</v>
      </c>
      <c r="K4381" s="444">
        <f t="shared" ca="1" si="186"/>
        <v>-8531442819.1426134</v>
      </c>
      <c r="L4381" s="444">
        <f t="shared" ca="1" si="187"/>
        <v>-2056077719413.3699</v>
      </c>
      <c r="M4381" s="460">
        <f t="shared" si="189"/>
        <v>0.05</v>
      </c>
      <c r="N4381" s="464">
        <f t="shared" si="190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88"/>
        <v>-2056077719413.3699</v>
      </c>
      <c r="J4382" s="444">
        <f t="array" ref="J4382">IFERROR(INDEX('Retirement Calculator'!J:J,MATCH('Isaac 401k'!N4382,'Retirement Calculator'!A:A,0),0),0)</f>
        <v>0</v>
      </c>
      <c r="K4382" s="444">
        <f t="shared" ca="1" si="186"/>
        <v>-8566990497.5557079</v>
      </c>
      <c r="L4382" s="444">
        <f t="shared" ca="1" si="187"/>
        <v>-2064644709910.9255</v>
      </c>
      <c r="M4382" s="460">
        <f t="shared" si="189"/>
        <v>0.05</v>
      </c>
      <c r="N4382" s="464">
        <f t="shared" si="190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88"/>
        <v>-2064644709910.9255</v>
      </c>
      <c r="J4383" s="444">
        <f t="array" ref="J4383">IFERROR(INDEX('Retirement Calculator'!J:J,MATCH('Isaac 401k'!N4383,'Retirement Calculator'!A:A,0),0),0)</f>
        <v>0</v>
      </c>
      <c r="K4383" s="444">
        <f t="shared" ca="1" si="186"/>
        <v>-8602686291.2955227</v>
      </c>
      <c r="L4383" s="444">
        <f t="shared" ca="1" si="187"/>
        <v>-2073247396202.2209</v>
      </c>
      <c r="M4383" s="460">
        <f t="shared" si="189"/>
        <v>0.05</v>
      </c>
      <c r="N4383" s="464">
        <f t="shared" si="190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88"/>
        <v>-2073247396202.2209</v>
      </c>
      <c r="J4384" s="444">
        <f t="array" ref="J4384">IFERROR(INDEX('Retirement Calculator'!J:J,MATCH('Isaac 401k'!N4384,'Retirement Calculator'!A:A,0),0),0)</f>
        <v>0</v>
      </c>
      <c r="K4384" s="444">
        <f t="shared" ca="1" si="186"/>
        <v>-8638530817.5092545</v>
      </c>
      <c r="L4384" s="444">
        <f t="shared" ca="1" si="187"/>
        <v>-2081885927019.7302</v>
      </c>
      <c r="M4384" s="460">
        <f t="shared" si="189"/>
        <v>0.05</v>
      </c>
      <c r="N4384" s="464">
        <f t="shared" si="190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88"/>
        <v>-2081885927019.7302</v>
      </c>
      <c r="J4385" s="444">
        <f t="array" ref="J4385">IFERROR(INDEX('Retirement Calculator'!J:J,MATCH('Isaac 401k'!N4385,'Retirement Calculator'!A:A,0),0),0)</f>
        <v>0</v>
      </c>
      <c r="K4385" s="444">
        <f t="shared" ca="1" si="186"/>
        <v>-8674524695.9155426</v>
      </c>
      <c r="L4385" s="444">
        <f t="shared" ca="1" si="187"/>
        <v>-2090560451715.6458</v>
      </c>
      <c r="M4385" s="460">
        <f t="shared" si="189"/>
        <v>0.05</v>
      </c>
      <c r="N4385" s="464">
        <f t="shared" si="190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88"/>
        <v>-2090560451715.6458</v>
      </c>
      <c r="J4386" s="444">
        <f t="array" ref="J4386">IFERROR(INDEX('Retirement Calculator'!J:J,MATCH('Isaac 401k'!N4386,'Retirement Calculator'!A:A,0),0),0)</f>
        <v>0</v>
      </c>
      <c r="K4386" s="444">
        <f t="shared" ca="1" si="186"/>
        <v>-8710668548.8151913</v>
      </c>
      <c r="L4386" s="444">
        <f t="shared" ca="1" si="187"/>
        <v>-2099271120264.4609</v>
      </c>
      <c r="M4386" s="460">
        <f t="shared" si="189"/>
        <v>0.05</v>
      </c>
      <c r="N4386" s="464">
        <f t="shared" si="190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88"/>
        <v>-2099271120264.4609</v>
      </c>
      <c r="J4387" s="444">
        <f t="array" ref="J4387">IFERROR(INDEX('Retirement Calculator'!J:J,MATCH('Isaac 401k'!N4387,'Retirement Calculator'!A:A,0),0),0)</f>
        <v>0</v>
      </c>
      <c r="K4387" s="444">
        <f t="shared" ca="1" si="186"/>
        <v>-8746963001.1019211</v>
      </c>
      <c r="L4387" s="444">
        <f t="shared" ca="1" si="187"/>
        <v>-2108018083265.5627</v>
      </c>
      <c r="M4387" s="460">
        <f t="shared" si="189"/>
        <v>0.05</v>
      </c>
      <c r="N4387" s="464">
        <f t="shared" si="190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88"/>
        <v>-2108018083265.5627</v>
      </c>
      <c r="J4388" s="444">
        <f t="array" ref="J4388">IFERROR(INDEX('Retirement Calculator'!J:J,MATCH('Isaac 401k'!N4388,'Retirement Calculator'!A:A,0),0),0)</f>
        <v>0</v>
      </c>
      <c r="K4388" s="444">
        <f t="shared" ca="1" si="186"/>
        <v>-8783408680.2731781</v>
      </c>
      <c r="L4388" s="444">
        <f t="shared" ca="1" si="187"/>
        <v>-2116801491945.8359</v>
      </c>
      <c r="M4388" s="460">
        <f t="shared" si="189"/>
        <v>0.05</v>
      </c>
      <c r="N4388" s="464">
        <f t="shared" si="190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88"/>
        <v>-2116801491945.8359</v>
      </c>
      <c r="J4389" s="444">
        <f t="array" ref="J4389">IFERROR(INDEX('Retirement Calculator'!J:J,MATCH('Isaac 401k'!N4389,'Retirement Calculator'!A:A,0),0),0)</f>
        <v>0</v>
      </c>
      <c r="K4389" s="444">
        <f t="shared" ca="1" si="186"/>
        <v>-8820006216.4409828</v>
      </c>
      <c r="L4389" s="444">
        <f t="shared" ca="1" si="187"/>
        <v>-2125621498162.2769</v>
      </c>
      <c r="M4389" s="460">
        <f t="shared" si="189"/>
        <v>0.05</v>
      </c>
      <c r="N4389" s="464">
        <f t="shared" si="190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88"/>
        <v>-2125621498162.2769</v>
      </c>
      <c r="J4390" s="444">
        <f t="array" ref="J4390">IFERROR(INDEX('Retirement Calculator'!J:J,MATCH('Isaac 401k'!N4390,'Retirement Calculator'!A:A,0),0),0)</f>
        <v>0</v>
      </c>
      <c r="K4390" s="444">
        <f t="shared" ca="1" si="186"/>
        <v>-8856756242.3428192</v>
      </c>
      <c r="L4390" s="444">
        <f t="shared" ca="1" si="187"/>
        <v>-2134478254404.6196</v>
      </c>
      <c r="M4390" s="460">
        <f t="shared" si="189"/>
        <v>0.05</v>
      </c>
      <c r="N4390" s="464">
        <f t="shared" si="190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88"/>
        <v>-2134478254404.6196</v>
      </c>
      <c r="J4391" s="444">
        <f t="array" ref="J4391">IFERROR(INDEX('Retirement Calculator'!J:J,MATCH('Isaac 401k'!N4391,'Retirement Calculator'!A:A,0),0),0)</f>
        <v>0</v>
      </c>
      <c r="K4391" s="444">
        <f t="shared" ca="1" si="186"/>
        <v>-8893659393.352581</v>
      </c>
      <c r="L4391" s="444">
        <f t="shared" ca="1" si="187"/>
        <v>-2143371913797.9722</v>
      </c>
      <c r="M4391" s="460">
        <f t="shared" si="189"/>
        <v>0.05</v>
      </c>
      <c r="N4391" s="464">
        <f t="shared" si="190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88"/>
        <v>-2143371913797.9722</v>
      </c>
      <c r="J4392" s="444">
        <f t="array" ref="J4392">IFERROR(INDEX('Retirement Calculator'!J:J,MATCH('Isaac 401k'!N4392,'Retirement Calculator'!A:A,0),0),0)</f>
        <v>0</v>
      </c>
      <c r="K4392" s="444">
        <f t="shared" ca="1" si="186"/>
        <v>-8930716307.4915504</v>
      </c>
      <c r="L4392" s="444">
        <f t="shared" ca="1" si="187"/>
        <v>-2152302630105.4636</v>
      </c>
      <c r="M4392" s="460">
        <f t="shared" si="189"/>
        <v>0.05</v>
      </c>
      <c r="N4392" s="464">
        <f t="shared" si="190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88"/>
        <v>-2152302630105.4636</v>
      </c>
      <c r="J4393" s="444">
        <f t="array" ref="J4393">IFERROR(INDEX('Retirement Calculator'!J:J,MATCH('Isaac 401k'!N4393,'Retirement Calculator'!A:A,0),0),0)</f>
        <v>0</v>
      </c>
      <c r="K4393" s="444">
        <f t="shared" ca="1" si="186"/>
        <v>-8967927625.4394321</v>
      </c>
      <c r="L4393" s="444">
        <f t="shared" ca="1" si="187"/>
        <v>-2161270557730.9031</v>
      </c>
      <c r="M4393" s="460">
        <f t="shared" si="189"/>
        <v>0.05</v>
      </c>
      <c r="N4393" s="464">
        <f t="shared" si="190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88"/>
        <v>-2161270557730.9031</v>
      </c>
      <c r="J4394" s="444">
        <f t="array" ref="J4394">IFERROR(INDEX('Retirement Calculator'!J:J,MATCH('Isaac 401k'!N4394,'Retirement Calculator'!A:A,0),0),0)</f>
        <v>0</v>
      </c>
      <c r="K4394" s="444">
        <f t="shared" ca="1" si="186"/>
        <v>-9005293990.5454292</v>
      </c>
      <c r="L4394" s="444">
        <f t="shared" ca="1" si="187"/>
        <v>-2170275851721.4485</v>
      </c>
      <c r="M4394" s="460">
        <f t="shared" si="189"/>
        <v>0.05</v>
      </c>
      <c r="N4394" s="464">
        <f t="shared" si="190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88"/>
        <v>-2170275851721.4485</v>
      </c>
      <c r="J4395" s="444">
        <f t="array" ref="J4395">IFERROR(INDEX('Retirement Calculator'!J:J,MATCH('Isaac 401k'!N4395,'Retirement Calculator'!A:A,0),0),0)</f>
        <v>0</v>
      </c>
      <c r="K4395" s="444">
        <f t="shared" ca="1" si="186"/>
        <v>-9042816048.8393688</v>
      </c>
      <c r="L4395" s="444">
        <f t="shared" ca="1" si="187"/>
        <v>-2179318667770.2878</v>
      </c>
      <c r="M4395" s="460">
        <f t="shared" si="189"/>
        <v>0.05</v>
      </c>
      <c r="N4395" s="464">
        <f t="shared" si="190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88"/>
        <v>-2179318667770.2878</v>
      </c>
      <c r="J4396" s="444">
        <f t="array" ref="J4396">IFERROR(INDEX('Retirement Calculator'!J:J,MATCH('Isaac 401k'!N4396,'Retirement Calculator'!A:A,0),0),0)</f>
        <v>0</v>
      </c>
      <c r="K4396" s="444">
        <f t="shared" ca="1" si="186"/>
        <v>-9080494449.0428658</v>
      </c>
      <c r="L4396" s="444">
        <f t="shared" ca="1" si="187"/>
        <v>-2188399162219.3308</v>
      </c>
      <c r="M4396" s="460">
        <f t="shared" si="189"/>
        <v>0.05</v>
      </c>
      <c r="N4396" s="464">
        <f t="shared" si="190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88"/>
        <v>-2188399162219.3308</v>
      </c>
      <c r="J4397" s="444">
        <f t="array" ref="J4397">IFERROR(INDEX('Retirement Calculator'!J:J,MATCH('Isaac 401k'!N4397,'Retirement Calculator'!A:A,0),0),0)</f>
        <v>0</v>
      </c>
      <c r="K4397" s="444">
        <f t="shared" ca="1" si="186"/>
        <v>-9118329842.5805454</v>
      </c>
      <c r="L4397" s="444">
        <f t="shared" ca="1" si="187"/>
        <v>-2197517492061.9114</v>
      </c>
      <c r="M4397" s="460">
        <f t="shared" si="189"/>
        <v>0.05</v>
      </c>
      <c r="N4397" s="464">
        <f t="shared" si="190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88"/>
        <v>-2197517492061.9114</v>
      </c>
      <c r="J4398" s="444">
        <f t="array" ref="J4398">IFERROR(INDEX('Retirement Calculator'!J:J,MATCH('Isaac 401k'!N4398,'Retirement Calculator'!A:A,0),0),0)</f>
        <v>0</v>
      </c>
      <c r="K4398" s="444">
        <f t="shared" ca="1" si="186"/>
        <v>-9156322883.5912971</v>
      </c>
      <c r="L4398" s="444">
        <f t="shared" ca="1" si="187"/>
        <v>-2206673814945.5024</v>
      </c>
      <c r="M4398" s="460">
        <f t="shared" si="189"/>
        <v>0.05</v>
      </c>
      <c r="N4398" s="464">
        <f t="shared" si="190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88"/>
        <v>-2206673814945.5024</v>
      </c>
      <c r="J4399" s="444">
        <f t="array" ref="J4399">IFERROR(INDEX('Retirement Calculator'!J:J,MATCH('Isaac 401k'!N4399,'Retirement Calculator'!A:A,0),0),0)</f>
        <v>0</v>
      </c>
      <c r="K4399" s="444">
        <f t="shared" ca="1" si="186"/>
        <v>-9194474228.9395943</v>
      </c>
      <c r="L4399" s="444">
        <f t="shared" ca="1" si="187"/>
        <v>-2215868289174.4419</v>
      </c>
      <c r="M4399" s="460">
        <f t="shared" si="189"/>
        <v>0.05</v>
      </c>
      <c r="N4399" s="464">
        <f t="shared" si="190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88"/>
        <v>-2215868289174.4419</v>
      </c>
      <c r="J4400" s="444">
        <f t="array" ref="J4400">IFERROR(INDEX('Retirement Calculator'!J:J,MATCH('Isaac 401k'!N4400,'Retirement Calculator'!A:A,0),0),0)</f>
        <v>0</v>
      </c>
      <c r="K4400" s="444">
        <f t="shared" ca="1" si="186"/>
        <v>-9232784538.226841</v>
      </c>
      <c r="L4400" s="444">
        <f t="shared" ca="1" si="187"/>
        <v>-2225101073712.6689</v>
      </c>
      <c r="M4400" s="460">
        <f t="shared" si="189"/>
        <v>0.05</v>
      </c>
      <c r="N4400" s="464">
        <f t="shared" si="190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88"/>
        <v>-2225101073712.6689</v>
      </c>
      <c r="J4401" s="444">
        <f t="array" ref="J4401">IFERROR(INDEX('Retirement Calculator'!J:J,MATCH('Isaac 401k'!N4401,'Retirement Calculator'!A:A,0),0),0)</f>
        <v>0</v>
      </c>
      <c r="K4401" s="444">
        <f t="shared" ca="1" si="186"/>
        <v>-9271254473.8027878</v>
      </c>
      <c r="L4401" s="444">
        <f t="shared" ca="1" si="187"/>
        <v>-2234372328186.4717</v>
      </c>
      <c r="M4401" s="460">
        <f t="shared" si="189"/>
        <v>0.05</v>
      </c>
      <c r="N4401" s="464">
        <f t="shared" si="190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88"/>
        <v>-2234372328186.4717</v>
      </c>
      <c r="J4402" s="444">
        <f t="array" ref="J4402">IFERROR(INDEX('Retirement Calculator'!J:J,MATCH('Isaac 401k'!N4402,'Retirement Calculator'!A:A,0),0),0)</f>
        <v>0</v>
      </c>
      <c r="K4402" s="444">
        <f t="shared" ca="1" si="186"/>
        <v>-9309884700.7769661</v>
      </c>
      <c r="L4402" s="444">
        <f t="shared" ca="1" si="187"/>
        <v>-2243682212887.2485</v>
      </c>
      <c r="M4402" s="460">
        <f t="shared" si="189"/>
        <v>0.05</v>
      </c>
      <c r="N4402" s="464">
        <f t="shared" si="190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88"/>
        <v>-2243682212887.2485</v>
      </c>
      <c r="J4403" s="444">
        <f t="array" ref="J4403">IFERROR(INDEX('Retirement Calculator'!J:J,MATCH('Isaac 401k'!N4403,'Retirement Calculator'!A:A,0),0),0)</f>
        <v>0</v>
      </c>
      <c r="K4403" s="444">
        <f t="shared" ca="1" si="186"/>
        <v>-9348675887.0302029</v>
      </c>
      <c r="L4403" s="444">
        <f t="shared" ca="1" si="187"/>
        <v>-2253030888774.2788</v>
      </c>
      <c r="M4403" s="460">
        <f t="shared" si="189"/>
        <v>0.05</v>
      </c>
      <c r="N4403" s="464">
        <f t="shared" si="190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88"/>
        <v>-2253030888774.2788</v>
      </c>
      <c r="J4404" s="444">
        <f t="array" ref="J4404">IFERROR(INDEX('Retirement Calculator'!J:J,MATCH('Isaac 401k'!N4404,'Retirement Calculator'!A:A,0),0),0)</f>
        <v>0</v>
      </c>
      <c r="K4404" s="444">
        <f t="shared" ca="1" si="186"/>
        <v>-9387628703.226162</v>
      </c>
      <c r="L4404" s="444">
        <f t="shared" ca="1" si="187"/>
        <v>-2262418517477.5049</v>
      </c>
      <c r="M4404" s="460">
        <f t="shared" si="189"/>
        <v>0.05</v>
      </c>
      <c r="N4404" s="464">
        <f t="shared" si="190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88"/>
        <v>-2262418517477.5049</v>
      </c>
      <c r="J4405" s="444">
        <f t="array" ref="J4405">IFERROR(INDEX('Retirement Calculator'!J:J,MATCH('Isaac 401k'!N4405,'Retirement Calculator'!A:A,0),0),0)</f>
        <v>0</v>
      </c>
      <c r="K4405" s="444">
        <f t="shared" ca="1" si="186"/>
        <v>-9426743822.822937</v>
      </c>
      <c r="L4405" s="444">
        <f t="shared" ca="1" si="187"/>
        <v>-2271845261300.3276</v>
      </c>
      <c r="M4405" s="460">
        <f t="shared" si="189"/>
        <v>0.05</v>
      </c>
      <c r="N4405" s="464">
        <f t="shared" si="190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88"/>
        <v>-2271845261300.3276</v>
      </c>
      <c r="J4406" s="444">
        <f t="array" ref="J4406">IFERROR(INDEX('Retirement Calculator'!J:J,MATCH('Isaac 401k'!N4406,'Retirement Calculator'!A:A,0),0),0)</f>
        <v>0</v>
      </c>
      <c r="K4406" s="444">
        <f t="shared" ca="1" si="186"/>
        <v>-9466021922.0846977</v>
      </c>
      <c r="L4406" s="444">
        <f t="shared" ca="1" si="187"/>
        <v>-2281311283222.4121</v>
      </c>
      <c r="M4406" s="460">
        <f t="shared" si="189"/>
        <v>0.05</v>
      </c>
      <c r="N4406" s="464">
        <f t="shared" si="190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88"/>
        <v>-2281311283222.4121</v>
      </c>
      <c r="J4407" s="444">
        <f t="array" ref="J4407">IFERROR(INDEX('Retirement Calculator'!J:J,MATCH('Isaac 401k'!N4407,'Retirement Calculator'!A:A,0),0),0)</f>
        <v>0</v>
      </c>
      <c r="K4407" s="444">
        <f t="shared" ca="1" si="186"/>
        <v>-9505463680.0933838</v>
      </c>
      <c r="L4407" s="444">
        <f t="shared" ca="1" si="187"/>
        <v>-2290816746902.5054</v>
      </c>
      <c r="M4407" s="460">
        <f t="shared" si="189"/>
        <v>0.05</v>
      </c>
      <c r="N4407" s="464">
        <f t="shared" si="190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88"/>
        <v>-2290816746902.5054</v>
      </c>
      <c r="J4408" s="444">
        <f t="array" ref="J4408">IFERROR(INDEX('Retirement Calculator'!J:J,MATCH('Isaac 401k'!N4408,'Retirement Calculator'!A:A,0),0),0)</f>
        <v>0</v>
      </c>
      <c r="K4408" s="444">
        <f t="shared" ca="1" si="186"/>
        <v>-9545069778.7604389</v>
      </c>
      <c r="L4408" s="444">
        <f t="shared" ca="1" si="187"/>
        <v>-2300361816681.2656</v>
      </c>
      <c r="M4408" s="460">
        <f t="shared" si="189"/>
        <v>0.05</v>
      </c>
      <c r="N4408" s="464">
        <f t="shared" si="190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88"/>
        <v>-2300361816681.2656</v>
      </c>
      <c r="J4409" s="444">
        <f t="array" ref="J4409">IFERROR(INDEX('Retirement Calculator'!J:J,MATCH('Isaac 401k'!N4409,'Retirement Calculator'!A:A,0),0),0)</f>
        <v>0</v>
      </c>
      <c r="K4409" s="444">
        <f t="shared" ca="1" si="186"/>
        <v>-9584840902.8386059</v>
      </c>
      <c r="L4409" s="444">
        <f t="shared" ca="1" si="187"/>
        <v>-2309946657584.104</v>
      </c>
      <c r="M4409" s="460">
        <f t="shared" si="189"/>
        <v>0.05</v>
      </c>
      <c r="N4409" s="464">
        <f t="shared" si="190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88"/>
        <v>-2309946657584.104</v>
      </c>
      <c r="J4410" s="444">
        <f t="array" ref="J4410">IFERROR(INDEX('Retirement Calculator'!J:J,MATCH('Isaac 401k'!N4410,'Retirement Calculator'!A:A,0),0),0)</f>
        <v>0</v>
      </c>
      <c r="K4410" s="444">
        <f t="shared" ca="1" si="186"/>
        <v>-9624777739.9337673</v>
      </c>
      <c r="L4410" s="444">
        <f t="shared" ca="1" si="187"/>
        <v>-2319571435324.0376</v>
      </c>
      <c r="M4410" s="460">
        <f t="shared" si="189"/>
        <v>0.05</v>
      </c>
      <c r="N4410" s="464">
        <f t="shared" si="190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88"/>
        <v>-2319571435324.0376</v>
      </c>
      <c r="J4411" s="444">
        <f t="array" ref="J4411">IFERROR(INDEX('Retirement Calculator'!J:J,MATCH('Isaac 401k'!N4411,'Retirement Calculator'!A:A,0),0),0)</f>
        <v>0</v>
      </c>
      <c r="K4411" s="444">
        <f t="shared" ca="1" si="186"/>
        <v>-9664880980.5168228</v>
      </c>
      <c r="L4411" s="444">
        <f t="shared" ca="1" si="187"/>
        <v>-2329236316304.5542</v>
      </c>
      <c r="M4411" s="460">
        <f t="shared" si="189"/>
        <v>0.05</v>
      </c>
      <c r="N4411" s="464">
        <f t="shared" si="190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88"/>
        <v>-2329236316304.5542</v>
      </c>
      <c r="J4412" s="444">
        <f t="array" ref="J4412">IFERROR(INDEX('Retirement Calculator'!J:J,MATCH('Isaac 401k'!N4412,'Retirement Calculator'!A:A,0),0),0)</f>
        <v>0</v>
      </c>
      <c r="K4412" s="444">
        <f t="shared" ca="1" si="186"/>
        <v>-9705151317.9356422</v>
      </c>
      <c r="L4412" s="444">
        <f t="shared" ca="1" si="187"/>
        <v>-2338941467622.4897</v>
      </c>
      <c r="M4412" s="460">
        <f t="shared" si="189"/>
        <v>0.05</v>
      </c>
      <c r="N4412" s="464">
        <f t="shared" si="190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88"/>
        <v>-2338941467622.4897</v>
      </c>
      <c r="J4413" s="444">
        <f t="array" ref="J4413">IFERROR(INDEX('Retirement Calculator'!J:J,MATCH('Isaac 401k'!N4413,'Retirement Calculator'!A:A,0),0),0)</f>
        <v>0</v>
      </c>
      <c r="K4413" s="444">
        <f t="shared" ca="1" si="186"/>
        <v>-9745589448.4270401</v>
      </c>
      <c r="L4413" s="444">
        <f t="shared" ca="1" si="187"/>
        <v>-2348687057070.917</v>
      </c>
      <c r="M4413" s="460">
        <f t="shared" si="189"/>
        <v>0.05</v>
      </c>
      <c r="N4413" s="464">
        <f t="shared" si="190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88"/>
        <v>-2348687057070.917</v>
      </c>
      <c r="J4414" s="444">
        <f t="array" ref="J4414">IFERROR(INDEX('Retirement Calculator'!J:J,MATCH('Isaac 401k'!N4414,'Retirement Calculator'!A:A,0),0),0)</f>
        <v>0</v>
      </c>
      <c r="K4414" s="444">
        <f t="shared" ca="1" si="186"/>
        <v>-9786196071.1288204</v>
      </c>
      <c r="L4414" s="444">
        <f t="shared" ca="1" si="187"/>
        <v>-2358473253142.0459</v>
      </c>
      <c r="M4414" s="460">
        <f t="shared" si="189"/>
        <v>0.05</v>
      </c>
      <c r="N4414" s="464">
        <f t="shared" si="190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88"/>
        <v>-2358473253142.0459</v>
      </c>
      <c r="J4415" s="444">
        <f t="array" ref="J4415">IFERROR(INDEX('Retirement Calculator'!J:J,MATCH('Isaac 401k'!N4415,'Retirement Calculator'!A:A,0),0),0)</f>
        <v>0</v>
      </c>
      <c r="K4415" s="444">
        <f t="shared" ca="1" si="186"/>
        <v>-9826971888.0918579</v>
      </c>
      <c r="L4415" s="444">
        <f t="shared" ca="1" si="187"/>
        <v>-2368300225030.1377</v>
      </c>
      <c r="M4415" s="460">
        <f t="shared" si="189"/>
        <v>0.05</v>
      </c>
      <c r="N4415" s="464">
        <f t="shared" si="190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88"/>
        <v>-2368300225030.1377</v>
      </c>
      <c r="J4416" s="444">
        <f t="array" ref="J4416">IFERROR(INDEX('Retirement Calculator'!J:J,MATCH('Isaac 401k'!N4416,'Retirement Calculator'!A:A,0),0),0)</f>
        <v>0</v>
      </c>
      <c r="K4416" s="444">
        <f t="shared" ca="1" si="186"/>
        <v>-9867917604.2922401</v>
      </c>
      <c r="L4416" s="444">
        <f t="shared" ca="1" si="187"/>
        <v>-2378168142634.4302</v>
      </c>
      <c r="M4416" s="460">
        <f t="shared" si="189"/>
        <v>0.05</v>
      </c>
      <c r="N4416" s="464">
        <f t="shared" si="190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88"/>
        <v>-2378168142634.4302</v>
      </c>
      <c r="J4417" s="444">
        <f t="array" ref="J4417">IFERROR(INDEX('Retirement Calculator'!J:J,MATCH('Isaac 401k'!N4417,'Retirement Calculator'!A:A,0),0),0)</f>
        <v>0</v>
      </c>
      <c r="K4417" s="444">
        <f t="shared" ca="1" si="186"/>
        <v>-9909033927.6434593</v>
      </c>
      <c r="L4417" s="444">
        <f t="shared" ca="1" si="187"/>
        <v>-2388077176562.0737</v>
      </c>
      <c r="M4417" s="460">
        <f t="shared" si="189"/>
        <v>0.05</v>
      </c>
      <c r="N4417" s="464">
        <f t="shared" si="190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88"/>
        <v>-2388077176562.0737</v>
      </c>
      <c r="J4418" s="444">
        <f t="array" ref="J4418">IFERROR(INDEX('Retirement Calculator'!J:J,MATCH('Isaac 401k'!N4418,'Retirement Calculator'!A:A,0),0),0)</f>
        <v>0</v>
      </c>
      <c r="K4418" s="444">
        <f t="shared" ca="1" si="186"/>
        <v>-9950321569.0086403</v>
      </c>
      <c r="L4418" s="444">
        <f t="shared" ca="1" si="187"/>
        <v>-2398027498131.0825</v>
      </c>
      <c r="M4418" s="460">
        <f t="shared" si="189"/>
        <v>0.05</v>
      </c>
      <c r="N4418" s="464">
        <f t="shared" si="190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88"/>
        <v>-2398027498131.0825</v>
      </c>
      <c r="J4419" s="444">
        <f t="array" ref="J4419">IFERROR(INDEX('Retirement Calculator'!J:J,MATCH('Isaac 401k'!N4419,'Retirement Calculator'!A:A,0),0),0)</f>
        <v>0</v>
      </c>
      <c r="K4419" s="444">
        <f t="shared" ca="1" si="186"/>
        <v>-9991781242.2128429</v>
      </c>
      <c r="L4419" s="444">
        <f t="shared" ca="1" si="187"/>
        <v>-2408019279373.2954</v>
      </c>
      <c r="M4419" s="460">
        <f t="shared" si="189"/>
        <v>0.05</v>
      </c>
      <c r="N4419" s="464">
        <f t="shared" si="190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88"/>
        <v>-2408019279373.2954</v>
      </c>
      <c r="J4420" s="444">
        <f t="array" ref="J4420">IFERROR(INDEX('Retirement Calculator'!J:J,MATCH('Isaac 401k'!N4420,'Retirement Calculator'!A:A,0),0),0)</f>
        <v>0</v>
      </c>
      <c r="K4420" s="444">
        <f t="shared" ca="1" si="186"/>
        <v>-10033413664.055397</v>
      </c>
      <c r="L4420" s="444">
        <f t="shared" ca="1" si="187"/>
        <v>-2418052693037.3506</v>
      </c>
      <c r="M4420" s="460">
        <f t="shared" si="189"/>
        <v>0.05</v>
      </c>
      <c r="N4420" s="464">
        <f t="shared" si="190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88"/>
        <v>-2418052693037.3506</v>
      </c>
      <c r="J4421" s="444">
        <f t="array" ref="J4421">IFERROR(INDEX('Retirement Calculator'!J:J,MATCH('Isaac 401k'!N4421,'Retirement Calculator'!A:A,0),0),0)</f>
        <v>0</v>
      </c>
      <c r="K4421" s="444">
        <f t="shared" ca="1" si="186"/>
        <v>-10075219554.322294</v>
      </c>
      <c r="L4421" s="444">
        <f t="shared" ca="1" si="187"/>
        <v>-2428127912591.6729</v>
      </c>
      <c r="M4421" s="460">
        <f t="shared" si="189"/>
        <v>0.05</v>
      </c>
      <c r="N4421" s="464">
        <f t="shared" si="190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88"/>
        <v>-2428127912591.6729</v>
      </c>
      <c r="J4422" s="444">
        <f t="array" ref="J4422">IFERROR(INDEX('Retirement Calculator'!J:J,MATCH('Isaac 401k'!N4422,'Retirement Calculator'!A:A,0),0),0)</f>
        <v>0</v>
      </c>
      <c r="K4422" s="444">
        <f t="shared" ca="1" si="186"/>
        <v>-10117199635.798637</v>
      </c>
      <c r="L4422" s="444">
        <f t="shared" ca="1" si="187"/>
        <v>-2438245112227.4717</v>
      </c>
      <c r="M4422" s="460">
        <f t="shared" si="189"/>
        <v>0.05</v>
      </c>
      <c r="N4422" s="464">
        <f t="shared" si="190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88"/>
        <v>-2438245112227.4717</v>
      </c>
      <c r="J4423" s="444">
        <f t="array" ref="J4423">IFERROR(INDEX('Retirement Calculator'!J:J,MATCH('Isaac 401k'!N4423,'Retirement Calculator'!A:A,0),0),0)</f>
        <v>0</v>
      </c>
      <c r="K4423" s="444">
        <f t="shared" ca="1" si="186"/>
        <v>-10159354634.281132</v>
      </c>
      <c r="L4423" s="444">
        <f t="shared" ca="1" si="187"/>
        <v>-2448404466861.7529</v>
      </c>
      <c r="M4423" s="460">
        <f t="shared" si="189"/>
        <v>0.05</v>
      </c>
      <c r="N4423" s="464">
        <f t="shared" si="190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88"/>
        <v>-2448404466861.7529</v>
      </c>
      <c r="J4424" s="444">
        <f t="array" ref="J4424">IFERROR(INDEX('Retirement Calculator'!J:J,MATCH('Isaac 401k'!N4424,'Retirement Calculator'!A:A,0),0),0)</f>
        <v>0</v>
      </c>
      <c r="K4424" s="444">
        <f t="shared" ca="1" si="186"/>
        <v>-10201685278.590637</v>
      </c>
      <c r="L4424" s="444">
        <f t="shared" ca="1" si="187"/>
        <v>-2458606152140.3438</v>
      </c>
      <c r="M4424" s="460">
        <f t="shared" si="189"/>
        <v>0.05</v>
      </c>
      <c r="N4424" s="464">
        <f t="shared" si="190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88"/>
        <v>-2458606152140.3438</v>
      </c>
      <c r="J4425" s="444">
        <f t="array" ref="J4425">IFERROR(INDEX('Retirement Calculator'!J:J,MATCH('Isaac 401k'!N4425,'Retirement Calculator'!A:A,0),0),0)</f>
        <v>0</v>
      </c>
      <c r="K4425" s="444">
        <f t="shared" ca="1" si="186"/>
        <v>-10244192300.584766</v>
      </c>
      <c r="L4425" s="444">
        <f t="shared" ca="1" si="187"/>
        <v>-2468850344440.9287</v>
      </c>
      <c r="M4425" s="460">
        <f t="shared" si="189"/>
        <v>0.05</v>
      </c>
      <c r="N4425" s="464">
        <f t="shared" si="190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88"/>
        <v>-2468850344440.9287</v>
      </c>
      <c r="J4426" s="444">
        <f t="array" ref="J4426">IFERROR(INDEX('Retirement Calculator'!J:J,MATCH('Isaac 401k'!N4426,'Retirement Calculator'!A:A,0),0),0)</f>
        <v>0</v>
      </c>
      <c r="K4426" s="444">
        <f t="shared" ca="1" si="186"/>
        <v>-10286876435.170536</v>
      </c>
      <c r="L4426" s="444">
        <f t="shared" ca="1" si="187"/>
        <v>-2479137220876.0991</v>
      </c>
      <c r="M4426" s="460">
        <f t="shared" si="189"/>
        <v>0.05</v>
      </c>
      <c r="N4426" s="464">
        <f t="shared" si="190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88"/>
        <v>-2479137220876.0991</v>
      </c>
      <c r="J4427" s="444">
        <f t="array" ref="J4427">IFERROR(INDEX('Retirement Calculator'!J:J,MATCH('Isaac 401k'!N4427,'Retirement Calculator'!A:A,0),0),0)</f>
        <v>0</v>
      </c>
      <c r="K4427" s="444">
        <f t="shared" ca="1" si="186"/>
        <v>-10329738420.31708</v>
      </c>
      <c r="L4427" s="444">
        <f t="shared" ca="1" si="187"/>
        <v>-2489466959296.416</v>
      </c>
      <c r="M4427" s="460">
        <f t="shared" si="189"/>
        <v>0.05</v>
      </c>
      <c r="N4427" s="464">
        <f t="shared" si="190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88"/>
        <v>-2489466959296.416</v>
      </c>
      <c r="J4428" s="444">
        <f t="array" ref="J4428">IFERROR(INDEX('Retirement Calculator'!J:J,MATCH('Isaac 401k'!N4428,'Retirement Calculator'!A:A,0),0),0)</f>
        <v>0</v>
      </c>
      <c r="K4428" s="444">
        <f t="shared" ca="1" si="186"/>
        <v>-10372778997.068399</v>
      </c>
      <c r="L4428" s="444">
        <f t="shared" ca="1" si="187"/>
        <v>-2499839738293.4844</v>
      </c>
      <c r="M4428" s="460">
        <f t="shared" si="189"/>
        <v>0.05</v>
      </c>
      <c r="N4428" s="464">
        <f t="shared" si="190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88"/>
        <v>-2499839738293.4844</v>
      </c>
      <c r="J4429" s="444">
        <f t="array" ref="J4429">IFERROR(INDEX('Retirement Calculator'!J:J,MATCH('Isaac 401k'!N4429,'Retirement Calculator'!A:A,0),0),0)</f>
        <v>0</v>
      </c>
      <c r="K4429" s="444">
        <f t="shared" ca="1" si="186"/>
        <v>-10415998909.556185</v>
      </c>
      <c r="L4429" s="444">
        <f t="shared" ca="1" si="187"/>
        <v>-2510255737203.0405</v>
      </c>
      <c r="M4429" s="460">
        <f t="shared" si="189"/>
        <v>0.05</v>
      </c>
      <c r="N4429" s="464">
        <f t="shared" si="190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88"/>
        <v>-2510255737203.0405</v>
      </c>
      <c r="J4430" s="444">
        <f t="array" ref="J4430">IFERROR(INDEX('Retirement Calculator'!J:J,MATCH('Isaac 401k'!N4430,'Retirement Calculator'!A:A,0),0),0)</f>
        <v>0</v>
      </c>
      <c r="K4430" s="444">
        <f t="shared" ca="1" si="186"/>
        <v>-10459398905.012669</v>
      </c>
      <c r="L4430" s="444">
        <f t="shared" ca="1" si="187"/>
        <v>-2520715136108.0532</v>
      </c>
      <c r="M4430" s="460">
        <f t="shared" si="189"/>
        <v>0.05</v>
      </c>
      <c r="N4430" s="464">
        <f t="shared" si="190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88"/>
        <v>-2520715136108.0532</v>
      </c>
      <c r="J4431" s="444">
        <f t="array" ref="J4431">IFERROR(INDEX('Retirement Calculator'!J:J,MATCH('Isaac 401k'!N4431,'Retirement Calculator'!A:A,0),0),0)</f>
        <v>0</v>
      </c>
      <c r="K4431" s="444">
        <f t="shared" ca="1" si="186"/>
        <v>-10502979733.783554</v>
      </c>
      <c r="L4431" s="444">
        <f t="shared" ca="1" si="187"/>
        <v>-2531218115841.8369</v>
      </c>
      <c r="M4431" s="460">
        <f t="shared" si="189"/>
        <v>0.05</v>
      </c>
      <c r="N4431" s="464">
        <f t="shared" si="190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88"/>
        <v>-2531218115841.8369</v>
      </c>
      <c r="J4432" s="444">
        <f t="array" ref="J4432">IFERROR(INDEX('Retirement Calculator'!J:J,MATCH('Isaac 401k'!N4432,'Retirement Calculator'!A:A,0),0),0)</f>
        <v>0</v>
      </c>
      <c r="K4432" s="444">
        <f t="shared" ca="1" si="186"/>
        <v>-10546742149.340986</v>
      </c>
      <c r="L4432" s="444">
        <f t="shared" ca="1" si="187"/>
        <v>-2541764857991.1777</v>
      </c>
      <c r="M4432" s="460">
        <f t="shared" si="189"/>
        <v>0.05</v>
      </c>
      <c r="N4432" s="464">
        <f t="shared" si="190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88"/>
        <v>-2541764857991.1777</v>
      </c>
      <c r="J4433" s="444">
        <f t="array" ref="J4433">IFERROR(INDEX('Retirement Calculator'!J:J,MATCH('Isaac 401k'!N4433,'Retirement Calculator'!A:A,0),0),0)</f>
        <v>0</v>
      </c>
      <c r="K4433" s="444">
        <f t="shared" ca="1" si="186"/>
        <v>-10590686908.296574</v>
      </c>
      <c r="L4433" s="444">
        <f t="shared" ca="1" si="187"/>
        <v>-2552355544899.4741</v>
      </c>
      <c r="M4433" s="460">
        <f t="shared" si="189"/>
        <v>0.05</v>
      </c>
      <c r="N4433" s="464">
        <f t="shared" si="190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88"/>
        <v>-2552355544899.4741</v>
      </c>
      <c r="J4434" s="444">
        <f t="array" ref="J4434">IFERROR(INDEX('Retirement Calculator'!J:J,MATCH('Isaac 401k'!N4434,'Retirement Calculator'!A:A,0),0),0)</f>
        <v>0</v>
      </c>
      <c r="K4434" s="444">
        <f t="shared" ca="1" si="186"/>
        <v>-10634814770.414474</v>
      </c>
      <c r="L4434" s="444">
        <f t="shared" ca="1" si="187"/>
        <v>-2562990359669.8887</v>
      </c>
      <c r="M4434" s="460">
        <f t="shared" si="189"/>
        <v>0.05</v>
      </c>
      <c r="N4434" s="464">
        <f t="shared" si="190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88"/>
        <v>-2562990359669.8887</v>
      </c>
      <c r="J4435" s="444">
        <f t="array" ref="J4435">IFERROR(INDEX('Retirement Calculator'!J:J,MATCH('Isaac 401k'!N4435,'Retirement Calculator'!A:A,0),0),0)</f>
        <v>0</v>
      </c>
      <c r="K4435" s="444">
        <f t="shared" ca="1" si="186"/>
        <v>-10679126498.624537</v>
      </c>
      <c r="L4435" s="444">
        <f t="shared" ca="1" si="187"/>
        <v>-2573669486168.5132</v>
      </c>
      <c r="M4435" s="460">
        <f t="shared" si="189"/>
        <v>0.05</v>
      </c>
      <c r="N4435" s="464">
        <f t="shared" si="190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88"/>
        <v>-2573669486168.5132</v>
      </c>
      <c r="J4436" s="444">
        <f t="array" ref="J4436">IFERROR(INDEX('Retirement Calculator'!J:J,MATCH('Isaac 401k'!N4436,'Retirement Calculator'!A:A,0),0),0)</f>
        <v>0</v>
      </c>
      <c r="K4436" s="444">
        <f t="shared" ca="1" si="186"/>
        <v>-10723622859.035471</v>
      </c>
      <c r="L4436" s="444">
        <f t="shared" ca="1" si="187"/>
        <v>-2584393109027.5488</v>
      </c>
      <c r="M4436" s="460">
        <f t="shared" si="189"/>
        <v>0.05</v>
      </c>
      <c r="N4436" s="464">
        <f t="shared" si="190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88"/>
        <v>-2584393109027.5488</v>
      </c>
      <c r="J4437" s="444">
        <f t="array" ref="J4437">IFERROR(INDEX('Retirement Calculator'!J:J,MATCH('Isaac 401k'!N4437,'Retirement Calculator'!A:A,0),0),0)</f>
        <v>0</v>
      </c>
      <c r="K4437" s="444">
        <f t="shared" ca="1" si="186"/>
        <v>-10768304620.94812</v>
      </c>
      <c r="L4437" s="444">
        <f t="shared" ca="1" si="187"/>
        <v>-2595161413648.4971</v>
      </c>
      <c r="M4437" s="460">
        <f t="shared" si="189"/>
        <v>0.05</v>
      </c>
      <c r="N4437" s="464">
        <f t="shared" si="190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88"/>
        <v>-2595161413648.4971</v>
      </c>
      <c r="J4438" s="444">
        <f t="array" ref="J4438">IFERROR(INDEX('Retirement Calculator'!J:J,MATCH('Isaac 401k'!N4438,'Retirement Calculator'!A:A,0),0),0)</f>
        <v>0</v>
      </c>
      <c r="K4438" s="444">
        <f t="shared" ca="1" si="186"/>
        <v>-10813172556.868738</v>
      </c>
      <c r="L4438" s="444">
        <f t="shared" ca="1" si="187"/>
        <v>-2605974586205.3657</v>
      </c>
      <c r="M4438" s="460">
        <f t="shared" si="189"/>
        <v>0.05</v>
      </c>
      <c r="N4438" s="464">
        <f t="shared" si="190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88"/>
        <v>-2605974586205.3657</v>
      </c>
      <c r="J4439" s="444">
        <f t="array" ref="J4439">IFERROR(INDEX('Retirement Calculator'!J:J,MATCH('Isaac 401k'!N4439,'Retirement Calculator'!A:A,0),0),0)</f>
        <v>0</v>
      </c>
      <c r="K4439" s="444">
        <f t="shared" ca="1" si="186"/>
        <v>-10858227442.522358</v>
      </c>
      <c r="L4439" s="444">
        <f t="shared" ca="1" si="187"/>
        <v>-2616832813647.8882</v>
      </c>
      <c r="M4439" s="460">
        <f t="shared" si="189"/>
        <v>0.05</v>
      </c>
      <c r="N4439" s="464">
        <f t="shared" si="190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88"/>
        <v>-2616832813647.8882</v>
      </c>
      <c r="J4440" s="444">
        <f t="array" ref="J4440">IFERROR(INDEX('Retirement Calculator'!J:J,MATCH('Isaac 401k'!N4440,'Retirement Calculator'!A:A,0),0),0)</f>
        <v>0</v>
      </c>
      <c r="K4440" s="444">
        <f t="shared" ca="1" si="186"/>
        <v>-10903470056.866201</v>
      </c>
      <c r="L4440" s="444">
        <f t="shared" ca="1" si="187"/>
        <v>-2627736283704.7544</v>
      </c>
      <c r="M4440" s="460">
        <f t="shared" si="189"/>
        <v>0.05</v>
      </c>
      <c r="N4440" s="464">
        <f t="shared" si="190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88"/>
        <v>-2627736283704.7544</v>
      </c>
      <c r="J4441" s="444">
        <f t="array" ref="J4441">IFERROR(INDEX('Retirement Calculator'!J:J,MATCH('Isaac 401k'!N4441,'Retirement Calculator'!A:A,0),0),0)</f>
        <v>0</v>
      </c>
      <c r="K4441" s="444">
        <f t="shared" ca="1" si="186"/>
        <v>-10948901182.103144</v>
      </c>
      <c r="L4441" s="444">
        <f t="shared" ca="1" si="187"/>
        <v>-2638685184886.8574</v>
      </c>
      <c r="M4441" s="460">
        <f t="shared" si="189"/>
        <v>0.05</v>
      </c>
      <c r="N4441" s="464">
        <f t="shared" si="190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88"/>
        <v>-2638685184886.8574</v>
      </c>
      <c r="J4442" s="444">
        <f t="array" ref="J4442">IFERROR(INDEX('Retirement Calculator'!J:J,MATCH('Isaac 401k'!N4442,'Retirement Calculator'!A:A,0),0),0)</f>
        <v>0</v>
      </c>
      <c r="K4442" s="444">
        <f t="shared" ca="1" si="186"/>
        <v>-10994521603.69524</v>
      </c>
      <c r="L4442" s="444">
        <f t="shared" ca="1" si="187"/>
        <v>-2649679706490.5527</v>
      </c>
      <c r="M4442" s="460">
        <f t="shared" si="189"/>
        <v>0.05</v>
      </c>
      <c r="N4442" s="464">
        <f t="shared" si="190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88"/>
        <v>-2649679706490.5527</v>
      </c>
      <c r="J4443" s="444">
        <f t="array" ref="J4443">IFERROR(INDEX('Retirement Calculator'!J:J,MATCH('Isaac 401k'!N4443,'Retirement Calculator'!A:A,0),0),0)</f>
        <v>0</v>
      </c>
      <c r="K4443" s="444">
        <f t="shared" ca="1" si="186"/>
        <v>-11040332110.377302</v>
      </c>
      <c r="L4443" s="444">
        <f t="shared" ca="1" si="187"/>
        <v>-2660720038600.9302</v>
      </c>
      <c r="M4443" s="460">
        <f t="shared" si="189"/>
        <v>0.05</v>
      </c>
      <c r="N4443" s="464">
        <f t="shared" si="190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88"/>
        <v>-2660720038600.9302</v>
      </c>
      <c r="J4444" s="444">
        <f t="array" ref="J4444">IFERROR(INDEX('Retirement Calculator'!J:J,MATCH('Isaac 401k'!N4444,'Retirement Calculator'!A:A,0),0),0)</f>
        <v>0</v>
      </c>
      <c r="K4444" s="444">
        <f t="shared" ca="1" si="186"/>
        <v>-11086333494.170542</v>
      </c>
      <c r="L4444" s="444">
        <f t="shared" ca="1" si="187"/>
        <v>-2671806372095.1006</v>
      </c>
      <c r="M4444" s="460">
        <f t="shared" si="189"/>
        <v>0.05</v>
      </c>
      <c r="N4444" s="464">
        <f t="shared" si="190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88"/>
        <v>-2671806372095.1006</v>
      </c>
      <c r="J4445" s="444">
        <f t="array" ref="J4445">IFERROR(INDEX('Retirement Calculator'!J:J,MATCH('Isaac 401k'!N4445,'Retirement Calculator'!A:A,0),0),0)</f>
        <v>0</v>
      </c>
      <c r="K4445" s="444">
        <f t="shared" ca="1" si="186"/>
        <v>-11132526550.396252</v>
      </c>
      <c r="L4445" s="444">
        <f t="shared" ca="1" si="187"/>
        <v>-2682938898645.4971</v>
      </c>
      <c r="M4445" s="460">
        <f t="shared" si="189"/>
        <v>0.05</v>
      </c>
      <c r="N4445" s="464">
        <f t="shared" si="190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88"/>
        <v>-2682938898645.4971</v>
      </c>
      <c r="J4446" s="444">
        <f t="array" ref="J4446">IFERROR(INDEX('Retirement Calculator'!J:J,MATCH('Isaac 401k'!N4446,'Retirement Calculator'!A:A,0),0),0)</f>
        <v>0</v>
      </c>
      <c r="K4446" s="444">
        <f t="shared" ca="1" si="186"/>
        <v>-11178912077.689571</v>
      </c>
      <c r="L4446" s="444">
        <f t="shared" ca="1" si="187"/>
        <v>-2694117810723.1865</v>
      </c>
      <c r="M4446" s="460">
        <f t="shared" si="189"/>
        <v>0.05</v>
      </c>
      <c r="N4446" s="464">
        <f t="shared" si="190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88"/>
        <v>-2694117810723.1865</v>
      </c>
      <c r="J4447" s="444">
        <f t="array" ref="J4447">IFERROR(INDEX('Retirement Calculator'!J:J,MATCH('Isaac 401k'!N4447,'Retirement Calculator'!A:A,0),0),0)</f>
        <v>0</v>
      </c>
      <c r="K4447" s="444">
        <f t="shared" ca="1" si="186"/>
        <v>-11225490878.013277</v>
      </c>
      <c r="L4447" s="444">
        <f t="shared" ca="1" si="187"/>
        <v>-2705343301601.1997</v>
      </c>
      <c r="M4447" s="460">
        <f t="shared" si="189"/>
        <v>0.05</v>
      </c>
      <c r="N4447" s="464">
        <f t="shared" si="190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88"/>
        <v>-2705343301601.1997</v>
      </c>
      <c r="J4448" s="444">
        <f t="array" ref="J4448">IFERROR(INDEX('Retirement Calculator'!J:J,MATCH('Isaac 401k'!N4448,'Retirement Calculator'!A:A,0),0),0)</f>
        <v>0</v>
      </c>
      <c r="K4448" s="444">
        <f t="shared" ca="1" si="186"/>
        <v>-11272263756.671665</v>
      </c>
      <c r="L4448" s="444">
        <f t="shared" ca="1" si="187"/>
        <v>-2716615565357.8716</v>
      </c>
      <c r="M4448" s="460">
        <f t="shared" si="189"/>
        <v>0.05</v>
      </c>
      <c r="N4448" s="464">
        <f t="shared" si="190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88"/>
        <v>-2716615565357.8716</v>
      </c>
      <c r="J4449" s="444">
        <f t="array" ref="J4449">IFERROR(INDEX('Retirement Calculator'!J:J,MATCH('Isaac 401k'!N4449,'Retirement Calculator'!A:A,0),0),0)</f>
        <v>0</v>
      </c>
      <c r="K4449" s="444">
        <f t="shared" ca="1" si="186"/>
        <v>-11319231522.324465</v>
      </c>
      <c r="L4449" s="444">
        <f t="shared" ca="1" si="187"/>
        <v>-2727934796880.1963</v>
      </c>
      <c r="M4449" s="460">
        <f t="shared" si="189"/>
        <v>0.05</v>
      </c>
      <c r="N4449" s="464">
        <f t="shared" si="190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88"/>
        <v>-2727934796880.1963</v>
      </c>
      <c r="J4450" s="444">
        <f t="array" ref="J4450">IFERROR(INDEX('Retirement Calculator'!J:J,MATCH('Isaac 401k'!N4450,'Retirement Calculator'!A:A,0),0),0)</f>
        <v>0</v>
      </c>
      <c r="K4450" s="444">
        <f t="shared" ca="1" si="186"/>
        <v>-11366394987.000818</v>
      </c>
      <c r="L4450" s="444">
        <f t="shared" ca="1" si="187"/>
        <v>-2739301191867.1973</v>
      </c>
      <c r="M4450" s="460">
        <f t="shared" si="189"/>
        <v>0.05</v>
      </c>
      <c r="N4450" s="464">
        <f t="shared" si="190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88"/>
        <v>-2739301191867.1973</v>
      </c>
      <c r="J4451" s="444">
        <f t="array" ref="J4451">IFERROR(INDEX('Retirement Calculator'!J:J,MATCH('Isaac 401k'!N4451,'Retirement Calculator'!A:A,0),0),0)</f>
        <v>0</v>
      </c>
      <c r="K4451" s="444">
        <f t="shared" ca="1" si="186"/>
        <v>-11413754966.113321</v>
      </c>
      <c r="L4451" s="444">
        <f t="shared" ca="1" si="187"/>
        <v>-2750714946833.3105</v>
      </c>
      <c r="M4451" s="460">
        <f t="shared" si="189"/>
        <v>0.05</v>
      </c>
      <c r="N4451" s="464">
        <f t="shared" si="190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88"/>
        <v>-2750714946833.3105</v>
      </c>
      <c r="J4452" s="444">
        <f t="array" ref="J4452">IFERROR(INDEX('Retirement Calculator'!J:J,MATCH('Isaac 401k'!N4452,'Retirement Calculator'!A:A,0),0),0)</f>
        <v>0</v>
      </c>
      <c r="K4452" s="444">
        <f t="shared" ca="1" si="186"/>
        <v>-11461312278.472128</v>
      </c>
      <c r="L4452" s="444">
        <f t="shared" ca="1" si="187"/>
        <v>-2762176259111.7827</v>
      </c>
      <c r="M4452" s="460">
        <f t="shared" si="189"/>
        <v>0.05</v>
      </c>
      <c r="N4452" s="464">
        <f t="shared" si="190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88"/>
        <v>-2762176259111.7827</v>
      </c>
      <c r="J4453" s="444">
        <f t="array" ref="J4453">IFERROR(INDEX('Retirement Calculator'!J:J,MATCH('Isaac 401k'!N4453,'Retirement Calculator'!A:A,0),0),0)</f>
        <v>0</v>
      </c>
      <c r="K4453" s="444">
        <f t="shared" ca="1" si="186"/>
        <v>-11509067746.299095</v>
      </c>
      <c r="L4453" s="444">
        <f t="shared" ca="1" si="187"/>
        <v>-2773685326858.082</v>
      </c>
      <c r="M4453" s="460">
        <f t="shared" si="189"/>
        <v>0.05</v>
      </c>
      <c r="N4453" s="464">
        <f t="shared" si="190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88"/>
        <v>-2773685326858.082</v>
      </c>
      <c r="J4454" s="444">
        <f t="array" ref="J4454">IFERROR(INDEX('Retirement Calculator'!J:J,MATCH('Isaac 401k'!N4454,'Retirement Calculator'!A:A,0),0),0)</f>
        <v>0</v>
      </c>
      <c r="K4454" s="444">
        <f t="shared" ca="1" si="186"/>
        <v>-11557022195.242008</v>
      </c>
      <c r="L4454" s="444">
        <f t="shared" ca="1" si="187"/>
        <v>-2785242349053.3242</v>
      </c>
      <c r="M4454" s="460">
        <f t="shared" si="189"/>
        <v>0.05</v>
      </c>
      <c r="N4454" s="464">
        <f t="shared" si="190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88"/>
        <v>-2785242349053.3242</v>
      </c>
      <c r="J4455" s="444">
        <f t="array" ref="J4455">IFERROR(INDEX('Retirement Calculator'!J:J,MATCH('Isaac 401k'!N4455,'Retirement Calculator'!A:A,0),0),0)</f>
        <v>0</v>
      </c>
      <c r="K4455" s="444">
        <f t="shared" ca="1" si="186"/>
        <v>-11605176454.388851</v>
      </c>
      <c r="L4455" s="444">
        <f t="shared" ca="1" si="187"/>
        <v>-2796847525507.7129</v>
      </c>
      <c r="M4455" s="460">
        <f t="shared" si="189"/>
        <v>0.05</v>
      </c>
      <c r="N4455" s="464">
        <f t="shared" si="190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88"/>
        <v>-2796847525507.7129</v>
      </c>
      <c r="J4456" s="444">
        <f t="array" ref="J4456">IFERROR(INDEX('Retirement Calculator'!J:J,MATCH('Isaac 401k'!N4456,'Retirement Calculator'!A:A,0),0),0)</f>
        <v>0</v>
      </c>
      <c r="K4456" s="444">
        <f t="shared" ca="1" si="186"/>
        <v>-11653531356.282137</v>
      </c>
      <c r="L4456" s="444">
        <f t="shared" ca="1" si="187"/>
        <v>-2808501056863.9951</v>
      </c>
      <c r="M4456" s="460">
        <f t="shared" si="189"/>
        <v>0.05</v>
      </c>
      <c r="N4456" s="464">
        <f t="shared" si="190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88"/>
        <v>-2808501056863.9951</v>
      </c>
      <c r="J4457" s="444">
        <f t="array" ref="J4457">IFERROR(INDEX('Retirement Calculator'!J:J,MATCH('Isaac 401k'!N4457,'Retirement Calculator'!A:A,0),0),0)</f>
        <v>0</v>
      </c>
      <c r="K4457" s="444">
        <f t="shared" ca="1" si="186"/>
        <v>-11702087736.933313</v>
      </c>
      <c r="L4457" s="444">
        <f t="shared" ca="1" si="187"/>
        <v>-2820203144600.9282</v>
      </c>
      <c r="M4457" s="460">
        <f t="shared" si="189"/>
        <v>0.05</v>
      </c>
      <c r="N4457" s="464">
        <f t="shared" si="190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88"/>
        <v>-2820203144600.9282</v>
      </c>
      <c r="J4458" s="444">
        <f t="array" ref="J4458">IFERROR(INDEX('Retirement Calculator'!J:J,MATCH('Isaac 401k'!N4458,'Retirement Calculator'!A:A,0),0),0)</f>
        <v>0</v>
      </c>
      <c r="K4458" s="444">
        <f t="shared" ca="1" si="186"/>
        <v>-11750846435.8372</v>
      </c>
      <c r="L4458" s="444">
        <f t="shared" ca="1" si="187"/>
        <v>-2831953991036.7656</v>
      </c>
      <c r="M4458" s="460">
        <f t="shared" si="189"/>
        <v>0.05</v>
      </c>
      <c r="N4458" s="464">
        <f t="shared" si="190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88"/>
        <v>-2831953991036.7656</v>
      </c>
      <c r="J4459" s="444">
        <f t="array" ref="J4459">IFERROR(INDEX('Retirement Calculator'!J:J,MATCH('Isaac 401k'!N4459,'Retirement Calculator'!A:A,0),0),0)</f>
        <v>0</v>
      </c>
      <c r="K4459" s="444">
        <f t="shared" ca="1" si="186"/>
        <v>-11799808295.986523</v>
      </c>
      <c r="L4459" s="444">
        <f t="shared" ca="1" si="187"/>
        <v>-2843753799332.752</v>
      </c>
      <c r="M4459" s="460">
        <f t="shared" si="189"/>
        <v>0.05</v>
      </c>
      <c r="N4459" s="464">
        <f t="shared" si="190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88"/>
        <v>-2843753799332.752</v>
      </c>
      <c r="J4460" s="444">
        <f t="array" ref="J4460">IFERROR(INDEX('Retirement Calculator'!J:J,MATCH('Isaac 401k'!N4460,'Retirement Calculator'!A:A,0),0),0)</f>
        <v>0</v>
      </c>
      <c r="K4460" s="444">
        <f t="shared" ca="1" si="186"/>
        <v>-11848974163.886467</v>
      </c>
      <c r="L4460" s="444">
        <f t="shared" ca="1" si="187"/>
        <v>-2855602773496.6382</v>
      </c>
      <c r="M4460" s="460">
        <f t="shared" si="189"/>
        <v>0.05</v>
      </c>
      <c r="N4460" s="464">
        <f t="shared" si="190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88"/>
        <v>-2855602773496.6382</v>
      </c>
      <c r="J4461" s="444">
        <f t="array" ref="J4461">IFERROR(INDEX('Retirement Calculator'!J:J,MATCH('Isaac 401k'!N4461,'Retirement Calculator'!A:A,0),0),0)</f>
        <v>0</v>
      </c>
      <c r="K4461" s="444">
        <f t="shared" ca="1" si="186"/>
        <v>-11898344889.569326</v>
      </c>
      <c r="L4461" s="444">
        <f t="shared" ca="1" si="187"/>
        <v>-2867501118386.2075</v>
      </c>
      <c r="M4461" s="460">
        <f t="shared" si="189"/>
        <v>0.05</v>
      </c>
      <c r="N4461" s="464">
        <f t="shared" si="190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88"/>
        <v>-2867501118386.2075</v>
      </c>
      <c r="J4462" s="444">
        <f t="array" ref="J4462">IFERROR(INDEX('Retirement Calculator'!J:J,MATCH('Isaac 401k'!N4462,'Retirement Calculator'!A:A,0),0),0)</f>
        <v>0</v>
      </c>
      <c r="K4462" s="444">
        <f t="shared" ca="1" si="186"/>
        <v>-11947921326.609198</v>
      </c>
      <c r="L4462" s="444">
        <f t="shared" ca="1" si="187"/>
        <v>-2879449039712.8169</v>
      </c>
      <c r="M4462" s="460">
        <f t="shared" si="189"/>
        <v>0.05</v>
      </c>
      <c r="N4462" s="464">
        <f t="shared" si="190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88"/>
        <v>-2879449039712.8169</v>
      </c>
      <c r="J4463" s="444">
        <f t="array" ref="J4463">IFERROR(INDEX('Retirement Calculator'!J:J,MATCH('Isaac 401k'!N4463,'Retirement Calculator'!A:A,0),0),0)</f>
        <v>0</v>
      </c>
      <c r="K4463" s="444">
        <f t="shared" ca="1" si="186"/>
        <v>-11997704332.136738</v>
      </c>
      <c r="L4463" s="444">
        <f t="shared" ca="1" si="187"/>
        <v>-2891446744044.9536</v>
      </c>
      <c r="M4463" s="460">
        <f t="shared" si="189"/>
        <v>0.05</v>
      </c>
      <c r="N4463" s="464">
        <f t="shared" si="190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88"/>
        <v>-2891446744044.9536</v>
      </c>
      <c r="J4464" s="444">
        <f t="array" ref="J4464">IFERROR(INDEX('Retirement Calculator'!J:J,MATCH('Isaac 401k'!N4464,'Retirement Calculator'!A:A,0),0),0)</f>
        <v>0</v>
      </c>
      <c r="K4464" s="444">
        <f t="shared" ca="1" si="186"/>
        <v>-12047694766.853973</v>
      </c>
      <c r="L4464" s="444">
        <f t="shared" ca="1" si="187"/>
        <v>-2903494438811.8076</v>
      </c>
      <c r="M4464" s="460">
        <f t="shared" si="189"/>
        <v>0.05</v>
      </c>
      <c r="N4464" s="464">
        <f t="shared" si="190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88"/>
        <v>-2903494438811.8076</v>
      </c>
      <c r="J4465" s="444">
        <f t="array" ref="J4465">IFERROR(INDEX('Retirement Calculator'!J:J,MATCH('Isaac 401k'!N4465,'Retirement Calculator'!A:A,0),0),0)</f>
        <v>0</v>
      </c>
      <c r="K4465" s="444">
        <f t="shared" ca="1" si="186"/>
        <v>-12097893495.049198</v>
      </c>
      <c r="L4465" s="444">
        <f t="shared" ca="1" si="187"/>
        <v>-2915592332306.8569</v>
      </c>
      <c r="M4465" s="460">
        <f t="shared" si="189"/>
        <v>0.05</v>
      </c>
      <c r="N4465" s="464">
        <f t="shared" si="190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88"/>
        <v>-2915592332306.8569</v>
      </c>
      <c r="J4466" s="444">
        <f t="array" ref="J4466">IFERROR(INDEX('Retirement Calculator'!J:J,MATCH('Isaac 401k'!N4466,'Retirement Calculator'!A:A,0),0),0)</f>
        <v>0</v>
      </c>
      <c r="K4466" s="444">
        <f t="shared" ca="1" si="186"/>
        <v>-12148301384.611904</v>
      </c>
      <c r="L4466" s="444">
        <f t="shared" ca="1" si="187"/>
        <v>-2927740633691.4688</v>
      </c>
      <c r="M4466" s="460">
        <f t="shared" si="189"/>
        <v>0.05</v>
      </c>
      <c r="N4466" s="464">
        <f t="shared" si="190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88"/>
        <v>-2927740633691.4688</v>
      </c>
      <c r="J4467" s="444">
        <f t="array" ref="J4467">IFERROR(INDEX('Retirement Calculator'!J:J,MATCH('Isaac 401k'!N4467,'Retirement Calculator'!A:A,0),0),0)</f>
        <v>0</v>
      </c>
      <c r="K4467" s="444">
        <f t="shared" ca="1" si="186"/>
        <v>-12198919307.047787</v>
      </c>
      <c r="L4467" s="444">
        <f t="shared" ca="1" si="187"/>
        <v>-2939939552998.5166</v>
      </c>
      <c r="M4467" s="460">
        <f t="shared" si="189"/>
        <v>0.05</v>
      </c>
      <c r="N4467" s="464">
        <f t="shared" si="190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88"/>
        <v>-2939939552998.5166</v>
      </c>
      <c r="J4468" s="444">
        <f t="array" ref="J4468">IFERROR(INDEX('Retirement Calculator'!J:J,MATCH('Isaac 401k'!N4468,'Retirement Calculator'!A:A,0),0),0)</f>
        <v>0</v>
      </c>
      <c r="K4468" s="444">
        <f t="shared" ca="1" si="186"/>
        <v>-12249748137.493818</v>
      </c>
      <c r="L4468" s="444">
        <f t="shared" ca="1" si="187"/>
        <v>-2952189301136.0103</v>
      </c>
      <c r="M4468" s="460">
        <f t="shared" si="189"/>
        <v>0.05</v>
      </c>
      <c r="N4468" s="464">
        <f t="shared" si="190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88"/>
        <v>-2952189301136.0103</v>
      </c>
      <c r="J4469" s="444">
        <f t="array" ref="J4469">IFERROR(INDEX('Retirement Calculator'!J:J,MATCH('Isaac 401k'!N4469,'Retirement Calculator'!A:A,0),0),0)</f>
        <v>0</v>
      </c>
      <c r="K4469" s="444">
        <f t="shared" ca="1" si="186"/>
        <v>-12300788754.733376</v>
      </c>
      <c r="L4469" s="444">
        <f t="shared" ca="1" si="187"/>
        <v>-2964490089890.7437</v>
      </c>
      <c r="M4469" s="460">
        <f t="shared" si="189"/>
        <v>0.05</v>
      </c>
      <c r="N4469" s="464">
        <f t="shared" si="190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88"/>
        <v>-2964490089890.7437</v>
      </c>
      <c r="J4470" s="444">
        <f t="array" ref="J4470">IFERROR(INDEX('Retirement Calculator'!J:J,MATCH('Isaac 401k'!N4470,'Retirement Calculator'!A:A,0),0),0)</f>
        <v>0</v>
      </c>
      <c r="K4470" s="444">
        <f t="shared" ca="1" si="186"/>
        <v>-12352042041.211432</v>
      </c>
      <c r="L4470" s="444">
        <f t="shared" ca="1" si="187"/>
        <v>-2976842131931.9551</v>
      </c>
      <c r="M4470" s="460">
        <f t="shared" si="189"/>
        <v>0.05</v>
      </c>
      <c r="N4470" s="464">
        <f t="shared" si="190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88"/>
        <v>-2976842131931.9551</v>
      </c>
      <c r="J4471" s="444">
        <f t="array" ref="J4471">IFERROR(INDEX('Retirement Calculator'!J:J,MATCH('Isaac 401k'!N4471,'Retirement Calculator'!A:A,0),0),0)</f>
        <v>0</v>
      </c>
      <c r="K4471" s="444">
        <f t="shared" ca="1" si="186"/>
        <v>-12403508883.049812</v>
      </c>
      <c r="L4471" s="444">
        <f t="shared" ca="1" si="187"/>
        <v>-2989245640815.0049</v>
      </c>
      <c r="M4471" s="460">
        <f t="shared" si="189"/>
        <v>0.05</v>
      </c>
      <c r="N4471" s="464">
        <f t="shared" si="190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88"/>
        <v>-2989245640815.0049</v>
      </c>
      <c r="J4472" s="444">
        <f t="array" ref="J4472">IFERROR(INDEX('Retirement Calculator'!J:J,MATCH('Isaac 401k'!N4472,'Retirement Calculator'!A:A,0),0),0)</f>
        <v>0</v>
      </c>
      <c r="K4472" s="444">
        <f t="shared" ca="1" si="186"/>
        <v>-12455190170.062521</v>
      </c>
      <c r="L4472" s="444">
        <f t="shared" ca="1" si="187"/>
        <v>-3001700830985.0674</v>
      </c>
      <c r="M4472" s="460">
        <f t="shared" si="189"/>
        <v>0.05</v>
      </c>
      <c r="N4472" s="464">
        <f t="shared" si="190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88"/>
        <v>-3001700830985.0674</v>
      </c>
      <c r="J4473" s="444">
        <f t="array" ref="J4473">IFERROR(INDEX('Retirement Calculator'!J:J,MATCH('Isaac 401k'!N4473,'Retirement Calculator'!A:A,0),0),0)</f>
        <v>0</v>
      </c>
      <c r="K4473" s="444">
        <f t="shared" ca="1" si="186"/>
        <v>-12507086795.771114</v>
      </c>
      <c r="L4473" s="444">
        <f t="shared" ca="1" si="187"/>
        <v>-3014207917780.8384</v>
      </c>
      <c r="M4473" s="460">
        <f t="shared" si="189"/>
        <v>0.05</v>
      </c>
      <c r="N4473" s="464">
        <f t="shared" si="190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88"/>
        <v>-3014207917780.8384</v>
      </c>
      <c r="J4474" s="444">
        <f t="array" ref="J4474">IFERROR(INDEX('Retirement Calculator'!J:J,MATCH('Isaac 401k'!N4474,'Retirement Calculator'!A:A,0),0),0)</f>
        <v>0</v>
      </c>
      <c r="K4474" s="444">
        <f t="shared" ca="1" si="186"/>
        <v>-12559199657.42016</v>
      </c>
      <c r="L4474" s="444">
        <f t="shared" ca="1" si="187"/>
        <v>-3026767117438.2583</v>
      </c>
      <c r="M4474" s="460">
        <f t="shared" si="189"/>
        <v>0.05</v>
      </c>
      <c r="N4474" s="464">
        <f t="shared" si="190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88"/>
        <v>-3026767117438.2583</v>
      </c>
      <c r="J4475" s="444">
        <f t="array" ref="J4475">IFERROR(INDEX('Retirement Calculator'!J:J,MATCH('Isaac 401k'!N4475,'Retirement Calculator'!A:A,0),0),0)</f>
        <v>0</v>
      </c>
      <c r="K4475" s="444">
        <f t="shared" ca="1" si="186"/>
        <v>-12611529655.992743</v>
      </c>
      <c r="L4475" s="444">
        <f t="shared" ca="1" si="187"/>
        <v>-3039378647094.251</v>
      </c>
      <c r="M4475" s="460">
        <f t="shared" si="189"/>
        <v>0.05</v>
      </c>
      <c r="N4475" s="464">
        <f t="shared" si="190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88"/>
        <v>-3039378647094.251</v>
      </c>
      <c r="J4476" s="444">
        <f t="array" ref="J4476">IFERROR(INDEX('Retirement Calculator'!J:J,MATCH('Isaac 401k'!N4476,'Retirement Calculator'!A:A,0),0),0)</f>
        <v>0</v>
      </c>
      <c r="K4476" s="444">
        <f t="shared" ca="1" si="186"/>
        <v>-12664077696.226046</v>
      </c>
      <c r="L4476" s="444">
        <f t="shared" ca="1" si="187"/>
        <v>-3052042724790.4771</v>
      </c>
      <c r="M4476" s="460">
        <f t="shared" si="189"/>
        <v>0.05</v>
      </c>
      <c r="N4476" s="464">
        <f t="shared" si="190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88"/>
        <v>-3052042724790.4771</v>
      </c>
      <c r="J4477" s="444">
        <f t="array" ref="J4477">IFERROR(INDEX('Retirement Calculator'!J:J,MATCH('Isaac 401k'!N4477,'Retirement Calculator'!A:A,0),0),0)</f>
        <v>0</v>
      </c>
      <c r="K4477" s="444">
        <f t="shared" ca="1" si="186"/>
        <v>-12716844686.626987</v>
      </c>
      <c r="L4477" s="444">
        <f t="shared" ca="1" si="187"/>
        <v>-3064759569477.104</v>
      </c>
      <c r="M4477" s="460">
        <f t="shared" si="189"/>
        <v>0.05</v>
      </c>
      <c r="N4477" s="464">
        <f t="shared" si="190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88"/>
        <v>-3064759569477.104</v>
      </c>
      <c r="J4478" s="444">
        <f t="array" ref="J4478">IFERROR(INDEX('Retirement Calculator'!J:J,MATCH('Isaac 401k'!N4478,'Retirement Calculator'!A:A,0),0),0)</f>
        <v>0</v>
      </c>
      <c r="K4478" s="444">
        <f t="shared" ca="1" si="186"/>
        <v>-12769831539.487934</v>
      </c>
      <c r="L4478" s="444">
        <f t="shared" ca="1" si="187"/>
        <v>-3077529401016.5918</v>
      </c>
      <c r="M4478" s="460">
        <f t="shared" si="189"/>
        <v>0.05</v>
      </c>
      <c r="N4478" s="464">
        <f t="shared" si="190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88"/>
        <v>-3077529401016.5918</v>
      </c>
      <c r="J4479" s="444">
        <f t="array" ref="J4479">IFERROR(INDEX('Retirement Calculator'!J:J,MATCH('Isaac 401k'!N4479,'Retirement Calculator'!A:A,0),0),0)</f>
        <v>0</v>
      </c>
      <c r="K4479" s="444">
        <f t="shared" ca="1" si="186"/>
        <v>-12823039170.902466</v>
      </c>
      <c r="L4479" s="444">
        <f t="shared" ca="1" si="187"/>
        <v>-3090352440187.4941</v>
      </c>
      <c r="M4479" s="460">
        <f t="shared" si="189"/>
        <v>0.05</v>
      </c>
      <c r="N4479" s="464">
        <f t="shared" si="190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88"/>
        <v>-3090352440187.4941</v>
      </c>
      <c r="J4480" s="444">
        <f t="array" ref="J4480">IFERROR(INDEX('Retirement Calculator'!J:J,MATCH('Isaac 401k'!N4480,'Retirement Calculator'!A:A,0),0),0)</f>
        <v>0</v>
      </c>
      <c r="K4480" s="444">
        <f t="shared" ca="1" si="186"/>
        <v>-12876468500.781225</v>
      </c>
      <c r="L4480" s="444">
        <f t="shared" ca="1" si="187"/>
        <v>-3103228908688.2754</v>
      </c>
      <c r="M4480" s="460">
        <f t="shared" si="189"/>
        <v>0.05</v>
      </c>
      <c r="N4480" s="464">
        <f t="shared" si="190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88"/>
        <v>-3103228908688.2754</v>
      </c>
      <c r="J4481" s="444">
        <f t="array" ref="J4481">IFERROR(INDEX('Retirement Calculator'!J:J,MATCH('Isaac 401k'!N4481,'Retirement Calculator'!A:A,0),0),0)</f>
        <v>0</v>
      </c>
      <c r="K4481" s="444">
        <f t="shared" ca="1" si="186"/>
        <v>-12930120452.867813</v>
      </c>
      <c r="L4481" s="444">
        <f t="shared" ca="1" si="187"/>
        <v>-3116159029141.1431</v>
      </c>
      <c r="M4481" s="460">
        <f t="shared" si="189"/>
        <v>0.05</v>
      </c>
      <c r="N4481" s="464">
        <f t="shared" si="190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88"/>
        <v>-3116159029141.1431</v>
      </c>
      <c r="J4482" s="444">
        <f t="array" ref="J4482">IFERROR(INDEX('Retirement Calculator'!J:J,MATCH('Isaac 401k'!N4482,'Retirement Calculator'!A:A,0),0),0)</f>
        <v>0</v>
      </c>
      <c r="K4482" s="444">
        <f t="shared" ca="1" si="186"/>
        <v>-12983995954.754763</v>
      </c>
      <c r="L4482" s="444">
        <f t="shared" ca="1" si="187"/>
        <v>-3129143025095.8979</v>
      </c>
      <c r="M4482" s="460">
        <f t="shared" si="189"/>
        <v>0.05</v>
      </c>
      <c r="N4482" s="464">
        <f t="shared" si="190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88"/>
        <v>-3129143025095.8979</v>
      </c>
      <c r="J4483" s="444">
        <f t="array" ref="J4483">IFERROR(INDEX('Retirement Calculator'!J:J,MATCH('Isaac 401k'!N4483,'Retirement Calculator'!A:A,0),0),0)</f>
        <v>0</v>
      </c>
      <c r="K4483" s="444">
        <f t="shared" ca="1" si="186"/>
        <v>-13038095937.899574</v>
      </c>
      <c r="L4483" s="444">
        <f t="shared" ca="1" si="187"/>
        <v>-3142181121033.7974</v>
      </c>
      <c r="M4483" s="460">
        <f t="shared" si="189"/>
        <v>0.05</v>
      </c>
      <c r="N4483" s="464">
        <f t="shared" si="190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88"/>
        <v>-3142181121033.7974</v>
      </c>
      <c r="J4484" s="444">
        <f t="array" ref="J4484">IFERROR(INDEX('Retirement Calculator'!J:J,MATCH('Isaac 401k'!N4484,'Retirement Calculator'!A:A,0),0),0)</f>
        <v>0</v>
      </c>
      <c r="K4484" s="444">
        <f t="shared" ca="1" si="186"/>
        <v>-13092421337.640821</v>
      </c>
      <c r="L4484" s="444">
        <f t="shared" ca="1" si="187"/>
        <v>-3155273542371.438</v>
      </c>
      <c r="M4484" s="460">
        <f t="shared" si="189"/>
        <v>0.05</v>
      </c>
      <c r="N4484" s="464">
        <f t="shared" si="190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88"/>
        <v>-3155273542371.438</v>
      </c>
      <c r="J4485" s="444">
        <f t="array" ref="J4485">IFERROR(INDEX('Retirement Calculator'!J:J,MATCH('Isaac 401k'!N4485,'Retirement Calculator'!A:A,0),0),0)</f>
        <v>0</v>
      </c>
      <c r="K4485" s="444">
        <f t="shared" ca="1" si="186"/>
        <v>-13146973093.214325</v>
      </c>
      <c r="L4485" s="444">
        <f t="shared" ca="1" si="187"/>
        <v>-3168420515464.6523</v>
      </c>
      <c r="M4485" s="460">
        <f t="shared" si="189"/>
        <v>0.05</v>
      </c>
      <c r="N4485" s="464">
        <f t="shared" si="190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88"/>
        <v>-3168420515464.6523</v>
      </c>
      <c r="J4486" s="444">
        <f t="array" ref="J4486">IFERROR(INDEX('Retirement Calculator'!J:J,MATCH('Isaac 401k'!N4486,'Retirement Calculator'!A:A,0),0),0)</f>
        <v>0</v>
      </c>
      <c r="K4486" s="444">
        <f t="shared" ca="1" si="186"/>
        <v>-13201752147.769384</v>
      </c>
      <c r="L4486" s="444">
        <f t="shared" ca="1" si="187"/>
        <v>-3181622267612.4219</v>
      </c>
      <c r="M4486" s="460">
        <f t="shared" si="189"/>
        <v>0.05</v>
      </c>
      <c r="N4486" s="464">
        <f t="shared" si="190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88"/>
        <v>-3181622267612.4219</v>
      </c>
      <c r="J4487" s="444">
        <f t="array" ref="J4487">IFERROR(INDEX('Retirement Calculator'!J:J,MATCH('Isaac 401k'!N4487,'Retirement Calculator'!A:A,0),0),0)</f>
        <v>0</v>
      </c>
      <c r="K4487" s="444">
        <f t="shared" ca="1" si="186"/>
        <v>-13256759448.385092</v>
      </c>
      <c r="L4487" s="444">
        <f t="shared" ca="1" si="187"/>
        <v>-3194879027060.8071</v>
      </c>
      <c r="M4487" s="460">
        <f t="shared" si="189"/>
        <v>0.05</v>
      </c>
      <c r="N4487" s="464">
        <f t="shared" si="190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88"/>
        <v>-3194879027060.8071</v>
      </c>
      <c r="J4488" s="444">
        <f t="array" ref="J4488">IFERROR(INDEX('Retirement Calculator'!J:J,MATCH('Isaac 401k'!N4488,'Retirement Calculator'!A:A,0),0),0)</f>
        <v>0</v>
      </c>
      <c r="K4488" s="444">
        <f t="shared" ca="1" si="186"/>
        <v>-13311995946.086697</v>
      </c>
      <c r="L4488" s="444">
        <f t="shared" ca="1" si="187"/>
        <v>-3208191023006.894</v>
      </c>
      <c r="M4488" s="460">
        <f t="shared" si="189"/>
        <v>0.05</v>
      </c>
      <c r="N4488" s="464">
        <f t="shared" si="190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88"/>
        <v>-3208191023006.894</v>
      </c>
      <c r="J4489" s="444">
        <f t="array" ref="J4489">IFERROR(INDEX('Retirement Calculator'!J:J,MATCH('Isaac 401k'!N4489,'Retirement Calculator'!A:A,0),0),0)</f>
        <v>0</v>
      </c>
      <c r="K4489" s="444">
        <f t="shared" ca="1" si="186"/>
        <v>-13367462595.862059</v>
      </c>
      <c r="L4489" s="444">
        <f t="shared" ca="1" si="187"/>
        <v>-3221558485602.7559</v>
      </c>
      <c r="M4489" s="460">
        <f t="shared" si="189"/>
        <v>0.05</v>
      </c>
      <c r="N4489" s="464">
        <f t="shared" si="190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88"/>
        <v>-3221558485602.7559</v>
      </c>
      <c r="J4490" s="444">
        <f t="array" ref="J4490">IFERROR(INDEX('Retirement Calculator'!J:J,MATCH('Isaac 401k'!N4490,'Retirement Calculator'!A:A,0),0),0)</f>
        <v>0</v>
      </c>
      <c r="K4490" s="444">
        <f t="shared" ca="1" si="186"/>
        <v>-13423160356.67815</v>
      </c>
      <c r="L4490" s="444">
        <f t="shared" ca="1" si="187"/>
        <v>-3234981645959.4341</v>
      </c>
      <c r="M4490" s="460">
        <f t="shared" si="189"/>
        <v>0.05</v>
      </c>
      <c r="N4490" s="464">
        <f t="shared" si="190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88"/>
        <v>-3234981645959.4341</v>
      </c>
      <c r="J4491" s="444">
        <f t="array" ref="J4491">IFERROR(INDEX('Retirement Calculator'!J:J,MATCH('Isaac 401k'!N4491,'Retirement Calculator'!A:A,0),0),0)</f>
        <v>0</v>
      </c>
      <c r="K4491" s="444">
        <f t="shared" ca="1" si="186"/>
        <v>-13479090191.497643</v>
      </c>
      <c r="L4491" s="444">
        <f t="shared" ca="1" si="187"/>
        <v>-3248460736150.9316</v>
      </c>
      <c r="M4491" s="460">
        <f t="shared" si="189"/>
        <v>0.05</v>
      </c>
      <c r="N4491" s="464">
        <f t="shared" si="190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88"/>
        <v>-3248460736150.9316</v>
      </c>
      <c r="J4492" s="444">
        <f t="array" ref="J4492">IFERROR(INDEX('Retirement Calculator'!J:J,MATCH('Isaac 401k'!N4492,'Retirement Calculator'!A:A,0),0),0)</f>
        <v>0</v>
      </c>
      <c r="K4492" s="444">
        <f t="shared" ca="1" si="186"/>
        <v>-13535253067.295547</v>
      </c>
      <c r="L4492" s="444">
        <f t="shared" ca="1" si="187"/>
        <v>-3261995989218.2271</v>
      </c>
      <c r="M4492" s="460">
        <f t="shared" si="189"/>
        <v>0.05</v>
      </c>
      <c r="N4492" s="464">
        <f t="shared" si="190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88"/>
        <v>-3261995989218.2271</v>
      </c>
      <c r="J4493" s="444">
        <f t="array" ref="J4493">IFERROR(INDEX('Retirement Calculator'!J:J,MATCH('Isaac 401k'!N4493,'Retirement Calculator'!A:A,0),0),0)</f>
        <v>0</v>
      </c>
      <c r="K4493" s="444">
        <f t="shared" ca="1" si="186"/>
        <v>-13591649955.075947</v>
      </c>
      <c r="L4493" s="444">
        <f t="shared" ca="1" si="187"/>
        <v>-3275587639173.3032</v>
      </c>
      <c r="M4493" s="460">
        <f t="shared" si="189"/>
        <v>0.05</v>
      </c>
      <c r="N4493" s="464">
        <f t="shared" si="190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88"/>
        <v>-3275587639173.3032</v>
      </c>
      <c r="J4494" s="444">
        <f t="array" ref="J4494">IFERROR(INDEX('Retirement Calculator'!J:J,MATCH('Isaac 401k'!N4494,'Retirement Calculator'!A:A,0),0),0)</f>
        <v>0</v>
      </c>
      <c r="K4494" s="444">
        <f t="shared" ca="1" si="186"/>
        <v>-13648281829.888763</v>
      </c>
      <c r="L4494" s="444">
        <f t="shared" ca="1" si="187"/>
        <v>-3289235921003.1919</v>
      </c>
      <c r="M4494" s="460">
        <f t="shared" si="189"/>
        <v>0.05</v>
      </c>
      <c r="N4494" s="464">
        <f t="shared" si="190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88"/>
        <v>-3289235921003.1919</v>
      </c>
      <c r="J4495" s="444">
        <f t="array" ref="J4495">IFERROR(INDEX('Retirement Calculator'!J:J,MATCH('Isaac 401k'!N4495,'Retirement Calculator'!A:A,0),0),0)</f>
        <v>0</v>
      </c>
      <c r="K4495" s="444">
        <f t="shared" ca="1" si="186"/>
        <v>-13705149670.846632</v>
      </c>
      <c r="L4495" s="444">
        <f t="shared" ca="1" si="187"/>
        <v>-3302941070674.0386</v>
      </c>
      <c r="M4495" s="460">
        <f t="shared" si="189"/>
        <v>0.05</v>
      </c>
      <c r="N4495" s="464">
        <f t="shared" si="190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88"/>
        <v>-3302941070674.0386</v>
      </c>
      <c r="J4496" s="444">
        <f t="array" ref="J4496">IFERROR(INDEX('Retirement Calculator'!J:J,MATCH('Isaac 401k'!N4496,'Retirement Calculator'!A:A,0),0),0)</f>
        <v>0</v>
      </c>
      <c r="K4496" s="444">
        <f t="shared" ca="1" si="186"/>
        <v>-13762254461.141827</v>
      </c>
      <c r="L4496" s="444">
        <f t="shared" ca="1" si="187"/>
        <v>-3316703325135.1802</v>
      </c>
      <c r="M4496" s="460">
        <f t="shared" si="189"/>
        <v>0.05</v>
      </c>
      <c r="N4496" s="464">
        <f t="shared" si="190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88"/>
        <v>-3316703325135.1802</v>
      </c>
      <c r="J4497" s="444">
        <f t="array" ref="J4497">IFERROR(INDEX('Retirement Calculator'!J:J,MATCH('Isaac 401k'!N4497,'Retirement Calculator'!A:A,0),0),0)</f>
        <v>0</v>
      </c>
      <c r="K4497" s="444">
        <f t="shared" ca="1" si="186"/>
        <v>-13819597188.06325</v>
      </c>
      <c r="L4497" s="444">
        <f t="shared" ca="1" si="187"/>
        <v>-3330522922323.2437</v>
      </c>
      <c r="M4497" s="460">
        <f t="shared" si="189"/>
        <v>0.05</v>
      </c>
      <c r="N4497" s="464">
        <f t="shared" si="190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88"/>
        <v>-3330522922323.2437</v>
      </c>
      <c r="J4498" s="444">
        <f t="array" ref="J4498">IFERROR(INDEX('Retirement Calculator'!J:J,MATCH('Isaac 401k'!N4498,'Retirement Calculator'!A:A,0),0),0)</f>
        <v>0</v>
      </c>
      <c r="K4498" s="444">
        <f t="shared" ca="1" si="186"/>
        <v>-13877178843.013515</v>
      </c>
      <c r="L4498" s="444">
        <f t="shared" ca="1" si="187"/>
        <v>-3344400101166.2573</v>
      </c>
      <c r="M4498" s="460">
        <f t="shared" si="189"/>
        <v>0.05</v>
      </c>
      <c r="N4498" s="464">
        <f t="shared" si="190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88"/>
        <v>-3344400101166.2573</v>
      </c>
      <c r="J4499" s="444">
        <f t="array" ref="J4499">IFERROR(INDEX('Retirement Calculator'!J:J,MATCH('Isaac 401k'!N4499,'Retirement Calculator'!A:A,0),0),0)</f>
        <v>0</v>
      </c>
      <c r="K4499" s="444">
        <f t="shared" ca="1" si="186"/>
        <v>-13935000421.526072</v>
      </c>
      <c r="L4499" s="444">
        <f t="shared" ca="1" si="187"/>
        <v>-3358335101587.7832</v>
      </c>
      <c r="M4499" s="460">
        <f t="shared" si="189"/>
        <v>0.05</v>
      </c>
      <c r="N4499" s="464">
        <f t="shared" si="190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88"/>
        <v>-3358335101587.7832</v>
      </c>
      <c r="J4500" s="444">
        <f t="array" ref="J4500">IFERROR(INDEX('Retirement Calculator'!J:J,MATCH('Isaac 401k'!N4500,'Retirement Calculator'!A:A,0),0),0)</f>
        <v>0</v>
      </c>
      <c r="K4500" s="444">
        <f t="shared" ca="1" si="186"/>
        <v>-13993062923.282431</v>
      </c>
      <c r="L4500" s="444">
        <f t="shared" ca="1" si="187"/>
        <v>-3372328164511.0654</v>
      </c>
      <c r="M4500" s="460">
        <f t="shared" si="189"/>
        <v>0.05</v>
      </c>
      <c r="N4500" s="464">
        <f t="shared" si="190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88"/>
        <v>-3372328164511.0654</v>
      </c>
      <c r="J4501" s="444">
        <f t="array" ref="J4501">IFERROR(INDEX('Retirement Calculator'!J:J,MATCH('Isaac 401k'!N4501,'Retirement Calculator'!A:A,0),0),0)</f>
        <v>0</v>
      </c>
      <c r="K4501" s="444">
        <f t="shared" ca="1" si="186"/>
        <v>-14051367352.129438</v>
      </c>
      <c r="L4501" s="444">
        <f t="shared" ca="1" si="187"/>
        <v>-3386379531863.1948</v>
      </c>
      <c r="M4501" s="460">
        <f t="shared" si="189"/>
        <v>0.05</v>
      </c>
      <c r="N4501" s="464">
        <f t="shared" si="190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88"/>
        <v>-3386379531863.1948</v>
      </c>
      <c r="J4502" s="444">
        <f t="array" ref="J4502">IFERROR(INDEX('Retirement Calculator'!J:J,MATCH('Isaac 401k'!N4502,'Retirement Calculator'!A:A,0),0),0)</f>
        <v>0</v>
      </c>
      <c r="K4502" s="444">
        <f t="shared" ca="1" si="186"/>
        <v>-14109914716.096645</v>
      </c>
      <c r="L4502" s="444">
        <f t="shared" ca="1" si="187"/>
        <v>-3400489446579.2915</v>
      </c>
      <c r="M4502" s="460">
        <f t="shared" si="189"/>
        <v>0.05</v>
      </c>
      <c r="N4502" s="464">
        <f t="shared" si="190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88"/>
        <v>-3400489446579.2915</v>
      </c>
      <c r="J4503" s="444">
        <f t="array" ref="J4503">IFERROR(INDEX('Retirement Calculator'!J:J,MATCH('Isaac 401k'!N4503,'Retirement Calculator'!A:A,0),0),0)</f>
        <v>0</v>
      </c>
      <c r="K4503" s="444">
        <f t="shared" ca="1" si="186"/>
        <v>-14168706027.413713</v>
      </c>
      <c r="L4503" s="444">
        <f t="shared" ca="1" si="187"/>
        <v>-3414658152606.7051</v>
      </c>
      <c r="M4503" s="460">
        <f t="shared" si="189"/>
        <v>0.05</v>
      </c>
      <c r="N4503" s="464">
        <f t="shared" si="190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88"/>
        <v>-3414658152606.7051</v>
      </c>
      <c r="J4504" s="444">
        <f t="array" ref="J4504">IFERROR(INDEX('Retirement Calculator'!J:J,MATCH('Isaac 401k'!N4504,'Retirement Calculator'!A:A,0),0),0)</f>
        <v>0</v>
      </c>
      <c r="K4504" s="444">
        <f t="shared" ca="1" si="186"/>
        <v>-14227742302.527937</v>
      </c>
      <c r="L4504" s="444">
        <f t="shared" ca="1" si="187"/>
        <v>-3428885894909.2329</v>
      </c>
      <c r="M4504" s="460">
        <f t="shared" si="189"/>
        <v>0.05</v>
      </c>
      <c r="N4504" s="464">
        <f t="shared" si="190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88"/>
        <v>-3428885894909.2329</v>
      </c>
      <c r="J4505" s="444">
        <f t="array" ref="J4505">IFERROR(INDEX('Retirement Calculator'!J:J,MATCH('Isaac 401k'!N4505,'Retirement Calculator'!A:A,0),0),0)</f>
        <v>0</v>
      </c>
      <c r="K4505" s="444">
        <f t="shared" ca="1" si="186"/>
        <v>-14287024562.121803</v>
      </c>
      <c r="L4505" s="444">
        <f t="shared" ca="1" si="187"/>
        <v>-3443172919471.3545</v>
      </c>
      <c r="M4505" s="460">
        <f t="shared" si="189"/>
        <v>0.05</v>
      </c>
      <c r="N4505" s="464">
        <f t="shared" si="190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88"/>
        <v>-3443172919471.3545</v>
      </c>
      <c r="J4506" s="444">
        <f t="array" ref="J4506">IFERROR(INDEX('Retirement Calculator'!J:J,MATCH('Isaac 401k'!N4506,'Retirement Calculator'!A:A,0),0),0)</f>
        <v>0</v>
      </c>
      <c r="K4506" s="444">
        <f t="shared" ca="1" si="186"/>
        <v>-14346553831.130644</v>
      </c>
      <c r="L4506" s="444">
        <f t="shared" ca="1" si="187"/>
        <v>-3457519473302.4854</v>
      </c>
      <c r="M4506" s="460">
        <f t="shared" si="189"/>
        <v>0.05</v>
      </c>
      <c r="N4506" s="464">
        <f t="shared" si="190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88"/>
        <v>-3457519473302.4854</v>
      </c>
      <c r="J4507" s="444">
        <f t="array" ref="J4507">IFERROR(INDEX('Retirement Calculator'!J:J,MATCH('Isaac 401k'!N4507,'Retirement Calculator'!A:A,0),0),0)</f>
        <v>0</v>
      </c>
      <c r="K4507" s="444">
        <f t="shared" ca="1" si="186"/>
        <v>-14406331138.760355</v>
      </c>
      <c r="L4507" s="444">
        <f t="shared" ca="1" si="187"/>
        <v>-3471925804441.2456</v>
      </c>
      <c r="M4507" s="460">
        <f t="shared" si="189"/>
        <v>0.05</v>
      </c>
      <c r="N4507" s="464">
        <f t="shared" si="190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88"/>
        <v>-3471925804441.2456</v>
      </c>
      <c r="J4508" s="444">
        <f t="array" ref="J4508">IFERROR(INDEX('Retirement Calculator'!J:J,MATCH('Isaac 401k'!N4508,'Retirement Calculator'!A:A,0),0),0)</f>
        <v>0</v>
      </c>
      <c r="K4508" s="444">
        <f t="shared" ca="1" si="186"/>
        <v>-14466357518.50519</v>
      </c>
      <c r="L4508" s="444">
        <f t="shared" ca="1" si="187"/>
        <v>-3486392161959.751</v>
      </c>
      <c r="M4508" s="460">
        <f t="shared" si="189"/>
        <v>0.05</v>
      </c>
      <c r="N4508" s="464">
        <f t="shared" si="190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88"/>
        <v>-3486392161959.751</v>
      </c>
      <c r="J4509" s="444">
        <f t="array" ref="J4509">IFERROR(INDEX('Retirement Calculator'!J:J,MATCH('Isaac 401k'!N4509,'Retirement Calculator'!A:A,0),0),0)</f>
        <v>0</v>
      </c>
      <c r="K4509" s="444">
        <f t="shared" ca="1" si="186"/>
        <v>-14526634008.165627</v>
      </c>
      <c r="L4509" s="444">
        <f t="shared" ca="1" si="187"/>
        <v>-3500918795967.9165</v>
      </c>
      <c r="M4509" s="460">
        <f t="shared" si="189"/>
        <v>0.05</v>
      </c>
      <c r="N4509" s="464">
        <f t="shared" si="190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88"/>
        <v>-3500918795967.9165</v>
      </c>
      <c r="J4510" s="444">
        <f t="array" ref="J4510">IFERROR(INDEX('Retirement Calculator'!J:J,MATCH('Isaac 401k'!N4510,'Retirement Calculator'!A:A,0),0),0)</f>
        <v>0</v>
      </c>
      <c r="K4510" s="444">
        <f t="shared" ca="1" si="186"/>
        <v>-14587161649.866316</v>
      </c>
      <c r="L4510" s="444">
        <f t="shared" ca="1" si="187"/>
        <v>-3515505957617.7827</v>
      </c>
      <c r="M4510" s="460">
        <f t="shared" si="189"/>
        <v>0.05</v>
      </c>
      <c r="N4510" s="464">
        <f t="shared" si="190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88"/>
        <v>-3515505957617.7827</v>
      </c>
      <c r="J4511" s="444">
        <f t="array" ref="J4511">IFERROR(INDEX('Retirement Calculator'!J:J,MATCH('Isaac 401k'!N4511,'Retirement Calculator'!A:A,0),0),0)</f>
        <v>0</v>
      </c>
      <c r="K4511" s="444">
        <f t="shared" ca="1" si="186"/>
        <v>-14647941490.074095</v>
      </c>
      <c r="L4511" s="444">
        <f t="shared" ca="1" si="187"/>
        <v>-3530153899107.8569</v>
      </c>
      <c r="M4511" s="460">
        <f t="shared" si="189"/>
        <v>0.05</v>
      </c>
      <c r="N4511" s="464">
        <f t="shared" si="190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88"/>
        <v>-3530153899107.8569</v>
      </c>
      <c r="J4512" s="444">
        <f t="array" ref="J4512">IFERROR(INDEX('Retirement Calculator'!J:J,MATCH('Isaac 401k'!N4512,'Retirement Calculator'!A:A,0),0),0)</f>
        <v>0</v>
      </c>
      <c r="K4512" s="444">
        <f t="shared" ca="1" si="186"/>
        <v>-14708974579.61607</v>
      </c>
      <c r="L4512" s="444">
        <f t="shared" ca="1" si="187"/>
        <v>-3544862873687.4731</v>
      </c>
      <c r="M4512" s="460">
        <f t="shared" si="189"/>
        <v>0.05</v>
      </c>
      <c r="N4512" s="464">
        <f t="shared" si="190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88"/>
        <v>-3544862873687.4731</v>
      </c>
      <c r="J4513" s="444">
        <f t="array" ref="J4513">IFERROR(INDEX('Retirement Calculator'!J:J,MATCH('Isaac 401k'!N4513,'Retirement Calculator'!A:A,0),0),0)</f>
        <v>0</v>
      </c>
      <c r="K4513" s="444">
        <f t="shared" ca="1" si="186"/>
        <v>-14770261973.697805</v>
      </c>
      <c r="L4513" s="444">
        <f t="shared" ca="1" si="187"/>
        <v>-3559633135661.1709</v>
      </c>
      <c r="M4513" s="460">
        <f t="shared" si="189"/>
        <v>0.05</v>
      </c>
      <c r="N4513" s="464">
        <f t="shared" si="190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88"/>
        <v>-3559633135661.1709</v>
      </c>
      <c r="J4514" s="444">
        <f t="array" ref="J4514">IFERROR(INDEX('Retirement Calculator'!J:J,MATCH('Isaac 401k'!N4514,'Retirement Calculator'!A:A,0),0),0)</f>
        <v>0</v>
      </c>
      <c r="K4514" s="444">
        <f t="shared" ca="1" si="186"/>
        <v>-14831804731.921545</v>
      </c>
      <c r="L4514" s="444">
        <f t="shared" ca="1" si="187"/>
        <v>-3574464940393.0923</v>
      </c>
      <c r="M4514" s="460">
        <f t="shared" si="189"/>
        <v>0.05</v>
      </c>
      <c r="N4514" s="464">
        <f t="shared" si="190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88"/>
        <v>-3574464940393.0923</v>
      </c>
      <c r="J4515" s="444">
        <f t="array" ref="J4515">IFERROR(INDEX('Retirement Calculator'!J:J,MATCH('Isaac 401k'!N4515,'Retirement Calculator'!A:A,0),0),0)</f>
        <v>0</v>
      </c>
      <c r="K4515" s="444">
        <f t="shared" ca="1" si="186"/>
        <v>-14893603918.30455</v>
      </c>
      <c r="L4515" s="444">
        <f t="shared" ca="1" si="187"/>
        <v>-3589358544311.397</v>
      </c>
      <c r="M4515" s="460">
        <f t="shared" si="189"/>
        <v>0.05</v>
      </c>
      <c r="N4515" s="464">
        <f t="shared" si="190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88"/>
        <v>-3589358544311.397</v>
      </c>
      <c r="J4516" s="444">
        <f t="array" ref="J4516">IFERROR(INDEX('Retirement Calculator'!J:J,MATCH('Isaac 401k'!N4516,'Retirement Calculator'!A:A,0),0),0)</f>
        <v>0</v>
      </c>
      <c r="K4516" s="444">
        <f t="shared" ca="1" si="186"/>
        <v>-14955660601.297487</v>
      </c>
      <c r="L4516" s="444">
        <f t="shared" ca="1" si="187"/>
        <v>-3604314204912.6943</v>
      </c>
      <c r="M4516" s="460">
        <f t="shared" si="189"/>
        <v>0.05</v>
      </c>
      <c r="N4516" s="464">
        <f t="shared" si="190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88"/>
        <v>-3604314204912.6943</v>
      </c>
      <c r="J4517" s="444">
        <f t="array" ref="J4517">IFERROR(INDEX('Retirement Calculator'!J:J,MATCH('Isaac 401k'!N4517,'Retirement Calculator'!A:A,0),0),0)</f>
        <v>0</v>
      </c>
      <c r="K4517" s="444">
        <f t="shared" ca="1" si="186"/>
        <v>-15017975853.802895</v>
      </c>
      <c r="L4517" s="444">
        <f t="shared" ca="1" si="187"/>
        <v>-3619332180766.4971</v>
      </c>
      <c r="M4517" s="460">
        <f t="shared" si="189"/>
        <v>0.05</v>
      </c>
      <c r="N4517" s="464">
        <f t="shared" si="190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88"/>
        <v>-3619332180766.4971</v>
      </c>
      <c r="J4518" s="444">
        <f t="array" ref="J4518">IFERROR(INDEX('Retirement Calculator'!J:J,MATCH('Isaac 401k'!N4518,'Retirement Calculator'!A:A,0),0),0)</f>
        <v>0</v>
      </c>
      <c r="K4518" s="444">
        <f t="shared" ca="1" si="186"/>
        <v>-15080550753.193737</v>
      </c>
      <c r="L4518" s="444">
        <f t="shared" ca="1" si="187"/>
        <v>-3634412731519.6909</v>
      </c>
      <c r="M4518" s="460">
        <f t="shared" si="189"/>
        <v>0.05</v>
      </c>
      <c r="N4518" s="464">
        <f t="shared" si="190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88"/>
        <v>-3634412731519.6909</v>
      </c>
      <c r="J4519" s="444">
        <f t="array" ref="J4519">IFERROR(INDEX('Retirement Calculator'!J:J,MATCH('Isaac 401k'!N4519,'Retirement Calculator'!A:A,0),0),0)</f>
        <v>0</v>
      </c>
      <c r="K4519" s="444">
        <f t="shared" ca="1" si="186"/>
        <v>-15143386381.332043</v>
      </c>
      <c r="L4519" s="444">
        <f t="shared" ca="1" si="187"/>
        <v>-3649556117901.0229</v>
      </c>
      <c r="M4519" s="460">
        <f t="shared" si="189"/>
        <v>0.05</v>
      </c>
      <c r="N4519" s="464">
        <f t="shared" si="190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88"/>
        <v>-3649556117901.0229</v>
      </c>
      <c r="J4520" s="444">
        <f t="array" ref="J4520">IFERROR(INDEX('Retirement Calculator'!J:J,MATCH('Isaac 401k'!N4520,'Retirement Calculator'!A:A,0),0),0)</f>
        <v>0</v>
      </c>
      <c r="K4520" s="444">
        <f t="shared" ca="1" si="186"/>
        <v>-15206483824.587593</v>
      </c>
      <c r="L4520" s="444">
        <f t="shared" ca="1" si="187"/>
        <v>-3664762601725.6104</v>
      </c>
      <c r="M4520" s="460">
        <f t="shared" si="189"/>
        <v>0.05</v>
      </c>
      <c r="N4520" s="464">
        <f t="shared" si="190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88"/>
        <v>-3664762601725.6104</v>
      </c>
      <c r="J4521" s="444">
        <f t="array" ref="J4521">IFERROR(INDEX('Retirement Calculator'!J:J,MATCH('Isaac 401k'!N4521,'Retirement Calculator'!A:A,0),0),0)</f>
        <v>0</v>
      </c>
      <c r="K4521" s="444">
        <f t="shared" ca="1" si="186"/>
        <v>-15269844173.85671</v>
      </c>
      <c r="L4521" s="444">
        <f t="shared" ca="1" si="187"/>
        <v>-3680032445899.4673</v>
      </c>
      <c r="M4521" s="460">
        <f t="shared" si="189"/>
        <v>0.05</v>
      </c>
      <c r="N4521" s="464">
        <f t="shared" si="190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88"/>
        <v>-3680032445899.4673</v>
      </c>
      <c r="J4522" s="444">
        <f t="array" ref="J4522">IFERROR(INDEX('Retirement Calculator'!J:J,MATCH('Isaac 401k'!N4522,'Retirement Calculator'!A:A,0),0),0)</f>
        <v>0</v>
      </c>
      <c r="K4522" s="444">
        <f t="shared" ca="1" si="186"/>
        <v>-15333468524.581112</v>
      </c>
      <c r="L4522" s="444">
        <f t="shared" ca="1" si="187"/>
        <v>-3695365914424.0483</v>
      </c>
      <c r="M4522" s="460">
        <f t="shared" si="189"/>
        <v>0.05</v>
      </c>
      <c r="N4522" s="464">
        <f t="shared" si="190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88"/>
        <v>-3695365914424.0483</v>
      </c>
      <c r="J4523" s="444">
        <f t="array" ref="J4523">IFERROR(INDEX('Retirement Calculator'!J:J,MATCH('Isaac 401k'!N4523,'Retirement Calculator'!A:A,0),0),0)</f>
        <v>0</v>
      </c>
      <c r="K4523" s="444">
        <f t="shared" ca="1" si="186"/>
        <v>-15397357976.766869</v>
      </c>
      <c r="L4523" s="444">
        <f t="shared" ca="1" si="187"/>
        <v>-3710763272400.8154</v>
      </c>
      <c r="M4523" s="460">
        <f t="shared" si="189"/>
        <v>0.05</v>
      </c>
      <c r="N4523" s="464">
        <f t="shared" si="190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88"/>
        <v>-3710763272400.8154</v>
      </c>
      <c r="J4524" s="444">
        <f t="array" ref="J4524">IFERROR(INDEX('Retirement Calculator'!J:J,MATCH('Isaac 401k'!N4524,'Retirement Calculator'!A:A,0),0),0)</f>
        <v>0</v>
      </c>
      <c r="K4524" s="444">
        <f t="shared" ca="1" si="186"/>
        <v>-15461513635.003397</v>
      </c>
      <c r="L4524" s="444">
        <f t="shared" ca="1" si="187"/>
        <v>-3726224786035.8188</v>
      </c>
      <c r="M4524" s="460">
        <f t="shared" si="189"/>
        <v>0.05</v>
      </c>
      <c r="N4524" s="464">
        <f t="shared" si="190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88"/>
        <v>-3726224786035.8188</v>
      </c>
      <c r="J4525" s="444">
        <f t="array" ref="J4525">IFERROR(INDEX('Retirement Calculator'!J:J,MATCH('Isaac 401k'!N4525,'Retirement Calculator'!A:A,0),0),0)</f>
        <v>0</v>
      </c>
      <c r="K4525" s="444">
        <f t="shared" ca="1" si="186"/>
        <v>-15525936608.482576</v>
      </c>
      <c r="L4525" s="444">
        <f t="shared" ca="1" si="187"/>
        <v>-3741750722644.3013</v>
      </c>
      <c r="M4525" s="460">
        <f t="shared" si="189"/>
        <v>0.05</v>
      </c>
      <c r="N4525" s="464">
        <f t="shared" si="190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88"/>
        <v>-3741750722644.3013</v>
      </c>
      <c r="J4526" s="444">
        <f t="array" ref="J4526">IFERROR(INDEX('Retirement Calculator'!J:J,MATCH('Isaac 401k'!N4526,'Retirement Calculator'!A:A,0),0),0)</f>
        <v>0</v>
      </c>
      <c r="K4526" s="444">
        <f t="shared" ca="1" si="186"/>
        <v>-15590628011.017921</v>
      </c>
      <c r="L4526" s="444">
        <f t="shared" ca="1" si="187"/>
        <v>-3757341350655.3193</v>
      </c>
      <c r="M4526" s="460">
        <f t="shared" si="189"/>
        <v>0.05</v>
      </c>
      <c r="N4526" s="464">
        <f t="shared" si="190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88"/>
        <v>-3757341350655.3193</v>
      </c>
      <c r="J4527" s="444">
        <f t="array" ref="J4527">IFERROR(INDEX('Retirement Calculator'!J:J,MATCH('Isaac 401k'!N4527,'Retirement Calculator'!A:A,0),0),0)</f>
        <v>0</v>
      </c>
      <c r="K4527" s="444">
        <f t="shared" ca="1" si="186"/>
        <v>-15655588961.063829</v>
      </c>
      <c r="L4527" s="444">
        <f t="shared" ca="1" si="187"/>
        <v>-3772996939616.3833</v>
      </c>
      <c r="M4527" s="460">
        <f t="shared" si="189"/>
        <v>0.05</v>
      </c>
      <c r="N4527" s="464">
        <f t="shared" si="190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88"/>
        <v>-3772996939616.3833</v>
      </c>
      <c r="J4528" s="444">
        <f t="array" ref="J4528">IFERROR(INDEX('Retirement Calculator'!J:J,MATCH('Isaac 401k'!N4528,'Retirement Calculator'!A:A,0),0),0)</f>
        <v>0</v>
      </c>
      <c r="K4528" s="444">
        <f t="shared" ca="1" si="186"/>
        <v>-15720820581.73493</v>
      </c>
      <c r="L4528" s="444">
        <f t="shared" ca="1" si="187"/>
        <v>-3788717760198.1182</v>
      </c>
      <c r="M4528" s="460">
        <f t="shared" si="189"/>
        <v>0.05</v>
      </c>
      <c r="N4528" s="464">
        <f t="shared" si="190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88"/>
        <v>-3788717760198.1182</v>
      </c>
      <c r="J4529" s="444">
        <f t="array" ref="J4529">IFERROR(INDEX('Retirement Calculator'!J:J,MATCH('Isaac 401k'!N4529,'Retirement Calculator'!A:A,0),0),0)</f>
        <v>0</v>
      </c>
      <c r="K4529" s="444">
        <f t="shared" ca="1" si="186"/>
        <v>-15786324000.825491</v>
      </c>
      <c r="L4529" s="444">
        <f t="shared" ca="1" si="187"/>
        <v>-3804504084198.9438</v>
      </c>
      <c r="M4529" s="460">
        <f t="shared" si="189"/>
        <v>0.05</v>
      </c>
      <c r="N4529" s="464">
        <f t="shared" si="190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88"/>
        <v>-3804504084198.9438</v>
      </c>
      <c r="J4530" s="444">
        <f t="array" ref="J4530">IFERROR(INDEX('Retirement Calculator'!J:J,MATCH('Isaac 401k'!N4530,'Retirement Calculator'!A:A,0),0),0)</f>
        <v>0</v>
      </c>
      <c r="K4530" s="444">
        <f t="shared" ca="1" si="186"/>
        <v>-15852100350.828932</v>
      </c>
      <c r="L4530" s="444">
        <f t="shared" ca="1" si="187"/>
        <v>-3820356184549.7729</v>
      </c>
      <c r="M4530" s="460">
        <f t="shared" si="189"/>
        <v>0.05</v>
      </c>
      <c r="N4530" s="464">
        <f t="shared" si="190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88"/>
        <v>-3820356184549.7729</v>
      </c>
      <c r="J4531" s="444">
        <f t="array" ref="J4531">IFERROR(INDEX('Retirement Calculator'!J:J,MATCH('Isaac 401k'!N4531,'Retirement Calculator'!A:A,0),0),0)</f>
        <v>0</v>
      </c>
      <c r="K4531" s="444">
        <f t="shared" ca="1" si="186"/>
        <v>-15918150768.957388</v>
      </c>
      <c r="L4531" s="444">
        <f t="shared" ca="1" si="187"/>
        <v>-3836274335318.7305</v>
      </c>
      <c r="M4531" s="460">
        <f t="shared" si="189"/>
        <v>0.05</v>
      </c>
      <c r="N4531" s="464">
        <f t="shared" si="190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88"/>
        <v>-3836274335318.7305</v>
      </c>
      <c r="J4532" s="444">
        <f t="array" ref="J4532">IFERROR(INDEX('Retirement Calculator'!J:J,MATCH('Isaac 401k'!N4532,'Retirement Calculator'!A:A,0),0),0)</f>
        <v>0</v>
      </c>
      <c r="K4532" s="444">
        <f t="shared" ca="1" si="186"/>
        <v>-15984476397.161377</v>
      </c>
      <c r="L4532" s="444">
        <f t="shared" ca="1" si="187"/>
        <v>-3852258811715.8916</v>
      </c>
      <c r="M4532" s="460">
        <f t="shared" si="189"/>
        <v>0.05</v>
      </c>
      <c r="N4532" s="464">
        <f t="shared" si="190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88"/>
        <v>-3852258811715.8916</v>
      </c>
      <c r="J4533" s="444">
        <f t="array" ref="J4533">IFERROR(INDEX('Retirement Calculator'!J:J,MATCH('Isaac 401k'!N4533,'Retirement Calculator'!A:A,0),0),0)</f>
        <v>0</v>
      </c>
      <c r="K4533" s="444">
        <f t="shared" ca="1" si="186"/>
        <v>-16051078382.149548</v>
      </c>
      <c r="L4533" s="444">
        <f t="shared" ca="1" si="187"/>
        <v>-3868309890098.041</v>
      </c>
      <c r="M4533" s="460">
        <f t="shared" si="189"/>
        <v>0.05</v>
      </c>
      <c r="N4533" s="464">
        <f t="shared" si="190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88"/>
        <v>-3868309890098.041</v>
      </c>
      <c r="J4534" s="444">
        <f t="array" ref="J4534">IFERROR(INDEX('Retirement Calculator'!J:J,MATCH('Isaac 401k'!N4534,'Retirement Calculator'!A:A,0),0),0)</f>
        <v>0</v>
      </c>
      <c r="K4534" s="444">
        <f t="shared" ca="1" si="186"/>
        <v>-16117957875.408503</v>
      </c>
      <c r="L4534" s="444">
        <f t="shared" ca="1" si="187"/>
        <v>-3884427847973.4497</v>
      </c>
      <c r="M4534" s="460">
        <f t="shared" si="189"/>
        <v>0.05</v>
      </c>
      <c r="N4534" s="464">
        <f t="shared" si="190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88"/>
        <v>-3884427847973.4497</v>
      </c>
      <c r="J4535" s="444">
        <f t="array" ref="J4535">IFERROR(INDEX('Retirement Calculator'!J:J,MATCH('Isaac 401k'!N4535,'Retirement Calculator'!A:A,0),0),0)</f>
        <v>0</v>
      </c>
      <c r="K4535" s="444">
        <f t="shared" ca="1" si="186"/>
        <v>-16185116033.222704</v>
      </c>
      <c r="L4535" s="444">
        <f t="shared" ca="1" si="187"/>
        <v>-3900612964006.6724</v>
      </c>
      <c r="M4535" s="460">
        <f t="shared" si="189"/>
        <v>0.05</v>
      </c>
      <c r="N4535" s="464">
        <f t="shared" si="190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88"/>
        <v>-3900612964006.6724</v>
      </c>
      <c r="J4536" s="444">
        <f t="array" ref="J4536">IFERROR(INDEX('Retirement Calculator'!J:J,MATCH('Isaac 401k'!N4536,'Retirement Calculator'!A:A,0),0),0)</f>
        <v>0</v>
      </c>
      <c r="K4536" s="444">
        <f t="shared" ca="1" si="186"/>
        <v>-16252554016.694469</v>
      </c>
      <c r="L4536" s="444">
        <f t="shared" ca="1" si="187"/>
        <v>-3916865518023.3667</v>
      </c>
      <c r="M4536" s="460">
        <f t="shared" si="189"/>
        <v>0.05</v>
      </c>
      <c r="N4536" s="464">
        <f t="shared" si="190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88"/>
        <v>-3916865518023.3667</v>
      </c>
      <c r="J4537" s="444">
        <f t="array" ref="J4537">IFERROR(INDEX('Retirement Calculator'!J:J,MATCH('Isaac 401k'!N4537,'Retirement Calculator'!A:A,0),0),0)</f>
        <v>0</v>
      </c>
      <c r="K4537" s="444">
        <f t="shared" ca="1" si="186"/>
        <v>-16320272991.764029</v>
      </c>
      <c r="L4537" s="444">
        <f t="shared" ca="1" si="187"/>
        <v>-3933185791015.1309</v>
      </c>
      <c r="M4537" s="460">
        <f t="shared" si="189"/>
        <v>0.05</v>
      </c>
      <c r="N4537" s="464">
        <f t="shared" si="190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88"/>
        <v>-3933185791015.1309</v>
      </c>
      <c r="J4538" s="444">
        <f t="array" ref="J4538">IFERROR(INDEX('Retirement Calculator'!J:J,MATCH('Isaac 401k'!N4538,'Retirement Calculator'!A:A,0),0),0)</f>
        <v>0</v>
      </c>
      <c r="K4538" s="444">
        <f t="shared" ca="1" si="186"/>
        <v>-16388274129.229712</v>
      </c>
      <c r="L4538" s="444">
        <f t="shared" ca="1" si="187"/>
        <v>-3949574065144.3604</v>
      </c>
      <c r="M4538" s="460">
        <f t="shared" si="189"/>
        <v>0.05</v>
      </c>
      <c r="N4538" s="464">
        <f t="shared" si="190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88"/>
        <v>-3949574065144.3604</v>
      </c>
      <c r="J4539" s="444">
        <f t="array" ref="J4539">IFERROR(INDEX('Retirement Calculator'!J:J,MATCH('Isaac 401k'!N4539,'Retirement Calculator'!A:A,0),0),0)</f>
        <v>0</v>
      </c>
      <c r="K4539" s="444">
        <f t="shared" ca="1" si="186"/>
        <v>-16456558604.768167</v>
      </c>
      <c r="L4539" s="444">
        <f t="shared" ca="1" si="187"/>
        <v>-3966030623749.1284</v>
      </c>
      <c r="M4539" s="460">
        <f t="shared" si="189"/>
        <v>0.05</v>
      </c>
      <c r="N4539" s="464">
        <f t="shared" si="190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88"/>
        <v>-3966030623749.1284</v>
      </c>
      <c r="J4540" s="444">
        <f t="array" ref="J4540">IFERROR(INDEX('Retirement Calculator'!J:J,MATCH('Isaac 401k'!N4540,'Retirement Calculator'!A:A,0),0),0)</f>
        <v>0</v>
      </c>
      <c r="K4540" s="444">
        <f t="shared" ca="1" si="186"/>
        <v>-16525127598.954702</v>
      </c>
      <c r="L4540" s="444">
        <f t="shared" ca="1" si="187"/>
        <v>-3982555751348.083</v>
      </c>
      <c r="M4540" s="460">
        <f t="shared" si="189"/>
        <v>0.05</v>
      </c>
      <c r="N4540" s="464">
        <f t="shared" si="190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88"/>
        <v>-3982555751348.083</v>
      </c>
      <c r="J4541" s="444">
        <f t="array" ref="J4541">IFERROR(INDEX('Retirement Calculator'!J:J,MATCH('Isaac 401k'!N4541,'Retirement Calculator'!A:A,0),0),0)</f>
        <v>0</v>
      </c>
      <c r="K4541" s="444">
        <f t="shared" ca="1" si="186"/>
        <v>-16593982297.283682</v>
      </c>
      <c r="L4541" s="444">
        <f t="shared" ca="1" si="187"/>
        <v>-3999149733645.3667</v>
      </c>
      <c r="M4541" s="460">
        <f t="shared" si="189"/>
        <v>0.05</v>
      </c>
      <c r="N4541" s="464">
        <f t="shared" si="190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88"/>
        <v>-3999149733645.3667</v>
      </c>
      <c r="J4542" s="444">
        <f t="array" ref="J4542">IFERROR(INDEX('Retirement Calculator'!J:J,MATCH('Isaac 401k'!N4542,'Retirement Calculator'!A:A,0),0),0)</f>
        <v>0</v>
      </c>
      <c r="K4542" s="444">
        <f t="shared" ca="1" si="186"/>
        <v>-16663123890.189028</v>
      </c>
      <c r="L4542" s="444">
        <f t="shared" ca="1" si="187"/>
        <v>-4015812857535.5557</v>
      </c>
      <c r="M4542" s="460">
        <f t="shared" si="189"/>
        <v>0.05</v>
      </c>
      <c r="N4542" s="464">
        <f t="shared" si="190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88"/>
        <v>-4015812857535.5557</v>
      </c>
      <c r="J4543" s="444">
        <f t="array" ref="J4543">IFERROR(INDEX('Retirement Calculator'!J:J,MATCH('Isaac 401k'!N4543,'Retirement Calculator'!A:A,0),0),0)</f>
        <v>0</v>
      </c>
      <c r="K4543" s="444">
        <f t="shared" ca="1" si="186"/>
        <v>-16732553573.064817</v>
      </c>
      <c r="L4543" s="444">
        <f t="shared" ca="1" si="187"/>
        <v>-4032545411108.6206</v>
      </c>
      <c r="M4543" s="460">
        <f t="shared" si="189"/>
        <v>0.05</v>
      </c>
      <c r="N4543" s="464">
        <f t="shared" si="190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88"/>
        <v>-4032545411108.6206</v>
      </c>
      <c r="J4544" s="444">
        <f t="array" ref="J4544">IFERROR(INDEX('Retirement Calculator'!J:J,MATCH('Isaac 401k'!N4544,'Retirement Calculator'!A:A,0),0),0)</f>
        <v>0</v>
      </c>
      <c r="K4544" s="444">
        <f t="shared" ca="1" si="186"/>
        <v>-16802272546.285919</v>
      </c>
      <c r="L4544" s="444">
        <f t="shared" ca="1" si="187"/>
        <v>-4049347683654.9067</v>
      </c>
      <c r="M4544" s="460">
        <f t="shared" si="189"/>
        <v>0.05</v>
      </c>
      <c r="N4544" s="464">
        <f t="shared" si="190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88"/>
        <v>-4049347683654.9067</v>
      </c>
      <c r="J4545" s="444">
        <f t="array" ref="J4545">IFERROR(INDEX('Retirement Calculator'!J:J,MATCH('Isaac 401k'!N4545,'Retirement Calculator'!A:A,0),0),0)</f>
        <v>0</v>
      </c>
      <c r="K4545" s="444">
        <f t="shared" ca="1" si="186"/>
        <v>-16872282015.228777</v>
      </c>
      <c r="L4545" s="444">
        <f t="shared" ca="1" si="187"/>
        <v>-4066219965670.1357</v>
      </c>
      <c r="M4545" s="460">
        <f t="shared" si="189"/>
        <v>0.05</v>
      </c>
      <c r="N4545" s="464">
        <f t="shared" si="190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88"/>
        <v>-4066219965670.1357</v>
      </c>
      <c r="J4546" s="444">
        <f t="array" ref="J4546">IFERROR(INDEX('Retirement Calculator'!J:J,MATCH('Isaac 401k'!N4546,'Retirement Calculator'!A:A,0),0),0)</f>
        <v>0</v>
      </c>
      <c r="K4546" s="444">
        <f t="shared" ca="1" si="186"/>
        <v>-16942583190.292231</v>
      </c>
      <c r="L4546" s="444">
        <f t="shared" ca="1" si="187"/>
        <v>-4083162548860.4277</v>
      </c>
      <c r="M4546" s="460">
        <f t="shared" si="189"/>
        <v>0.05</v>
      </c>
      <c r="N4546" s="464">
        <f t="shared" si="190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88"/>
        <v>-4083162548860.4277</v>
      </c>
      <c r="J4547" s="444">
        <f t="array" ref="J4547">IFERROR(INDEX('Retirement Calculator'!J:J,MATCH('Isaac 401k'!N4547,'Retirement Calculator'!A:A,0),0),0)</f>
        <v>0</v>
      </c>
      <c r="K4547" s="444">
        <f t="shared" ca="1" si="186"/>
        <v>-17013177286.918451</v>
      </c>
      <c r="L4547" s="444">
        <f t="shared" ca="1" si="187"/>
        <v>-4100175726147.3462</v>
      </c>
      <c r="M4547" s="460">
        <f t="shared" si="189"/>
        <v>0.05</v>
      </c>
      <c r="N4547" s="464">
        <f t="shared" si="190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88"/>
        <v>-4100175726147.3462</v>
      </c>
      <c r="J4548" s="444">
        <f t="array" ref="J4548">IFERROR(INDEX('Retirement Calculator'!J:J,MATCH('Isaac 401k'!N4548,'Retirement Calculator'!A:A,0),0),0)</f>
        <v>0</v>
      </c>
      <c r="K4548" s="444">
        <f t="shared" ca="1" si="186"/>
        <v>-17084065525.613945</v>
      </c>
      <c r="L4548" s="444">
        <f t="shared" ca="1" si="187"/>
        <v>-4117259791672.96</v>
      </c>
      <c r="M4548" s="460">
        <f t="shared" si="189"/>
        <v>0.05</v>
      </c>
      <c r="N4548" s="464">
        <f t="shared" si="190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88"/>
        <v>-4117259791672.96</v>
      </c>
      <c r="J4549" s="444">
        <f t="array" ref="J4549">IFERROR(INDEX('Retirement Calculator'!J:J,MATCH('Isaac 401k'!N4549,'Retirement Calculator'!A:A,0),0),0)</f>
        <v>0</v>
      </c>
      <c r="K4549" s="444">
        <f t="shared" ca="1" si="186"/>
        <v>-17155249131.970665</v>
      </c>
      <c r="L4549" s="444">
        <f t="shared" ca="1" si="187"/>
        <v>-4134415040804.9307</v>
      </c>
      <c r="M4549" s="460">
        <f t="shared" si="189"/>
        <v>0.05</v>
      </c>
      <c r="N4549" s="464">
        <f t="shared" si="190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88"/>
        <v>-4134415040804.9307</v>
      </c>
      <c r="J4550" s="444">
        <f t="array" ref="J4550">IFERROR(INDEX('Retirement Calculator'!J:J,MATCH('Isaac 401k'!N4550,'Retirement Calculator'!A:A,0),0),0)</f>
        <v>0</v>
      </c>
      <c r="K4550" s="444">
        <f t="shared" ca="1" si="186"/>
        <v>-17226729336.68721</v>
      </c>
      <c r="L4550" s="444">
        <f t="shared" ca="1" si="187"/>
        <v>-4151641770141.6177</v>
      </c>
      <c r="M4550" s="460">
        <f t="shared" si="189"/>
        <v>0.05</v>
      </c>
      <c r="N4550" s="464">
        <f t="shared" si="190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88"/>
        <v>-4151641770141.6177</v>
      </c>
      <c r="J4551" s="444">
        <f t="array" ref="J4551">IFERROR(INDEX('Retirement Calculator'!J:J,MATCH('Isaac 401k'!N4551,'Retirement Calculator'!A:A,0),0),0)</f>
        <v>0</v>
      </c>
      <c r="K4551" s="444">
        <f t="shared" ca="1" si="186"/>
        <v>-17298507375.590073</v>
      </c>
      <c r="L4551" s="444">
        <f t="shared" ca="1" si="187"/>
        <v>-4168940277517.2075</v>
      </c>
      <c r="M4551" s="460">
        <f t="shared" si="189"/>
        <v>0.05</v>
      </c>
      <c r="N4551" s="464">
        <f t="shared" si="190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88"/>
        <v>-4168940277517.2075</v>
      </c>
      <c r="J4552" s="444">
        <f t="array" ref="J4552">IFERROR(INDEX('Retirement Calculator'!J:J,MATCH('Isaac 401k'!N4552,'Retirement Calculator'!A:A,0),0),0)</f>
        <v>0</v>
      </c>
      <c r="K4552" s="444">
        <f t="shared" ca="1" si="186"/>
        <v>-17370584489.655029</v>
      </c>
      <c r="L4552" s="444">
        <f t="shared" ca="1" si="187"/>
        <v>-4186310862006.8623</v>
      </c>
      <c r="M4552" s="460">
        <f t="shared" si="189"/>
        <v>0.05</v>
      </c>
      <c r="N4552" s="464">
        <f t="shared" si="190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88"/>
        <v>-4186310862006.8623</v>
      </c>
      <c r="J4553" s="444">
        <f t="array" ref="J4553">IFERROR(INDEX('Retirement Calculator'!J:J,MATCH('Isaac 401k'!N4553,'Retirement Calculator'!A:A,0),0),0)</f>
        <v>0</v>
      </c>
      <c r="K4553" s="444">
        <f t="shared" ca="1" si="186"/>
        <v>-17442961925.028591</v>
      </c>
      <c r="L4553" s="444">
        <f t="shared" ca="1" si="187"/>
        <v>-4203753823931.8911</v>
      </c>
      <c r="M4553" s="460">
        <f t="shared" si="189"/>
        <v>0.05</v>
      </c>
      <c r="N4553" s="464">
        <f t="shared" si="190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88"/>
        <v>-4203753823931.8911</v>
      </c>
      <c r="J4554" s="444">
        <f t="array" ref="J4554">IFERROR(INDEX('Retirement Calculator'!J:J,MATCH('Isaac 401k'!N4554,'Retirement Calculator'!A:A,0),0),0)</f>
        <v>0</v>
      </c>
      <c r="K4554" s="444">
        <f t="shared" ca="1" si="186"/>
        <v>-17515640933.049545</v>
      </c>
      <c r="L4554" s="444">
        <f t="shared" ca="1" si="187"/>
        <v>-4221269464864.9404</v>
      </c>
      <c r="M4554" s="460">
        <f t="shared" si="189"/>
        <v>0.05</v>
      </c>
      <c r="N4554" s="464">
        <f t="shared" si="190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88"/>
        <v>-4221269464864.9404</v>
      </c>
      <c r="J4555" s="444">
        <f t="array" ref="J4555">IFERROR(INDEX('Retirement Calculator'!J:J,MATCH('Isaac 401k'!N4555,'Retirement Calculator'!A:A,0),0),0)</f>
        <v>0</v>
      </c>
      <c r="K4555" s="444">
        <f t="shared" ca="1" si="186"/>
        <v>-17588622770.270584</v>
      </c>
      <c r="L4555" s="444">
        <f t="shared" ca="1" si="187"/>
        <v>-4238858087635.2109</v>
      </c>
      <c r="M4555" s="460">
        <f t="shared" si="189"/>
        <v>0.05</v>
      </c>
      <c r="N4555" s="464">
        <f t="shared" si="190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88"/>
        <v>-4238858087635.2109</v>
      </c>
      <c r="J4556" s="444">
        <f t="array" ref="J4556">IFERROR(INDEX('Retirement Calculator'!J:J,MATCH('Isaac 401k'!N4556,'Retirement Calculator'!A:A,0),0),0)</f>
        <v>0</v>
      </c>
      <c r="K4556" s="444">
        <f t="shared" ca="1" si="186"/>
        <v>-17661908698.480045</v>
      </c>
      <c r="L4556" s="444">
        <f t="shared" ca="1" si="187"/>
        <v>-4256519996333.6909</v>
      </c>
      <c r="M4556" s="460">
        <f t="shared" si="189"/>
        <v>0.05</v>
      </c>
      <c r="N4556" s="464">
        <f t="shared" si="190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88"/>
        <v>-4256519996333.6909</v>
      </c>
      <c r="J4557" s="444">
        <f t="array" ref="J4557">IFERROR(INDEX('Retirement Calculator'!J:J,MATCH('Isaac 401k'!N4557,'Retirement Calculator'!A:A,0),0),0)</f>
        <v>0</v>
      </c>
      <c r="K4557" s="444">
        <f t="shared" ca="1" si="186"/>
        <v>-17735499984.723713</v>
      </c>
      <c r="L4557" s="444">
        <f t="shared" ca="1" si="187"/>
        <v>-4274255496318.4146</v>
      </c>
      <c r="M4557" s="460">
        <f t="shared" si="189"/>
        <v>0.05</v>
      </c>
      <c r="N4557" s="464">
        <f t="shared" si="190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88"/>
        <v>-4274255496318.4146</v>
      </c>
      <c r="J4558" s="444">
        <f t="array" ref="J4558">IFERROR(INDEX('Retirement Calculator'!J:J,MATCH('Isaac 401k'!N4558,'Retirement Calculator'!A:A,0),0),0)</f>
        <v>0</v>
      </c>
      <c r="K4558" s="444">
        <f t="shared" ca="1" si="186"/>
        <v>-17809397901.326725</v>
      </c>
      <c r="L4558" s="444">
        <f t="shared" ca="1" si="187"/>
        <v>-4292064894219.7412</v>
      </c>
      <c r="M4558" s="460">
        <f t="shared" si="189"/>
        <v>0.05</v>
      </c>
      <c r="N4558" s="464">
        <f t="shared" si="190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88"/>
        <v>-4292064894219.7412</v>
      </c>
      <c r="J4559" s="444">
        <f t="array" ref="J4559">IFERROR(INDEX('Retirement Calculator'!J:J,MATCH('Isaac 401k'!N4559,'Retirement Calculator'!A:A,0),0),0)</f>
        <v>0</v>
      </c>
      <c r="K4559" s="444">
        <f t="shared" ca="1" si="186"/>
        <v>-17883603725.915588</v>
      </c>
      <c r="L4559" s="444">
        <f t="shared" ca="1" si="187"/>
        <v>-4309948497945.6567</v>
      </c>
      <c r="M4559" s="460">
        <f t="shared" si="189"/>
        <v>0.05</v>
      </c>
      <c r="N4559" s="464">
        <f t="shared" si="190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88"/>
        <v>-4309948497945.6567</v>
      </c>
      <c r="J4560" s="444">
        <f t="array" ref="J4560">IFERROR(INDEX('Retirement Calculator'!J:J,MATCH('Isaac 401k'!N4560,'Retirement Calculator'!A:A,0),0),0)</f>
        <v>0</v>
      </c>
      <c r="K4560" s="444">
        <f t="shared" ca="1" si="186"/>
        <v>-17958118741.440235</v>
      </c>
      <c r="L4560" s="444">
        <f t="shared" ca="1" si="187"/>
        <v>-4327906616687.0972</v>
      </c>
      <c r="M4560" s="460">
        <f t="shared" si="189"/>
        <v>0.05</v>
      </c>
      <c r="N4560" s="464">
        <f t="shared" si="190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88"/>
        <v>-4327906616687.0972</v>
      </c>
      <c r="J4561" s="444">
        <f t="array" ref="J4561">IFERROR(INDEX('Retirement Calculator'!J:J,MATCH('Isaac 401k'!N4561,'Retirement Calculator'!A:A,0),0),0)</f>
        <v>0</v>
      </c>
      <c r="K4561" s="444">
        <f t="shared" ca="1" si="186"/>
        <v>-18032944236.196239</v>
      </c>
      <c r="L4561" s="444">
        <f t="shared" ca="1" si="187"/>
        <v>-4345939560923.2935</v>
      </c>
      <c r="M4561" s="460">
        <f t="shared" si="189"/>
        <v>0.05</v>
      </c>
      <c r="N4561" s="464">
        <f t="shared" si="190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88"/>
        <v>-4345939560923.2935</v>
      </c>
      <c r="J4562" s="444">
        <f t="array" ref="J4562">IFERROR(INDEX('Retirement Calculator'!J:J,MATCH('Isaac 401k'!N4562,'Retirement Calculator'!A:A,0),0),0)</f>
        <v>0</v>
      </c>
      <c r="K4562" s="444">
        <f t="shared" ca="1" si="186"/>
        <v>-18108081503.847057</v>
      </c>
      <c r="L4562" s="444">
        <f t="shared" ca="1" si="187"/>
        <v>-4364047642427.1406</v>
      </c>
      <c r="M4562" s="460">
        <f t="shared" si="189"/>
        <v>0.05</v>
      </c>
      <c r="N4562" s="464">
        <f t="shared" si="190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88"/>
        <v>-4364047642427.1406</v>
      </c>
      <c r="J4563" s="444">
        <f t="array" ref="J4563">IFERROR(INDEX('Retirement Calculator'!J:J,MATCH('Isaac 401k'!N4563,'Retirement Calculator'!A:A,0),0),0)</f>
        <v>0</v>
      </c>
      <c r="K4563" s="444">
        <f t="shared" ca="1" si="186"/>
        <v>-18183531843.446423</v>
      </c>
      <c r="L4563" s="444">
        <f t="shared" ca="1" si="187"/>
        <v>-4382231174270.5869</v>
      </c>
      <c r="M4563" s="460">
        <f t="shared" si="189"/>
        <v>0.05</v>
      </c>
      <c r="N4563" s="464">
        <f t="shared" si="190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88"/>
        <v>-4382231174270.5869</v>
      </c>
      <c r="J4564" s="444">
        <f t="array" ref="J4564">IFERROR(INDEX('Retirement Calculator'!J:J,MATCH('Isaac 401k'!N4564,'Retirement Calculator'!A:A,0),0),0)</f>
        <v>0</v>
      </c>
      <c r="K4564" s="444">
        <f t="shared" ca="1" si="186"/>
        <v>-18259296559.460777</v>
      </c>
      <c r="L4564" s="444">
        <f t="shared" ca="1" si="187"/>
        <v>-4400490470830.0479</v>
      </c>
      <c r="M4564" s="460">
        <f t="shared" si="189"/>
        <v>0.05</v>
      </c>
      <c r="N4564" s="464">
        <f t="shared" si="190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88"/>
        <v>-4400490470830.0479</v>
      </c>
      <c r="J4565" s="444">
        <f t="array" ref="J4565">IFERROR(INDEX('Retirement Calculator'!J:J,MATCH('Isaac 401k'!N4565,'Retirement Calculator'!A:A,0),0),0)</f>
        <v>0</v>
      </c>
      <c r="K4565" s="444">
        <f t="shared" ca="1" si="186"/>
        <v>-18335376961.791866</v>
      </c>
      <c r="L4565" s="444">
        <f t="shared" ca="1" si="187"/>
        <v>-4418825847791.8398</v>
      </c>
      <c r="M4565" s="460">
        <f t="shared" si="189"/>
        <v>0.05</v>
      </c>
      <c r="N4565" s="464">
        <f t="shared" si="190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88"/>
        <v>-4418825847791.8398</v>
      </c>
      <c r="J4566" s="444">
        <f t="array" ref="J4566">IFERROR(INDEX('Retirement Calculator'!J:J,MATCH('Isaac 401k'!N4566,'Retirement Calculator'!A:A,0),0),0)</f>
        <v>0</v>
      </c>
      <c r="K4566" s="444">
        <f t="shared" ca="1" si="186"/>
        <v>-18411774365.799332</v>
      </c>
      <c r="L4566" s="444">
        <f t="shared" ca="1" si="187"/>
        <v>-4437237622157.6396</v>
      </c>
      <c r="M4566" s="460">
        <f t="shared" si="189"/>
        <v>0.05</v>
      </c>
      <c r="N4566" s="464">
        <f t="shared" si="190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88"/>
        <v>-4437237622157.6396</v>
      </c>
      <c r="J4567" s="444">
        <f t="array" ref="J4567">IFERROR(INDEX('Retirement Calculator'!J:J,MATCH('Isaac 401k'!N4567,'Retirement Calculator'!A:A,0),0),0)</f>
        <v>0</v>
      </c>
      <c r="K4567" s="444">
        <f t="shared" ca="1" si="186"/>
        <v>-18488490092.323498</v>
      </c>
      <c r="L4567" s="444">
        <f t="shared" ca="1" si="187"/>
        <v>-4455726112249.9629</v>
      </c>
      <c r="M4567" s="460">
        <f t="shared" si="189"/>
        <v>0.05</v>
      </c>
      <c r="N4567" s="464">
        <f t="shared" si="190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88"/>
        <v>-4455726112249.9629</v>
      </c>
      <c r="J4568" s="444">
        <f t="array" ref="J4568">IFERROR(INDEX('Retirement Calculator'!J:J,MATCH('Isaac 401k'!N4568,'Retirement Calculator'!A:A,0),0),0)</f>
        <v>0</v>
      </c>
      <c r="K4568" s="444">
        <f t="shared" ca="1" si="186"/>
        <v>-18565525467.708179</v>
      </c>
      <c r="L4568" s="444">
        <f t="shared" ca="1" si="187"/>
        <v>-4474291637717.6709</v>
      </c>
      <c r="M4568" s="460">
        <f t="shared" si="189"/>
        <v>0.05</v>
      </c>
      <c r="N4568" s="464">
        <f t="shared" si="190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88"/>
        <v>-4474291637717.6709</v>
      </c>
      <c r="J4569" s="444">
        <f t="array" ref="J4569">IFERROR(INDEX('Retirement Calculator'!J:J,MATCH('Isaac 401k'!N4569,'Retirement Calculator'!A:A,0),0),0)</f>
        <v>0</v>
      </c>
      <c r="K4569" s="444">
        <f t="shared" ca="1" si="186"/>
        <v>-18642881823.823627</v>
      </c>
      <c r="L4569" s="444">
        <f t="shared" ca="1" si="187"/>
        <v>-4492934519541.4941</v>
      </c>
      <c r="M4569" s="460">
        <f t="shared" si="189"/>
        <v>0.05</v>
      </c>
      <c r="N4569" s="464">
        <f t="shared" si="190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88"/>
        <v>-4492934519541.4941</v>
      </c>
      <c r="J4570" s="444">
        <f t="array" ref="J4570">IFERROR(INDEX('Retirement Calculator'!J:J,MATCH('Isaac 401k'!N4570,'Retirement Calculator'!A:A,0),0),0)</f>
        <v>0</v>
      </c>
      <c r="K4570" s="444">
        <f t="shared" ca="1" si="186"/>
        <v>-18720560498.089558</v>
      </c>
      <c r="L4570" s="444">
        <f t="shared" ca="1" si="187"/>
        <v>-4511655080039.584</v>
      </c>
      <c r="M4570" s="460">
        <f t="shared" si="189"/>
        <v>0.05</v>
      </c>
      <c r="N4570" s="464">
        <f t="shared" si="190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88"/>
        <v>-4511655080039.584</v>
      </c>
      <c r="J4571" s="444">
        <f t="array" ref="J4571">IFERROR(INDEX('Retirement Calculator'!J:J,MATCH('Isaac 401k'!N4571,'Retirement Calculator'!A:A,0),0),0)</f>
        <v>0</v>
      </c>
      <c r="K4571" s="444">
        <f t="shared" ca="1" si="186"/>
        <v>-18798562833.498268</v>
      </c>
      <c r="L4571" s="444">
        <f t="shared" ca="1" si="187"/>
        <v>-4530453642873.082</v>
      </c>
      <c r="M4571" s="460">
        <f t="shared" si="189"/>
        <v>0.05</v>
      </c>
      <c r="N4571" s="464">
        <f t="shared" si="190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88"/>
        <v>-4530453642873.082</v>
      </c>
      <c r="J4572" s="444">
        <f t="array" ref="J4572">IFERROR(INDEX('Retirement Calculator'!J:J,MATCH('Isaac 401k'!N4572,'Retirement Calculator'!A:A,0),0),0)</f>
        <v>0</v>
      </c>
      <c r="K4572" s="444">
        <f t="shared" ca="1" si="186"/>
        <v>-18876890178.63784</v>
      </c>
      <c r="L4572" s="444">
        <f t="shared" ca="1" si="187"/>
        <v>-4549330533051.7197</v>
      </c>
      <c r="M4572" s="460">
        <f t="shared" si="189"/>
        <v>0.05</v>
      </c>
      <c r="N4572" s="464">
        <f t="shared" si="190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88"/>
        <v>-4549330533051.7197</v>
      </c>
      <c r="J4573" s="444">
        <f t="array" ref="J4573">IFERROR(INDEX('Retirement Calculator'!J:J,MATCH('Isaac 401k'!N4573,'Retirement Calculator'!A:A,0),0),0)</f>
        <v>0</v>
      </c>
      <c r="K4573" s="444">
        <f t="shared" ca="1" si="186"/>
        <v>-18955543887.7155</v>
      </c>
      <c r="L4573" s="444">
        <f t="shared" ca="1" si="187"/>
        <v>-4568286076939.4355</v>
      </c>
      <c r="M4573" s="460">
        <f t="shared" si="189"/>
        <v>0.05</v>
      </c>
      <c r="N4573" s="464">
        <f t="shared" si="190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88"/>
        <v>-4568286076939.4355</v>
      </c>
      <c r="J4574" s="444">
        <f t="array" ref="J4574">IFERROR(INDEX('Retirement Calculator'!J:J,MATCH('Isaac 401k'!N4574,'Retirement Calculator'!A:A,0),0),0)</f>
        <v>0</v>
      </c>
      <c r="K4574" s="444">
        <f t="shared" ca="1" si="186"/>
        <v>-19034525320.580982</v>
      </c>
      <c r="L4574" s="444">
        <f t="shared" ca="1" si="187"/>
        <v>-4587320602260.0166</v>
      </c>
      <c r="M4574" s="460">
        <f t="shared" si="189"/>
        <v>0.05</v>
      </c>
      <c r="N4574" s="464">
        <f t="shared" si="190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88"/>
        <v>-4587320602260.0166</v>
      </c>
      <c r="J4575" s="444">
        <f t="array" ref="J4575">IFERROR(INDEX('Retirement Calculator'!J:J,MATCH('Isaac 401k'!N4575,'Retirement Calculator'!A:A,0),0),0)</f>
        <v>0</v>
      </c>
      <c r="K4575" s="444">
        <f t="shared" ca="1" si="186"/>
        <v>-19113835842.750069</v>
      </c>
      <c r="L4575" s="444">
        <f t="shared" ca="1" si="187"/>
        <v>-4606434438102.7666</v>
      </c>
      <c r="M4575" s="460">
        <f t="shared" si="189"/>
        <v>0.05</v>
      </c>
      <c r="N4575" s="464">
        <f t="shared" si="190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88"/>
        <v>-4606434438102.7666</v>
      </c>
      <c r="J4576" s="444">
        <f t="array" ref="J4576">IFERROR(INDEX('Retirement Calculator'!J:J,MATCH('Isaac 401k'!N4576,'Retirement Calculator'!A:A,0),0),0)</f>
        <v>0</v>
      </c>
      <c r="K4576" s="444">
        <f t="shared" ca="1" si="186"/>
        <v>-19193476825.428192</v>
      </c>
      <c r="L4576" s="444">
        <f t="shared" ca="1" si="187"/>
        <v>-4625627914928.1943</v>
      </c>
      <c r="M4576" s="460">
        <f t="shared" si="189"/>
        <v>0.05</v>
      </c>
      <c r="N4576" s="464">
        <f t="shared" si="190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88"/>
        <v>-4625627914928.1943</v>
      </c>
      <c r="J4577" s="444">
        <f t="array" ref="J4577">IFERROR(INDEX('Retirement Calculator'!J:J,MATCH('Isaac 401k'!N4577,'Retirement Calculator'!A:A,0),0),0)</f>
        <v>0</v>
      </c>
      <c r="K4577" s="444">
        <f t="shared" ca="1" si="186"/>
        <v>-19273449645.534142</v>
      </c>
      <c r="L4577" s="444">
        <f t="shared" ca="1" si="187"/>
        <v>-4644901364573.7285</v>
      </c>
      <c r="M4577" s="460">
        <f t="shared" si="189"/>
        <v>0.05</v>
      </c>
      <c r="N4577" s="464">
        <f t="shared" si="190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88"/>
        <v>-4644901364573.7285</v>
      </c>
      <c r="J4578" s="444">
        <f t="array" ref="J4578">IFERROR(INDEX('Retirement Calculator'!J:J,MATCH('Isaac 401k'!N4578,'Retirement Calculator'!A:A,0),0),0)</f>
        <v>0</v>
      </c>
      <c r="K4578" s="444">
        <f t="shared" ca="1" si="186"/>
        <v>-19353755685.723869</v>
      </c>
      <c r="L4578" s="444">
        <f t="shared" ca="1" si="187"/>
        <v>-4664255120259.4521</v>
      </c>
      <c r="M4578" s="460">
        <f t="shared" si="189"/>
        <v>0.05</v>
      </c>
      <c r="N4578" s="464">
        <f t="shared" si="190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88"/>
        <v>-4664255120259.4521</v>
      </c>
      <c r="J4579" s="444">
        <f t="array" ref="J4579">IFERROR(INDEX('Retirement Calculator'!J:J,MATCH('Isaac 401k'!N4579,'Retirement Calculator'!A:A,0),0),0)</f>
        <v>0</v>
      </c>
      <c r="K4579" s="444">
        <f t="shared" ca="1" si="186"/>
        <v>-19434396334.414383</v>
      </c>
      <c r="L4579" s="444">
        <f t="shared" ca="1" si="187"/>
        <v>-4683689516593.8662</v>
      </c>
      <c r="M4579" s="460">
        <f t="shared" si="189"/>
        <v>0.05</v>
      </c>
      <c r="N4579" s="464">
        <f t="shared" si="190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88"/>
        <v>-4683689516593.8662</v>
      </c>
      <c r="J4580" s="444">
        <f t="array" ref="J4580">IFERROR(INDEX('Retirement Calculator'!J:J,MATCH('Isaac 401k'!N4580,'Retirement Calculator'!A:A,0),0),0)</f>
        <v>0</v>
      </c>
      <c r="K4580" s="444">
        <f t="shared" ca="1" si="186"/>
        <v>-19515372985.807777</v>
      </c>
      <c r="L4580" s="444">
        <f t="shared" ca="1" si="187"/>
        <v>-4703204889579.6738</v>
      </c>
      <c r="M4580" s="460">
        <f t="shared" si="189"/>
        <v>0.05</v>
      </c>
      <c r="N4580" s="464">
        <f t="shared" si="190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88"/>
        <v>-4703204889579.6738</v>
      </c>
      <c r="J4581" s="444">
        <f t="array" ref="J4581">IFERROR(INDEX('Retirement Calculator'!J:J,MATCH('Isaac 401k'!N4581,'Retirement Calculator'!A:A,0),0),0)</f>
        <v>0</v>
      </c>
      <c r="K4581" s="444">
        <f t="shared" ca="1" si="186"/>
        <v>-19596687039.915306</v>
      </c>
      <c r="L4581" s="444">
        <f t="shared" ca="1" si="187"/>
        <v>-4722801576619.5889</v>
      </c>
      <c r="M4581" s="460">
        <f t="shared" si="189"/>
        <v>0.05</v>
      </c>
      <c r="N4581" s="464">
        <f t="shared" si="190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88"/>
        <v>-4722801576619.5889</v>
      </c>
      <c r="J4582" s="444">
        <f t="array" ref="J4582">IFERROR(INDEX('Retirement Calculator'!J:J,MATCH('Isaac 401k'!N4582,'Retirement Calculator'!A:A,0),0),0)</f>
        <v>0</v>
      </c>
      <c r="K4582" s="444">
        <f t="shared" ca="1" si="186"/>
        <v>-19678339902.581619</v>
      </c>
      <c r="L4582" s="444">
        <f t="shared" ca="1" si="187"/>
        <v>-4742479916522.1709</v>
      </c>
      <c r="M4582" s="460">
        <f t="shared" si="189"/>
        <v>0.05</v>
      </c>
      <c r="N4582" s="464">
        <f t="shared" si="190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88"/>
        <v>-4742479916522.1709</v>
      </c>
      <c r="J4583" s="444">
        <f t="array" ref="J4583">IFERROR(INDEX('Retirement Calculator'!J:J,MATCH('Isaac 401k'!N4583,'Retirement Calculator'!A:A,0),0),0)</f>
        <v>0</v>
      </c>
      <c r="K4583" s="444">
        <f t="shared" ca="1" si="186"/>
        <v>-19760332985.509045</v>
      </c>
      <c r="L4583" s="444">
        <f t="shared" ca="1" si="187"/>
        <v>-4762240249507.6797</v>
      </c>
      <c r="M4583" s="460">
        <f t="shared" si="189"/>
        <v>0.05</v>
      </c>
      <c r="N4583" s="464">
        <f t="shared" si="190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88"/>
        <v>-4762240249507.6797</v>
      </c>
      <c r="J4584" s="444">
        <f t="array" ref="J4584">IFERROR(INDEX('Retirement Calculator'!J:J,MATCH('Isaac 401k'!N4584,'Retirement Calculator'!A:A,0),0),0)</f>
        <v>0</v>
      </c>
      <c r="K4584" s="444">
        <f t="shared" ca="1" si="186"/>
        <v>-19842667706.281998</v>
      </c>
      <c r="L4584" s="444">
        <f t="shared" ca="1" si="187"/>
        <v>-4782082917213.9619</v>
      </c>
      <c r="M4584" s="460">
        <f t="shared" si="189"/>
        <v>0.05</v>
      </c>
      <c r="N4584" s="464">
        <f t="shared" si="190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88"/>
        <v>-4782082917213.9619</v>
      </c>
      <c r="J4585" s="444">
        <f t="array" ref="J4585">IFERROR(INDEX('Retirement Calculator'!J:J,MATCH('Isaac 401k'!N4585,'Retirement Calculator'!A:A,0),0),0)</f>
        <v>0</v>
      </c>
      <c r="K4585" s="444">
        <f t="shared" ca="1" si="186"/>
        <v>-19925345488.391506</v>
      </c>
      <c r="L4585" s="444">
        <f t="shared" ca="1" si="187"/>
        <v>-4802008262702.3535</v>
      </c>
      <c r="M4585" s="460">
        <f t="shared" si="189"/>
        <v>0.05</v>
      </c>
      <c r="N4585" s="464">
        <f t="shared" si="190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88"/>
        <v>-4802008262702.3535</v>
      </c>
      <c r="J4586" s="444">
        <f t="array" ref="J4586">IFERROR(INDEX('Retirement Calculator'!J:J,MATCH('Isaac 401k'!N4586,'Retirement Calculator'!A:A,0),0),0)</f>
        <v>0</v>
      </c>
      <c r="K4586" s="444">
        <f t="shared" ca="1" si="186"/>
        <v>-20008367761.259808</v>
      </c>
      <c r="L4586" s="444">
        <f t="shared" ca="1" si="187"/>
        <v>-4822016630463.6133</v>
      </c>
      <c r="M4586" s="460">
        <f t="shared" si="189"/>
        <v>0.05</v>
      </c>
      <c r="N4586" s="464">
        <f t="shared" si="190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88"/>
        <v>-4822016630463.6133</v>
      </c>
      <c r="J4587" s="444">
        <f t="array" ref="J4587">IFERROR(INDEX('Retirement Calculator'!J:J,MATCH('Isaac 401k'!N4587,'Retirement Calculator'!A:A,0),0),0)</f>
        <v>0</v>
      </c>
      <c r="K4587" s="444">
        <f t="shared" ca="1" si="186"/>
        <v>-20091735960.265057</v>
      </c>
      <c r="L4587" s="444">
        <f t="shared" ca="1" si="187"/>
        <v>-4842108366423.8779</v>
      </c>
      <c r="M4587" s="460">
        <f t="shared" si="189"/>
        <v>0.05</v>
      </c>
      <c r="N4587" s="464">
        <f t="shared" si="190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88"/>
        <v>-4842108366423.8779</v>
      </c>
      <c r="J4588" s="444">
        <f t="array" ref="J4588">IFERROR(INDEX('Retirement Calculator'!J:J,MATCH('Isaac 401k'!N4588,'Retirement Calculator'!A:A,0),0),0)</f>
        <v>0</v>
      </c>
      <c r="K4588" s="444">
        <f t="shared" ca="1" si="186"/>
        <v>-20175451526.766159</v>
      </c>
      <c r="L4588" s="444">
        <f t="shared" ca="1" si="187"/>
        <v>-4862283817950.6445</v>
      </c>
      <c r="M4588" s="460">
        <f t="shared" si="189"/>
        <v>0.05</v>
      </c>
      <c r="N4588" s="464">
        <f t="shared" si="190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88"/>
        <v>-4862283817950.6445</v>
      </c>
      <c r="J4589" s="444">
        <f t="array" ref="J4589">IFERROR(INDEX('Retirement Calculator'!J:J,MATCH('Isaac 401k'!N4589,'Retirement Calculator'!A:A,0),0),0)</f>
        <v>0</v>
      </c>
      <c r="K4589" s="444">
        <f t="shared" ca="1" si="186"/>
        <v>-20259515908.127686</v>
      </c>
      <c r="L4589" s="444">
        <f t="shared" ca="1" si="187"/>
        <v>-4882543333858.7725</v>
      </c>
      <c r="M4589" s="460">
        <f t="shared" si="189"/>
        <v>0.05</v>
      </c>
      <c r="N4589" s="464">
        <f t="shared" si="190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88"/>
        <v>-4882543333858.7725</v>
      </c>
      <c r="J4590" s="444">
        <f t="array" ref="J4590">IFERROR(INDEX('Retirement Calculator'!J:J,MATCH('Isaac 401k'!N4590,'Retirement Calculator'!A:A,0),0),0)</f>
        <v>0</v>
      </c>
      <c r="K4590" s="444">
        <f t="shared" ca="1" si="186"/>
        <v>-20343930557.744884</v>
      </c>
      <c r="L4590" s="444">
        <f t="shared" ca="1" si="187"/>
        <v>-4902887264416.5176</v>
      </c>
      <c r="M4590" s="460">
        <f t="shared" si="189"/>
        <v>0.05</v>
      </c>
      <c r="N4590" s="464">
        <f t="shared" si="190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88"/>
        <v>-4902887264416.5176</v>
      </c>
      <c r="J4591" s="444">
        <f t="array" ref="J4591">IFERROR(INDEX('Retirement Calculator'!J:J,MATCH('Isaac 401k'!N4591,'Retirement Calculator'!A:A,0),0),0)</f>
        <v>0</v>
      </c>
      <c r="K4591" s="444">
        <f t="shared" ca="1" si="186"/>
        <v>-20428696935.068825</v>
      </c>
      <c r="L4591" s="444">
        <f t="shared" ca="1" si="187"/>
        <v>-4923315961351.5859</v>
      </c>
      <c r="M4591" s="460">
        <f t="shared" si="189"/>
        <v>0.05</v>
      </c>
      <c r="N4591" s="464">
        <f t="shared" si="190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88"/>
        <v>-4923315961351.5859</v>
      </c>
      <c r="J4592" s="444">
        <f t="array" ref="J4592">IFERROR(INDEX('Retirement Calculator'!J:J,MATCH('Isaac 401k'!N4592,'Retirement Calculator'!A:A,0),0),0)</f>
        <v>0</v>
      </c>
      <c r="K4592" s="444">
        <f t="shared" ca="1" si="186"/>
        <v>-20513816505.631607</v>
      </c>
      <c r="L4592" s="444">
        <f t="shared" ca="1" si="187"/>
        <v>-4943829777857.2178</v>
      </c>
      <c r="M4592" s="460">
        <f t="shared" si="189"/>
        <v>0.05</v>
      </c>
      <c r="N4592" s="464">
        <f t="shared" si="190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88"/>
        <v>-4943829777857.2178</v>
      </c>
      <c r="J4593" s="444">
        <f t="array" ref="J4593">IFERROR(INDEX('Retirement Calculator'!J:J,MATCH('Isaac 401k'!N4593,'Retirement Calculator'!A:A,0),0),0)</f>
        <v>0</v>
      </c>
      <c r="K4593" s="444">
        <f t="shared" ca="1" si="186"/>
        <v>-20599290741.071739</v>
      </c>
      <c r="L4593" s="444">
        <f t="shared" ca="1" si="187"/>
        <v>-4964429068598.2891</v>
      </c>
      <c r="M4593" s="460">
        <f t="shared" si="189"/>
        <v>0.05</v>
      </c>
      <c r="N4593" s="464">
        <f t="shared" si="190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88"/>
        <v>-4964429068598.2891</v>
      </c>
      <c r="J4594" s="444">
        <f t="array" ref="J4594">IFERROR(INDEX('Retirement Calculator'!J:J,MATCH('Isaac 401k'!N4594,'Retirement Calculator'!A:A,0),0),0)</f>
        <v>0</v>
      </c>
      <c r="K4594" s="444">
        <f t="shared" ca="1" si="186"/>
        <v>-20685121119.159538</v>
      </c>
      <c r="L4594" s="444">
        <f t="shared" ca="1" si="187"/>
        <v>-4985114189717.4482</v>
      </c>
      <c r="M4594" s="460">
        <f t="shared" si="189"/>
        <v>0.05</v>
      </c>
      <c r="N4594" s="464">
        <f t="shared" si="190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88"/>
        <v>-4985114189717.4482</v>
      </c>
      <c r="J4595" s="444">
        <f t="array" ref="J4595">IFERROR(INDEX('Retirement Calculator'!J:J,MATCH('Isaac 401k'!N4595,'Retirement Calculator'!A:A,0),0),0)</f>
        <v>0</v>
      </c>
      <c r="K4595" s="444">
        <f t="shared" ca="1" si="186"/>
        <v>-20771309123.822701</v>
      </c>
      <c r="L4595" s="444">
        <f t="shared" ca="1" si="187"/>
        <v>-5005885498841.2705</v>
      </c>
      <c r="M4595" s="460">
        <f t="shared" si="189"/>
        <v>0.05</v>
      </c>
      <c r="N4595" s="464">
        <f t="shared" si="190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88"/>
        <v>-5005885498841.2705</v>
      </c>
      <c r="J4596" s="444">
        <f t="array" ref="J4596">IFERROR(INDEX('Retirement Calculator'!J:J,MATCH('Isaac 401k'!N4596,'Retirement Calculator'!A:A,0),0),0)</f>
        <v>0</v>
      </c>
      <c r="K4596" s="444">
        <f t="shared" ca="1" si="186"/>
        <v>-20857856245.171959</v>
      </c>
      <c r="L4596" s="444">
        <f t="shared" ca="1" si="187"/>
        <v>-5026743355086.4424</v>
      </c>
      <c r="M4596" s="460">
        <f t="shared" si="189"/>
        <v>0.05</v>
      </c>
      <c r="N4596" s="464">
        <f t="shared" si="190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88"/>
        <v>-5026743355086.4424</v>
      </c>
      <c r="J4597" s="444">
        <f t="array" ref="J4597">IFERROR(INDEX('Retirement Calculator'!J:J,MATCH('Isaac 401k'!N4597,'Retirement Calculator'!A:A,0),0),0)</f>
        <v>0</v>
      </c>
      <c r="K4597" s="444">
        <f t="shared" ca="1" si="186"/>
        <v>-20944763979.526844</v>
      </c>
      <c r="L4597" s="444">
        <f t="shared" ca="1" si="187"/>
        <v>-5047688119065.9688</v>
      </c>
      <c r="M4597" s="460">
        <f t="shared" si="189"/>
        <v>0.05</v>
      </c>
      <c r="N4597" s="464">
        <f t="shared" si="190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88"/>
        <v>-5047688119065.9688</v>
      </c>
      <c r="J4598" s="444">
        <f t="array" ref="J4598">IFERROR(INDEX('Retirement Calculator'!J:J,MATCH('Isaac 401k'!N4598,'Retirement Calculator'!A:A,0),0),0)</f>
        <v>0</v>
      </c>
      <c r="K4598" s="444">
        <f t="shared" ref="K4598:K4852" ca="1" si="191">IPMT(M4598/12,1,12,-I4598+J4598,,0)</f>
        <v>-21032033829.441536</v>
      </c>
      <c r="L4598" s="444">
        <f t="shared" ref="L4598:L4852" ca="1" si="192">I4598-J4598+K4598</f>
        <v>-5068720152895.4102</v>
      </c>
      <c r="M4598" s="460">
        <f t="shared" si="189"/>
        <v>0.05</v>
      </c>
      <c r="N4598" s="464">
        <f t="shared" si="190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93">L4598</f>
        <v>-5068720152895.4102</v>
      </c>
      <c r="J4599" s="444">
        <f t="array" ref="J4599">IFERROR(INDEX('Retirement Calculator'!J:J,MATCH('Isaac 401k'!N4599,'Retirement Calculator'!A:A,0),0),0)</f>
        <v>0</v>
      </c>
      <c r="K4599" s="444">
        <f t="shared" ca="1" si="191"/>
        <v>-21119667303.730877</v>
      </c>
      <c r="L4599" s="444">
        <f t="shared" ca="1" si="192"/>
        <v>-5089839820199.1406</v>
      </c>
      <c r="M4599" s="460">
        <f t="shared" ref="M4599:M4853" si="194">M4598</f>
        <v>0.05</v>
      </c>
      <c r="N4599" s="464">
        <f t="shared" ref="N4599:N4853" si="195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93"/>
        <v>-5089839820199.1406</v>
      </c>
      <c r="J4600" s="444">
        <f t="array" ref="J4600">IFERROR(INDEX('Retirement Calculator'!J:J,MATCH('Isaac 401k'!N4600,'Retirement Calculator'!A:A,0),0),0)</f>
        <v>0</v>
      </c>
      <c r="K4600" s="444">
        <f t="shared" ca="1" si="191"/>
        <v>-21207665917.496418</v>
      </c>
      <c r="L4600" s="444">
        <f t="shared" ca="1" si="192"/>
        <v>-5111047486116.6367</v>
      </c>
      <c r="M4600" s="460">
        <f t="shared" si="194"/>
        <v>0.05</v>
      </c>
      <c r="N4600" s="464">
        <f t="shared" si="195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93"/>
        <v>-5111047486116.6367</v>
      </c>
      <c r="J4601" s="444">
        <f t="array" ref="J4601">IFERROR(INDEX('Retirement Calculator'!J:J,MATCH('Isaac 401k'!N4601,'Retirement Calculator'!A:A,0),0),0)</f>
        <v>0</v>
      </c>
      <c r="K4601" s="444">
        <f t="shared" ca="1" si="191"/>
        <v>-21296031192.152653</v>
      </c>
      <c r="L4601" s="444">
        <f t="shared" ca="1" si="192"/>
        <v>-5132343517308.7891</v>
      </c>
      <c r="M4601" s="460">
        <f t="shared" si="194"/>
        <v>0.05</v>
      </c>
      <c r="N4601" s="464">
        <f t="shared" si="195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93"/>
        <v>-5132343517308.7891</v>
      </c>
      <c r="J4602" s="444">
        <f t="array" ref="J4602">IFERROR(INDEX('Retirement Calculator'!J:J,MATCH('Isaac 401k'!N4602,'Retirement Calculator'!A:A,0),0),0)</f>
        <v>0</v>
      </c>
      <c r="K4602" s="444">
        <f t="shared" ca="1" si="191"/>
        <v>-21384764655.453289</v>
      </c>
      <c r="L4602" s="444">
        <f t="shared" ca="1" si="192"/>
        <v>-5153728281964.2422</v>
      </c>
      <c r="M4602" s="460">
        <f t="shared" si="194"/>
        <v>0.05</v>
      </c>
      <c r="N4602" s="464">
        <f t="shared" si="195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93"/>
        <v>-5153728281964.2422</v>
      </c>
      <c r="J4603" s="444">
        <f t="array" ref="J4603">IFERROR(INDEX('Retirement Calculator'!J:J,MATCH('Isaac 401k'!N4603,'Retirement Calculator'!A:A,0),0),0)</f>
        <v>0</v>
      </c>
      <c r="K4603" s="444">
        <f t="shared" ca="1" si="191"/>
        <v>-21473867841.517677</v>
      </c>
      <c r="L4603" s="444">
        <f t="shared" ca="1" si="192"/>
        <v>-5175202149805.7598</v>
      </c>
      <c r="M4603" s="460">
        <f t="shared" si="194"/>
        <v>0.05</v>
      </c>
      <c r="N4603" s="464">
        <f t="shared" si="195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93"/>
        <v>-5175202149805.7598</v>
      </c>
      <c r="J4604" s="444">
        <f t="array" ref="J4604">IFERROR(INDEX('Retirement Calculator'!J:J,MATCH('Isaac 401k'!N4604,'Retirement Calculator'!A:A,0),0),0)</f>
        <v>0</v>
      </c>
      <c r="K4604" s="444">
        <f t="shared" ca="1" si="191"/>
        <v>-21563342290.85733</v>
      </c>
      <c r="L4604" s="444">
        <f t="shared" ca="1" si="192"/>
        <v>-5196765492096.6172</v>
      </c>
      <c r="M4604" s="460">
        <f t="shared" si="194"/>
        <v>0.05</v>
      </c>
      <c r="N4604" s="464">
        <f t="shared" si="195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93"/>
        <v>-5196765492096.6172</v>
      </c>
      <c r="J4605" s="444">
        <f t="array" ref="J4605">IFERROR(INDEX('Retirement Calculator'!J:J,MATCH('Isaac 401k'!N4605,'Retirement Calculator'!A:A,0),0),0)</f>
        <v>0</v>
      </c>
      <c r="K4605" s="444">
        <f t="shared" ca="1" si="191"/>
        <v>-21653189550.402573</v>
      </c>
      <c r="L4605" s="444">
        <f t="shared" ca="1" si="192"/>
        <v>-5218418681647.0195</v>
      </c>
      <c r="M4605" s="460">
        <f t="shared" si="194"/>
        <v>0.05</v>
      </c>
      <c r="N4605" s="464">
        <f t="shared" si="195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93"/>
        <v>-5218418681647.0195</v>
      </c>
      <c r="J4606" s="444">
        <f t="array" ref="J4606">IFERROR(INDEX('Retirement Calculator'!J:J,MATCH('Isaac 401k'!N4606,'Retirement Calculator'!A:A,0),0),0)</f>
        <v>0</v>
      </c>
      <c r="K4606" s="444">
        <f t="shared" ca="1" si="191"/>
        <v>-21743411173.529247</v>
      </c>
      <c r="L4606" s="444">
        <f t="shared" ca="1" si="192"/>
        <v>-5240162092820.5488</v>
      </c>
      <c r="M4606" s="460">
        <f t="shared" si="194"/>
        <v>0.05</v>
      </c>
      <c r="N4606" s="464">
        <f t="shared" si="195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93"/>
        <v>-5240162092820.5488</v>
      </c>
      <c r="J4607" s="444">
        <f t="array" ref="J4607">IFERROR(INDEX('Retirement Calculator'!J:J,MATCH('Isaac 401k'!N4607,'Retirement Calculator'!A:A,0),0),0)</f>
        <v>0</v>
      </c>
      <c r="K4607" s="444">
        <f t="shared" ca="1" si="191"/>
        <v>-21834008720.085621</v>
      </c>
      <c r="L4607" s="444">
        <f t="shared" ca="1" si="192"/>
        <v>-5261996101540.6348</v>
      </c>
      <c r="M4607" s="460">
        <f t="shared" si="194"/>
        <v>0.05</v>
      </c>
      <c r="N4607" s="464">
        <f t="shared" si="195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93"/>
        <v>-5261996101540.6348</v>
      </c>
      <c r="J4608" s="444">
        <f t="array" ref="J4608">IFERROR(INDEX('Retirement Calculator'!J:J,MATCH('Isaac 401k'!N4608,'Retirement Calculator'!A:A,0),0),0)</f>
        <v>0</v>
      </c>
      <c r="K4608" s="444">
        <f t="shared" ca="1" si="191"/>
        <v>-21924983756.419312</v>
      </c>
      <c r="L4608" s="444">
        <f t="shared" ca="1" si="192"/>
        <v>-5283921085297.0537</v>
      </c>
      <c r="M4608" s="460">
        <f t="shared" si="194"/>
        <v>0.05</v>
      </c>
      <c r="N4608" s="464">
        <f t="shared" si="195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93"/>
        <v>-5283921085297.0537</v>
      </c>
      <c r="J4609" s="444">
        <f t="array" ref="J4609">IFERROR(INDEX('Retirement Calculator'!J:J,MATCH('Isaac 401k'!N4609,'Retirement Calculator'!A:A,0),0),0)</f>
        <v>0</v>
      </c>
      <c r="K4609" s="444">
        <f t="shared" ca="1" si="191"/>
        <v>-22016337855.404388</v>
      </c>
      <c r="L4609" s="444">
        <f t="shared" ca="1" si="192"/>
        <v>-5305937423152.458</v>
      </c>
      <c r="M4609" s="460">
        <f t="shared" si="194"/>
        <v>0.05</v>
      </c>
      <c r="N4609" s="464">
        <f t="shared" si="195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93"/>
        <v>-5305937423152.458</v>
      </c>
      <c r="J4610" s="444">
        <f t="array" ref="J4610">IFERROR(INDEX('Retirement Calculator'!J:J,MATCH('Isaac 401k'!N4610,'Retirement Calculator'!A:A,0),0),0)</f>
        <v>0</v>
      </c>
      <c r="K4610" s="444">
        <f t="shared" ca="1" si="191"/>
        <v>-22108072596.468575</v>
      </c>
      <c r="L4610" s="444">
        <f t="shared" ca="1" si="192"/>
        <v>-5328045495748.9268</v>
      </c>
      <c r="M4610" s="460">
        <f t="shared" si="194"/>
        <v>0.05</v>
      </c>
      <c r="N4610" s="464">
        <f t="shared" si="195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93"/>
        <v>-5328045495748.9268</v>
      </c>
      <c r="J4611" s="444">
        <f t="array" ref="J4611">IFERROR(INDEX('Retirement Calculator'!J:J,MATCH('Isaac 401k'!N4611,'Retirement Calculator'!A:A,0),0),0)</f>
        <v>0</v>
      </c>
      <c r="K4611" s="444">
        <f t="shared" ca="1" si="191"/>
        <v>-22200189565.620529</v>
      </c>
      <c r="L4611" s="444">
        <f t="shared" ca="1" si="192"/>
        <v>-5350245685314.5469</v>
      </c>
      <c r="M4611" s="460">
        <f t="shared" si="194"/>
        <v>0.05</v>
      </c>
      <c r="N4611" s="464">
        <f t="shared" si="195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93"/>
        <v>-5350245685314.5469</v>
      </c>
      <c r="J4612" s="444">
        <f t="array" ref="J4612">IFERROR(INDEX('Retirement Calculator'!J:J,MATCH('Isaac 401k'!N4612,'Retirement Calculator'!A:A,0),0),0)</f>
        <v>0</v>
      </c>
      <c r="K4612" s="444">
        <f t="shared" ca="1" si="191"/>
        <v>-22292690355.47728</v>
      </c>
      <c r="L4612" s="444">
        <f t="shared" ca="1" si="192"/>
        <v>-5372538375670.0244</v>
      </c>
      <c r="M4612" s="460">
        <f t="shared" si="194"/>
        <v>0.05</v>
      </c>
      <c r="N4612" s="464">
        <f t="shared" si="195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93"/>
        <v>-5372538375670.0244</v>
      </c>
      <c r="J4613" s="444">
        <f t="array" ref="J4613">IFERROR(INDEX('Retirement Calculator'!J:J,MATCH('Isaac 401k'!N4613,'Retirement Calculator'!A:A,0),0),0)</f>
        <v>0</v>
      </c>
      <c r="K4613" s="444">
        <f t="shared" ca="1" si="191"/>
        <v>-22385576565.291767</v>
      </c>
      <c r="L4613" s="444">
        <f t="shared" ca="1" si="192"/>
        <v>-5394923952235.3164</v>
      </c>
      <c r="M4613" s="460">
        <f t="shared" si="194"/>
        <v>0.05</v>
      </c>
      <c r="N4613" s="464">
        <f t="shared" si="195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93"/>
        <v>-5394923952235.3164</v>
      </c>
      <c r="J4614" s="444">
        <f t="array" ref="J4614">IFERROR(INDEX('Retirement Calculator'!J:J,MATCH('Isaac 401k'!N4614,'Retirement Calculator'!A:A,0),0),0)</f>
        <v>0</v>
      </c>
      <c r="K4614" s="444">
        <f t="shared" ca="1" si="191"/>
        <v>-22478849800.980484</v>
      </c>
      <c r="L4614" s="444">
        <f t="shared" ca="1" si="192"/>
        <v>-5417402802036.2969</v>
      </c>
      <c r="M4614" s="460">
        <f t="shared" si="194"/>
        <v>0.05</v>
      </c>
      <c r="N4614" s="464">
        <f t="shared" si="195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93"/>
        <v>-5417402802036.2969</v>
      </c>
      <c r="J4615" s="444">
        <f t="array" ref="J4615">IFERROR(INDEX('Retirement Calculator'!J:J,MATCH('Isaac 401k'!N4615,'Retirement Calculator'!A:A,0),0),0)</f>
        <v>0</v>
      </c>
      <c r="K4615" s="444">
        <f t="shared" ca="1" si="191"/>
        <v>-22572511675.151237</v>
      </c>
      <c r="L4615" s="444">
        <f t="shared" ca="1" si="192"/>
        <v>-5439975313711.4482</v>
      </c>
      <c r="M4615" s="460">
        <f t="shared" si="194"/>
        <v>0.05</v>
      </c>
      <c r="N4615" s="464">
        <f t="shared" si="195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93"/>
        <v>-5439975313711.4482</v>
      </c>
      <c r="J4616" s="444">
        <f t="array" ref="J4616">IFERROR(INDEX('Retirement Calculator'!J:J,MATCH('Isaac 401k'!N4616,'Retirement Calculator'!A:A,0),0),0)</f>
        <v>0</v>
      </c>
      <c r="K4616" s="444">
        <f t="shared" ca="1" si="191"/>
        <v>-22666563807.131035</v>
      </c>
      <c r="L4616" s="444">
        <f t="shared" ca="1" si="192"/>
        <v>-5462641877518.5791</v>
      </c>
      <c r="M4616" s="460">
        <f t="shared" si="194"/>
        <v>0.05</v>
      </c>
      <c r="N4616" s="464">
        <f t="shared" si="195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93"/>
        <v>-5462641877518.5791</v>
      </c>
      <c r="J4617" s="444">
        <f t="array" ref="J4617">IFERROR(INDEX('Retirement Calculator'!J:J,MATCH('Isaac 401k'!N4617,'Retirement Calculator'!A:A,0),0),0)</f>
        <v>0</v>
      </c>
      <c r="K4617" s="444">
        <f t="shared" ca="1" si="191"/>
        <v>-22761007822.99408</v>
      </c>
      <c r="L4617" s="444">
        <f t="shared" ca="1" si="192"/>
        <v>-5485402885341.5732</v>
      </c>
      <c r="M4617" s="460">
        <f t="shared" si="194"/>
        <v>0.05</v>
      </c>
      <c r="N4617" s="464">
        <f t="shared" si="195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93"/>
        <v>-5485402885341.5732</v>
      </c>
      <c r="J4618" s="444">
        <f t="array" ref="J4618">IFERROR(INDEX('Retirement Calculator'!J:J,MATCH('Isaac 401k'!N4618,'Retirement Calculator'!A:A,0),0),0)</f>
        <v>0</v>
      </c>
      <c r="K4618" s="444">
        <f t="shared" ca="1" si="191"/>
        <v>-22855845355.58989</v>
      </c>
      <c r="L4618" s="444">
        <f t="shared" ca="1" si="192"/>
        <v>-5508258730697.1631</v>
      </c>
      <c r="M4618" s="460">
        <f t="shared" si="194"/>
        <v>0.05</v>
      </c>
      <c r="N4618" s="464">
        <f t="shared" si="195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93"/>
        <v>-5508258730697.1631</v>
      </c>
      <c r="J4619" s="444">
        <f t="array" ref="J4619">IFERROR(INDEX('Retirement Calculator'!J:J,MATCH('Isaac 401k'!N4619,'Retirement Calculator'!A:A,0),0),0)</f>
        <v>0</v>
      </c>
      <c r="K4619" s="444">
        <f t="shared" ca="1" si="191"/>
        <v>-22951078044.571514</v>
      </c>
      <c r="L4619" s="444">
        <f t="shared" ca="1" si="192"/>
        <v>-5531209808741.7344</v>
      </c>
      <c r="M4619" s="460">
        <f t="shared" si="194"/>
        <v>0.05</v>
      </c>
      <c r="N4619" s="464">
        <f t="shared" si="195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93"/>
        <v>-5531209808741.7344</v>
      </c>
      <c r="J4620" s="444">
        <f t="array" ref="J4620">IFERROR(INDEX('Retirement Calculator'!J:J,MATCH('Isaac 401k'!N4620,'Retirement Calculator'!A:A,0),0),0)</f>
        <v>0</v>
      </c>
      <c r="K4620" s="444">
        <f t="shared" ca="1" si="191"/>
        <v>-23046707536.423893</v>
      </c>
      <c r="L4620" s="444">
        <f t="shared" ca="1" si="192"/>
        <v>-5554256516278.1582</v>
      </c>
      <c r="M4620" s="460">
        <f t="shared" si="194"/>
        <v>0.05</v>
      </c>
      <c r="N4620" s="464">
        <f t="shared" si="195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93"/>
        <v>-5554256516278.1582</v>
      </c>
      <c r="J4621" s="444">
        <f t="array" ref="J4621">IFERROR(INDEX('Retirement Calculator'!J:J,MATCH('Isaac 401k'!N4621,'Retirement Calculator'!A:A,0),0),0)</f>
        <v>0</v>
      </c>
      <c r="K4621" s="444">
        <f t="shared" ca="1" si="191"/>
        <v>-23142735484.492325</v>
      </c>
      <c r="L4621" s="444">
        <f t="shared" ca="1" si="192"/>
        <v>-5577399251762.6504</v>
      </c>
      <c r="M4621" s="460">
        <f t="shared" si="194"/>
        <v>0.05</v>
      </c>
      <c r="N4621" s="464">
        <f t="shared" si="195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93"/>
        <v>-5577399251762.6504</v>
      </c>
      <c r="J4622" s="444">
        <f t="array" ref="J4622">IFERROR(INDEX('Retirement Calculator'!J:J,MATCH('Isaac 401k'!N4622,'Retirement Calculator'!A:A,0),0),0)</f>
        <v>0</v>
      </c>
      <c r="K4622" s="444">
        <f t="shared" ca="1" si="191"/>
        <v>-23239163549.011044</v>
      </c>
      <c r="L4622" s="444">
        <f t="shared" ca="1" si="192"/>
        <v>-5600638415311.6611</v>
      </c>
      <c r="M4622" s="460">
        <f t="shared" si="194"/>
        <v>0.05</v>
      </c>
      <c r="N4622" s="464">
        <f t="shared" si="195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93"/>
        <v>-5600638415311.6611</v>
      </c>
      <c r="J4623" s="444">
        <f t="array" ref="J4623">IFERROR(INDEX('Retirement Calculator'!J:J,MATCH('Isaac 401k'!N4623,'Retirement Calculator'!A:A,0),0),0)</f>
        <v>0</v>
      </c>
      <c r="K4623" s="444">
        <f t="shared" ca="1" si="191"/>
        <v>-23335993397.13192</v>
      </c>
      <c r="L4623" s="444">
        <f t="shared" ca="1" si="192"/>
        <v>-5623974408708.793</v>
      </c>
      <c r="M4623" s="460">
        <f t="shared" si="194"/>
        <v>0.05</v>
      </c>
      <c r="N4623" s="464">
        <f t="shared" si="195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93"/>
        <v>-5623974408708.793</v>
      </c>
      <c r="J4624" s="444">
        <f t="array" ref="J4624">IFERROR(INDEX('Retirement Calculator'!J:J,MATCH('Isaac 401k'!N4624,'Retirement Calculator'!A:A,0),0),0)</f>
        <v>0</v>
      </c>
      <c r="K4624" s="444">
        <f t="shared" ca="1" si="191"/>
        <v>-23433226702.953304</v>
      </c>
      <c r="L4624" s="444">
        <f t="shared" ca="1" si="192"/>
        <v>-5647407635411.7461</v>
      </c>
      <c r="M4624" s="460">
        <f t="shared" si="194"/>
        <v>0.05</v>
      </c>
      <c r="N4624" s="464">
        <f t="shared" si="195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93"/>
        <v>-5647407635411.7461</v>
      </c>
      <c r="J4625" s="444">
        <f t="array" ref="J4625">IFERROR(INDEX('Retirement Calculator'!J:J,MATCH('Isaac 401k'!N4625,'Retirement Calculator'!A:A,0),0),0)</f>
        <v>0</v>
      </c>
      <c r="K4625" s="444">
        <f t="shared" ca="1" si="191"/>
        <v>-23530865147.548943</v>
      </c>
      <c r="L4625" s="444">
        <f t="shared" ca="1" si="192"/>
        <v>-5670938500559.2949</v>
      </c>
      <c r="M4625" s="460">
        <f t="shared" si="194"/>
        <v>0.05</v>
      </c>
      <c r="N4625" s="464">
        <f t="shared" si="195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93"/>
        <v>-5670938500559.2949</v>
      </c>
      <c r="J4626" s="444">
        <f t="array" ref="J4626">IFERROR(INDEX('Retirement Calculator'!J:J,MATCH('Isaac 401k'!N4626,'Retirement Calculator'!A:A,0),0),0)</f>
        <v>0</v>
      </c>
      <c r="K4626" s="444">
        <f t="shared" ca="1" si="191"/>
        <v>-23628910418.997063</v>
      </c>
      <c r="L4626" s="444">
        <f t="shared" ca="1" si="192"/>
        <v>-5694567410978.292</v>
      </c>
      <c r="M4626" s="460">
        <f t="shared" si="194"/>
        <v>0.05</v>
      </c>
      <c r="N4626" s="464">
        <f t="shared" si="195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93"/>
        <v>-5694567410978.292</v>
      </c>
      <c r="J4627" s="444">
        <f t="array" ref="J4627">IFERROR(INDEX('Retirement Calculator'!J:J,MATCH('Isaac 401k'!N4627,'Retirement Calculator'!A:A,0),0),0)</f>
        <v>0</v>
      </c>
      <c r="K4627" s="444">
        <f t="shared" ca="1" si="191"/>
        <v>-23727364212.40955</v>
      </c>
      <c r="L4627" s="444">
        <f t="shared" ca="1" si="192"/>
        <v>-5718294775190.7012</v>
      </c>
      <c r="M4627" s="460">
        <f t="shared" si="194"/>
        <v>0.05</v>
      </c>
      <c r="N4627" s="464">
        <f t="shared" si="195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93"/>
        <v>-5718294775190.7012</v>
      </c>
      <c r="J4628" s="444">
        <f t="array" ref="J4628">IFERROR(INDEX('Retirement Calculator'!J:J,MATCH('Isaac 401k'!N4628,'Retirement Calculator'!A:A,0),0),0)</f>
        <v>0</v>
      </c>
      <c r="K4628" s="444">
        <f t="shared" ca="1" si="191"/>
        <v>-23826228229.961254</v>
      </c>
      <c r="L4628" s="444">
        <f t="shared" ca="1" si="192"/>
        <v>-5742121003420.6621</v>
      </c>
      <c r="M4628" s="460">
        <f t="shared" si="194"/>
        <v>0.05</v>
      </c>
      <c r="N4628" s="464">
        <f t="shared" si="195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93"/>
        <v>-5742121003420.6621</v>
      </c>
      <c r="J4629" s="444">
        <f t="array" ref="J4629">IFERROR(INDEX('Retirement Calculator'!J:J,MATCH('Isaac 401k'!N4629,'Retirement Calculator'!A:A,0),0),0)</f>
        <v>0</v>
      </c>
      <c r="K4629" s="444">
        <f t="shared" ca="1" si="191"/>
        <v>-23925504180.919426</v>
      </c>
      <c r="L4629" s="444">
        <f t="shared" ca="1" si="192"/>
        <v>-5766046507601.5811</v>
      </c>
      <c r="M4629" s="460">
        <f t="shared" si="194"/>
        <v>0.05</v>
      </c>
      <c r="N4629" s="464">
        <f t="shared" si="195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93"/>
        <v>-5766046507601.5811</v>
      </c>
      <c r="J4630" s="444">
        <f t="array" ref="J4630">IFERROR(INDEX('Retirement Calculator'!J:J,MATCH('Isaac 401k'!N4630,'Retirement Calculator'!A:A,0),0),0)</f>
        <v>0</v>
      </c>
      <c r="K4630" s="444">
        <f t="shared" ca="1" si="191"/>
        <v>-24025193781.673256</v>
      </c>
      <c r="L4630" s="444">
        <f t="shared" ca="1" si="192"/>
        <v>-5790071701383.2539</v>
      </c>
      <c r="M4630" s="460">
        <f t="shared" si="194"/>
        <v>0.05</v>
      </c>
      <c r="N4630" s="464">
        <f t="shared" si="195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93"/>
        <v>-5790071701383.2539</v>
      </c>
      <c r="J4631" s="444">
        <f t="array" ref="J4631">IFERROR(INDEX('Retirement Calculator'!J:J,MATCH('Isaac 401k'!N4631,'Retirement Calculator'!A:A,0),0),0)</f>
        <v>0</v>
      </c>
      <c r="K4631" s="444">
        <f t="shared" ca="1" si="191"/>
        <v>-24125298755.763557</v>
      </c>
      <c r="L4631" s="444">
        <f t="shared" ca="1" si="192"/>
        <v>-5814197000139.0176</v>
      </c>
      <c r="M4631" s="460">
        <f t="shared" si="194"/>
        <v>0.05</v>
      </c>
      <c r="N4631" s="464">
        <f t="shared" si="195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93"/>
        <v>-5814197000139.0176</v>
      </c>
      <c r="J4632" s="444">
        <f t="array" ref="J4632">IFERROR(INDEX('Retirement Calculator'!J:J,MATCH('Isaac 401k'!N4632,'Retirement Calculator'!A:A,0),0),0)</f>
        <v>0</v>
      </c>
      <c r="K4632" s="444">
        <f t="shared" ca="1" si="191"/>
        <v>-24225820833.912575</v>
      </c>
      <c r="L4632" s="444">
        <f t="shared" ca="1" si="192"/>
        <v>-5838422820972.9297</v>
      </c>
      <c r="M4632" s="460">
        <f t="shared" si="194"/>
        <v>0.05</v>
      </c>
      <c r="N4632" s="464">
        <f t="shared" si="195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93"/>
        <v>-5838422820972.9297</v>
      </c>
      <c r="J4633" s="444">
        <f t="array" ref="J4633">IFERROR(INDEX('Retirement Calculator'!J:J,MATCH('Isaac 401k'!N4633,'Retirement Calculator'!A:A,0),0),0)</f>
        <v>0</v>
      </c>
      <c r="K4633" s="444">
        <f t="shared" ca="1" si="191"/>
        <v>-24326761754.053875</v>
      </c>
      <c r="L4633" s="444">
        <f t="shared" ca="1" si="192"/>
        <v>-5862749582726.9834</v>
      </c>
      <c r="M4633" s="460">
        <f t="shared" si="194"/>
        <v>0.05</v>
      </c>
      <c r="N4633" s="464">
        <f t="shared" si="195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93"/>
        <v>-5862749582726.9834</v>
      </c>
      <c r="J4634" s="444">
        <f t="array" ref="J4634">IFERROR(INDEX('Retirement Calculator'!J:J,MATCH('Isaac 401k'!N4634,'Retirement Calculator'!A:A,0),0),0)</f>
        <v>0</v>
      </c>
      <c r="K4634" s="444">
        <f t="shared" ca="1" si="191"/>
        <v>-24428123261.362431</v>
      </c>
      <c r="L4634" s="444">
        <f t="shared" ca="1" si="192"/>
        <v>-5887177705988.3457</v>
      </c>
      <c r="M4634" s="460">
        <f t="shared" si="194"/>
        <v>0.05</v>
      </c>
      <c r="N4634" s="464">
        <f t="shared" si="195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93"/>
        <v>-5887177705988.3457</v>
      </c>
      <c r="J4635" s="444">
        <f t="array" ref="J4635">IFERROR(INDEX('Retirement Calculator'!J:J,MATCH('Isaac 401k'!N4635,'Retirement Calculator'!A:A,0),0),0)</f>
        <v>0</v>
      </c>
      <c r="K4635" s="444">
        <f t="shared" ca="1" si="191"/>
        <v>-24529907108.284775</v>
      </c>
      <c r="L4635" s="444">
        <f t="shared" ca="1" si="192"/>
        <v>-5911707613096.6309</v>
      </c>
      <c r="M4635" s="460">
        <f t="shared" si="194"/>
        <v>0.05</v>
      </c>
      <c r="N4635" s="464">
        <f t="shared" si="195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93"/>
        <v>-5911707613096.6309</v>
      </c>
      <c r="J4636" s="444">
        <f t="array" ref="J4636">IFERROR(INDEX('Retirement Calculator'!J:J,MATCH('Isaac 401k'!N4636,'Retirement Calculator'!A:A,0),0),0)</f>
        <v>0</v>
      </c>
      <c r="K4636" s="444">
        <f t="shared" ca="1" si="191"/>
        <v>-24632115054.569294</v>
      </c>
      <c r="L4636" s="444">
        <f t="shared" ca="1" si="192"/>
        <v>-5936339728151.2002</v>
      </c>
      <c r="M4636" s="460">
        <f t="shared" si="194"/>
        <v>0.05</v>
      </c>
      <c r="N4636" s="464">
        <f t="shared" si="195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93"/>
        <v>-5936339728151.2002</v>
      </c>
      <c r="J4637" s="444">
        <f t="array" ref="J4637">IFERROR(INDEX('Retirement Calculator'!J:J,MATCH('Isaac 401k'!N4637,'Retirement Calculator'!A:A,0),0),0)</f>
        <v>0</v>
      </c>
      <c r="K4637" s="444">
        <f t="shared" ca="1" si="191"/>
        <v>-24734748867.296669</v>
      </c>
      <c r="L4637" s="444">
        <f t="shared" ca="1" si="192"/>
        <v>-5961074477018.4971</v>
      </c>
      <c r="M4637" s="460">
        <f t="shared" si="194"/>
        <v>0.05</v>
      </c>
      <c r="N4637" s="464">
        <f t="shared" si="195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93"/>
        <v>-5961074477018.4971</v>
      </c>
      <c r="J4638" s="444">
        <f t="array" ref="J4638">IFERROR(INDEX('Retirement Calculator'!J:J,MATCH('Isaac 401k'!N4638,'Retirement Calculator'!A:A,0),0),0)</f>
        <v>0</v>
      </c>
      <c r="K4638" s="444">
        <f t="shared" ca="1" si="191"/>
        <v>-24837810320.910404</v>
      </c>
      <c r="L4638" s="444">
        <f t="shared" ca="1" si="192"/>
        <v>-5985912287339.4072</v>
      </c>
      <c r="M4638" s="460">
        <f t="shared" si="194"/>
        <v>0.05</v>
      </c>
      <c r="N4638" s="464">
        <f t="shared" si="195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93"/>
        <v>-5985912287339.4072</v>
      </c>
      <c r="J4639" s="444">
        <f t="array" ref="J4639">IFERROR(INDEX('Retirement Calculator'!J:J,MATCH('Isaac 401k'!N4639,'Retirement Calculator'!A:A,0),0),0)</f>
        <v>0</v>
      </c>
      <c r="K4639" s="444">
        <f t="shared" ca="1" si="191"/>
        <v>-24941301197.247528</v>
      </c>
      <c r="L4639" s="444">
        <f t="shared" ca="1" si="192"/>
        <v>-6010853588536.6543</v>
      </c>
      <c r="M4639" s="460">
        <f t="shared" si="194"/>
        <v>0.05</v>
      </c>
      <c r="N4639" s="464">
        <f t="shared" si="195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93"/>
        <v>-6010853588536.6543</v>
      </c>
      <c r="J4640" s="444">
        <f t="array" ref="J4640">IFERROR(INDEX('Retirement Calculator'!J:J,MATCH('Isaac 401k'!N4640,'Retirement Calculator'!A:A,0),0),0)</f>
        <v>0</v>
      </c>
      <c r="K4640" s="444">
        <f t="shared" ca="1" si="191"/>
        <v>-25045223285.569393</v>
      </c>
      <c r="L4640" s="444">
        <f t="shared" ca="1" si="192"/>
        <v>-6035898811822.2236</v>
      </c>
      <c r="M4640" s="460">
        <f t="shared" si="194"/>
        <v>0.05</v>
      </c>
      <c r="N4640" s="464">
        <f t="shared" si="195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93"/>
        <v>-6035898811822.2236</v>
      </c>
      <c r="J4641" s="444">
        <f t="array" ref="J4641">IFERROR(INDEX('Retirement Calculator'!J:J,MATCH('Isaac 401k'!N4641,'Retirement Calculator'!A:A,0),0),0)</f>
        <v>0</v>
      </c>
      <c r="K4641" s="444">
        <f t="shared" ca="1" si="191"/>
        <v>-25149578382.592598</v>
      </c>
      <c r="L4641" s="444">
        <f t="shared" ca="1" si="192"/>
        <v>-6061048390204.8164</v>
      </c>
      <c r="M4641" s="460">
        <f t="shared" si="194"/>
        <v>0.05</v>
      </c>
      <c r="N4641" s="464">
        <f t="shared" si="195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93"/>
        <v>-6061048390204.8164</v>
      </c>
      <c r="J4642" s="444">
        <f t="array" ref="J4642">IFERROR(INDEX('Retirement Calculator'!J:J,MATCH('Isaac 401k'!N4642,'Retirement Calculator'!A:A,0),0),0)</f>
        <v>0</v>
      </c>
      <c r="K4642" s="444">
        <f t="shared" ca="1" si="191"/>
        <v>-25254368292.520069</v>
      </c>
      <c r="L4642" s="444">
        <f t="shared" ca="1" si="192"/>
        <v>-6086302758497.3369</v>
      </c>
      <c r="M4642" s="460">
        <f t="shared" si="194"/>
        <v>0.05</v>
      </c>
      <c r="N4642" s="464">
        <f t="shared" si="195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93"/>
        <v>-6086302758497.3369</v>
      </c>
      <c r="J4643" s="444">
        <f t="array" ref="J4643">IFERROR(INDEX('Retirement Calculator'!J:J,MATCH('Isaac 401k'!N4643,'Retirement Calculator'!A:A,0),0),0)</f>
        <v>0</v>
      </c>
      <c r="K4643" s="444">
        <f t="shared" ca="1" si="191"/>
        <v>-25359594827.072235</v>
      </c>
      <c r="L4643" s="444">
        <f t="shared" ca="1" si="192"/>
        <v>-6111662353324.4092</v>
      </c>
      <c r="M4643" s="460">
        <f t="shared" si="194"/>
        <v>0.05</v>
      </c>
      <c r="N4643" s="464">
        <f t="shared" si="195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93"/>
        <v>-6111662353324.4092</v>
      </c>
      <c r="J4644" s="444">
        <f t="array" ref="J4644">IFERROR(INDEX('Retirement Calculator'!J:J,MATCH('Isaac 401k'!N4644,'Retirement Calculator'!A:A,0),0),0)</f>
        <v>0</v>
      </c>
      <c r="K4644" s="444">
        <f t="shared" ca="1" si="191"/>
        <v>-25465259805.518372</v>
      </c>
      <c r="L4644" s="444">
        <f t="shared" ca="1" si="192"/>
        <v>-6137127613129.9277</v>
      </c>
      <c r="M4644" s="460">
        <f t="shared" si="194"/>
        <v>0.05</v>
      </c>
      <c r="N4644" s="464">
        <f t="shared" si="195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93"/>
        <v>-6137127613129.9277</v>
      </c>
      <c r="J4645" s="444">
        <f t="array" ref="J4645">IFERROR(INDEX('Retirement Calculator'!J:J,MATCH('Isaac 401k'!N4645,'Retirement Calculator'!A:A,0),0),0)</f>
        <v>0</v>
      </c>
      <c r="K4645" s="444">
        <f t="shared" ca="1" si="191"/>
        <v>-25571365054.708031</v>
      </c>
      <c r="L4645" s="444">
        <f t="shared" ca="1" si="192"/>
        <v>-6162698978184.6357</v>
      </c>
      <c r="M4645" s="460">
        <f t="shared" si="194"/>
        <v>0.05</v>
      </c>
      <c r="N4645" s="464">
        <f t="shared" si="195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93"/>
        <v>-6162698978184.6357</v>
      </c>
      <c r="J4646" s="444">
        <f t="array" ref="J4646">IFERROR(INDEX('Retirement Calculator'!J:J,MATCH('Isaac 401k'!N4646,'Retirement Calculator'!A:A,0),0),0)</f>
        <v>0</v>
      </c>
      <c r="K4646" s="444">
        <f t="shared" ca="1" si="191"/>
        <v>-25677912409.10265</v>
      </c>
      <c r="L4646" s="444">
        <f t="shared" ca="1" si="192"/>
        <v>-6188376890593.7383</v>
      </c>
      <c r="M4646" s="460">
        <f t="shared" si="194"/>
        <v>0.05</v>
      </c>
      <c r="N4646" s="464">
        <f t="shared" si="195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93"/>
        <v>-6188376890593.7383</v>
      </c>
      <c r="J4647" s="444">
        <f t="array" ref="J4647">IFERROR(INDEX('Retirement Calculator'!J:J,MATCH('Isaac 401k'!N4647,'Retirement Calculator'!A:A,0),0),0)</f>
        <v>0</v>
      </c>
      <c r="K4647" s="444">
        <f t="shared" ca="1" si="191"/>
        <v>-25784903710.807243</v>
      </c>
      <c r="L4647" s="444">
        <f t="shared" ca="1" si="192"/>
        <v>-6214161794304.5459</v>
      </c>
      <c r="M4647" s="460">
        <f t="shared" si="194"/>
        <v>0.05</v>
      </c>
      <c r="N4647" s="464">
        <f t="shared" si="195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93"/>
        <v>-6214161794304.5459</v>
      </c>
      <c r="J4648" s="444">
        <f t="array" ref="J4648">IFERROR(INDEX('Retirement Calculator'!J:J,MATCH('Isaac 401k'!N4648,'Retirement Calculator'!A:A,0),0),0)</f>
        <v>0</v>
      </c>
      <c r="K4648" s="444">
        <f t="shared" ca="1" si="191"/>
        <v>-25892340809.602276</v>
      </c>
      <c r="L4648" s="444">
        <f t="shared" ca="1" si="192"/>
        <v>-6240054135114.1484</v>
      </c>
      <c r="M4648" s="460">
        <f t="shared" si="194"/>
        <v>0.05</v>
      </c>
      <c r="N4648" s="464">
        <f t="shared" si="195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93"/>
        <v>-6240054135114.1484</v>
      </c>
      <c r="J4649" s="444">
        <f t="array" ref="J4649">IFERROR(INDEX('Retirement Calculator'!J:J,MATCH('Isaac 401k'!N4649,'Retirement Calculator'!A:A,0),0),0)</f>
        <v>0</v>
      </c>
      <c r="K4649" s="444">
        <f t="shared" ca="1" si="191"/>
        <v>-26000225562.975616</v>
      </c>
      <c r="L4649" s="444">
        <f t="shared" ca="1" si="192"/>
        <v>-6266054360677.124</v>
      </c>
      <c r="M4649" s="460">
        <f t="shared" si="194"/>
        <v>0.05</v>
      </c>
      <c r="N4649" s="464">
        <f t="shared" si="195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93"/>
        <v>-6266054360677.124</v>
      </c>
      <c r="J4650" s="444">
        <f t="array" ref="J4650">IFERROR(INDEX('Retirement Calculator'!J:J,MATCH('Isaac 401k'!N4650,'Retirement Calculator'!A:A,0),0),0)</f>
        <v>0</v>
      </c>
      <c r="K4650" s="444">
        <f t="shared" ca="1" si="191"/>
        <v>-26108559836.154682</v>
      </c>
      <c r="L4650" s="444">
        <f t="shared" ca="1" si="192"/>
        <v>-6292162920513.2783</v>
      </c>
      <c r="M4650" s="460">
        <f t="shared" si="194"/>
        <v>0.05</v>
      </c>
      <c r="N4650" s="464">
        <f t="shared" si="195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93"/>
        <v>-6292162920513.2783</v>
      </c>
      <c r="J4651" s="444">
        <f t="array" ref="J4651">IFERROR(INDEX('Retirement Calculator'!J:J,MATCH('Isaac 401k'!N4651,'Retirement Calculator'!A:A,0),0),0)</f>
        <v>0</v>
      </c>
      <c r="K4651" s="444">
        <f t="shared" ca="1" si="191"/>
        <v>-26217345502.13866</v>
      </c>
      <c r="L4651" s="444">
        <f t="shared" ca="1" si="192"/>
        <v>-6318380266015.417</v>
      </c>
      <c r="M4651" s="460">
        <f t="shared" si="194"/>
        <v>0.05</v>
      </c>
      <c r="N4651" s="464">
        <f t="shared" si="195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93"/>
        <v>-6318380266015.417</v>
      </c>
      <c r="J4652" s="444">
        <f t="array" ref="J4652">IFERROR(INDEX('Retirement Calculator'!J:J,MATCH('Isaac 401k'!N4652,'Retirement Calculator'!A:A,0),0),0)</f>
        <v>0</v>
      </c>
      <c r="K4652" s="444">
        <f t="shared" ca="1" si="191"/>
        <v>-26326584441.730904</v>
      </c>
      <c r="L4652" s="444">
        <f t="shared" ca="1" si="192"/>
        <v>-6344706850457.1475</v>
      </c>
      <c r="M4652" s="460">
        <f t="shared" si="194"/>
        <v>0.05</v>
      </c>
      <c r="N4652" s="464">
        <f t="shared" si="195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93"/>
        <v>-6344706850457.1475</v>
      </c>
      <c r="J4653" s="444">
        <f t="array" ref="J4653">IFERROR(INDEX('Retirement Calculator'!J:J,MATCH('Isaac 401k'!N4653,'Retirement Calculator'!A:A,0),0),0)</f>
        <v>0</v>
      </c>
      <c r="K4653" s="444">
        <f t="shared" ca="1" si="191"/>
        <v>-26436278543.571449</v>
      </c>
      <c r="L4653" s="444">
        <f t="shared" ca="1" si="192"/>
        <v>-6371143129000.7188</v>
      </c>
      <c r="M4653" s="460">
        <f t="shared" si="194"/>
        <v>0.05</v>
      </c>
      <c r="N4653" s="464">
        <f t="shared" si="195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93"/>
        <v>-6371143129000.7188</v>
      </c>
      <c r="J4654" s="444">
        <f t="array" ref="J4654">IFERROR(INDEX('Retirement Calculator'!J:J,MATCH('Isaac 401k'!N4654,'Retirement Calculator'!A:A,0),0),0)</f>
        <v>0</v>
      </c>
      <c r="K4654" s="444">
        <f t="shared" ca="1" si="191"/>
        <v>-26546429704.169662</v>
      </c>
      <c r="L4654" s="444">
        <f t="shared" ca="1" si="192"/>
        <v>-6397689558704.8887</v>
      </c>
      <c r="M4654" s="460">
        <f t="shared" si="194"/>
        <v>0.05</v>
      </c>
      <c r="N4654" s="464">
        <f t="shared" si="195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93"/>
        <v>-6397689558704.8887</v>
      </c>
      <c r="J4655" s="444">
        <f t="array" ref="J4655">IFERROR(INDEX('Retirement Calculator'!J:J,MATCH('Isaac 401k'!N4655,'Retirement Calculator'!A:A,0),0),0)</f>
        <v>0</v>
      </c>
      <c r="K4655" s="444">
        <f t="shared" ca="1" si="191"/>
        <v>-26657039827.937035</v>
      </c>
      <c r="L4655" s="444">
        <f t="shared" ca="1" si="192"/>
        <v>-6424346598532.8262</v>
      </c>
      <c r="M4655" s="460">
        <f t="shared" si="194"/>
        <v>0.05</v>
      </c>
      <c r="N4655" s="464">
        <f t="shared" si="195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93"/>
        <v>-6424346598532.8262</v>
      </c>
      <c r="J4656" s="444">
        <f t="array" ref="J4656">IFERROR(INDEX('Retirement Calculator'!J:J,MATCH('Isaac 401k'!N4656,'Retirement Calculator'!A:A,0),0),0)</f>
        <v>0</v>
      </c>
      <c r="K4656" s="444">
        <f t="shared" ca="1" si="191"/>
        <v>-26768110827.220108</v>
      </c>
      <c r="L4656" s="444">
        <f t="shared" ca="1" si="192"/>
        <v>-6451114709360.0459</v>
      </c>
      <c r="M4656" s="460">
        <f t="shared" si="194"/>
        <v>0.05</v>
      </c>
      <c r="N4656" s="464">
        <f t="shared" si="195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93"/>
        <v>-6451114709360.0459</v>
      </c>
      <c r="J4657" s="444">
        <f t="array" ref="J4657">IFERROR(INDEX('Retirement Calculator'!J:J,MATCH('Isaac 401k'!N4657,'Retirement Calculator'!A:A,0),0),0)</f>
        <v>0</v>
      </c>
      <c r="K4657" s="444">
        <f t="shared" ca="1" si="191"/>
        <v>-26879644622.333523</v>
      </c>
      <c r="L4657" s="444">
        <f t="shared" ca="1" si="192"/>
        <v>-6477994353982.3799</v>
      </c>
      <c r="M4657" s="460">
        <f t="shared" si="194"/>
        <v>0.05</v>
      </c>
      <c r="N4657" s="464">
        <f t="shared" si="195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93"/>
        <v>-6477994353982.3799</v>
      </c>
      <c r="J4658" s="444">
        <f t="array" ref="J4658">IFERROR(INDEX('Retirement Calculator'!J:J,MATCH('Isaac 401k'!N4658,'Retirement Calculator'!A:A,0),0),0)</f>
        <v>0</v>
      </c>
      <c r="K4658" s="444">
        <f t="shared" ca="1" si="191"/>
        <v>-26991643141.59325</v>
      </c>
      <c r="L4658" s="444">
        <f t="shared" ca="1" si="192"/>
        <v>-6504985997123.9727</v>
      </c>
      <c r="M4658" s="460">
        <f t="shared" si="194"/>
        <v>0.05</v>
      </c>
      <c r="N4658" s="464">
        <f t="shared" si="195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93"/>
        <v>-6504985997123.9727</v>
      </c>
      <c r="J4659" s="444">
        <f t="array" ref="J4659">IFERROR(INDEX('Retirement Calculator'!J:J,MATCH('Isaac 401k'!N4659,'Retirement Calculator'!A:A,0),0),0)</f>
        <v>0</v>
      </c>
      <c r="K4659" s="444">
        <f t="shared" ca="1" si="191"/>
        <v>-27104108321.349884</v>
      </c>
      <c r="L4659" s="444">
        <f t="shared" ca="1" si="192"/>
        <v>-6532090105445.3223</v>
      </c>
      <c r="M4659" s="460">
        <f t="shared" si="194"/>
        <v>0.05</v>
      </c>
      <c r="N4659" s="464">
        <f t="shared" si="195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93"/>
        <v>-6532090105445.3223</v>
      </c>
      <c r="J4660" s="444">
        <f t="array" ref="J4660">IFERROR(INDEX('Retirement Calculator'!J:J,MATCH('Isaac 401k'!N4660,'Retirement Calculator'!A:A,0),0),0)</f>
        <v>0</v>
      </c>
      <c r="K4660" s="444">
        <f t="shared" ca="1" si="191"/>
        <v>-27217042106.022175</v>
      </c>
      <c r="L4660" s="444">
        <f t="shared" ca="1" si="192"/>
        <v>-6559307147551.3447</v>
      </c>
      <c r="M4660" s="460">
        <f t="shared" si="194"/>
        <v>0.05</v>
      </c>
      <c r="N4660" s="464">
        <f t="shared" si="195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93"/>
        <v>-6559307147551.3447</v>
      </c>
      <c r="J4661" s="444">
        <f t="array" ref="J4661">IFERROR(INDEX('Retirement Calculator'!J:J,MATCH('Isaac 401k'!N4661,'Retirement Calculator'!A:A,0),0),0)</f>
        <v>0</v>
      </c>
      <c r="K4661" s="444">
        <f t="shared" ca="1" si="191"/>
        <v>-27330446448.130604</v>
      </c>
      <c r="L4661" s="444">
        <f t="shared" ca="1" si="192"/>
        <v>-6586637593999.4756</v>
      </c>
      <c r="M4661" s="460">
        <f t="shared" si="194"/>
        <v>0.05</v>
      </c>
      <c r="N4661" s="464">
        <f t="shared" si="195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93"/>
        <v>-6586637593999.4756</v>
      </c>
      <c r="J4662" s="444">
        <f t="array" ref="J4662">IFERROR(INDEX('Retirement Calculator'!J:J,MATCH('Isaac 401k'!N4662,'Retirement Calculator'!A:A,0),0),0)</f>
        <v>0</v>
      </c>
      <c r="K4662" s="444">
        <f t="shared" ca="1" si="191"/>
        <v>-27444323308.331146</v>
      </c>
      <c r="L4662" s="444">
        <f t="shared" ca="1" si="192"/>
        <v>-6614081917307.8066</v>
      </c>
      <c r="M4662" s="460">
        <f t="shared" si="194"/>
        <v>0.05</v>
      </c>
      <c r="N4662" s="464">
        <f t="shared" si="195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93"/>
        <v>-6614081917307.8066</v>
      </c>
      <c r="J4663" s="444">
        <f t="array" ref="J4663">IFERROR(INDEX('Retirement Calculator'!J:J,MATCH('Isaac 401k'!N4663,'Retirement Calculator'!A:A,0),0),0)</f>
        <v>0</v>
      </c>
      <c r="K4663" s="444">
        <f t="shared" ca="1" si="191"/>
        <v>-27558674655.449192</v>
      </c>
      <c r="L4663" s="444">
        <f t="shared" ca="1" si="192"/>
        <v>-6641640591963.2559</v>
      </c>
      <c r="M4663" s="460">
        <f t="shared" si="194"/>
        <v>0.05</v>
      </c>
      <c r="N4663" s="464">
        <f t="shared" si="195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93"/>
        <v>-6641640591963.2559</v>
      </c>
      <c r="J4664" s="444">
        <f t="array" ref="J4664">IFERROR(INDEX('Retirement Calculator'!J:J,MATCH('Isaac 401k'!N4664,'Retirement Calculator'!A:A,0),0),0)</f>
        <v>0</v>
      </c>
      <c r="K4664" s="444">
        <f t="shared" ca="1" si="191"/>
        <v>-27673502466.513565</v>
      </c>
      <c r="L4664" s="444">
        <f t="shared" ca="1" si="192"/>
        <v>-6669314094429.7695</v>
      </c>
      <c r="M4664" s="460">
        <f t="shared" si="194"/>
        <v>0.05</v>
      </c>
      <c r="N4664" s="464">
        <f t="shared" si="195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93"/>
        <v>-6669314094429.7695</v>
      </c>
      <c r="J4665" s="444">
        <f t="array" ref="J4665">IFERROR(INDEX('Retirement Calculator'!J:J,MATCH('Isaac 401k'!N4665,'Retirement Calculator'!A:A,0),0),0)</f>
        <v>0</v>
      </c>
      <c r="K4665" s="444">
        <f t="shared" ca="1" si="191"/>
        <v>-27788808726.790707</v>
      </c>
      <c r="L4665" s="444">
        <f t="shared" ca="1" si="192"/>
        <v>-6697102903156.5605</v>
      </c>
      <c r="M4665" s="460">
        <f t="shared" si="194"/>
        <v>0.05</v>
      </c>
      <c r="N4665" s="464">
        <f t="shared" si="195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93"/>
        <v>-6697102903156.5605</v>
      </c>
      <c r="J4666" s="444">
        <f t="array" ref="J4666">IFERROR(INDEX('Retirement Calculator'!J:J,MATCH('Isaac 401k'!N4666,'Retirement Calculator'!A:A,0),0),0)</f>
        <v>0</v>
      </c>
      <c r="K4666" s="444">
        <f t="shared" ca="1" si="191"/>
        <v>-27904595429.819</v>
      </c>
      <c r="L4666" s="444">
        <f t="shared" ca="1" si="192"/>
        <v>-6725007498586.3799</v>
      </c>
      <c r="M4666" s="460">
        <f t="shared" si="194"/>
        <v>0.05</v>
      </c>
      <c r="N4666" s="464">
        <f t="shared" si="195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93"/>
        <v>-6725007498586.3799</v>
      </c>
      <c r="J4667" s="444">
        <f t="array" ref="J4667">IFERROR(INDEX('Retirement Calculator'!J:J,MATCH('Isaac 401k'!N4667,'Retirement Calculator'!A:A,0),0),0)</f>
        <v>0</v>
      </c>
      <c r="K4667" s="444">
        <f t="shared" ca="1" si="191"/>
        <v>-28020864577.443249</v>
      </c>
      <c r="L4667" s="444">
        <f t="shared" ca="1" si="192"/>
        <v>-6753028363163.8232</v>
      </c>
      <c r="M4667" s="460">
        <f t="shared" si="194"/>
        <v>0.05</v>
      </c>
      <c r="N4667" s="464">
        <f t="shared" si="195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93"/>
        <v>-6753028363163.8232</v>
      </c>
      <c r="J4668" s="444">
        <f t="array" ref="J4668">IFERROR(INDEX('Retirement Calculator'!J:J,MATCH('Isaac 401k'!N4668,'Retirement Calculator'!A:A,0),0),0)</f>
        <v>0</v>
      </c>
      <c r="K4668" s="444">
        <f t="shared" ca="1" si="191"/>
        <v>-28137618179.849262</v>
      </c>
      <c r="L4668" s="444">
        <f t="shared" ca="1" si="192"/>
        <v>-6781165981343.6729</v>
      </c>
      <c r="M4668" s="460">
        <f t="shared" si="194"/>
        <v>0.05</v>
      </c>
      <c r="N4668" s="464">
        <f t="shared" si="195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93"/>
        <v>-6781165981343.6729</v>
      </c>
      <c r="J4669" s="444">
        <f t="array" ref="J4669">IFERROR(INDEX('Retirement Calculator'!J:J,MATCH('Isaac 401k'!N4669,'Retirement Calculator'!A:A,0),0),0)</f>
        <v>0</v>
      </c>
      <c r="K4669" s="444">
        <f t="shared" ca="1" si="191"/>
        <v>-28254858255.598637</v>
      </c>
      <c r="L4669" s="444">
        <f t="shared" ca="1" si="192"/>
        <v>-6809420839599.2715</v>
      </c>
      <c r="M4669" s="460">
        <f t="shared" si="194"/>
        <v>0.05</v>
      </c>
      <c r="N4669" s="464">
        <f t="shared" si="195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93"/>
        <v>-6809420839599.2715</v>
      </c>
      <c r="J4670" s="444">
        <f t="array" ref="J4670">IFERROR(INDEX('Retirement Calculator'!J:J,MATCH('Isaac 401k'!N4670,'Retirement Calculator'!A:A,0),0),0)</f>
        <v>0</v>
      </c>
      <c r="K4670" s="444">
        <f t="shared" ca="1" si="191"/>
        <v>-28372586831.663631</v>
      </c>
      <c r="L4670" s="444">
        <f t="shared" ca="1" si="192"/>
        <v>-6837793426430.9355</v>
      </c>
      <c r="M4670" s="460">
        <f t="shared" si="194"/>
        <v>0.05</v>
      </c>
      <c r="N4670" s="464">
        <f t="shared" si="195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93"/>
        <v>-6837793426430.9355</v>
      </c>
      <c r="J4671" s="444">
        <f t="array" ref="J4671">IFERROR(INDEX('Retirement Calculator'!J:J,MATCH('Isaac 401k'!N4671,'Retirement Calculator'!A:A,0),0),0)</f>
        <v>0</v>
      </c>
      <c r="K4671" s="444">
        <f t="shared" ca="1" si="191"/>
        <v>-28490805943.462231</v>
      </c>
      <c r="L4671" s="444">
        <f t="shared" ca="1" si="192"/>
        <v>-6866284232374.3975</v>
      </c>
      <c r="M4671" s="460">
        <f t="shared" si="194"/>
        <v>0.05</v>
      </c>
      <c r="N4671" s="464">
        <f t="shared" si="195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93"/>
        <v>-6866284232374.3975</v>
      </c>
      <c r="J4672" s="444">
        <f t="array" ref="J4672">IFERROR(INDEX('Retirement Calculator'!J:J,MATCH('Isaac 401k'!N4672,'Retirement Calculator'!A:A,0),0),0)</f>
        <v>0</v>
      </c>
      <c r="K4672" s="444">
        <f t="shared" ca="1" si="191"/>
        <v>-28609517634.893322</v>
      </c>
      <c r="L4672" s="444">
        <f t="shared" ca="1" si="192"/>
        <v>-6894893750009.291</v>
      </c>
      <c r="M4672" s="460">
        <f t="shared" si="194"/>
        <v>0.05</v>
      </c>
      <c r="N4672" s="464">
        <f t="shared" si="195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93"/>
        <v>-6894893750009.291</v>
      </c>
      <c r="J4673" s="444">
        <f t="array" ref="J4673">IFERROR(INDEX('Retirement Calculator'!J:J,MATCH('Isaac 401k'!N4673,'Retirement Calculator'!A:A,0),0),0)</f>
        <v>0</v>
      </c>
      <c r="K4673" s="444">
        <f t="shared" ca="1" si="191"/>
        <v>-28728723958.372044</v>
      </c>
      <c r="L4673" s="444">
        <f t="shared" ca="1" si="192"/>
        <v>-6923622473967.6631</v>
      </c>
      <c r="M4673" s="460">
        <f t="shared" si="194"/>
        <v>0.05</v>
      </c>
      <c r="N4673" s="464">
        <f t="shared" si="195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93"/>
        <v>-6923622473967.6631</v>
      </c>
      <c r="J4674" s="444">
        <f t="array" ref="J4674">IFERROR(INDEX('Retirement Calculator'!J:J,MATCH('Isaac 401k'!N4674,'Retirement Calculator'!A:A,0),0),0)</f>
        <v>0</v>
      </c>
      <c r="K4674" s="444">
        <f t="shared" ca="1" si="191"/>
        <v>-28848426974.865261</v>
      </c>
      <c r="L4674" s="444">
        <f t="shared" ca="1" si="192"/>
        <v>-6952470900942.5283</v>
      </c>
      <c r="M4674" s="460">
        <f t="shared" si="194"/>
        <v>0.05</v>
      </c>
      <c r="N4674" s="464">
        <f t="shared" si="195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93"/>
        <v>-6952470900942.5283</v>
      </c>
      <c r="J4675" s="444">
        <f t="array" ref="J4675">IFERROR(INDEX('Retirement Calculator'!J:J,MATCH('Isaac 401k'!N4675,'Retirement Calculator'!A:A,0),0),0)</f>
        <v>0</v>
      </c>
      <c r="K4675" s="444">
        <f t="shared" ca="1" si="191"/>
        <v>-28968628753.9272</v>
      </c>
      <c r="L4675" s="444">
        <f t="shared" ca="1" si="192"/>
        <v>-6981439529696.4551</v>
      </c>
      <c r="M4675" s="460">
        <f t="shared" si="194"/>
        <v>0.05</v>
      </c>
      <c r="N4675" s="464">
        <f t="shared" si="195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93"/>
        <v>-6981439529696.4551</v>
      </c>
      <c r="J4676" s="444">
        <f t="array" ref="J4676">IFERROR(INDEX('Retirement Calculator'!J:J,MATCH('Isaac 401k'!N4676,'Retirement Calculator'!A:A,0),0),0)</f>
        <v>0</v>
      </c>
      <c r="K4676" s="444">
        <f t="shared" ca="1" si="191"/>
        <v>-29089331373.735229</v>
      </c>
      <c r="L4676" s="444">
        <f t="shared" ca="1" si="192"/>
        <v>-7010528861070.1904</v>
      </c>
      <c r="M4676" s="460">
        <f t="shared" si="194"/>
        <v>0.05</v>
      </c>
      <c r="N4676" s="464">
        <f t="shared" si="195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93"/>
        <v>-7010528861070.1904</v>
      </c>
      <c r="J4677" s="444">
        <f t="array" ref="J4677">IFERROR(INDEX('Retirement Calculator'!J:J,MATCH('Isaac 401k'!N4677,'Retirement Calculator'!A:A,0),0),0)</f>
        <v>0</v>
      </c>
      <c r="K4677" s="444">
        <f t="shared" ca="1" si="191"/>
        <v>-29210536921.125797</v>
      </c>
      <c r="L4677" s="444">
        <f t="shared" ca="1" si="192"/>
        <v>-7039739397991.3164</v>
      </c>
      <c r="M4677" s="460">
        <f t="shared" si="194"/>
        <v>0.05</v>
      </c>
      <c r="N4677" s="464">
        <f t="shared" si="195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93"/>
        <v>-7039739397991.3164</v>
      </c>
      <c r="J4678" s="444">
        <f t="array" ref="J4678">IFERROR(INDEX('Retirement Calculator'!J:J,MATCH('Isaac 401k'!N4678,'Retirement Calculator'!A:A,0),0),0)</f>
        <v>0</v>
      </c>
      <c r="K4678" s="444">
        <f t="shared" ca="1" si="191"/>
        <v>-29332247491.630489</v>
      </c>
      <c r="L4678" s="444">
        <f t="shared" ca="1" si="192"/>
        <v>-7069071645482.9473</v>
      </c>
      <c r="M4678" s="460">
        <f t="shared" si="194"/>
        <v>0.05</v>
      </c>
      <c r="N4678" s="464">
        <f t="shared" si="195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93"/>
        <v>-7069071645482.9473</v>
      </c>
      <c r="J4679" s="444">
        <f t="array" ref="J4679">IFERROR(INDEX('Retirement Calculator'!J:J,MATCH('Isaac 401k'!N4679,'Retirement Calculator'!A:A,0),0),0)</f>
        <v>0</v>
      </c>
      <c r="K4679" s="444">
        <f t="shared" ca="1" si="191"/>
        <v>-29454465189.51228</v>
      </c>
      <c r="L4679" s="444">
        <f t="shared" ca="1" si="192"/>
        <v>-7098526110672.46</v>
      </c>
      <c r="M4679" s="460">
        <f t="shared" si="194"/>
        <v>0.05</v>
      </c>
      <c r="N4679" s="464">
        <f t="shared" si="195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93"/>
        <v>-7098526110672.46</v>
      </c>
      <c r="J4680" s="444">
        <f t="array" ref="J4680">IFERROR(INDEX('Retirement Calculator'!J:J,MATCH('Isaac 401k'!N4680,'Retirement Calculator'!A:A,0),0),0)</f>
        <v>0</v>
      </c>
      <c r="K4680" s="444">
        <f t="shared" ca="1" si="191"/>
        <v>-29577192127.801914</v>
      </c>
      <c r="L4680" s="444">
        <f t="shared" ca="1" si="192"/>
        <v>-7128103302800.2617</v>
      </c>
      <c r="M4680" s="460">
        <f t="shared" si="194"/>
        <v>0.05</v>
      </c>
      <c r="N4680" s="464">
        <f t="shared" si="195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93"/>
        <v>-7128103302800.2617</v>
      </c>
      <c r="J4681" s="444">
        <f t="array" ref="J4681">IFERROR(INDEX('Retirement Calculator'!J:J,MATCH('Isaac 401k'!N4681,'Retirement Calculator'!A:A,0),0),0)</f>
        <v>0</v>
      </c>
      <c r="K4681" s="444">
        <f t="shared" ca="1" si="191"/>
        <v>-29700430428.334423</v>
      </c>
      <c r="L4681" s="444">
        <f t="shared" ca="1" si="192"/>
        <v>-7157803733228.5957</v>
      </c>
      <c r="M4681" s="460">
        <f t="shared" si="194"/>
        <v>0.05</v>
      </c>
      <c r="N4681" s="464">
        <f t="shared" si="195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93"/>
        <v>-7157803733228.5957</v>
      </c>
      <c r="J4682" s="444">
        <f t="array" ref="J4682">IFERROR(INDEX('Retirement Calculator'!J:J,MATCH('Isaac 401k'!N4682,'Retirement Calculator'!A:A,0),0),0)</f>
        <v>0</v>
      </c>
      <c r="K4682" s="444">
        <f t="shared" ca="1" si="191"/>
        <v>-29824182221.785816</v>
      </c>
      <c r="L4682" s="444">
        <f t="shared" ca="1" si="192"/>
        <v>-7187627915450.3818</v>
      </c>
      <c r="M4682" s="460">
        <f t="shared" si="194"/>
        <v>0.05</v>
      </c>
      <c r="N4682" s="464">
        <f t="shared" si="195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93"/>
        <v>-7187627915450.3818</v>
      </c>
      <c r="J4683" s="444">
        <f t="array" ref="J4683">IFERROR(INDEX('Retirement Calculator'!J:J,MATCH('Isaac 401k'!N4683,'Retirement Calculator'!A:A,0),0),0)</f>
        <v>0</v>
      </c>
      <c r="K4683" s="444">
        <f t="shared" ca="1" si="191"/>
        <v>-29948449647.709923</v>
      </c>
      <c r="L4683" s="444">
        <f t="shared" ca="1" si="192"/>
        <v>-7217576365098.0918</v>
      </c>
      <c r="M4683" s="460">
        <f t="shared" si="194"/>
        <v>0.05</v>
      </c>
      <c r="N4683" s="464">
        <f t="shared" si="195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93"/>
        <v>-7217576365098.0918</v>
      </c>
      <c r="J4684" s="444">
        <f t="array" ref="J4684">IFERROR(INDEX('Retirement Calculator'!J:J,MATCH('Isaac 401k'!N4684,'Retirement Calculator'!A:A,0),0),0)</f>
        <v>0</v>
      </c>
      <c r="K4684" s="444">
        <f t="shared" ca="1" si="191"/>
        <v>-30073234854.575386</v>
      </c>
      <c r="L4684" s="444">
        <f t="shared" ca="1" si="192"/>
        <v>-7247649599952.667</v>
      </c>
      <c r="M4684" s="460">
        <f t="shared" si="194"/>
        <v>0.05</v>
      </c>
      <c r="N4684" s="464">
        <f t="shared" si="195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93"/>
        <v>-7247649599952.667</v>
      </c>
      <c r="J4685" s="444">
        <f t="array" ref="J4685">IFERROR(INDEX('Retirement Calculator'!J:J,MATCH('Isaac 401k'!N4685,'Retirement Calculator'!A:A,0),0),0)</f>
        <v>0</v>
      </c>
      <c r="K4685" s="444">
        <f t="shared" ca="1" si="191"/>
        <v>-30198539999.802784</v>
      </c>
      <c r="L4685" s="444">
        <f t="shared" ca="1" si="192"/>
        <v>-7277848139952.4697</v>
      </c>
      <c r="M4685" s="460">
        <f t="shared" si="194"/>
        <v>0.05</v>
      </c>
      <c r="N4685" s="464">
        <f t="shared" si="195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93"/>
        <v>-7277848139952.4697</v>
      </c>
      <c r="J4686" s="444">
        <f t="array" ref="J4686">IFERROR(INDEX('Retirement Calculator'!J:J,MATCH('Isaac 401k'!N4686,'Retirement Calculator'!A:A,0),0),0)</f>
        <v>0</v>
      </c>
      <c r="K4686" s="444">
        <f t="shared" ca="1" si="191"/>
        <v>-30324367249.801956</v>
      </c>
      <c r="L4686" s="444">
        <f t="shared" ca="1" si="192"/>
        <v>-7308172507202.2715</v>
      </c>
      <c r="M4686" s="460">
        <f t="shared" si="194"/>
        <v>0.05</v>
      </c>
      <c r="N4686" s="464">
        <f t="shared" si="195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93"/>
        <v>-7308172507202.2715</v>
      </c>
      <c r="J4687" s="444">
        <f t="array" ref="J4687">IFERROR(INDEX('Retirement Calculator'!J:J,MATCH('Isaac 401k'!N4687,'Retirement Calculator'!A:A,0),0),0)</f>
        <v>0</v>
      </c>
      <c r="K4687" s="444">
        <f t="shared" ca="1" si="191"/>
        <v>-30450718780.009468</v>
      </c>
      <c r="L4687" s="444">
        <f t="shared" ca="1" si="192"/>
        <v>-7338623225982.2813</v>
      </c>
      <c r="M4687" s="460">
        <f t="shared" si="194"/>
        <v>0.05</v>
      </c>
      <c r="N4687" s="464">
        <f t="shared" si="195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93"/>
        <v>-7338623225982.2813</v>
      </c>
      <c r="J4688" s="444">
        <f t="array" ref="J4688">IFERROR(INDEX('Retirement Calculator'!J:J,MATCH('Isaac 401k'!N4688,'Retirement Calculator'!A:A,0),0),0)</f>
        <v>0</v>
      </c>
      <c r="K4688" s="444">
        <f t="shared" ca="1" si="191"/>
        <v>-30577596774.92617</v>
      </c>
      <c r="L4688" s="444">
        <f t="shared" ca="1" si="192"/>
        <v>-7369200822757.207</v>
      </c>
      <c r="M4688" s="460">
        <f t="shared" si="194"/>
        <v>0.05</v>
      </c>
      <c r="N4688" s="464">
        <f t="shared" si="195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93"/>
        <v>-7369200822757.207</v>
      </c>
      <c r="J4689" s="444">
        <f t="array" ref="J4689">IFERROR(INDEX('Retirement Calculator'!J:J,MATCH('Isaac 401k'!N4689,'Retirement Calculator'!A:A,0),0),0)</f>
        <v>0</v>
      </c>
      <c r="K4689" s="444">
        <f t="shared" ca="1" si="191"/>
        <v>-30705003428.155025</v>
      </c>
      <c r="L4689" s="444">
        <f t="shared" ca="1" si="192"/>
        <v>-7399905826185.3623</v>
      </c>
      <c r="M4689" s="460">
        <f t="shared" si="194"/>
        <v>0.05</v>
      </c>
      <c r="N4689" s="464">
        <f t="shared" si="195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93"/>
        <v>-7399905826185.3623</v>
      </c>
      <c r="J4690" s="444">
        <f t="array" ref="J4690">IFERROR(INDEX('Retirement Calculator'!J:J,MATCH('Isaac 401k'!N4690,'Retirement Calculator'!A:A,0),0),0)</f>
        <v>0</v>
      </c>
      <c r="K4690" s="444">
        <f t="shared" ca="1" si="191"/>
        <v>-30832940942.439007</v>
      </c>
      <c r="L4690" s="444">
        <f t="shared" ca="1" si="192"/>
        <v>-7430738767127.8018</v>
      </c>
      <c r="M4690" s="460">
        <f t="shared" si="194"/>
        <v>0.05</v>
      </c>
      <c r="N4690" s="464">
        <f t="shared" si="195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93"/>
        <v>-7430738767127.8018</v>
      </c>
      <c r="J4691" s="444">
        <f t="array" ref="J4691">IFERROR(INDEX('Retirement Calculator'!J:J,MATCH('Isaac 401k'!N4691,'Retirement Calculator'!A:A,0),0),0)</f>
        <v>0</v>
      </c>
      <c r="K4691" s="444">
        <f t="shared" ca="1" si="191"/>
        <v>-30961411529.699173</v>
      </c>
      <c r="L4691" s="444">
        <f t="shared" ca="1" si="192"/>
        <v>-7461700178657.501</v>
      </c>
      <c r="M4691" s="460">
        <f t="shared" si="194"/>
        <v>0.05</v>
      </c>
      <c r="N4691" s="464">
        <f t="shared" si="195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93"/>
        <v>-7461700178657.501</v>
      </c>
      <c r="J4692" s="444">
        <f t="array" ref="J4692">IFERROR(INDEX('Retirement Calculator'!J:J,MATCH('Isaac 401k'!N4692,'Retirement Calculator'!A:A,0),0),0)</f>
        <v>0</v>
      </c>
      <c r="K4692" s="444">
        <f t="shared" ca="1" si="191"/>
        <v>-31090417411.072922</v>
      </c>
      <c r="L4692" s="444">
        <f t="shared" ca="1" si="192"/>
        <v>-7492790596068.5742</v>
      </c>
      <c r="M4692" s="460">
        <f t="shared" si="194"/>
        <v>0.05</v>
      </c>
      <c r="N4692" s="464">
        <f t="shared" si="195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93"/>
        <v>-7492790596068.5742</v>
      </c>
      <c r="J4693" s="444">
        <f t="array" ref="J4693">IFERROR(INDEX('Retirement Calculator'!J:J,MATCH('Isaac 401k'!N4693,'Retirement Calculator'!A:A,0),0),0)</f>
        <v>0</v>
      </c>
      <c r="K4693" s="444">
        <f t="shared" ca="1" si="191"/>
        <v>-31219960816.952396</v>
      </c>
      <c r="L4693" s="444">
        <f t="shared" ca="1" si="192"/>
        <v>-7524010556885.5264</v>
      </c>
      <c r="M4693" s="460">
        <f t="shared" si="194"/>
        <v>0.05</v>
      </c>
      <c r="N4693" s="464">
        <f t="shared" si="195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93"/>
        <v>-7524010556885.5264</v>
      </c>
      <c r="J4694" s="444">
        <f t="array" ref="J4694">IFERROR(INDEX('Retirement Calculator'!J:J,MATCH('Isaac 401k'!N4694,'Retirement Calculator'!A:A,0),0),0)</f>
        <v>0</v>
      </c>
      <c r="K4694" s="444">
        <f t="shared" ca="1" si="191"/>
        <v>-31350043987.023026</v>
      </c>
      <c r="L4694" s="444">
        <f t="shared" ca="1" si="192"/>
        <v>-7555360600872.5498</v>
      </c>
      <c r="M4694" s="460">
        <f t="shared" si="194"/>
        <v>0.05</v>
      </c>
      <c r="N4694" s="464">
        <f t="shared" si="195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93"/>
        <v>-7555360600872.5498</v>
      </c>
      <c r="J4695" s="444">
        <f t="array" ref="J4695">IFERROR(INDEX('Retirement Calculator'!J:J,MATCH('Isaac 401k'!N4695,'Retirement Calculator'!A:A,0),0),0)</f>
        <v>0</v>
      </c>
      <c r="K4695" s="444">
        <f t="shared" ca="1" si="191"/>
        <v>-31480669170.302288</v>
      </c>
      <c r="L4695" s="444">
        <f t="shared" ca="1" si="192"/>
        <v>-7586841270042.8525</v>
      </c>
      <c r="M4695" s="460">
        <f t="shared" si="194"/>
        <v>0.05</v>
      </c>
      <c r="N4695" s="464">
        <f t="shared" si="195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93"/>
        <v>-7586841270042.8525</v>
      </c>
      <c r="J4696" s="444">
        <f t="array" ref="J4696">IFERROR(INDEX('Retirement Calculator'!J:J,MATCH('Isaac 401k'!N4696,'Retirement Calculator'!A:A,0),0),0)</f>
        <v>0</v>
      </c>
      <c r="K4696" s="444">
        <f t="shared" ca="1" si="191"/>
        <v>-31611838625.178555</v>
      </c>
      <c r="L4696" s="444">
        <f t="shared" ca="1" si="192"/>
        <v>-7618453108668.0313</v>
      </c>
      <c r="M4696" s="460">
        <f t="shared" si="194"/>
        <v>0.05</v>
      </c>
      <c r="N4696" s="464">
        <f t="shared" si="195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93"/>
        <v>-7618453108668.0313</v>
      </c>
      <c r="J4697" s="444">
        <f t="array" ref="J4697">IFERROR(INDEX('Retirement Calculator'!J:J,MATCH('Isaac 401k'!N4697,'Retirement Calculator'!A:A,0),0),0)</f>
        <v>0</v>
      </c>
      <c r="K4697" s="444">
        <f t="shared" ca="1" si="191"/>
        <v>-31743554619.450134</v>
      </c>
      <c r="L4697" s="444">
        <f t="shared" ca="1" si="192"/>
        <v>-7650196663287.4814</v>
      </c>
      <c r="M4697" s="460">
        <f t="shared" si="194"/>
        <v>0.05</v>
      </c>
      <c r="N4697" s="464">
        <f t="shared" si="195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93"/>
        <v>-7650196663287.4814</v>
      </c>
      <c r="J4698" s="444">
        <f t="array" ref="J4698">IFERROR(INDEX('Retirement Calculator'!J:J,MATCH('Isaac 401k'!N4698,'Retirement Calculator'!A:A,0),0),0)</f>
        <v>0</v>
      </c>
      <c r="K4698" s="444">
        <f t="shared" ca="1" si="191"/>
        <v>-31875819430.36451</v>
      </c>
      <c r="L4698" s="444">
        <f t="shared" ca="1" si="192"/>
        <v>-7682072482717.8457</v>
      </c>
      <c r="M4698" s="460">
        <f t="shared" si="194"/>
        <v>0.05</v>
      </c>
      <c r="N4698" s="464">
        <f t="shared" si="195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93"/>
        <v>-7682072482717.8457</v>
      </c>
      <c r="J4699" s="444">
        <f t="array" ref="J4699">IFERROR(INDEX('Retirement Calculator'!J:J,MATCH('Isaac 401k'!N4699,'Retirement Calculator'!A:A,0),0),0)</f>
        <v>0</v>
      </c>
      <c r="K4699" s="444">
        <f t="shared" ca="1" si="191"/>
        <v>-32008635344.657688</v>
      </c>
      <c r="L4699" s="444">
        <f t="shared" ca="1" si="192"/>
        <v>-7714081118062.5029</v>
      </c>
      <c r="M4699" s="460">
        <f t="shared" si="194"/>
        <v>0.05</v>
      </c>
      <c r="N4699" s="464">
        <f t="shared" si="195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93"/>
        <v>-7714081118062.5029</v>
      </c>
      <c r="J4700" s="444">
        <f t="array" ref="J4700">IFERROR(INDEX('Retirement Calculator'!J:J,MATCH('Isaac 401k'!N4700,'Retirement Calculator'!A:A,0),0),0)</f>
        <v>0</v>
      </c>
      <c r="K4700" s="444">
        <f t="shared" ca="1" si="191"/>
        <v>-32142004658.593761</v>
      </c>
      <c r="L4700" s="444">
        <f t="shared" ca="1" si="192"/>
        <v>-7746223122721.0967</v>
      </c>
      <c r="M4700" s="460">
        <f t="shared" si="194"/>
        <v>0.05</v>
      </c>
      <c r="N4700" s="464">
        <f t="shared" si="195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93"/>
        <v>-7746223122721.0967</v>
      </c>
      <c r="J4701" s="444">
        <f t="array" ref="J4701">IFERROR(INDEX('Retirement Calculator'!J:J,MATCH('Isaac 401k'!N4701,'Retirement Calculator'!A:A,0),0),0)</f>
        <v>0</v>
      </c>
      <c r="K4701" s="444">
        <f t="shared" ca="1" si="191"/>
        <v>-32275929678.004566</v>
      </c>
      <c r="L4701" s="444">
        <f t="shared" ca="1" si="192"/>
        <v>-7778499052399.1016</v>
      </c>
      <c r="M4701" s="460">
        <f t="shared" si="194"/>
        <v>0.05</v>
      </c>
      <c r="N4701" s="464">
        <f t="shared" si="195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93"/>
        <v>-7778499052399.1016</v>
      </c>
      <c r="J4702" s="444">
        <f t="array" ref="J4702">IFERROR(INDEX('Retirement Calculator'!J:J,MATCH('Isaac 401k'!N4702,'Retirement Calculator'!A:A,0),0),0)</f>
        <v>0</v>
      </c>
      <c r="K4702" s="444">
        <f t="shared" ca="1" si="191"/>
        <v>-32410412718.329594</v>
      </c>
      <c r="L4702" s="444">
        <f t="shared" ca="1" si="192"/>
        <v>-7810909465117.4316</v>
      </c>
      <c r="M4702" s="460">
        <f t="shared" si="194"/>
        <v>0.05</v>
      </c>
      <c r="N4702" s="464">
        <f t="shared" si="195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93"/>
        <v>-7810909465117.4316</v>
      </c>
      <c r="J4703" s="444">
        <f t="array" ref="J4703">IFERROR(INDEX('Retirement Calculator'!J:J,MATCH('Isaac 401k'!N4703,'Retirement Calculator'!A:A,0),0),0)</f>
        <v>0</v>
      </c>
      <c r="K4703" s="444">
        <f t="shared" ca="1" si="191"/>
        <v>-32545456104.655968</v>
      </c>
      <c r="L4703" s="444">
        <f t="shared" ca="1" si="192"/>
        <v>-7843454921222.0879</v>
      </c>
      <c r="M4703" s="460">
        <f t="shared" si="194"/>
        <v>0.05</v>
      </c>
      <c r="N4703" s="464">
        <f t="shared" si="195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93"/>
        <v>-7843454921222.0879</v>
      </c>
      <c r="J4704" s="444">
        <f t="array" ref="J4704">IFERROR(INDEX('Retirement Calculator'!J:J,MATCH('Isaac 401k'!N4704,'Retirement Calculator'!A:A,0),0),0)</f>
        <v>0</v>
      </c>
      <c r="K4704" s="444">
        <f t="shared" ca="1" si="191"/>
        <v>-32681062171.758698</v>
      </c>
      <c r="L4704" s="444">
        <f t="shared" ca="1" si="192"/>
        <v>-7876135983393.8467</v>
      </c>
      <c r="M4704" s="460">
        <f t="shared" si="194"/>
        <v>0.05</v>
      </c>
      <c r="N4704" s="464">
        <f t="shared" si="195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93"/>
        <v>-7876135983393.8467</v>
      </c>
      <c r="J4705" s="444">
        <f t="array" ref="J4705">IFERROR(INDEX('Retirement Calculator'!J:J,MATCH('Isaac 401k'!N4705,'Retirement Calculator'!A:A,0),0),0)</f>
        <v>0</v>
      </c>
      <c r="K4705" s="444">
        <f t="shared" ca="1" si="191"/>
        <v>-32817233264.141033</v>
      </c>
      <c r="L4705" s="444">
        <f t="shared" ca="1" si="192"/>
        <v>-7908953216657.9873</v>
      </c>
      <c r="M4705" s="460">
        <f t="shared" si="194"/>
        <v>0.05</v>
      </c>
      <c r="N4705" s="464">
        <f t="shared" si="195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93"/>
        <v>-7908953216657.9873</v>
      </c>
      <c r="J4706" s="444">
        <f t="array" ref="J4706">IFERROR(INDEX('Retirement Calculator'!J:J,MATCH('Isaac 401k'!N4706,'Retirement Calculator'!A:A,0),0),0)</f>
        <v>0</v>
      </c>
      <c r="K4706" s="444">
        <f t="shared" ca="1" si="191"/>
        <v>-32953971736.074944</v>
      </c>
      <c r="L4706" s="444">
        <f t="shared" ca="1" si="192"/>
        <v>-7941907188394.0625</v>
      </c>
      <c r="M4706" s="460">
        <f t="shared" si="194"/>
        <v>0.05</v>
      </c>
      <c r="N4706" s="464">
        <f t="shared" si="195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93"/>
        <v>-7941907188394.0625</v>
      </c>
      <c r="J4707" s="444">
        <f t="array" ref="J4707">IFERROR(INDEX('Retirement Calculator'!J:J,MATCH('Isaac 401k'!N4707,'Retirement Calculator'!A:A,0),0),0)</f>
        <v>0</v>
      </c>
      <c r="K4707" s="444">
        <f t="shared" ca="1" si="191"/>
        <v>-33091279951.641926</v>
      </c>
      <c r="L4707" s="444">
        <f t="shared" ca="1" si="192"/>
        <v>-7974998468345.7041</v>
      </c>
      <c r="M4707" s="460">
        <f t="shared" si="194"/>
        <v>0.05</v>
      </c>
      <c r="N4707" s="464">
        <f t="shared" si="195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93"/>
        <v>-7974998468345.7041</v>
      </c>
      <c r="J4708" s="444">
        <f t="array" ref="J4708">IFERROR(INDEX('Retirement Calculator'!J:J,MATCH('Isaac 401k'!N4708,'Retirement Calculator'!A:A,0),0),0)</f>
        <v>0</v>
      </c>
      <c r="K4708" s="444">
        <f t="shared" ca="1" si="191"/>
        <v>-33229160284.773762</v>
      </c>
      <c r="L4708" s="444">
        <f t="shared" ca="1" si="192"/>
        <v>-8008227628630.4775</v>
      </c>
      <c r="M4708" s="460">
        <f t="shared" si="194"/>
        <v>0.05</v>
      </c>
      <c r="N4708" s="464">
        <f t="shared" si="195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93"/>
        <v>-8008227628630.4775</v>
      </c>
      <c r="J4709" s="444">
        <f t="array" ref="J4709">IFERROR(INDEX('Retirement Calculator'!J:J,MATCH('Isaac 401k'!N4709,'Retirement Calculator'!A:A,0),0),0)</f>
        <v>0</v>
      </c>
      <c r="K4709" s="444">
        <f t="shared" ca="1" si="191"/>
        <v>-33367615119.293655</v>
      </c>
      <c r="L4709" s="444">
        <f t="shared" ca="1" si="192"/>
        <v>-8041595243749.7715</v>
      </c>
      <c r="M4709" s="460">
        <f t="shared" si="194"/>
        <v>0.05</v>
      </c>
      <c r="N4709" s="464">
        <f t="shared" si="195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93"/>
        <v>-8041595243749.7715</v>
      </c>
      <c r="J4710" s="444">
        <f t="array" ref="J4710">IFERROR(INDEX('Retirement Calculator'!J:J,MATCH('Isaac 401k'!N4710,'Retirement Calculator'!A:A,0),0),0)</f>
        <v>0</v>
      </c>
      <c r="K4710" s="444">
        <f t="shared" ca="1" si="191"/>
        <v>-33506646848.957382</v>
      </c>
      <c r="L4710" s="444">
        <f t="shared" ca="1" si="192"/>
        <v>-8075101890598.7285</v>
      </c>
      <c r="M4710" s="460">
        <f t="shared" si="194"/>
        <v>0.05</v>
      </c>
      <c r="N4710" s="464">
        <f t="shared" si="195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93"/>
        <v>-8075101890598.7285</v>
      </c>
      <c r="J4711" s="444">
        <f t="array" ref="J4711">IFERROR(INDEX('Retirement Calculator'!J:J,MATCH('Isaac 401k'!N4711,'Retirement Calculator'!A:A,0),0),0)</f>
        <v>0</v>
      </c>
      <c r="K4711" s="444">
        <f t="shared" ca="1" si="191"/>
        <v>-33646257877.494701</v>
      </c>
      <c r="L4711" s="444">
        <f t="shared" ca="1" si="192"/>
        <v>-8108748148476.2236</v>
      </c>
      <c r="M4711" s="460">
        <f t="shared" si="194"/>
        <v>0.05</v>
      </c>
      <c r="N4711" s="464">
        <f t="shared" si="195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93"/>
        <v>-8108748148476.2236</v>
      </c>
      <c r="J4712" s="444">
        <f t="array" ref="J4712">IFERROR(INDEX('Retirement Calculator'!J:J,MATCH('Isaac 401k'!N4712,'Retirement Calculator'!A:A,0),0),0)</f>
        <v>0</v>
      </c>
      <c r="K4712" s="444">
        <f t="shared" ca="1" si="191"/>
        <v>-33786450618.650936</v>
      </c>
      <c r="L4712" s="444">
        <f t="shared" ca="1" si="192"/>
        <v>-8142534599094.875</v>
      </c>
      <c r="M4712" s="460">
        <f t="shared" si="194"/>
        <v>0.05</v>
      </c>
      <c r="N4712" s="464">
        <f t="shared" si="195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93"/>
        <v>-8142534599094.875</v>
      </c>
      <c r="J4713" s="444">
        <f t="array" ref="J4713">IFERROR(INDEX('Retirement Calculator'!J:J,MATCH('Isaac 401k'!N4713,'Retirement Calculator'!A:A,0),0),0)</f>
        <v>0</v>
      </c>
      <c r="K4713" s="444">
        <f t="shared" ca="1" si="191"/>
        <v>-33927227496.228645</v>
      </c>
      <c r="L4713" s="444">
        <f t="shared" ca="1" si="192"/>
        <v>-8176461826591.1035</v>
      </c>
      <c r="M4713" s="460">
        <f t="shared" si="194"/>
        <v>0.05</v>
      </c>
      <c r="N4713" s="464">
        <f t="shared" si="195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93"/>
        <v>-8176461826591.1035</v>
      </c>
      <c r="J4714" s="444">
        <f t="array" ref="J4714">IFERROR(INDEX('Retirement Calculator'!J:J,MATCH('Isaac 401k'!N4714,'Retirement Calculator'!A:A,0),0),0)</f>
        <v>0</v>
      </c>
      <c r="K4714" s="444">
        <f t="shared" ca="1" si="191"/>
        <v>-34068590944.129593</v>
      </c>
      <c r="L4714" s="444">
        <f t="shared" ca="1" si="192"/>
        <v>-8210530417535.2334</v>
      </c>
      <c r="M4714" s="460">
        <f t="shared" si="194"/>
        <v>0.05</v>
      </c>
      <c r="N4714" s="464">
        <f t="shared" si="195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93"/>
        <v>-8210530417535.2334</v>
      </c>
      <c r="J4715" s="444">
        <f t="array" ref="J4715">IFERROR(INDEX('Retirement Calculator'!J:J,MATCH('Isaac 401k'!N4715,'Retirement Calculator'!A:A,0),0),0)</f>
        <v>0</v>
      </c>
      <c r="K4715" s="444">
        <f t="shared" ca="1" si="191"/>
        <v>-34210543406.396801</v>
      </c>
      <c r="L4715" s="444">
        <f t="shared" ca="1" si="192"/>
        <v>-8244740960941.6299</v>
      </c>
      <c r="M4715" s="460">
        <f t="shared" si="194"/>
        <v>0.05</v>
      </c>
      <c r="N4715" s="464">
        <f t="shared" si="195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93"/>
        <v>-8244740960941.6299</v>
      </c>
      <c r="J4716" s="444">
        <f t="array" ref="J4716">IFERROR(INDEX('Retirement Calculator'!J:J,MATCH('Isaac 401k'!N4716,'Retirement Calculator'!A:A,0),0),0)</f>
        <v>0</v>
      </c>
      <c r="K4716" s="444">
        <f t="shared" ca="1" si="191"/>
        <v>-34353087337.25679</v>
      </c>
      <c r="L4716" s="444">
        <f t="shared" ca="1" si="192"/>
        <v>-8279094048278.8867</v>
      </c>
      <c r="M4716" s="460">
        <f t="shared" si="194"/>
        <v>0.05</v>
      </c>
      <c r="N4716" s="464">
        <f t="shared" si="195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93"/>
        <v>-8279094048278.8867</v>
      </c>
      <c r="J4717" s="444">
        <f t="array" ref="J4717">IFERROR(INDEX('Retirement Calculator'!J:J,MATCH('Isaac 401k'!N4717,'Retirement Calculator'!A:A,0),0),0)</f>
        <v>0</v>
      </c>
      <c r="K4717" s="444">
        <f t="shared" ca="1" si="191"/>
        <v>-34496225201.162025</v>
      </c>
      <c r="L4717" s="444">
        <f t="shared" ca="1" si="192"/>
        <v>-8313590273480.0488</v>
      </c>
      <c r="M4717" s="460">
        <f t="shared" si="194"/>
        <v>0.05</v>
      </c>
      <c r="N4717" s="464">
        <f t="shared" si="195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93"/>
        <v>-8313590273480.0488</v>
      </c>
      <c r="J4718" s="444">
        <f t="array" ref="J4718">IFERROR(INDEX('Retirement Calculator'!J:J,MATCH('Isaac 401k'!N4718,'Retirement Calculator'!A:A,0),0),0)</f>
        <v>0</v>
      </c>
      <c r="K4718" s="444">
        <f t="shared" ca="1" si="191"/>
        <v>-34639959472.833534</v>
      </c>
      <c r="L4718" s="444">
        <f t="shared" ca="1" si="192"/>
        <v>-8348230232952.8828</v>
      </c>
      <c r="M4718" s="460">
        <f t="shared" si="194"/>
        <v>0.05</v>
      </c>
      <c r="N4718" s="464">
        <f t="shared" si="195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93"/>
        <v>-8348230232952.8828</v>
      </c>
      <c r="J4719" s="444">
        <f t="array" ref="J4719">IFERROR(INDEX('Retirement Calculator'!J:J,MATCH('Isaac 401k'!N4719,'Retirement Calculator'!A:A,0),0),0)</f>
        <v>0</v>
      </c>
      <c r="K4719" s="444">
        <f t="shared" ca="1" si="191"/>
        <v>-34784292637.30368</v>
      </c>
      <c r="L4719" s="444">
        <f t="shared" ca="1" si="192"/>
        <v>-8383014525590.1865</v>
      </c>
      <c r="M4719" s="460">
        <f t="shared" si="194"/>
        <v>0.05</v>
      </c>
      <c r="N4719" s="464">
        <f t="shared" si="195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93"/>
        <v>-8383014525590.1865</v>
      </c>
      <c r="J4720" s="444">
        <f t="array" ref="J4720">IFERROR(INDEX('Retirement Calculator'!J:J,MATCH('Isaac 401k'!N4720,'Retirement Calculator'!A:A,0),0),0)</f>
        <v>0</v>
      </c>
      <c r="K4720" s="444">
        <f t="shared" ca="1" si="191"/>
        <v>-34929227189.959106</v>
      </c>
      <c r="L4720" s="444">
        <f t="shared" ca="1" si="192"/>
        <v>-8417943752780.1455</v>
      </c>
      <c r="M4720" s="460">
        <f t="shared" si="194"/>
        <v>0.05</v>
      </c>
      <c r="N4720" s="464">
        <f t="shared" si="195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93"/>
        <v>-8417943752780.1455</v>
      </c>
      <c r="J4721" s="444">
        <f t="array" ref="J4721">IFERROR(INDEX('Retirement Calculator'!J:J,MATCH('Isaac 401k'!N4721,'Retirement Calculator'!A:A,0),0),0)</f>
        <v>0</v>
      </c>
      <c r="K4721" s="444">
        <f t="shared" ca="1" si="191"/>
        <v>-35074765636.583939</v>
      </c>
      <c r="L4721" s="444">
        <f t="shared" ca="1" si="192"/>
        <v>-8453018518416.7295</v>
      </c>
      <c r="M4721" s="460">
        <f t="shared" si="194"/>
        <v>0.05</v>
      </c>
      <c r="N4721" s="464">
        <f t="shared" si="195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93"/>
        <v>-8453018518416.7295</v>
      </c>
      <c r="J4722" s="444">
        <f t="array" ref="J4722">IFERROR(INDEX('Retirement Calculator'!J:J,MATCH('Isaac 401k'!N4722,'Retirement Calculator'!A:A,0),0),0)</f>
        <v>0</v>
      </c>
      <c r="K4722" s="444">
        <f t="shared" ca="1" si="191"/>
        <v>-35220910493.403038</v>
      </c>
      <c r="L4722" s="444">
        <f t="shared" ca="1" si="192"/>
        <v>-8488239428910.1328</v>
      </c>
      <c r="M4722" s="460">
        <f t="shared" si="194"/>
        <v>0.05</v>
      </c>
      <c r="N4722" s="464">
        <f t="shared" si="195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93"/>
        <v>-8488239428910.1328</v>
      </c>
      <c r="J4723" s="444">
        <f t="array" ref="J4723">IFERROR(INDEX('Retirement Calculator'!J:J,MATCH('Isaac 401k'!N4723,'Retirement Calculator'!A:A,0),0),0)</f>
        <v>0</v>
      </c>
      <c r="K4723" s="444">
        <f t="shared" ca="1" si="191"/>
        <v>-35367664287.125549</v>
      </c>
      <c r="L4723" s="444">
        <f t="shared" ca="1" si="192"/>
        <v>-8523607093197.2588</v>
      </c>
      <c r="M4723" s="460">
        <f t="shared" si="194"/>
        <v>0.05</v>
      </c>
      <c r="N4723" s="464">
        <f t="shared" si="195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93"/>
        <v>-8523607093197.2588</v>
      </c>
      <c r="J4724" s="444">
        <f t="array" ref="J4724">IFERROR(INDEX('Retirement Calculator'!J:J,MATCH('Isaac 401k'!N4724,'Retirement Calculator'!A:A,0),0),0)</f>
        <v>0</v>
      </c>
      <c r="K4724" s="444">
        <f t="shared" ca="1" si="191"/>
        <v>-35515029554.988579</v>
      </c>
      <c r="L4724" s="444">
        <f t="shared" ca="1" si="192"/>
        <v>-8559122122752.2471</v>
      </c>
      <c r="M4724" s="460">
        <f t="shared" si="194"/>
        <v>0.05</v>
      </c>
      <c r="N4724" s="464">
        <f t="shared" si="195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93"/>
        <v>-8559122122752.2471</v>
      </c>
      <c r="J4725" s="444">
        <f t="array" ref="J4725">IFERROR(INDEX('Retirement Calculator'!J:J,MATCH('Isaac 401k'!N4725,'Retirement Calculator'!A:A,0),0),0)</f>
        <v>0</v>
      </c>
      <c r="K4725" s="444">
        <f t="shared" ca="1" si="191"/>
        <v>-35663008844.801033</v>
      </c>
      <c r="L4725" s="444">
        <f t="shared" ca="1" si="192"/>
        <v>-8594785131597.0479</v>
      </c>
      <c r="M4725" s="460">
        <f t="shared" si="194"/>
        <v>0.05</v>
      </c>
      <c r="N4725" s="464">
        <f t="shared" si="195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93"/>
        <v>-8594785131597.0479</v>
      </c>
      <c r="J4726" s="444">
        <f t="array" ref="J4726">IFERROR(INDEX('Retirement Calculator'!J:J,MATCH('Isaac 401k'!N4726,'Retirement Calculator'!A:A,0),0),0)</f>
        <v>0</v>
      </c>
      <c r="K4726" s="444">
        <f t="shared" ca="1" si="191"/>
        <v>-35811604714.987694</v>
      </c>
      <c r="L4726" s="444">
        <f t="shared" ca="1" si="192"/>
        <v>-8630596736312.0352</v>
      </c>
      <c r="M4726" s="460">
        <f t="shared" si="194"/>
        <v>0.05</v>
      </c>
      <c r="N4726" s="464">
        <f t="shared" si="195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93"/>
        <v>-8630596736312.0352</v>
      </c>
      <c r="J4727" s="444">
        <f t="array" ref="J4727">IFERROR(INDEX('Retirement Calculator'!J:J,MATCH('Isaac 401k'!N4727,'Retirement Calculator'!A:A,0),0),0)</f>
        <v>0</v>
      </c>
      <c r="K4727" s="444">
        <f t="shared" ca="1" si="191"/>
        <v>-35960819734.633484</v>
      </c>
      <c r="L4727" s="444">
        <f t="shared" ca="1" si="192"/>
        <v>-8666557556046.6689</v>
      </c>
      <c r="M4727" s="460">
        <f t="shared" si="194"/>
        <v>0.05</v>
      </c>
      <c r="N4727" s="464">
        <f t="shared" si="195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93"/>
        <v>-8666557556046.6689</v>
      </c>
      <c r="J4728" s="444">
        <f t="array" ref="J4728">IFERROR(INDEX('Retirement Calculator'!J:J,MATCH('Isaac 401k'!N4728,'Retirement Calculator'!A:A,0),0),0)</f>
        <v>0</v>
      </c>
      <c r="K4728" s="444">
        <f t="shared" ca="1" si="191"/>
        <v>-36110656483.527794</v>
      </c>
      <c r="L4728" s="444">
        <f t="shared" ca="1" si="192"/>
        <v>-8702668212530.1963</v>
      </c>
      <c r="M4728" s="460">
        <f t="shared" si="194"/>
        <v>0.05</v>
      </c>
      <c r="N4728" s="464">
        <f t="shared" si="195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93"/>
        <v>-8702668212530.1963</v>
      </c>
      <c r="J4729" s="444">
        <f t="array" ref="J4729">IFERROR(INDEX('Retirement Calculator'!J:J,MATCH('Isaac 401k'!N4729,'Retirement Calculator'!A:A,0),0),0)</f>
        <v>0</v>
      </c>
      <c r="K4729" s="444">
        <f t="shared" ca="1" si="191"/>
        <v>-36261117552.209145</v>
      </c>
      <c r="L4729" s="444">
        <f t="shared" ca="1" si="192"/>
        <v>-8738929330082.4053</v>
      </c>
      <c r="M4729" s="460">
        <f t="shared" si="194"/>
        <v>0.05</v>
      </c>
      <c r="N4729" s="464">
        <f t="shared" si="195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93"/>
        <v>-8738929330082.4053</v>
      </c>
      <c r="J4730" s="444">
        <f t="array" ref="J4730">IFERROR(INDEX('Retirement Calculator'!J:J,MATCH('Isaac 401k'!N4730,'Retirement Calculator'!A:A,0),0),0)</f>
        <v>0</v>
      </c>
      <c r="K4730" s="444">
        <f t="shared" ca="1" si="191"/>
        <v>-36412205542.010025</v>
      </c>
      <c r="L4730" s="444">
        <f t="shared" ca="1" si="192"/>
        <v>-8775341535624.415</v>
      </c>
      <c r="M4730" s="460">
        <f t="shared" si="194"/>
        <v>0.05</v>
      </c>
      <c r="N4730" s="464">
        <f t="shared" si="195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93"/>
        <v>-8775341535624.415</v>
      </c>
      <c r="J4731" s="444">
        <f t="array" ref="J4731">IFERROR(INDEX('Retirement Calculator'!J:J,MATCH('Isaac 401k'!N4731,'Retirement Calculator'!A:A,0),0),0)</f>
        <v>0</v>
      </c>
      <c r="K4731" s="444">
        <f t="shared" ca="1" si="191"/>
        <v>-36563923065.101723</v>
      </c>
      <c r="L4731" s="444">
        <f t="shared" ca="1" si="192"/>
        <v>-8811905458689.5176</v>
      </c>
      <c r="M4731" s="460">
        <f t="shared" si="194"/>
        <v>0.05</v>
      </c>
      <c r="N4731" s="464">
        <f t="shared" si="195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93"/>
        <v>-8811905458689.5176</v>
      </c>
      <c r="J4732" s="444">
        <f t="array" ref="J4732">IFERROR(INDEX('Retirement Calculator'!J:J,MATCH('Isaac 401k'!N4732,'Retirement Calculator'!A:A,0),0),0)</f>
        <v>0</v>
      </c>
      <c r="K4732" s="444">
        <f t="shared" ca="1" si="191"/>
        <v>-36716272744.539658</v>
      </c>
      <c r="L4732" s="444">
        <f t="shared" ca="1" si="192"/>
        <v>-8848621731434.0566</v>
      </c>
      <c r="M4732" s="460">
        <f t="shared" si="194"/>
        <v>0.05</v>
      </c>
      <c r="N4732" s="464">
        <f t="shared" si="195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93"/>
        <v>-8848621731434.0566</v>
      </c>
      <c r="J4733" s="444">
        <f t="array" ref="J4733">IFERROR(INDEX('Retirement Calculator'!J:J,MATCH('Isaac 401k'!N4733,'Retirement Calculator'!A:A,0),0),0)</f>
        <v>0</v>
      </c>
      <c r="K4733" s="444">
        <f t="shared" ca="1" si="191"/>
        <v>-36869257214.308571</v>
      </c>
      <c r="L4733" s="444">
        <f t="shared" ca="1" si="192"/>
        <v>-8885490988648.3652</v>
      </c>
      <c r="M4733" s="460">
        <f t="shared" si="194"/>
        <v>0.05</v>
      </c>
      <c r="N4733" s="464">
        <f t="shared" si="195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93"/>
        <v>-8885490988648.3652</v>
      </c>
      <c r="J4734" s="444">
        <f t="array" ref="J4734">IFERROR(INDEX('Retirement Calculator'!J:J,MATCH('Isaac 401k'!N4734,'Retirement Calculator'!A:A,0),0),0)</f>
        <v>0</v>
      </c>
      <c r="K4734" s="444">
        <f t="shared" ca="1" si="191"/>
        <v>-37022879119.368187</v>
      </c>
      <c r="L4734" s="444">
        <f t="shared" ca="1" si="192"/>
        <v>-8922513867767.7344</v>
      </c>
      <c r="M4734" s="460">
        <f t="shared" si="194"/>
        <v>0.05</v>
      </c>
      <c r="N4734" s="464">
        <f t="shared" si="195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93"/>
        <v>-8922513867767.7344</v>
      </c>
      <c r="J4735" s="444">
        <f t="array" ref="J4735">IFERROR(INDEX('Retirement Calculator'!J:J,MATCH('Isaac 401k'!N4735,'Retirement Calculator'!A:A,0),0),0)</f>
        <v>0</v>
      </c>
      <c r="K4735" s="444">
        <f t="shared" ca="1" si="191"/>
        <v>-37177141115.698891</v>
      </c>
      <c r="L4735" s="444">
        <f t="shared" ca="1" si="192"/>
        <v>-8959691008883.4336</v>
      </c>
      <c r="M4735" s="460">
        <f t="shared" si="194"/>
        <v>0.05</v>
      </c>
      <c r="N4735" s="464">
        <f t="shared" si="195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93"/>
        <v>-8959691008883.4336</v>
      </c>
      <c r="J4736" s="444">
        <f t="array" ref="J4736">IFERROR(INDEX('Retirement Calculator'!J:J,MATCH('Isaac 401k'!N4736,'Retirement Calculator'!A:A,0),0),0)</f>
        <v>0</v>
      </c>
      <c r="K4736" s="444">
        <f t="shared" ca="1" si="191"/>
        <v>-37332045870.347641</v>
      </c>
      <c r="L4736" s="444">
        <f t="shared" ca="1" si="192"/>
        <v>-8997023054753.7813</v>
      </c>
      <c r="M4736" s="460">
        <f t="shared" si="194"/>
        <v>0.05</v>
      </c>
      <c r="N4736" s="464">
        <f t="shared" si="195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93"/>
        <v>-8997023054753.7813</v>
      </c>
      <c r="J4737" s="444">
        <f t="array" ref="J4737">IFERROR(INDEX('Retirement Calculator'!J:J,MATCH('Isaac 401k'!N4737,'Retirement Calculator'!A:A,0),0),0)</f>
        <v>0</v>
      </c>
      <c r="K4737" s="444">
        <f t="shared" ca="1" si="191"/>
        <v>-37487596061.474091</v>
      </c>
      <c r="L4737" s="444">
        <f t="shared" ca="1" si="192"/>
        <v>-9034510650815.2559</v>
      </c>
      <c r="M4737" s="460">
        <f t="shared" si="194"/>
        <v>0.05</v>
      </c>
      <c r="N4737" s="464">
        <f t="shared" si="195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93"/>
        <v>-9034510650815.2559</v>
      </c>
      <c r="J4738" s="444">
        <f t="array" ref="J4738">IFERROR(INDEX('Retirement Calculator'!J:J,MATCH('Isaac 401k'!N4738,'Retirement Calculator'!A:A,0),0),0)</f>
        <v>0</v>
      </c>
      <c r="K4738" s="444">
        <f t="shared" ca="1" si="191"/>
        <v>-37643794378.396896</v>
      </c>
      <c r="L4738" s="444">
        <f t="shared" ca="1" si="192"/>
        <v>-9072154445193.6523</v>
      </c>
      <c r="M4738" s="460">
        <f t="shared" si="194"/>
        <v>0.05</v>
      </c>
      <c r="N4738" s="464">
        <f t="shared" si="195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93"/>
        <v>-9072154445193.6523</v>
      </c>
      <c r="J4739" s="444">
        <f t="array" ref="J4739">IFERROR(INDEX('Retirement Calculator'!J:J,MATCH('Isaac 401k'!N4739,'Retirement Calculator'!A:A,0),0),0)</f>
        <v>0</v>
      </c>
      <c r="K4739" s="444">
        <f t="shared" ca="1" si="191"/>
        <v>-37800643521.640221</v>
      </c>
      <c r="L4739" s="444">
        <f t="shared" ca="1" si="192"/>
        <v>-9109955088715.293</v>
      </c>
      <c r="M4739" s="460">
        <f t="shared" si="194"/>
        <v>0.05</v>
      </c>
      <c r="N4739" s="464">
        <f t="shared" si="195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93"/>
        <v>-9109955088715.293</v>
      </c>
      <c r="J4740" s="444">
        <f t="array" ref="J4740">IFERROR(INDEX('Retirement Calculator'!J:J,MATCH('Isaac 401k'!N4740,'Retirement Calculator'!A:A,0),0),0)</f>
        <v>0</v>
      </c>
      <c r="K4740" s="444">
        <f t="shared" ca="1" si="191"/>
        <v>-37958146202.980385</v>
      </c>
      <c r="L4740" s="444">
        <f t="shared" ca="1" si="192"/>
        <v>-9147913234918.2734</v>
      </c>
      <c r="M4740" s="460">
        <f t="shared" si="194"/>
        <v>0.05</v>
      </c>
      <c r="N4740" s="464">
        <f t="shared" si="195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93"/>
        <v>-9147913234918.2734</v>
      </c>
      <c r="J4741" s="444">
        <f t="array" ref="J4741">IFERROR(INDEX('Retirement Calculator'!J:J,MATCH('Isaac 401k'!N4741,'Retirement Calculator'!A:A,0),0),0)</f>
        <v>0</v>
      </c>
      <c r="K4741" s="444">
        <f t="shared" ca="1" si="191"/>
        <v>-38116305145.492805</v>
      </c>
      <c r="L4741" s="444">
        <f t="shared" ca="1" si="192"/>
        <v>-9186029540063.7656</v>
      </c>
      <c r="M4741" s="460">
        <f t="shared" si="194"/>
        <v>0.05</v>
      </c>
      <c r="N4741" s="464">
        <f t="shared" si="195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93"/>
        <v>-9186029540063.7656</v>
      </c>
      <c r="J4742" s="444">
        <f t="array" ref="J4742">IFERROR(INDEX('Retirement Calculator'!J:J,MATCH('Isaac 401k'!N4742,'Retirement Calculator'!A:A,0),0),0)</f>
        <v>0</v>
      </c>
      <c r="K4742" s="444">
        <f t="shared" ca="1" si="191"/>
        <v>-38275123083.599022</v>
      </c>
      <c r="L4742" s="444">
        <f t="shared" ca="1" si="192"/>
        <v>-9224304663147.3652</v>
      </c>
      <c r="M4742" s="460">
        <f t="shared" si="194"/>
        <v>0.05</v>
      </c>
      <c r="N4742" s="464">
        <f t="shared" si="195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93"/>
        <v>-9224304663147.3652</v>
      </c>
      <c r="J4743" s="444">
        <f t="array" ref="J4743">IFERROR(INDEX('Retirement Calculator'!J:J,MATCH('Isaac 401k'!N4743,'Retirement Calculator'!A:A,0),0),0)</f>
        <v>0</v>
      </c>
      <c r="K4743" s="444">
        <f t="shared" ca="1" si="191"/>
        <v>-38434602763.114021</v>
      </c>
      <c r="L4743" s="444">
        <f t="shared" ca="1" si="192"/>
        <v>-9262739265910.4785</v>
      </c>
      <c r="M4743" s="460">
        <f t="shared" si="194"/>
        <v>0.05</v>
      </c>
      <c r="N4743" s="464">
        <f t="shared" si="195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93"/>
        <v>-9262739265910.4785</v>
      </c>
      <c r="J4744" s="444">
        <f t="array" ref="J4744">IFERROR(INDEX('Retirement Calculator'!J:J,MATCH('Isaac 401k'!N4744,'Retirement Calculator'!A:A,0),0),0)</f>
        <v>0</v>
      </c>
      <c r="K4744" s="444">
        <f t="shared" ca="1" si="191"/>
        <v>-38594746941.293663</v>
      </c>
      <c r="L4744" s="444">
        <f t="shared" ca="1" si="192"/>
        <v>-9301334012851.7715</v>
      </c>
      <c r="M4744" s="460">
        <f t="shared" si="194"/>
        <v>0.05</v>
      </c>
      <c r="N4744" s="464">
        <f t="shared" si="195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93"/>
        <v>-9301334012851.7715</v>
      </c>
      <c r="J4745" s="444">
        <f t="array" ref="J4745">IFERROR(INDEX('Retirement Calculator'!J:J,MATCH('Isaac 401k'!N4745,'Retirement Calculator'!A:A,0),0),0)</f>
        <v>0</v>
      </c>
      <c r="K4745" s="444">
        <f t="shared" ca="1" si="191"/>
        <v>-38755558386.882378</v>
      </c>
      <c r="L4745" s="444">
        <f t="shared" ca="1" si="192"/>
        <v>-9340089571238.6543</v>
      </c>
      <c r="M4745" s="460">
        <f t="shared" si="194"/>
        <v>0.05</v>
      </c>
      <c r="N4745" s="464">
        <f t="shared" si="195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93"/>
        <v>-9340089571238.6543</v>
      </c>
      <c r="J4746" s="444">
        <f t="array" ref="J4746">IFERROR(INDEX('Retirement Calculator'!J:J,MATCH('Isaac 401k'!N4746,'Retirement Calculator'!A:A,0),0),0)</f>
        <v>0</v>
      </c>
      <c r="K4746" s="444">
        <f t="shared" ca="1" si="191"/>
        <v>-38917039880.161057</v>
      </c>
      <c r="L4746" s="444">
        <f t="shared" ca="1" si="192"/>
        <v>-9379006611118.8145</v>
      </c>
      <c r="M4746" s="460">
        <f t="shared" si="194"/>
        <v>0.05</v>
      </c>
      <c r="N4746" s="464">
        <f t="shared" si="195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93"/>
        <v>-9379006611118.8145</v>
      </c>
      <c r="J4747" s="444">
        <f t="array" ref="J4747">IFERROR(INDEX('Retirement Calculator'!J:J,MATCH('Isaac 401k'!N4747,'Retirement Calculator'!A:A,0),0),0)</f>
        <v>0</v>
      </c>
      <c r="K4747" s="444">
        <f t="shared" ca="1" si="191"/>
        <v>-39079194212.995056</v>
      </c>
      <c r="L4747" s="444">
        <f t="shared" ca="1" si="192"/>
        <v>-9418085805331.8086</v>
      </c>
      <c r="M4747" s="460">
        <f t="shared" si="194"/>
        <v>0.05</v>
      </c>
      <c r="N4747" s="464">
        <f t="shared" si="195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93"/>
        <v>-9418085805331.8086</v>
      </c>
      <c r="J4748" s="444">
        <f t="array" ref="J4748">IFERROR(INDEX('Retirement Calculator'!J:J,MATCH('Isaac 401k'!N4748,'Retirement Calculator'!A:A,0),0),0)</f>
        <v>0</v>
      </c>
      <c r="K4748" s="444">
        <f t="shared" ca="1" si="191"/>
        <v>-39242024188.882538</v>
      </c>
      <c r="L4748" s="444">
        <f t="shared" ca="1" si="192"/>
        <v>-9457327829520.6914</v>
      </c>
      <c r="M4748" s="460">
        <f t="shared" si="194"/>
        <v>0.05</v>
      </c>
      <c r="N4748" s="464">
        <f t="shared" si="195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93"/>
        <v>-9457327829520.6914</v>
      </c>
      <c r="J4749" s="444">
        <f t="array" ref="J4749">IFERROR(INDEX('Retirement Calculator'!J:J,MATCH('Isaac 401k'!N4749,'Retirement Calculator'!A:A,0),0),0)</f>
        <v>0</v>
      </c>
      <c r="K4749" s="444">
        <f t="shared" ca="1" si="191"/>
        <v>-39405532623.002884</v>
      </c>
      <c r="L4749" s="444">
        <f t="shared" ca="1" si="192"/>
        <v>-9496733362143.6934</v>
      </c>
      <c r="M4749" s="460">
        <f t="shared" si="194"/>
        <v>0.05</v>
      </c>
      <c r="N4749" s="464">
        <f t="shared" si="195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93"/>
        <v>-9496733362143.6934</v>
      </c>
      <c r="J4750" s="444">
        <f t="array" ref="J4750">IFERROR(INDEX('Retirement Calculator'!J:J,MATCH('Isaac 401k'!N4750,'Retirement Calculator'!A:A,0),0),0)</f>
        <v>0</v>
      </c>
      <c r="K4750" s="444">
        <f t="shared" ca="1" si="191"/>
        <v>-39569722342.265388</v>
      </c>
      <c r="L4750" s="444">
        <f t="shared" ca="1" si="192"/>
        <v>-9536303084485.959</v>
      </c>
      <c r="M4750" s="460">
        <f t="shared" si="194"/>
        <v>0.05</v>
      </c>
      <c r="N4750" s="464">
        <f t="shared" si="195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93"/>
        <v>-9536303084485.959</v>
      </c>
      <c r="J4751" s="444">
        <f t="array" ref="J4751">IFERROR(INDEX('Retirement Calculator'!J:J,MATCH('Isaac 401k'!N4751,'Retirement Calculator'!A:A,0),0),0)</f>
        <v>0</v>
      </c>
      <c r="K4751" s="444">
        <f t="shared" ca="1" si="191"/>
        <v>-39734596185.358162</v>
      </c>
      <c r="L4751" s="444">
        <f t="shared" ca="1" si="192"/>
        <v>-9576037680671.3164</v>
      </c>
      <c r="M4751" s="460">
        <f t="shared" si="194"/>
        <v>0.05</v>
      </c>
      <c r="N4751" s="464">
        <f t="shared" si="195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93"/>
        <v>-9576037680671.3164</v>
      </c>
      <c r="J4752" s="444">
        <f t="array" ref="J4752">IFERROR(INDEX('Retirement Calculator'!J:J,MATCH('Isaac 401k'!N4752,'Retirement Calculator'!A:A,0),0),0)</f>
        <v>0</v>
      </c>
      <c r="K4752" s="444">
        <f t="shared" ca="1" si="191"/>
        <v>-39900157002.79715</v>
      </c>
      <c r="L4752" s="444">
        <f t="shared" ca="1" si="192"/>
        <v>-9615937837674.1133</v>
      </c>
      <c r="M4752" s="460">
        <f t="shared" si="194"/>
        <v>0.05</v>
      </c>
      <c r="N4752" s="464">
        <f t="shared" si="195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93"/>
        <v>-9615937837674.1133</v>
      </c>
      <c r="J4753" s="444">
        <f t="array" ref="J4753">IFERROR(INDEX('Retirement Calculator'!J:J,MATCH('Isaac 401k'!N4753,'Retirement Calculator'!A:A,0),0),0)</f>
        <v>0</v>
      </c>
      <c r="K4753" s="444">
        <f t="shared" ca="1" si="191"/>
        <v>-40066407656.975471</v>
      </c>
      <c r="L4753" s="444">
        <f t="shared" ca="1" si="192"/>
        <v>-9656004245331.0879</v>
      </c>
      <c r="M4753" s="460">
        <f t="shared" si="194"/>
        <v>0.05</v>
      </c>
      <c r="N4753" s="464">
        <f t="shared" si="195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93"/>
        <v>-9656004245331.0879</v>
      </c>
      <c r="J4754" s="444">
        <f t="array" ref="J4754">IFERROR(INDEX('Retirement Calculator'!J:J,MATCH('Isaac 401k'!N4754,'Retirement Calculator'!A:A,0),0),0)</f>
        <v>0</v>
      </c>
      <c r="K4754" s="444">
        <f t="shared" ca="1" si="191"/>
        <v>-40233351022.212868</v>
      </c>
      <c r="L4754" s="444">
        <f t="shared" ca="1" si="192"/>
        <v>-9696237596353.3008</v>
      </c>
      <c r="M4754" s="460">
        <f t="shared" si="194"/>
        <v>0.05</v>
      </c>
      <c r="N4754" s="464">
        <f t="shared" si="195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93"/>
        <v>-9696237596353.3008</v>
      </c>
      <c r="J4755" s="444">
        <f t="array" ref="J4755">IFERROR(INDEX('Retirement Calculator'!J:J,MATCH('Isaac 401k'!N4755,'Retirement Calculator'!A:A,0),0),0)</f>
        <v>0</v>
      </c>
      <c r="K4755" s="444">
        <f t="shared" ca="1" si="191"/>
        <v>-40400989984.80542</v>
      </c>
      <c r="L4755" s="444">
        <f t="shared" ca="1" si="192"/>
        <v>-9736638586338.1055</v>
      </c>
      <c r="M4755" s="460">
        <f t="shared" si="194"/>
        <v>0.05</v>
      </c>
      <c r="N4755" s="464">
        <f t="shared" si="195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93"/>
        <v>-9736638586338.1055</v>
      </c>
      <c r="J4756" s="444">
        <f t="array" ref="J4756">IFERROR(INDEX('Retirement Calculator'!J:J,MATCH('Isaac 401k'!N4756,'Retirement Calculator'!A:A,0),0),0)</f>
        <v>0</v>
      </c>
      <c r="K4756" s="444">
        <f t="shared" ca="1" si="191"/>
        <v>-40569327443.075439</v>
      </c>
      <c r="L4756" s="444">
        <f t="shared" ca="1" si="192"/>
        <v>-9777207913781.1816</v>
      </c>
      <c r="M4756" s="460">
        <f t="shared" si="194"/>
        <v>0.05</v>
      </c>
      <c r="N4756" s="464">
        <f t="shared" si="195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93"/>
        <v>-9777207913781.1816</v>
      </c>
      <c r="J4757" s="444">
        <f t="array" ref="J4757">IFERROR(INDEX('Retirement Calculator'!J:J,MATCH('Isaac 401k'!N4757,'Retirement Calculator'!A:A,0),0),0)</f>
        <v>0</v>
      </c>
      <c r="K4757" s="444">
        <f t="shared" ca="1" si="191"/>
        <v>-40738366307.421593</v>
      </c>
      <c r="L4757" s="444">
        <f t="shared" ca="1" si="192"/>
        <v>-9817946280088.6035</v>
      </c>
      <c r="M4757" s="460">
        <f t="shared" si="194"/>
        <v>0.05</v>
      </c>
      <c r="N4757" s="464">
        <f t="shared" si="195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93"/>
        <v>-9817946280088.6035</v>
      </c>
      <c r="J4758" s="444">
        <f t="array" ref="J4758">IFERROR(INDEX('Retirement Calculator'!J:J,MATCH('Isaac 401k'!N4758,'Retirement Calculator'!A:A,0),0),0)</f>
        <v>0</v>
      </c>
      <c r="K4758" s="444">
        <f t="shared" ca="1" si="191"/>
        <v>-40908109500.369179</v>
      </c>
      <c r="L4758" s="444">
        <f t="shared" ca="1" si="192"/>
        <v>-9858854389588.9727</v>
      </c>
      <c r="M4758" s="460">
        <f t="shared" si="194"/>
        <v>0.05</v>
      </c>
      <c r="N4758" s="464">
        <f t="shared" si="195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93"/>
        <v>-9858854389588.9727</v>
      </c>
      <c r="J4759" s="444">
        <f t="array" ref="J4759">IFERROR(INDEX('Retirement Calculator'!J:J,MATCH('Isaac 401k'!N4759,'Retirement Calculator'!A:A,0),0),0)</f>
        <v>0</v>
      </c>
      <c r="K4759" s="444">
        <f t="shared" ca="1" si="191"/>
        <v>-41078559956.62072</v>
      </c>
      <c r="L4759" s="444">
        <f t="shared" ca="1" si="192"/>
        <v>-9899932949545.5938</v>
      </c>
      <c r="M4759" s="460">
        <f t="shared" si="194"/>
        <v>0.05</v>
      </c>
      <c r="N4759" s="464">
        <f t="shared" si="195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93"/>
        <v>-9899932949545.5938</v>
      </c>
      <c r="J4760" s="444">
        <f t="array" ref="J4760">IFERROR(INDEX('Retirement Calculator'!J:J,MATCH('Isaac 401k'!N4760,'Retirement Calculator'!A:A,0),0),0)</f>
        <v>0</v>
      </c>
      <c r="K4760" s="444">
        <f t="shared" ca="1" si="191"/>
        <v>-41249720623.106644</v>
      </c>
      <c r="L4760" s="444">
        <f t="shared" ca="1" si="192"/>
        <v>-9941182670168.7012</v>
      </c>
      <c r="M4760" s="460">
        <f t="shared" si="194"/>
        <v>0.05</v>
      </c>
      <c r="N4760" s="464">
        <f t="shared" si="195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93"/>
        <v>-9941182670168.7012</v>
      </c>
      <c r="J4761" s="444">
        <f t="array" ref="J4761">IFERROR(INDEX('Retirement Calculator'!J:J,MATCH('Isaac 401k'!N4761,'Retirement Calculator'!A:A,0),0),0)</f>
        <v>0</v>
      </c>
      <c r="K4761" s="444">
        <f t="shared" ca="1" si="191"/>
        <v>-41421594459.036255</v>
      </c>
      <c r="L4761" s="444">
        <f t="shared" ca="1" si="192"/>
        <v>-9982604264627.7383</v>
      </c>
      <c r="M4761" s="460">
        <f t="shared" si="194"/>
        <v>0.05</v>
      </c>
      <c r="N4761" s="464">
        <f t="shared" si="195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93"/>
        <v>-9982604264627.7383</v>
      </c>
      <c r="J4762" s="444">
        <f t="array" ref="J4762">IFERROR(INDEX('Retirement Calculator'!J:J,MATCH('Isaac 401k'!N4762,'Retirement Calculator'!A:A,0),0),0)</f>
        <v>0</v>
      </c>
      <c r="K4762" s="444">
        <f t="shared" ca="1" si="191"/>
        <v>-41594184435.948906</v>
      </c>
      <c r="L4762" s="444">
        <f t="shared" ca="1" si="192"/>
        <v>-10024198449063.688</v>
      </c>
      <c r="M4762" s="460">
        <f t="shared" si="194"/>
        <v>0.05</v>
      </c>
      <c r="N4762" s="464">
        <f t="shared" si="195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93"/>
        <v>-10024198449063.688</v>
      </c>
      <c r="J4763" s="444">
        <f t="array" ref="J4763">IFERROR(INDEX('Retirement Calculator'!J:J,MATCH('Isaac 401k'!N4763,'Retirement Calculator'!A:A,0),0),0)</f>
        <v>0</v>
      </c>
      <c r="K4763" s="444">
        <f t="shared" ca="1" si="191"/>
        <v>-41767493537.765366</v>
      </c>
      <c r="L4763" s="444">
        <f t="shared" ca="1" si="192"/>
        <v>-10065965942601.453</v>
      </c>
      <c r="M4763" s="460">
        <f t="shared" si="194"/>
        <v>0.05</v>
      </c>
      <c r="N4763" s="464">
        <f t="shared" si="195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93"/>
        <v>-10065965942601.453</v>
      </c>
      <c r="J4764" s="444">
        <f t="array" ref="J4764">IFERROR(INDEX('Retirement Calculator'!J:J,MATCH('Isaac 401k'!N4764,'Retirement Calculator'!A:A,0),0),0)</f>
        <v>0</v>
      </c>
      <c r="K4764" s="444">
        <f t="shared" ca="1" si="191"/>
        <v>-41941524760.839386</v>
      </c>
      <c r="L4764" s="444">
        <f t="shared" ca="1" si="192"/>
        <v>-10107907467362.293</v>
      </c>
      <c r="M4764" s="460">
        <f t="shared" si="194"/>
        <v>0.05</v>
      </c>
      <c r="N4764" s="464">
        <f t="shared" si="195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93"/>
        <v>-10107907467362.293</v>
      </c>
      <c r="J4765" s="444">
        <f t="array" ref="J4765">IFERROR(INDEX('Retirement Calculator'!J:J,MATCH('Isaac 401k'!N4765,'Retirement Calculator'!A:A,0),0),0)</f>
        <v>0</v>
      </c>
      <c r="K4765" s="444">
        <f t="shared" ca="1" si="191"/>
        <v>-42116281114.009552</v>
      </c>
      <c r="L4765" s="444">
        <f t="shared" ca="1" si="192"/>
        <v>-10150023748476.303</v>
      </c>
      <c r="M4765" s="460">
        <f t="shared" si="194"/>
        <v>0.05</v>
      </c>
      <c r="N4765" s="464">
        <f t="shared" si="195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93"/>
        <v>-10150023748476.303</v>
      </c>
      <c r="J4766" s="444">
        <f t="array" ref="J4766">IFERROR(INDEX('Retirement Calculator'!J:J,MATCH('Isaac 401k'!N4766,'Retirement Calculator'!A:A,0),0),0)</f>
        <v>0</v>
      </c>
      <c r="K4766" s="444">
        <f t="shared" ca="1" si="191"/>
        <v>-42291765618.65126</v>
      </c>
      <c r="L4766" s="444">
        <f t="shared" ca="1" si="192"/>
        <v>-10192315514094.953</v>
      </c>
      <c r="M4766" s="460">
        <f t="shared" si="194"/>
        <v>0.05</v>
      </c>
      <c r="N4766" s="464">
        <f t="shared" si="195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93"/>
        <v>-10192315514094.953</v>
      </c>
      <c r="J4767" s="444">
        <f t="array" ref="J4767">IFERROR(INDEX('Retirement Calculator'!J:J,MATCH('Isaac 401k'!N4767,'Retirement Calculator'!A:A,0),0),0)</f>
        <v>0</v>
      </c>
      <c r="K4767" s="444">
        <f t="shared" ca="1" si="191"/>
        <v>-42467981308.728973</v>
      </c>
      <c r="L4767" s="444">
        <f t="shared" ca="1" si="192"/>
        <v>-10234783495403.682</v>
      </c>
      <c r="M4767" s="460">
        <f t="shared" si="194"/>
        <v>0.05</v>
      </c>
      <c r="N4767" s="464">
        <f t="shared" si="195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93"/>
        <v>-10234783495403.682</v>
      </c>
      <c r="J4768" s="444">
        <f t="array" ref="J4768">IFERROR(INDEX('Retirement Calculator'!J:J,MATCH('Isaac 401k'!N4768,'Retirement Calculator'!A:A,0),0),0)</f>
        <v>0</v>
      </c>
      <c r="K4768" s="444">
        <f t="shared" ca="1" si="191"/>
        <v>-42644931230.848671</v>
      </c>
      <c r="L4768" s="444">
        <f t="shared" ca="1" si="192"/>
        <v>-10277428426634.531</v>
      </c>
      <c r="M4768" s="460">
        <f t="shared" si="194"/>
        <v>0.05</v>
      </c>
      <c r="N4768" s="464">
        <f t="shared" si="195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93"/>
        <v>-10277428426634.531</v>
      </c>
      <c r="J4769" s="444">
        <f t="array" ref="J4769">IFERROR(INDEX('Retirement Calculator'!J:J,MATCH('Isaac 401k'!N4769,'Retirement Calculator'!A:A,0),0),0)</f>
        <v>0</v>
      </c>
      <c r="K4769" s="444">
        <f t="shared" ca="1" si="191"/>
        <v>-42822618444.310547</v>
      </c>
      <c r="L4769" s="444">
        <f t="shared" ca="1" si="192"/>
        <v>-10320251045078.842</v>
      </c>
      <c r="M4769" s="460">
        <f t="shared" si="194"/>
        <v>0.05</v>
      </c>
      <c r="N4769" s="464">
        <f t="shared" si="195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93"/>
        <v>-10320251045078.842</v>
      </c>
      <c r="J4770" s="444">
        <f t="array" ref="J4770">IFERROR(INDEX('Retirement Calculator'!J:J,MATCH('Isaac 401k'!N4770,'Retirement Calculator'!A:A,0),0),0)</f>
        <v>0</v>
      </c>
      <c r="K4770" s="444">
        <f t="shared" ca="1" si="191"/>
        <v>-43001046021.161842</v>
      </c>
      <c r="L4770" s="444">
        <f t="shared" ca="1" si="192"/>
        <v>-10363252091100.004</v>
      </c>
      <c r="M4770" s="460">
        <f t="shared" si="194"/>
        <v>0.05</v>
      </c>
      <c r="N4770" s="464">
        <f t="shared" si="195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93"/>
        <v>-10363252091100.004</v>
      </c>
      <c r="J4771" s="444">
        <f t="array" ref="J4771">IFERROR(INDEX('Retirement Calculator'!J:J,MATCH('Isaac 401k'!N4771,'Retirement Calculator'!A:A,0),0),0)</f>
        <v>0</v>
      </c>
      <c r="K4771" s="444">
        <f t="shared" ca="1" si="191"/>
        <v>-43180217046.250015</v>
      </c>
      <c r="L4771" s="444">
        <f t="shared" ca="1" si="192"/>
        <v>-10406432308146.254</v>
      </c>
      <c r="M4771" s="460">
        <f t="shared" si="194"/>
        <v>0.05</v>
      </c>
      <c r="N4771" s="464">
        <f t="shared" si="195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93"/>
        <v>-10406432308146.254</v>
      </c>
      <c r="J4772" s="444">
        <f t="array" ref="J4772">IFERROR(INDEX('Retirement Calculator'!J:J,MATCH('Isaac 401k'!N4772,'Retirement Calculator'!A:A,0),0),0)</f>
        <v>0</v>
      </c>
      <c r="K4772" s="444">
        <f t="shared" ca="1" si="191"/>
        <v>-43360134617.276054</v>
      </c>
      <c r="L4772" s="444">
        <f t="shared" ca="1" si="192"/>
        <v>-10449792442763.529</v>
      </c>
      <c r="M4772" s="460">
        <f t="shared" si="194"/>
        <v>0.05</v>
      </c>
      <c r="N4772" s="464">
        <f t="shared" si="195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93"/>
        <v>-10449792442763.529</v>
      </c>
      <c r="J4773" s="444">
        <f t="array" ref="J4773">IFERROR(INDEX('Retirement Calculator'!J:J,MATCH('Isaac 401k'!N4773,'Retirement Calculator'!A:A,0),0),0)</f>
        <v>0</v>
      </c>
      <c r="K4773" s="444">
        <f t="shared" ca="1" si="191"/>
        <v>-43540801844.848038</v>
      </c>
      <c r="L4773" s="444">
        <f t="shared" ca="1" si="192"/>
        <v>-10493333244608.377</v>
      </c>
      <c r="M4773" s="460">
        <f t="shared" si="194"/>
        <v>0.05</v>
      </c>
      <c r="N4773" s="464">
        <f t="shared" si="195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93"/>
        <v>-10493333244608.377</v>
      </c>
      <c r="J4774" s="444">
        <f t="array" ref="J4774">IFERROR(INDEX('Retirement Calculator'!J:J,MATCH('Isaac 401k'!N4774,'Retirement Calculator'!A:A,0),0),0)</f>
        <v>0</v>
      </c>
      <c r="K4774" s="444">
        <f t="shared" ca="1" si="191"/>
        <v>-43722221852.534904</v>
      </c>
      <c r="L4774" s="444">
        <f t="shared" ca="1" si="192"/>
        <v>-10537055466460.912</v>
      </c>
      <c r="M4774" s="460">
        <f t="shared" si="194"/>
        <v>0.05</v>
      </c>
      <c r="N4774" s="464">
        <f t="shared" si="195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93"/>
        <v>-10537055466460.912</v>
      </c>
      <c r="J4775" s="444">
        <f t="array" ref="J4775">IFERROR(INDEX('Retirement Calculator'!J:J,MATCH('Isaac 401k'!N4775,'Retirement Calculator'!A:A,0),0),0)</f>
        <v>0</v>
      </c>
      <c r="K4775" s="444">
        <f t="shared" ca="1" si="191"/>
        <v>-43904397776.920464</v>
      </c>
      <c r="L4775" s="444">
        <f t="shared" ca="1" si="192"/>
        <v>-10580959864237.832</v>
      </c>
      <c r="M4775" s="460">
        <f t="shared" si="194"/>
        <v>0.05</v>
      </c>
      <c r="N4775" s="464">
        <f t="shared" si="195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93"/>
        <v>-10580959864237.832</v>
      </c>
      <c r="J4776" s="444">
        <f t="array" ref="J4776">IFERROR(INDEX('Retirement Calculator'!J:J,MATCH('Isaac 401k'!N4776,'Retirement Calculator'!A:A,0),0),0)</f>
        <v>0</v>
      </c>
      <c r="K4776" s="444">
        <f t="shared" ca="1" si="191"/>
        <v>-44087332767.657631</v>
      </c>
      <c r="L4776" s="444">
        <f t="shared" ca="1" si="192"/>
        <v>-10625047197005.49</v>
      </c>
      <c r="M4776" s="460">
        <f t="shared" si="194"/>
        <v>0.05</v>
      </c>
      <c r="N4776" s="464">
        <f t="shared" si="195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93"/>
        <v>-10625047197005.49</v>
      </c>
      <c r="J4777" s="444">
        <f t="array" ref="J4777">IFERROR(INDEX('Retirement Calculator'!J:J,MATCH('Isaac 401k'!N4777,'Retirement Calculator'!A:A,0),0),0)</f>
        <v>0</v>
      </c>
      <c r="K4777" s="444">
        <f t="shared" ca="1" si="191"/>
        <v>-44271029987.522873</v>
      </c>
      <c r="L4777" s="444">
        <f t="shared" ca="1" si="192"/>
        <v>-10669318226993.014</v>
      </c>
      <c r="M4777" s="460">
        <f t="shared" si="194"/>
        <v>0.05</v>
      </c>
      <c r="N4777" s="464">
        <f t="shared" si="195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93"/>
        <v>-10669318226993.014</v>
      </c>
      <c r="J4778" s="444">
        <f t="array" ref="J4778">IFERROR(INDEX('Retirement Calculator'!J:J,MATCH('Isaac 401k'!N4778,'Retirement Calculator'!A:A,0),0),0)</f>
        <v>0</v>
      </c>
      <c r="K4778" s="444">
        <f t="shared" ca="1" si="191"/>
        <v>-44455492612.470886</v>
      </c>
      <c r="L4778" s="444">
        <f t="shared" ca="1" si="192"/>
        <v>-10713773719605.484</v>
      </c>
      <c r="M4778" s="460">
        <f t="shared" si="194"/>
        <v>0.05</v>
      </c>
      <c r="N4778" s="464">
        <f t="shared" si="195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93"/>
        <v>-10713773719605.484</v>
      </c>
      <c r="J4779" s="444">
        <f t="array" ref="J4779">IFERROR(INDEX('Retirement Calculator'!J:J,MATCH('Isaac 401k'!N4779,'Retirement Calculator'!A:A,0),0),0)</f>
        <v>0</v>
      </c>
      <c r="K4779" s="444">
        <f t="shared" ca="1" si="191"/>
        <v>-44640723831.689514</v>
      </c>
      <c r="L4779" s="444">
        <f t="shared" ca="1" si="192"/>
        <v>-10758414443437.174</v>
      </c>
      <c r="M4779" s="460">
        <f t="shared" si="194"/>
        <v>0.05</v>
      </c>
      <c r="N4779" s="464">
        <f t="shared" si="195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93"/>
        <v>-10758414443437.174</v>
      </c>
      <c r="J4780" s="444">
        <f t="array" ref="J4780">IFERROR(INDEX('Retirement Calculator'!J:J,MATCH('Isaac 401k'!N4780,'Retirement Calculator'!A:A,0),0),0)</f>
        <v>0</v>
      </c>
      <c r="K4780" s="444">
        <f t="shared" ca="1" si="191"/>
        <v>-44826726847.654892</v>
      </c>
      <c r="L4780" s="444">
        <f t="shared" ca="1" si="192"/>
        <v>-10803241170284.828</v>
      </c>
      <c r="M4780" s="460">
        <f t="shared" si="194"/>
        <v>0.05</v>
      </c>
      <c r="N4780" s="464">
        <f t="shared" si="195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93"/>
        <v>-10803241170284.828</v>
      </c>
      <c r="J4781" s="444">
        <f t="array" ref="J4781">IFERROR(INDEX('Retirement Calculator'!J:J,MATCH('Isaac 401k'!N4781,'Retirement Calculator'!A:A,0),0),0)</f>
        <v>0</v>
      </c>
      <c r="K4781" s="444">
        <f t="shared" ca="1" si="191"/>
        <v>-45013504876.186783</v>
      </c>
      <c r="L4781" s="444">
        <f t="shared" ca="1" si="192"/>
        <v>-10848254675161.016</v>
      </c>
      <c r="M4781" s="460">
        <f t="shared" si="194"/>
        <v>0.05</v>
      </c>
      <c r="N4781" s="464">
        <f t="shared" si="195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93"/>
        <v>-10848254675161.016</v>
      </c>
      <c r="J4782" s="444">
        <f t="array" ref="J4782">IFERROR(INDEX('Retirement Calculator'!J:J,MATCH('Isaac 401k'!N4782,'Retirement Calculator'!A:A,0),0),0)</f>
        <v>0</v>
      </c>
      <c r="K4782" s="444">
        <f t="shared" ca="1" si="191"/>
        <v>-45201061146.504234</v>
      </c>
      <c r="L4782" s="444">
        <f t="shared" ca="1" si="192"/>
        <v>-10893455736307.52</v>
      </c>
      <c r="M4782" s="460">
        <f t="shared" si="194"/>
        <v>0.05</v>
      </c>
      <c r="N4782" s="464">
        <f t="shared" si="195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93"/>
        <v>-10893455736307.52</v>
      </c>
      <c r="J4783" s="444">
        <f t="array" ref="J4783">IFERROR(INDEX('Retirement Calculator'!J:J,MATCH('Isaac 401k'!N4783,'Retirement Calculator'!A:A,0),0),0)</f>
        <v>0</v>
      </c>
      <c r="K4783" s="444">
        <f t="shared" ca="1" si="191"/>
        <v>-45389398901.281334</v>
      </c>
      <c r="L4783" s="444">
        <f t="shared" ca="1" si="192"/>
        <v>-10938845135208.801</v>
      </c>
      <c r="M4783" s="460">
        <f t="shared" si="194"/>
        <v>0.05</v>
      </c>
      <c r="N4783" s="464">
        <f t="shared" si="195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93"/>
        <v>-10938845135208.801</v>
      </c>
      <c r="J4784" s="444">
        <f t="array" ref="J4784">IFERROR(INDEX('Retirement Calculator'!J:J,MATCH('Isaac 401k'!N4784,'Retirement Calculator'!A:A,0),0),0)</f>
        <v>0</v>
      </c>
      <c r="K4784" s="444">
        <f t="shared" ca="1" si="191"/>
        <v>-45578521396.703339</v>
      </c>
      <c r="L4784" s="444">
        <f t="shared" ca="1" si="192"/>
        <v>-10984423656605.504</v>
      </c>
      <c r="M4784" s="460">
        <f t="shared" si="194"/>
        <v>0.05</v>
      </c>
      <c r="N4784" s="464">
        <f t="shared" si="195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93"/>
        <v>-10984423656605.504</v>
      </c>
      <c r="J4785" s="444">
        <f t="array" ref="J4785">IFERROR(INDEX('Retirement Calculator'!J:J,MATCH('Isaac 401k'!N4785,'Retirement Calculator'!A:A,0),0),0)</f>
        <v>0</v>
      </c>
      <c r="K4785" s="444">
        <f t="shared" ca="1" si="191"/>
        <v>-45768431902.522934</v>
      </c>
      <c r="L4785" s="444">
        <f t="shared" ca="1" si="192"/>
        <v>-11030192088508.027</v>
      </c>
      <c r="M4785" s="460">
        <f t="shared" si="194"/>
        <v>0.05</v>
      </c>
      <c r="N4785" s="464">
        <f t="shared" si="195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93"/>
        <v>-11030192088508.027</v>
      </c>
      <c r="J4786" s="444">
        <f t="array" ref="J4786">IFERROR(INDEX('Retirement Calculator'!J:J,MATCH('Isaac 401k'!N4786,'Retirement Calculator'!A:A,0),0),0)</f>
        <v>0</v>
      </c>
      <c r="K4786" s="444">
        <f t="shared" ca="1" si="191"/>
        <v>-45959133702.116783</v>
      </c>
      <c r="L4786" s="444">
        <f t="shared" ca="1" si="192"/>
        <v>-11076151222210.145</v>
      </c>
      <c r="M4786" s="460">
        <f t="shared" si="194"/>
        <v>0.05</v>
      </c>
      <c r="N4786" s="464">
        <f t="shared" si="195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93"/>
        <v>-11076151222210.145</v>
      </c>
      <c r="J4787" s="444">
        <f t="array" ref="J4787">IFERROR(INDEX('Retirement Calculator'!J:J,MATCH('Isaac 401k'!N4787,'Retirement Calculator'!A:A,0),0),0)</f>
        <v>0</v>
      </c>
      <c r="K4787" s="444">
        <f t="shared" ca="1" si="191"/>
        <v>-46150630092.542267</v>
      </c>
      <c r="L4787" s="444">
        <f t="shared" ca="1" si="192"/>
        <v>-11122301852302.688</v>
      </c>
      <c r="M4787" s="460">
        <f t="shared" si="194"/>
        <v>0.05</v>
      </c>
      <c r="N4787" s="464">
        <f t="shared" si="195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93"/>
        <v>-11122301852302.688</v>
      </c>
      <c r="J4788" s="444">
        <f t="array" ref="J4788">IFERROR(INDEX('Retirement Calculator'!J:J,MATCH('Isaac 401k'!N4788,'Retirement Calculator'!A:A,0),0),0)</f>
        <v>0</v>
      </c>
      <c r="K4788" s="444">
        <f t="shared" ca="1" si="191"/>
        <v>-46342924384.594528</v>
      </c>
      <c r="L4788" s="444">
        <f t="shared" ca="1" si="192"/>
        <v>-11168644776687.281</v>
      </c>
      <c r="M4788" s="460">
        <f t="shared" si="194"/>
        <v>0.05</v>
      </c>
      <c r="N4788" s="464">
        <f t="shared" si="195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93"/>
        <v>-11168644776687.281</v>
      </c>
      <c r="J4789" s="444">
        <f t="array" ref="J4789">IFERROR(INDEX('Retirement Calculator'!J:J,MATCH('Isaac 401k'!N4789,'Retirement Calculator'!A:A,0),0),0)</f>
        <v>0</v>
      </c>
      <c r="K4789" s="444">
        <f t="shared" ca="1" si="191"/>
        <v>-46536019902.86367</v>
      </c>
      <c r="L4789" s="444">
        <f t="shared" ca="1" si="192"/>
        <v>-11215180796590.145</v>
      </c>
      <c r="M4789" s="460">
        <f t="shared" si="194"/>
        <v>0.05</v>
      </c>
      <c r="N4789" s="464">
        <f t="shared" si="195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93"/>
        <v>-11215180796590.145</v>
      </c>
      <c r="J4790" s="444">
        <f t="array" ref="J4790">IFERROR(INDEX('Retirement Calculator'!J:J,MATCH('Isaac 401k'!N4790,'Retirement Calculator'!A:A,0),0),0)</f>
        <v>0</v>
      </c>
      <c r="K4790" s="444">
        <f t="shared" ca="1" si="191"/>
        <v>-46729919985.792267</v>
      </c>
      <c r="L4790" s="444">
        <f t="shared" ca="1" si="192"/>
        <v>-11261910716575.938</v>
      </c>
      <c r="M4790" s="460">
        <f t="shared" si="194"/>
        <v>0.05</v>
      </c>
      <c r="N4790" s="464">
        <f t="shared" si="195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93"/>
        <v>-11261910716575.938</v>
      </c>
      <c r="J4791" s="444">
        <f t="array" ref="J4791">IFERROR(INDEX('Retirement Calculator'!J:J,MATCH('Isaac 401k'!N4791,'Retirement Calculator'!A:A,0),0),0)</f>
        <v>0</v>
      </c>
      <c r="K4791" s="444">
        <f t="shared" ca="1" si="191"/>
        <v>-46924627985.73307</v>
      </c>
      <c r="L4791" s="444">
        <f t="shared" ca="1" si="192"/>
        <v>-11308835344561.67</v>
      </c>
      <c r="M4791" s="460">
        <f t="shared" si="194"/>
        <v>0.05</v>
      </c>
      <c r="N4791" s="464">
        <f t="shared" si="195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93"/>
        <v>-11308835344561.67</v>
      </c>
      <c r="J4792" s="444">
        <f t="array" ref="J4792">IFERROR(INDEX('Retirement Calculator'!J:J,MATCH('Isaac 401k'!N4792,'Retirement Calculator'!A:A,0),0),0)</f>
        <v>0</v>
      </c>
      <c r="K4792" s="444">
        <f t="shared" ca="1" si="191"/>
        <v>-47120147269.006958</v>
      </c>
      <c r="L4792" s="444">
        <f t="shared" ca="1" si="192"/>
        <v>-11355955491830.678</v>
      </c>
      <c r="M4792" s="460">
        <f t="shared" si="194"/>
        <v>0.05</v>
      </c>
      <c r="N4792" s="464">
        <f t="shared" si="195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93"/>
        <v>-11355955491830.678</v>
      </c>
      <c r="J4793" s="444">
        <f t="array" ref="J4793">IFERROR(INDEX('Retirement Calculator'!J:J,MATCH('Isaac 401k'!N4793,'Retirement Calculator'!A:A,0),0),0)</f>
        <v>0</v>
      </c>
      <c r="K4793" s="444">
        <f t="shared" ca="1" si="191"/>
        <v>-47316481215.961159</v>
      </c>
      <c r="L4793" s="444">
        <f t="shared" ca="1" si="192"/>
        <v>-11403271973046.639</v>
      </c>
      <c r="M4793" s="460">
        <f t="shared" si="194"/>
        <v>0.05</v>
      </c>
      <c r="N4793" s="464">
        <f t="shared" si="195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93"/>
        <v>-11403271973046.639</v>
      </c>
      <c r="J4794" s="444">
        <f t="array" ref="J4794">IFERROR(INDEX('Retirement Calculator'!J:J,MATCH('Isaac 401k'!N4794,'Retirement Calculator'!A:A,0),0),0)</f>
        <v>0</v>
      </c>
      <c r="K4794" s="444">
        <f t="shared" ca="1" si="191"/>
        <v>-47513633221.027664</v>
      </c>
      <c r="L4794" s="444">
        <f t="shared" ca="1" si="192"/>
        <v>-11450785606267.666</v>
      </c>
      <c r="M4794" s="460">
        <f t="shared" si="194"/>
        <v>0.05</v>
      </c>
      <c r="N4794" s="464">
        <f t="shared" si="195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93"/>
        <v>-11450785606267.666</v>
      </c>
      <c r="J4795" s="444">
        <f t="array" ref="J4795">IFERROR(INDEX('Retirement Calculator'!J:J,MATCH('Isaac 401k'!N4795,'Retirement Calculator'!A:A,0),0),0)</f>
        <v>0</v>
      </c>
      <c r="K4795" s="444">
        <f t="shared" ca="1" si="191"/>
        <v>-47711606692.781944</v>
      </c>
      <c r="L4795" s="444">
        <f t="shared" ca="1" si="192"/>
        <v>-11498497212960.447</v>
      </c>
      <c r="M4795" s="460">
        <f t="shared" si="194"/>
        <v>0.05</v>
      </c>
      <c r="N4795" s="464">
        <f t="shared" si="195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93"/>
        <v>-11498497212960.447</v>
      </c>
      <c r="J4796" s="444">
        <f t="array" ref="J4796">IFERROR(INDEX('Retirement Calculator'!J:J,MATCH('Isaac 401k'!N4796,'Retirement Calculator'!A:A,0),0),0)</f>
        <v>0</v>
      </c>
      <c r="K4796" s="444">
        <f t="shared" ca="1" si="191"/>
        <v>-47910405054.001862</v>
      </c>
      <c r="L4796" s="444">
        <f t="shared" ca="1" si="192"/>
        <v>-11546407618014.449</v>
      </c>
      <c r="M4796" s="460">
        <f t="shared" si="194"/>
        <v>0.05</v>
      </c>
      <c r="N4796" s="464">
        <f t="shared" si="195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93"/>
        <v>-11546407618014.449</v>
      </c>
      <c r="J4797" s="444">
        <f t="array" ref="J4797">IFERROR(INDEX('Retirement Calculator'!J:J,MATCH('Isaac 401k'!N4797,'Retirement Calculator'!A:A,0),0),0)</f>
        <v>0</v>
      </c>
      <c r="K4797" s="444">
        <f t="shared" ca="1" si="191"/>
        <v>-48110031741.726868</v>
      </c>
      <c r="L4797" s="444">
        <f t="shared" ca="1" si="192"/>
        <v>-11594517649756.176</v>
      </c>
      <c r="M4797" s="460">
        <f t="shared" si="194"/>
        <v>0.05</v>
      </c>
      <c r="N4797" s="464">
        <f t="shared" si="195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93"/>
        <v>-11594517649756.176</v>
      </c>
      <c r="J4798" s="444">
        <f t="array" ref="J4798">IFERROR(INDEX('Retirement Calculator'!J:J,MATCH('Isaac 401k'!N4798,'Retirement Calculator'!A:A,0),0),0)</f>
        <v>0</v>
      </c>
      <c r="K4798" s="444">
        <f t="shared" ca="1" si="191"/>
        <v>-48310490207.317398</v>
      </c>
      <c r="L4798" s="444">
        <f t="shared" ca="1" si="192"/>
        <v>-11642828139963.494</v>
      </c>
      <c r="M4798" s="460">
        <f t="shared" si="194"/>
        <v>0.05</v>
      </c>
      <c r="N4798" s="464">
        <f t="shared" si="195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93"/>
        <v>-11642828139963.494</v>
      </c>
      <c r="J4799" s="444">
        <f t="array" ref="J4799">IFERROR(INDEX('Retirement Calculator'!J:J,MATCH('Isaac 401k'!N4799,'Retirement Calculator'!A:A,0),0),0)</f>
        <v>0</v>
      </c>
      <c r="K4799" s="444">
        <f t="shared" ca="1" si="191"/>
        <v>-48511783916.514557</v>
      </c>
      <c r="L4799" s="444">
        <f t="shared" ca="1" si="192"/>
        <v>-11691339923880.008</v>
      </c>
      <c r="M4799" s="460">
        <f t="shared" si="194"/>
        <v>0.05</v>
      </c>
      <c r="N4799" s="464">
        <f t="shared" si="195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93"/>
        <v>-11691339923880.008</v>
      </c>
      <c r="J4800" s="444">
        <f t="array" ref="J4800">IFERROR(INDEX('Retirement Calculator'!J:J,MATCH('Isaac 401k'!N4800,'Retirement Calculator'!A:A,0),0),0)</f>
        <v>0</v>
      </c>
      <c r="K4800" s="444">
        <f t="shared" ca="1" si="191"/>
        <v>-48713916349.500031</v>
      </c>
      <c r="L4800" s="444">
        <f t="shared" ca="1" si="192"/>
        <v>-11740053840229.508</v>
      </c>
      <c r="M4800" s="460">
        <f t="shared" si="194"/>
        <v>0.05</v>
      </c>
      <c r="N4800" s="464">
        <f t="shared" si="195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93"/>
        <v>-11740053840229.508</v>
      </c>
      <c r="J4801" s="444">
        <f t="array" ref="J4801">IFERROR(INDEX('Retirement Calculator'!J:J,MATCH('Isaac 401k'!N4801,'Retirement Calculator'!A:A,0),0),0)</f>
        <v>0</v>
      </c>
      <c r="K4801" s="444">
        <f t="shared" ca="1" si="191"/>
        <v>-48916891000.956284</v>
      </c>
      <c r="L4801" s="444">
        <f t="shared" ca="1" si="192"/>
        <v>-11788970731230.465</v>
      </c>
      <c r="M4801" s="460">
        <f t="shared" si="194"/>
        <v>0.05</v>
      </c>
      <c r="N4801" s="464">
        <f t="shared" si="195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93"/>
        <v>-11788970731230.465</v>
      </c>
      <c r="J4802" s="444">
        <f t="array" ref="J4802">IFERROR(INDEX('Retirement Calculator'!J:J,MATCH('Isaac 401k'!N4802,'Retirement Calculator'!A:A,0),0),0)</f>
        <v>0</v>
      </c>
      <c r="K4802" s="444">
        <f t="shared" ca="1" si="191"/>
        <v>-49120711380.126938</v>
      </c>
      <c r="L4802" s="444">
        <f t="shared" ca="1" si="192"/>
        <v>-11838091442610.592</v>
      </c>
      <c r="M4802" s="460">
        <f t="shared" si="194"/>
        <v>0.05</v>
      </c>
      <c r="N4802" s="464">
        <f t="shared" si="195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93"/>
        <v>-11838091442610.592</v>
      </c>
      <c r="J4803" s="444">
        <f t="array" ref="J4803">IFERROR(INDEX('Retirement Calculator'!J:J,MATCH('Isaac 401k'!N4803,'Retirement Calculator'!A:A,0),0),0)</f>
        <v>0</v>
      </c>
      <c r="K4803" s="444">
        <f t="shared" ca="1" si="191"/>
        <v>-49325381010.877464</v>
      </c>
      <c r="L4803" s="444">
        <f t="shared" ca="1" si="192"/>
        <v>-11887416823621.469</v>
      </c>
      <c r="M4803" s="460">
        <f t="shared" si="194"/>
        <v>0.05</v>
      </c>
      <c r="N4803" s="464">
        <f t="shared" si="195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93"/>
        <v>-11887416823621.469</v>
      </c>
      <c r="J4804" s="444">
        <f t="array" ref="J4804">IFERROR(INDEX('Retirement Calculator'!J:J,MATCH('Isaac 401k'!N4804,'Retirement Calculator'!A:A,0),0),0)</f>
        <v>0</v>
      </c>
      <c r="K4804" s="444">
        <f t="shared" ca="1" si="191"/>
        <v>-49530903431.756119</v>
      </c>
      <c r="L4804" s="444">
        <f t="shared" ca="1" si="192"/>
        <v>-11936947727053.225</v>
      </c>
      <c r="M4804" s="460">
        <f t="shared" si="194"/>
        <v>0.05</v>
      </c>
      <c r="N4804" s="464">
        <f t="shared" si="195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93"/>
        <v>-11936947727053.225</v>
      </c>
      <c r="J4805" s="444">
        <f t="array" ref="J4805">IFERROR(INDEX('Retirement Calculator'!J:J,MATCH('Isaac 401k'!N4805,'Retirement Calculator'!A:A,0),0),0)</f>
        <v>0</v>
      </c>
      <c r="K4805" s="444">
        <f t="shared" ca="1" si="191"/>
        <v>-49737282196.055099</v>
      </c>
      <c r="L4805" s="444">
        <f t="shared" ca="1" si="192"/>
        <v>-11986685009249.279</v>
      </c>
      <c r="M4805" s="460">
        <f t="shared" si="194"/>
        <v>0.05</v>
      </c>
      <c r="N4805" s="464">
        <f t="shared" si="195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93"/>
        <v>-11986685009249.279</v>
      </c>
      <c r="J4806" s="444">
        <f t="array" ref="J4806">IFERROR(INDEX('Retirement Calculator'!J:J,MATCH('Isaac 401k'!N4806,'Retirement Calculator'!A:A,0),0),0)</f>
        <v>0</v>
      </c>
      <c r="K4806" s="444">
        <f t="shared" ca="1" si="191"/>
        <v>-49944520871.871994</v>
      </c>
      <c r="L4806" s="444">
        <f t="shared" ca="1" si="192"/>
        <v>-12036629530121.15</v>
      </c>
      <c r="M4806" s="460">
        <f t="shared" si="194"/>
        <v>0.05</v>
      </c>
      <c r="N4806" s="464">
        <f t="shared" si="195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93"/>
        <v>-12036629530121.15</v>
      </c>
      <c r="J4807" s="444">
        <f t="array" ref="J4807">IFERROR(INDEX('Retirement Calculator'!J:J,MATCH('Isaac 401k'!N4807,'Retirement Calculator'!A:A,0),0),0)</f>
        <v>0</v>
      </c>
      <c r="K4807" s="444">
        <f t="shared" ca="1" si="191"/>
        <v>-50152623042.171463</v>
      </c>
      <c r="L4807" s="444">
        <f t="shared" ca="1" si="192"/>
        <v>-12086782153163.322</v>
      </c>
      <c r="M4807" s="460">
        <f t="shared" si="194"/>
        <v>0.05</v>
      </c>
      <c r="N4807" s="464">
        <f t="shared" si="195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93"/>
        <v>-12086782153163.322</v>
      </c>
      <c r="J4808" s="444">
        <f t="array" ref="J4808">IFERROR(INDEX('Retirement Calculator'!J:J,MATCH('Isaac 401k'!N4808,'Retirement Calculator'!A:A,0),0),0)</f>
        <v>0</v>
      </c>
      <c r="K4808" s="444">
        <f t="shared" ca="1" si="191"/>
        <v>-50361592304.847176</v>
      </c>
      <c r="L4808" s="444">
        <f t="shared" ca="1" si="192"/>
        <v>-12137143745468.17</v>
      </c>
      <c r="M4808" s="460">
        <f t="shared" si="194"/>
        <v>0.05</v>
      </c>
      <c r="N4808" s="464">
        <f t="shared" si="195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93"/>
        <v>-12137143745468.17</v>
      </c>
      <c r="J4809" s="444">
        <f t="array" ref="J4809">IFERROR(INDEX('Retirement Calculator'!J:J,MATCH('Isaac 401k'!N4809,'Retirement Calculator'!A:A,0),0),0)</f>
        <v>0</v>
      </c>
      <c r="K4809" s="444">
        <f t="shared" ca="1" si="191"/>
        <v>-50571432272.784042</v>
      </c>
      <c r="L4809" s="444">
        <f t="shared" ca="1" si="192"/>
        <v>-12187715177740.953</v>
      </c>
      <c r="M4809" s="460">
        <f t="shared" si="194"/>
        <v>0.05</v>
      </c>
      <c r="N4809" s="464">
        <f t="shared" si="195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93"/>
        <v>-12187715177740.953</v>
      </c>
      <c r="J4810" s="444">
        <f t="array" ref="J4810">IFERROR(INDEX('Retirement Calculator'!J:J,MATCH('Isaac 401k'!N4810,'Retirement Calculator'!A:A,0),0),0)</f>
        <v>0</v>
      </c>
      <c r="K4810" s="444">
        <f t="shared" ca="1" si="191"/>
        <v>-50782146573.920639</v>
      </c>
      <c r="L4810" s="444">
        <f t="shared" ca="1" si="192"/>
        <v>-12238497324314.873</v>
      </c>
      <c r="M4810" s="460">
        <f t="shared" si="194"/>
        <v>0.05</v>
      </c>
      <c r="N4810" s="464">
        <f t="shared" si="195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93"/>
        <v>-12238497324314.873</v>
      </c>
      <c r="J4811" s="444">
        <f t="array" ref="J4811">IFERROR(INDEX('Retirement Calculator'!J:J,MATCH('Isaac 401k'!N4811,'Retirement Calculator'!A:A,0),0),0)</f>
        <v>0</v>
      </c>
      <c r="K4811" s="444">
        <f t="shared" ca="1" si="191"/>
        <v>-50993738851.311974</v>
      </c>
      <c r="L4811" s="444">
        <f t="shared" ca="1" si="192"/>
        <v>-12289491063166.186</v>
      </c>
      <c r="M4811" s="460">
        <f t="shared" si="194"/>
        <v>0.05</v>
      </c>
      <c r="N4811" s="464">
        <f t="shared" si="195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93"/>
        <v>-12289491063166.186</v>
      </c>
      <c r="J4812" s="444">
        <f t="array" ref="J4812">IFERROR(INDEX('Retirement Calculator'!J:J,MATCH('Isaac 401k'!N4812,'Retirement Calculator'!A:A,0),0),0)</f>
        <v>0</v>
      </c>
      <c r="K4812" s="444">
        <f t="shared" ca="1" si="191"/>
        <v>-51206212763.192436</v>
      </c>
      <c r="L4812" s="444">
        <f t="shared" ca="1" si="192"/>
        <v>-12340697275929.379</v>
      </c>
      <c r="M4812" s="460">
        <f t="shared" si="194"/>
        <v>0.05</v>
      </c>
      <c r="N4812" s="464">
        <f t="shared" si="195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93"/>
        <v>-12340697275929.379</v>
      </c>
      <c r="J4813" s="444">
        <f t="array" ref="J4813">IFERROR(INDEX('Retirement Calculator'!J:J,MATCH('Isaac 401k'!N4813,'Retirement Calculator'!A:A,0),0),0)</f>
        <v>0</v>
      </c>
      <c r="K4813" s="444">
        <f t="shared" ca="1" si="191"/>
        <v>-51419571983.039078</v>
      </c>
      <c r="L4813" s="444">
        <f t="shared" ca="1" si="192"/>
        <v>-12392116847912.418</v>
      </c>
      <c r="M4813" s="460">
        <f t="shared" si="194"/>
        <v>0.05</v>
      </c>
      <c r="N4813" s="464">
        <f t="shared" si="195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93"/>
        <v>-12392116847912.418</v>
      </c>
      <c r="J4814" s="444">
        <f t="array" ref="J4814">IFERROR(INDEX('Retirement Calculator'!J:J,MATCH('Isaac 401k'!N4814,'Retirement Calculator'!A:A,0),0),0)</f>
        <v>0</v>
      </c>
      <c r="K4814" s="444">
        <f t="shared" ca="1" si="191"/>
        <v>-51633820199.635071</v>
      </c>
      <c r="L4814" s="444">
        <f t="shared" ca="1" si="192"/>
        <v>-12443750668112.053</v>
      </c>
      <c r="M4814" s="460">
        <f t="shared" si="194"/>
        <v>0.05</v>
      </c>
      <c r="N4814" s="464">
        <f t="shared" si="195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93"/>
        <v>-12443750668112.053</v>
      </c>
      <c r="J4815" s="444">
        <f t="array" ref="J4815">IFERROR(INDEX('Retirement Calculator'!J:J,MATCH('Isaac 401k'!N4815,'Retirement Calculator'!A:A,0),0),0)</f>
        <v>0</v>
      </c>
      <c r="K4815" s="444">
        <f t="shared" ca="1" si="191"/>
        <v>-51848961117.133553</v>
      </c>
      <c r="L4815" s="444">
        <f t="shared" ca="1" si="192"/>
        <v>-12495599629229.186</v>
      </c>
      <c r="M4815" s="460">
        <f t="shared" si="194"/>
        <v>0.05</v>
      </c>
      <c r="N4815" s="464">
        <f t="shared" si="195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93"/>
        <v>-12495599629229.186</v>
      </c>
      <c r="J4816" s="444">
        <f t="array" ref="J4816">IFERROR(INDEX('Retirement Calculator'!J:J,MATCH('Isaac 401k'!N4816,'Retirement Calculator'!A:A,0),0),0)</f>
        <v>0</v>
      </c>
      <c r="K4816" s="444">
        <f t="shared" ca="1" si="191"/>
        <v>-52064998455.121605</v>
      </c>
      <c r="L4816" s="444">
        <f t="shared" ca="1" si="192"/>
        <v>-12547664627684.307</v>
      </c>
      <c r="M4816" s="460">
        <f t="shared" si="194"/>
        <v>0.05</v>
      </c>
      <c r="N4816" s="464">
        <f t="shared" si="195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93"/>
        <v>-12547664627684.307</v>
      </c>
      <c r="J4817" s="444">
        <f t="array" ref="J4817">IFERROR(INDEX('Retirement Calculator'!J:J,MATCH('Isaac 401k'!N4817,'Retirement Calculator'!A:A,0),0),0)</f>
        <v>0</v>
      </c>
      <c r="K4817" s="444">
        <f t="shared" ca="1" si="191"/>
        <v>-52281935948.684608</v>
      </c>
      <c r="L4817" s="444">
        <f t="shared" ca="1" si="192"/>
        <v>-12599946563632.992</v>
      </c>
      <c r="M4817" s="460">
        <f t="shared" si="194"/>
        <v>0.05</v>
      </c>
      <c r="N4817" s="464">
        <f t="shared" si="195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93"/>
        <v>-12599946563632.992</v>
      </c>
      <c r="J4818" s="444">
        <f t="array" ref="J4818">IFERROR(INDEX('Retirement Calculator'!J:J,MATCH('Isaac 401k'!N4818,'Retirement Calculator'!A:A,0),0),0)</f>
        <v>0</v>
      </c>
      <c r="K4818" s="444">
        <f t="shared" ca="1" si="191"/>
        <v>-52499777348.470802</v>
      </c>
      <c r="L4818" s="444">
        <f t="shared" ca="1" si="192"/>
        <v>-12652446340981.463</v>
      </c>
      <c r="M4818" s="460">
        <f t="shared" si="194"/>
        <v>0.05</v>
      </c>
      <c r="N4818" s="464">
        <f t="shared" si="195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93"/>
        <v>-12652446340981.463</v>
      </c>
      <c r="J4819" s="444">
        <f t="array" ref="J4819">IFERROR(INDEX('Retirement Calculator'!J:J,MATCH('Isaac 401k'!N4819,'Retirement Calculator'!A:A,0),0),0)</f>
        <v>0</v>
      </c>
      <c r="K4819" s="444">
        <f t="shared" ca="1" si="191"/>
        <v>-52718526420.756096</v>
      </c>
      <c r="L4819" s="444">
        <f t="shared" ca="1" si="192"/>
        <v>-12705164867402.219</v>
      </c>
      <c r="M4819" s="460">
        <f t="shared" si="194"/>
        <v>0.05</v>
      </c>
      <c r="N4819" s="464">
        <f t="shared" si="195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93"/>
        <v>-12705164867402.219</v>
      </c>
      <c r="J4820" s="444">
        <f t="array" ref="J4820">IFERROR(INDEX('Retirement Calculator'!J:J,MATCH('Isaac 401k'!N4820,'Retirement Calculator'!A:A,0),0),0)</f>
        <v>0</v>
      </c>
      <c r="K4820" s="444">
        <f t="shared" ca="1" si="191"/>
        <v>-52938186947.509247</v>
      </c>
      <c r="L4820" s="444">
        <f t="shared" ca="1" si="192"/>
        <v>-12758103054349.729</v>
      </c>
      <c r="M4820" s="460">
        <f t="shared" si="194"/>
        <v>0.05</v>
      </c>
      <c r="N4820" s="464">
        <f t="shared" si="195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93"/>
        <v>-12758103054349.729</v>
      </c>
      <c r="J4821" s="444">
        <f t="array" ref="J4821">IFERROR(INDEX('Retirement Calculator'!J:J,MATCH('Isaac 401k'!N4821,'Retirement Calculator'!A:A,0),0),0)</f>
        <v>0</v>
      </c>
      <c r="K4821" s="444">
        <f t="shared" ca="1" si="191"/>
        <v>-53158762726.457199</v>
      </c>
      <c r="L4821" s="444">
        <f t="shared" ca="1" si="192"/>
        <v>-12811261817076.186</v>
      </c>
      <c r="M4821" s="460">
        <f t="shared" si="194"/>
        <v>0.05</v>
      </c>
      <c r="N4821" s="464">
        <f t="shared" si="195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93"/>
        <v>-12811261817076.186</v>
      </c>
      <c r="J4822" s="444">
        <f t="array" ref="J4822">IFERROR(INDEX('Retirement Calculator'!J:J,MATCH('Isaac 401k'!N4822,'Retirement Calculator'!A:A,0),0),0)</f>
        <v>0</v>
      </c>
      <c r="K4822" s="444">
        <f t="shared" ca="1" si="191"/>
        <v>-53380257571.150772</v>
      </c>
      <c r="L4822" s="444">
        <f t="shared" ca="1" si="192"/>
        <v>-12864642074647.336</v>
      </c>
      <c r="M4822" s="460">
        <f t="shared" si="194"/>
        <v>0.05</v>
      </c>
      <c r="N4822" s="464">
        <f t="shared" si="195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93"/>
        <v>-12864642074647.336</v>
      </c>
      <c r="J4823" s="444">
        <f t="array" ref="J4823">IFERROR(INDEX('Retirement Calculator'!J:J,MATCH('Isaac 401k'!N4823,'Retirement Calculator'!A:A,0),0),0)</f>
        <v>0</v>
      </c>
      <c r="K4823" s="444">
        <f t="shared" ca="1" si="191"/>
        <v>-53602675311.030563</v>
      </c>
      <c r="L4823" s="444">
        <f t="shared" ca="1" si="192"/>
        <v>-12918244749958.367</v>
      </c>
      <c r="M4823" s="460">
        <f t="shared" si="194"/>
        <v>0.05</v>
      </c>
      <c r="N4823" s="464">
        <f t="shared" si="195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93"/>
        <v>-12918244749958.367</v>
      </c>
      <c r="J4824" s="444">
        <f t="array" ref="J4824">IFERROR(INDEX('Retirement Calculator'!J:J,MATCH('Isaac 401k'!N4824,'Retirement Calculator'!A:A,0),0),0)</f>
        <v>0</v>
      </c>
      <c r="K4824" s="444">
        <f t="shared" ca="1" si="191"/>
        <v>-53826019791.493195</v>
      </c>
      <c r="L4824" s="444">
        <f t="shared" ca="1" si="192"/>
        <v>-12972070769749.861</v>
      </c>
      <c r="M4824" s="460">
        <f t="shared" si="194"/>
        <v>0.05</v>
      </c>
      <c r="N4824" s="464">
        <f t="shared" si="195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93"/>
        <v>-12972070769749.861</v>
      </c>
      <c r="J4825" s="444">
        <f t="array" ref="J4825">IFERROR(INDEX('Retirement Calculator'!J:J,MATCH('Isaac 401k'!N4825,'Retirement Calculator'!A:A,0),0),0)</f>
        <v>0</v>
      </c>
      <c r="K4825" s="444">
        <f t="shared" ca="1" si="191"/>
        <v>-54050294873.957756</v>
      </c>
      <c r="L4825" s="444">
        <f t="shared" ca="1" si="192"/>
        <v>-13026121064623.818</v>
      </c>
      <c r="M4825" s="460">
        <f t="shared" si="194"/>
        <v>0.05</v>
      </c>
      <c r="N4825" s="464">
        <f t="shared" si="195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93"/>
        <v>-13026121064623.818</v>
      </c>
      <c r="J4826" s="444">
        <f t="array" ref="J4826">IFERROR(INDEX('Retirement Calculator'!J:J,MATCH('Isaac 401k'!N4826,'Retirement Calculator'!A:A,0),0),0)</f>
        <v>0</v>
      </c>
      <c r="K4826" s="444">
        <f t="shared" ca="1" si="191"/>
        <v>-54275504435.932579</v>
      </c>
      <c r="L4826" s="444">
        <f t="shared" ca="1" si="192"/>
        <v>-13080396569059.75</v>
      </c>
      <c r="M4826" s="460">
        <f t="shared" si="194"/>
        <v>0.05</v>
      </c>
      <c r="N4826" s="464">
        <f t="shared" si="195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93"/>
        <v>-13080396569059.75</v>
      </c>
      <c r="J4827" s="444">
        <f t="array" ref="J4827">IFERROR(INDEX('Retirement Calculator'!J:J,MATCH('Isaac 401k'!N4827,'Retirement Calculator'!A:A,0),0),0)</f>
        <v>0</v>
      </c>
      <c r="K4827" s="444">
        <f t="shared" ca="1" si="191"/>
        <v>-54501652371.082291</v>
      </c>
      <c r="L4827" s="444">
        <f t="shared" ca="1" si="192"/>
        <v>-13134898221430.832</v>
      </c>
      <c r="M4827" s="460">
        <f t="shared" si="194"/>
        <v>0.05</v>
      </c>
      <c r="N4827" s="464">
        <f t="shared" si="195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93"/>
        <v>-13134898221430.832</v>
      </c>
      <c r="J4828" s="444">
        <f t="array" ref="J4828">IFERROR(INDEX('Retirement Calculator'!J:J,MATCH('Isaac 401k'!N4828,'Retirement Calculator'!A:A,0),0),0)</f>
        <v>0</v>
      </c>
      <c r="K4828" s="444">
        <f t="shared" ca="1" si="191"/>
        <v>-54728742589.295135</v>
      </c>
      <c r="L4828" s="444">
        <f t="shared" ca="1" si="192"/>
        <v>-13189626964020.127</v>
      </c>
      <c r="M4828" s="460">
        <f t="shared" si="194"/>
        <v>0.05</v>
      </c>
      <c r="N4828" s="464">
        <f t="shared" si="195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93"/>
        <v>-13189626964020.127</v>
      </c>
      <c r="J4829" s="444">
        <f t="array" ref="J4829">IFERROR(INDEX('Retirement Calculator'!J:J,MATCH('Isaac 401k'!N4829,'Retirement Calculator'!A:A,0),0),0)</f>
        <v>0</v>
      </c>
      <c r="K4829" s="444">
        <f t="shared" ca="1" si="191"/>
        <v>-54956779016.750526</v>
      </c>
      <c r="L4829" s="444">
        <f t="shared" ca="1" si="192"/>
        <v>-13244583743036.877</v>
      </c>
      <c r="M4829" s="460">
        <f t="shared" si="194"/>
        <v>0.05</v>
      </c>
      <c r="N4829" s="464">
        <f t="shared" si="195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93"/>
        <v>-13244583743036.877</v>
      </c>
      <c r="J4830" s="444">
        <f t="array" ref="J4830">IFERROR(INDEX('Retirement Calculator'!J:J,MATCH('Isaac 401k'!N4830,'Retirement Calculator'!A:A,0),0),0)</f>
        <v>0</v>
      </c>
      <c r="K4830" s="444">
        <f t="shared" ca="1" si="191"/>
        <v>-55185765595.986984</v>
      </c>
      <c r="L4830" s="444">
        <f t="shared" ca="1" si="192"/>
        <v>-13299769508632.863</v>
      </c>
      <c r="M4830" s="460">
        <f t="shared" si="194"/>
        <v>0.05</v>
      </c>
      <c r="N4830" s="464">
        <f t="shared" si="195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93"/>
        <v>-13299769508632.863</v>
      </c>
      <c r="J4831" s="444">
        <f t="array" ref="J4831">IFERROR(INDEX('Retirement Calculator'!J:J,MATCH('Isaac 401k'!N4831,'Retirement Calculator'!A:A,0),0),0)</f>
        <v>0</v>
      </c>
      <c r="K4831" s="444">
        <f t="shared" ca="1" si="191"/>
        <v>-55415706285.970261</v>
      </c>
      <c r="L4831" s="444">
        <f t="shared" ca="1" si="192"/>
        <v>-13355185214918.834</v>
      </c>
      <c r="M4831" s="460">
        <f t="shared" si="194"/>
        <v>0.05</v>
      </c>
      <c r="N4831" s="464">
        <f t="shared" si="195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93"/>
        <v>-13355185214918.834</v>
      </c>
      <c r="J4832" s="444">
        <f t="array" ref="J4832">IFERROR(INDEX('Retirement Calculator'!J:J,MATCH('Isaac 401k'!N4832,'Retirement Calculator'!A:A,0),0),0)</f>
        <v>0</v>
      </c>
      <c r="K4832" s="444">
        <f t="shared" ca="1" si="191"/>
        <v>-55646605062.161804</v>
      </c>
      <c r="L4832" s="444">
        <f t="shared" ca="1" si="192"/>
        <v>-13410831819980.996</v>
      </c>
      <c r="M4832" s="460">
        <f t="shared" si="194"/>
        <v>0.05</v>
      </c>
      <c r="N4832" s="464">
        <f t="shared" si="195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93"/>
        <v>-13410831819980.996</v>
      </c>
      <c r="J4833" s="444">
        <f t="array" ref="J4833">IFERROR(INDEX('Retirement Calculator'!J:J,MATCH('Isaac 401k'!N4833,'Retirement Calculator'!A:A,0),0),0)</f>
        <v>0</v>
      </c>
      <c r="K4833" s="444">
        <f t="shared" ca="1" si="191"/>
        <v>-55878465916.587486</v>
      </c>
      <c r="L4833" s="444">
        <f t="shared" ca="1" si="192"/>
        <v>-13466710285897.584</v>
      </c>
      <c r="M4833" s="460">
        <f t="shared" si="194"/>
        <v>0.05</v>
      </c>
      <c r="N4833" s="464">
        <f t="shared" si="195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93"/>
        <v>-13466710285897.584</v>
      </c>
      <c r="J4834" s="444">
        <f t="array" ref="J4834">IFERROR(INDEX('Retirement Calculator'!J:J,MATCH('Isaac 401k'!N4834,'Retirement Calculator'!A:A,0),0),0)</f>
        <v>0</v>
      </c>
      <c r="K4834" s="444">
        <f t="shared" ca="1" si="191"/>
        <v>-56111292857.906601</v>
      </c>
      <c r="L4834" s="444">
        <f t="shared" ca="1" si="192"/>
        <v>-13522821578755.49</v>
      </c>
      <c r="M4834" s="460">
        <f t="shared" si="194"/>
        <v>0.05</v>
      </c>
      <c r="N4834" s="464">
        <f t="shared" si="195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93"/>
        <v>-13522821578755.49</v>
      </c>
      <c r="J4835" s="444">
        <f t="array" ref="J4835">IFERROR(INDEX('Retirement Calculator'!J:J,MATCH('Isaac 401k'!N4835,'Retirement Calculator'!A:A,0),0),0)</f>
        <v>0</v>
      </c>
      <c r="K4835" s="444">
        <f t="shared" ca="1" si="191"/>
        <v>-56345089911.481209</v>
      </c>
      <c r="L4835" s="444">
        <f t="shared" ca="1" si="192"/>
        <v>-13579166668666.971</v>
      </c>
      <c r="M4835" s="460">
        <f t="shared" si="194"/>
        <v>0.05</v>
      </c>
      <c r="N4835" s="464">
        <f t="shared" si="195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93"/>
        <v>-13579166668666.971</v>
      </c>
      <c r="J4836" s="444">
        <f t="array" ref="J4836">IFERROR(INDEX('Retirement Calculator'!J:J,MATCH('Isaac 401k'!N4836,'Retirement Calculator'!A:A,0),0),0)</f>
        <v>0</v>
      </c>
      <c r="K4836" s="444">
        <f t="shared" ca="1" si="191"/>
        <v>-56579861119.445709</v>
      </c>
      <c r="L4836" s="444">
        <f t="shared" ca="1" si="192"/>
        <v>-13635746529786.416</v>
      </c>
      <c r="M4836" s="460">
        <f t="shared" si="194"/>
        <v>0.05</v>
      </c>
      <c r="N4836" s="464">
        <f t="shared" si="195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93"/>
        <v>-13635746529786.416</v>
      </c>
      <c r="J4837" s="444">
        <f t="array" ref="J4837">IFERROR(INDEX('Retirement Calculator'!J:J,MATCH('Isaac 401k'!N4837,'Retirement Calculator'!A:A,0),0),0)</f>
        <v>0</v>
      </c>
      <c r="K4837" s="444">
        <f t="shared" ca="1" si="191"/>
        <v>-56815610540.776733</v>
      </c>
      <c r="L4837" s="444">
        <f t="shared" ca="1" si="192"/>
        <v>-13692562140327.193</v>
      </c>
      <c r="M4837" s="460">
        <f t="shared" si="194"/>
        <v>0.05</v>
      </c>
      <c r="N4837" s="464">
        <f t="shared" si="195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93"/>
        <v>-13692562140327.193</v>
      </c>
      <c r="J4838" s="444">
        <f t="array" ref="J4838">IFERROR(INDEX('Retirement Calculator'!J:J,MATCH('Isaac 401k'!N4838,'Retirement Calculator'!A:A,0),0),0)</f>
        <v>0</v>
      </c>
      <c r="K4838" s="444">
        <f t="shared" ca="1" si="191"/>
        <v>-57052342251.363304</v>
      </c>
      <c r="L4838" s="444">
        <f t="shared" ca="1" si="192"/>
        <v>-13749614482578.557</v>
      </c>
      <c r="M4838" s="460">
        <f t="shared" si="194"/>
        <v>0.05</v>
      </c>
      <c r="N4838" s="464">
        <f t="shared" si="195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93"/>
        <v>-13749614482578.557</v>
      </c>
      <c r="J4839" s="444">
        <f t="array" ref="J4839">IFERROR(INDEX('Retirement Calculator'!J:J,MATCH('Isaac 401k'!N4839,'Retirement Calculator'!A:A,0),0),0)</f>
        <v>0</v>
      </c>
      <c r="K4839" s="444">
        <f t="shared" ca="1" si="191"/>
        <v>-57290060344.077316</v>
      </c>
      <c r="L4839" s="444">
        <f t="shared" ca="1" si="192"/>
        <v>-13806904542922.635</v>
      </c>
      <c r="M4839" s="460">
        <f t="shared" si="194"/>
        <v>0.05</v>
      </c>
      <c r="N4839" s="464">
        <f t="shared" si="195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93"/>
        <v>-13806904542922.635</v>
      </c>
      <c r="J4840" s="444">
        <f t="array" ref="J4840">IFERROR(INDEX('Retirement Calculator'!J:J,MATCH('Isaac 401k'!N4840,'Retirement Calculator'!A:A,0),0),0)</f>
        <v>0</v>
      </c>
      <c r="K4840" s="444">
        <f t="shared" ca="1" si="191"/>
        <v>-57528768928.844322</v>
      </c>
      <c r="L4840" s="444">
        <f t="shared" ca="1" si="192"/>
        <v>-13864433311851.479</v>
      </c>
      <c r="M4840" s="460">
        <f t="shared" si="194"/>
        <v>0.05</v>
      </c>
      <c r="N4840" s="464">
        <f t="shared" si="195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93"/>
        <v>-13864433311851.479</v>
      </c>
      <c r="J4841" s="444">
        <f t="array" ref="J4841">IFERROR(INDEX('Retirement Calculator'!J:J,MATCH('Isaac 401k'!N4841,'Retirement Calculator'!A:A,0),0),0)</f>
        <v>0</v>
      </c>
      <c r="K4841" s="444">
        <f t="shared" ca="1" si="191"/>
        <v>-57768472132.714493</v>
      </c>
      <c r="L4841" s="444">
        <f t="shared" ca="1" si="192"/>
        <v>-13922201783984.193</v>
      </c>
      <c r="M4841" s="460">
        <f t="shared" si="194"/>
        <v>0.05</v>
      </c>
      <c r="N4841" s="464">
        <f t="shared" si="195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93"/>
        <v>-13922201783984.193</v>
      </c>
      <c r="J4842" s="444">
        <f t="array" ref="J4842">IFERROR(INDEX('Retirement Calculator'!J:J,MATCH('Isaac 401k'!N4842,'Retirement Calculator'!A:A,0),0),0)</f>
        <v>0</v>
      </c>
      <c r="K4842" s="444">
        <f t="shared" ca="1" si="191"/>
        <v>-58009174099.934135</v>
      </c>
      <c r="L4842" s="444">
        <f t="shared" ca="1" si="192"/>
        <v>-13980210958084.127</v>
      </c>
      <c r="M4842" s="460">
        <f t="shared" si="194"/>
        <v>0.05</v>
      </c>
      <c r="N4842" s="464">
        <f t="shared" si="195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93"/>
        <v>-13980210958084.127</v>
      </c>
      <c r="J4843" s="444">
        <f t="array" ref="J4843">IFERROR(INDEX('Retirement Calculator'!J:J,MATCH('Isaac 401k'!N4843,'Retirement Calculator'!A:A,0),0),0)</f>
        <v>0</v>
      </c>
      <c r="K4843" s="444">
        <f t="shared" ca="1" si="191"/>
        <v>-58250878992.017204</v>
      </c>
      <c r="L4843" s="444">
        <f t="shared" ca="1" si="192"/>
        <v>-14038461837076.145</v>
      </c>
      <c r="M4843" s="460">
        <f t="shared" si="194"/>
        <v>0.05</v>
      </c>
      <c r="N4843" s="464">
        <f t="shared" si="195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93"/>
        <v>-14038461837076.145</v>
      </c>
      <c r="J4844" s="444">
        <f t="array" ref="J4844">IFERROR(INDEX('Retirement Calculator'!J:J,MATCH('Isaac 401k'!N4844,'Retirement Calculator'!A:A,0),0),0)</f>
        <v>0</v>
      </c>
      <c r="K4844" s="444">
        <f t="shared" ca="1" si="191"/>
        <v>-58493590987.817261</v>
      </c>
      <c r="L4844" s="444">
        <f t="shared" ca="1" si="192"/>
        <v>-14096955428063.961</v>
      </c>
      <c r="M4844" s="460">
        <f t="shared" si="194"/>
        <v>0.05</v>
      </c>
      <c r="N4844" s="464">
        <f t="shared" si="195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93"/>
        <v>-14096955428063.961</v>
      </c>
      <c r="J4845" s="444">
        <f t="array" ref="J4845">IFERROR(INDEX('Retirement Calculator'!J:J,MATCH('Isaac 401k'!N4845,'Retirement Calculator'!A:A,0),0),0)</f>
        <v>0</v>
      </c>
      <c r="K4845" s="444">
        <f t="shared" ca="1" si="191"/>
        <v>-58737314283.599846</v>
      </c>
      <c r="L4845" s="444">
        <f t="shared" ca="1" si="192"/>
        <v>-14155692742347.561</v>
      </c>
      <c r="M4845" s="460">
        <f t="shared" si="194"/>
        <v>0.05</v>
      </c>
      <c r="N4845" s="464">
        <f t="shared" si="195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93"/>
        <v>-14155692742347.561</v>
      </c>
      <c r="J4846" s="444">
        <f t="array" ref="J4846">IFERROR(INDEX('Retirement Calculator'!J:J,MATCH('Isaac 401k'!N4846,'Retirement Calculator'!A:A,0),0),0)</f>
        <v>0</v>
      </c>
      <c r="K4846" s="444">
        <f t="shared" ca="1" si="191"/>
        <v>-58982053093.114845</v>
      </c>
      <c r="L4846" s="444">
        <f t="shared" ca="1" si="192"/>
        <v>-14214674795440.676</v>
      </c>
      <c r="M4846" s="460">
        <f t="shared" si="194"/>
        <v>0.05</v>
      </c>
      <c r="N4846" s="464">
        <f t="shared" si="195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93"/>
        <v>-14214674795440.676</v>
      </c>
      <c r="J4847" s="444">
        <f t="array" ref="J4847">IFERROR(INDEX('Retirement Calculator'!J:J,MATCH('Isaac 401k'!N4847,'Retirement Calculator'!A:A,0),0),0)</f>
        <v>0</v>
      </c>
      <c r="K4847" s="444">
        <f t="shared" ca="1" si="191"/>
        <v>-59227811647.669479</v>
      </c>
      <c r="L4847" s="444">
        <f t="shared" ca="1" si="192"/>
        <v>-14273902607088.346</v>
      </c>
      <c r="M4847" s="460">
        <f t="shared" si="194"/>
        <v>0.05</v>
      </c>
      <c r="N4847" s="464">
        <f t="shared" si="195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93"/>
        <v>-14273902607088.346</v>
      </c>
      <c r="J4848" s="444">
        <f t="array" ref="J4848">IFERROR(INDEX('Retirement Calculator'!J:J,MATCH('Isaac 401k'!N4848,'Retirement Calculator'!A:A,0),0),0)</f>
        <v>0</v>
      </c>
      <c r="K4848" s="444">
        <f t="shared" ca="1" si="191"/>
        <v>-59474594196.201439</v>
      </c>
      <c r="L4848" s="444">
        <f t="shared" ca="1" si="192"/>
        <v>-14333377201284.547</v>
      </c>
      <c r="M4848" s="460">
        <f t="shared" si="194"/>
        <v>0.05</v>
      </c>
      <c r="N4848" s="464">
        <f t="shared" si="195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93"/>
        <v>-14333377201284.547</v>
      </c>
      <c r="J4849" s="444">
        <f t="array" ref="J4849">IFERROR(INDEX('Retirement Calculator'!J:J,MATCH('Isaac 401k'!N4849,'Retirement Calculator'!A:A,0),0),0)</f>
        <v>0</v>
      </c>
      <c r="K4849" s="444">
        <f t="shared" ca="1" si="191"/>
        <v>-59722405005.35228</v>
      </c>
      <c r="L4849" s="444">
        <f t="shared" ca="1" si="192"/>
        <v>-14393099606289.898</v>
      </c>
      <c r="M4849" s="460">
        <f t="shared" si="194"/>
        <v>0.05</v>
      </c>
      <c r="N4849" s="464">
        <f t="shared" si="195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93"/>
        <v>-14393099606289.898</v>
      </c>
      <c r="J4850" s="444">
        <f t="array" ref="J4850">IFERROR(INDEX('Retirement Calculator'!J:J,MATCH('Isaac 401k'!N4850,'Retirement Calculator'!A:A,0),0),0)</f>
        <v>0</v>
      </c>
      <c r="K4850" s="444">
        <f t="shared" ca="1" si="191"/>
        <v>-59971248359.541252</v>
      </c>
      <c r="L4850" s="444">
        <f t="shared" ca="1" si="192"/>
        <v>-14453070854649.439</v>
      </c>
      <c r="M4850" s="460">
        <f t="shared" si="194"/>
        <v>0.05</v>
      </c>
      <c r="N4850" s="464">
        <f t="shared" si="195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93"/>
        <v>-14453070854649.439</v>
      </c>
      <c r="J4851" s="444">
        <f t="array" ref="J4851">IFERROR(INDEX('Retirement Calculator'!J:J,MATCH('Isaac 401k'!N4851,'Retirement Calculator'!A:A,0),0),0)</f>
        <v>0</v>
      </c>
      <c r="K4851" s="444">
        <f t="shared" ca="1" si="191"/>
        <v>-60221128561.039322</v>
      </c>
      <c r="L4851" s="444">
        <f t="shared" ca="1" si="192"/>
        <v>-14513291983210.479</v>
      </c>
      <c r="M4851" s="460">
        <f t="shared" si="194"/>
        <v>0.05</v>
      </c>
      <c r="N4851" s="464">
        <f t="shared" si="195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93"/>
        <v>-14513291983210.479</v>
      </c>
      <c r="J4852" s="444">
        <f t="array" ref="J4852">IFERROR(INDEX('Retirement Calculator'!J:J,MATCH('Isaac 401k'!N4852,'Retirement Calculator'!A:A,0),0),0)</f>
        <v>0</v>
      </c>
      <c r="K4852" s="444">
        <f t="shared" ca="1" si="191"/>
        <v>-60472049930.043671</v>
      </c>
      <c r="L4852" s="444">
        <f t="shared" ca="1" si="192"/>
        <v>-14573764033140.521</v>
      </c>
      <c r="M4852" s="460">
        <f t="shared" si="194"/>
        <v>0.05</v>
      </c>
      <c r="N4852" s="464">
        <f t="shared" si="195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93"/>
        <v>-14573764033140.521</v>
      </c>
      <c r="J4853" s="444">
        <f t="array" ref="J4853">IFERROR(INDEX('Retirement Calculator'!J:J,MATCH('Isaac 401k'!N4853,'Retirement Calculator'!A:A,0),0),0)</f>
        <v>0</v>
      </c>
      <c r="K4853" s="444">
        <f t="shared" ref="K4853:K5107" ca="1" si="196">IPMT(M4853/12,1,12,-I4853+J4853,,0)</f>
        <v>-60724016804.752174</v>
      </c>
      <c r="L4853" s="444">
        <f t="shared" ref="L4853:L5107" ca="1" si="197">I4853-J4853+K4853</f>
        <v>-14634488049945.273</v>
      </c>
      <c r="M4853" s="460">
        <f t="shared" si="194"/>
        <v>0.05</v>
      </c>
      <c r="N4853" s="464">
        <f t="shared" si="195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98">L4853</f>
        <v>-14634488049945.273</v>
      </c>
      <c r="J4854" s="444">
        <f t="array" ref="J4854">IFERROR(INDEX('Retirement Calculator'!J:J,MATCH('Isaac 401k'!N4854,'Retirement Calculator'!A:A,0),0),0)</f>
        <v>0</v>
      </c>
      <c r="K4854" s="444">
        <f t="shared" ca="1" si="196"/>
        <v>-60977033541.438644</v>
      </c>
      <c r="L4854" s="444">
        <f t="shared" ca="1" si="197"/>
        <v>-14695465083486.713</v>
      </c>
      <c r="M4854" s="460">
        <f t="shared" ref="M4854:M5108" si="199">M4853</f>
        <v>0.05</v>
      </c>
      <c r="N4854" s="464">
        <f t="shared" ref="N4854:N5108" si="200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98"/>
        <v>-14695465083486.713</v>
      </c>
      <c r="J4855" s="444">
        <f t="array" ref="J4855">IFERROR(INDEX('Retirement Calculator'!J:J,MATCH('Isaac 401k'!N4855,'Retirement Calculator'!A:A,0),0),0)</f>
        <v>0</v>
      </c>
      <c r="K4855" s="444">
        <f t="shared" ca="1" si="196"/>
        <v>-61231104514.527962</v>
      </c>
      <c r="L4855" s="444">
        <f t="shared" ca="1" si="197"/>
        <v>-14756696188001.24</v>
      </c>
      <c r="M4855" s="460">
        <f t="shared" si="199"/>
        <v>0.05</v>
      </c>
      <c r="N4855" s="464">
        <f t="shared" si="200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98"/>
        <v>-14756696188001.24</v>
      </c>
      <c r="J4856" s="444">
        <f t="array" ref="J4856">IFERROR(INDEX('Retirement Calculator'!J:J,MATCH('Isaac 401k'!N4856,'Retirement Calculator'!A:A,0),0),0)</f>
        <v>0</v>
      </c>
      <c r="K4856" s="444">
        <f t="shared" ca="1" si="196"/>
        <v>-61486234116.671844</v>
      </c>
      <c r="L4856" s="444">
        <f t="shared" ca="1" si="197"/>
        <v>-14818182422117.912</v>
      </c>
      <c r="M4856" s="460">
        <f t="shared" si="199"/>
        <v>0.05</v>
      </c>
      <c r="N4856" s="464">
        <f t="shared" si="200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98"/>
        <v>-14818182422117.912</v>
      </c>
      <c r="J4857" s="444">
        <f t="array" ref="J4857">IFERROR(INDEX('Retirement Calculator'!J:J,MATCH('Isaac 401k'!N4857,'Retirement Calculator'!A:A,0),0),0)</f>
        <v>0</v>
      </c>
      <c r="K4857" s="444">
        <f t="shared" ca="1" si="196"/>
        <v>-61742426758.824631</v>
      </c>
      <c r="L4857" s="444">
        <f t="shared" ca="1" si="197"/>
        <v>-14879924848876.736</v>
      </c>
      <c r="M4857" s="460">
        <f t="shared" si="199"/>
        <v>0.05</v>
      </c>
      <c r="N4857" s="464">
        <f t="shared" si="200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98"/>
        <v>-14879924848876.736</v>
      </c>
      <c r="J4858" s="444">
        <f t="array" ref="J4858">IFERROR(INDEX('Retirement Calculator'!J:J,MATCH('Isaac 401k'!N4858,'Retirement Calculator'!A:A,0),0),0)</f>
        <v>0</v>
      </c>
      <c r="K4858" s="444">
        <f t="shared" ca="1" si="196"/>
        <v>-61999686870.319733</v>
      </c>
      <c r="L4858" s="444">
        <f t="shared" ca="1" si="197"/>
        <v>-14941924535747.057</v>
      </c>
      <c r="M4858" s="460">
        <f t="shared" si="199"/>
        <v>0.05</v>
      </c>
      <c r="N4858" s="464">
        <f t="shared" si="200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98"/>
        <v>-14941924535747.057</v>
      </c>
      <c r="J4859" s="444">
        <f t="array" ref="J4859">IFERROR(INDEX('Retirement Calculator'!J:J,MATCH('Isaac 401k'!N4859,'Retirement Calculator'!A:A,0),0),0)</f>
        <v>0</v>
      </c>
      <c r="K4859" s="444">
        <f t="shared" ca="1" si="196"/>
        <v>-62258018898.946075</v>
      </c>
      <c r="L4859" s="444">
        <f t="shared" ca="1" si="197"/>
        <v>-15004182554646.002</v>
      </c>
      <c r="M4859" s="460">
        <f t="shared" si="199"/>
        <v>0.05</v>
      </c>
      <c r="N4859" s="464">
        <f t="shared" si="200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98"/>
        <v>-15004182554646.002</v>
      </c>
      <c r="J4860" s="444">
        <f t="array" ref="J4860">IFERROR(INDEX('Retirement Calculator'!J:J,MATCH('Isaac 401k'!N4860,'Retirement Calculator'!A:A,0),0),0)</f>
        <v>0</v>
      </c>
      <c r="K4860" s="444">
        <f t="shared" ca="1" si="196"/>
        <v>-62517427311.025009</v>
      </c>
      <c r="L4860" s="444">
        <f t="shared" ca="1" si="197"/>
        <v>-15066699981957.027</v>
      </c>
      <c r="M4860" s="460">
        <f t="shared" si="199"/>
        <v>0.05</v>
      </c>
      <c r="N4860" s="464">
        <f t="shared" si="200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98"/>
        <v>-15066699981957.027</v>
      </c>
      <c r="J4861" s="444">
        <f t="array" ref="J4861">IFERROR(INDEX('Retirement Calculator'!J:J,MATCH('Isaac 401k'!N4861,'Retirement Calculator'!A:A,0),0),0)</f>
        <v>0</v>
      </c>
      <c r="K4861" s="444">
        <f t="shared" ca="1" si="196"/>
        <v>-62777916591.487617</v>
      </c>
      <c r="L4861" s="444">
        <f t="shared" ca="1" si="197"/>
        <v>-15129477898548.516</v>
      </c>
      <c r="M4861" s="460">
        <f t="shared" si="199"/>
        <v>0.05</v>
      </c>
      <c r="N4861" s="464">
        <f t="shared" si="200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98"/>
        <v>-15129477898548.516</v>
      </c>
      <c r="J4862" s="444">
        <f t="array" ref="J4862">IFERROR(INDEX('Retirement Calculator'!J:J,MATCH('Isaac 401k'!N4862,'Retirement Calculator'!A:A,0),0),0)</f>
        <v>0</v>
      </c>
      <c r="K4862" s="444">
        <f t="shared" ca="1" si="196"/>
        <v>-63039491243.952156</v>
      </c>
      <c r="L4862" s="444">
        <f t="shared" ca="1" si="197"/>
        <v>-15192517389792.469</v>
      </c>
      <c r="M4862" s="460">
        <f t="shared" si="199"/>
        <v>0.05</v>
      </c>
      <c r="N4862" s="464">
        <f t="shared" si="200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98"/>
        <v>-15192517389792.469</v>
      </c>
      <c r="J4863" s="444">
        <f t="array" ref="J4863">IFERROR(INDEX('Retirement Calculator'!J:J,MATCH('Isaac 401k'!N4863,'Retirement Calculator'!A:A,0),0),0)</f>
        <v>0</v>
      </c>
      <c r="K4863" s="444">
        <f t="shared" ca="1" si="196"/>
        <v>-63302155790.801949</v>
      </c>
      <c r="L4863" s="444">
        <f t="shared" ca="1" si="197"/>
        <v>-15255819545583.271</v>
      </c>
      <c r="M4863" s="460">
        <f t="shared" si="199"/>
        <v>0.05</v>
      </c>
      <c r="N4863" s="464">
        <f t="shared" si="200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98"/>
        <v>-15255819545583.271</v>
      </c>
      <c r="J4864" s="444">
        <f t="array" ref="J4864">IFERROR(INDEX('Retirement Calculator'!J:J,MATCH('Isaac 401k'!N4864,'Retirement Calculator'!A:A,0),0),0)</f>
        <v>0</v>
      </c>
      <c r="K4864" s="444">
        <f t="shared" ca="1" si="196"/>
        <v>-63565914773.263618</v>
      </c>
      <c r="L4864" s="444">
        <f t="shared" ca="1" si="197"/>
        <v>-15319385460356.535</v>
      </c>
      <c r="M4864" s="460">
        <f t="shared" si="199"/>
        <v>0.05</v>
      </c>
      <c r="N4864" s="464">
        <f t="shared" si="200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98"/>
        <v>-15319385460356.535</v>
      </c>
      <c r="J4865" s="444">
        <f t="array" ref="J4865">IFERROR(INDEX('Retirement Calculator'!J:J,MATCH('Isaac 401k'!N4865,'Retirement Calculator'!A:A,0),0),0)</f>
        <v>0</v>
      </c>
      <c r="K4865" s="444">
        <f t="shared" ca="1" si="196"/>
        <v>-63830772751.485565</v>
      </c>
      <c r="L4865" s="444">
        <f t="shared" ca="1" si="197"/>
        <v>-15383216233108.021</v>
      </c>
      <c r="M4865" s="460">
        <f t="shared" si="199"/>
        <v>0.05</v>
      </c>
      <c r="N4865" s="464">
        <f t="shared" si="200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98"/>
        <v>-15383216233108.021</v>
      </c>
      <c r="J4866" s="444">
        <f t="array" ref="J4866">IFERROR(INDEX('Retirement Calculator'!J:J,MATCH('Isaac 401k'!N4866,'Retirement Calculator'!A:A,0),0),0)</f>
        <v>0</v>
      </c>
      <c r="K4866" s="444">
        <f t="shared" ca="1" si="196"/>
        <v>-64096734304.616753</v>
      </c>
      <c r="L4866" s="444">
        <f t="shared" ca="1" si="197"/>
        <v>-15447312967412.639</v>
      </c>
      <c r="M4866" s="460">
        <f t="shared" si="199"/>
        <v>0.05</v>
      </c>
      <c r="N4866" s="464">
        <f t="shared" si="200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98"/>
        <v>-15447312967412.639</v>
      </c>
      <c r="J4867" s="444">
        <f t="array" ref="J4867">IFERROR(INDEX('Retirement Calculator'!J:J,MATCH('Isaac 401k'!N4867,'Retirement Calculator'!A:A,0),0),0)</f>
        <v>0</v>
      </c>
      <c r="K4867" s="444">
        <f t="shared" ca="1" si="196"/>
        <v>-64363804030.886002</v>
      </c>
      <c r="L4867" s="444">
        <f t="shared" ca="1" si="197"/>
        <v>-15511676771443.525</v>
      </c>
      <c r="M4867" s="460">
        <f t="shared" si="199"/>
        <v>0.05</v>
      </c>
      <c r="N4867" s="464">
        <f t="shared" si="200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98"/>
        <v>-15511676771443.525</v>
      </c>
      <c r="J4868" s="444">
        <f t="array" ref="J4868">IFERROR(INDEX('Retirement Calculator'!J:J,MATCH('Isaac 401k'!N4868,'Retirement Calculator'!A:A,0),0),0)</f>
        <v>0</v>
      </c>
      <c r="K4868" s="444">
        <f t="shared" ca="1" si="196"/>
        <v>-64631986547.681343</v>
      </c>
      <c r="L4868" s="444">
        <f t="shared" ca="1" si="197"/>
        <v>-15576308757991.207</v>
      </c>
      <c r="M4868" s="460">
        <f t="shared" si="199"/>
        <v>0.05</v>
      </c>
      <c r="N4868" s="464">
        <f t="shared" si="200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98"/>
        <v>-15576308757991.207</v>
      </c>
      <c r="J4869" s="444">
        <f t="array" ref="J4869">IFERROR(INDEX('Retirement Calculator'!J:J,MATCH('Isaac 401k'!N4869,'Retirement Calculator'!A:A,0),0),0)</f>
        <v>0</v>
      </c>
      <c r="K4869" s="444">
        <f t="shared" ca="1" si="196"/>
        <v>-64901286491.630035</v>
      </c>
      <c r="L4869" s="444">
        <f t="shared" ca="1" si="197"/>
        <v>-15641210044482.838</v>
      </c>
      <c r="M4869" s="460">
        <f t="shared" si="199"/>
        <v>0.05</v>
      </c>
      <c r="N4869" s="464">
        <f t="shared" si="200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98"/>
        <v>-15641210044482.838</v>
      </c>
      <c r="J4870" s="444">
        <f t="array" ref="J4870">IFERROR(INDEX('Retirement Calculator'!J:J,MATCH('Isaac 401k'!N4870,'Retirement Calculator'!A:A,0),0),0)</f>
        <v>0</v>
      </c>
      <c r="K4870" s="444">
        <f t="shared" ca="1" si="196"/>
        <v>-65171708518.67849</v>
      </c>
      <c r="L4870" s="444">
        <f t="shared" ca="1" si="197"/>
        <v>-15706381753001.516</v>
      </c>
      <c r="M4870" s="460">
        <f t="shared" si="199"/>
        <v>0.05</v>
      </c>
      <c r="N4870" s="464">
        <f t="shared" si="200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98"/>
        <v>-15706381753001.516</v>
      </c>
      <c r="J4871" s="444">
        <f t="array" ref="J4871">IFERROR(INDEX('Retirement Calculator'!J:J,MATCH('Isaac 401k'!N4871,'Retirement Calculator'!A:A,0),0),0)</f>
        <v>0</v>
      </c>
      <c r="K4871" s="444">
        <f t="shared" ca="1" si="196"/>
        <v>-65443257304.172974</v>
      </c>
      <c r="L4871" s="444">
        <f t="shared" ca="1" si="197"/>
        <v>-15771825010305.689</v>
      </c>
      <c r="M4871" s="460">
        <f t="shared" si="199"/>
        <v>0.05</v>
      </c>
      <c r="N4871" s="464">
        <f t="shared" si="200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98"/>
        <v>-15771825010305.689</v>
      </c>
      <c r="J4872" s="444">
        <f t="array" ref="J4872">IFERROR(INDEX('Retirement Calculator'!J:J,MATCH('Isaac 401k'!N4872,'Retirement Calculator'!A:A,0),0),0)</f>
        <v>0</v>
      </c>
      <c r="K4872" s="444">
        <f t="shared" ca="1" si="196"/>
        <v>-65715937542.940369</v>
      </c>
      <c r="L4872" s="444">
        <f t="shared" ca="1" si="197"/>
        <v>-15837540947848.629</v>
      </c>
      <c r="M4872" s="460">
        <f t="shared" si="199"/>
        <v>0.05</v>
      </c>
      <c r="N4872" s="464">
        <f t="shared" si="200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98"/>
        <v>-15837540947848.629</v>
      </c>
      <c r="J4873" s="444">
        <f t="array" ref="J4873">IFERROR(INDEX('Retirement Calculator'!J:J,MATCH('Isaac 401k'!N4873,'Retirement Calculator'!A:A,0),0),0)</f>
        <v>0</v>
      </c>
      <c r="K4873" s="444">
        <f t="shared" ca="1" si="196"/>
        <v>-65989753949.369286</v>
      </c>
      <c r="L4873" s="444">
        <f t="shared" ca="1" si="197"/>
        <v>-15903530701797.998</v>
      </c>
      <c r="M4873" s="460">
        <f t="shared" si="199"/>
        <v>0.05</v>
      </c>
      <c r="N4873" s="464">
        <f t="shared" si="200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98"/>
        <v>-15903530701797.998</v>
      </c>
      <c r="J4874" s="444">
        <f t="array" ref="J4874">IFERROR(INDEX('Retirement Calculator'!J:J,MATCH('Isaac 401k'!N4874,'Retirement Calculator'!A:A,0),0),0)</f>
        <v>0</v>
      </c>
      <c r="K4874" s="444">
        <f t="shared" ca="1" si="196"/>
        <v>-66264711257.491661</v>
      </c>
      <c r="L4874" s="444">
        <f t="shared" ca="1" si="197"/>
        <v>-15969795413055.49</v>
      </c>
      <c r="M4874" s="460">
        <f t="shared" si="199"/>
        <v>0.05</v>
      </c>
      <c r="N4874" s="464">
        <f t="shared" si="200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98"/>
        <v>-15969795413055.49</v>
      </c>
      <c r="J4875" s="444">
        <f t="array" ref="J4875">IFERROR(INDEX('Retirement Calculator'!J:J,MATCH('Isaac 401k'!N4875,'Retirement Calculator'!A:A,0),0),0)</f>
        <v>0</v>
      </c>
      <c r="K4875" s="444">
        <f t="shared" ca="1" si="196"/>
        <v>-66540814221.064545</v>
      </c>
      <c r="L4875" s="444">
        <f t="shared" ca="1" si="197"/>
        <v>-16036336227276.555</v>
      </c>
      <c r="M4875" s="460">
        <f t="shared" si="199"/>
        <v>0.05</v>
      </c>
      <c r="N4875" s="464">
        <f t="shared" si="200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98"/>
        <v>-16036336227276.555</v>
      </c>
      <c r="J4876" s="444">
        <f t="array" ref="J4876">IFERROR(INDEX('Retirement Calculator'!J:J,MATCH('Isaac 401k'!N4876,'Retirement Calculator'!A:A,0),0),0)</f>
        <v>0</v>
      </c>
      <c r="K4876" s="444">
        <f t="shared" ca="1" si="196"/>
        <v>-66818067613.652313</v>
      </c>
      <c r="L4876" s="444">
        <f t="shared" ca="1" si="197"/>
        <v>-16103154294890.207</v>
      </c>
      <c r="M4876" s="460">
        <f t="shared" si="199"/>
        <v>0.05</v>
      </c>
      <c r="N4876" s="464">
        <f t="shared" si="200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98"/>
        <v>-16103154294890.207</v>
      </c>
      <c r="J4877" s="444">
        <f t="array" ref="J4877">IFERROR(INDEX('Retirement Calculator'!J:J,MATCH('Isaac 401k'!N4877,'Retirement Calculator'!A:A,0),0),0)</f>
        <v>0</v>
      </c>
      <c r="K4877" s="444">
        <f t="shared" ca="1" si="196"/>
        <v>-67096476228.709198</v>
      </c>
      <c r="L4877" s="444">
        <f t="shared" ca="1" si="197"/>
        <v>-16170250771118.916</v>
      </c>
      <c r="M4877" s="460">
        <f t="shared" si="199"/>
        <v>0.05</v>
      </c>
      <c r="N4877" s="464">
        <f t="shared" si="200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98"/>
        <v>-16170250771118.916</v>
      </c>
      <c r="J4878" s="444">
        <f t="array" ref="J4878">IFERROR(INDEX('Retirement Calculator'!J:J,MATCH('Isaac 401k'!N4878,'Retirement Calculator'!A:A,0),0),0)</f>
        <v>0</v>
      </c>
      <c r="K4878" s="444">
        <f t="shared" ca="1" si="196"/>
        <v>-67376044879.662148</v>
      </c>
      <c r="L4878" s="444">
        <f t="shared" ca="1" si="197"/>
        <v>-16237626815998.578</v>
      </c>
      <c r="M4878" s="460">
        <f t="shared" si="199"/>
        <v>0.05</v>
      </c>
      <c r="N4878" s="464">
        <f t="shared" si="200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98"/>
        <v>-16237626815998.578</v>
      </c>
      <c r="J4879" s="444">
        <f t="array" ref="J4879">IFERROR(INDEX('Retirement Calculator'!J:J,MATCH('Isaac 401k'!N4879,'Retirement Calculator'!A:A,0),0),0)</f>
        <v>0</v>
      </c>
      <c r="K4879" s="444">
        <f t="shared" ca="1" si="196"/>
        <v>-67656778399.994072</v>
      </c>
      <c r="L4879" s="444">
        <f t="shared" ca="1" si="197"/>
        <v>-16305283594398.572</v>
      </c>
      <c r="M4879" s="460">
        <f t="shared" si="199"/>
        <v>0.05</v>
      </c>
      <c r="N4879" s="464">
        <f t="shared" si="200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98"/>
        <v>-16305283594398.572</v>
      </c>
      <c r="J4880" s="444">
        <f t="array" ref="J4880">IFERROR(INDEX('Retirement Calculator'!J:J,MATCH('Isaac 401k'!N4880,'Retirement Calculator'!A:A,0),0),0)</f>
        <v>0</v>
      </c>
      <c r="K4880" s="444">
        <f t="shared" ca="1" si="196"/>
        <v>-67938681643.327385</v>
      </c>
      <c r="L4880" s="444">
        <f t="shared" ca="1" si="197"/>
        <v>-16373222276041.9</v>
      </c>
      <c r="M4880" s="460">
        <f t="shared" si="199"/>
        <v>0.05</v>
      </c>
      <c r="N4880" s="464">
        <f t="shared" si="200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98"/>
        <v>-16373222276041.9</v>
      </c>
      <c r="J4881" s="444">
        <f t="array" ref="J4881">IFERROR(INDEX('Retirement Calculator'!J:J,MATCH('Isaac 401k'!N4881,'Retirement Calculator'!A:A,0),0),0)</f>
        <v>0</v>
      </c>
      <c r="K4881" s="444">
        <f t="shared" ca="1" si="196"/>
        <v>-68221759483.507919</v>
      </c>
      <c r="L4881" s="444">
        <f t="shared" ca="1" si="197"/>
        <v>-16441444035525.408</v>
      </c>
      <c r="M4881" s="460">
        <f t="shared" si="199"/>
        <v>0.05</v>
      </c>
      <c r="N4881" s="464">
        <f t="shared" si="200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98"/>
        <v>-16441444035525.408</v>
      </c>
      <c r="J4882" s="444">
        <f t="array" ref="J4882">IFERROR(INDEX('Retirement Calculator'!J:J,MATCH('Isaac 401k'!N4882,'Retirement Calculator'!A:A,0),0),0)</f>
        <v>0</v>
      </c>
      <c r="K4882" s="444">
        <f t="shared" ca="1" si="196"/>
        <v>-68506016814.689201</v>
      </c>
      <c r="L4882" s="444">
        <f t="shared" ca="1" si="197"/>
        <v>-16509950052340.098</v>
      </c>
      <c r="M4882" s="460">
        <f t="shared" si="199"/>
        <v>0.05</v>
      </c>
      <c r="N4882" s="464">
        <f t="shared" si="200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98"/>
        <v>-16509950052340.098</v>
      </c>
      <c r="J4883" s="444">
        <f t="array" ref="J4883">IFERROR(INDEX('Retirement Calculator'!J:J,MATCH('Isaac 401k'!N4883,'Retirement Calculator'!A:A,0),0),0)</f>
        <v>0</v>
      </c>
      <c r="K4883" s="444">
        <f t="shared" ca="1" si="196"/>
        <v>-68791458551.417068</v>
      </c>
      <c r="L4883" s="444">
        <f t="shared" ca="1" si="197"/>
        <v>-16578741510891.516</v>
      </c>
      <c r="M4883" s="460">
        <f t="shared" si="199"/>
        <v>0.05</v>
      </c>
      <c r="N4883" s="464">
        <f t="shared" si="200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98"/>
        <v>-16578741510891.516</v>
      </c>
      <c r="J4884" s="444">
        <f t="array" ref="J4884">IFERROR(INDEX('Retirement Calculator'!J:J,MATCH('Isaac 401k'!N4884,'Retirement Calculator'!A:A,0),0),0)</f>
        <v>0</v>
      </c>
      <c r="K4884" s="444">
        <f t="shared" ca="1" si="196"/>
        <v>-69078089628.714645</v>
      </c>
      <c r="L4884" s="444">
        <f t="shared" ca="1" si="197"/>
        <v>-16647819600520.23</v>
      </c>
      <c r="M4884" s="460">
        <f t="shared" si="199"/>
        <v>0.05</v>
      </c>
      <c r="N4884" s="464">
        <f t="shared" si="200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98"/>
        <v>-16647819600520.23</v>
      </c>
      <c r="J4885" s="444">
        <f t="array" ref="J4885">IFERROR(INDEX('Retirement Calculator'!J:J,MATCH('Isaac 401k'!N4885,'Retirement Calculator'!A:A,0),0),0)</f>
        <v>0</v>
      </c>
      <c r="K4885" s="444">
        <f t="shared" ca="1" si="196"/>
        <v>-69365915002.167633</v>
      </c>
      <c r="L4885" s="444">
        <f t="shared" ca="1" si="197"/>
        <v>-16717185515522.398</v>
      </c>
      <c r="M4885" s="460">
        <f t="shared" si="199"/>
        <v>0.05</v>
      </c>
      <c r="N4885" s="464">
        <f t="shared" si="200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98"/>
        <v>-16717185515522.398</v>
      </c>
      <c r="J4886" s="444">
        <f t="array" ref="J4886">IFERROR(INDEX('Retirement Calculator'!J:J,MATCH('Isaac 401k'!N4886,'Retirement Calculator'!A:A,0),0),0)</f>
        <v>0</v>
      </c>
      <c r="K4886" s="444">
        <f t="shared" ca="1" si="196"/>
        <v>-69654939648.009995</v>
      </c>
      <c r="L4886" s="444">
        <f t="shared" ca="1" si="197"/>
        <v>-16786840455170.408</v>
      </c>
      <c r="M4886" s="460">
        <f t="shared" si="199"/>
        <v>0.05</v>
      </c>
      <c r="N4886" s="464">
        <f t="shared" si="200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98"/>
        <v>-16786840455170.408</v>
      </c>
      <c r="J4887" s="444">
        <f t="array" ref="J4887">IFERROR(INDEX('Retirement Calculator'!J:J,MATCH('Isaac 401k'!N4887,'Retirement Calculator'!A:A,0),0),0)</f>
        <v>0</v>
      </c>
      <c r="K4887" s="444">
        <f t="shared" ca="1" si="196"/>
        <v>-69945168563.210037</v>
      </c>
      <c r="L4887" s="444">
        <f t="shared" ca="1" si="197"/>
        <v>-16856785623733.619</v>
      </c>
      <c r="M4887" s="460">
        <f t="shared" si="199"/>
        <v>0.05</v>
      </c>
      <c r="N4887" s="464">
        <f t="shared" si="200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98"/>
        <v>-16856785623733.619</v>
      </c>
      <c r="J4888" s="444">
        <f t="array" ref="J4888">IFERROR(INDEX('Retirement Calculator'!J:J,MATCH('Isaac 401k'!N4888,'Retirement Calculator'!A:A,0),0),0)</f>
        <v>0</v>
      </c>
      <c r="K4888" s="444">
        <f t="shared" ca="1" si="196"/>
        <v>-70236606765.556747</v>
      </c>
      <c r="L4888" s="444">
        <f t="shared" ca="1" si="197"/>
        <v>-16927022230499.176</v>
      </c>
      <c r="M4888" s="460">
        <f t="shared" si="199"/>
        <v>0.05</v>
      </c>
      <c r="N4888" s="464">
        <f t="shared" si="200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98"/>
        <v>-16927022230499.176</v>
      </c>
      <c r="J4889" s="444">
        <f t="array" ref="J4889">IFERROR(INDEX('Retirement Calculator'!J:J,MATCH('Isaac 401k'!N4889,'Retirement Calculator'!A:A,0),0),0)</f>
        <v>0</v>
      </c>
      <c r="K4889" s="444">
        <f t="shared" ca="1" si="196"/>
        <v>-70529259293.746567</v>
      </c>
      <c r="L4889" s="444">
        <f t="shared" ca="1" si="197"/>
        <v>-16997551489792.922</v>
      </c>
      <c r="M4889" s="460">
        <f t="shared" si="199"/>
        <v>0.05</v>
      </c>
      <c r="N4889" s="464">
        <f t="shared" si="200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98"/>
        <v>-16997551489792.922</v>
      </c>
      <c r="J4890" s="444">
        <f t="array" ref="J4890">IFERROR(INDEX('Retirement Calculator'!J:J,MATCH('Isaac 401k'!N4890,'Retirement Calculator'!A:A,0),0),0)</f>
        <v>0</v>
      </c>
      <c r="K4890" s="444">
        <f t="shared" ca="1" si="196"/>
        <v>-70823131207.470505</v>
      </c>
      <c r="L4890" s="444">
        <f t="shared" ca="1" si="197"/>
        <v>-17068374621000.393</v>
      </c>
      <c r="M4890" s="460">
        <f t="shared" si="199"/>
        <v>0.05</v>
      </c>
      <c r="N4890" s="464">
        <f t="shared" si="200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98"/>
        <v>-17068374621000.393</v>
      </c>
      <c r="J4891" s="444">
        <f t="array" ref="J4891">IFERROR(INDEX('Retirement Calculator'!J:J,MATCH('Isaac 401k'!N4891,'Retirement Calculator'!A:A,0),0),0)</f>
        <v>0</v>
      </c>
      <c r="K4891" s="444">
        <f t="shared" ca="1" si="196"/>
        <v>-71118227587.501633</v>
      </c>
      <c r="L4891" s="444">
        <f t="shared" ca="1" si="197"/>
        <v>-17139492848587.895</v>
      </c>
      <c r="M4891" s="460">
        <f t="shared" si="199"/>
        <v>0.05</v>
      </c>
      <c r="N4891" s="464">
        <f t="shared" si="200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98"/>
        <v>-17139492848587.895</v>
      </c>
      <c r="J4892" s="444">
        <f t="array" ref="J4892">IFERROR(INDEX('Retirement Calculator'!J:J,MATCH('Isaac 401k'!N4892,'Retirement Calculator'!A:A,0),0),0)</f>
        <v>0</v>
      </c>
      <c r="K4892" s="444">
        <f t="shared" ca="1" si="196"/>
        <v>-71414553535.782898</v>
      </c>
      <c r="L4892" s="444">
        <f t="shared" ca="1" si="197"/>
        <v>-17210907402123.678</v>
      </c>
      <c r="M4892" s="460">
        <f t="shared" si="199"/>
        <v>0.05</v>
      </c>
      <c r="N4892" s="464">
        <f t="shared" si="200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98"/>
        <v>-17210907402123.678</v>
      </c>
      <c r="J4893" s="444">
        <f t="array" ref="J4893">IFERROR(INDEX('Retirement Calculator'!J:J,MATCH('Isaac 401k'!N4893,'Retirement Calculator'!A:A,0),0),0)</f>
        <v>0</v>
      </c>
      <c r="K4893" s="444">
        <f t="shared" ca="1" si="196"/>
        <v>-71712114175.51532</v>
      </c>
      <c r="L4893" s="444">
        <f t="shared" ca="1" si="197"/>
        <v>-17282619516299.193</v>
      </c>
      <c r="M4893" s="460">
        <f t="shared" si="199"/>
        <v>0.05</v>
      </c>
      <c r="N4893" s="464">
        <f t="shared" si="200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98"/>
        <v>-17282619516299.193</v>
      </c>
      <c r="J4894" s="444">
        <f t="array" ref="J4894">IFERROR(INDEX('Retirement Calculator'!J:J,MATCH('Isaac 401k'!N4894,'Retirement Calculator'!A:A,0),0),0)</f>
        <v>0</v>
      </c>
      <c r="K4894" s="444">
        <f t="shared" ca="1" si="196"/>
        <v>-72010914651.246643</v>
      </c>
      <c r="L4894" s="444">
        <f t="shared" ca="1" si="197"/>
        <v>-17354630430950.439</v>
      </c>
      <c r="M4894" s="460">
        <f t="shared" si="199"/>
        <v>0.05</v>
      </c>
      <c r="N4894" s="464">
        <f t="shared" si="200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98"/>
        <v>-17354630430950.439</v>
      </c>
      <c r="J4895" s="444">
        <f t="array" ref="J4895">IFERROR(INDEX('Retirement Calculator'!J:J,MATCH('Isaac 401k'!N4895,'Retirement Calculator'!A:A,0),0),0)</f>
        <v>0</v>
      </c>
      <c r="K4895" s="444">
        <f t="shared" ca="1" si="196"/>
        <v>-72310960128.960159</v>
      </c>
      <c r="L4895" s="444">
        <f t="shared" ca="1" si="197"/>
        <v>-17426941391079.4</v>
      </c>
      <c r="M4895" s="460">
        <f t="shared" si="199"/>
        <v>0.05</v>
      </c>
      <c r="N4895" s="464">
        <f t="shared" si="200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98"/>
        <v>-17426941391079.4</v>
      </c>
      <c r="J4896" s="444">
        <f t="array" ref="J4896">IFERROR(INDEX('Retirement Calculator'!J:J,MATCH('Isaac 401k'!N4896,'Retirement Calculator'!A:A,0),0),0)</f>
        <v>0</v>
      </c>
      <c r="K4896" s="444">
        <f t="shared" ca="1" si="196"/>
        <v>-72612255796.164169</v>
      </c>
      <c r="L4896" s="444">
        <f t="shared" ca="1" si="197"/>
        <v>-17499553646875.564</v>
      </c>
      <c r="M4896" s="460">
        <f t="shared" si="199"/>
        <v>0.05</v>
      </c>
      <c r="N4896" s="464">
        <f t="shared" si="200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98"/>
        <v>-17499553646875.564</v>
      </c>
      <c r="J4897" s="444">
        <f t="array" ref="J4897">IFERROR(INDEX('Retirement Calculator'!J:J,MATCH('Isaac 401k'!N4897,'Retirement Calculator'!A:A,0),0),0)</f>
        <v>0</v>
      </c>
      <c r="K4897" s="444">
        <f t="shared" ca="1" si="196"/>
        <v>-72914806861.981522</v>
      </c>
      <c r="L4897" s="444">
        <f t="shared" ca="1" si="197"/>
        <v>-17572468453737.547</v>
      </c>
      <c r="M4897" s="460">
        <f t="shared" si="199"/>
        <v>0.05</v>
      </c>
      <c r="N4897" s="464">
        <f t="shared" si="200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98"/>
        <v>-17572468453737.547</v>
      </c>
      <c r="J4898" s="444">
        <f t="array" ref="J4898">IFERROR(INDEX('Retirement Calculator'!J:J,MATCH('Isaac 401k'!N4898,'Retirement Calculator'!A:A,0),0),0)</f>
        <v>0</v>
      </c>
      <c r="K4898" s="444">
        <f t="shared" ca="1" si="196"/>
        <v>-73218618557.239777</v>
      </c>
      <c r="L4898" s="444">
        <f t="shared" ca="1" si="197"/>
        <v>-17645687072294.785</v>
      </c>
      <c r="M4898" s="460">
        <f t="shared" si="199"/>
        <v>0.05</v>
      </c>
      <c r="N4898" s="464">
        <f t="shared" si="200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98"/>
        <v>-17645687072294.785</v>
      </c>
      <c r="J4899" s="444">
        <f t="array" ref="J4899">IFERROR(INDEX('Retirement Calculator'!J:J,MATCH('Isaac 401k'!N4899,'Retirement Calculator'!A:A,0),0),0)</f>
        <v>0</v>
      </c>
      <c r="K4899" s="444">
        <f t="shared" ca="1" si="196"/>
        <v>-73523696134.5616</v>
      </c>
      <c r="L4899" s="444">
        <f t="shared" ca="1" si="197"/>
        <v>-17719210768429.348</v>
      </c>
      <c r="M4899" s="460">
        <f t="shared" si="199"/>
        <v>0.05</v>
      </c>
      <c r="N4899" s="464">
        <f t="shared" si="200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98"/>
        <v>-17719210768429.348</v>
      </c>
      <c r="J4900" s="444">
        <f t="array" ref="J4900">IFERROR(INDEX('Retirement Calculator'!J:J,MATCH('Isaac 401k'!N4900,'Retirement Calculator'!A:A,0),0),0)</f>
        <v>0</v>
      </c>
      <c r="K4900" s="444">
        <f t="shared" ca="1" si="196"/>
        <v>-73830044868.455612</v>
      </c>
      <c r="L4900" s="444">
        <f t="shared" ca="1" si="197"/>
        <v>-17793040813297.805</v>
      </c>
      <c r="M4900" s="460">
        <f t="shared" si="199"/>
        <v>0.05</v>
      </c>
      <c r="N4900" s="464">
        <f t="shared" si="200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98"/>
        <v>-17793040813297.805</v>
      </c>
      <c r="J4901" s="444">
        <f t="array" ref="J4901">IFERROR(INDEX('Retirement Calculator'!J:J,MATCH('Isaac 401k'!N4901,'Retirement Calculator'!A:A,0),0),0)</f>
        <v>0</v>
      </c>
      <c r="K4901" s="444">
        <f t="shared" ca="1" si="196"/>
        <v>-74137670055.407516</v>
      </c>
      <c r="L4901" s="444">
        <f t="shared" ca="1" si="197"/>
        <v>-17867178483353.211</v>
      </c>
      <c r="M4901" s="460">
        <f t="shared" si="199"/>
        <v>0.05</v>
      </c>
      <c r="N4901" s="464">
        <f t="shared" si="200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98"/>
        <v>-17867178483353.211</v>
      </c>
      <c r="J4902" s="444">
        <f t="array" ref="J4902">IFERROR(INDEX('Retirement Calculator'!J:J,MATCH('Isaac 401k'!N4902,'Retirement Calculator'!A:A,0),0),0)</f>
        <v>0</v>
      </c>
      <c r="K4902" s="444">
        <f t="shared" ca="1" si="196"/>
        <v>-74446577013.97171</v>
      </c>
      <c r="L4902" s="444">
        <f t="shared" ca="1" si="197"/>
        <v>-17941625060367.184</v>
      </c>
      <c r="M4902" s="460">
        <f t="shared" si="199"/>
        <v>0.05</v>
      </c>
      <c r="N4902" s="464">
        <f t="shared" si="200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98"/>
        <v>-17941625060367.184</v>
      </c>
      <c r="J4903" s="444">
        <f t="array" ref="J4903">IFERROR(INDEX('Retirement Calculator'!J:J,MATCH('Isaac 401k'!N4903,'Retirement Calculator'!A:A,0),0),0)</f>
        <v>0</v>
      </c>
      <c r="K4903" s="444">
        <f t="shared" ca="1" si="196"/>
        <v>-74756771084.863266</v>
      </c>
      <c r="L4903" s="444">
        <f t="shared" ca="1" si="197"/>
        <v>-18016381831452.047</v>
      </c>
      <c r="M4903" s="460">
        <f t="shared" si="199"/>
        <v>0.05</v>
      </c>
      <c r="N4903" s="464">
        <f t="shared" si="200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98"/>
        <v>-18016381831452.047</v>
      </c>
      <c r="J4904" s="444">
        <f t="array" ref="J4904">IFERROR(INDEX('Retirement Calculator'!J:J,MATCH('Isaac 401k'!N4904,'Retirement Calculator'!A:A,0),0),0)</f>
        <v>0</v>
      </c>
      <c r="K4904" s="444">
        <f t="shared" ca="1" si="196"/>
        <v>-75068257631.050201</v>
      </c>
      <c r="L4904" s="444">
        <f t="shared" ca="1" si="197"/>
        <v>-18091450089083.098</v>
      </c>
      <c r="M4904" s="460">
        <f t="shared" si="199"/>
        <v>0.05</v>
      </c>
      <c r="N4904" s="464">
        <f t="shared" si="200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98"/>
        <v>-18091450089083.098</v>
      </c>
      <c r="J4905" s="444">
        <f t="array" ref="J4905">IFERROR(INDEX('Retirement Calculator'!J:J,MATCH('Isaac 401k'!N4905,'Retirement Calculator'!A:A,0),0),0)</f>
        <v>0</v>
      </c>
      <c r="K4905" s="444">
        <f t="shared" ca="1" si="196"/>
        <v>-75381042037.846237</v>
      </c>
      <c r="L4905" s="444">
        <f t="shared" ca="1" si="197"/>
        <v>-18166831131120.945</v>
      </c>
      <c r="M4905" s="460">
        <f t="shared" si="199"/>
        <v>0.05</v>
      </c>
      <c r="N4905" s="464">
        <f t="shared" si="200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98"/>
        <v>-18166831131120.945</v>
      </c>
      <c r="J4906" s="444">
        <f t="array" ref="J4906">IFERROR(INDEX('Retirement Calculator'!J:J,MATCH('Isaac 401k'!N4906,'Retirement Calculator'!A:A,0),0),0)</f>
        <v>0</v>
      </c>
      <c r="K4906" s="444">
        <f t="shared" ca="1" si="196"/>
        <v>-75695129713.003937</v>
      </c>
      <c r="L4906" s="444">
        <f t="shared" ca="1" si="197"/>
        <v>-18242526260833.949</v>
      </c>
      <c r="M4906" s="460">
        <f t="shared" si="199"/>
        <v>0.05</v>
      </c>
      <c r="N4906" s="464">
        <f t="shared" si="200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98"/>
        <v>-18242526260833.949</v>
      </c>
      <c r="J4907" s="444">
        <f t="array" ref="J4907">IFERROR(INDEX('Retirement Calculator'!J:J,MATCH('Isaac 401k'!N4907,'Retirement Calculator'!A:A,0),0),0)</f>
        <v>0</v>
      </c>
      <c r="K4907" s="444">
        <f t="shared" ca="1" si="196"/>
        <v>-76010526086.808121</v>
      </c>
      <c r="L4907" s="444">
        <f t="shared" ca="1" si="197"/>
        <v>-18318536786920.758</v>
      </c>
      <c r="M4907" s="460">
        <f t="shared" si="199"/>
        <v>0.05</v>
      </c>
      <c r="N4907" s="464">
        <f t="shared" si="200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98"/>
        <v>-18318536786920.758</v>
      </c>
      <c r="J4908" s="444">
        <f t="array" ref="J4908">IFERROR(INDEX('Retirement Calculator'!J:J,MATCH('Isaac 401k'!N4908,'Retirement Calculator'!A:A,0),0),0)</f>
        <v>0</v>
      </c>
      <c r="K4908" s="444">
        <f t="shared" ca="1" si="196"/>
        <v>-76327236612.16983</v>
      </c>
      <c r="L4908" s="444">
        <f t="shared" ca="1" si="197"/>
        <v>-18394864023532.926</v>
      </c>
      <c r="M4908" s="460">
        <f t="shared" si="199"/>
        <v>0.05</v>
      </c>
      <c r="N4908" s="464">
        <f t="shared" si="200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98"/>
        <v>-18394864023532.926</v>
      </c>
      <c r="J4909" s="444">
        <f t="array" ref="J4909">IFERROR(INDEX('Retirement Calculator'!J:J,MATCH('Isaac 401k'!N4909,'Retirement Calculator'!A:A,0),0),0)</f>
        <v>0</v>
      </c>
      <c r="K4909" s="444">
        <f t="shared" ca="1" si="196"/>
        <v>-76645266764.72052</v>
      </c>
      <c r="L4909" s="444">
        <f t="shared" ca="1" si="197"/>
        <v>-18471509290297.645</v>
      </c>
      <c r="M4909" s="460">
        <f t="shared" si="199"/>
        <v>0.05</v>
      </c>
      <c r="N4909" s="464">
        <f t="shared" si="200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98"/>
        <v>-18471509290297.645</v>
      </c>
      <c r="J4910" s="444">
        <f t="array" ref="J4910">IFERROR(INDEX('Retirement Calculator'!J:J,MATCH('Isaac 401k'!N4910,'Retirement Calculator'!A:A,0),0),0)</f>
        <v>0</v>
      </c>
      <c r="K4910" s="444">
        <f t="shared" ca="1" si="196"/>
        <v>-76964622042.906845</v>
      </c>
      <c r="L4910" s="444">
        <f t="shared" ca="1" si="197"/>
        <v>-18548473912340.551</v>
      </c>
      <c r="M4910" s="460">
        <f t="shared" si="199"/>
        <v>0.05</v>
      </c>
      <c r="N4910" s="464">
        <f t="shared" si="200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98"/>
        <v>-18548473912340.551</v>
      </c>
      <c r="J4911" s="444">
        <f t="array" ref="J4911">IFERROR(INDEX('Retirement Calculator'!J:J,MATCH('Isaac 401k'!N4911,'Retirement Calculator'!A:A,0),0),0)</f>
        <v>0</v>
      </c>
      <c r="K4911" s="444">
        <f t="shared" ca="1" si="196"/>
        <v>-77285307968.085632</v>
      </c>
      <c r="L4911" s="444">
        <f t="shared" ca="1" si="197"/>
        <v>-18625759220308.637</v>
      </c>
      <c r="M4911" s="460">
        <f t="shared" si="199"/>
        <v>0.05</v>
      </c>
      <c r="N4911" s="464">
        <f t="shared" si="200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98"/>
        <v>-18625759220308.637</v>
      </c>
      <c r="J4912" s="444">
        <f t="array" ref="J4912">IFERROR(INDEX('Retirement Calculator'!J:J,MATCH('Isaac 401k'!N4912,'Retirement Calculator'!A:A,0),0),0)</f>
        <v>0</v>
      </c>
      <c r="K4912" s="444">
        <f t="shared" ca="1" si="196"/>
        <v>-77607330084.619324</v>
      </c>
      <c r="L4912" s="444">
        <f t="shared" ca="1" si="197"/>
        <v>-18703366550393.258</v>
      </c>
      <c r="M4912" s="460">
        <f t="shared" si="199"/>
        <v>0.05</v>
      </c>
      <c r="N4912" s="464">
        <f t="shared" si="200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98"/>
        <v>-18703366550393.258</v>
      </c>
      <c r="J4913" s="444">
        <f t="array" ref="J4913">IFERROR(INDEX('Retirement Calculator'!J:J,MATCH('Isaac 401k'!N4913,'Retirement Calculator'!A:A,0),0),0)</f>
        <v>0</v>
      </c>
      <c r="K4913" s="444">
        <f t="shared" ca="1" si="196"/>
        <v>-77930693959.971909</v>
      </c>
      <c r="L4913" s="444">
        <f t="shared" ca="1" si="197"/>
        <v>-18781297244353.23</v>
      </c>
      <c r="M4913" s="460">
        <f t="shared" si="199"/>
        <v>0.05</v>
      </c>
      <c r="N4913" s="464">
        <f t="shared" si="200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98"/>
        <v>-18781297244353.23</v>
      </c>
      <c r="J4914" s="444">
        <f t="array" ref="J4914">IFERROR(INDEX('Retirement Calculator'!J:J,MATCH('Isaac 401k'!N4914,'Retirement Calculator'!A:A,0),0),0)</f>
        <v>0</v>
      </c>
      <c r="K4914" s="444">
        <f t="shared" ca="1" si="196"/>
        <v>-78255405184.80513</v>
      </c>
      <c r="L4914" s="444">
        <f t="shared" ca="1" si="197"/>
        <v>-18859552649538.035</v>
      </c>
      <c r="M4914" s="460">
        <f t="shared" si="199"/>
        <v>0.05</v>
      </c>
      <c r="N4914" s="464">
        <f t="shared" si="200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98"/>
        <v>-18859552649538.035</v>
      </c>
      <c r="J4915" s="444">
        <f t="array" ref="J4915">IFERROR(INDEX('Retirement Calculator'!J:J,MATCH('Isaac 401k'!N4915,'Retirement Calculator'!A:A,0),0),0)</f>
        <v>0</v>
      </c>
      <c r="K4915" s="444">
        <f t="shared" ca="1" si="196"/>
        <v>-78581469373.07515</v>
      </c>
      <c r="L4915" s="444">
        <f t="shared" ca="1" si="197"/>
        <v>-18938134118911.109</v>
      </c>
      <c r="M4915" s="460">
        <f t="shared" si="199"/>
        <v>0.05</v>
      </c>
      <c r="N4915" s="464">
        <f t="shared" si="200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98"/>
        <v>-18938134118911.109</v>
      </c>
      <c r="J4916" s="444">
        <f t="array" ref="J4916">IFERROR(INDEX('Retirement Calculator'!J:J,MATCH('Isaac 401k'!N4916,'Retirement Calculator'!A:A,0),0),0)</f>
        <v>0</v>
      </c>
      <c r="K4916" s="444">
        <f t="shared" ca="1" si="196"/>
        <v>-78908892162.129623</v>
      </c>
      <c r="L4916" s="444">
        <f t="shared" ca="1" si="197"/>
        <v>-19017043011073.238</v>
      </c>
      <c r="M4916" s="460">
        <f t="shared" si="199"/>
        <v>0.05</v>
      </c>
      <c r="N4916" s="464">
        <f t="shared" si="200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98"/>
        <v>-19017043011073.238</v>
      </c>
      <c r="J4917" s="444">
        <f t="array" ref="J4917">IFERROR(INDEX('Retirement Calculator'!J:J,MATCH('Isaac 401k'!N4917,'Retirement Calculator'!A:A,0),0),0)</f>
        <v>0</v>
      </c>
      <c r="K4917" s="444">
        <f t="shared" ca="1" si="196"/>
        <v>-79237679212.805161</v>
      </c>
      <c r="L4917" s="444">
        <f t="shared" ca="1" si="197"/>
        <v>-19096280690286.043</v>
      </c>
      <c r="M4917" s="460">
        <f t="shared" si="199"/>
        <v>0.05</v>
      </c>
      <c r="N4917" s="464">
        <f t="shared" si="200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98"/>
        <v>-19096280690286.043</v>
      </c>
      <c r="J4918" s="444">
        <f t="array" ref="J4918">IFERROR(INDEX('Retirement Calculator'!J:J,MATCH('Isaac 401k'!N4918,'Retirement Calculator'!A:A,0),0),0)</f>
        <v>0</v>
      </c>
      <c r="K4918" s="444">
        <f t="shared" ca="1" si="196"/>
        <v>-79567836209.525177</v>
      </c>
      <c r="L4918" s="444">
        <f t="shared" ca="1" si="197"/>
        <v>-19175848526495.566</v>
      </c>
      <c r="M4918" s="460">
        <f t="shared" si="199"/>
        <v>0.05</v>
      </c>
      <c r="N4918" s="464">
        <f t="shared" si="200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98"/>
        <v>-19175848526495.566</v>
      </c>
      <c r="J4919" s="444">
        <f t="array" ref="J4919">IFERROR(INDEX('Retirement Calculator'!J:J,MATCH('Isaac 401k'!N4919,'Retirement Calculator'!A:A,0),0),0)</f>
        <v>0</v>
      </c>
      <c r="K4919" s="444">
        <f t="shared" ca="1" si="196"/>
        <v>-79899368860.398193</v>
      </c>
      <c r="L4919" s="444">
        <f t="shared" ca="1" si="197"/>
        <v>-19255747895355.965</v>
      </c>
      <c r="M4919" s="460">
        <f t="shared" si="199"/>
        <v>0.05</v>
      </c>
      <c r="N4919" s="464">
        <f t="shared" si="200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98"/>
        <v>-19255747895355.965</v>
      </c>
      <c r="J4920" s="444">
        <f t="array" ref="J4920">IFERROR(INDEX('Retirement Calculator'!J:J,MATCH('Isaac 401k'!N4920,'Retirement Calculator'!A:A,0),0),0)</f>
        <v>0</v>
      </c>
      <c r="K4920" s="444">
        <f t="shared" ca="1" si="196"/>
        <v>-80232282897.316513</v>
      </c>
      <c r="L4920" s="444">
        <f t="shared" ca="1" si="197"/>
        <v>-19335980178253.281</v>
      </c>
      <c r="M4920" s="460">
        <f t="shared" si="199"/>
        <v>0.05</v>
      </c>
      <c r="N4920" s="464">
        <f t="shared" si="200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98"/>
        <v>-19335980178253.281</v>
      </c>
      <c r="J4921" s="444">
        <f t="array" ref="J4921">IFERROR(INDEX('Retirement Calculator'!J:J,MATCH('Isaac 401k'!N4921,'Retirement Calculator'!A:A,0),0),0)</f>
        <v>0</v>
      </c>
      <c r="K4921" s="444">
        <f t="shared" ca="1" si="196"/>
        <v>-80566584076.055344</v>
      </c>
      <c r="L4921" s="444">
        <f t="shared" ca="1" si="197"/>
        <v>-19416546762329.336</v>
      </c>
      <c r="M4921" s="460">
        <f t="shared" si="199"/>
        <v>0.05</v>
      </c>
      <c r="N4921" s="464">
        <f t="shared" si="200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98"/>
        <v>-19416546762329.336</v>
      </c>
      <c r="J4922" s="444">
        <f t="array" ref="J4922">IFERROR(INDEX('Retirement Calculator'!J:J,MATCH('Isaac 401k'!N4922,'Retirement Calculator'!A:A,0),0),0)</f>
        <v>0</v>
      </c>
      <c r="K4922" s="444">
        <f t="shared" ca="1" si="196"/>
        <v>-80902278176.372238</v>
      </c>
      <c r="L4922" s="444">
        <f t="shared" ca="1" si="197"/>
        <v>-19497449040505.707</v>
      </c>
      <c r="M4922" s="460">
        <f t="shared" si="199"/>
        <v>0.05</v>
      </c>
      <c r="N4922" s="464">
        <f t="shared" si="200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98"/>
        <v>-19497449040505.707</v>
      </c>
      <c r="J4923" s="444">
        <f t="array" ref="J4923">IFERROR(INDEX('Retirement Calculator'!J:J,MATCH('Isaac 401k'!N4923,'Retirement Calculator'!A:A,0),0),0)</f>
        <v>0</v>
      </c>
      <c r="K4923" s="444">
        <f t="shared" ca="1" si="196"/>
        <v>-81239371002.107117</v>
      </c>
      <c r="L4923" s="444">
        <f t="shared" ca="1" si="197"/>
        <v>-19578688411507.813</v>
      </c>
      <c r="M4923" s="460">
        <f t="shared" si="199"/>
        <v>0.05</v>
      </c>
      <c r="N4923" s="464">
        <f t="shared" si="200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98"/>
        <v>-19578688411507.813</v>
      </c>
      <c r="J4924" s="444">
        <f t="array" ref="J4924">IFERROR(INDEX('Retirement Calculator'!J:J,MATCH('Isaac 401k'!N4924,'Retirement Calculator'!A:A,0),0),0)</f>
        <v>0</v>
      </c>
      <c r="K4924" s="444">
        <f t="shared" ca="1" si="196"/>
        <v>-81577868381.282547</v>
      </c>
      <c r="L4924" s="444">
        <f t="shared" ca="1" si="197"/>
        <v>-19660266279889.094</v>
      </c>
      <c r="M4924" s="460">
        <f t="shared" si="199"/>
        <v>0.05</v>
      </c>
      <c r="N4924" s="464">
        <f t="shared" si="200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98"/>
        <v>-19660266279889.094</v>
      </c>
      <c r="J4925" s="444">
        <f t="array" ref="J4925">IFERROR(INDEX('Retirement Calculator'!J:J,MATCH('Isaac 401k'!N4925,'Retirement Calculator'!A:A,0),0),0)</f>
        <v>0</v>
      </c>
      <c r="K4925" s="444">
        <f t="shared" ca="1" si="196"/>
        <v>-81917776166.204559</v>
      </c>
      <c r="L4925" s="444">
        <f t="shared" ca="1" si="197"/>
        <v>-19742184056055.297</v>
      </c>
      <c r="M4925" s="460">
        <f t="shared" si="199"/>
        <v>0.05</v>
      </c>
      <c r="N4925" s="464">
        <f t="shared" si="200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98"/>
        <v>-19742184056055.297</v>
      </c>
      <c r="J4926" s="444">
        <f t="array" ref="J4926">IFERROR(INDEX('Retirement Calculator'!J:J,MATCH('Isaac 401k'!N4926,'Retirement Calculator'!A:A,0),0),0)</f>
        <v>0</v>
      </c>
      <c r="K4926" s="444">
        <f t="shared" ca="1" si="196"/>
        <v>-82259100233.563736</v>
      </c>
      <c r="L4926" s="444">
        <f t="shared" ca="1" si="197"/>
        <v>-19824443156288.859</v>
      </c>
      <c r="M4926" s="460">
        <f t="shared" si="199"/>
        <v>0.05</v>
      </c>
      <c r="N4926" s="464">
        <f t="shared" si="200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98"/>
        <v>-19824443156288.859</v>
      </c>
      <c r="J4927" s="444">
        <f t="array" ref="J4927">IFERROR(INDEX('Retirement Calculator'!J:J,MATCH('Isaac 401k'!N4927,'Retirement Calculator'!A:A,0),0),0)</f>
        <v>0</v>
      </c>
      <c r="K4927" s="444">
        <f t="shared" ca="1" si="196"/>
        <v>-82601846484.536911</v>
      </c>
      <c r="L4927" s="444">
        <f t="shared" ca="1" si="197"/>
        <v>-19907045002773.395</v>
      </c>
      <c r="M4927" s="460">
        <f t="shared" si="199"/>
        <v>0.05</v>
      </c>
      <c r="N4927" s="464">
        <f t="shared" si="200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98"/>
        <v>-19907045002773.395</v>
      </c>
      <c r="J4928" s="444">
        <f t="array" ref="J4928">IFERROR(INDEX('Retirement Calculator'!J:J,MATCH('Isaac 401k'!N4928,'Retirement Calculator'!A:A,0),0),0)</f>
        <v>0</v>
      </c>
      <c r="K4928" s="444">
        <f t="shared" ca="1" si="196"/>
        <v>-82946020844.889145</v>
      </c>
      <c r="L4928" s="444">
        <f t="shared" ca="1" si="197"/>
        <v>-19989991023618.285</v>
      </c>
      <c r="M4928" s="460">
        <f t="shared" si="199"/>
        <v>0.05</v>
      </c>
      <c r="N4928" s="464">
        <f t="shared" si="200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98"/>
        <v>-19989991023618.285</v>
      </c>
      <c r="J4929" s="444">
        <f t="array" ref="J4929">IFERROR(INDEX('Retirement Calculator'!J:J,MATCH('Isaac 401k'!N4929,'Retirement Calculator'!A:A,0),0),0)</f>
        <v>0</v>
      </c>
      <c r="K4929" s="444">
        <f t="shared" ca="1" si="196"/>
        <v>-83291629265.076187</v>
      </c>
      <c r="L4929" s="444">
        <f t="shared" ca="1" si="197"/>
        <v>-20073282652883.363</v>
      </c>
      <c r="M4929" s="460">
        <f t="shared" si="199"/>
        <v>0.05</v>
      </c>
      <c r="N4929" s="464">
        <f t="shared" si="200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98"/>
        <v>-20073282652883.363</v>
      </c>
      <c r="J4930" s="444">
        <f t="array" ref="J4930">IFERROR(INDEX('Retirement Calculator'!J:J,MATCH('Isaac 401k'!N4930,'Retirement Calculator'!A:A,0),0),0)</f>
        <v>0</v>
      </c>
      <c r="K4930" s="444">
        <f t="shared" ca="1" si="196"/>
        <v>-83638677720.347351</v>
      </c>
      <c r="L4930" s="444">
        <f t="shared" ca="1" si="197"/>
        <v>-20156921330603.711</v>
      </c>
      <c r="M4930" s="460">
        <f t="shared" si="199"/>
        <v>0.05</v>
      </c>
      <c r="N4930" s="464">
        <f t="shared" si="200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98"/>
        <v>-20156921330603.711</v>
      </c>
      <c r="J4931" s="444">
        <f t="array" ref="J4931">IFERROR(INDEX('Retirement Calculator'!J:J,MATCH('Isaac 401k'!N4931,'Retirement Calculator'!A:A,0),0),0)</f>
        <v>0</v>
      </c>
      <c r="K4931" s="444">
        <f t="shared" ca="1" si="196"/>
        <v>-83987172210.848801</v>
      </c>
      <c r="L4931" s="444">
        <f t="shared" ca="1" si="197"/>
        <v>-20240908502814.559</v>
      </c>
      <c r="M4931" s="460">
        <f t="shared" si="199"/>
        <v>0.05</v>
      </c>
      <c r="N4931" s="464">
        <f t="shared" si="200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98"/>
        <v>-20240908502814.559</v>
      </c>
      <c r="J4932" s="444">
        <f t="array" ref="J4932">IFERROR(INDEX('Retirement Calculator'!J:J,MATCH('Isaac 401k'!N4932,'Retirement Calculator'!A:A,0),0),0)</f>
        <v>0</v>
      </c>
      <c r="K4932" s="444">
        <f t="shared" ca="1" si="196"/>
        <v>-84337118761.727325</v>
      </c>
      <c r="L4932" s="444">
        <f t="shared" ca="1" si="197"/>
        <v>-20325245621576.285</v>
      </c>
      <c r="M4932" s="460">
        <f t="shared" si="199"/>
        <v>0.05</v>
      </c>
      <c r="N4932" s="464">
        <f t="shared" si="200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98"/>
        <v>-20325245621576.285</v>
      </c>
      <c r="J4933" s="444">
        <f t="array" ref="J4933">IFERROR(INDEX('Retirement Calculator'!J:J,MATCH('Isaac 401k'!N4933,'Retirement Calculator'!A:A,0),0),0)</f>
        <v>0</v>
      </c>
      <c r="K4933" s="444">
        <f t="shared" ca="1" si="196"/>
        <v>-84688523423.234528</v>
      </c>
      <c r="L4933" s="444">
        <f t="shared" ca="1" si="197"/>
        <v>-20409934144999.52</v>
      </c>
      <c r="M4933" s="460">
        <f t="shared" si="199"/>
        <v>0.05</v>
      </c>
      <c r="N4933" s="464">
        <f t="shared" si="200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98"/>
        <v>-20409934144999.52</v>
      </c>
      <c r="J4934" s="444">
        <f t="array" ref="J4934">IFERROR(INDEX('Retirement Calculator'!J:J,MATCH('Isaac 401k'!N4934,'Retirement Calculator'!A:A,0),0),0)</f>
        <v>0</v>
      </c>
      <c r="K4934" s="444">
        <f t="shared" ca="1" si="196"/>
        <v>-85041392270.831329</v>
      </c>
      <c r="L4934" s="444">
        <f t="shared" ca="1" si="197"/>
        <v>-20494975537270.352</v>
      </c>
      <c r="M4934" s="460">
        <f t="shared" si="199"/>
        <v>0.05</v>
      </c>
      <c r="N4934" s="464">
        <f t="shared" si="200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98"/>
        <v>-20494975537270.352</v>
      </c>
      <c r="J4935" s="444">
        <f t="array" ref="J4935">IFERROR(INDEX('Retirement Calculator'!J:J,MATCH('Isaac 401k'!N4935,'Retirement Calculator'!A:A,0),0),0)</f>
        <v>0</v>
      </c>
      <c r="K4935" s="444">
        <f t="shared" ca="1" si="196"/>
        <v>-85395731405.293137</v>
      </c>
      <c r="L4935" s="444">
        <f t="shared" ca="1" si="197"/>
        <v>-20580371268675.645</v>
      </c>
      <c r="M4935" s="460">
        <f t="shared" si="199"/>
        <v>0.05</v>
      </c>
      <c r="N4935" s="464">
        <f t="shared" si="200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98"/>
        <v>-20580371268675.645</v>
      </c>
      <c r="J4936" s="444">
        <f t="array" ref="J4936">IFERROR(INDEX('Retirement Calculator'!J:J,MATCH('Isaac 401k'!N4936,'Retirement Calculator'!A:A,0),0),0)</f>
        <v>0</v>
      </c>
      <c r="K4936" s="444">
        <f t="shared" ca="1" si="196"/>
        <v>-85751546952.815186</v>
      </c>
      <c r="L4936" s="444">
        <f t="shared" ca="1" si="197"/>
        <v>-20666122815628.461</v>
      </c>
      <c r="M4936" s="460">
        <f t="shared" si="199"/>
        <v>0.05</v>
      </c>
      <c r="N4936" s="464">
        <f t="shared" si="200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98"/>
        <v>-20666122815628.461</v>
      </c>
      <c r="J4937" s="444">
        <f t="array" ref="J4937">IFERROR(INDEX('Retirement Calculator'!J:J,MATCH('Isaac 401k'!N4937,'Retirement Calculator'!A:A,0),0),0)</f>
        <v>0</v>
      </c>
      <c r="K4937" s="444">
        <f t="shared" ca="1" si="196"/>
        <v>-86108845065.118591</v>
      </c>
      <c r="L4937" s="444">
        <f t="shared" ca="1" si="197"/>
        <v>-20752231660693.578</v>
      </c>
      <c r="M4937" s="460">
        <f t="shared" si="199"/>
        <v>0.05</v>
      </c>
      <c r="N4937" s="464">
        <f t="shared" si="200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98"/>
        <v>-20752231660693.578</v>
      </c>
      <c r="J4938" s="444">
        <f t="array" ref="J4938">IFERROR(INDEX('Retirement Calculator'!J:J,MATCH('Isaac 401k'!N4938,'Retirement Calculator'!A:A,0),0),0)</f>
        <v>0</v>
      </c>
      <c r="K4938" s="444">
        <f t="shared" ca="1" si="196"/>
        <v>-86467631919.55658</v>
      </c>
      <c r="L4938" s="444">
        <f t="shared" ca="1" si="197"/>
        <v>-20838699292613.133</v>
      </c>
      <c r="M4938" s="460">
        <f t="shared" si="199"/>
        <v>0.05</v>
      </c>
      <c r="N4938" s="464">
        <f t="shared" si="200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98"/>
        <v>-20838699292613.133</v>
      </c>
      <c r="J4939" s="444">
        <f t="array" ref="J4939">IFERROR(INDEX('Retirement Calculator'!J:J,MATCH('Isaac 401k'!N4939,'Retirement Calculator'!A:A,0),0),0)</f>
        <v>0</v>
      </c>
      <c r="K4939" s="444">
        <f t="shared" ca="1" si="196"/>
        <v>-86827913719.22139</v>
      </c>
      <c r="L4939" s="444">
        <f t="shared" ca="1" si="197"/>
        <v>-20925527206332.355</v>
      </c>
      <c r="M4939" s="460">
        <f t="shared" si="199"/>
        <v>0.05</v>
      </c>
      <c r="N4939" s="464">
        <f t="shared" si="200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98"/>
        <v>-20925527206332.355</v>
      </c>
      <c r="J4940" s="444">
        <f t="array" ref="J4940">IFERROR(INDEX('Retirement Calculator'!J:J,MATCH('Isaac 401k'!N4940,'Retirement Calculator'!A:A,0),0),0)</f>
        <v>0</v>
      </c>
      <c r="K4940" s="444">
        <f t="shared" ca="1" si="196"/>
        <v>-87189696693.051483</v>
      </c>
      <c r="L4940" s="444">
        <f t="shared" ca="1" si="197"/>
        <v>-21012716903025.406</v>
      </c>
      <c r="M4940" s="460">
        <f t="shared" si="199"/>
        <v>0.05</v>
      </c>
      <c r="N4940" s="464">
        <f t="shared" si="200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98"/>
        <v>-21012716903025.406</v>
      </c>
      <c r="J4941" s="444">
        <f t="array" ref="J4941">IFERROR(INDEX('Retirement Calculator'!J:J,MATCH('Isaac 401k'!N4941,'Retirement Calculator'!A:A,0),0),0)</f>
        <v>0</v>
      </c>
      <c r="K4941" s="444">
        <f t="shared" ca="1" si="196"/>
        <v>-87552987095.939194</v>
      </c>
      <c r="L4941" s="444">
        <f t="shared" ca="1" si="197"/>
        <v>-21100269890121.344</v>
      </c>
      <c r="M4941" s="460">
        <f t="shared" si="199"/>
        <v>0.05</v>
      </c>
      <c r="N4941" s="464">
        <f t="shared" si="200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98"/>
        <v>-21100269890121.344</v>
      </c>
      <c r="J4942" s="444">
        <f t="array" ref="J4942">IFERROR(INDEX('Retirement Calculator'!J:J,MATCH('Isaac 401k'!N4942,'Retirement Calculator'!A:A,0),0),0)</f>
        <v>0</v>
      </c>
      <c r="K4942" s="444">
        <f t="shared" ca="1" si="196"/>
        <v>-87917791208.838928</v>
      </c>
      <c r="L4942" s="444">
        <f t="shared" ca="1" si="197"/>
        <v>-21188187681330.184</v>
      </c>
      <c r="M4942" s="460">
        <f t="shared" si="199"/>
        <v>0.05</v>
      </c>
      <c r="N4942" s="464">
        <f t="shared" si="200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98"/>
        <v>-21188187681330.184</v>
      </c>
      <c r="J4943" s="444">
        <f t="array" ref="J4943">IFERROR(INDEX('Retirement Calculator'!J:J,MATCH('Isaac 401k'!N4943,'Retirement Calculator'!A:A,0),0),0)</f>
        <v>0</v>
      </c>
      <c r="K4943" s="444">
        <f t="shared" ca="1" si="196"/>
        <v>-88284115338.875763</v>
      </c>
      <c r="L4943" s="444">
        <f t="shared" ca="1" si="197"/>
        <v>-21276471796669.059</v>
      </c>
      <c r="M4943" s="460">
        <f t="shared" si="199"/>
        <v>0.05</v>
      </c>
      <c r="N4943" s="464">
        <f t="shared" si="200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98"/>
        <v>-21276471796669.059</v>
      </c>
      <c r="J4944" s="444">
        <f t="array" ref="J4944">IFERROR(INDEX('Retirement Calculator'!J:J,MATCH('Isaac 401k'!N4944,'Retirement Calculator'!A:A,0),0),0)</f>
        <v>0</v>
      </c>
      <c r="K4944" s="444">
        <f t="shared" ca="1" si="196"/>
        <v>-88651965819.454407</v>
      </c>
      <c r="L4944" s="444">
        <f t="shared" ca="1" si="197"/>
        <v>-21365123762488.512</v>
      </c>
      <c r="M4944" s="460">
        <f t="shared" si="199"/>
        <v>0.05</v>
      </c>
      <c r="N4944" s="464">
        <f t="shared" si="200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98"/>
        <v>-21365123762488.512</v>
      </c>
      <c r="J4945" s="444">
        <f t="array" ref="J4945">IFERROR(INDEX('Retirement Calculator'!J:J,MATCH('Isaac 401k'!N4945,'Retirement Calculator'!A:A,0),0),0)</f>
        <v>0</v>
      </c>
      <c r="K4945" s="444">
        <f t="shared" ca="1" si="196"/>
        <v>-89021349010.368805</v>
      </c>
      <c r="L4945" s="444">
        <f t="shared" ca="1" si="197"/>
        <v>-21454145111498.879</v>
      </c>
      <c r="M4945" s="460">
        <f t="shared" si="199"/>
        <v>0.05</v>
      </c>
      <c r="N4945" s="464">
        <f t="shared" si="200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98"/>
        <v>-21454145111498.879</v>
      </c>
      <c r="J4946" s="444">
        <f t="array" ref="J4946">IFERROR(INDEX('Retirement Calculator'!J:J,MATCH('Isaac 401k'!N4946,'Retirement Calculator'!A:A,0),0),0)</f>
        <v>0</v>
      </c>
      <c r="K4946" s="444">
        <f t="shared" ca="1" si="196"/>
        <v>-89392271297.911987</v>
      </c>
      <c r="L4946" s="444">
        <f t="shared" ca="1" si="197"/>
        <v>-21543537382796.789</v>
      </c>
      <c r="M4946" s="460">
        <f t="shared" si="199"/>
        <v>0.05</v>
      </c>
      <c r="N4946" s="464">
        <f t="shared" si="200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98"/>
        <v>-21543537382796.789</v>
      </c>
      <c r="J4947" s="444">
        <f t="array" ref="J4947">IFERROR(INDEX('Retirement Calculator'!J:J,MATCH('Isaac 401k'!N4947,'Retirement Calculator'!A:A,0),0),0)</f>
        <v>0</v>
      </c>
      <c r="K4947" s="444">
        <f t="shared" ca="1" si="196"/>
        <v>-89764739094.986618</v>
      </c>
      <c r="L4947" s="444">
        <f t="shared" ca="1" si="197"/>
        <v>-21633302121891.777</v>
      </c>
      <c r="M4947" s="460">
        <f t="shared" si="199"/>
        <v>0.05</v>
      </c>
      <c r="N4947" s="464">
        <f t="shared" si="200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98"/>
        <v>-21633302121891.777</v>
      </c>
      <c r="J4948" s="444">
        <f t="array" ref="J4948">IFERROR(INDEX('Retirement Calculator'!J:J,MATCH('Isaac 401k'!N4948,'Retirement Calculator'!A:A,0),0),0)</f>
        <v>0</v>
      </c>
      <c r="K4948" s="444">
        <f t="shared" ca="1" si="196"/>
        <v>-90138758841.215744</v>
      </c>
      <c r="L4948" s="444">
        <f t="shared" ca="1" si="197"/>
        <v>-21723440880732.992</v>
      </c>
      <c r="M4948" s="460">
        <f t="shared" si="199"/>
        <v>0.05</v>
      </c>
      <c r="N4948" s="464">
        <f t="shared" si="200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98"/>
        <v>-21723440880732.992</v>
      </c>
      <c r="J4949" s="444">
        <f t="array" ref="J4949">IFERROR(INDEX('Retirement Calculator'!J:J,MATCH('Isaac 401k'!N4949,'Retirement Calculator'!A:A,0),0),0)</f>
        <v>0</v>
      </c>
      <c r="K4949" s="444">
        <f t="shared" ca="1" si="196"/>
        <v>-90514337003.054138</v>
      </c>
      <c r="L4949" s="444">
        <f t="shared" ca="1" si="197"/>
        <v>-21813955217736.047</v>
      </c>
      <c r="M4949" s="460">
        <f t="shared" si="199"/>
        <v>0.05</v>
      </c>
      <c r="N4949" s="464">
        <f t="shared" si="200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98"/>
        <v>-21813955217736.047</v>
      </c>
      <c r="J4950" s="444">
        <f t="array" ref="J4950">IFERROR(INDEX('Retirement Calculator'!J:J,MATCH('Isaac 401k'!N4950,'Retirement Calculator'!A:A,0),0),0)</f>
        <v>0</v>
      </c>
      <c r="K4950" s="444">
        <f t="shared" ca="1" si="196"/>
        <v>-90891480073.900192</v>
      </c>
      <c r="L4950" s="444">
        <f t="shared" ca="1" si="197"/>
        <v>-21904846697809.945</v>
      </c>
      <c r="M4950" s="460">
        <f t="shared" si="199"/>
        <v>0.05</v>
      </c>
      <c r="N4950" s="464">
        <f t="shared" si="200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98"/>
        <v>-21904846697809.945</v>
      </c>
      <c r="J4951" s="444">
        <f t="array" ref="J4951">IFERROR(INDEX('Retirement Calculator'!J:J,MATCH('Isaac 401k'!N4951,'Retirement Calculator'!A:A,0),0),0)</f>
        <v>0</v>
      </c>
      <c r="K4951" s="444">
        <f t="shared" ca="1" si="196"/>
        <v>-91270194574.208099</v>
      </c>
      <c r="L4951" s="444">
        <f t="shared" ca="1" si="197"/>
        <v>-21996116892384.152</v>
      </c>
      <c r="M4951" s="460">
        <f t="shared" si="199"/>
        <v>0.05</v>
      </c>
      <c r="N4951" s="464">
        <f t="shared" si="200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98"/>
        <v>-21996116892384.152</v>
      </c>
      <c r="J4952" s="444">
        <f t="array" ref="J4952">IFERROR(INDEX('Retirement Calculator'!J:J,MATCH('Isaac 401k'!N4952,'Retirement Calculator'!A:A,0),0),0)</f>
        <v>0</v>
      </c>
      <c r="K4952" s="444">
        <f t="shared" ca="1" si="196"/>
        <v>-91650487051.600632</v>
      </c>
      <c r="L4952" s="444">
        <f t="shared" ca="1" si="197"/>
        <v>-22087767379435.754</v>
      </c>
      <c r="M4952" s="460">
        <f t="shared" si="199"/>
        <v>0.05</v>
      </c>
      <c r="N4952" s="464">
        <f t="shared" si="200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98"/>
        <v>-22087767379435.754</v>
      </c>
      <c r="J4953" s="444">
        <f t="array" ref="J4953">IFERROR(INDEX('Retirement Calculator'!J:J,MATCH('Isaac 401k'!N4953,'Retirement Calculator'!A:A,0),0),0)</f>
        <v>0</v>
      </c>
      <c r="K4953" s="444">
        <f t="shared" ca="1" si="196"/>
        <v>-92032364080.9823</v>
      </c>
      <c r="L4953" s="444">
        <f t="shared" ca="1" si="197"/>
        <v>-22179799743516.734</v>
      </c>
      <c r="M4953" s="460">
        <f t="shared" si="199"/>
        <v>0.05</v>
      </c>
      <c r="N4953" s="464">
        <f t="shared" si="200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98"/>
        <v>-22179799743516.734</v>
      </c>
      <c r="J4954" s="444">
        <f t="array" ref="J4954">IFERROR(INDEX('Retirement Calculator'!J:J,MATCH('Isaac 401k'!N4954,'Retirement Calculator'!A:A,0),0),0)</f>
        <v>0</v>
      </c>
      <c r="K4954" s="444">
        <f t="shared" ca="1" si="196"/>
        <v>-92415832264.653061</v>
      </c>
      <c r="L4954" s="444">
        <f t="shared" ca="1" si="197"/>
        <v>-22272215575781.387</v>
      </c>
      <c r="M4954" s="460">
        <f t="shared" si="199"/>
        <v>0.05</v>
      </c>
      <c r="N4954" s="464">
        <f t="shared" si="200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98"/>
        <v>-22272215575781.387</v>
      </c>
      <c r="J4955" s="444">
        <f t="array" ref="J4955">IFERROR(INDEX('Retirement Calculator'!J:J,MATCH('Isaac 401k'!N4955,'Retirement Calculator'!A:A,0),0),0)</f>
        <v>0</v>
      </c>
      <c r="K4955" s="444">
        <f t="shared" ca="1" si="196"/>
        <v>-92800898232.42244</v>
      </c>
      <c r="L4955" s="444">
        <f t="shared" ca="1" si="197"/>
        <v>-22365016474013.809</v>
      </c>
      <c r="M4955" s="460">
        <f t="shared" si="199"/>
        <v>0.05</v>
      </c>
      <c r="N4955" s="464">
        <f t="shared" si="200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98"/>
        <v>-22365016474013.809</v>
      </c>
      <c r="J4956" s="444">
        <f t="array" ref="J4956">IFERROR(INDEX('Retirement Calculator'!J:J,MATCH('Isaac 401k'!N4956,'Retirement Calculator'!A:A,0),0),0)</f>
        <v>0</v>
      </c>
      <c r="K4956" s="444">
        <f t="shared" ca="1" si="196"/>
        <v>-93187568641.724197</v>
      </c>
      <c r="L4956" s="444">
        <f t="shared" ca="1" si="197"/>
        <v>-22458204042655.531</v>
      </c>
      <c r="M4956" s="460">
        <f t="shared" si="199"/>
        <v>0.05</v>
      </c>
      <c r="N4956" s="464">
        <f t="shared" si="200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98"/>
        <v>-22458204042655.531</v>
      </c>
      <c r="J4957" s="444">
        <f t="array" ref="J4957">IFERROR(INDEX('Retirement Calculator'!J:J,MATCH('Isaac 401k'!N4957,'Retirement Calculator'!A:A,0),0),0)</f>
        <v>0</v>
      </c>
      <c r="K4957" s="444">
        <f t="shared" ca="1" si="196"/>
        <v>-93575850177.731384</v>
      </c>
      <c r="L4957" s="444">
        <f t="shared" ca="1" si="197"/>
        <v>-22551779892833.262</v>
      </c>
      <c r="M4957" s="460">
        <f t="shared" si="199"/>
        <v>0.05</v>
      </c>
      <c r="N4957" s="464">
        <f t="shared" si="200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98"/>
        <v>-22551779892833.262</v>
      </c>
      <c r="J4958" s="444">
        <f t="array" ref="J4958">IFERROR(INDEX('Retirement Calculator'!J:J,MATCH('Isaac 401k'!N4958,'Retirement Calculator'!A:A,0),0),0)</f>
        <v>0</v>
      </c>
      <c r="K4958" s="444">
        <f t="shared" ca="1" si="196"/>
        <v>-93965749553.471924</v>
      </c>
      <c r="L4958" s="444">
        <f t="shared" ca="1" si="197"/>
        <v>-22645745642386.734</v>
      </c>
      <c r="M4958" s="460">
        <f t="shared" si="199"/>
        <v>0.05</v>
      </c>
      <c r="N4958" s="464">
        <f t="shared" si="200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98"/>
        <v>-22645745642386.734</v>
      </c>
      <c r="J4959" s="444">
        <f t="array" ref="J4959">IFERROR(INDEX('Retirement Calculator'!J:J,MATCH('Isaac 401k'!N4959,'Retirement Calculator'!A:A,0),0),0)</f>
        <v>0</v>
      </c>
      <c r="K4959" s="444">
        <f t="shared" ca="1" si="196"/>
        <v>-94357273509.944733</v>
      </c>
      <c r="L4959" s="444">
        <f t="shared" ca="1" si="197"/>
        <v>-22740102915896.68</v>
      </c>
      <c r="M4959" s="460">
        <f t="shared" si="199"/>
        <v>0.05</v>
      </c>
      <c r="N4959" s="464">
        <f t="shared" si="200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98"/>
        <v>-22740102915896.68</v>
      </c>
      <c r="J4960" s="444">
        <f t="array" ref="J4960">IFERROR(INDEX('Retirement Calculator'!J:J,MATCH('Isaac 401k'!N4960,'Retirement Calculator'!A:A,0),0),0)</f>
        <v>0</v>
      </c>
      <c r="K4960" s="444">
        <f t="shared" ca="1" si="196"/>
        <v>-94750428816.23616</v>
      </c>
      <c r="L4960" s="444">
        <f t="shared" ca="1" si="197"/>
        <v>-22834853344712.914</v>
      </c>
      <c r="M4960" s="460">
        <f t="shared" si="199"/>
        <v>0.05</v>
      </c>
      <c r="N4960" s="464">
        <f t="shared" si="200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98"/>
        <v>-22834853344712.914</v>
      </c>
      <c r="J4961" s="444">
        <f t="array" ref="J4961">IFERROR(INDEX('Retirement Calculator'!J:J,MATCH('Isaac 401k'!N4961,'Retirement Calculator'!A:A,0),0),0)</f>
        <v>0</v>
      </c>
      <c r="K4961" s="444">
        <f t="shared" ca="1" si="196"/>
        <v>-95145222269.637146</v>
      </c>
      <c r="L4961" s="444">
        <f t="shared" ca="1" si="197"/>
        <v>-22929998566982.551</v>
      </c>
      <c r="M4961" s="460">
        <f t="shared" si="199"/>
        <v>0.05</v>
      </c>
      <c r="N4961" s="464">
        <f t="shared" si="200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98"/>
        <v>-22929998566982.551</v>
      </c>
      <c r="J4962" s="444">
        <f t="array" ref="J4962">IFERROR(INDEX('Retirement Calculator'!J:J,MATCH('Isaac 401k'!N4962,'Retirement Calculator'!A:A,0),0),0)</f>
        <v>0</v>
      </c>
      <c r="K4962" s="444">
        <f t="shared" ca="1" si="196"/>
        <v>-95541660695.76062</v>
      </c>
      <c r="L4962" s="444">
        <f t="shared" ca="1" si="197"/>
        <v>-23025540227678.313</v>
      </c>
      <c r="M4962" s="460">
        <f t="shared" si="199"/>
        <v>0.05</v>
      </c>
      <c r="N4962" s="464">
        <f t="shared" si="200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98"/>
        <v>-23025540227678.313</v>
      </c>
      <c r="J4963" s="444">
        <f t="array" ref="J4963">IFERROR(INDEX('Retirement Calculator'!J:J,MATCH('Isaac 401k'!N4963,'Retirement Calculator'!A:A,0),0),0)</f>
        <v>0</v>
      </c>
      <c r="K4963" s="444">
        <f t="shared" ca="1" si="196"/>
        <v>-95939750948.659637</v>
      </c>
      <c r="L4963" s="444">
        <f t="shared" ca="1" si="197"/>
        <v>-23121479978626.973</v>
      </c>
      <c r="M4963" s="460">
        <f t="shared" si="199"/>
        <v>0.05</v>
      </c>
      <c r="N4963" s="464">
        <f t="shared" si="200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98"/>
        <v>-23121479978626.973</v>
      </c>
      <c r="J4964" s="444">
        <f t="array" ref="J4964">IFERROR(INDEX('Retirement Calculator'!J:J,MATCH('Isaac 401k'!N4964,'Retirement Calculator'!A:A,0),0),0)</f>
        <v>0</v>
      </c>
      <c r="K4964" s="444">
        <f t="shared" ca="1" si="196"/>
        <v>-96339499910.945724</v>
      </c>
      <c r="L4964" s="444">
        <f t="shared" ca="1" si="197"/>
        <v>-23217819478537.918</v>
      </c>
      <c r="M4964" s="460">
        <f t="shared" si="199"/>
        <v>0.05</v>
      </c>
      <c r="N4964" s="464">
        <f t="shared" si="200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98"/>
        <v>-23217819478537.918</v>
      </c>
      <c r="J4965" s="444">
        <f t="array" ref="J4965">IFERROR(INDEX('Retirement Calculator'!J:J,MATCH('Isaac 401k'!N4965,'Retirement Calculator'!A:A,0),0),0)</f>
        <v>0</v>
      </c>
      <c r="K4965" s="444">
        <f t="shared" ca="1" si="196"/>
        <v>-96740914493.90799</v>
      </c>
      <c r="L4965" s="444">
        <f t="shared" ca="1" si="197"/>
        <v>-23314560393031.824</v>
      </c>
      <c r="M4965" s="460">
        <f t="shared" si="199"/>
        <v>0.05</v>
      </c>
      <c r="N4965" s="464">
        <f t="shared" si="200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98"/>
        <v>-23314560393031.824</v>
      </c>
      <c r="J4966" s="444">
        <f t="array" ref="J4966">IFERROR(INDEX('Retirement Calculator'!J:J,MATCH('Isaac 401k'!N4966,'Retirement Calculator'!A:A,0),0),0)</f>
        <v>0</v>
      </c>
      <c r="K4966" s="444">
        <f t="shared" ca="1" si="196"/>
        <v>-97144001637.632599</v>
      </c>
      <c r="L4966" s="444">
        <f t="shared" ca="1" si="197"/>
        <v>-23411704394669.457</v>
      </c>
      <c r="M4966" s="460">
        <f t="shared" si="199"/>
        <v>0.05</v>
      </c>
      <c r="N4966" s="464">
        <f t="shared" si="200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98"/>
        <v>-23411704394669.457</v>
      </c>
      <c r="J4967" s="444">
        <f t="array" ref="J4967">IFERROR(INDEX('Retirement Calculator'!J:J,MATCH('Isaac 401k'!N4967,'Retirement Calculator'!A:A,0),0),0)</f>
        <v>0</v>
      </c>
      <c r="K4967" s="444">
        <f t="shared" ca="1" si="196"/>
        <v>-97548768311.122742</v>
      </c>
      <c r="L4967" s="444">
        <f t="shared" ca="1" si="197"/>
        <v>-23509253162980.578</v>
      </c>
      <c r="M4967" s="460">
        <f t="shared" si="199"/>
        <v>0.05</v>
      </c>
      <c r="N4967" s="464">
        <f t="shared" si="200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98"/>
        <v>-23509253162980.578</v>
      </c>
      <c r="J4968" s="444">
        <f t="array" ref="J4968">IFERROR(INDEX('Retirement Calculator'!J:J,MATCH('Isaac 401k'!N4968,'Retirement Calculator'!A:A,0),0),0)</f>
        <v>0</v>
      </c>
      <c r="K4968" s="444">
        <f t="shared" ca="1" si="196"/>
        <v>-97955221512.419067</v>
      </c>
      <c r="L4968" s="444">
        <f t="shared" ca="1" si="197"/>
        <v>-23607208384492.996</v>
      </c>
      <c r="M4968" s="460">
        <f t="shared" si="199"/>
        <v>0.05</v>
      </c>
      <c r="N4968" s="464">
        <f t="shared" si="200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98"/>
        <v>-23607208384492.996</v>
      </c>
      <c r="J4969" s="444">
        <f t="array" ref="J4969">IFERROR(INDEX('Retirement Calculator'!J:J,MATCH('Isaac 401k'!N4969,'Retirement Calculator'!A:A,0),0),0)</f>
        <v>0</v>
      </c>
      <c r="K4969" s="444">
        <f t="shared" ca="1" si="196"/>
        <v>-98363368268.72081</v>
      </c>
      <c r="L4969" s="444">
        <f t="shared" ca="1" si="197"/>
        <v>-23705571752761.719</v>
      </c>
      <c r="M4969" s="460">
        <f t="shared" si="199"/>
        <v>0.05</v>
      </c>
      <c r="N4969" s="464">
        <f t="shared" si="200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98"/>
        <v>-23705571752761.719</v>
      </c>
      <c r="J4970" s="444">
        <f t="array" ref="J4970">IFERROR(INDEX('Retirement Calculator'!J:J,MATCH('Isaac 401k'!N4970,'Retirement Calculator'!A:A,0),0),0)</f>
        <v>0</v>
      </c>
      <c r="K4970" s="444">
        <f t="shared" ca="1" si="196"/>
        <v>-98773215636.507156</v>
      </c>
      <c r="L4970" s="444">
        <f t="shared" ca="1" si="197"/>
        <v>-23804344968398.227</v>
      </c>
      <c r="M4970" s="460">
        <f t="shared" si="199"/>
        <v>0.05</v>
      </c>
      <c r="N4970" s="464">
        <f t="shared" si="200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98"/>
        <v>-23804344968398.227</v>
      </c>
      <c r="J4971" s="444">
        <f t="array" ref="J4971">IFERROR(INDEX('Retirement Calculator'!J:J,MATCH('Isaac 401k'!N4971,'Retirement Calculator'!A:A,0),0),0)</f>
        <v>0</v>
      </c>
      <c r="K4971" s="444">
        <f t="shared" ca="1" si="196"/>
        <v>-99184770701.659271</v>
      </c>
      <c r="L4971" s="444">
        <f t="shared" ca="1" si="197"/>
        <v>-23903529739099.887</v>
      </c>
      <c r="M4971" s="460">
        <f t="shared" si="199"/>
        <v>0.05</v>
      </c>
      <c r="N4971" s="464">
        <f t="shared" si="200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98"/>
        <v>-23903529739099.887</v>
      </c>
      <c r="J4972" s="444">
        <f t="array" ref="J4972">IFERROR(INDEX('Retirement Calculator'!J:J,MATCH('Isaac 401k'!N4972,'Retirement Calculator'!A:A,0),0),0)</f>
        <v>0</v>
      </c>
      <c r="K4972" s="444">
        <f t="shared" ca="1" si="196"/>
        <v>-99598040579.582855</v>
      </c>
      <c r="L4972" s="444">
        <f t="shared" ca="1" si="197"/>
        <v>-24003127779679.469</v>
      </c>
      <c r="M4972" s="460">
        <f t="shared" si="199"/>
        <v>0.05</v>
      </c>
      <c r="N4972" s="464">
        <f t="shared" si="200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98"/>
        <v>-24003127779679.469</v>
      </c>
      <c r="J4973" s="444">
        <f t="array" ref="J4973">IFERROR(INDEX('Retirement Calculator'!J:J,MATCH('Isaac 401k'!N4973,'Retirement Calculator'!A:A,0),0),0)</f>
        <v>0</v>
      </c>
      <c r="K4973" s="444">
        <f t="shared" ca="1" si="196"/>
        <v>-100013032415.33112</v>
      </c>
      <c r="L4973" s="444">
        <f t="shared" ca="1" si="197"/>
        <v>-24103140812094.801</v>
      </c>
      <c r="M4973" s="460">
        <f t="shared" si="199"/>
        <v>0.05</v>
      </c>
      <c r="N4973" s="464">
        <f t="shared" si="200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98"/>
        <v>-24103140812094.801</v>
      </c>
      <c r="J4974" s="444">
        <f t="array" ref="J4974">IFERROR(INDEX('Retirement Calculator'!J:J,MATCH('Isaac 401k'!N4974,'Retirement Calculator'!A:A,0),0),0)</f>
        <v>0</v>
      </c>
      <c r="K4974" s="444">
        <f t="shared" ca="1" si="196"/>
        <v>-100429753383.72833</v>
      </c>
      <c r="L4974" s="444">
        <f t="shared" ca="1" si="197"/>
        <v>-24203570565478.527</v>
      </c>
      <c r="M4974" s="460">
        <f t="shared" si="199"/>
        <v>0.05</v>
      </c>
      <c r="N4974" s="464">
        <f t="shared" si="200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98"/>
        <v>-24203570565478.527</v>
      </c>
      <c r="J4975" s="444">
        <f t="array" ref="J4975">IFERROR(INDEX('Retirement Calculator'!J:J,MATCH('Isaac 401k'!N4975,'Retirement Calculator'!A:A,0),0),0)</f>
        <v>0</v>
      </c>
      <c r="K4975" s="444">
        <f t="shared" ca="1" si="196"/>
        <v>-100848210689.49387</v>
      </c>
      <c r="L4975" s="444">
        <f t="shared" ca="1" si="197"/>
        <v>-24304418776168.02</v>
      </c>
      <c r="M4975" s="460">
        <f t="shared" si="199"/>
        <v>0.05</v>
      </c>
      <c r="N4975" s="464">
        <f t="shared" si="200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98"/>
        <v>-24304418776168.02</v>
      </c>
      <c r="J4976" s="444">
        <f t="array" ref="J4976">IFERROR(INDEX('Retirement Calculator'!J:J,MATCH('Isaac 401k'!N4976,'Retirement Calculator'!A:A,0),0),0)</f>
        <v>0</v>
      </c>
      <c r="K4976" s="444">
        <f t="shared" ca="1" si="196"/>
        <v>-101268411567.36674</v>
      </c>
      <c r="L4976" s="444">
        <f t="shared" ca="1" si="197"/>
        <v>-24405687187735.387</v>
      </c>
      <c r="M4976" s="460">
        <f t="shared" si="199"/>
        <v>0.05</v>
      </c>
      <c r="N4976" s="464">
        <f t="shared" si="200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98"/>
        <v>-24405687187735.387</v>
      </c>
      <c r="J4977" s="444">
        <f t="array" ref="J4977">IFERROR(INDEX('Retirement Calculator'!J:J,MATCH('Isaac 401k'!N4977,'Retirement Calculator'!A:A,0),0),0)</f>
        <v>0</v>
      </c>
      <c r="K4977" s="444">
        <f t="shared" ca="1" si="196"/>
        <v>-101690363282.23077</v>
      </c>
      <c r="L4977" s="444">
        <f t="shared" ca="1" si="197"/>
        <v>-24507377551017.617</v>
      </c>
      <c r="M4977" s="460">
        <f t="shared" si="199"/>
        <v>0.05</v>
      </c>
      <c r="N4977" s="464">
        <f t="shared" si="200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98"/>
        <v>-24507377551017.617</v>
      </c>
      <c r="J4978" s="444">
        <f t="array" ref="J4978">IFERROR(INDEX('Retirement Calculator'!J:J,MATCH('Isaac 401k'!N4978,'Retirement Calculator'!A:A,0),0),0)</f>
        <v>0</v>
      </c>
      <c r="K4978" s="444">
        <f t="shared" ca="1" si="196"/>
        <v>-102114073129.24007</v>
      </c>
      <c r="L4978" s="444">
        <f t="shared" ca="1" si="197"/>
        <v>-24609491624146.855</v>
      </c>
      <c r="M4978" s="460">
        <f t="shared" si="199"/>
        <v>0.05</v>
      </c>
      <c r="N4978" s="464">
        <f t="shared" si="200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98"/>
        <v>-24609491624146.855</v>
      </c>
      <c r="J4979" s="444">
        <f t="array" ref="J4979">IFERROR(INDEX('Retirement Calculator'!J:J,MATCH('Isaac 401k'!N4979,'Retirement Calculator'!A:A,0),0),0)</f>
        <v>0</v>
      </c>
      <c r="K4979" s="444">
        <f t="shared" ca="1" si="196"/>
        <v>-102539548433.94524</v>
      </c>
      <c r="L4979" s="444">
        <f t="shared" ca="1" si="197"/>
        <v>-24712031172580.801</v>
      </c>
      <c r="M4979" s="460">
        <f t="shared" si="199"/>
        <v>0.05</v>
      </c>
      <c r="N4979" s="464">
        <f t="shared" si="200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98"/>
        <v>-24712031172580.801</v>
      </c>
      <c r="J4980" s="444">
        <f t="array" ref="J4980">IFERROR(INDEX('Retirement Calculator'!J:J,MATCH('Isaac 401k'!N4980,'Retirement Calculator'!A:A,0),0),0)</f>
        <v>0</v>
      </c>
      <c r="K4980" s="444">
        <f t="shared" ca="1" si="196"/>
        <v>-102966796552.42</v>
      </c>
      <c r="L4980" s="444">
        <f t="shared" ca="1" si="197"/>
        <v>-24814997969133.223</v>
      </c>
      <c r="M4980" s="460">
        <f t="shared" si="199"/>
        <v>0.05</v>
      </c>
      <c r="N4980" s="464">
        <f t="shared" si="200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98"/>
        <v>-24814997969133.223</v>
      </c>
      <c r="J4981" s="444">
        <f t="array" ref="J4981">IFERROR(INDEX('Retirement Calculator'!J:J,MATCH('Isaac 401k'!N4981,'Retirement Calculator'!A:A,0),0),0)</f>
        <v>0</v>
      </c>
      <c r="K4981" s="444">
        <f t="shared" ca="1" si="196"/>
        <v>-103395824871.38843</v>
      </c>
      <c r="L4981" s="444">
        <f t="shared" ca="1" si="197"/>
        <v>-24918393794004.609</v>
      </c>
      <c r="M4981" s="460">
        <f t="shared" si="199"/>
        <v>0.05</v>
      </c>
      <c r="N4981" s="464">
        <f t="shared" si="200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98"/>
        <v>-24918393794004.609</v>
      </c>
      <c r="J4982" s="444">
        <f t="array" ref="J4982">IFERROR(INDEX('Retirement Calculator'!J:J,MATCH('Isaac 401k'!N4982,'Retirement Calculator'!A:A,0),0),0)</f>
        <v>0</v>
      </c>
      <c r="K4982" s="444">
        <f t="shared" ca="1" si="196"/>
        <v>-103826640808.35254</v>
      </c>
      <c r="L4982" s="444">
        <f t="shared" ca="1" si="197"/>
        <v>-25022220434812.961</v>
      </c>
      <c r="M4982" s="460">
        <f t="shared" si="199"/>
        <v>0.05</v>
      </c>
      <c r="N4982" s="464">
        <f t="shared" si="200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98"/>
        <v>-25022220434812.961</v>
      </c>
      <c r="J4983" s="444">
        <f t="array" ref="J4983">IFERROR(INDEX('Retirement Calculator'!J:J,MATCH('Isaac 401k'!N4983,'Retirement Calculator'!A:A,0),0),0)</f>
        <v>0</v>
      </c>
      <c r="K4983" s="444">
        <f t="shared" ca="1" si="196"/>
        <v>-104259251811.72067</v>
      </c>
      <c r="L4983" s="444">
        <f t="shared" ca="1" si="197"/>
        <v>-25126479686624.68</v>
      </c>
      <c r="M4983" s="460">
        <f t="shared" si="199"/>
        <v>0.05</v>
      </c>
      <c r="N4983" s="464">
        <f t="shared" si="200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98"/>
        <v>-25126479686624.68</v>
      </c>
      <c r="J4984" s="444">
        <f t="array" ref="J4984">IFERROR(INDEX('Retirement Calculator'!J:J,MATCH('Isaac 401k'!N4984,'Retirement Calculator'!A:A,0),0),0)</f>
        <v>0</v>
      </c>
      <c r="K4984" s="444">
        <f t="shared" ca="1" si="196"/>
        <v>-104693665360.93616</v>
      </c>
      <c r="L4984" s="444">
        <f t="shared" ca="1" si="197"/>
        <v>-25231173351985.617</v>
      </c>
      <c r="M4984" s="460">
        <f t="shared" si="199"/>
        <v>0.05</v>
      </c>
      <c r="N4984" s="464">
        <f t="shared" si="200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98"/>
        <v>-25231173351985.617</v>
      </c>
      <c r="J4985" s="444">
        <f t="array" ref="J4985">IFERROR(INDEX('Retirement Calculator'!J:J,MATCH('Isaac 401k'!N4985,'Retirement Calculator'!A:A,0),0),0)</f>
        <v>0</v>
      </c>
      <c r="K4985" s="444">
        <f t="shared" ca="1" si="196"/>
        <v>-105129888966.60674</v>
      </c>
      <c r="L4985" s="444">
        <f t="shared" ca="1" si="197"/>
        <v>-25336303240952.223</v>
      </c>
      <c r="M4985" s="460">
        <f t="shared" si="199"/>
        <v>0.05</v>
      </c>
      <c r="N4985" s="464">
        <f t="shared" si="200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98"/>
        <v>-25336303240952.223</v>
      </c>
      <c r="J4986" s="444">
        <f t="array" ref="J4986">IFERROR(INDEX('Retirement Calculator'!J:J,MATCH('Isaac 401k'!N4986,'Retirement Calculator'!A:A,0),0),0)</f>
        <v>0</v>
      </c>
      <c r="K4986" s="444">
        <f t="shared" ca="1" si="196"/>
        <v>-105567930170.63426</v>
      </c>
      <c r="L4986" s="444">
        <f t="shared" ca="1" si="197"/>
        <v>-25441871171122.855</v>
      </c>
      <c r="M4986" s="460">
        <f t="shared" si="199"/>
        <v>0.05</v>
      </c>
      <c r="N4986" s="464">
        <f t="shared" si="200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98"/>
        <v>-25441871171122.855</v>
      </c>
      <c r="J4987" s="444">
        <f t="array" ref="J4987">IFERROR(INDEX('Retirement Calculator'!J:J,MATCH('Isaac 401k'!N4987,'Retirement Calculator'!A:A,0),0),0)</f>
        <v>0</v>
      </c>
      <c r="K4987" s="444">
        <f t="shared" ca="1" si="196"/>
        <v>-106007796546.34523</v>
      </c>
      <c r="L4987" s="444">
        <f t="shared" ca="1" si="197"/>
        <v>-25547878967669.199</v>
      </c>
      <c r="M4987" s="460">
        <f t="shared" si="199"/>
        <v>0.05</v>
      </c>
      <c r="N4987" s="464">
        <f t="shared" si="200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98"/>
        <v>-25547878967669.199</v>
      </c>
      <c r="J4988" s="444">
        <f t="array" ref="J4988">IFERROR(INDEX('Retirement Calculator'!J:J,MATCH('Isaac 401k'!N4988,'Retirement Calculator'!A:A,0),0),0)</f>
        <v>0</v>
      </c>
      <c r="K4988" s="444">
        <f t="shared" ca="1" si="196"/>
        <v>-106449495698.62166</v>
      </c>
      <c r="L4988" s="444">
        <f t="shared" ca="1" si="197"/>
        <v>-25654328463367.82</v>
      </c>
      <c r="M4988" s="460">
        <f t="shared" si="199"/>
        <v>0.05</v>
      </c>
      <c r="N4988" s="464">
        <f t="shared" si="200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98"/>
        <v>-25654328463367.82</v>
      </c>
      <c r="J4989" s="444">
        <f t="array" ref="J4989">IFERROR(INDEX('Retirement Calculator'!J:J,MATCH('Isaac 401k'!N4989,'Retirement Calculator'!A:A,0),0),0)</f>
        <v>0</v>
      </c>
      <c r="K4989" s="444">
        <f t="shared" ca="1" si="196"/>
        <v>-106893035264.03258</v>
      </c>
      <c r="L4989" s="444">
        <f t="shared" ca="1" si="197"/>
        <v>-25761221498631.852</v>
      </c>
      <c r="M4989" s="460">
        <f t="shared" si="199"/>
        <v>0.05</v>
      </c>
      <c r="N4989" s="464">
        <f t="shared" si="200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98"/>
        <v>-25761221498631.852</v>
      </c>
      <c r="J4990" s="444">
        <f t="array" ref="J4990">IFERROR(INDEX('Retirement Calculator'!J:J,MATCH('Isaac 401k'!N4990,'Retirement Calculator'!A:A,0),0),0)</f>
        <v>0</v>
      </c>
      <c r="K4990" s="444">
        <f t="shared" ca="1" si="196"/>
        <v>-107338422910.96605</v>
      </c>
      <c r="L4990" s="444">
        <f t="shared" ca="1" si="197"/>
        <v>-25868559921542.816</v>
      </c>
      <c r="M4990" s="460">
        <f t="shared" si="199"/>
        <v>0.05</v>
      </c>
      <c r="N4990" s="464">
        <f t="shared" si="200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98"/>
        <v>-25868559921542.816</v>
      </c>
      <c r="J4991" s="444">
        <f t="array" ref="J4991">IFERROR(INDEX('Retirement Calculator'!J:J,MATCH('Isaac 401k'!N4991,'Retirement Calculator'!A:A,0),0),0)</f>
        <v>0</v>
      </c>
      <c r="K4991" s="444">
        <f t="shared" ca="1" si="196"/>
        <v>-107785666339.76173</v>
      </c>
      <c r="L4991" s="444">
        <f t="shared" ca="1" si="197"/>
        <v>-25976345587882.578</v>
      </c>
      <c r="M4991" s="460">
        <f t="shared" si="199"/>
        <v>0.05</v>
      </c>
      <c r="N4991" s="464">
        <f t="shared" si="200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98"/>
        <v>-25976345587882.578</v>
      </c>
      <c r="J4992" s="444">
        <f t="array" ref="J4992">IFERROR(INDEX('Retirement Calculator'!J:J,MATCH('Isaac 401k'!N4992,'Retirement Calculator'!A:A,0),0),0)</f>
        <v>0</v>
      </c>
      <c r="K4992" s="444">
        <f t="shared" ca="1" si="196"/>
        <v>-108234773282.84407</v>
      </c>
      <c r="L4992" s="444">
        <f t="shared" ca="1" si="197"/>
        <v>-26084580361165.422</v>
      </c>
      <c r="M4992" s="460">
        <f t="shared" si="199"/>
        <v>0.05</v>
      </c>
      <c r="N4992" s="464">
        <f t="shared" si="200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98"/>
        <v>-26084580361165.422</v>
      </c>
      <c r="J4993" s="444">
        <f t="array" ref="J4993">IFERROR(INDEX('Retirement Calculator'!J:J,MATCH('Isaac 401k'!N4993,'Retirement Calculator'!A:A,0),0),0)</f>
        <v>0</v>
      </c>
      <c r="K4993" s="444">
        <f t="shared" ca="1" si="196"/>
        <v>-108685751504.85593</v>
      </c>
      <c r="L4993" s="444">
        <f t="shared" ca="1" si="197"/>
        <v>-26193266112670.277</v>
      </c>
      <c r="M4993" s="460">
        <f t="shared" si="199"/>
        <v>0.05</v>
      </c>
      <c r="N4993" s="464">
        <f t="shared" si="200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98"/>
        <v>-26193266112670.277</v>
      </c>
      <c r="J4994" s="444">
        <f t="array" ref="J4994">IFERROR(INDEX('Retirement Calculator'!J:J,MATCH('Isaac 401k'!N4994,'Retirement Calculator'!A:A,0),0),0)</f>
        <v>0</v>
      </c>
      <c r="K4994" s="444">
        <f t="shared" ca="1" si="196"/>
        <v>-109138608802.79282</v>
      </c>
      <c r="L4994" s="444">
        <f t="shared" ca="1" si="197"/>
        <v>-26302404721473.07</v>
      </c>
      <c r="M4994" s="460">
        <f t="shared" si="199"/>
        <v>0.05</v>
      </c>
      <c r="N4994" s="464">
        <f t="shared" si="200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98"/>
        <v>-26302404721473.07</v>
      </c>
      <c r="J4995" s="444">
        <f t="array" ref="J4995">IFERROR(INDEX('Retirement Calculator'!J:J,MATCH('Isaac 401k'!N4995,'Retirement Calculator'!A:A,0),0),0)</f>
        <v>0</v>
      </c>
      <c r="K4995" s="444">
        <f t="shared" ca="1" si="196"/>
        <v>-109593353006.13779</v>
      </c>
      <c r="L4995" s="444">
        <f t="shared" ca="1" si="197"/>
        <v>-26411998074479.207</v>
      </c>
      <c r="M4995" s="460">
        <f t="shared" si="199"/>
        <v>0.05</v>
      </c>
      <c r="N4995" s="464">
        <f t="shared" si="200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98"/>
        <v>-26411998074479.207</v>
      </c>
      <c r="J4996" s="444">
        <f t="array" ref="J4996">IFERROR(INDEX('Retirement Calculator'!J:J,MATCH('Isaac 401k'!N4996,'Retirement Calculator'!A:A,0),0),0)</f>
        <v>0</v>
      </c>
      <c r="K4996" s="444">
        <f t="shared" ca="1" si="196"/>
        <v>-110049991976.99669</v>
      </c>
      <c r="L4996" s="444">
        <f t="shared" ca="1" si="197"/>
        <v>-26522048066456.203</v>
      </c>
      <c r="M4996" s="460">
        <f t="shared" si="199"/>
        <v>0.05</v>
      </c>
      <c r="N4996" s="464">
        <f t="shared" si="200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98"/>
        <v>-26522048066456.203</v>
      </c>
      <c r="J4997" s="444">
        <f t="array" ref="J4997">IFERROR(INDEX('Retirement Calculator'!J:J,MATCH('Isaac 401k'!N4997,'Retirement Calculator'!A:A,0),0),0)</f>
        <v>0</v>
      </c>
      <c r="K4997" s="444">
        <f t="shared" ca="1" si="196"/>
        <v>-110508533610.23418</v>
      </c>
      <c r="L4997" s="444">
        <f t="shared" ca="1" si="197"/>
        <v>-26632556600066.438</v>
      </c>
      <c r="M4997" s="460">
        <f t="shared" si="199"/>
        <v>0.05</v>
      </c>
      <c r="N4997" s="464">
        <f t="shared" si="200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98"/>
        <v>-26632556600066.438</v>
      </c>
      <c r="J4998" s="444">
        <f t="array" ref="J4998">IFERROR(INDEX('Retirement Calculator'!J:J,MATCH('Isaac 401k'!N4998,'Retirement Calculator'!A:A,0),0),0)</f>
        <v>0</v>
      </c>
      <c r="K4998" s="444">
        <f t="shared" ca="1" si="196"/>
        <v>-110968985833.61015</v>
      </c>
      <c r="L4998" s="444">
        <f t="shared" ca="1" si="197"/>
        <v>-26743525585900.047</v>
      </c>
      <c r="M4998" s="460">
        <f t="shared" si="199"/>
        <v>0.05</v>
      </c>
      <c r="N4998" s="464">
        <f t="shared" si="200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98"/>
        <v>-26743525585900.047</v>
      </c>
      <c r="J4999" s="444">
        <f t="array" ref="J4999">IFERROR(INDEX('Retirement Calculator'!J:J,MATCH('Isaac 401k'!N4999,'Retirement Calculator'!A:A,0),0),0)</f>
        <v>0</v>
      </c>
      <c r="K4999" s="444">
        <f t="shared" ca="1" si="196"/>
        <v>-111431356607.91685</v>
      </c>
      <c r="L4999" s="444">
        <f t="shared" ca="1" si="197"/>
        <v>-26854956942507.965</v>
      </c>
      <c r="M4999" s="460">
        <f t="shared" si="199"/>
        <v>0.05</v>
      </c>
      <c r="N4999" s="464">
        <f t="shared" si="200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98"/>
        <v>-26854956942507.965</v>
      </c>
      <c r="J5000" s="444">
        <f t="array" ref="J5000">IFERROR(INDEX('Retirement Calculator'!J:J,MATCH('Isaac 401k'!N5000,'Retirement Calculator'!A:A,0),0),0)</f>
        <v>0</v>
      </c>
      <c r="K5000" s="444">
        <f t="shared" ca="1" si="196"/>
        <v>-111895653927.11652</v>
      </c>
      <c r="L5000" s="444">
        <f t="shared" ca="1" si="197"/>
        <v>-26966852596435.082</v>
      </c>
      <c r="M5000" s="460">
        <f t="shared" si="199"/>
        <v>0.05</v>
      </c>
      <c r="N5000" s="464">
        <f t="shared" si="200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98"/>
        <v>-26966852596435.082</v>
      </c>
      <c r="J5001" s="444">
        <f t="array" ref="J5001">IFERROR(INDEX('Retirement Calculator'!J:J,MATCH('Isaac 401k'!N5001,'Retirement Calculator'!A:A,0),0),0)</f>
        <v>0</v>
      </c>
      <c r="K5001" s="444">
        <f t="shared" ca="1" si="196"/>
        <v>-112361885818.47951</v>
      </c>
      <c r="L5001" s="444">
        <f t="shared" ca="1" si="197"/>
        <v>-27079214482253.563</v>
      </c>
      <c r="M5001" s="460">
        <f t="shared" si="199"/>
        <v>0.05</v>
      </c>
      <c r="N5001" s="464">
        <f t="shared" si="200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98"/>
        <v>-27079214482253.563</v>
      </c>
      <c r="J5002" s="444">
        <f t="array" ref="J5002">IFERROR(INDEX('Retirement Calculator'!J:J,MATCH('Isaac 401k'!N5002,'Retirement Calculator'!A:A,0),0),0)</f>
        <v>0</v>
      </c>
      <c r="K5002" s="444">
        <f t="shared" ca="1" si="196"/>
        <v>-112830060342.72318</v>
      </c>
      <c r="L5002" s="444">
        <f t="shared" ca="1" si="197"/>
        <v>-27192044542596.285</v>
      </c>
      <c r="M5002" s="460">
        <f t="shared" si="199"/>
        <v>0.05</v>
      </c>
      <c r="N5002" s="464">
        <f t="shared" si="200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98"/>
        <v>-27192044542596.285</v>
      </c>
      <c r="J5003" s="444">
        <f t="array" ref="J5003">IFERROR(INDEX('Retirement Calculator'!J:J,MATCH('Isaac 401k'!N5003,'Retirement Calculator'!A:A,0),0),0)</f>
        <v>0</v>
      </c>
      <c r="K5003" s="444">
        <f t="shared" ca="1" si="196"/>
        <v>-113300185594.15118</v>
      </c>
      <c r="L5003" s="444">
        <f t="shared" ca="1" si="197"/>
        <v>-27305344728190.438</v>
      </c>
      <c r="M5003" s="460">
        <f t="shared" si="199"/>
        <v>0.05</v>
      </c>
      <c r="N5003" s="464">
        <f t="shared" si="200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98"/>
        <v>-27305344728190.438</v>
      </c>
      <c r="J5004" s="444">
        <f t="array" ref="J5004">IFERROR(INDEX('Retirement Calculator'!J:J,MATCH('Isaac 401k'!N5004,'Retirement Calculator'!A:A,0),0),0)</f>
        <v>0</v>
      </c>
      <c r="K5004" s="444">
        <f t="shared" ca="1" si="196"/>
        <v>-113772269700.79349</v>
      </c>
      <c r="L5004" s="444">
        <f t="shared" ca="1" si="197"/>
        <v>-27419116997891.23</v>
      </c>
      <c r="M5004" s="460">
        <f t="shared" si="199"/>
        <v>0.05</v>
      </c>
      <c r="N5004" s="464">
        <f t="shared" si="200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98"/>
        <v>-27419116997891.23</v>
      </c>
      <c r="J5005" s="444">
        <f t="array" ref="J5005">IFERROR(INDEX('Retirement Calculator'!J:J,MATCH('Isaac 401k'!N5005,'Retirement Calculator'!A:A,0),0),0)</f>
        <v>0</v>
      </c>
      <c r="K5005" s="444">
        <f t="shared" ca="1" si="196"/>
        <v>-114246320824.5468</v>
      </c>
      <c r="L5005" s="444">
        <f t="shared" ca="1" si="197"/>
        <v>-27533363318715.777</v>
      </c>
      <c r="M5005" s="460">
        <f t="shared" si="199"/>
        <v>0.05</v>
      </c>
      <c r="N5005" s="464">
        <f t="shared" si="200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98"/>
        <v>-27533363318715.777</v>
      </c>
      <c r="J5006" s="444">
        <f t="array" ref="J5006">IFERROR(INDEX('Retirement Calculator'!J:J,MATCH('Isaac 401k'!N5006,'Retirement Calculator'!A:A,0),0),0)</f>
        <v>0</v>
      </c>
      <c r="K5006" s="444">
        <f t="shared" ca="1" si="196"/>
        <v>-114722347161.31573</v>
      </c>
      <c r="L5006" s="444">
        <f t="shared" ca="1" si="197"/>
        <v>-27648085665877.094</v>
      </c>
      <c r="M5006" s="460">
        <f t="shared" si="199"/>
        <v>0.05</v>
      </c>
      <c r="N5006" s="464">
        <f t="shared" si="200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98"/>
        <v>-27648085665877.094</v>
      </c>
      <c r="J5007" s="444">
        <f t="array" ref="J5007">IFERROR(INDEX('Retirement Calculator'!J:J,MATCH('Isaac 401k'!N5007,'Retirement Calculator'!A:A,0),0),0)</f>
        <v>0</v>
      </c>
      <c r="K5007" s="444">
        <f t="shared" ca="1" si="196"/>
        <v>-115200356941.15457</v>
      </c>
      <c r="L5007" s="444">
        <f t="shared" ca="1" si="197"/>
        <v>-27763286022818.25</v>
      </c>
      <c r="M5007" s="460">
        <f t="shared" si="199"/>
        <v>0.05</v>
      </c>
      <c r="N5007" s="464">
        <f t="shared" si="200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98"/>
        <v>-27763286022818.25</v>
      </c>
      <c r="J5008" s="444">
        <f t="array" ref="J5008">IFERROR(INDEX('Retirement Calculator'!J:J,MATCH('Isaac 401k'!N5008,'Retirement Calculator'!A:A,0),0),0)</f>
        <v>0</v>
      </c>
      <c r="K5008" s="444">
        <f t="shared" ca="1" si="196"/>
        <v>-115680358428.40938</v>
      </c>
      <c r="L5008" s="444">
        <f t="shared" ca="1" si="197"/>
        <v>-27878966381246.66</v>
      </c>
      <c r="M5008" s="460">
        <f t="shared" si="199"/>
        <v>0.05</v>
      </c>
      <c r="N5008" s="464">
        <f t="shared" si="200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98"/>
        <v>-27878966381246.66</v>
      </c>
      <c r="J5009" s="444">
        <f t="array" ref="J5009">IFERROR(INDEX('Retirement Calculator'!J:J,MATCH('Isaac 401k'!N5009,'Retirement Calculator'!A:A,0),0),0)</f>
        <v>0</v>
      </c>
      <c r="K5009" s="444">
        <f t="shared" ca="1" si="196"/>
        <v>-116162359921.86108</v>
      </c>
      <c r="L5009" s="444">
        <f t="shared" ca="1" si="197"/>
        <v>-27995128741168.52</v>
      </c>
      <c r="M5009" s="460">
        <f t="shared" si="199"/>
        <v>0.05</v>
      </c>
      <c r="N5009" s="464">
        <f t="shared" si="200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98"/>
        <v>-27995128741168.52</v>
      </c>
      <c r="J5010" s="444">
        <f t="array" ref="J5010">IFERROR(INDEX('Retirement Calculator'!J:J,MATCH('Isaac 401k'!N5010,'Retirement Calculator'!A:A,0),0),0)</f>
        <v>0</v>
      </c>
      <c r="K5010" s="444">
        <f t="shared" ca="1" si="196"/>
        <v>-116646369754.86882</v>
      </c>
      <c r="L5010" s="444">
        <f t="shared" ca="1" si="197"/>
        <v>-28111775110923.387</v>
      </c>
      <c r="M5010" s="460">
        <f t="shared" si="199"/>
        <v>0.05</v>
      </c>
      <c r="N5010" s="464">
        <f t="shared" si="200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98"/>
        <v>-28111775110923.387</v>
      </c>
      <c r="J5011" s="444">
        <f t="array" ref="J5011">IFERROR(INDEX('Retirement Calculator'!J:J,MATCH('Isaac 401k'!N5011,'Retirement Calculator'!A:A,0),0),0)</f>
        <v>0</v>
      </c>
      <c r="K5011" s="444">
        <f t="shared" ca="1" si="196"/>
        <v>-117132396295.51411</v>
      </c>
      <c r="L5011" s="444">
        <f t="shared" ca="1" si="197"/>
        <v>-28228907507218.902</v>
      </c>
      <c r="M5011" s="460">
        <f t="shared" si="199"/>
        <v>0.05</v>
      </c>
      <c r="N5011" s="464">
        <f t="shared" si="200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98"/>
        <v>-28228907507218.902</v>
      </c>
      <c r="J5012" s="444">
        <f t="array" ref="J5012">IFERROR(INDEX('Retirement Calculator'!J:J,MATCH('Isaac 401k'!N5012,'Retirement Calculator'!A:A,0),0),0)</f>
        <v>0</v>
      </c>
      <c r="K5012" s="444">
        <f t="shared" ca="1" si="196"/>
        <v>-117620447946.74542</v>
      </c>
      <c r="L5012" s="444">
        <f t="shared" ca="1" si="197"/>
        <v>-28346527955165.648</v>
      </c>
      <c r="M5012" s="460">
        <f t="shared" si="199"/>
        <v>0.05</v>
      </c>
      <c r="N5012" s="464">
        <f t="shared" si="200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98"/>
        <v>-28346527955165.648</v>
      </c>
      <c r="J5013" s="444">
        <f t="array" ref="J5013">IFERROR(INDEX('Retirement Calculator'!J:J,MATCH('Isaac 401k'!N5013,'Retirement Calculator'!A:A,0),0),0)</f>
        <v>0</v>
      </c>
      <c r="K5013" s="444">
        <f t="shared" ca="1" si="196"/>
        <v>-118110533146.52353</v>
      </c>
      <c r="L5013" s="444">
        <f t="shared" ca="1" si="197"/>
        <v>-28464638488312.172</v>
      </c>
      <c r="M5013" s="460">
        <f t="shared" si="199"/>
        <v>0.05</v>
      </c>
      <c r="N5013" s="464">
        <f t="shared" si="200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98"/>
        <v>-28464638488312.172</v>
      </c>
      <c r="J5014" s="444">
        <f t="array" ref="J5014">IFERROR(INDEX('Retirement Calculator'!J:J,MATCH('Isaac 401k'!N5014,'Retirement Calculator'!A:A,0),0),0)</f>
        <v>0</v>
      </c>
      <c r="K5014" s="444">
        <f t="shared" ca="1" si="196"/>
        <v>-118602660367.96738</v>
      </c>
      <c r="L5014" s="444">
        <f t="shared" ca="1" si="197"/>
        <v>-28583241148680.141</v>
      </c>
      <c r="M5014" s="460">
        <f t="shared" si="199"/>
        <v>0.05</v>
      </c>
      <c r="N5014" s="464">
        <f t="shared" si="200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98"/>
        <v>-28583241148680.141</v>
      </c>
      <c r="J5015" s="444">
        <f t="array" ref="J5015">IFERROR(INDEX('Retirement Calculator'!J:J,MATCH('Isaac 401k'!N5015,'Retirement Calculator'!A:A,0),0),0)</f>
        <v>0</v>
      </c>
      <c r="K5015" s="444">
        <f t="shared" ca="1" si="196"/>
        <v>-119096838119.50058</v>
      </c>
      <c r="L5015" s="444">
        <f t="shared" ca="1" si="197"/>
        <v>-28702337986799.641</v>
      </c>
      <c r="M5015" s="460">
        <f t="shared" si="199"/>
        <v>0.05</v>
      </c>
      <c r="N5015" s="464">
        <f t="shared" si="200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98"/>
        <v>-28702337986799.641</v>
      </c>
      <c r="J5016" s="444">
        <f t="array" ref="J5016">IFERROR(INDEX('Retirement Calculator'!J:J,MATCH('Isaac 401k'!N5016,'Retirement Calculator'!A:A,0),0),0)</f>
        <v>0</v>
      </c>
      <c r="K5016" s="444">
        <f t="shared" ca="1" si="196"/>
        <v>-119593074944.9985</v>
      </c>
      <c r="L5016" s="444">
        <f t="shared" ca="1" si="197"/>
        <v>-28821931061744.641</v>
      </c>
      <c r="M5016" s="460">
        <f t="shared" si="199"/>
        <v>0.05</v>
      </c>
      <c r="N5016" s="464">
        <f t="shared" si="200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98"/>
        <v>-28821931061744.641</v>
      </c>
      <c r="J5017" s="444">
        <f t="array" ref="J5017">IFERROR(INDEX('Retirement Calculator'!J:J,MATCH('Isaac 401k'!N5017,'Retirement Calculator'!A:A,0),0),0)</f>
        <v>0</v>
      </c>
      <c r="K5017" s="444">
        <f t="shared" ca="1" si="196"/>
        <v>-120091379423.936</v>
      </c>
      <c r="L5017" s="444">
        <f t="shared" ca="1" si="197"/>
        <v>-28942022441168.578</v>
      </c>
      <c r="M5017" s="460">
        <f t="shared" si="199"/>
        <v>0.05</v>
      </c>
      <c r="N5017" s="464">
        <f t="shared" si="200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98"/>
        <v>-28942022441168.578</v>
      </c>
      <c r="J5018" s="444">
        <f t="array" ref="J5018">IFERROR(INDEX('Retirement Calculator'!J:J,MATCH('Isaac 401k'!N5018,'Retirement Calculator'!A:A,0),0),0)</f>
        <v>0</v>
      </c>
      <c r="K5018" s="444">
        <f t="shared" ca="1" si="196"/>
        <v>-120591760171.53572</v>
      </c>
      <c r="L5018" s="444">
        <f t="shared" ca="1" si="197"/>
        <v>-29062614201340.113</v>
      </c>
      <c r="M5018" s="460">
        <f t="shared" si="199"/>
        <v>0.05</v>
      </c>
      <c r="N5018" s="464">
        <f t="shared" si="200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98"/>
        <v>-29062614201340.113</v>
      </c>
      <c r="J5019" s="444">
        <f t="array" ref="J5019">IFERROR(INDEX('Retirement Calculator'!J:J,MATCH('Isaac 401k'!N5019,'Retirement Calculator'!A:A,0),0),0)</f>
        <v>0</v>
      </c>
      <c r="K5019" s="444">
        <f t="shared" ca="1" si="196"/>
        <v>-121094225838.91713</v>
      </c>
      <c r="L5019" s="444">
        <f t="shared" ca="1" si="197"/>
        <v>-29183708427179.031</v>
      </c>
      <c r="M5019" s="460">
        <f t="shared" si="199"/>
        <v>0.05</v>
      </c>
      <c r="N5019" s="464">
        <f t="shared" si="200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98"/>
        <v>-29183708427179.031</v>
      </c>
      <c r="J5020" s="444">
        <f t="array" ref="J5020">IFERROR(INDEX('Retirement Calculator'!J:J,MATCH('Isaac 401k'!N5020,'Retirement Calculator'!A:A,0),0),0)</f>
        <v>0</v>
      </c>
      <c r="K5020" s="444">
        <f t="shared" ca="1" si="196"/>
        <v>-121598785113.24596</v>
      </c>
      <c r="L5020" s="444">
        <f t="shared" ca="1" si="197"/>
        <v>-29305307212292.277</v>
      </c>
      <c r="M5020" s="460">
        <f t="shared" si="199"/>
        <v>0.05</v>
      </c>
      <c r="N5020" s="464">
        <f t="shared" si="200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98"/>
        <v>-29305307212292.277</v>
      </c>
      <c r="J5021" s="444">
        <f t="array" ref="J5021">IFERROR(INDEX('Retirement Calculator'!J:J,MATCH('Isaac 401k'!N5021,'Retirement Calculator'!A:A,0),0),0)</f>
        <v>0</v>
      </c>
      <c r="K5021" s="444">
        <f t="shared" ca="1" si="196"/>
        <v>-122105446717.88448</v>
      </c>
      <c r="L5021" s="444">
        <f t="shared" ca="1" si="197"/>
        <v>-29427412659010.16</v>
      </c>
      <c r="M5021" s="460">
        <f t="shared" si="199"/>
        <v>0.05</v>
      </c>
      <c r="N5021" s="464">
        <f t="shared" si="200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98"/>
        <v>-29427412659010.16</v>
      </c>
      <c r="J5022" s="444">
        <f t="array" ref="J5022">IFERROR(INDEX('Retirement Calculator'!J:J,MATCH('Isaac 401k'!N5022,'Retirement Calculator'!A:A,0),0),0)</f>
        <v>0</v>
      </c>
      <c r="K5022" s="444">
        <f t="shared" ca="1" si="196"/>
        <v>-122614219412.54233</v>
      </c>
      <c r="L5022" s="444">
        <f t="shared" ca="1" si="197"/>
        <v>-29550026878422.703</v>
      </c>
      <c r="M5022" s="460">
        <f t="shared" si="199"/>
        <v>0.05</v>
      </c>
      <c r="N5022" s="464">
        <f t="shared" si="200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98"/>
        <v>-29550026878422.703</v>
      </c>
      <c r="J5023" s="444">
        <f t="array" ref="J5023">IFERROR(INDEX('Retirement Calculator'!J:J,MATCH('Isaac 401k'!N5023,'Retirement Calculator'!A:A,0),0),0)</f>
        <v>0</v>
      </c>
      <c r="K5023" s="444">
        <f t="shared" ca="1" si="196"/>
        <v>-123125111993.42795</v>
      </c>
      <c r="L5023" s="444">
        <f t="shared" ca="1" si="197"/>
        <v>-29673151990416.133</v>
      </c>
      <c r="M5023" s="460">
        <f t="shared" si="199"/>
        <v>0.05</v>
      </c>
      <c r="N5023" s="464">
        <f t="shared" si="200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98"/>
        <v>-29673151990416.133</v>
      </c>
      <c r="J5024" s="444">
        <f t="array" ref="J5024">IFERROR(INDEX('Retirement Calculator'!J:J,MATCH('Isaac 401k'!N5024,'Retirement Calculator'!A:A,0),0),0)</f>
        <v>0</v>
      </c>
      <c r="K5024" s="444">
        <f t="shared" ca="1" si="196"/>
        <v>-123638133293.40056</v>
      </c>
      <c r="L5024" s="444">
        <f t="shared" ca="1" si="197"/>
        <v>-29796790123709.535</v>
      </c>
      <c r="M5024" s="460">
        <f t="shared" si="199"/>
        <v>0.05</v>
      </c>
      <c r="N5024" s="464">
        <f t="shared" si="200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98"/>
        <v>-29796790123709.535</v>
      </c>
      <c r="J5025" s="444">
        <f t="array" ref="J5025">IFERROR(INDEX('Retirement Calculator'!J:J,MATCH('Isaac 401k'!N5025,'Retirement Calculator'!A:A,0),0),0)</f>
        <v>0</v>
      </c>
      <c r="K5025" s="444">
        <f t="shared" ca="1" si="196"/>
        <v>-124153292182.12306</v>
      </c>
      <c r="L5025" s="444">
        <f t="shared" ca="1" si="197"/>
        <v>-29920943415891.66</v>
      </c>
      <c r="M5025" s="460">
        <f t="shared" si="199"/>
        <v>0.05</v>
      </c>
      <c r="N5025" s="464">
        <f t="shared" si="200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98"/>
        <v>-29920943415891.66</v>
      </c>
      <c r="J5026" s="444">
        <f t="array" ref="J5026">IFERROR(INDEX('Retirement Calculator'!J:J,MATCH('Isaac 401k'!N5026,'Retirement Calculator'!A:A,0),0),0)</f>
        <v>0</v>
      </c>
      <c r="K5026" s="444">
        <f t="shared" ca="1" si="196"/>
        <v>-124670597566.21523</v>
      </c>
      <c r="L5026" s="444">
        <f t="shared" ca="1" si="197"/>
        <v>-30045614013457.875</v>
      </c>
      <c r="M5026" s="460">
        <f t="shared" si="199"/>
        <v>0.05</v>
      </c>
      <c r="N5026" s="464">
        <f t="shared" si="200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98"/>
        <v>-30045614013457.875</v>
      </c>
      <c r="J5027" s="444">
        <f t="array" ref="J5027">IFERROR(INDEX('Retirement Calculator'!J:J,MATCH('Isaac 401k'!N5027,'Retirement Calculator'!A:A,0),0),0)</f>
        <v>0</v>
      </c>
      <c r="K5027" s="444">
        <f t="shared" ca="1" si="196"/>
        <v>-125190058389.40781</v>
      </c>
      <c r="L5027" s="444">
        <f t="shared" ca="1" si="197"/>
        <v>-30170804071847.281</v>
      </c>
      <c r="M5027" s="460">
        <f t="shared" si="199"/>
        <v>0.05</v>
      </c>
      <c r="N5027" s="464">
        <f t="shared" si="200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98"/>
        <v>-30170804071847.281</v>
      </c>
      <c r="J5028" s="444">
        <f t="array" ref="J5028">IFERROR(INDEX('Retirement Calculator'!J:J,MATCH('Isaac 401k'!N5028,'Retirement Calculator'!A:A,0),0),0)</f>
        <v>0</v>
      </c>
      <c r="K5028" s="444">
        <f t="shared" ca="1" si="196"/>
        <v>-125711683632.69701</v>
      </c>
      <c r="L5028" s="444">
        <f t="shared" ca="1" si="197"/>
        <v>-30296515755479.977</v>
      </c>
      <c r="M5028" s="460">
        <f t="shared" si="199"/>
        <v>0.05</v>
      </c>
      <c r="N5028" s="464">
        <f t="shared" si="200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98"/>
        <v>-30296515755479.977</v>
      </c>
      <c r="J5029" s="444">
        <f t="array" ref="J5029">IFERROR(INDEX('Retirement Calculator'!J:J,MATCH('Isaac 401k'!N5029,'Retirement Calculator'!A:A,0),0),0)</f>
        <v>0</v>
      </c>
      <c r="K5029" s="444">
        <f t="shared" ca="1" si="196"/>
        <v>-126235482314.49988</v>
      </c>
      <c r="L5029" s="444">
        <f t="shared" ca="1" si="197"/>
        <v>-30422751237794.477</v>
      </c>
      <c r="M5029" s="460">
        <f t="shared" si="199"/>
        <v>0.05</v>
      </c>
      <c r="N5029" s="464">
        <f t="shared" si="200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98"/>
        <v>-30422751237794.477</v>
      </c>
      <c r="J5030" s="444">
        <f t="array" ref="J5030">IFERROR(INDEX('Retirement Calculator'!J:J,MATCH('Isaac 401k'!N5030,'Retirement Calculator'!A:A,0),0),0)</f>
        <v>0</v>
      </c>
      <c r="K5030" s="444">
        <f t="shared" ca="1" si="196"/>
        <v>-126761463490.8103</v>
      </c>
      <c r="L5030" s="444">
        <f t="shared" ca="1" si="197"/>
        <v>-30549512701285.285</v>
      </c>
      <c r="M5030" s="460">
        <f t="shared" si="199"/>
        <v>0.05</v>
      </c>
      <c r="N5030" s="464">
        <f t="shared" si="200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98"/>
        <v>-30549512701285.285</v>
      </c>
      <c r="J5031" s="444">
        <f t="array" ref="J5031">IFERROR(INDEX('Retirement Calculator'!J:J,MATCH('Isaac 401k'!N5031,'Retirement Calculator'!A:A,0),0),0)</f>
        <v>0</v>
      </c>
      <c r="K5031" s="444">
        <f t="shared" ca="1" si="196"/>
        <v>-127289636255.35536</v>
      </c>
      <c r="L5031" s="444">
        <f t="shared" ca="1" si="197"/>
        <v>-30676802337540.641</v>
      </c>
      <c r="M5031" s="460">
        <f t="shared" si="199"/>
        <v>0.05</v>
      </c>
      <c r="N5031" s="464">
        <f t="shared" si="200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98"/>
        <v>-30676802337540.641</v>
      </c>
      <c r="J5032" s="444">
        <f t="array" ref="J5032">IFERROR(INDEX('Retirement Calculator'!J:J,MATCH('Isaac 401k'!N5032,'Retirement Calculator'!A:A,0),0),0)</f>
        <v>0</v>
      </c>
      <c r="K5032" s="444">
        <f t="shared" ca="1" si="196"/>
        <v>-127820009739.75267</v>
      </c>
      <c r="L5032" s="444">
        <f t="shared" ca="1" si="197"/>
        <v>-30804622347280.395</v>
      </c>
      <c r="M5032" s="460">
        <f t="shared" si="199"/>
        <v>0.05</v>
      </c>
      <c r="N5032" s="464">
        <f t="shared" si="200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98"/>
        <v>-30804622347280.395</v>
      </c>
      <c r="J5033" s="444">
        <f t="array" ref="J5033">IFERROR(INDEX('Retirement Calculator'!J:J,MATCH('Isaac 401k'!N5033,'Retirement Calculator'!A:A,0),0),0)</f>
        <v>0</v>
      </c>
      <c r="K5033" s="444">
        <f t="shared" ca="1" si="196"/>
        <v>-128352593113.6683</v>
      </c>
      <c r="L5033" s="444">
        <f t="shared" ca="1" si="197"/>
        <v>-30932974940394.063</v>
      </c>
      <c r="M5033" s="460">
        <f t="shared" si="199"/>
        <v>0.05</v>
      </c>
      <c r="N5033" s="464">
        <f t="shared" si="200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98"/>
        <v>-30932974940394.063</v>
      </c>
      <c r="J5034" s="444">
        <f t="array" ref="J5034">IFERROR(INDEX('Retirement Calculator'!J:J,MATCH('Isaac 401k'!N5034,'Retirement Calculator'!A:A,0),0),0)</f>
        <v>0</v>
      </c>
      <c r="K5034" s="444">
        <f t="shared" ca="1" si="196"/>
        <v>-128887395584.97527</v>
      </c>
      <c r="L5034" s="444">
        <f t="shared" ca="1" si="197"/>
        <v>-31061862335979.039</v>
      </c>
      <c r="M5034" s="460">
        <f t="shared" si="199"/>
        <v>0.05</v>
      </c>
      <c r="N5034" s="464">
        <f t="shared" si="200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98"/>
        <v>-31061862335979.039</v>
      </c>
      <c r="J5035" s="444">
        <f t="array" ref="J5035">IFERROR(INDEX('Retirement Calculator'!J:J,MATCH('Isaac 401k'!N5035,'Retirement Calculator'!A:A,0),0),0)</f>
        <v>0</v>
      </c>
      <c r="K5035" s="444">
        <f t="shared" ca="1" si="196"/>
        <v>-129424426399.91264</v>
      </c>
      <c r="L5035" s="444">
        <f t="shared" ca="1" si="197"/>
        <v>-31191286762378.953</v>
      </c>
      <c r="M5035" s="460">
        <f t="shared" si="199"/>
        <v>0.05</v>
      </c>
      <c r="N5035" s="464">
        <f t="shared" si="200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98"/>
        <v>-31191286762378.953</v>
      </c>
      <c r="J5036" s="444">
        <f t="array" ref="J5036">IFERROR(INDEX('Retirement Calculator'!J:J,MATCH('Isaac 401k'!N5036,'Retirement Calculator'!A:A,0),0),0)</f>
        <v>0</v>
      </c>
      <c r="K5036" s="444">
        <f t="shared" ca="1" si="196"/>
        <v>-129963694843.24564</v>
      </c>
      <c r="L5036" s="444">
        <f t="shared" ca="1" si="197"/>
        <v>-31321250457222.199</v>
      </c>
      <c r="M5036" s="460">
        <f t="shared" si="199"/>
        <v>0.05</v>
      </c>
      <c r="N5036" s="464">
        <f t="shared" si="200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98"/>
        <v>-31321250457222.199</v>
      </c>
      <c r="J5037" s="444">
        <f t="array" ref="J5037">IFERROR(INDEX('Retirement Calculator'!J:J,MATCH('Isaac 401k'!N5037,'Retirement Calculator'!A:A,0),0),0)</f>
        <v>0</v>
      </c>
      <c r="K5037" s="444">
        <f t="shared" ca="1" si="196"/>
        <v>-130505210238.42583</v>
      </c>
      <c r="L5037" s="444">
        <f t="shared" ca="1" si="197"/>
        <v>-31451755667460.625</v>
      </c>
      <c r="M5037" s="460">
        <f t="shared" si="199"/>
        <v>0.05</v>
      </c>
      <c r="N5037" s="464">
        <f t="shared" si="200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98"/>
        <v>-31451755667460.625</v>
      </c>
      <c r="J5038" s="444">
        <f t="array" ref="J5038">IFERROR(INDEX('Retirement Calculator'!J:J,MATCH('Isaac 401k'!N5038,'Retirement Calculator'!A:A,0),0),0)</f>
        <v>0</v>
      </c>
      <c r="K5038" s="444">
        <f t="shared" ca="1" si="196"/>
        <v>-131048981947.75261</v>
      </c>
      <c r="L5038" s="444">
        <f t="shared" ca="1" si="197"/>
        <v>-31582804649408.379</v>
      </c>
      <c r="M5038" s="460">
        <f t="shared" si="199"/>
        <v>0.05</v>
      </c>
      <c r="N5038" s="464">
        <f t="shared" si="200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98"/>
        <v>-31582804649408.379</v>
      </c>
      <c r="J5039" s="444">
        <f t="array" ref="J5039">IFERROR(INDEX('Retirement Calculator'!J:J,MATCH('Isaac 401k'!N5039,'Retirement Calculator'!A:A,0),0),0)</f>
        <v>0</v>
      </c>
      <c r="K5039" s="444">
        <f t="shared" ca="1" si="196"/>
        <v>-131595019372.53491</v>
      </c>
      <c r="L5039" s="444">
        <f t="shared" ca="1" si="197"/>
        <v>-31714399668780.914</v>
      </c>
      <c r="M5039" s="460">
        <f t="shared" si="199"/>
        <v>0.05</v>
      </c>
      <c r="N5039" s="464">
        <f t="shared" si="200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98"/>
        <v>-31714399668780.914</v>
      </c>
      <c r="J5040" s="444">
        <f t="array" ref="J5040">IFERROR(INDEX('Retirement Calculator'!J:J,MATCH('Isaac 401k'!N5040,'Retirement Calculator'!A:A,0),0),0)</f>
        <v>0</v>
      </c>
      <c r="K5040" s="444">
        <f t="shared" ca="1" si="196"/>
        <v>-132143331953.2538</v>
      </c>
      <c r="L5040" s="444">
        <f t="shared" ca="1" si="197"/>
        <v>-31846543000734.168</v>
      </c>
      <c r="M5040" s="460">
        <f t="shared" si="199"/>
        <v>0.05</v>
      </c>
      <c r="N5040" s="464">
        <f t="shared" si="200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98"/>
        <v>-31846543000734.168</v>
      </c>
      <c r="J5041" s="444">
        <f t="array" ref="J5041">IFERROR(INDEX('Retirement Calculator'!J:J,MATCH('Isaac 401k'!N5041,'Retirement Calculator'!A:A,0),0),0)</f>
        <v>0</v>
      </c>
      <c r="K5041" s="444">
        <f t="shared" ca="1" si="196"/>
        <v>-132693929169.72568</v>
      </c>
      <c r="L5041" s="444">
        <f t="shared" ca="1" si="197"/>
        <v>-31979236929903.895</v>
      </c>
      <c r="M5041" s="460">
        <f t="shared" si="199"/>
        <v>0.05</v>
      </c>
      <c r="N5041" s="464">
        <f t="shared" si="200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98"/>
        <v>-31979236929903.895</v>
      </c>
      <c r="J5042" s="444">
        <f t="array" ref="J5042">IFERROR(INDEX('Retirement Calculator'!J:J,MATCH('Isaac 401k'!N5042,'Retirement Calculator'!A:A,0),0),0)</f>
        <v>0</v>
      </c>
      <c r="K5042" s="444">
        <f t="shared" ca="1" si="196"/>
        <v>-133246820541.2662</v>
      </c>
      <c r="L5042" s="444">
        <f t="shared" ca="1" si="197"/>
        <v>-32112483750445.16</v>
      </c>
      <c r="M5042" s="460">
        <f t="shared" si="199"/>
        <v>0.05</v>
      </c>
      <c r="N5042" s="464">
        <f t="shared" si="200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98"/>
        <v>-32112483750445.16</v>
      </c>
      <c r="J5043" s="444">
        <f t="array" ref="J5043">IFERROR(INDEX('Retirement Calculator'!J:J,MATCH('Isaac 401k'!N5043,'Retirement Calculator'!A:A,0),0),0)</f>
        <v>0</v>
      </c>
      <c r="K5043" s="444">
        <f t="shared" ca="1" si="196"/>
        <v>-133802015626.85483</v>
      </c>
      <c r="L5043" s="444">
        <f t="shared" ca="1" si="197"/>
        <v>-32246285766072.016</v>
      </c>
      <c r="M5043" s="460">
        <f t="shared" si="199"/>
        <v>0.05</v>
      </c>
      <c r="N5043" s="464">
        <f t="shared" si="200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98"/>
        <v>-32246285766072.016</v>
      </c>
      <c r="J5044" s="444">
        <f t="array" ref="J5044">IFERROR(INDEX('Retirement Calculator'!J:J,MATCH('Isaac 401k'!N5044,'Retirement Calculator'!A:A,0),0),0)</f>
        <v>0</v>
      </c>
      <c r="K5044" s="444">
        <f t="shared" ca="1" si="196"/>
        <v>-134359524025.30005</v>
      </c>
      <c r="L5044" s="444">
        <f t="shared" ca="1" si="197"/>
        <v>-32380645290097.316</v>
      </c>
      <c r="M5044" s="460">
        <f t="shared" si="199"/>
        <v>0.05</v>
      </c>
      <c r="N5044" s="464">
        <f t="shared" si="200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98"/>
        <v>-32380645290097.316</v>
      </c>
      <c r="J5045" s="444">
        <f t="array" ref="J5045">IFERROR(INDEX('Retirement Calculator'!J:J,MATCH('Isaac 401k'!N5045,'Retirement Calculator'!A:A,0),0),0)</f>
        <v>0</v>
      </c>
      <c r="K5045" s="444">
        <f t="shared" ca="1" si="196"/>
        <v>-134919355375.40549</v>
      </c>
      <c r="L5045" s="444">
        <f t="shared" ca="1" si="197"/>
        <v>-32515564645472.723</v>
      </c>
      <c r="M5045" s="460">
        <f t="shared" si="199"/>
        <v>0.05</v>
      </c>
      <c r="N5045" s="464">
        <f t="shared" si="200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98"/>
        <v>-32515564645472.723</v>
      </c>
      <c r="J5046" s="444">
        <f t="array" ref="J5046">IFERROR(INDEX('Retirement Calculator'!J:J,MATCH('Isaac 401k'!N5046,'Retirement Calculator'!A:A,0),0),0)</f>
        <v>0</v>
      </c>
      <c r="K5046" s="444">
        <f t="shared" ca="1" si="196"/>
        <v>-135481519356.13634</v>
      </c>
      <c r="L5046" s="444">
        <f t="shared" ca="1" si="197"/>
        <v>-32651046164828.859</v>
      </c>
      <c r="M5046" s="460">
        <f t="shared" si="199"/>
        <v>0.05</v>
      </c>
      <c r="N5046" s="464">
        <f t="shared" si="200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98"/>
        <v>-32651046164828.859</v>
      </c>
      <c r="J5047" s="444">
        <f t="array" ref="J5047">IFERROR(INDEX('Retirement Calculator'!J:J,MATCH('Isaac 401k'!N5047,'Retirement Calculator'!A:A,0),0),0)</f>
        <v>0</v>
      </c>
      <c r="K5047" s="444">
        <f t="shared" ca="1" si="196"/>
        <v>-136046025686.78691</v>
      </c>
      <c r="L5047" s="444">
        <f t="shared" ca="1" si="197"/>
        <v>-32787092190515.645</v>
      </c>
      <c r="M5047" s="460">
        <f t="shared" si="199"/>
        <v>0.05</v>
      </c>
      <c r="N5047" s="464">
        <f t="shared" si="200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98"/>
        <v>-32787092190515.645</v>
      </c>
      <c r="J5048" s="444">
        <f t="array" ref="J5048">IFERROR(INDEX('Retirement Calculator'!J:J,MATCH('Isaac 401k'!N5048,'Retirement Calculator'!A:A,0),0),0)</f>
        <v>0</v>
      </c>
      <c r="K5048" s="444">
        <f t="shared" ca="1" si="196"/>
        <v>-136612884127.14851</v>
      </c>
      <c r="L5048" s="444">
        <f t="shared" ca="1" si="197"/>
        <v>-32923705074642.793</v>
      </c>
      <c r="M5048" s="460">
        <f t="shared" si="199"/>
        <v>0.05</v>
      </c>
      <c r="N5048" s="464">
        <f t="shared" si="200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98"/>
        <v>-32923705074642.793</v>
      </c>
      <c r="J5049" s="444">
        <f t="array" ref="J5049">IFERROR(INDEX('Retirement Calculator'!J:J,MATCH('Isaac 401k'!N5049,'Retirement Calculator'!A:A,0),0),0)</f>
        <v>0</v>
      </c>
      <c r="K5049" s="444">
        <f t="shared" ca="1" si="196"/>
        <v>-137182104477.6783</v>
      </c>
      <c r="L5049" s="444">
        <f t="shared" ca="1" si="197"/>
        <v>-33060887179120.473</v>
      </c>
      <c r="M5049" s="460">
        <f t="shared" si="199"/>
        <v>0.05</v>
      </c>
      <c r="N5049" s="464">
        <f t="shared" si="200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98"/>
        <v>-33060887179120.473</v>
      </c>
      <c r="J5050" s="444">
        <f t="array" ref="J5050">IFERROR(INDEX('Retirement Calculator'!J:J,MATCH('Isaac 401k'!N5050,'Retirement Calculator'!A:A,0),0),0)</f>
        <v>0</v>
      </c>
      <c r="K5050" s="444">
        <f t="shared" ca="1" si="196"/>
        <v>-137753696579.66864</v>
      </c>
      <c r="L5050" s="444">
        <f t="shared" ca="1" si="197"/>
        <v>-33198640875700.141</v>
      </c>
      <c r="M5050" s="460">
        <f t="shared" si="199"/>
        <v>0.05</v>
      </c>
      <c r="N5050" s="464">
        <f t="shared" si="200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98"/>
        <v>-33198640875700.141</v>
      </c>
      <c r="J5051" s="444">
        <f t="array" ref="J5051">IFERROR(INDEX('Retirement Calculator'!J:J,MATCH('Isaac 401k'!N5051,'Retirement Calculator'!A:A,0),0),0)</f>
        <v>0</v>
      </c>
      <c r="K5051" s="444">
        <f t="shared" ca="1" si="196"/>
        <v>-138327670315.41727</v>
      </c>
      <c r="L5051" s="444">
        <f t="shared" ca="1" si="197"/>
        <v>-33336968546015.559</v>
      </c>
      <c r="M5051" s="460">
        <f t="shared" si="199"/>
        <v>0.05</v>
      </c>
      <c r="N5051" s="464">
        <f t="shared" si="200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98"/>
        <v>-33336968546015.559</v>
      </c>
      <c r="J5052" s="444">
        <f t="array" ref="J5052">IFERROR(INDEX('Retirement Calculator'!J:J,MATCH('Isaac 401k'!N5052,'Retirement Calculator'!A:A,0),0),0)</f>
        <v>0</v>
      </c>
      <c r="K5052" s="444">
        <f t="shared" ca="1" si="196"/>
        <v>-138904035608.39816</v>
      </c>
      <c r="L5052" s="444">
        <f t="shared" ca="1" si="197"/>
        <v>-33475872581623.957</v>
      </c>
      <c r="M5052" s="460">
        <f t="shared" si="199"/>
        <v>0.05</v>
      </c>
      <c r="N5052" s="464">
        <f t="shared" si="200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98"/>
        <v>-33475872581623.957</v>
      </c>
      <c r="J5053" s="444">
        <f t="array" ref="J5053">IFERROR(INDEX('Retirement Calculator'!J:J,MATCH('Isaac 401k'!N5053,'Retirement Calculator'!A:A,0),0),0)</f>
        <v>0</v>
      </c>
      <c r="K5053" s="444">
        <f t="shared" ca="1" si="196"/>
        <v>-139482802423.43314</v>
      </c>
      <c r="L5053" s="444">
        <f t="shared" ca="1" si="197"/>
        <v>-33615355384047.391</v>
      </c>
      <c r="M5053" s="460">
        <f t="shared" si="199"/>
        <v>0.05</v>
      </c>
      <c r="N5053" s="464">
        <f t="shared" si="200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98"/>
        <v>-33615355384047.391</v>
      </c>
      <c r="J5054" s="444">
        <f t="array" ref="J5054">IFERROR(INDEX('Retirement Calculator'!J:J,MATCH('Isaac 401k'!N5054,'Retirement Calculator'!A:A,0),0),0)</f>
        <v>0</v>
      </c>
      <c r="K5054" s="444">
        <f t="shared" ca="1" si="196"/>
        <v>-140063980766.86414</v>
      </c>
      <c r="L5054" s="444">
        <f t="shared" ca="1" si="197"/>
        <v>-33755419364814.254</v>
      </c>
      <c r="M5054" s="460">
        <f t="shared" si="199"/>
        <v>0.05</v>
      </c>
      <c r="N5054" s="464">
        <f t="shared" si="200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98"/>
        <v>-33755419364814.254</v>
      </c>
      <c r="J5055" s="444">
        <f t="array" ref="J5055">IFERROR(INDEX('Retirement Calculator'!J:J,MATCH('Isaac 401k'!N5055,'Retirement Calculator'!A:A,0),0),0)</f>
        <v>0</v>
      </c>
      <c r="K5055" s="444">
        <f t="shared" ca="1" si="196"/>
        <v>-140647580686.72604</v>
      </c>
      <c r="L5055" s="444">
        <f t="shared" ca="1" si="197"/>
        <v>-33896066945500.98</v>
      </c>
      <c r="M5055" s="460">
        <f t="shared" si="199"/>
        <v>0.05</v>
      </c>
      <c r="N5055" s="464">
        <f t="shared" si="200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98"/>
        <v>-33896066945500.98</v>
      </c>
      <c r="J5056" s="444">
        <f t="array" ref="J5056">IFERROR(INDEX('Retirement Calculator'!J:J,MATCH('Isaac 401k'!N5056,'Retirement Calculator'!A:A,0),0),0)</f>
        <v>0</v>
      </c>
      <c r="K5056" s="444">
        <f t="shared" ca="1" si="196"/>
        <v>-141233612272.92078</v>
      </c>
      <c r="L5056" s="444">
        <f t="shared" ca="1" si="197"/>
        <v>-34037300557773.902</v>
      </c>
      <c r="M5056" s="460">
        <f t="shared" si="199"/>
        <v>0.05</v>
      </c>
      <c r="N5056" s="464">
        <f t="shared" si="200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98"/>
        <v>-34037300557773.902</v>
      </c>
      <c r="J5057" s="444">
        <f t="array" ref="J5057">IFERROR(INDEX('Retirement Calculator'!J:J,MATCH('Isaac 401k'!N5057,'Retirement Calculator'!A:A,0),0),0)</f>
        <v>0</v>
      </c>
      <c r="K5057" s="444">
        <f t="shared" ca="1" si="196"/>
        <v>-141822085657.39127</v>
      </c>
      <c r="L5057" s="444">
        <f t="shared" ca="1" si="197"/>
        <v>-34179122643431.293</v>
      </c>
      <c r="M5057" s="460">
        <f t="shared" si="199"/>
        <v>0.05</v>
      </c>
      <c r="N5057" s="464">
        <f t="shared" si="200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98"/>
        <v>-34179122643431.293</v>
      </c>
      <c r="J5058" s="444">
        <f t="array" ref="J5058">IFERROR(INDEX('Retirement Calculator'!J:J,MATCH('Isaac 401k'!N5058,'Retirement Calculator'!A:A,0),0),0)</f>
        <v>0</v>
      </c>
      <c r="K5058" s="444">
        <f t="shared" ca="1" si="196"/>
        <v>-142413011014.29703</v>
      </c>
      <c r="L5058" s="444">
        <f t="shared" ca="1" si="197"/>
        <v>-34321535654445.59</v>
      </c>
      <c r="M5058" s="460">
        <f t="shared" si="199"/>
        <v>0.05</v>
      </c>
      <c r="N5058" s="464">
        <f t="shared" si="200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98"/>
        <v>-34321535654445.59</v>
      </c>
      <c r="J5059" s="444">
        <f t="array" ref="J5059">IFERROR(INDEX('Retirement Calculator'!J:J,MATCH('Isaac 401k'!N5059,'Retirement Calculator'!A:A,0),0),0)</f>
        <v>0</v>
      </c>
      <c r="K5059" s="444">
        <f t="shared" ca="1" si="196"/>
        <v>-143006398560.18994</v>
      </c>
      <c r="L5059" s="444">
        <f t="shared" ca="1" si="197"/>
        <v>-34464542053005.781</v>
      </c>
      <c r="M5059" s="460">
        <f t="shared" si="199"/>
        <v>0.05</v>
      </c>
      <c r="N5059" s="464">
        <f t="shared" si="200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98"/>
        <v>-34464542053005.781</v>
      </c>
      <c r="J5060" s="444">
        <f t="array" ref="J5060">IFERROR(INDEX('Retirement Calculator'!J:J,MATCH('Isaac 401k'!N5060,'Retirement Calculator'!A:A,0),0),0)</f>
        <v>0</v>
      </c>
      <c r="K5060" s="444">
        <f t="shared" ca="1" si="196"/>
        <v>-143602258554.19077</v>
      </c>
      <c r="L5060" s="444">
        <f t="shared" ca="1" si="197"/>
        <v>-34608144311559.973</v>
      </c>
      <c r="M5060" s="460">
        <f t="shared" si="199"/>
        <v>0.05</v>
      </c>
      <c r="N5060" s="464">
        <f t="shared" si="200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98"/>
        <v>-34608144311559.973</v>
      </c>
      <c r="J5061" s="444">
        <f t="array" ref="J5061">IFERROR(INDEX('Retirement Calculator'!J:J,MATCH('Isaac 401k'!N5061,'Retirement Calculator'!A:A,0),0),0)</f>
        <v>0</v>
      </c>
      <c r="K5061" s="444">
        <f t="shared" ca="1" si="196"/>
        <v>-144200601298.16656</v>
      </c>
      <c r="L5061" s="444">
        <f t="shared" ca="1" si="197"/>
        <v>-34752344912858.141</v>
      </c>
      <c r="M5061" s="460">
        <f t="shared" si="199"/>
        <v>0.05</v>
      </c>
      <c r="N5061" s="464">
        <f t="shared" si="200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98"/>
        <v>-34752344912858.141</v>
      </c>
      <c r="J5062" s="444">
        <f t="array" ref="J5062">IFERROR(INDEX('Retirement Calculator'!J:J,MATCH('Isaac 401k'!N5062,'Retirement Calculator'!A:A,0),0),0)</f>
        <v>0</v>
      </c>
      <c r="K5062" s="444">
        <f t="shared" ca="1" si="196"/>
        <v>-144801437136.90894</v>
      </c>
      <c r="L5062" s="444">
        <f t="shared" ca="1" si="197"/>
        <v>-34897146349995.051</v>
      </c>
      <c r="M5062" s="460">
        <f t="shared" si="199"/>
        <v>0.05</v>
      </c>
      <c r="N5062" s="464">
        <f t="shared" si="200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98"/>
        <v>-34897146349995.051</v>
      </c>
      <c r="J5063" s="444">
        <f t="array" ref="J5063">IFERROR(INDEX('Retirement Calculator'!J:J,MATCH('Isaac 401k'!N5063,'Retirement Calculator'!A:A,0),0),0)</f>
        <v>0</v>
      </c>
      <c r="K5063" s="444">
        <f t="shared" ca="1" si="196"/>
        <v>-145404776458.31271</v>
      </c>
      <c r="L5063" s="444">
        <f t="shared" ca="1" si="197"/>
        <v>-35042551126453.363</v>
      </c>
      <c r="M5063" s="460">
        <f t="shared" si="199"/>
        <v>0.05</v>
      </c>
      <c r="N5063" s="464">
        <f t="shared" si="200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98"/>
        <v>-35042551126453.363</v>
      </c>
      <c r="J5064" s="444">
        <f t="array" ref="J5064">IFERROR(INDEX('Retirement Calculator'!J:J,MATCH('Isaac 401k'!N5064,'Retirement Calculator'!A:A,0),0),0)</f>
        <v>0</v>
      </c>
      <c r="K5064" s="444">
        <f t="shared" ca="1" si="196"/>
        <v>-146010629693.55566</v>
      </c>
      <c r="L5064" s="444">
        <f t="shared" ca="1" si="197"/>
        <v>-35188561756146.922</v>
      </c>
      <c r="M5064" s="460">
        <f t="shared" si="199"/>
        <v>0.05</v>
      </c>
      <c r="N5064" s="464">
        <f t="shared" si="200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98"/>
        <v>-35188561756146.922</v>
      </c>
      <c r="J5065" s="444">
        <f t="array" ref="J5065">IFERROR(INDEX('Retirement Calculator'!J:J,MATCH('Isaac 401k'!N5065,'Retirement Calculator'!A:A,0),0),0)</f>
        <v>0</v>
      </c>
      <c r="K5065" s="444">
        <f t="shared" ca="1" si="196"/>
        <v>-146619007317.27884</v>
      </c>
      <c r="L5065" s="444">
        <f t="shared" ca="1" si="197"/>
        <v>-35335180763464.203</v>
      </c>
      <c r="M5065" s="460">
        <f t="shared" si="199"/>
        <v>0.05</v>
      </c>
      <c r="N5065" s="464">
        <f t="shared" si="200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98"/>
        <v>-35335180763464.203</v>
      </c>
      <c r="J5066" s="444">
        <f t="array" ref="J5066">IFERROR(INDEX('Retirement Calculator'!J:J,MATCH('Isaac 401k'!N5066,'Retirement Calculator'!A:A,0),0),0)</f>
        <v>0</v>
      </c>
      <c r="K5066" s="444">
        <f t="shared" ca="1" si="196"/>
        <v>-147229919847.76752</v>
      </c>
      <c r="L5066" s="444">
        <f t="shared" ca="1" si="197"/>
        <v>-35482410683311.969</v>
      </c>
      <c r="M5066" s="460">
        <f t="shared" si="199"/>
        <v>0.05</v>
      </c>
      <c r="N5066" s="464">
        <f t="shared" si="200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98"/>
        <v>-35482410683311.969</v>
      </c>
      <c r="J5067" s="444">
        <f t="array" ref="J5067">IFERROR(INDEX('Retirement Calculator'!J:J,MATCH('Isaac 401k'!N5067,'Retirement Calculator'!A:A,0),0),0)</f>
        <v>0</v>
      </c>
      <c r="K5067" s="444">
        <f t="shared" ca="1" si="196"/>
        <v>-147843377847.13321</v>
      </c>
      <c r="L5067" s="444">
        <f t="shared" ca="1" si="197"/>
        <v>-35630254061159.102</v>
      </c>
      <c r="M5067" s="460">
        <f t="shared" si="199"/>
        <v>0.05</v>
      </c>
      <c r="N5067" s="464">
        <f t="shared" si="200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98"/>
        <v>-35630254061159.102</v>
      </c>
      <c r="J5068" s="444">
        <f t="array" ref="J5068">IFERROR(INDEX('Retirement Calculator'!J:J,MATCH('Isaac 401k'!N5068,'Retirement Calculator'!A:A,0),0),0)</f>
        <v>0</v>
      </c>
      <c r="K5068" s="444">
        <f t="shared" ca="1" si="196"/>
        <v>-148459391921.49625</v>
      </c>
      <c r="L5068" s="444">
        <f t="shared" ca="1" si="197"/>
        <v>-35778713453080.602</v>
      </c>
      <c r="M5068" s="460">
        <f t="shared" si="199"/>
        <v>0.05</v>
      </c>
      <c r="N5068" s="464">
        <f t="shared" si="200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98"/>
        <v>-35778713453080.602</v>
      </c>
      <c r="J5069" s="444">
        <f t="array" ref="J5069">IFERROR(INDEX('Retirement Calculator'!J:J,MATCH('Isaac 401k'!N5069,'Retirement Calculator'!A:A,0),0),0)</f>
        <v>0</v>
      </c>
      <c r="K5069" s="444">
        <f t="shared" ca="1" si="196"/>
        <v>-149077972721.16916</v>
      </c>
      <c r="L5069" s="444">
        <f t="shared" ca="1" si="197"/>
        <v>-35927791425801.773</v>
      </c>
      <c r="M5069" s="460">
        <f t="shared" si="199"/>
        <v>0.05</v>
      </c>
      <c r="N5069" s="464">
        <f t="shared" si="200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98"/>
        <v>-35927791425801.773</v>
      </c>
      <c r="J5070" s="444">
        <f t="array" ref="J5070">IFERROR(INDEX('Retirement Calculator'!J:J,MATCH('Isaac 401k'!N5070,'Retirement Calculator'!A:A,0),0),0)</f>
        <v>0</v>
      </c>
      <c r="K5070" s="444">
        <f t="shared" ca="1" si="196"/>
        <v>-149699130940.84073</v>
      </c>
      <c r="L5070" s="444">
        <f t="shared" ca="1" si="197"/>
        <v>-36077490556742.617</v>
      </c>
      <c r="M5070" s="460">
        <f t="shared" si="199"/>
        <v>0.05</v>
      </c>
      <c r="N5070" s="464">
        <f t="shared" si="200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98"/>
        <v>-36077490556742.617</v>
      </c>
      <c r="J5071" s="444">
        <f t="array" ref="J5071">IFERROR(INDEX('Retirement Calculator'!J:J,MATCH('Isaac 401k'!N5071,'Retirement Calculator'!A:A,0),0),0)</f>
        <v>0</v>
      </c>
      <c r="K5071" s="444">
        <f t="shared" ca="1" si="196"/>
        <v>-150322877319.76089</v>
      </c>
      <c r="L5071" s="444">
        <f t="shared" ca="1" si="197"/>
        <v>-36227813434062.375</v>
      </c>
      <c r="M5071" s="460">
        <f t="shared" si="199"/>
        <v>0.05</v>
      </c>
      <c r="N5071" s="464">
        <f t="shared" si="200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98"/>
        <v>-36227813434062.375</v>
      </c>
      <c r="J5072" s="444">
        <f t="array" ref="J5072">IFERROR(INDEX('Retirement Calculator'!J:J,MATCH('Isaac 401k'!N5072,'Retirement Calculator'!A:A,0),0),0)</f>
        <v>0</v>
      </c>
      <c r="K5072" s="444">
        <f t="shared" ca="1" si="196"/>
        <v>-150949222641.92657</v>
      </c>
      <c r="L5072" s="444">
        <f t="shared" ca="1" si="197"/>
        <v>-36378762656704.305</v>
      </c>
      <c r="M5072" s="460">
        <f t="shared" si="199"/>
        <v>0.05</v>
      </c>
      <c r="N5072" s="464">
        <f t="shared" si="200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98"/>
        <v>-36378762656704.305</v>
      </c>
      <c r="J5073" s="444">
        <f t="array" ref="J5073">IFERROR(INDEX('Retirement Calculator'!J:J,MATCH('Isaac 401k'!N5073,'Retirement Calculator'!A:A,0),0),0)</f>
        <v>0</v>
      </c>
      <c r="K5073" s="444">
        <f t="shared" ca="1" si="196"/>
        <v>-151578177736.26794</v>
      </c>
      <c r="L5073" s="444">
        <f t="shared" ca="1" si="197"/>
        <v>-36530340834440.57</v>
      </c>
      <c r="M5073" s="460">
        <f t="shared" si="199"/>
        <v>0.05</v>
      </c>
      <c r="N5073" s="464">
        <f t="shared" si="200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98"/>
        <v>-36530340834440.57</v>
      </c>
      <c r="J5074" s="444">
        <f t="array" ref="J5074">IFERROR(INDEX('Retirement Calculator'!J:J,MATCH('Isaac 401k'!N5074,'Retirement Calculator'!A:A,0),0),0)</f>
        <v>0</v>
      </c>
      <c r="K5074" s="444">
        <f t="shared" ca="1" si="196"/>
        <v>-152209753476.83569</v>
      </c>
      <c r="L5074" s="444">
        <f t="shared" ca="1" si="197"/>
        <v>-36682550587917.406</v>
      </c>
      <c r="M5074" s="460">
        <f t="shared" si="199"/>
        <v>0.05</v>
      </c>
      <c r="N5074" s="464">
        <f t="shared" si="200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98"/>
        <v>-36682550587917.406</v>
      </c>
      <c r="J5075" s="444">
        <f t="array" ref="J5075">IFERROR(INDEX('Retirement Calculator'!J:J,MATCH('Isaac 401k'!N5075,'Retirement Calculator'!A:A,0),0),0)</f>
        <v>0</v>
      </c>
      <c r="K5075" s="444">
        <f t="shared" ca="1" si="196"/>
        <v>-152843960782.9892</v>
      </c>
      <c r="L5075" s="444">
        <f t="shared" ca="1" si="197"/>
        <v>-36835394548700.398</v>
      </c>
      <c r="M5075" s="460">
        <f t="shared" si="199"/>
        <v>0.05</v>
      </c>
      <c r="N5075" s="464">
        <f t="shared" si="200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98"/>
        <v>-36835394548700.398</v>
      </c>
      <c r="J5076" s="444">
        <f t="array" ref="J5076">IFERROR(INDEX('Retirement Calculator'!J:J,MATCH('Isaac 401k'!N5076,'Retirement Calculator'!A:A,0),0),0)</f>
        <v>0</v>
      </c>
      <c r="K5076" s="444">
        <f t="shared" ca="1" si="196"/>
        <v>-153480810619.58499</v>
      </c>
      <c r="L5076" s="444">
        <f t="shared" ca="1" si="197"/>
        <v>-36988875359319.984</v>
      </c>
      <c r="M5076" s="460">
        <f t="shared" si="199"/>
        <v>0.05</v>
      </c>
      <c r="N5076" s="464">
        <f t="shared" si="200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98"/>
        <v>-36988875359319.984</v>
      </c>
      <c r="J5077" s="444">
        <f t="array" ref="J5077">IFERROR(INDEX('Retirement Calculator'!J:J,MATCH('Isaac 401k'!N5077,'Retirement Calculator'!A:A,0),0),0)</f>
        <v>0</v>
      </c>
      <c r="K5077" s="444">
        <f t="shared" ca="1" si="196"/>
        <v>-154120313997.1666</v>
      </c>
      <c r="L5077" s="444">
        <f t="shared" ca="1" si="197"/>
        <v>-37142995673317.148</v>
      </c>
      <c r="M5077" s="460">
        <f t="shared" si="199"/>
        <v>0.05</v>
      </c>
      <c r="N5077" s="464">
        <f t="shared" si="200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98"/>
        <v>-37142995673317.148</v>
      </c>
      <c r="J5078" s="444">
        <f t="array" ref="J5078">IFERROR(INDEX('Retirement Calculator'!J:J,MATCH('Isaac 401k'!N5078,'Retirement Calculator'!A:A,0),0),0)</f>
        <v>0</v>
      </c>
      <c r="K5078" s="444">
        <f t="shared" ca="1" si="196"/>
        <v>-154762481972.15479</v>
      </c>
      <c r="L5078" s="444">
        <f t="shared" ca="1" si="197"/>
        <v>-37297758155289.305</v>
      </c>
      <c r="M5078" s="460">
        <f t="shared" si="199"/>
        <v>0.05</v>
      </c>
      <c r="N5078" s="464">
        <f t="shared" si="200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98"/>
        <v>-37297758155289.305</v>
      </c>
      <c r="J5079" s="444">
        <f t="array" ref="J5079">IFERROR(INDEX('Retirement Calculator'!J:J,MATCH('Isaac 401k'!N5079,'Retirement Calculator'!A:A,0),0),0)</f>
        <v>0</v>
      </c>
      <c r="K5079" s="444">
        <f t="shared" ca="1" si="196"/>
        <v>-155407325647.03876</v>
      </c>
      <c r="L5079" s="444">
        <f t="shared" ca="1" si="197"/>
        <v>-37453165480936.344</v>
      </c>
      <c r="M5079" s="460">
        <f t="shared" si="199"/>
        <v>0.05</v>
      </c>
      <c r="N5079" s="464">
        <f t="shared" si="200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98"/>
        <v>-37453165480936.344</v>
      </c>
      <c r="J5080" s="444">
        <f t="array" ref="J5080">IFERROR(INDEX('Retirement Calculator'!J:J,MATCH('Isaac 401k'!N5080,'Retirement Calculator'!A:A,0),0),0)</f>
        <v>0</v>
      </c>
      <c r="K5080" s="444">
        <f t="shared" ca="1" si="196"/>
        <v>-156054856170.56808</v>
      </c>
      <c r="L5080" s="444">
        <f t="shared" ca="1" si="197"/>
        <v>-37609220337106.914</v>
      </c>
      <c r="M5080" s="460">
        <f t="shared" si="199"/>
        <v>0.05</v>
      </c>
      <c r="N5080" s="464">
        <f t="shared" si="200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98"/>
        <v>-37609220337106.914</v>
      </c>
      <c r="J5081" s="444">
        <f t="array" ref="J5081">IFERROR(INDEX('Retirement Calculator'!J:J,MATCH('Isaac 401k'!N5081,'Retirement Calculator'!A:A,0),0),0)</f>
        <v>0</v>
      </c>
      <c r="K5081" s="444">
        <f t="shared" ca="1" si="196"/>
        <v>-156705084737.94547</v>
      </c>
      <c r="L5081" s="444">
        <f t="shared" ca="1" si="197"/>
        <v>-37765925421844.859</v>
      </c>
      <c r="M5081" s="460">
        <f t="shared" si="199"/>
        <v>0.05</v>
      </c>
      <c r="N5081" s="464">
        <f t="shared" si="200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98"/>
        <v>-37765925421844.859</v>
      </c>
      <c r="J5082" s="444">
        <f t="array" ref="J5082">IFERROR(INDEX('Retirement Calculator'!J:J,MATCH('Isaac 401k'!N5082,'Retirement Calculator'!A:A,0),0),0)</f>
        <v>0</v>
      </c>
      <c r="K5082" s="444">
        <f t="shared" ca="1" si="196"/>
        <v>-157358022591.02023</v>
      </c>
      <c r="L5082" s="444">
        <f t="shared" ca="1" si="197"/>
        <v>-37923283444435.883</v>
      </c>
      <c r="M5082" s="460">
        <f t="shared" si="199"/>
        <v>0.05</v>
      </c>
      <c r="N5082" s="464">
        <f t="shared" si="200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98"/>
        <v>-37923283444435.883</v>
      </c>
      <c r="J5083" s="444">
        <f t="array" ref="J5083">IFERROR(INDEX('Retirement Calculator'!J:J,MATCH('Isaac 401k'!N5083,'Retirement Calculator'!A:A,0),0),0)</f>
        <v>0</v>
      </c>
      <c r="K5083" s="444">
        <f t="shared" ca="1" si="196"/>
        <v>-158013681018.48285</v>
      </c>
      <c r="L5083" s="444">
        <f t="shared" ca="1" si="197"/>
        <v>-38081297125454.367</v>
      </c>
      <c r="M5083" s="460">
        <f t="shared" si="199"/>
        <v>0.05</v>
      </c>
      <c r="N5083" s="464">
        <f t="shared" si="200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98"/>
        <v>-38081297125454.367</v>
      </c>
      <c r="J5084" s="444">
        <f t="array" ref="J5084">IFERROR(INDEX('Retirement Calculator'!J:J,MATCH('Isaac 401k'!N5084,'Retirement Calculator'!A:A,0),0),0)</f>
        <v>0</v>
      </c>
      <c r="K5084" s="444">
        <f t="shared" ca="1" si="196"/>
        <v>-158672071356.05988</v>
      </c>
      <c r="L5084" s="444">
        <f t="shared" ca="1" si="197"/>
        <v>-38239969196810.43</v>
      </c>
      <c r="M5084" s="460">
        <f t="shared" si="199"/>
        <v>0.05</v>
      </c>
      <c r="N5084" s="464">
        <f t="shared" si="200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98"/>
        <v>-38239969196810.43</v>
      </c>
      <c r="J5085" s="444">
        <f t="array" ref="J5085">IFERROR(INDEX('Retirement Calculator'!J:J,MATCH('Isaac 401k'!N5085,'Retirement Calculator'!A:A,0),0),0)</f>
        <v>0</v>
      </c>
      <c r="K5085" s="444">
        <f t="shared" ca="1" si="196"/>
        <v>-159333204986.71011</v>
      </c>
      <c r="L5085" s="444">
        <f t="shared" ca="1" si="197"/>
        <v>-38399302401797.141</v>
      </c>
      <c r="M5085" s="460">
        <f t="shared" si="199"/>
        <v>0.05</v>
      </c>
      <c r="N5085" s="464">
        <f t="shared" si="200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98"/>
        <v>-38399302401797.141</v>
      </c>
      <c r="J5086" s="444">
        <f t="array" ref="J5086">IFERROR(INDEX('Retirement Calculator'!J:J,MATCH('Isaac 401k'!N5086,'Retirement Calculator'!A:A,0),0),0)</f>
        <v>0</v>
      </c>
      <c r="K5086" s="444">
        <f t="shared" ca="1" si="196"/>
        <v>-159997093340.82141</v>
      </c>
      <c r="L5086" s="444">
        <f t="shared" ca="1" si="197"/>
        <v>-38559299495137.961</v>
      </c>
      <c r="M5086" s="460">
        <f t="shared" si="199"/>
        <v>0.05</v>
      </c>
      <c r="N5086" s="464">
        <f t="shared" si="200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98"/>
        <v>-38559299495137.961</v>
      </c>
      <c r="J5087" s="444">
        <f t="array" ref="J5087">IFERROR(INDEX('Retirement Calculator'!J:J,MATCH('Isaac 401k'!N5087,'Retirement Calculator'!A:A,0),0),0)</f>
        <v>0</v>
      </c>
      <c r="K5087" s="444">
        <f t="shared" ca="1" si="196"/>
        <v>-160663747896.40817</v>
      </c>
      <c r="L5087" s="444">
        <f t="shared" ca="1" si="197"/>
        <v>-38719963243034.367</v>
      </c>
      <c r="M5087" s="460">
        <f t="shared" si="199"/>
        <v>0.05</v>
      </c>
      <c r="N5087" s="464">
        <f t="shared" si="200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98"/>
        <v>-38719963243034.367</v>
      </c>
      <c r="J5088" s="444">
        <f t="array" ref="J5088">IFERROR(INDEX('Retirement Calculator'!J:J,MATCH('Isaac 401k'!N5088,'Retirement Calculator'!A:A,0),0),0)</f>
        <v>0</v>
      </c>
      <c r="K5088" s="444">
        <f t="shared" ca="1" si="196"/>
        <v>-161333180179.30988</v>
      </c>
      <c r="L5088" s="444">
        <f t="shared" ca="1" si="197"/>
        <v>-38881296423213.68</v>
      </c>
      <c r="M5088" s="460">
        <f t="shared" si="199"/>
        <v>0.05</v>
      </c>
      <c r="N5088" s="464">
        <f t="shared" si="200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98"/>
        <v>-38881296423213.68</v>
      </c>
      <c r="J5089" s="444">
        <f t="array" ref="J5089">IFERROR(INDEX('Retirement Calculator'!J:J,MATCH('Isaac 401k'!N5089,'Retirement Calculator'!A:A,0),0),0)</f>
        <v>0</v>
      </c>
      <c r="K5089" s="444">
        <f t="shared" ca="1" si="196"/>
        <v>-162005401763.39032</v>
      </c>
      <c r="L5089" s="444">
        <f t="shared" ca="1" si="197"/>
        <v>-39043301824977.07</v>
      </c>
      <c r="M5089" s="460">
        <f t="shared" si="199"/>
        <v>0.05</v>
      </c>
      <c r="N5089" s="464">
        <f t="shared" si="200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98"/>
        <v>-39043301824977.07</v>
      </c>
      <c r="J5090" s="444">
        <f t="array" ref="J5090">IFERROR(INDEX('Retirement Calculator'!J:J,MATCH('Isaac 401k'!N5090,'Retirement Calculator'!A:A,0),0),0)</f>
        <v>0</v>
      </c>
      <c r="K5090" s="444">
        <f t="shared" ca="1" si="196"/>
        <v>-162680424270.73779</v>
      </c>
      <c r="L5090" s="444">
        <f t="shared" ca="1" si="197"/>
        <v>-39205982249247.805</v>
      </c>
      <c r="M5090" s="460">
        <f t="shared" si="199"/>
        <v>0.05</v>
      </c>
      <c r="N5090" s="464">
        <f t="shared" si="200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98"/>
        <v>-39205982249247.805</v>
      </c>
      <c r="J5091" s="444">
        <f t="array" ref="J5091">IFERROR(INDEX('Retirement Calculator'!J:J,MATCH('Isaac 401k'!N5091,'Retirement Calculator'!A:A,0),0),0)</f>
        <v>0</v>
      </c>
      <c r="K5091" s="444">
        <f t="shared" ca="1" si="196"/>
        <v>-163358259371.86584</v>
      </c>
      <c r="L5091" s="444">
        <f t="shared" ca="1" si="197"/>
        <v>-39369340508619.672</v>
      </c>
      <c r="M5091" s="460">
        <f t="shared" si="199"/>
        <v>0.05</v>
      </c>
      <c r="N5091" s="464">
        <f t="shared" si="200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98"/>
        <v>-39369340508619.672</v>
      </c>
      <c r="J5092" s="444">
        <f t="array" ref="J5092">IFERROR(INDEX('Retirement Calculator'!J:J,MATCH('Isaac 401k'!N5092,'Retirement Calculator'!A:A,0),0),0)</f>
        <v>0</v>
      </c>
      <c r="K5092" s="444">
        <f t="shared" ca="1" si="196"/>
        <v>-164038918785.91528</v>
      </c>
      <c r="L5092" s="444">
        <f t="shared" ca="1" si="197"/>
        <v>-39533379427405.586</v>
      </c>
      <c r="M5092" s="460">
        <f t="shared" si="199"/>
        <v>0.05</v>
      </c>
      <c r="N5092" s="464">
        <f t="shared" si="200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98"/>
        <v>-39533379427405.586</v>
      </c>
      <c r="J5093" s="444">
        <f t="array" ref="J5093">IFERROR(INDEX('Retirement Calculator'!J:J,MATCH('Isaac 401k'!N5093,'Retirement Calculator'!A:A,0),0),0)</f>
        <v>0</v>
      </c>
      <c r="K5093" s="444">
        <f t="shared" ca="1" si="196"/>
        <v>-164722414280.8566</v>
      </c>
      <c r="L5093" s="444">
        <f t="shared" ca="1" si="197"/>
        <v>-39698101841686.445</v>
      </c>
      <c r="M5093" s="460">
        <f t="shared" si="199"/>
        <v>0.05</v>
      </c>
      <c r="N5093" s="464">
        <f t="shared" si="200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98"/>
        <v>-39698101841686.445</v>
      </c>
      <c r="J5094" s="444">
        <f t="array" ref="J5094">IFERROR(INDEX('Retirement Calculator'!J:J,MATCH('Isaac 401k'!N5094,'Retirement Calculator'!A:A,0),0),0)</f>
        <v>0</v>
      </c>
      <c r="K5094" s="444">
        <f t="shared" ca="1" si="196"/>
        <v>-165408757673.69351</v>
      </c>
      <c r="L5094" s="444">
        <f t="shared" ca="1" si="197"/>
        <v>-39863510599360.141</v>
      </c>
      <c r="M5094" s="460">
        <f t="shared" si="199"/>
        <v>0.05</v>
      </c>
      <c r="N5094" s="464">
        <f t="shared" si="200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98"/>
        <v>-39863510599360.141</v>
      </c>
      <c r="J5095" s="444">
        <f t="array" ref="J5095">IFERROR(INDEX('Retirement Calculator'!J:J,MATCH('Isaac 401k'!N5095,'Retirement Calculator'!A:A,0),0),0)</f>
        <v>0</v>
      </c>
      <c r="K5095" s="444">
        <f t="shared" ca="1" si="196"/>
        <v>-166097960830.66724</v>
      </c>
      <c r="L5095" s="444">
        <f t="shared" ca="1" si="197"/>
        <v>-40029608560190.805</v>
      </c>
      <c r="M5095" s="460">
        <f t="shared" si="199"/>
        <v>0.05</v>
      </c>
      <c r="N5095" s="464">
        <f t="shared" si="200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98"/>
        <v>-40029608560190.805</v>
      </c>
      <c r="J5096" s="444">
        <f t="array" ref="J5096">IFERROR(INDEX('Retirement Calculator'!J:J,MATCH('Isaac 401k'!N5096,'Retirement Calculator'!A:A,0),0),0)</f>
        <v>0</v>
      </c>
      <c r="K5096" s="444">
        <f t="shared" ca="1" si="196"/>
        <v>-166790035667.46167</v>
      </c>
      <c r="L5096" s="444">
        <f t="shared" ca="1" si="197"/>
        <v>-40196398595858.266</v>
      </c>
      <c r="M5096" s="460">
        <f t="shared" si="199"/>
        <v>0.05</v>
      </c>
      <c r="N5096" s="464">
        <f t="shared" si="200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98"/>
        <v>-40196398595858.266</v>
      </c>
      <c r="J5097" s="444">
        <f t="array" ref="J5097">IFERROR(INDEX('Retirement Calculator'!J:J,MATCH('Isaac 401k'!N5097,'Retirement Calculator'!A:A,0),0),0)</f>
        <v>0</v>
      </c>
      <c r="K5097" s="444">
        <f t="shared" ca="1" si="196"/>
        <v>-167484994149.40942</v>
      </c>
      <c r="L5097" s="444">
        <f t="shared" ca="1" si="197"/>
        <v>-40363883590007.672</v>
      </c>
      <c r="M5097" s="460">
        <f t="shared" si="199"/>
        <v>0.05</v>
      </c>
      <c r="N5097" s="464">
        <f t="shared" si="200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98"/>
        <v>-40363883590007.672</v>
      </c>
      <c r="J5098" s="444">
        <f t="array" ref="J5098">IFERROR(INDEX('Retirement Calculator'!J:J,MATCH('Isaac 401k'!N5098,'Retirement Calculator'!A:A,0),0),0)</f>
        <v>0</v>
      </c>
      <c r="K5098" s="444">
        <f t="shared" ca="1" si="196"/>
        <v>-168182848291.69864</v>
      </c>
      <c r="L5098" s="444">
        <f t="shared" ca="1" si="197"/>
        <v>-40532066438299.367</v>
      </c>
      <c r="M5098" s="460">
        <f t="shared" si="199"/>
        <v>0.05</v>
      </c>
      <c r="N5098" s="464">
        <f t="shared" si="200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98"/>
        <v>-40532066438299.367</v>
      </c>
      <c r="J5099" s="444">
        <f t="array" ref="J5099">IFERROR(INDEX('Retirement Calculator'!J:J,MATCH('Isaac 401k'!N5099,'Retirement Calculator'!A:A,0),0),0)</f>
        <v>0</v>
      </c>
      <c r="K5099" s="444">
        <f t="shared" ca="1" si="196"/>
        <v>-168883610159.58069</v>
      </c>
      <c r="L5099" s="444">
        <f t="shared" ca="1" si="197"/>
        <v>-40700950048458.945</v>
      </c>
      <c r="M5099" s="460">
        <f t="shared" si="199"/>
        <v>0.05</v>
      </c>
      <c r="N5099" s="464">
        <f t="shared" si="200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98"/>
        <v>-40700950048458.945</v>
      </c>
      <c r="J5100" s="444">
        <f t="array" ref="J5100">IFERROR(INDEX('Retirement Calculator'!J:J,MATCH('Isaac 401k'!N5100,'Retirement Calculator'!A:A,0),0),0)</f>
        <v>0</v>
      </c>
      <c r="K5100" s="444">
        <f t="shared" ca="1" si="196"/>
        <v>-169587291868.57895</v>
      </c>
      <c r="L5100" s="444">
        <f t="shared" ca="1" si="197"/>
        <v>-40870537340327.523</v>
      </c>
      <c r="M5100" s="460">
        <f t="shared" si="199"/>
        <v>0.05</v>
      </c>
      <c r="N5100" s="464">
        <f t="shared" si="200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98"/>
        <v>-40870537340327.523</v>
      </c>
      <c r="J5101" s="444">
        <f t="array" ref="J5101">IFERROR(INDEX('Retirement Calculator'!J:J,MATCH('Isaac 401k'!N5101,'Retirement Calculator'!A:A,0),0),0)</f>
        <v>0</v>
      </c>
      <c r="K5101" s="444">
        <f t="shared" ca="1" si="196"/>
        <v>-170293905584.698</v>
      </c>
      <c r="L5101" s="444">
        <f t="shared" ca="1" si="197"/>
        <v>-41040831245912.219</v>
      </c>
      <c r="M5101" s="460">
        <f t="shared" si="199"/>
        <v>0.05</v>
      </c>
      <c r="N5101" s="464">
        <f t="shared" si="200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98"/>
        <v>-41040831245912.219</v>
      </c>
      <c r="J5102" s="444">
        <f t="array" ref="J5102">IFERROR(INDEX('Retirement Calculator'!J:J,MATCH('Isaac 401k'!N5102,'Retirement Calculator'!A:A,0),0),0)</f>
        <v>0</v>
      </c>
      <c r="K5102" s="444">
        <f t="shared" ca="1" si="196"/>
        <v>-171003463524.63425</v>
      </c>
      <c r="L5102" s="444">
        <f t="shared" ca="1" si="197"/>
        <v>-41211834709436.852</v>
      </c>
      <c r="M5102" s="460">
        <f t="shared" si="199"/>
        <v>0.05</v>
      </c>
      <c r="N5102" s="464">
        <f t="shared" si="200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98"/>
        <v>-41211834709436.852</v>
      </c>
      <c r="J5103" s="444">
        <f t="array" ref="J5103">IFERROR(INDEX('Retirement Calculator'!J:J,MATCH('Isaac 401k'!N5103,'Retirement Calculator'!A:A,0),0),0)</f>
        <v>0</v>
      </c>
      <c r="K5103" s="444">
        <f t="shared" ca="1" si="196"/>
        <v>-171715977955.98688</v>
      </c>
      <c r="L5103" s="444">
        <f t="shared" ca="1" si="197"/>
        <v>-41383550687392.836</v>
      </c>
      <c r="M5103" s="460">
        <f t="shared" si="199"/>
        <v>0.05</v>
      </c>
      <c r="N5103" s="464">
        <f t="shared" si="200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98"/>
        <v>-41383550687392.836</v>
      </c>
      <c r="J5104" s="444">
        <f t="array" ref="J5104">IFERROR(INDEX('Retirement Calculator'!J:J,MATCH('Isaac 401k'!N5104,'Retirement Calculator'!A:A,0),0),0)</f>
        <v>0</v>
      </c>
      <c r="K5104" s="444">
        <f t="shared" ca="1" si="196"/>
        <v>-172431461197.47015</v>
      </c>
      <c r="L5104" s="444">
        <f t="shared" ca="1" si="197"/>
        <v>-41555982148590.305</v>
      </c>
      <c r="M5104" s="460">
        <f t="shared" si="199"/>
        <v>0.05</v>
      </c>
      <c r="N5104" s="464">
        <f t="shared" si="200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98"/>
        <v>-41555982148590.305</v>
      </c>
      <c r="J5105" s="444">
        <f t="array" ref="J5105">IFERROR(INDEX('Retirement Calculator'!J:J,MATCH('Isaac 401k'!N5105,'Retirement Calculator'!A:A,0),0),0)</f>
        <v>0</v>
      </c>
      <c r="K5105" s="444">
        <f t="shared" ca="1" si="196"/>
        <v>-173149925619.12628</v>
      </c>
      <c r="L5105" s="444">
        <f t="shared" ca="1" si="197"/>
        <v>-41729132074209.43</v>
      </c>
      <c r="M5105" s="460">
        <f t="shared" si="199"/>
        <v>0.05</v>
      </c>
      <c r="N5105" s="464">
        <f t="shared" si="200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98"/>
        <v>-41729132074209.43</v>
      </c>
      <c r="J5106" s="444">
        <f t="array" ref="J5106">IFERROR(INDEX('Retirement Calculator'!J:J,MATCH('Isaac 401k'!N5106,'Retirement Calculator'!A:A,0),0),0)</f>
        <v>0</v>
      </c>
      <c r="K5106" s="444">
        <f t="shared" ca="1" si="196"/>
        <v>-173871383642.53928</v>
      </c>
      <c r="L5106" s="444">
        <f t="shared" ca="1" si="197"/>
        <v>-41903003457851.969</v>
      </c>
      <c r="M5106" s="460">
        <f t="shared" si="199"/>
        <v>0.05</v>
      </c>
      <c r="N5106" s="464">
        <f t="shared" si="200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98"/>
        <v>-41903003457851.969</v>
      </c>
      <c r="J5107" s="444">
        <f t="array" ref="J5107">IFERROR(INDEX('Retirement Calculator'!J:J,MATCH('Isaac 401k'!N5107,'Retirement Calculator'!A:A,0),0),0)</f>
        <v>0</v>
      </c>
      <c r="K5107" s="444">
        <f t="shared" ca="1" si="196"/>
        <v>-174595847741.04987</v>
      </c>
      <c r="L5107" s="444">
        <f t="shared" ca="1" si="197"/>
        <v>-42077599305593.016</v>
      </c>
      <c r="M5107" s="460">
        <f t="shared" si="199"/>
        <v>0.05</v>
      </c>
      <c r="N5107" s="464">
        <f t="shared" si="200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98"/>
        <v>-42077599305593.016</v>
      </c>
      <c r="J5108" s="444">
        <f t="array" ref="J5108">IFERROR(INDEX('Retirement Calculator'!J:J,MATCH('Isaac 401k'!N5108,'Retirement Calculator'!A:A,0),0),0)</f>
        <v>0</v>
      </c>
      <c r="K5108" s="444">
        <f t="shared" ref="K5108:K5362" ca="1" si="201">IPMT(M5108/12,1,12,-I5108+J5108,,0)</f>
        <v>-175323330439.97089</v>
      </c>
      <c r="L5108" s="444">
        <f t="shared" ref="L5108:L5362" ca="1" si="202">I5108-J5108+K5108</f>
        <v>-42252922636032.984</v>
      </c>
      <c r="M5108" s="460">
        <f t="shared" si="199"/>
        <v>0.05</v>
      </c>
      <c r="N5108" s="464">
        <f t="shared" si="200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203">L5108</f>
        <v>-42252922636032.984</v>
      </c>
      <c r="J5109" s="444">
        <f t="array" ref="J5109">IFERROR(INDEX('Retirement Calculator'!J:J,MATCH('Isaac 401k'!N5109,'Retirement Calculator'!A:A,0),0),0)</f>
        <v>0</v>
      </c>
      <c r="K5109" s="444">
        <f t="shared" ca="1" si="201"/>
        <v>-176053844316.80411</v>
      </c>
      <c r="L5109" s="444">
        <f t="shared" ca="1" si="202"/>
        <v>-42428976480349.789</v>
      </c>
      <c r="M5109" s="460">
        <f t="shared" ref="M5109:M5363" si="204">M5108</f>
        <v>0.05</v>
      </c>
      <c r="N5109" s="464">
        <f t="shared" ref="N5109:N5363" si="205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203"/>
        <v>-42428976480349.789</v>
      </c>
      <c r="J5110" s="444">
        <f t="array" ref="J5110">IFERROR(INDEX('Retirement Calculator'!J:J,MATCH('Isaac 401k'!N5110,'Retirement Calculator'!A:A,0),0),0)</f>
        <v>0</v>
      </c>
      <c r="K5110" s="444">
        <f t="shared" ca="1" si="201"/>
        <v>-176787402001.45746</v>
      </c>
      <c r="L5110" s="444">
        <f t="shared" ca="1" si="202"/>
        <v>-42605763882351.25</v>
      </c>
      <c r="M5110" s="460">
        <f t="shared" si="204"/>
        <v>0.05</v>
      </c>
      <c r="N5110" s="464">
        <f t="shared" si="205"/>
        <v>206577</v>
      </c>
    </row>
    <row r="5111" spans="7:14" ht="11.25" customHeight="1" x14ac:dyDescent="0.3">
      <c r="G5111" s="459"/>
      <c r="H5111" s="459">
        <v>5104</v>
      </c>
      <c r="I5111" s="444">
        <f t="shared" ca="1" si="203"/>
        <v>-42605763882351.25</v>
      </c>
      <c r="J5111" s="444">
        <f t="array" ref="J5111">IFERROR(INDEX('Retirement Calculator'!J:J,MATCH('Isaac 401k'!N5111,'Retirement Calculator'!A:A,0),0),0)</f>
        <v>0</v>
      </c>
      <c r="K5111" s="444">
        <f t="shared" ca="1" si="201"/>
        <v>-177524016176.46353</v>
      </c>
      <c r="L5111" s="444">
        <f t="shared" ca="1" si="202"/>
        <v>-42783287898527.711</v>
      </c>
      <c r="M5111" s="460">
        <f t="shared" si="204"/>
        <v>0.05</v>
      </c>
      <c r="N5111" s="464">
        <f t="shared" si="205"/>
        <v>206608</v>
      </c>
    </row>
    <row r="5112" spans="7:14" ht="11.25" customHeight="1" x14ac:dyDescent="0.3">
      <c r="G5112" s="459"/>
      <c r="H5112" s="459">
        <v>5105</v>
      </c>
      <c r="I5112" s="444">
        <f t="shared" ca="1" si="203"/>
        <v>-42783287898527.711</v>
      </c>
      <c r="J5112" s="444">
        <f t="array" ref="J5112">IFERROR(INDEX('Retirement Calculator'!J:J,MATCH('Isaac 401k'!N5112,'Retirement Calculator'!A:A,0),0),0)</f>
        <v>0</v>
      </c>
      <c r="K5112" s="444">
        <f t="shared" ca="1" si="201"/>
        <v>-178263699577.19879</v>
      </c>
      <c r="L5112" s="444">
        <f t="shared" ca="1" si="202"/>
        <v>-42961551598104.906</v>
      </c>
      <c r="M5112" s="460">
        <f t="shared" si="204"/>
        <v>0.05</v>
      </c>
      <c r="N5112" s="464">
        <f t="shared" si="205"/>
        <v>206638</v>
      </c>
    </row>
    <row r="5113" spans="7:14" ht="11.25" customHeight="1" x14ac:dyDescent="0.3">
      <c r="G5113" s="459"/>
      <c r="H5113" s="459">
        <v>5106</v>
      </c>
      <c r="I5113" s="444">
        <f t="shared" ca="1" si="203"/>
        <v>-42961551598104.906</v>
      </c>
      <c r="J5113" s="444">
        <f t="array" ref="J5113">IFERROR(INDEX('Retirement Calculator'!J:J,MATCH('Isaac 401k'!N5113,'Retirement Calculator'!A:A,0),0),0)</f>
        <v>0</v>
      </c>
      <c r="K5113" s="444">
        <f t="shared" ca="1" si="201"/>
        <v>-179006464992.10376</v>
      </c>
      <c r="L5113" s="444">
        <f t="shared" ca="1" si="202"/>
        <v>-43140558063097.008</v>
      </c>
      <c r="M5113" s="460">
        <f t="shared" si="204"/>
        <v>0.05</v>
      </c>
      <c r="N5113" s="464">
        <f t="shared" si="205"/>
        <v>206669</v>
      </c>
    </row>
    <row r="5114" spans="7:14" ht="11.25" customHeight="1" x14ac:dyDescent="0.3">
      <c r="G5114" s="459"/>
      <c r="H5114" s="459">
        <v>5107</v>
      </c>
      <c r="I5114" s="444">
        <f t="shared" ca="1" si="203"/>
        <v>-43140558063097.008</v>
      </c>
      <c r="J5114" s="444">
        <f t="array" ref="J5114">IFERROR(INDEX('Retirement Calculator'!J:J,MATCH('Isaac 401k'!N5114,'Retirement Calculator'!A:A,0),0),0)</f>
        <v>0</v>
      </c>
      <c r="K5114" s="444">
        <f t="shared" ca="1" si="201"/>
        <v>-179752325262.90421</v>
      </c>
      <c r="L5114" s="444">
        <f t="shared" ca="1" si="202"/>
        <v>-43320310388359.914</v>
      </c>
      <c r="M5114" s="460">
        <f t="shared" si="204"/>
        <v>0.05</v>
      </c>
      <c r="N5114" s="464">
        <f t="shared" si="205"/>
        <v>206699</v>
      </c>
    </row>
    <row r="5115" spans="7:14" ht="11.25" customHeight="1" x14ac:dyDescent="0.3">
      <c r="G5115" s="459"/>
      <c r="H5115" s="459">
        <v>5108</v>
      </c>
      <c r="I5115" s="444">
        <f t="shared" ca="1" si="203"/>
        <v>-43320310388359.914</v>
      </c>
      <c r="J5115" s="444">
        <f t="array" ref="J5115">IFERROR(INDEX('Retirement Calculator'!J:J,MATCH('Isaac 401k'!N5115,'Retirement Calculator'!A:A,0),0),0)</f>
        <v>0</v>
      </c>
      <c r="K5115" s="444">
        <f t="shared" ca="1" si="201"/>
        <v>-180501293284.83298</v>
      </c>
      <c r="L5115" s="444">
        <f t="shared" ca="1" si="202"/>
        <v>-43500811681644.75</v>
      </c>
      <c r="M5115" s="460">
        <f t="shared" si="204"/>
        <v>0.05</v>
      </c>
      <c r="N5115" s="464">
        <f t="shared" si="205"/>
        <v>206730</v>
      </c>
    </row>
    <row r="5116" spans="7:14" ht="11.25" customHeight="1" x14ac:dyDescent="0.3">
      <c r="G5116" s="459"/>
      <c r="H5116" s="459">
        <v>5109</v>
      </c>
      <c r="I5116" s="444">
        <f t="shared" ca="1" si="203"/>
        <v>-43500811681644.75</v>
      </c>
      <c r="J5116" s="444">
        <f t="array" ref="J5116">IFERROR(INDEX('Retirement Calculator'!J:J,MATCH('Isaac 401k'!N5116,'Retirement Calculator'!A:A,0),0),0)</f>
        <v>0</v>
      </c>
      <c r="K5116" s="444">
        <f t="shared" ca="1" si="201"/>
        <v>-181253382006.85312</v>
      </c>
      <c r="L5116" s="444">
        <f t="shared" ca="1" si="202"/>
        <v>-43682065063651.602</v>
      </c>
      <c r="M5116" s="460">
        <f t="shared" si="204"/>
        <v>0.05</v>
      </c>
      <c r="N5116" s="464">
        <f t="shared" si="205"/>
        <v>206761</v>
      </c>
    </row>
    <row r="5117" spans="7:14" ht="11.25" customHeight="1" x14ac:dyDescent="0.3">
      <c r="G5117" s="459"/>
      <c r="H5117" s="459">
        <v>5110</v>
      </c>
      <c r="I5117" s="444">
        <f t="shared" ca="1" si="203"/>
        <v>-43682065063651.602</v>
      </c>
      <c r="J5117" s="444">
        <f t="array" ref="J5117">IFERROR(INDEX('Retirement Calculator'!J:J,MATCH('Isaac 401k'!N5117,'Retirement Calculator'!A:A,0),0),0)</f>
        <v>0</v>
      </c>
      <c r="K5117" s="444">
        <f t="shared" ca="1" si="201"/>
        <v>-182008604431.88168</v>
      </c>
      <c r="L5117" s="444">
        <f t="shared" ca="1" si="202"/>
        <v>-43864073668083.484</v>
      </c>
      <c r="M5117" s="460">
        <f t="shared" si="204"/>
        <v>0.05</v>
      </c>
      <c r="N5117" s="464">
        <f t="shared" si="205"/>
        <v>206789</v>
      </c>
    </row>
    <row r="5118" spans="7:14" ht="11.25" customHeight="1" x14ac:dyDescent="0.3">
      <c r="G5118" s="459"/>
      <c r="H5118" s="459">
        <v>5111</v>
      </c>
      <c r="I5118" s="444">
        <f t="shared" ca="1" si="203"/>
        <v>-43864073668083.484</v>
      </c>
      <c r="J5118" s="444">
        <f t="array" ref="J5118">IFERROR(INDEX('Retirement Calculator'!J:J,MATCH('Isaac 401k'!N5118,'Retirement Calculator'!A:A,0),0),0)</f>
        <v>0</v>
      </c>
      <c r="K5118" s="444">
        <f t="shared" ca="1" si="201"/>
        <v>-182766973617.01453</v>
      </c>
      <c r="L5118" s="444">
        <f t="shared" ca="1" si="202"/>
        <v>-44046840641700.5</v>
      </c>
      <c r="M5118" s="460">
        <f t="shared" si="204"/>
        <v>0.05</v>
      </c>
      <c r="N5118" s="464">
        <f t="shared" si="205"/>
        <v>206820</v>
      </c>
    </row>
    <row r="5119" spans="7:14" ht="11.25" customHeight="1" x14ac:dyDescent="0.3">
      <c r="G5119" s="459"/>
      <c r="H5119" s="459">
        <v>5112</v>
      </c>
      <c r="I5119" s="444">
        <f t="shared" ca="1" si="203"/>
        <v>-44046840641700.5</v>
      </c>
      <c r="J5119" s="444">
        <f t="array" ref="J5119">IFERROR(INDEX('Retirement Calculator'!J:J,MATCH('Isaac 401k'!N5119,'Retirement Calculator'!A:A,0),0),0)</f>
        <v>0</v>
      </c>
      <c r="K5119" s="444">
        <f t="shared" ca="1" si="201"/>
        <v>-183528502673.75208</v>
      </c>
      <c r="L5119" s="444">
        <f t="shared" ca="1" si="202"/>
        <v>-44230369144374.25</v>
      </c>
      <c r="M5119" s="460">
        <f t="shared" si="204"/>
        <v>0.05</v>
      </c>
      <c r="N5119" s="464">
        <f t="shared" si="205"/>
        <v>206850</v>
      </c>
    </row>
    <row r="5120" spans="7:14" ht="11.25" customHeight="1" x14ac:dyDescent="0.3">
      <c r="G5120" s="459"/>
      <c r="H5120" s="459">
        <v>5113</v>
      </c>
      <c r="I5120" s="444">
        <f t="shared" ca="1" si="203"/>
        <v>-44230369144374.25</v>
      </c>
      <c r="J5120" s="444">
        <f t="array" ref="J5120">IFERROR(INDEX('Retirement Calculator'!J:J,MATCH('Isaac 401k'!N5120,'Retirement Calculator'!A:A,0),0),0)</f>
        <v>0</v>
      </c>
      <c r="K5120" s="444">
        <f t="shared" ca="1" si="201"/>
        <v>-184293204768.22604</v>
      </c>
      <c r="L5120" s="444">
        <f t="shared" ca="1" si="202"/>
        <v>-44414662349142.477</v>
      </c>
      <c r="M5120" s="460">
        <f t="shared" si="204"/>
        <v>0.05</v>
      </c>
      <c r="N5120" s="464">
        <f t="shared" si="205"/>
        <v>206881</v>
      </c>
    </row>
    <row r="5121" spans="7:14" ht="11.25" customHeight="1" x14ac:dyDescent="0.3">
      <c r="G5121" s="459"/>
      <c r="H5121" s="459">
        <v>5114</v>
      </c>
      <c r="I5121" s="444">
        <f t="shared" ca="1" si="203"/>
        <v>-44414662349142.477</v>
      </c>
      <c r="J5121" s="444">
        <f t="array" ref="J5121">IFERROR(INDEX('Retirement Calculator'!J:J,MATCH('Isaac 401k'!N5121,'Retirement Calculator'!A:A,0),0),0)</f>
        <v>0</v>
      </c>
      <c r="K5121" s="444">
        <f t="shared" ca="1" si="201"/>
        <v>-185061093121.42697</v>
      </c>
      <c r="L5121" s="444">
        <f t="shared" ca="1" si="202"/>
        <v>-44599723442263.906</v>
      </c>
      <c r="M5121" s="460">
        <f t="shared" si="204"/>
        <v>0.05</v>
      </c>
      <c r="N5121" s="464">
        <f t="shared" si="205"/>
        <v>206911</v>
      </c>
    </row>
    <row r="5122" spans="7:14" ht="11.25" customHeight="1" x14ac:dyDescent="0.3">
      <c r="G5122" s="459"/>
      <c r="H5122" s="459">
        <v>5115</v>
      </c>
      <c r="I5122" s="444">
        <f t="shared" ca="1" si="203"/>
        <v>-44599723442263.906</v>
      </c>
      <c r="J5122" s="444">
        <f t="array" ref="J5122">IFERROR(INDEX('Retirement Calculator'!J:J,MATCH('Isaac 401k'!N5122,'Retirement Calculator'!A:A,0),0),0)</f>
        <v>0</v>
      </c>
      <c r="K5122" s="444">
        <f t="shared" ca="1" si="201"/>
        <v>-185832181009.43295</v>
      </c>
      <c r="L5122" s="444">
        <f t="shared" ca="1" si="202"/>
        <v>-44785555623273.336</v>
      </c>
      <c r="M5122" s="460">
        <f t="shared" si="204"/>
        <v>0.05</v>
      </c>
      <c r="N5122" s="464">
        <f t="shared" si="205"/>
        <v>206942</v>
      </c>
    </row>
    <row r="5123" spans="7:14" ht="11.25" customHeight="1" x14ac:dyDescent="0.3">
      <c r="G5123" s="459"/>
      <c r="H5123" s="459">
        <v>5116</v>
      </c>
      <c r="I5123" s="444">
        <f t="shared" ca="1" si="203"/>
        <v>-44785555623273.336</v>
      </c>
      <c r="J5123" s="444">
        <f t="array" ref="J5123">IFERROR(INDEX('Retirement Calculator'!J:J,MATCH('Isaac 401k'!N5123,'Retirement Calculator'!A:A,0),0),0)</f>
        <v>0</v>
      </c>
      <c r="K5123" s="444">
        <f t="shared" ca="1" si="201"/>
        <v>-186606481763.63889</v>
      </c>
      <c r="L5123" s="444">
        <f t="shared" ca="1" si="202"/>
        <v>-44972162105036.977</v>
      </c>
      <c r="M5123" s="460">
        <f t="shared" si="204"/>
        <v>0.05</v>
      </c>
      <c r="N5123" s="464">
        <f t="shared" si="205"/>
        <v>206973</v>
      </c>
    </row>
    <row r="5124" spans="7:14" ht="11.25" customHeight="1" x14ac:dyDescent="0.3">
      <c r="G5124" s="459"/>
      <c r="H5124" s="459">
        <v>5117</v>
      </c>
      <c r="I5124" s="444">
        <f t="shared" ca="1" si="203"/>
        <v>-44972162105036.977</v>
      </c>
      <c r="J5124" s="444">
        <f t="array" ref="J5124">IFERROR(INDEX('Retirement Calculator'!J:J,MATCH('Isaac 401k'!N5124,'Retirement Calculator'!A:A,0),0),0)</f>
        <v>0</v>
      </c>
      <c r="K5124" s="444">
        <f t="shared" ca="1" si="201"/>
        <v>-187384008770.9874</v>
      </c>
      <c r="L5124" s="444">
        <f t="shared" ca="1" si="202"/>
        <v>-45159546113807.961</v>
      </c>
      <c r="M5124" s="460">
        <f t="shared" si="204"/>
        <v>0.05</v>
      </c>
      <c r="N5124" s="464">
        <f t="shared" si="205"/>
        <v>207003</v>
      </c>
    </row>
    <row r="5125" spans="7:14" ht="11.25" customHeight="1" x14ac:dyDescent="0.3">
      <c r="G5125" s="459"/>
      <c r="H5125" s="459">
        <v>5118</v>
      </c>
      <c r="I5125" s="444">
        <f t="shared" ca="1" si="203"/>
        <v>-45159546113807.961</v>
      </c>
      <c r="J5125" s="444">
        <f t="array" ref="J5125">IFERROR(INDEX('Retirement Calculator'!J:J,MATCH('Isaac 401k'!N5125,'Retirement Calculator'!A:A,0),0),0)</f>
        <v>0</v>
      </c>
      <c r="K5125" s="444">
        <f t="shared" ca="1" si="201"/>
        <v>-188164775474.19983</v>
      </c>
      <c r="L5125" s="444">
        <f t="shared" ca="1" si="202"/>
        <v>-45347710889282.164</v>
      </c>
      <c r="M5125" s="460">
        <f t="shared" si="204"/>
        <v>0.05</v>
      </c>
      <c r="N5125" s="464">
        <f t="shared" si="205"/>
        <v>207034</v>
      </c>
    </row>
    <row r="5126" spans="7:14" ht="11.25" customHeight="1" x14ac:dyDescent="0.3">
      <c r="G5126" s="459"/>
      <c r="H5126" s="459">
        <v>5119</v>
      </c>
      <c r="I5126" s="444">
        <f t="shared" ca="1" si="203"/>
        <v>-45347710889282.164</v>
      </c>
      <c r="J5126" s="444">
        <f t="array" ref="J5126">IFERROR(INDEX('Retirement Calculator'!J:J,MATCH('Isaac 401k'!N5126,'Retirement Calculator'!A:A,0),0),0)</f>
        <v>0</v>
      </c>
      <c r="K5126" s="444">
        <f t="shared" ca="1" si="201"/>
        <v>-188948795372.009</v>
      </c>
      <c r="L5126" s="444">
        <f t="shared" ca="1" si="202"/>
        <v>-45536659684654.172</v>
      </c>
      <c r="M5126" s="460">
        <f t="shared" si="204"/>
        <v>0.05</v>
      </c>
      <c r="N5126" s="464">
        <f t="shared" si="205"/>
        <v>207064</v>
      </c>
    </row>
    <row r="5127" spans="7:14" ht="11.25" customHeight="1" x14ac:dyDescent="0.3">
      <c r="G5127" s="459"/>
      <c r="H5127" s="459">
        <v>5120</v>
      </c>
      <c r="I5127" s="444">
        <f t="shared" ca="1" si="203"/>
        <v>-45536659684654.172</v>
      </c>
      <c r="J5127" s="444">
        <f t="array" ref="J5127">IFERROR(INDEX('Retirement Calculator'!J:J,MATCH('Isaac 401k'!N5127,'Retirement Calculator'!A:A,0),0),0)</f>
        <v>0</v>
      </c>
      <c r="K5127" s="444">
        <f t="shared" ca="1" si="201"/>
        <v>-189736082019.3924</v>
      </c>
      <c r="L5127" s="444">
        <f t="shared" ca="1" si="202"/>
        <v>-45726395766673.563</v>
      </c>
      <c r="M5127" s="460">
        <f t="shared" si="204"/>
        <v>0.05</v>
      </c>
      <c r="N5127" s="464">
        <f t="shared" si="205"/>
        <v>207095</v>
      </c>
    </row>
    <row r="5128" spans="7:14" ht="11.25" customHeight="1" x14ac:dyDescent="0.3">
      <c r="G5128" s="459"/>
      <c r="H5128" s="459">
        <v>5121</v>
      </c>
      <c r="I5128" s="444">
        <f t="shared" ca="1" si="203"/>
        <v>-45726395766673.563</v>
      </c>
      <c r="J5128" s="444">
        <f t="array" ref="J5128">IFERROR(INDEX('Retirement Calculator'!J:J,MATCH('Isaac 401k'!N5128,'Retirement Calculator'!A:A,0),0),0)</f>
        <v>0</v>
      </c>
      <c r="K5128" s="444">
        <f t="shared" ca="1" si="201"/>
        <v>-190526649027.80652</v>
      </c>
      <c r="L5128" s="444">
        <f t="shared" ca="1" si="202"/>
        <v>-45916922415701.367</v>
      </c>
      <c r="M5128" s="460">
        <f t="shared" si="204"/>
        <v>0.05</v>
      </c>
      <c r="N5128" s="464">
        <f t="shared" si="205"/>
        <v>207126</v>
      </c>
    </row>
    <row r="5129" spans="7:14" ht="11.25" customHeight="1" x14ac:dyDescent="0.3">
      <c r="G5129" s="459"/>
      <c r="H5129" s="459">
        <v>5122</v>
      </c>
      <c r="I5129" s="444">
        <f t="shared" ca="1" si="203"/>
        <v>-45916922415701.367</v>
      </c>
      <c r="J5129" s="444">
        <f t="array" ref="J5129">IFERROR(INDEX('Retirement Calculator'!J:J,MATCH('Isaac 401k'!N5129,'Retirement Calculator'!A:A,0),0),0)</f>
        <v>0</v>
      </c>
      <c r="K5129" s="444">
        <f t="shared" ca="1" si="201"/>
        <v>-191320510065.42236</v>
      </c>
      <c r="L5129" s="444">
        <f t="shared" ca="1" si="202"/>
        <v>-46108242925766.789</v>
      </c>
      <c r="M5129" s="460">
        <f t="shared" si="204"/>
        <v>0.05</v>
      </c>
      <c r="N5129" s="464">
        <f t="shared" si="205"/>
        <v>207154</v>
      </c>
    </row>
    <row r="5130" spans="7:14" ht="11.25" customHeight="1" x14ac:dyDescent="0.3">
      <c r="G5130" s="459"/>
      <c r="H5130" s="459">
        <v>5123</v>
      </c>
      <c r="I5130" s="444">
        <f t="shared" ca="1" si="203"/>
        <v>-46108242925766.789</v>
      </c>
      <c r="J5130" s="444">
        <f t="array" ref="J5130">IFERROR(INDEX('Retirement Calculator'!J:J,MATCH('Isaac 401k'!N5130,'Retirement Calculator'!A:A,0),0),0)</f>
        <v>0</v>
      </c>
      <c r="K5130" s="444">
        <f t="shared" ca="1" si="201"/>
        <v>-192117678857.36163</v>
      </c>
      <c r="L5130" s="444">
        <f t="shared" ca="1" si="202"/>
        <v>-46300360604624.148</v>
      </c>
      <c r="M5130" s="460">
        <f t="shared" si="204"/>
        <v>0.05</v>
      </c>
      <c r="N5130" s="464">
        <f t="shared" si="205"/>
        <v>207185</v>
      </c>
    </row>
    <row r="5131" spans="7:14" ht="11.25" customHeight="1" x14ac:dyDescent="0.3">
      <c r="G5131" s="459"/>
      <c r="H5131" s="459">
        <v>5124</v>
      </c>
      <c r="I5131" s="444">
        <f t="shared" ca="1" si="203"/>
        <v>-46300360604624.148</v>
      </c>
      <c r="J5131" s="444">
        <f t="array" ref="J5131">IFERROR(INDEX('Retirement Calculator'!J:J,MATCH('Isaac 401k'!N5131,'Retirement Calculator'!A:A,0),0),0)</f>
        <v>0</v>
      </c>
      <c r="K5131" s="444">
        <f t="shared" ca="1" si="201"/>
        <v>-192918169185.93396</v>
      </c>
      <c r="L5131" s="444">
        <f t="shared" ca="1" si="202"/>
        <v>-46493278773810.086</v>
      </c>
      <c r="M5131" s="460">
        <f t="shared" si="204"/>
        <v>0.05</v>
      </c>
      <c r="N5131" s="464">
        <f t="shared" si="205"/>
        <v>207215</v>
      </c>
    </row>
    <row r="5132" spans="7:14" ht="11.25" customHeight="1" x14ac:dyDescent="0.3">
      <c r="G5132" s="459"/>
      <c r="H5132" s="459">
        <v>5125</v>
      </c>
      <c r="I5132" s="444">
        <f t="shared" ca="1" si="203"/>
        <v>-46493278773810.086</v>
      </c>
      <c r="J5132" s="444">
        <f t="array" ref="J5132">IFERROR(INDEX('Retirement Calculator'!J:J,MATCH('Isaac 401k'!N5132,'Retirement Calculator'!A:A,0),0),0)</f>
        <v>0</v>
      </c>
      <c r="K5132" s="444">
        <f t="shared" ca="1" si="201"/>
        <v>-193721994890.87537</v>
      </c>
      <c r="L5132" s="444">
        <f t="shared" ca="1" si="202"/>
        <v>-46687000768700.961</v>
      </c>
      <c r="M5132" s="460">
        <f t="shared" si="204"/>
        <v>0.05</v>
      </c>
      <c r="N5132" s="464">
        <f t="shared" si="205"/>
        <v>207246</v>
      </c>
    </row>
    <row r="5133" spans="7:14" ht="11.25" customHeight="1" x14ac:dyDescent="0.3">
      <c r="G5133" s="459"/>
      <c r="H5133" s="459">
        <v>5126</v>
      </c>
      <c r="I5133" s="444">
        <f t="shared" ca="1" si="203"/>
        <v>-46687000768700.961</v>
      </c>
      <c r="J5133" s="444">
        <f t="array" ref="J5133">IFERROR(INDEX('Retirement Calculator'!J:J,MATCH('Isaac 401k'!N5133,'Retirement Calculator'!A:A,0),0),0)</f>
        <v>0</v>
      </c>
      <c r="K5133" s="444">
        <f t="shared" ca="1" si="201"/>
        <v>-194529169869.58734</v>
      </c>
      <c r="L5133" s="444">
        <f t="shared" ca="1" si="202"/>
        <v>-46881529938570.547</v>
      </c>
      <c r="M5133" s="460">
        <f t="shared" si="204"/>
        <v>0.05</v>
      </c>
      <c r="N5133" s="464">
        <f t="shared" si="205"/>
        <v>207276</v>
      </c>
    </row>
    <row r="5134" spans="7:14" ht="11.25" customHeight="1" x14ac:dyDescent="0.3">
      <c r="G5134" s="459"/>
      <c r="H5134" s="459">
        <v>5127</v>
      </c>
      <c r="I5134" s="444">
        <f t="shared" ca="1" si="203"/>
        <v>-46881529938570.547</v>
      </c>
      <c r="J5134" s="444">
        <f t="array" ref="J5134">IFERROR(INDEX('Retirement Calculator'!J:J,MATCH('Isaac 401k'!N5134,'Retirement Calculator'!A:A,0),0),0)</f>
        <v>0</v>
      </c>
      <c r="K5134" s="444">
        <f t="shared" ca="1" si="201"/>
        <v>-195339708077.37729</v>
      </c>
      <c r="L5134" s="444">
        <f t="shared" ca="1" si="202"/>
        <v>-47076869646647.922</v>
      </c>
      <c r="M5134" s="460">
        <f t="shared" si="204"/>
        <v>0.05</v>
      </c>
      <c r="N5134" s="464">
        <f t="shared" si="205"/>
        <v>207307</v>
      </c>
    </row>
    <row r="5135" spans="7:14" ht="11.25" customHeight="1" x14ac:dyDescent="0.3">
      <c r="G5135" s="459"/>
      <c r="H5135" s="459">
        <v>5128</v>
      </c>
      <c r="I5135" s="444">
        <f t="shared" ca="1" si="203"/>
        <v>-47076869646647.922</v>
      </c>
      <c r="J5135" s="444">
        <f t="array" ref="J5135">IFERROR(INDEX('Retirement Calculator'!J:J,MATCH('Isaac 401k'!N5135,'Retirement Calculator'!A:A,0),0),0)</f>
        <v>0</v>
      </c>
      <c r="K5135" s="444">
        <f t="shared" ca="1" si="201"/>
        <v>-196153623527.69968</v>
      </c>
      <c r="L5135" s="444">
        <f t="shared" ca="1" si="202"/>
        <v>-47273023270175.625</v>
      </c>
      <c r="M5135" s="460">
        <f t="shared" si="204"/>
        <v>0.05</v>
      </c>
      <c r="N5135" s="464">
        <f t="shared" si="205"/>
        <v>207338</v>
      </c>
    </row>
    <row r="5136" spans="7:14" ht="11.25" customHeight="1" x14ac:dyDescent="0.3">
      <c r="G5136" s="459"/>
      <c r="H5136" s="459">
        <v>5129</v>
      </c>
      <c r="I5136" s="444">
        <f t="shared" ca="1" si="203"/>
        <v>-47273023270175.625</v>
      </c>
      <c r="J5136" s="444">
        <f t="array" ref="J5136">IFERROR(INDEX('Retirement Calculator'!J:J,MATCH('Isaac 401k'!N5136,'Retirement Calculator'!A:A,0),0),0)</f>
        <v>0</v>
      </c>
      <c r="K5136" s="444">
        <f t="shared" ca="1" si="201"/>
        <v>-196970930292.39844</v>
      </c>
      <c r="L5136" s="444">
        <f t="shared" ca="1" si="202"/>
        <v>-47469994200468.023</v>
      </c>
      <c r="M5136" s="460">
        <f t="shared" si="204"/>
        <v>0.05</v>
      </c>
      <c r="N5136" s="464">
        <f t="shared" si="205"/>
        <v>207368</v>
      </c>
    </row>
    <row r="5137" spans="7:14" ht="11.25" customHeight="1" x14ac:dyDescent="0.3">
      <c r="G5137" s="459"/>
      <c r="H5137" s="459">
        <v>5130</v>
      </c>
      <c r="I5137" s="444">
        <f t="shared" ca="1" si="203"/>
        <v>-47469994200468.023</v>
      </c>
      <c r="J5137" s="444">
        <f t="array" ref="J5137">IFERROR(INDEX('Retirement Calculator'!J:J,MATCH('Isaac 401k'!N5137,'Retirement Calculator'!A:A,0),0),0)</f>
        <v>0</v>
      </c>
      <c r="K5137" s="444">
        <f t="shared" ca="1" si="201"/>
        <v>-197791642501.9501</v>
      </c>
      <c r="L5137" s="444">
        <f t="shared" ca="1" si="202"/>
        <v>-47667785842969.977</v>
      </c>
      <c r="M5137" s="460">
        <f t="shared" si="204"/>
        <v>0.05</v>
      </c>
      <c r="N5137" s="464">
        <f t="shared" si="205"/>
        <v>207399</v>
      </c>
    </row>
    <row r="5138" spans="7:14" ht="11.25" customHeight="1" x14ac:dyDescent="0.3">
      <c r="G5138" s="459"/>
      <c r="H5138" s="459">
        <v>5131</v>
      </c>
      <c r="I5138" s="444">
        <f t="shared" ca="1" si="203"/>
        <v>-47667785842969.977</v>
      </c>
      <c r="J5138" s="444">
        <f t="array" ref="J5138">IFERROR(INDEX('Retirement Calculator'!J:J,MATCH('Isaac 401k'!N5138,'Retirement Calculator'!A:A,0),0),0)</f>
        <v>0</v>
      </c>
      <c r="K5138" s="444">
        <f t="shared" ca="1" si="201"/>
        <v>-198615774345.70822</v>
      </c>
      <c r="L5138" s="444">
        <f t="shared" ca="1" si="202"/>
        <v>-47866401617315.688</v>
      </c>
      <c r="M5138" s="460">
        <f t="shared" si="204"/>
        <v>0.05</v>
      </c>
      <c r="N5138" s="464">
        <f t="shared" si="205"/>
        <v>207429</v>
      </c>
    </row>
    <row r="5139" spans="7:14" ht="11.25" customHeight="1" x14ac:dyDescent="0.3">
      <c r="G5139" s="459"/>
      <c r="H5139" s="459">
        <v>5132</v>
      </c>
      <c r="I5139" s="444">
        <f t="shared" ca="1" si="203"/>
        <v>-47866401617315.688</v>
      </c>
      <c r="J5139" s="444">
        <f t="array" ref="J5139">IFERROR(INDEX('Retirement Calculator'!J:J,MATCH('Isaac 401k'!N5139,'Retirement Calculator'!A:A,0),0),0)</f>
        <v>0</v>
      </c>
      <c r="K5139" s="444">
        <f t="shared" ca="1" si="201"/>
        <v>-199443340072.14868</v>
      </c>
      <c r="L5139" s="444">
        <f t="shared" ca="1" si="202"/>
        <v>-48065844957387.836</v>
      </c>
      <c r="M5139" s="460">
        <f t="shared" si="204"/>
        <v>0.05</v>
      </c>
      <c r="N5139" s="464">
        <f t="shared" si="205"/>
        <v>207460</v>
      </c>
    </row>
    <row r="5140" spans="7:14" ht="11.25" customHeight="1" x14ac:dyDescent="0.3">
      <c r="G5140" s="459"/>
      <c r="H5140" s="459">
        <v>5133</v>
      </c>
      <c r="I5140" s="444">
        <f t="shared" ca="1" si="203"/>
        <v>-48065844957387.836</v>
      </c>
      <c r="J5140" s="444">
        <f t="array" ref="J5140">IFERROR(INDEX('Retirement Calculator'!J:J,MATCH('Isaac 401k'!N5140,'Retirement Calculator'!A:A,0),0),0)</f>
        <v>0</v>
      </c>
      <c r="K5140" s="444">
        <f t="shared" ca="1" si="201"/>
        <v>-200274353989.11597</v>
      </c>
      <c r="L5140" s="444">
        <f t="shared" ca="1" si="202"/>
        <v>-48266119311376.953</v>
      </c>
      <c r="M5140" s="460">
        <f t="shared" si="204"/>
        <v>0.05</v>
      </c>
      <c r="N5140" s="464">
        <f t="shared" si="205"/>
        <v>207491</v>
      </c>
    </row>
    <row r="5141" spans="7:14" ht="11.25" customHeight="1" x14ac:dyDescent="0.3">
      <c r="G5141" s="459"/>
      <c r="H5141" s="459">
        <v>5134</v>
      </c>
      <c r="I5141" s="444">
        <f t="shared" ca="1" si="203"/>
        <v>-48266119311376.953</v>
      </c>
      <c r="J5141" s="444">
        <f t="array" ref="J5141">IFERROR(INDEX('Retirement Calculator'!J:J,MATCH('Isaac 401k'!N5141,'Retirement Calculator'!A:A,0),0),0)</f>
        <v>0</v>
      </c>
      <c r="K5141" s="444">
        <f t="shared" ca="1" si="201"/>
        <v>-201108830464.07065</v>
      </c>
      <c r="L5141" s="444">
        <f t="shared" ca="1" si="202"/>
        <v>-48467228141841.023</v>
      </c>
      <c r="M5141" s="460">
        <f t="shared" si="204"/>
        <v>0.05</v>
      </c>
      <c r="N5141" s="464">
        <f t="shared" si="205"/>
        <v>207520</v>
      </c>
    </row>
    <row r="5142" spans="7:14" ht="11.25" customHeight="1" x14ac:dyDescent="0.3">
      <c r="G5142" s="459"/>
      <c r="H5142" s="459">
        <v>5135</v>
      </c>
      <c r="I5142" s="444">
        <f t="shared" ca="1" si="203"/>
        <v>-48467228141841.023</v>
      </c>
      <c r="J5142" s="444">
        <f t="array" ref="J5142">IFERROR(INDEX('Retirement Calculator'!J:J,MATCH('Isaac 401k'!N5142,'Retirement Calculator'!A:A,0),0),0)</f>
        <v>0</v>
      </c>
      <c r="K5142" s="444">
        <f t="shared" ca="1" si="201"/>
        <v>-201946783924.33759</v>
      </c>
      <c r="L5142" s="444">
        <f t="shared" ca="1" si="202"/>
        <v>-48669174925765.359</v>
      </c>
      <c r="M5142" s="460">
        <f t="shared" si="204"/>
        <v>0.05</v>
      </c>
      <c r="N5142" s="464">
        <f t="shared" si="205"/>
        <v>207551</v>
      </c>
    </row>
    <row r="5143" spans="7:14" ht="11.25" customHeight="1" x14ac:dyDescent="0.3">
      <c r="G5143" s="459"/>
      <c r="H5143" s="459">
        <v>5136</v>
      </c>
      <c r="I5143" s="444">
        <f t="shared" ca="1" si="203"/>
        <v>-48669174925765.359</v>
      </c>
      <c r="J5143" s="444">
        <f t="array" ref="J5143">IFERROR(INDEX('Retirement Calculator'!J:J,MATCH('Isaac 401k'!N5143,'Retirement Calculator'!A:A,0),0),0)</f>
        <v>0</v>
      </c>
      <c r="K5143" s="444">
        <f t="shared" ca="1" si="201"/>
        <v>-202788228857.35565</v>
      </c>
      <c r="L5143" s="444">
        <f t="shared" ca="1" si="202"/>
        <v>-48871963154622.719</v>
      </c>
      <c r="M5143" s="460">
        <f t="shared" si="204"/>
        <v>0.05</v>
      </c>
      <c r="N5143" s="464">
        <f t="shared" si="205"/>
        <v>207581</v>
      </c>
    </row>
    <row r="5144" spans="7:14" ht="11.25" customHeight="1" x14ac:dyDescent="0.3">
      <c r="G5144" s="459"/>
      <c r="H5144" s="459">
        <v>5137</v>
      </c>
      <c r="I5144" s="444">
        <f t="shared" ca="1" si="203"/>
        <v>-48871963154622.719</v>
      </c>
      <c r="J5144" s="444">
        <f t="array" ref="J5144">IFERROR(INDEX('Retirement Calculator'!J:J,MATCH('Isaac 401k'!N5144,'Retirement Calculator'!A:A,0),0),0)</f>
        <v>0</v>
      </c>
      <c r="K5144" s="444">
        <f t="shared" ca="1" si="201"/>
        <v>-203633179810.92798</v>
      </c>
      <c r="L5144" s="444">
        <f t="shared" ca="1" si="202"/>
        <v>-49075596334433.648</v>
      </c>
      <c r="M5144" s="460">
        <f t="shared" si="204"/>
        <v>0.05</v>
      </c>
      <c r="N5144" s="464">
        <f t="shared" si="205"/>
        <v>207612</v>
      </c>
    </row>
    <row r="5145" spans="7:14" ht="11.25" customHeight="1" x14ac:dyDescent="0.3">
      <c r="G5145" s="459"/>
      <c r="H5145" s="459">
        <v>5138</v>
      </c>
      <c r="I5145" s="444">
        <f t="shared" ca="1" si="203"/>
        <v>-49075596334433.648</v>
      </c>
      <c r="J5145" s="444">
        <f t="array" ref="J5145">IFERROR(INDEX('Retirement Calculator'!J:J,MATCH('Isaac 401k'!N5145,'Retirement Calculator'!A:A,0),0),0)</f>
        <v>0</v>
      </c>
      <c r="K5145" s="444">
        <f t="shared" ca="1" si="201"/>
        <v>-204481651393.47354</v>
      </c>
      <c r="L5145" s="444">
        <f t="shared" ca="1" si="202"/>
        <v>-49280077985827.125</v>
      </c>
      <c r="M5145" s="460">
        <f t="shared" si="204"/>
        <v>0.05</v>
      </c>
      <c r="N5145" s="464">
        <f t="shared" si="205"/>
        <v>207642</v>
      </c>
    </row>
    <row r="5146" spans="7:14" ht="11.25" customHeight="1" x14ac:dyDescent="0.3">
      <c r="G5146" s="459"/>
      <c r="H5146" s="459">
        <v>5139</v>
      </c>
      <c r="I5146" s="444">
        <f t="shared" ca="1" si="203"/>
        <v>-49280077985827.125</v>
      </c>
      <c r="J5146" s="444">
        <f t="array" ref="J5146">IFERROR(INDEX('Retirement Calculator'!J:J,MATCH('Isaac 401k'!N5146,'Retirement Calculator'!A:A,0),0),0)</f>
        <v>0</v>
      </c>
      <c r="K5146" s="444">
        <f t="shared" ca="1" si="201"/>
        <v>-205333658274.27969</v>
      </c>
      <c r="L5146" s="444">
        <f t="shared" ca="1" si="202"/>
        <v>-49485411644101.406</v>
      </c>
      <c r="M5146" s="460">
        <f t="shared" si="204"/>
        <v>0.05</v>
      </c>
      <c r="N5146" s="464">
        <f t="shared" si="205"/>
        <v>207673</v>
      </c>
    </row>
    <row r="5147" spans="7:14" ht="11.25" customHeight="1" x14ac:dyDescent="0.3">
      <c r="G5147" s="459"/>
      <c r="H5147" s="459">
        <v>5140</v>
      </c>
      <c r="I5147" s="444">
        <f t="shared" ca="1" si="203"/>
        <v>-49485411644101.406</v>
      </c>
      <c r="J5147" s="444">
        <f t="array" ref="J5147">IFERROR(INDEX('Retirement Calculator'!J:J,MATCH('Isaac 401k'!N5147,'Retirement Calculator'!A:A,0),0),0)</f>
        <v>0</v>
      </c>
      <c r="K5147" s="444">
        <f t="shared" ca="1" si="201"/>
        <v>-206189215183.75586</v>
      </c>
      <c r="L5147" s="444">
        <f t="shared" ca="1" si="202"/>
        <v>-49691600859285.164</v>
      </c>
      <c r="M5147" s="460">
        <f t="shared" si="204"/>
        <v>0.05</v>
      </c>
      <c r="N5147" s="464">
        <f t="shared" si="205"/>
        <v>207704</v>
      </c>
    </row>
    <row r="5148" spans="7:14" ht="11.25" customHeight="1" x14ac:dyDescent="0.3">
      <c r="G5148" s="459"/>
      <c r="H5148" s="459">
        <v>5141</v>
      </c>
      <c r="I5148" s="444">
        <f t="shared" ca="1" si="203"/>
        <v>-49691600859285.164</v>
      </c>
      <c r="J5148" s="444">
        <f t="array" ref="J5148">IFERROR(INDEX('Retirement Calculator'!J:J,MATCH('Isaac 401k'!N5148,'Retirement Calculator'!A:A,0),0),0)</f>
        <v>0</v>
      </c>
      <c r="K5148" s="444">
        <f t="shared" ca="1" si="201"/>
        <v>-207048336913.68817</v>
      </c>
      <c r="L5148" s="444">
        <f t="shared" ca="1" si="202"/>
        <v>-49898649196198.852</v>
      </c>
      <c r="M5148" s="460">
        <f t="shared" si="204"/>
        <v>0.05</v>
      </c>
      <c r="N5148" s="464">
        <f t="shared" si="205"/>
        <v>207734</v>
      </c>
    </row>
    <row r="5149" spans="7:14" ht="11.25" customHeight="1" x14ac:dyDescent="0.3">
      <c r="G5149" s="459"/>
      <c r="H5149" s="459">
        <v>5142</v>
      </c>
      <c r="I5149" s="444">
        <f t="shared" ca="1" si="203"/>
        <v>-49898649196198.852</v>
      </c>
      <c r="J5149" s="444">
        <f t="array" ref="J5149">IFERROR(INDEX('Retirement Calculator'!J:J,MATCH('Isaac 401k'!N5149,'Retirement Calculator'!A:A,0),0),0)</f>
        <v>0</v>
      </c>
      <c r="K5149" s="444">
        <f t="shared" ca="1" si="201"/>
        <v>-207911038317.49521</v>
      </c>
      <c r="L5149" s="444">
        <f t="shared" ca="1" si="202"/>
        <v>-50106560234516.344</v>
      </c>
      <c r="M5149" s="460">
        <f t="shared" si="204"/>
        <v>0.05</v>
      </c>
      <c r="N5149" s="464">
        <f t="shared" si="205"/>
        <v>207765</v>
      </c>
    </row>
    <row r="5150" spans="7:14" ht="11.25" customHeight="1" x14ac:dyDescent="0.3">
      <c r="G5150" s="459"/>
      <c r="H5150" s="459">
        <v>5143</v>
      </c>
      <c r="I5150" s="444">
        <f t="shared" ca="1" si="203"/>
        <v>-50106560234516.344</v>
      </c>
      <c r="J5150" s="444">
        <f t="array" ref="J5150">IFERROR(INDEX('Retirement Calculator'!J:J,MATCH('Isaac 401k'!N5150,'Retirement Calculator'!A:A,0),0),0)</f>
        <v>0</v>
      </c>
      <c r="K5150" s="444">
        <f t="shared" ca="1" si="201"/>
        <v>-208777334310.48477</v>
      </c>
      <c r="L5150" s="444">
        <f t="shared" ca="1" si="202"/>
        <v>-50315337568826.828</v>
      </c>
      <c r="M5150" s="460">
        <f t="shared" si="204"/>
        <v>0.05</v>
      </c>
      <c r="N5150" s="464">
        <f t="shared" si="205"/>
        <v>207795</v>
      </c>
    </row>
    <row r="5151" spans="7:14" ht="11.25" customHeight="1" x14ac:dyDescent="0.3">
      <c r="G5151" s="459"/>
      <c r="H5151" s="459">
        <v>5144</v>
      </c>
      <c r="I5151" s="444">
        <f t="shared" ca="1" si="203"/>
        <v>-50315337568826.828</v>
      </c>
      <c r="J5151" s="444">
        <f t="array" ref="J5151">IFERROR(INDEX('Retirement Calculator'!J:J,MATCH('Isaac 401k'!N5151,'Retirement Calculator'!A:A,0),0),0)</f>
        <v>0</v>
      </c>
      <c r="K5151" s="444">
        <f t="shared" ca="1" si="201"/>
        <v>-209647239870.11179</v>
      </c>
      <c r="L5151" s="444">
        <f t="shared" ca="1" si="202"/>
        <v>-50524984808696.938</v>
      </c>
      <c r="M5151" s="460">
        <f t="shared" si="204"/>
        <v>0.05</v>
      </c>
      <c r="N5151" s="464">
        <f t="shared" si="205"/>
        <v>207826</v>
      </c>
    </row>
    <row r="5152" spans="7:14" ht="11.25" customHeight="1" x14ac:dyDescent="0.3">
      <c r="G5152" s="459"/>
      <c r="H5152" s="459">
        <v>5145</v>
      </c>
      <c r="I5152" s="444">
        <f t="shared" ca="1" si="203"/>
        <v>-50524984808696.938</v>
      </c>
      <c r="J5152" s="444">
        <f t="array" ref="J5152">IFERROR(INDEX('Retirement Calculator'!J:J,MATCH('Isaac 401k'!N5152,'Retirement Calculator'!A:A,0),0),0)</f>
        <v>0</v>
      </c>
      <c r="K5152" s="444">
        <f t="shared" ca="1" si="201"/>
        <v>-210520770036.23724</v>
      </c>
      <c r="L5152" s="444">
        <f t="shared" ca="1" si="202"/>
        <v>-50735505578733.172</v>
      </c>
      <c r="M5152" s="460">
        <f t="shared" si="204"/>
        <v>0.05</v>
      </c>
      <c r="N5152" s="464">
        <f t="shared" si="205"/>
        <v>207857</v>
      </c>
    </row>
    <row r="5153" spans="7:14" ht="11.25" customHeight="1" x14ac:dyDescent="0.3">
      <c r="G5153" s="459"/>
      <c r="H5153" s="459">
        <v>5146</v>
      </c>
      <c r="I5153" s="444">
        <f t="shared" ca="1" si="203"/>
        <v>-50735505578733.172</v>
      </c>
      <c r="J5153" s="444">
        <f t="array" ref="J5153">IFERROR(INDEX('Retirement Calculator'!J:J,MATCH('Isaac 401k'!N5153,'Retirement Calculator'!A:A,0),0),0)</f>
        <v>0</v>
      </c>
      <c r="K5153" s="444">
        <f t="shared" ca="1" si="201"/>
        <v>-211397939911.38821</v>
      </c>
      <c r="L5153" s="444">
        <f t="shared" ca="1" si="202"/>
        <v>-50946903518644.563</v>
      </c>
      <c r="M5153" s="460">
        <f t="shared" si="204"/>
        <v>0.05</v>
      </c>
      <c r="N5153" s="464">
        <f t="shared" si="205"/>
        <v>207885</v>
      </c>
    </row>
    <row r="5154" spans="7:14" ht="11.25" customHeight="1" x14ac:dyDescent="0.3">
      <c r="G5154" s="459"/>
      <c r="H5154" s="459">
        <v>5147</v>
      </c>
      <c r="I5154" s="444">
        <f t="shared" ca="1" si="203"/>
        <v>-50946903518644.563</v>
      </c>
      <c r="J5154" s="444">
        <f t="array" ref="J5154">IFERROR(INDEX('Retirement Calculator'!J:J,MATCH('Isaac 401k'!N5154,'Retirement Calculator'!A:A,0),0),0)</f>
        <v>0</v>
      </c>
      <c r="K5154" s="444">
        <f t="shared" ca="1" si="201"/>
        <v>-212278764661.01901</v>
      </c>
      <c r="L5154" s="444">
        <f t="shared" ca="1" si="202"/>
        <v>-51159182283305.578</v>
      </c>
      <c r="M5154" s="460">
        <f t="shared" si="204"/>
        <v>0.05</v>
      </c>
      <c r="N5154" s="464">
        <f t="shared" si="205"/>
        <v>207916</v>
      </c>
    </row>
    <row r="5155" spans="7:14" ht="11.25" customHeight="1" x14ac:dyDescent="0.3">
      <c r="G5155" s="459"/>
      <c r="H5155" s="459">
        <v>5148</v>
      </c>
      <c r="I5155" s="444">
        <f t="shared" ca="1" si="203"/>
        <v>-51159182283305.578</v>
      </c>
      <c r="J5155" s="444">
        <f t="array" ref="J5155">IFERROR(INDEX('Retirement Calculator'!J:J,MATCH('Isaac 401k'!N5155,'Retirement Calculator'!A:A,0),0),0)</f>
        <v>0</v>
      </c>
      <c r="K5155" s="444">
        <f t="shared" ca="1" si="201"/>
        <v>-213163259513.77325</v>
      </c>
      <c r="L5155" s="444">
        <f t="shared" ca="1" si="202"/>
        <v>-51372345542819.352</v>
      </c>
      <c r="M5155" s="460">
        <f t="shared" si="204"/>
        <v>0.05</v>
      </c>
      <c r="N5155" s="464">
        <f t="shared" si="205"/>
        <v>207946</v>
      </c>
    </row>
    <row r="5156" spans="7:14" ht="11.25" customHeight="1" x14ac:dyDescent="0.3">
      <c r="G5156" s="459"/>
      <c r="H5156" s="459">
        <v>5149</v>
      </c>
      <c r="I5156" s="444">
        <f t="shared" ca="1" si="203"/>
        <v>-51372345542819.352</v>
      </c>
      <c r="J5156" s="444">
        <f t="array" ref="J5156">IFERROR(INDEX('Retirement Calculator'!J:J,MATCH('Isaac 401k'!N5156,'Retirement Calculator'!A:A,0),0),0)</f>
        <v>0</v>
      </c>
      <c r="K5156" s="444">
        <f t="shared" ca="1" si="201"/>
        <v>-214051439761.74728</v>
      </c>
      <c r="L5156" s="444">
        <f t="shared" ca="1" si="202"/>
        <v>-51586396982581.102</v>
      </c>
      <c r="M5156" s="460">
        <f t="shared" si="204"/>
        <v>0.05</v>
      </c>
      <c r="N5156" s="464">
        <f t="shared" si="205"/>
        <v>207977</v>
      </c>
    </row>
    <row r="5157" spans="7:14" ht="11.25" customHeight="1" x14ac:dyDescent="0.3">
      <c r="G5157" s="459"/>
      <c r="H5157" s="459">
        <v>5150</v>
      </c>
      <c r="I5157" s="444">
        <f t="shared" ca="1" si="203"/>
        <v>-51586396982581.102</v>
      </c>
      <c r="J5157" s="444">
        <f t="array" ref="J5157">IFERROR(INDEX('Retirement Calculator'!J:J,MATCH('Isaac 401k'!N5157,'Retirement Calculator'!A:A,0),0),0)</f>
        <v>0</v>
      </c>
      <c r="K5157" s="444">
        <f t="shared" ca="1" si="201"/>
        <v>-214943320760.75458</v>
      </c>
      <c r="L5157" s="444">
        <f t="shared" ca="1" si="202"/>
        <v>-51801340303341.859</v>
      </c>
      <c r="M5157" s="460">
        <f t="shared" si="204"/>
        <v>0.05</v>
      </c>
      <c r="N5157" s="464">
        <f t="shared" si="205"/>
        <v>208007</v>
      </c>
    </row>
    <row r="5158" spans="7:14" ht="11.25" customHeight="1" x14ac:dyDescent="0.3">
      <c r="G5158" s="459"/>
      <c r="H5158" s="459">
        <v>5151</v>
      </c>
      <c r="I5158" s="444">
        <f t="shared" ca="1" si="203"/>
        <v>-51801340303341.859</v>
      </c>
      <c r="J5158" s="444">
        <f t="array" ref="J5158">IFERROR(INDEX('Retirement Calculator'!J:J,MATCH('Isaac 401k'!N5158,'Retirement Calculator'!A:A,0),0),0)</f>
        <v>0</v>
      </c>
      <c r="K5158" s="444">
        <f t="shared" ca="1" si="201"/>
        <v>-215838917930.59106</v>
      </c>
      <c r="L5158" s="444">
        <f t="shared" ca="1" si="202"/>
        <v>-52017179221272.453</v>
      </c>
      <c r="M5158" s="460">
        <f t="shared" si="204"/>
        <v>0.05</v>
      </c>
      <c r="N5158" s="464">
        <f t="shared" si="205"/>
        <v>208038</v>
      </c>
    </row>
    <row r="5159" spans="7:14" ht="11.25" customHeight="1" x14ac:dyDescent="0.3">
      <c r="G5159" s="459"/>
      <c r="H5159" s="459">
        <v>5152</v>
      </c>
      <c r="I5159" s="444">
        <f t="shared" ca="1" si="203"/>
        <v>-52017179221272.453</v>
      </c>
      <c r="J5159" s="444">
        <f t="array" ref="J5159">IFERROR(INDEX('Retirement Calculator'!J:J,MATCH('Isaac 401k'!N5159,'Retirement Calculator'!A:A,0),0),0)</f>
        <v>0</v>
      </c>
      <c r="K5159" s="444">
        <f t="shared" ca="1" si="201"/>
        <v>-216738246755.30188</v>
      </c>
      <c r="L5159" s="444">
        <f t="shared" ca="1" si="202"/>
        <v>-52233917468027.758</v>
      </c>
      <c r="M5159" s="460">
        <f t="shared" si="204"/>
        <v>0.05</v>
      </c>
      <c r="N5159" s="464">
        <f t="shared" si="205"/>
        <v>208069</v>
      </c>
    </row>
    <row r="5160" spans="7:14" ht="11.25" customHeight="1" x14ac:dyDescent="0.3">
      <c r="G5160" s="459"/>
      <c r="H5160" s="459">
        <v>5153</v>
      </c>
      <c r="I5160" s="444">
        <f t="shared" ca="1" si="203"/>
        <v>-52233917468027.758</v>
      </c>
      <c r="J5160" s="444">
        <f t="array" ref="J5160">IFERROR(INDEX('Retirement Calculator'!J:J,MATCH('Isaac 401k'!N5160,'Retirement Calculator'!A:A,0),0),0)</f>
        <v>0</v>
      </c>
      <c r="K5160" s="444">
        <f t="shared" ca="1" si="201"/>
        <v>-217641322783.44897</v>
      </c>
      <c r="L5160" s="444">
        <f t="shared" ca="1" si="202"/>
        <v>-52451558790811.203</v>
      </c>
      <c r="M5160" s="460">
        <f t="shared" si="204"/>
        <v>0.05</v>
      </c>
      <c r="N5160" s="464">
        <f t="shared" si="205"/>
        <v>208099</v>
      </c>
    </row>
    <row r="5161" spans="7:14" ht="11.25" customHeight="1" x14ac:dyDescent="0.3">
      <c r="G5161" s="459"/>
      <c r="H5161" s="459">
        <v>5154</v>
      </c>
      <c r="I5161" s="444">
        <f t="shared" ca="1" si="203"/>
        <v>-52451558790811.203</v>
      </c>
      <c r="J5161" s="444">
        <f t="array" ref="J5161">IFERROR(INDEX('Retirement Calculator'!J:J,MATCH('Isaac 401k'!N5161,'Retirement Calculator'!A:A,0),0),0)</f>
        <v>0</v>
      </c>
      <c r="K5161" s="444">
        <f t="shared" ca="1" si="201"/>
        <v>-218548161628.38</v>
      </c>
      <c r="L5161" s="444">
        <f t="shared" ca="1" si="202"/>
        <v>-52670106952439.586</v>
      </c>
      <c r="M5161" s="460">
        <f t="shared" si="204"/>
        <v>0.05</v>
      </c>
      <c r="N5161" s="464">
        <f t="shared" si="205"/>
        <v>208130</v>
      </c>
    </row>
    <row r="5162" spans="7:14" ht="11.25" customHeight="1" x14ac:dyDescent="0.3">
      <c r="G5162" s="459"/>
      <c r="H5162" s="459">
        <v>5155</v>
      </c>
      <c r="I5162" s="444">
        <f t="shared" ca="1" si="203"/>
        <v>-52670106952439.586</v>
      </c>
      <c r="J5162" s="444">
        <f t="array" ref="J5162">IFERROR(INDEX('Retirement Calculator'!J:J,MATCH('Isaac 401k'!N5162,'Retirement Calculator'!A:A,0),0),0)</f>
        <v>0</v>
      </c>
      <c r="K5162" s="444">
        <f t="shared" ca="1" si="201"/>
        <v>-219458778968.49826</v>
      </c>
      <c r="L5162" s="444">
        <f t="shared" ca="1" si="202"/>
        <v>-52889565731408.086</v>
      </c>
      <c r="M5162" s="460">
        <f t="shared" si="204"/>
        <v>0.05</v>
      </c>
      <c r="N5162" s="464">
        <f t="shared" si="205"/>
        <v>208160</v>
      </c>
    </row>
    <row r="5163" spans="7:14" ht="11.25" customHeight="1" x14ac:dyDescent="0.3">
      <c r="G5163" s="459"/>
      <c r="H5163" s="459">
        <v>5156</v>
      </c>
      <c r="I5163" s="444">
        <f t="shared" ca="1" si="203"/>
        <v>-52889565731408.086</v>
      </c>
      <c r="J5163" s="444">
        <f t="array" ref="J5163">IFERROR(INDEX('Retirement Calculator'!J:J,MATCH('Isaac 401k'!N5163,'Retirement Calculator'!A:A,0),0),0)</f>
        <v>0</v>
      </c>
      <c r="K5163" s="444">
        <f t="shared" ca="1" si="201"/>
        <v>-220373190547.53369</v>
      </c>
      <c r="L5163" s="444">
        <f t="shared" ca="1" si="202"/>
        <v>-53109938921955.617</v>
      </c>
      <c r="M5163" s="460">
        <f t="shared" si="204"/>
        <v>0.05</v>
      </c>
      <c r="N5163" s="464">
        <f t="shared" si="205"/>
        <v>208191</v>
      </c>
    </row>
    <row r="5164" spans="7:14" ht="11.25" customHeight="1" x14ac:dyDescent="0.3">
      <c r="G5164" s="459"/>
      <c r="H5164" s="459">
        <v>5157</v>
      </c>
      <c r="I5164" s="444">
        <f t="shared" ca="1" si="203"/>
        <v>-53109938921955.617</v>
      </c>
      <c r="J5164" s="444">
        <f t="array" ref="J5164">IFERROR(INDEX('Retirement Calculator'!J:J,MATCH('Isaac 401k'!N5164,'Retirement Calculator'!A:A,0),0),0)</f>
        <v>0</v>
      </c>
      <c r="K5164" s="444">
        <f t="shared" ca="1" si="201"/>
        <v>-221291412174.81506</v>
      </c>
      <c r="L5164" s="444">
        <f t="shared" ca="1" si="202"/>
        <v>-53331230334130.43</v>
      </c>
      <c r="M5164" s="460">
        <f t="shared" si="204"/>
        <v>0.05</v>
      </c>
      <c r="N5164" s="464">
        <f t="shared" si="205"/>
        <v>208222</v>
      </c>
    </row>
    <row r="5165" spans="7:14" ht="11.25" customHeight="1" x14ac:dyDescent="0.3">
      <c r="G5165" s="459"/>
      <c r="H5165" s="459">
        <v>5158</v>
      </c>
      <c r="I5165" s="444">
        <f t="shared" ca="1" si="203"/>
        <v>-53331230334130.43</v>
      </c>
      <c r="J5165" s="444">
        <f t="array" ref="J5165">IFERROR(INDEX('Retirement Calculator'!J:J,MATCH('Isaac 401k'!N5165,'Retirement Calculator'!A:A,0),0),0)</f>
        <v>0</v>
      </c>
      <c r="K5165" s="444">
        <f t="shared" ca="1" si="201"/>
        <v>-222213459725.54346</v>
      </c>
      <c r="L5165" s="444">
        <f t="shared" ca="1" si="202"/>
        <v>-53553443793855.977</v>
      </c>
      <c r="M5165" s="460">
        <f t="shared" si="204"/>
        <v>0.05</v>
      </c>
      <c r="N5165" s="464">
        <f t="shared" si="205"/>
        <v>208250</v>
      </c>
    </row>
    <row r="5166" spans="7:14" ht="11.25" customHeight="1" x14ac:dyDescent="0.3">
      <c r="G5166" s="459"/>
      <c r="H5166" s="459">
        <v>5159</v>
      </c>
      <c r="I5166" s="444">
        <f t="shared" ca="1" si="203"/>
        <v>-53553443793855.977</v>
      </c>
      <c r="J5166" s="444">
        <f t="array" ref="J5166">IFERROR(INDEX('Retirement Calculator'!J:J,MATCH('Isaac 401k'!N5166,'Retirement Calculator'!A:A,0),0),0)</f>
        <v>0</v>
      </c>
      <c r="K5166" s="444">
        <f t="shared" ca="1" si="201"/>
        <v>-223139349141.06656</v>
      </c>
      <c r="L5166" s="444">
        <f t="shared" ca="1" si="202"/>
        <v>-53776583142997.047</v>
      </c>
      <c r="M5166" s="460">
        <f t="shared" si="204"/>
        <v>0.05</v>
      </c>
      <c r="N5166" s="464">
        <f t="shared" si="205"/>
        <v>208281</v>
      </c>
    </row>
    <row r="5167" spans="7:14" ht="11.25" customHeight="1" x14ac:dyDescent="0.3">
      <c r="G5167" s="459"/>
      <c r="H5167" s="459">
        <v>5160</v>
      </c>
      <c r="I5167" s="444">
        <f t="shared" ca="1" si="203"/>
        <v>-53776583142997.047</v>
      </c>
      <c r="J5167" s="444">
        <f t="array" ref="J5167">IFERROR(INDEX('Retirement Calculator'!J:J,MATCH('Isaac 401k'!N5167,'Retirement Calculator'!A:A,0),0),0)</f>
        <v>0</v>
      </c>
      <c r="K5167" s="444">
        <f t="shared" ca="1" si="201"/>
        <v>-224069096429.15436</v>
      </c>
      <c r="L5167" s="444">
        <f t="shared" ca="1" si="202"/>
        <v>-54000652239426.203</v>
      </c>
      <c r="M5167" s="460">
        <f t="shared" si="204"/>
        <v>0.05</v>
      </c>
      <c r="N5167" s="464">
        <f t="shared" si="205"/>
        <v>208311</v>
      </c>
    </row>
    <row r="5168" spans="7:14" ht="11.25" customHeight="1" x14ac:dyDescent="0.3">
      <c r="G5168" s="459"/>
      <c r="H5168" s="459">
        <v>5161</v>
      </c>
      <c r="I5168" s="444">
        <f t="shared" ca="1" si="203"/>
        <v>-54000652239426.203</v>
      </c>
      <c r="J5168" s="444">
        <f t="array" ref="J5168">IFERROR(INDEX('Retirement Calculator'!J:J,MATCH('Isaac 401k'!N5168,'Retirement Calculator'!A:A,0),0),0)</f>
        <v>0</v>
      </c>
      <c r="K5168" s="444">
        <f t="shared" ca="1" si="201"/>
        <v>-225002717664.27585</v>
      </c>
      <c r="L5168" s="444">
        <f t="shared" ca="1" si="202"/>
        <v>-54225654957090.477</v>
      </c>
      <c r="M5168" s="460">
        <f t="shared" si="204"/>
        <v>0.05</v>
      </c>
      <c r="N5168" s="464">
        <f t="shared" si="205"/>
        <v>208342</v>
      </c>
    </row>
    <row r="5169" spans="7:14" ht="11.25" customHeight="1" x14ac:dyDescent="0.3">
      <c r="G5169" s="459"/>
      <c r="H5169" s="459">
        <v>5162</v>
      </c>
      <c r="I5169" s="444">
        <f t="shared" ca="1" si="203"/>
        <v>-54225654957090.477</v>
      </c>
      <c r="J5169" s="444">
        <f t="array" ref="J5169">IFERROR(INDEX('Retirement Calculator'!J:J,MATCH('Isaac 401k'!N5169,'Retirement Calculator'!A:A,0),0),0)</f>
        <v>0</v>
      </c>
      <c r="K5169" s="444">
        <f t="shared" ca="1" si="201"/>
        <v>-225940228987.87698</v>
      </c>
      <c r="L5169" s="444">
        <f t="shared" ca="1" si="202"/>
        <v>-54451595186078.352</v>
      </c>
      <c r="M5169" s="460">
        <f t="shared" si="204"/>
        <v>0.05</v>
      </c>
      <c r="N5169" s="464">
        <f t="shared" si="205"/>
        <v>208372</v>
      </c>
    </row>
    <row r="5170" spans="7:14" ht="11.25" customHeight="1" x14ac:dyDescent="0.3">
      <c r="G5170" s="459"/>
      <c r="H5170" s="459">
        <v>5163</v>
      </c>
      <c r="I5170" s="444">
        <f t="shared" ca="1" si="203"/>
        <v>-54451595186078.352</v>
      </c>
      <c r="J5170" s="444">
        <f t="array" ref="J5170">IFERROR(INDEX('Retirement Calculator'!J:J,MATCH('Isaac 401k'!N5170,'Retirement Calculator'!A:A,0),0),0)</f>
        <v>0</v>
      </c>
      <c r="K5170" s="444">
        <f t="shared" ca="1" si="201"/>
        <v>-226881646608.65979</v>
      </c>
      <c r="L5170" s="444">
        <f t="shared" ca="1" si="202"/>
        <v>-54678476832687.008</v>
      </c>
      <c r="M5170" s="460">
        <f t="shared" si="204"/>
        <v>0.05</v>
      </c>
      <c r="N5170" s="464">
        <f t="shared" si="205"/>
        <v>208403</v>
      </c>
    </row>
    <row r="5171" spans="7:14" ht="11.25" customHeight="1" x14ac:dyDescent="0.3">
      <c r="G5171" s="459"/>
      <c r="H5171" s="459">
        <v>5164</v>
      </c>
      <c r="I5171" s="444">
        <f t="shared" ca="1" si="203"/>
        <v>-54678476832687.008</v>
      </c>
      <c r="J5171" s="444">
        <f t="array" ref="J5171">IFERROR(INDEX('Retirement Calculator'!J:J,MATCH('Isaac 401k'!N5171,'Retirement Calculator'!A:A,0),0),0)</f>
        <v>0</v>
      </c>
      <c r="K5171" s="444">
        <f t="shared" ca="1" si="201"/>
        <v>-227826986802.86252</v>
      </c>
      <c r="L5171" s="444">
        <f t="shared" ca="1" si="202"/>
        <v>-54906303819489.867</v>
      </c>
      <c r="M5171" s="460">
        <f t="shared" si="204"/>
        <v>0.05</v>
      </c>
      <c r="N5171" s="464">
        <f t="shared" si="205"/>
        <v>208434</v>
      </c>
    </row>
    <row r="5172" spans="7:14" ht="11.25" customHeight="1" x14ac:dyDescent="0.3">
      <c r="G5172" s="459"/>
      <c r="H5172" s="459">
        <v>5165</v>
      </c>
      <c r="I5172" s="444">
        <f t="shared" ca="1" si="203"/>
        <v>-54906303819489.867</v>
      </c>
      <c r="J5172" s="444">
        <f t="array" ref="J5172">IFERROR(INDEX('Retirement Calculator'!J:J,MATCH('Isaac 401k'!N5172,'Retirement Calculator'!A:A,0),0),0)</f>
        <v>0</v>
      </c>
      <c r="K5172" s="444">
        <f t="shared" ca="1" si="201"/>
        <v>-228776265914.54111</v>
      </c>
      <c r="L5172" s="444">
        <f t="shared" ca="1" si="202"/>
        <v>-55135080085404.406</v>
      </c>
      <c r="M5172" s="460">
        <f t="shared" si="204"/>
        <v>0.05</v>
      </c>
      <c r="N5172" s="464">
        <f t="shared" si="205"/>
        <v>208464</v>
      </c>
    </row>
    <row r="5173" spans="7:14" ht="11.25" customHeight="1" x14ac:dyDescent="0.3">
      <c r="G5173" s="459"/>
      <c r="H5173" s="459">
        <v>5166</v>
      </c>
      <c r="I5173" s="444">
        <f t="shared" ca="1" si="203"/>
        <v>-55135080085404.406</v>
      </c>
      <c r="J5173" s="444">
        <f t="array" ref="J5173">IFERROR(INDEX('Retirement Calculator'!J:J,MATCH('Isaac 401k'!N5173,'Retirement Calculator'!A:A,0),0),0)</f>
        <v>0</v>
      </c>
      <c r="K5173" s="444">
        <f t="shared" ca="1" si="201"/>
        <v>-229729500355.85168</v>
      </c>
      <c r="L5173" s="444">
        <f t="shared" ca="1" si="202"/>
        <v>-55364809585760.258</v>
      </c>
      <c r="M5173" s="460">
        <f t="shared" si="204"/>
        <v>0.05</v>
      </c>
      <c r="N5173" s="464">
        <f t="shared" si="205"/>
        <v>208495</v>
      </c>
    </row>
    <row r="5174" spans="7:14" ht="11.25" customHeight="1" x14ac:dyDescent="0.3">
      <c r="G5174" s="459"/>
      <c r="H5174" s="459">
        <v>5167</v>
      </c>
      <c r="I5174" s="444">
        <f t="shared" ca="1" si="203"/>
        <v>-55364809585760.258</v>
      </c>
      <c r="J5174" s="444">
        <f t="array" ref="J5174">IFERROR(INDEX('Retirement Calculator'!J:J,MATCH('Isaac 401k'!N5174,'Retirement Calculator'!A:A,0),0),0)</f>
        <v>0</v>
      </c>
      <c r="K5174" s="444">
        <f t="shared" ca="1" si="201"/>
        <v>-230686706607.33441</v>
      </c>
      <c r="L5174" s="444">
        <f t="shared" ca="1" si="202"/>
        <v>-55595496292367.594</v>
      </c>
      <c r="M5174" s="460">
        <f t="shared" si="204"/>
        <v>0.05</v>
      </c>
      <c r="N5174" s="464">
        <f t="shared" si="205"/>
        <v>208525</v>
      </c>
    </row>
    <row r="5175" spans="7:14" ht="11.25" customHeight="1" x14ac:dyDescent="0.3">
      <c r="G5175" s="459"/>
      <c r="H5175" s="459">
        <v>5168</v>
      </c>
      <c r="I5175" s="444">
        <f t="shared" ca="1" si="203"/>
        <v>-55595496292367.594</v>
      </c>
      <c r="J5175" s="444">
        <f t="array" ref="J5175">IFERROR(INDEX('Retirement Calculator'!J:J,MATCH('Isaac 401k'!N5175,'Retirement Calculator'!A:A,0),0),0)</f>
        <v>0</v>
      </c>
      <c r="K5175" s="444">
        <f t="shared" ca="1" si="201"/>
        <v>-231647901218.19833</v>
      </c>
      <c r="L5175" s="444">
        <f t="shared" ca="1" si="202"/>
        <v>-55827144193585.789</v>
      </c>
      <c r="M5175" s="460">
        <f t="shared" si="204"/>
        <v>0.05</v>
      </c>
      <c r="N5175" s="464">
        <f t="shared" si="205"/>
        <v>208556</v>
      </c>
    </row>
    <row r="5176" spans="7:14" ht="11.25" customHeight="1" x14ac:dyDescent="0.3">
      <c r="G5176" s="459"/>
      <c r="H5176" s="459">
        <v>5169</v>
      </c>
      <c r="I5176" s="444">
        <f t="shared" ca="1" si="203"/>
        <v>-55827144193585.789</v>
      </c>
      <c r="J5176" s="444">
        <f t="array" ref="J5176">IFERROR(INDEX('Retirement Calculator'!J:J,MATCH('Isaac 401k'!N5176,'Retirement Calculator'!A:A,0),0),0)</f>
        <v>0</v>
      </c>
      <c r="K5176" s="444">
        <f t="shared" ca="1" si="201"/>
        <v>-232613100806.60745</v>
      </c>
      <c r="L5176" s="444">
        <f t="shared" ca="1" si="202"/>
        <v>-56059757294392.398</v>
      </c>
      <c r="M5176" s="460">
        <f t="shared" si="204"/>
        <v>0.05</v>
      </c>
      <c r="N5176" s="464">
        <f t="shared" si="205"/>
        <v>208587</v>
      </c>
    </row>
    <row r="5177" spans="7:14" ht="11.25" customHeight="1" x14ac:dyDescent="0.3">
      <c r="G5177" s="459"/>
      <c r="H5177" s="459">
        <v>5170</v>
      </c>
      <c r="I5177" s="444">
        <f t="shared" ca="1" si="203"/>
        <v>-56059757294392.398</v>
      </c>
      <c r="J5177" s="444">
        <f t="array" ref="J5177">IFERROR(INDEX('Retirement Calculator'!J:J,MATCH('Isaac 401k'!N5177,'Retirement Calculator'!A:A,0),0),0)</f>
        <v>0</v>
      </c>
      <c r="K5177" s="444">
        <f t="shared" ca="1" si="201"/>
        <v>-233582322059.96832</v>
      </c>
      <c r="L5177" s="444">
        <f t="shared" ca="1" si="202"/>
        <v>-56293339616452.367</v>
      </c>
      <c r="M5177" s="460">
        <f t="shared" si="204"/>
        <v>0.05</v>
      </c>
      <c r="N5177" s="464">
        <f t="shared" si="205"/>
        <v>208615</v>
      </c>
    </row>
    <row r="5178" spans="7:14" ht="11.25" customHeight="1" x14ac:dyDescent="0.3">
      <c r="G5178" s="459"/>
      <c r="H5178" s="459">
        <v>5171</v>
      </c>
      <c r="I5178" s="444">
        <f t="shared" ca="1" si="203"/>
        <v>-56293339616452.367</v>
      </c>
      <c r="J5178" s="444">
        <f t="array" ref="J5178">IFERROR(INDEX('Retirement Calculator'!J:J,MATCH('Isaac 401k'!N5178,'Retirement Calculator'!A:A,0),0),0)</f>
        <v>0</v>
      </c>
      <c r="K5178" s="444">
        <f t="shared" ca="1" si="201"/>
        <v>-234555581735.21823</v>
      </c>
      <c r="L5178" s="444">
        <f t="shared" ca="1" si="202"/>
        <v>-56527895198187.586</v>
      </c>
      <c r="M5178" s="460">
        <f t="shared" si="204"/>
        <v>0.05</v>
      </c>
      <c r="N5178" s="464">
        <f t="shared" si="205"/>
        <v>208646</v>
      </c>
    </row>
    <row r="5179" spans="7:14" ht="11.25" customHeight="1" x14ac:dyDescent="0.3">
      <c r="G5179" s="459"/>
      <c r="H5179" s="459">
        <v>5172</v>
      </c>
      <c r="I5179" s="444">
        <f t="shared" ca="1" si="203"/>
        <v>-56527895198187.586</v>
      </c>
      <c r="J5179" s="444">
        <f t="array" ref="J5179">IFERROR(INDEX('Retirement Calculator'!J:J,MATCH('Isaac 401k'!N5179,'Retirement Calculator'!A:A,0),0),0)</f>
        <v>0</v>
      </c>
      <c r="K5179" s="444">
        <f t="shared" ca="1" si="201"/>
        <v>-235532896659.1149</v>
      </c>
      <c r="L5179" s="444">
        <f t="shared" ca="1" si="202"/>
        <v>-56763428094846.703</v>
      </c>
      <c r="M5179" s="460">
        <f t="shared" si="204"/>
        <v>0.05</v>
      </c>
      <c r="N5179" s="464">
        <f t="shared" si="205"/>
        <v>208676</v>
      </c>
    </row>
    <row r="5180" spans="7:14" ht="11.25" customHeight="1" x14ac:dyDescent="0.3">
      <c r="G5180" s="459"/>
      <c r="H5180" s="459">
        <v>5173</v>
      </c>
      <c r="I5180" s="444">
        <f t="shared" ca="1" si="203"/>
        <v>-56763428094846.703</v>
      </c>
      <c r="J5180" s="444">
        <f t="array" ref="J5180">IFERROR(INDEX('Retirement Calculator'!J:J,MATCH('Isaac 401k'!N5180,'Retirement Calculator'!A:A,0),0),0)</f>
        <v>0</v>
      </c>
      <c r="K5180" s="444">
        <f t="shared" ca="1" si="201"/>
        <v>-236514283728.52789</v>
      </c>
      <c r="L5180" s="444">
        <f t="shared" ca="1" si="202"/>
        <v>-56999942378575.234</v>
      </c>
      <c r="M5180" s="460">
        <f t="shared" si="204"/>
        <v>0.05</v>
      </c>
      <c r="N5180" s="464">
        <f t="shared" si="205"/>
        <v>208707</v>
      </c>
    </row>
    <row r="5181" spans="7:14" ht="11.25" customHeight="1" x14ac:dyDescent="0.3">
      <c r="G5181" s="459"/>
      <c r="H5181" s="459">
        <v>5174</v>
      </c>
      <c r="I5181" s="444">
        <f t="shared" ca="1" si="203"/>
        <v>-56999942378575.234</v>
      </c>
      <c r="J5181" s="444">
        <f t="array" ref="J5181">IFERROR(INDEX('Retirement Calculator'!J:J,MATCH('Isaac 401k'!N5181,'Retirement Calculator'!A:A,0),0),0)</f>
        <v>0</v>
      </c>
      <c r="K5181" s="444">
        <f t="shared" ca="1" si="201"/>
        <v>-237499759910.73013</v>
      </c>
      <c r="L5181" s="444">
        <f t="shared" ca="1" si="202"/>
        <v>-57237442138485.961</v>
      </c>
      <c r="M5181" s="460">
        <f t="shared" si="204"/>
        <v>0.05</v>
      </c>
      <c r="N5181" s="464">
        <f t="shared" si="205"/>
        <v>208737</v>
      </c>
    </row>
    <row r="5182" spans="7:14" ht="11.25" customHeight="1" x14ac:dyDescent="0.3">
      <c r="G5182" s="459"/>
      <c r="H5182" s="459">
        <v>5175</v>
      </c>
      <c r="I5182" s="444">
        <f t="shared" ca="1" si="203"/>
        <v>-57237442138485.961</v>
      </c>
      <c r="J5182" s="444">
        <f t="array" ref="J5182">IFERROR(INDEX('Retirement Calculator'!J:J,MATCH('Isaac 401k'!N5182,'Retirement Calculator'!A:A,0),0),0)</f>
        <v>0</v>
      </c>
      <c r="K5182" s="444">
        <f t="shared" ca="1" si="201"/>
        <v>-238489342243.6915</v>
      </c>
      <c r="L5182" s="444">
        <f t="shared" ca="1" si="202"/>
        <v>-57475931480729.656</v>
      </c>
      <c r="M5182" s="460">
        <f t="shared" si="204"/>
        <v>0.05</v>
      </c>
      <c r="N5182" s="464">
        <f t="shared" si="205"/>
        <v>208768</v>
      </c>
    </row>
    <row r="5183" spans="7:14" ht="11.25" customHeight="1" x14ac:dyDescent="0.3">
      <c r="G5183" s="459"/>
      <c r="H5183" s="459">
        <v>5176</v>
      </c>
      <c r="I5183" s="444">
        <f t="shared" ca="1" si="203"/>
        <v>-57475931480729.656</v>
      </c>
      <c r="J5183" s="444">
        <f t="array" ref="J5183">IFERROR(INDEX('Retirement Calculator'!J:J,MATCH('Isaac 401k'!N5183,'Retirement Calculator'!A:A,0),0),0)</f>
        <v>0</v>
      </c>
      <c r="K5183" s="444">
        <f t="shared" ca="1" si="201"/>
        <v>-239483047836.3736</v>
      </c>
      <c r="L5183" s="444">
        <f t="shared" ca="1" si="202"/>
        <v>-57715414528566.031</v>
      </c>
      <c r="M5183" s="460">
        <f t="shared" si="204"/>
        <v>0.05</v>
      </c>
      <c r="N5183" s="464">
        <f t="shared" si="205"/>
        <v>208799</v>
      </c>
    </row>
    <row r="5184" spans="7:14" ht="11.25" customHeight="1" x14ac:dyDescent="0.3">
      <c r="G5184" s="459"/>
      <c r="H5184" s="459">
        <v>5177</v>
      </c>
      <c r="I5184" s="444">
        <f t="shared" ca="1" si="203"/>
        <v>-57715414528566.031</v>
      </c>
      <c r="J5184" s="444">
        <f t="array" ref="J5184">IFERROR(INDEX('Retirement Calculator'!J:J,MATCH('Isaac 401k'!N5184,'Retirement Calculator'!A:A,0),0),0)</f>
        <v>0</v>
      </c>
      <c r="K5184" s="444">
        <f t="shared" ca="1" si="201"/>
        <v>-240480893869.02512</v>
      </c>
      <c r="L5184" s="444">
        <f t="shared" ca="1" si="202"/>
        <v>-57955895422435.055</v>
      </c>
      <c r="M5184" s="460">
        <f t="shared" si="204"/>
        <v>0.05</v>
      </c>
      <c r="N5184" s="464">
        <f t="shared" si="205"/>
        <v>208829</v>
      </c>
    </row>
    <row r="5185" spans="7:14" ht="11.25" customHeight="1" x14ac:dyDescent="0.3">
      <c r="G5185" s="459"/>
      <c r="H5185" s="459">
        <v>5178</v>
      </c>
      <c r="I5185" s="444">
        <f t="shared" ca="1" si="203"/>
        <v>-57955895422435.055</v>
      </c>
      <c r="J5185" s="444">
        <f t="array" ref="J5185">IFERROR(INDEX('Retirement Calculator'!J:J,MATCH('Isaac 401k'!N5185,'Retirement Calculator'!A:A,0),0),0)</f>
        <v>0</v>
      </c>
      <c r="K5185" s="444">
        <f t="shared" ca="1" si="201"/>
        <v>-241482897593.4794</v>
      </c>
      <c r="L5185" s="444">
        <f t="shared" ca="1" si="202"/>
        <v>-58197378320028.531</v>
      </c>
      <c r="M5185" s="460">
        <f t="shared" si="204"/>
        <v>0.05</v>
      </c>
      <c r="N5185" s="464">
        <f t="shared" si="205"/>
        <v>208860</v>
      </c>
    </row>
    <row r="5186" spans="7:14" ht="11.25" customHeight="1" x14ac:dyDescent="0.3">
      <c r="G5186" s="459"/>
      <c r="H5186" s="459">
        <v>5179</v>
      </c>
      <c r="I5186" s="444">
        <f t="shared" ca="1" si="203"/>
        <v>-58197378320028.531</v>
      </c>
      <c r="J5186" s="444">
        <f t="array" ref="J5186">IFERROR(INDEX('Retirement Calculator'!J:J,MATCH('Isaac 401k'!N5186,'Retirement Calculator'!A:A,0),0),0)</f>
        <v>0</v>
      </c>
      <c r="K5186" s="444">
        <f t="shared" ca="1" si="201"/>
        <v>-242489076333.45221</v>
      </c>
      <c r="L5186" s="444">
        <f t="shared" ca="1" si="202"/>
        <v>-58439867396361.984</v>
      </c>
      <c r="M5186" s="460">
        <f t="shared" si="204"/>
        <v>0.05</v>
      </c>
      <c r="N5186" s="464">
        <f t="shared" si="205"/>
        <v>208890</v>
      </c>
    </row>
    <row r="5187" spans="7:14" ht="11.25" customHeight="1" x14ac:dyDescent="0.3">
      <c r="G5187" s="459"/>
      <c r="H5187" s="459">
        <v>5180</v>
      </c>
      <c r="I5187" s="444">
        <f t="shared" ca="1" si="203"/>
        <v>-58439867396361.984</v>
      </c>
      <c r="J5187" s="444">
        <f t="array" ref="J5187">IFERROR(INDEX('Retirement Calculator'!J:J,MATCH('Isaac 401k'!N5187,'Retirement Calculator'!A:A,0),0),0)</f>
        <v>0</v>
      </c>
      <c r="K5187" s="444">
        <f t="shared" ca="1" si="201"/>
        <v>-243499447484.84158</v>
      </c>
      <c r="L5187" s="444">
        <f t="shared" ca="1" si="202"/>
        <v>-58683366843846.828</v>
      </c>
      <c r="M5187" s="460">
        <f t="shared" si="204"/>
        <v>0.05</v>
      </c>
      <c r="N5187" s="464">
        <f t="shared" si="205"/>
        <v>208921</v>
      </c>
    </row>
    <row r="5188" spans="7:14" ht="11.25" customHeight="1" x14ac:dyDescent="0.3">
      <c r="G5188" s="459"/>
      <c r="H5188" s="459">
        <v>5181</v>
      </c>
      <c r="I5188" s="444">
        <f t="shared" ca="1" si="203"/>
        <v>-58683366843846.828</v>
      </c>
      <c r="J5188" s="444">
        <f t="array" ref="J5188">IFERROR(INDEX('Retirement Calculator'!J:J,MATCH('Isaac 401k'!N5188,'Retirement Calculator'!A:A,0),0),0)</f>
        <v>0</v>
      </c>
      <c r="K5188" s="444">
        <f t="shared" ca="1" si="201"/>
        <v>-244514028516.02844</v>
      </c>
      <c r="L5188" s="444">
        <f t="shared" ca="1" si="202"/>
        <v>-58927880872362.859</v>
      </c>
      <c r="M5188" s="460">
        <f t="shared" si="204"/>
        <v>0.05</v>
      </c>
      <c r="N5188" s="464">
        <f t="shared" si="205"/>
        <v>208952</v>
      </c>
    </row>
    <row r="5189" spans="7:14" ht="11.25" customHeight="1" x14ac:dyDescent="0.3">
      <c r="G5189" s="459"/>
      <c r="H5189" s="459">
        <v>5182</v>
      </c>
      <c r="I5189" s="444">
        <f t="shared" ca="1" si="203"/>
        <v>-58927880872362.859</v>
      </c>
      <c r="J5189" s="444">
        <f t="array" ref="J5189">IFERROR(INDEX('Retirement Calculator'!J:J,MATCH('Isaac 401k'!N5189,'Retirement Calculator'!A:A,0),0),0)</f>
        <v>0</v>
      </c>
      <c r="K5189" s="444">
        <f t="shared" ca="1" si="201"/>
        <v>-245532836968.17856</v>
      </c>
      <c r="L5189" s="444">
        <f t="shared" ca="1" si="202"/>
        <v>-59173413709331.039</v>
      </c>
      <c r="M5189" s="460">
        <f t="shared" si="204"/>
        <v>0.05</v>
      </c>
      <c r="N5189" s="464">
        <f t="shared" si="205"/>
        <v>208981</v>
      </c>
    </row>
    <row r="5190" spans="7:14" ht="11.25" customHeight="1" x14ac:dyDescent="0.3">
      <c r="G5190" s="459"/>
      <c r="H5190" s="459">
        <v>5183</v>
      </c>
      <c r="I5190" s="444">
        <f t="shared" ca="1" si="203"/>
        <v>-59173413709331.039</v>
      </c>
      <c r="J5190" s="444">
        <f t="array" ref="J5190">IFERROR(INDEX('Retirement Calculator'!J:J,MATCH('Isaac 401k'!N5190,'Retirement Calculator'!A:A,0),0),0)</f>
        <v>0</v>
      </c>
      <c r="K5190" s="444">
        <f t="shared" ca="1" si="201"/>
        <v>-246555890455.54602</v>
      </c>
      <c r="L5190" s="444">
        <f t="shared" ca="1" si="202"/>
        <v>-59419969599786.586</v>
      </c>
      <c r="M5190" s="460">
        <f t="shared" si="204"/>
        <v>0.05</v>
      </c>
      <c r="N5190" s="464">
        <f t="shared" si="205"/>
        <v>209012</v>
      </c>
    </row>
    <row r="5191" spans="7:14" ht="11.25" customHeight="1" x14ac:dyDescent="0.3">
      <c r="G5191" s="459"/>
      <c r="H5191" s="459">
        <v>5184</v>
      </c>
      <c r="I5191" s="444">
        <f t="shared" ca="1" si="203"/>
        <v>-59419969599786.586</v>
      </c>
      <c r="J5191" s="444">
        <f t="array" ref="J5191">IFERROR(INDEX('Retirement Calculator'!J:J,MATCH('Isaac 401k'!N5191,'Retirement Calculator'!A:A,0),0),0)</f>
        <v>0</v>
      </c>
      <c r="K5191" s="444">
        <f t="shared" ca="1" si="201"/>
        <v>-247583206665.77747</v>
      </c>
      <c r="L5191" s="444">
        <f t="shared" ca="1" si="202"/>
        <v>-59667552806452.367</v>
      </c>
      <c r="M5191" s="460">
        <f t="shared" si="204"/>
        <v>0.05</v>
      </c>
      <c r="N5191" s="464">
        <f t="shared" si="205"/>
        <v>209042</v>
      </c>
    </row>
    <row r="5192" spans="7:14" ht="11.25" customHeight="1" x14ac:dyDescent="0.3">
      <c r="G5192" s="459"/>
      <c r="H5192" s="459">
        <v>5185</v>
      </c>
      <c r="I5192" s="444">
        <f t="shared" ca="1" si="203"/>
        <v>-59667552806452.367</v>
      </c>
      <c r="J5192" s="444">
        <f t="array" ref="J5192">IFERROR(INDEX('Retirement Calculator'!J:J,MATCH('Isaac 401k'!N5192,'Retirement Calculator'!A:A,0),0),0)</f>
        <v>0</v>
      </c>
      <c r="K5192" s="444">
        <f t="shared" ca="1" si="201"/>
        <v>-248614803360.2182</v>
      </c>
      <c r="L5192" s="444">
        <f t="shared" ca="1" si="202"/>
        <v>-59916167609812.586</v>
      </c>
      <c r="M5192" s="460">
        <f t="shared" si="204"/>
        <v>0.05</v>
      </c>
      <c r="N5192" s="464">
        <f t="shared" si="205"/>
        <v>209073</v>
      </c>
    </row>
    <row r="5193" spans="7:14" ht="11.25" customHeight="1" x14ac:dyDescent="0.3">
      <c r="G5193" s="459"/>
      <c r="H5193" s="459">
        <v>5186</v>
      </c>
      <c r="I5193" s="444">
        <f t="shared" ca="1" si="203"/>
        <v>-59916167609812.586</v>
      </c>
      <c r="J5193" s="444">
        <f t="array" ref="J5193">IFERROR(INDEX('Retirement Calculator'!J:J,MATCH('Isaac 401k'!N5193,'Retirement Calculator'!A:A,0),0),0)</f>
        <v>0</v>
      </c>
      <c r="K5193" s="444">
        <f t="shared" ca="1" si="201"/>
        <v>-249650698374.21912</v>
      </c>
      <c r="L5193" s="444">
        <f t="shared" ca="1" si="202"/>
        <v>-60165818308186.805</v>
      </c>
      <c r="M5193" s="460">
        <f t="shared" si="204"/>
        <v>0.05</v>
      </c>
      <c r="N5193" s="464">
        <f t="shared" si="205"/>
        <v>209103</v>
      </c>
    </row>
    <row r="5194" spans="7:14" ht="11.25" customHeight="1" x14ac:dyDescent="0.3">
      <c r="G5194" s="459"/>
      <c r="H5194" s="459">
        <v>5187</v>
      </c>
      <c r="I5194" s="444">
        <f t="shared" ca="1" si="203"/>
        <v>-60165818308186.805</v>
      </c>
      <c r="J5194" s="444">
        <f t="array" ref="J5194">IFERROR(INDEX('Retirement Calculator'!J:J,MATCH('Isaac 401k'!N5194,'Retirement Calculator'!A:A,0),0),0)</f>
        <v>0</v>
      </c>
      <c r="K5194" s="444">
        <f t="shared" ca="1" si="201"/>
        <v>-250690909617.44501</v>
      </c>
      <c r="L5194" s="444">
        <f t="shared" ca="1" si="202"/>
        <v>-60416509217804.25</v>
      </c>
      <c r="M5194" s="460">
        <f t="shared" si="204"/>
        <v>0.05</v>
      </c>
      <c r="N5194" s="464">
        <f t="shared" si="205"/>
        <v>209134</v>
      </c>
    </row>
    <row r="5195" spans="7:14" ht="11.25" customHeight="1" x14ac:dyDescent="0.3">
      <c r="G5195" s="459"/>
      <c r="H5195" s="459">
        <v>5188</v>
      </c>
      <c r="I5195" s="444">
        <f t="shared" ca="1" si="203"/>
        <v>-60416509217804.25</v>
      </c>
      <c r="J5195" s="444">
        <f t="array" ref="J5195">IFERROR(INDEX('Retirement Calculator'!J:J,MATCH('Isaac 401k'!N5195,'Retirement Calculator'!A:A,0),0),0)</f>
        <v>0</v>
      </c>
      <c r="K5195" s="444">
        <f t="shared" ca="1" si="201"/>
        <v>-251735455074.18433</v>
      </c>
      <c r="L5195" s="444">
        <f t="shared" ca="1" si="202"/>
        <v>-60668244672878.438</v>
      </c>
      <c r="M5195" s="460">
        <f t="shared" si="204"/>
        <v>0.05</v>
      </c>
      <c r="N5195" s="464">
        <f t="shared" si="205"/>
        <v>209165</v>
      </c>
    </row>
    <row r="5196" spans="7:14" ht="11.25" customHeight="1" x14ac:dyDescent="0.3">
      <c r="G5196" s="459"/>
      <c r="H5196" s="459">
        <v>5189</v>
      </c>
      <c r="I5196" s="444">
        <f t="shared" ca="1" si="203"/>
        <v>-60668244672878.438</v>
      </c>
      <c r="J5196" s="444">
        <f t="array" ref="J5196">IFERROR(INDEX('Retirement Calculator'!J:J,MATCH('Isaac 401k'!N5196,'Retirement Calculator'!A:A,0),0),0)</f>
        <v>0</v>
      </c>
      <c r="K5196" s="444">
        <f t="shared" ca="1" si="201"/>
        <v>-252784352803.66013</v>
      </c>
      <c r="L5196" s="444">
        <f t="shared" ca="1" si="202"/>
        <v>-60921029025682.094</v>
      </c>
      <c r="M5196" s="460">
        <f t="shared" si="204"/>
        <v>0.05</v>
      </c>
      <c r="N5196" s="464">
        <f t="shared" si="205"/>
        <v>209195</v>
      </c>
    </row>
    <row r="5197" spans="7:14" ht="11.25" customHeight="1" x14ac:dyDescent="0.3">
      <c r="G5197" s="459"/>
      <c r="H5197" s="459">
        <v>5190</v>
      </c>
      <c r="I5197" s="444">
        <f t="shared" ca="1" si="203"/>
        <v>-60921029025682.094</v>
      </c>
      <c r="J5197" s="444">
        <f t="array" ref="J5197">IFERROR(INDEX('Retirement Calculator'!J:J,MATCH('Isaac 401k'!N5197,'Retirement Calculator'!A:A,0),0),0)</f>
        <v>0</v>
      </c>
      <c r="K5197" s="444">
        <f t="shared" ca="1" si="201"/>
        <v>-253837620940.34204</v>
      </c>
      <c r="L5197" s="444">
        <f t="shared" ca="1" si="202"/>
        <v>-61174866646622.438</v>
      </c>
      <c r="M5197" s="460">
        <f t="shared" si="204"/>
        <v>0.05</v>
      </c>
      <c r="N5197" s="464">
        <f t="shared" si="205"/>
        <v>209226</v>
      </c>
    </row>
    <row r="5198" spans="7:14" ht="11.25" customHeight="1" x14ac:dyDescent="0.3">
      <c r="G5198" s="459"/>
      <c r="H5198" s="459">
        <v>5191</v>
      </c>
      <c r="I5198" s="444">
        <f t="shared" ca="1" si="203"/>
        <v>-61174866646622.438</v>
      </c>
      <c r="J5198" s="444">
        <f t="array" ref="J5198">IFERROR(INDEX('Retirement Calculator'!J:J,MATCH('Isaac 401k'!N5198,'Retirement Calculator'!A:A,0),0),0)</f>
        <v>0</v>
      </c>
      <c r="K5198" s="444">
        <f t="shared" ca="1" si="201"/>
        <v>-254895277694.26016</v>
      </c>
      <c r="L5198" s="444">
        <f t="shared" ca="1" si="202"/>
        <v>-61429761924316.695</v>
      </c>
      <c r="M5198" s="460">
        <f t="shared" si="204"/>
        <v>0.05</v>
      </c>
      <c r="N5198" s="464">
        <f t="shared" si="205"/>
        <v>209256</v>
      </c>
    </row>
    <row r="5199" spans="7:14" ht="11.25" customHeight="1" x14ac:dyDescent="0.3">
      <c r="G5199" s="459"/>
      <c r="H5199" s="459">
        <v>5192</v>
      </c>
      <c r="I5199" s="444">
        <f t="shared" ca="1" si="203"/>
        <v>-61429761924316.695</v>
      </c>
      <c r="J5199" s="444">
        <f t="array" ref="J5199">IFERROR(INDEX('Retirement Calculator'!J:J,MATCH('Isaac 401k'!N5199,'Retirement Calculator'!A:A,0),0),0)</f>
        <v>0</v>
      </c>
      <c r="K5199" s="444">
        <f t="shared" ca="1" si="201"/>
        <v>-255957341351.31952</v>
      </c>
      <c r="L5199" s="444">
        <f t="shared" ca="1" si="202"/>
        <v>-61685719265668.016</v>
      </c>
      <c r="M5199" s="460">
        <f t="shared" si="204"/>
        <v>0.05</v>
      </c>
      <c r="N5199" s="464">
        <f t="shared" si="205"/>
        <v>209287</v>
      </c>
    </row>
    <row r="5200" spans="7:14" ht="11.25" customHeight="1" x14ac:dyDescent="0.3">
      <c r="G5200" s="459"/>
      <c r="H5200" s="459">
        <v>5193</v>
      </c>
      <c r="I5200" s="444">
        <f t="shared" ca="1" si="203"/>
        <v>-61685719265668.016</v>
      </c>
      <c r="J5200" s="444">
        <f t="array" ref="J5200">IFERROR(INDEX('Retirement Calculator'!J:J,MATCH('Isaac 401k'!N5200,'Retirement Calculator'!A:A,0),0),0)</f>
        <v>0</v>
      </c>
      <c r="K5200" s="444">
        <f t="shared" ca="1" si="201"/>
        <v>-257023830273.61673</v>
      </c>
      <c r="L5200" s="444">
        <f t="shared" ca="1" si="202"/>
        <v>-61942743095941.633</v>
      </c>
      <c r="M5200" s="460">
        <f t="shared" si="204"/>
        <v>0.05</v>
      </c>
      <c r="N5200" s="464">
        <f t="shared" si="205"/>
        <v>209318</v>
      </c>
    </row>
    <row r="5201" spans="7:14" ht="11.25" customHeight="1" x14ac:dyDescent="0.3">
      <c r="G5201" s="459"/>
      <c r="H5201" s="459">
        <v>5194</v>
      </c>
      <c r="I5201" s="444">
        <f t="shared" ca="1" si="203"/>
        <v>-61942743095941.633</v>
      </c>
      <c r="J5201" s="444">
        <f t="array" ref="J5201">IFERROR(INDEX('Retirement Calculator'!J:J,MATCH('Isaac 401k'!N5201,'Retirement Calculator'!A:A,0),0),0)</f>
        <v>0</v>
      </c>
      <c r="K5201" s="444">
        <f t="shared" ca="1" si="201"/>
        <v>-258094762899.75677</v>
      </c>
      <c r="L5201" s="444">
        <f t="shared" ca="1" si="202"/>
        <v>-62200837858841.391</v>
      </c>
      <c r="M5201" s="460">
        <f t="shared" si="204"/>
        <v>0.05</v>
      </c>
      <c r="N5201" s="464">
        <f t="shared" si="205"/>
        <v>209346</v>
      </c>
    </row>
    <row r="5202" spans="7:14" ht="11.25" customHeight="1" x14ac:dyDescent="0.3">
      <c r="G5202" s="459"/>
      <c r="H5202" s="459">
        <v>5195</v>
      </c>
      <c r="I5202" s="444">
        <f t="shared" ca="1" si="203"/>
        <v>-62200837858841.391</v>
      </c>
      <c r="J5202" s="444">
        <f t="array" ref="J5202">IFERROR(INDEX('Retirement Calculator'!J:J,MATCH('Isaac 401k'!N5202,'Retirement Calculator'!A:A,0),0),0)</f>
        <v>0</v>
      </c>
      <c r="K5202" s="444">
        <f t="shared" ca="1" si="201"/>
        <v>-259170157745.17249</v>
      </c>
      <c r="L5202" s="444">
        <f t="shared" ca="1" si="202"/>
        <v>-62460008016586.563</v>
      </c>
      <c r="M5202" s="460">
        <f t="shared" si="204"/>
        <v>0.05</v>
      </c>
      <c r="N5202" s="464">
        <f t="shared" si="205"/>
        <v>209377</v>
      </c>
    </row>
    <row r="5203" spans="7:14" ht="11.25" customHeight="1" x14ac:dyDescent="0.3">
      <c r="G5203" s="459"/>
      <c r="H5203" s="459">
        <v>5196</v>
      </c>
      <c r="I5203" s="444">
        <f t="shared" ca="1" si="203"/>
        <v>-62460008016586.563</v>
      </c>
      <c r="J5203" s="444">
        <f t="array" ref="J5203">IFERROR(INDEX('Retirement Calculator'!J:J,MATCH('Isaac 401k'!N5203,'Retirement Calculator'!A:A,0),0),0)</f>
        <v>0</v>
      </c>
      <c r="K5203" s="444">
        <f t="shared" ca="1" si="201"/>
        <v>-260250033402.444</v>
      </c>
      <c r="L5203" s="444">
        <f t="shared" ca="1" si="202"/>
        <v>-62720258049989.008</v>
      </c>
      <c r="M5203" s="460">
        <f t="shared" si="204"/>
        <v>0.05</v>
      </c>
      <c r="N5203" s="464">
        <f t="shared" si="205"/>
        <v>209407</v>
      </c>
    </row>
    <row r="5204" spans="7:14" ht="11.25" customHeight="1" x14ac:dyDescent="0.3">
      <c r="G5204" s="459"/>
      <c r="H5204" s="459">
        <v>5197</v>
      </c>
      <c r="I5204" s="444">
        <f t="shared" ca="1" si="203"/>
        <v>-62720258049989.008</v>
      </c>
      <c r="J5204" s="444">
        <f t="array" ref="J5204">IFERROR(INDEX('Retirement Calculator'!J:J,MATCH('Isaac 401k'!N5204,'Retirement Calculator'!A:A,0),0),0)</f>
        <v>0</v>
      </c>
      <c r="K5204" s="444">
        <f t="shared" ca="1" si="201"/>
        <v>-261334408541.62085</v>
      </c>
      <c r="L5204" s="444">
        <f t="shared" ca="1" si="202"/>
        <v>-62981592458530.625</v>
      </c>
      <c r="M5204" s="460">
        <f t="shared" si="204"/>
        <v>0.05</v>
      </c>
      <c r="N5204" s="464">
        <f t="shared" si="205"/>
        <v>209438</v>
      </c>
    </row>
    <row r="5205" spans="7:14" ht="11.25" customHeight="1" x14ac:dyDescent="0.3">
      <c r="G5205" s="459"/>
      <c r="H5205" s="459">
        <v>5198</v>
      </c>
      <c r="I5205" s="444">
        <f t="shared" ca="1" si="203"/>
        <v>-62981592458530.625</v>
      </c>
      <c r="J5205" s="444">
        <f t="array" ref="J5205">IFERROR(INDEX('Retirement Calculator'!J:J,MATCH('Isaac 401k'!N5205,'Retirement Calculator'!A:A,0),0),0)</f>
        <v>0</v>
      </c>
      <c r="K5205" s="444">
        <f t="shared" ca="1" si="201"/>
        <v>-262423301910.54422</v>
      </c>
      <c r="L5205" s="444">
        <f t="shared" ca="1" si="202"/>
        <v>-63244015760441.172</v>
      </c>
      <c r="M5205" s="460">
        <f t="shared" si="204"/>
        <v>0.05</v>
      </c>
      <c r="N5205" s="464">
        <f t="shared" si="205"/>
        <v>209468</v>
      </c>
    </row>
    <row r="5206" spans="7:14" ht="11.25" customHeight="1" x14ac:dyDescent="0.3">
      <c r="G5206" s="459"/>
      <c r="H5206" s="459">
        <v>5199</v>
      </c>
      <c r="I5206" s="444">
        <f t="shared" ca="1" si="203"/>
        <v>-63244015760441.172</v>
      </c>
      <c r="J5206" s="444">
        <f t="array" ref="J5206">IFERROR(INDEX('Retirement Calculator'!J:J,MATCH('Isaac 401k'!N5206,'Retirement Calculator'!A:A,0),0),0)</f>
        <v>0</v>
      </c>
      <c r="K5206" s="444">
        <f t="shared" ca="1" si="201"/>
        <v>-263516732335.17154</v>
      </c>
      <c r="L5206" s="444">
        <f t="shared" ca="1" si="202"/>
        <v>-63507532492776.344</v>
      </c>
      <c r="M5206" s="460">
        <f t="shared" si="204"/>
        <v>0.05</v>
      </c>
      <c r="N5206" s="464">
        <f t="shared" si="205"/>
        <v>209499</v>
      </c>
    </row>
    <row r="5207" spans="7:14" ht="11.25" customHeight="1" x14ac:dyDescent="0.3">
      <c r="G5207" s="459"/>
      <c r="H5207" s="459">
        <v>5200</v>
      </c>
      <c r="I5207" s="444">
        <f t="shared" ca="1" si="203"/>
        <v>-63507532492776.344</v>
      </c>
      <c r="J5207" s="444">
        <f t="array" ref="J5207">IFERROR(INDEX('Retirement Calculator'!J:J,MATCH('Isaac 401k'!N5207,'Retirement Calculator'!A:A,0),0),0)</f>
        <v>0</v>
      </c>
      <c r="K5207" s="444">
        <f t="shared" ca="1" si="201"/>
        <v>-264614718719.90143</v>
      </c>
      <c r="L5207" s="444">
        <f t="shared" ca="1" si="202"/>
        <v>-63772147211496.242</v>
      </c>
      <c r="M5207" s="460">
        <f t="shared" si="204"/>
        <v>0.05</v>
      </c>
      <c r="N5207" s="464">
        <f t="shared" si="205"/>
        <v>209530</v>
      </c>
    </row>
    <row r="5208" spans="7:14" ht="11.25" customHeight="1" x14ac:dyDescent="0.3">
      <c r="G5208" s="459"/>
      <c r="H5208" s="459">
        <v>5201</v>
      </c>
      <c r="I5208" s="444">
        <f t="shared" ca="1" si="203"/>
        <v>-63772147211496.242</v>
      </c>
      <c r="J5208" s="444">
        <f t="array" ref="J5208">IFERROR(INDEX('Retirement Calculator'!J:J,MATCH('Isaac 401k'!N5208,'Retirement Calculator'!A:A,0),0),0)</f>
        <v>0</v>
      </c>
      <c r="K5208" s="444">
        <f t="shared" ca="1" si="201"/>
        <v>-265717280047.901</v>
      </c>
      <c r="L5208" s="444">
        <f t="shared" ca="1" si="202"/>
        <v>-64037864491544.141</v>
      </c>
      <c r="M5208" s="460">
        <f t="shared" si="204"/>
        <v>0.05</v>
      </c>
      <c r="N5208" s="464">
        <f t="shared" si="205"/>
        <v>209560</v>
      </c>
    </row>
    <row r="5209" spans="7:14" ht="11.25" customHeight="1" x14ac:dyDescent="0.3">
      <c r="G5209" s="459"/>
      <c r="H5209" s="459">
        <v>5202</v>
      </c>
      <c r="I5209" s="444">
        <f t="shared" ca="1" si="203"/>
        <v>-64037864491544.141</v>
      </c>
      <c r="J5209" s="444">
        <f t="array" ref="J5209">IFERROR(INDEX('Retirement Calculator'!J:J,MATCH('Isaac 401k'!N5209,'Retirement Calculator'!A:A,0),0),0)</f>
        <v>0</v>
      </c>
      <c r="K5209" s="444">
        <f t="shared" ca="1" si="201"/>
        <v>-266824435381.43393</v>
      </c>
      <c r="L5209" s="444">
        <f t="shared" ca="1" si="202"/>
        <v>-64304688926925.578</v>
      </c>
      <c r="M5209" s="460">
        <f t="shared" si="204"/>
        <v>0.05</v>
      </c>
      <c r="N5209" s="464">
        <f t="shared" si="205"/>
        <v>209591</v>
      </c>
    </row>
    <row r="5210" spans="7:14" ht="11.25" customHeight="1" x14ac:dyDescent="0.3">
      <c r="G5210" s="459"/>
      <c r="H5210" s="459">
        <v>5203</v>
      </c>
      <c r="I5210" s="444">
        <f t="shared" ca="1" si="203"/>
        <v>-64304688926925.578</v>
      </c>
      <c r="J5210" s="444">
        <f t="array" ref="J5210">IFERROR(INDEX('Retirement Calculator'!J:J,MATCH('Isaac 401k'!N5210,'Retirement Calculator'!A:A,0),0),0)</f>
        <v>0</v>
      </c>
      <c r="K5210" s="444">
        <f t="shared" ca="1" si="201"/>
        <v>-267936203862.18991</v>
      </c>
      <c r="L5210" s="444">
        <f t="shared" ca="1" si="202"/>
        <v>-64572625130787.766</v>
      </c>
      <c r="M5210" s="460">
        <f t="shared" si="204"/>
        <v>0.05</v>
      </c>
      <c r="N5210" s="464">
        <f t="shared" si="205"/>
        <v>209621</v>
      </c>
    </row>
    <row r="5211" spans="7:14" ht="11.25" customHeight="1" x14ac:dyDescent="0.3">
      <c r="G5211" s="459"/>
      <c r="H5211" s="459">
        <v>5204</v>
      </c>
      <c r="I5211" s="444">
        <f t="shared" ca="1" si="203"/>
        <v>-64572625130787.766</v>
      </c>
      <c r="J5211" s="444">
        <f t="array" ref="J5211">IFERROR(INDEX('Retirement Calculator'!J:J,MATCH('Isaac 401k'!N5211,'Retirement Calculator'!A:A,0),0),0)</f>
        <v>0</v>
      </c>
      <c r="K5211" s="444">
        <f t="shared" ca="1" si="201"/>
        <v>-269052604711.61566</v>
      </c>
      <c r="L5211" s="444">
        <f t="shared" ca="1" si="202"/>
        <v>-64841677735499.383</v>
      </c>
      <c r="M5211" s="460">
        <f t="shared" si="204"/>
        <v>0.05</v>
      </c>
      <c r="N5211" s="464">
        <f t="shared" si="205"/>
        <v>209652</v>
      </c>
    </row>
    <row r="5212" spans="7:14" ht="11.25" customHeight="1" x14ac:dyDescent="0.3">
      <c r="G5212" s="459"/>
      <c r="H5212" s="459">
        <v>5205</v>
      </c>
      <c r="I5212" s="444">
        <f t="shared" ca="1" si="203"/>
        <v>-64841677735499.383</v>
      </c>
      <c r="J5212" s="444">
        <f t="array" ref="J5212">IFERROR(INDEX('Retirement Calculator'!J:J,MATCH('Isaac 401k'!N5212,'Retirement Calculator'!A:A,0),0),0)</f>
        <v>0</v>
      </c>
      <c r="K5212" s="444">
        <f t="shared" ca="1" si="201"/>
        <v>-270173657231.24744</v>
      </c>
      <c r="L5212" s="444">
        <f t="shared" ca="1" si="202"/>
        <v>-65111851392730.633</v>
      </c>
      <c r="M5212" s="460">
        <f t="shared" si="204"/>
        <v>0.05</v>
      </c>
      <c r="N5212" s="464">
        <f t="shared" si="205"/>
        <v>209683</v>
      </c>
    </row>
    <row r="5213" spans="7:14" ht="11.25" customHeight="1" x14ac:dyDescent="0.3">
      <c r="G5213" s="459"/>
      <c r="H5213" s="459">
        <v>5206</v>
      </c>
      <c r="I5213" s="444">
        <f t="shared" ca="1" si="203"/>
        <v>-65111851392730.633</v>
      </c>
      <c r="J5213" s="444">
        <f t="array" ref="J5213">IFERROR(INDEX('Retirement Calculator'!J:J,MATCH('Isaac 401k'!N5213,'Retirement Calculator'!A:A,0),0),0)</f>
        <v>0</v>
      </c>
      <c r="K5213" s="444">
        <f t="shared" ca="1" si="201"/>
        <v>-271299380803.04431</v>
      </c>
      <c r="L5213" s="444">
        <f t="shared" ca="1" si="202"/>
        <v>-65383150773533.68</v>
      </c>
      <c r="M5213" s="460">
        <f t="shared" si="204"/>
        <v>0.05</v>
      </c>
      <c r="N5213" s="464">
        <f t="shared" si="205"/>
        <v>209711</v>
      </c>
    </row>
    <row r="5214" spans="7:14" ht="11.25" customHeight="1" x14ac:dyDescent="0.3">
      <c r="G5214" s="459"/>
      <c r="H5214" s="459">
        <v>5207</v>
      </c>
      <c r="I5214" s="444">
        <f t="shared" ca="1" si="203"/>
        <v>-65383150773533.68</v>
      </c>
      <c r="J5214" s="444">
        <f t="array" ref="J5214">IFERROR(INDEX('Retirement Calculator'!J:J,MATCH('Isaac 401k'!N5214,'Retirement Calculator'!A:A,0),0),0)</f>
        <v>0</v>
      </c>
      <c r="K5214" s="444">
        <f t="shared" ca="1" si="201"/>
        <v>-272429794889.72369</v>
      </c>
      <c r="L5214" s="444">
        <f t="shared" ca="1" si="202"/>
        <v>-65655580568423.406</v>
      </c>
      <c r="M5214" s="460">
        <f t="shared" si="204"/>
        <v>0.05</v>
      </c>
      <c r="N5214" s="464">
        <f t="shared" si="205"/>
        <v>209742</v>
      </c>
    </row>
    <row r="5215" spans="7:14" ht="11.25" customHeight="1" x14ac:dyDescent="0.3">
      <c r="G5215" s="459"/>
      <c r="H5215" s="459">
        <v>5208</v>
      </c>
      <c r="I5215" s="444">
        <f t="shared" ca="1" si="203"/>
        <v>-65655580568423.406</v>
      </c>
      <c r="J5215" s="444">
        <f t="array" ref="J5215">IFERROR(INDEX('Retirement Calculator'!J:J,MATCH('Isaac 401k'!N5215,'Retirement Calculator'!A:A,0),0),0)</f>
        <v>0</v>
      </c>
      <c r="K5215" s="444">
        <f t="shared" ca="1" si="201"/>
        <v>-273564919035.0975</v>
      </c>
      <c r="L5215" s="444">
        <f t="shared" ca="1" si="202"/>
        <v>-65929145487458.5</v>
      </c>
      <c r="M5215" s="460">
        <f t="shared" si="204"/>
        <v>0.05</v>
      </c>
      <c r="N5215" s="464">
        <f t="shared" si="205"/>
        <v>209772</v>
      </c>
    </row>
    <row r="5216" spans="7:14" ht="11.25" customHeight="1" x14ac:dyDescent="0.3">
      <c r="G5216" s="459"/>
      <c r="H5216" s="459">
        <v>5209</v>
      </c>
      <c r="I5216" s="444">
        <f t="shared" ca="1" si="203"/>
        <v>-65929145487458.5</v>
      </c>
      <c r="J5216" s="444">
        <f t="array" ref="J5216">IFERROR(INDEX('Retirement Calculator'!J:J,MATCH('Isaac 401k'!N5216,'Retirement Calculator'!A:A,0),0),0)</f>
        <v>0</v>
      </c>
      <c r="K5216" s="444">
        <f t="shared" ca="1" si="201"/>
        <v>-274704772864.4104</v>
      </c>
      <c r="L5216" s="444">
        <f t="shared" ca="1" si="202"/>
        <v>-66203850260322.914</v>
      </c>
      <c r="M5216" s="460">
        <f t="shared" si="204"/>
        <v>0.05</v>
      </c>
      <c r="N5216" s="464">
        <f t="shared" si="205"/>
        <v>209803</v>
      </c>
    </row>
    <row r="5217" spans="7:14" ht="11.25" customHeight="1" x14ac:dyDescent="0.3">
      <c r="G5217" s="459"/>
      <c r="H5217" s="459">
        <v>5210</v>
      </c>
      <c r="I5217" s="444">
        <f t="shared" ca="1" si="203"/>
        <v>-66203850260322.914</v>
      </c>
      <c r="J5217" s="444">
        <f t="array" ref="J5217">IFERROR(INDEX('Retirement Calculator'!J:J,MATCH('Isaac 401k'!N5217,'Retirement Calculator'!A:A,0),0),0)</f>
        <v>0</v>
      </c>
      <c r="K5217" s="444">
        <f t="shared" ca="1" si="201"/>
        <v>-275849376084.67883</v>
      </c>
      <c r="L5217" s="444">
        <f t="shared" ca="1" si="202"/>
        <v>-66479699636407.594</v>
      </c>
      <c r="M5217" s="460">
        <f t="shared" si="204"/>
        <v>0.05</v>
      </c>
      <c r="N5217" s="464">
        <f t="shared" si="205"/>
        <v>209833</v>
      </c>
    </row>
    <row r="5218" spans="7:14" ht="11.25" customHeight="1" x14ac:dyDescent="0.3">
      <c r="G5218" s="459"/>
      <c r="H5218" s="459">
        <v>5211</v>
      </c>
      <c r="I5218" s="444">
        <f t="shared" ca="1" si="203"/>
        <v>-66479699636407.594</v>
      </c>
      <c r="J5218" s="444">
        <f t="array" ref="J5218">IFERROR(INDEX('Retirement Calculator'!J:J,MATCH('Isaac 401k'!N5218,'Retirement Calculator'!A:A,0),0),0)</f>
        <v>0</v>
      </c>
      <c r="K5218" s="444">
        <f t="shared" ca="1" si="201"/>
        <v>-276998748485.03162</v>
      </c>
      <c r="L5218" s="444">
        <f t="shared" ca="1" si="202"/>
        <v>-66756698384892.625</v>
      </c>
      <c r="M5218" s="460">
        <f t="shared" si="204"/>
        <v>0.05</v>
      </c>
      <c r="N5218" s="464">
        <f t="shared" si="205"/>
        <v>209864</v>
      </c>
    </row>
    <row r="5219" spans="7:14" ht="11.25" customHeight="1" x14ac:dyDescent="0.3">
      <c r="G5219" s="459"/>
      <c r="H5219" s="459">
        <v>5212</v>
      </c>
      <c r="I5219" s="444">
        <f t="shared" ca="1" si="203"/>
        <v>-66756698384892.625</v>
      </c>
      <c r="J5219" s="444">
        <f t="array" ref="J5219">IFERROR(INDEX('Retirement Calculator'!J:J,MATCH('Isaac 401k'!N5219,'Retirement Calculator'!A:A,0),0),0)</f>
        <v>0</v>
      </c>
      <c r="K5219" s="444">
        <f t="shared" ca="1" si="201"/>
        <v>-278152909937.05261</v>
      </c>
      <c r="L5219" s="444">
        <f t="shared" ca="1" si="202"/>
        <v>-67034851294829.68</v>
      </c>
      <c r="M5219" s="460">
        <f t="shared" si="204"/>
        <v>0.05</v>
      </c>
      <c r="N5219" s="464">
        <f t="shared" si="205"/>
        <v>209895</v>
      </c>
    </row>
    <row r="5220" spans="7:14" ht="11.25" customHeight="1" x14ac:dyDescent="0.3">
      <c r="G5220" s="459"/>
      <c r="H5220" s="459">
        <v>5213</v>
      </c>
      <c r="I5220" s="444">
        <f t="shared" ca="1" si="203"/>
        <v>-67034851294829.68</v>
      </c>
      <c r="J5220" s="444">
        <f t="array" ref="J5220">IFERROR(INDEX('Retirement Calculator'!J:J,MATCH('Isaac 401k'!N5220,'Retirement Calculator'!A:A,0),0),0)</f>
        <v>0</v>
      </c>
      <c r="K5220" s="444">
        <f t="shared" ca="1" si="201"/>
        <v>-279311880395.12372</v>
      </c>
      <c r="L5220" s="444">
        <f t="shared" ca="1" si="202"/>
        <v>-67314163175224.805</v>
      </c>
      <c r="M5220" s="460">
        <f t="shared" si="204"/>
        <v>0.05</v>
      </c>
      <c r="N5220" s="464">
        <f t="shared" si="205"/>
        <v>209925</v>
      </c>
    </row>
    <row r="5221" spans="7:14" ht="11.25" customHeight="1" x14ac:dyDescent="0.3">
      <c r="G5221" s="459"/>
      <c r="H5221" s="459">
        <v>5214</v>
      </c>
      <c r="I5221" s="444">
        <f t="shared" ca="1" si="203"/>
        <v>-67314163175224.805</v>
      </c>
      <c r="J5221" s="444">
        <f t="array" ref="J5221">IFERROR(INDEX('Retirement Calculator'!J:J,MATCH('Isaac 401k'!N5221,'Retirement Calculator'!A:A,0),0),0)</f>
        <v>0</v>
      </c>
      <c r="K5221" s="444">
        <f t="shared" ca="1" si="201"/>
        <v>-280475679896.77002</v>
      </c>
      <c r="L5221" s="444">
        <f t="shared" ca="1" si="202"/>
        <v>-67594638855121.578</v>
      </c>
      <c r="M5221" s="460">
        <f t="shared" si="204"/>
        <v>0.05</v>
      </c>
      <c r="N5221" s="464">
        <f t="shared" si="205"/>
        <v>209956</v>
      </c>
    </row>
    <row r="5222" spans="7:14" ht="11.25" customHeight="1" x14ac:dyDescent="0.3">
      <c r="G5222" s="459"/>
      <c r="H5222" s="459">
        <v>5215</v>
      </c>
      <c r="I5222" s="444">
        <f t="shared" ca="1" si="203"/>
        <v>-67594638855121.578</v>
      </c>
      <c r="J5222" s="444">
        <f t="array" ref="J5222">IFERROR(INDEX('Retirement Calculator'!J:J,MATCH('Isaac 401k'!N5222,'Retirement Calculator'!A:A,0),0),0)</f>
        <v>0</v>
      </c>
      <c r="K5222" s="444">
        <f t="shared" ca="1" si="201"/>
        <v>-281644328563.00659</v>
      </c>
      <c r="L5222" s="444">
        <f t="shared" ca="1" si="202"/>
        <v>-67876283183684.586</v>
      </c>
      <c r="M5222" s="460">
        <f t="shared" si="204"/>
        <v>0.05</v>
      </c>
      <c r="N5222" s="464">
        <f t="shared" si="205"/>
        <v>209986</v>
      </c>
    </row>
    <row r="5223" spans="7:14" ht="11.25" customHeight="1" x14ac:dyDescent="0.3">
      <c r="G5223" s="459"/>
      <c r="H5223" s="459">
        <v>5216</v>
      </c>
      <c r="I5223" s="444">
        <f t="shared" ca="1" si="203"/>
        <v>-67876283183684.586</v>
      </c>
      <c r="J5223" s="444">
        <f t="array" ref="J5223">IFERROR(INDEX('Retirement Calculator'!J:J,MATCH('Isaac 401k'!N5223,'Retirement Calculator'!A:A,0),0),0)</f>
        <v>0</v>
      </c>
      <c r="K5223" s="444">
        <f t="shared" ca="1" si="201"/>
        <v>-282817846598.68579</v>
      </c>
      <c r="L5223" s="444">
        <f t="shared" ca="1" si="202"/>
        <v>-68159101030283.273</v>
      </c>
      <c r="M5223" s="460">
        <f t="shared" si="204"/>
        <v>0.05</v>
      </c>
      <c r="N5223" s="464">
        <f t="shared" si="205"/>
        <v>210017</v>
      </c>
    </row>
    <row r="5224" spans="7:14" ht="11.25" customHeight="1" x14ac:dyDescent="0.3">
      <c r="G5224" s="459"/>
      <c r="H5224" s="459">
        <v>5217</v>
      </c>
      <c r="I5224" s="444">
        <f t="shared" ca="1" si="203"/>
        <v>-68159101030283.273</v>
      </c>
      <c r="J5224" s="444">
        <f t="array" ref="J5224">IFERROR(INDEX('Retirement Calculator'!J:J,MATCH('Isaac 401k'!N5224,'Retirement Calculator'!A:A,0),0),0)</f>
        <v>0</v>
      </c>
      <c r="K5224" s="444">
        <f t="shared" ca="1" si="201"/>
        <v>-283996254292.84698</v>
      </c>
      <c r="L5224" s="444">
        <f t="shared" ca="1" si="202"/>
        <v>-68443097284576.117</v>
      </c>
      <c r="M5224" s="460">
        <f t="shared" si="204"/>
        <v>0.05</v>
      </c>
      <c r="N5224" s="464">
        <f t="shared" si="205"/>
        <v>210048</v>
      </c>
    </row>
    <row r="5225" spans="7:14" ht="11.25" customHeight="1" x14ac:dyDescent="0.3">
      <c r="G5225" s="459"/>
      <c r="H5225" s="459">
        <v>5218</v>
      </c>
      <c r="I5225" s="444">
        <f t="shared" ca="1" si="203"/>
        <v>-68443097284576.117</v>
      </c>
      <c r="J5225" s="444">
        <f t="array" ref="J5225">IFERROR(INDEX('Retirement Calculator'!J:J,MATCH('Isaac 401k'!N5225,'Retirement Calculator'!A:A,0),0),0)</f>
        <v>0</v>
      </c>
      <c r="K5225" s="444">
        <f t="shared" ca="1" si="201"/>
        <v>-285179572019.0672</v>
      </c>
      <c r="L5225" s="444">
        <f t="shared" ca="1" si="202"/>
        <v>-68728276856595.188</v>
      </c>
      <c r="M5225" s="460">
        <f t="shared" si="204"/>
        <v>0.05</v>
      </c>
      <c r="N5225" s="464">
        <f t="shared" si="205"/>
        <v>210076</v>
      </c>
    </row>
    <row r="5226" spans="7:14" ht="11.25" customHeight="1" x14ac:dyDescent="0.3">
      <c r="G5226" s="459"/>
      <c r="H5226" s="459">
        <v>5219</v>
      </c>
      <c r="I5226" s="444">
        <f t="shared" ca="1" si="203"/>
        <v>-68728276856595.188</v>
      </c>
      <c r="J5226" s="444">
        <f t="array" ref="J5226">IFERROR(INDEX('Retirement Calculator'!J:J,MATCH('Isaac 401k'!N5226,'Retirement Calculator'!A:A,0),0),0)</f>
        <v>0</v>
      </c>
      <c r="K5226" s="444">
        <f t="shared" ca="1" si="201"/>
        <v>-286367820235.81323</v>
      </c>
      <c r="L5226" s="444">
        <f t="shared" ca="1" si="202"/>
        <v>-69014644676831</v>
      </c>
      <c r="M5226" s="460">
        <f t="shared" si="204"/>
        <v>0.05</v>
      </c>
      <c r="N5226" s="464">
        <f t="shared" si="205"/>
        <v>210107</v>
      </c>
    </row>
    <row r="5227" spans="7:14" ht="11.25" customHeight="1" x14ac:dyDescent="0.3">
      <c r="G5227" s="459"/>
      <c r="H5227" s="459">
        <v>5220</v>
      </c>
      <c r="I5227" s="444">
        <f t="shared" ca="1" si="203"/>
        <v>-69014644676831</v>
      </c>
      <c r="J5227" s="444">
        <f t="array" ref="J5227">IFERROR(INDEX('Retirement Calculator'!J:J,MATCH('Isaac 401k'!N5227,'Retirement Calculator'!A:A,0),0),0)</f>
        <v>0</v>
      </c>
      <c r="K5227" s="444">
        <f t="shared" ca="1" si="201"/>
        <v>-287561019486.79584</v>
      </c>
      <c r="L5227" s="444">
        <f t="shared" ca="1" si="202"/>
        <v>-69302205696317.797</v>
      </c>
      <c r="M5227" s="460">
        <f t="shared" si="204"/>
        <v>0.05</v>
      </c>
      <c r="N5227" s="464">
        <f t="shared" si="205"/>
        <v>210137</v>
      </c>
    </row>
    <row r="5228" spans="7:14" ht="11.25" customHeight="1" x14ac:dyDescent="0.3">
      <c r="G5228" s="459"/>
      <c r="H5228" s="459">
        <v>5221</v>
      </c>
      <c r="I5228" s="444">
        <f t="shared" ca="1" si="203"/>
        <v>-69302205696317.797</v>
      </c>
      <c r="J5228" s="444">
        <f t="array" ref="J5228">IFERROR(INDEX('Retirement Calculator'!J:J,MATCH('Isaac 401k'!N5228,'Retirement Calculator'!A:A,0),0),0)</f>
        <v>0</v>
      </c>
      <c r="K5228" s="444">
        <f t="shared" ca="1" si="201"/>
        <v>-288759190401.32416</v>
      </c>
      <c r="L5228" s="444">
        <f t="shared" ca="1" si="202"/>
        <v>-69590964886719.117</v>
      </c>
      <c r="M5228" s="460">
        <f t="shared" si="204"/>
        <v>0.05</v>
      </c>
      <c r="N5228" s="464">
        <f t="shared" si="205"/>
        <v>210168</v>
      </c>
    </row>
    <row r="5229" spans="7:14" ht="11.25" customHeight="1" x14ac:dyDescent="0.3">
      <c r="G5229" s="459"/>
      <c r="H5229" s="459">
        <v>5222</v>
      </c>
      <c r="I5229" s="444">
        <f t="shared" ca="1" si="203"/>
        <v>-69590964886719.117</v>
      </c>
      <c r="J5229" s="444">
        <f t="array" ref="J5229">IFERROR(INDEX('Retirement Calculator'!J:J,MATCH('Isaac 401k'!N5229,'Retirement Calculator'!A:A,0),0),0)</f>
        <v>0</v>
      </c>
      <c r="K5229" s="444">
        <f t="shared" ca="1" si="201"/>
        <v>-289962353694.66296</v>
      </c>
      <c r="L5229" s="444">
        <f t="shared" ca="1" si="202"/>
        <v>-69880927240413.781</v>
      </c>
      <c r="M5229" s="460">
        <f t="shared" si="204"/>
        <v>0.05</v>
      </c>
      <c r="N5229" s="464">
        <f t="shared" si="205"/>
        <v>210198</v>
      </c>
    </row>
    <row r="5230" spans="7:14" ht="11.25" customHeight="1" x14ac:dyDescent="0.3">
      <c r="G5230" s="459"/>
      <c r="H5230" s="459">
        <v>5223</v>
      </c>
      <c r="I5230" s="444">
        <f t="shared" ca="1" si="203"/>
        <v>-69880927240413.781</v>
      </c>
      <c r="J5230" s="444">
        <f t="array" ref="J5230">IFERROR(INDEX('Retirement Calculator'!J:J,MATCH('Isaac 401k'!N5230,'Retirement Calculator'!A:A,0),0),0)</f>
        <v>0</v>
      </c>
      <c r="K5230" s="444">
        <f t="shared" ca="1" si="201"/>
        <v>-291170530168.39081</v>
      </c>
      <c r="L5230" s="444">
        <f t="shared" ca="1" si="202"/>
        <v>-70172097770582.172</v>
      </c>
      <c r="M5230" s="460">
        <f t="shared" si="204"/>
        <v>0.05</v>
      </c>
      <c r="N5230" s="464">
        <f t="shared" si="205"/>
        <v>210229</v>
      </c>
    </row>
    <row r="5231" spans="7:14" ht="11.25" customHeight="1" x14ac:dyDescent="0.3">
      <c r="G5231" s="459"/>
      <c r="H5231" s="459">
        <v>5224</v>
      </c>
      <c r="I5231" s="444">
        <f t="shared" ca="1" si="203"/>
        <v>-70172097770582.172</v>
      </c>
      <c r="J5231" s="444">
        <f t="array" ref="J5231">IFERROR(INDEX('Retirement Calculator'!J:J,MATCH('Isaac 401k'!N5231,'Retirement Calculator'!A:A,0),0),0)</f>
        <v>0</v>
      </c>
      <c r="K5231" s="444">
        <f t="shared" ca="1" si="201"/>
        <v>-292383740710.75903</v>
      </c>
      <c r="L5231" s="444">
        <f t="shared" ca="1" si="202"/>
        <v>-70464481511292.938</v>
      </c>
      <c r="M5231" s="460">
        <f t="shared" si="204"/>
        <v>0.05</v>
      </c>
      <c r="N5231" s="464">
        <f t="shared" si="205"/>
        <v>210260</v>
      </c>
    </row>
    <row r="5232" spans="7:14" ht="11.25" customHeight="1" x14ac:dyDescent="0.3">
      <c r="G5232" s="459"/>
      <c r="H5232" s="459">
        <v>5225</v>
      </c>
      <c r="I5232" s="444">
        <f t="shared" ca="1" si="203"/>
        <v>-70464481511292.938</v>
      </c>
      <c r="J5232" s="444">
        <f t="array" ref="J5232">IFERROR(INDEX('Retirement Calculator'!J:J,MATCH('Isaac 401k'!N5232,'Retirement Calculator'!A:A,0),0),0)</f>
        <v>0</v>
      </c>
      <c r="K5232" s="444">
        <f t="shared" ca="1" si="201"/>
        <v>-293602006297.05389</v>
      </c>
      <c r="L5232" s="444">
        <f t="shared" ca="1" si="202"/>
        <v>-70758083517589.984</v>
      </c>
      <c r="M5232" s="460">
        <f t="shared" si="204"/>
        <v>0.05</v>
      </c>
      <c r="N5232" s="464">
        <f t="shared" si="205"/>
        <v>210290</v>
      </c>
    </row>
    <row r="5233" spans="7:14" ht="11.25" customHeight="1" x14ac:dyDescent="0.3">
      <c r="G5233" s="459"/>
      <c r="H5233" s="459">
        <v>5226</v>
      </c>
      <c r="I5233" s="444">
        <f t="shared" ca="1" si="203"/>
        <v>-70758083517589.984</v>
      </c>
      <c r="J5233" s="444">
        <f t="array" ref="J5233">IFERROR(INDEX('Retirement Calculator'!J:J,MATCH('Isaac 401k'!N5233,'Retirement Calculator'!A:A,0),0),0)</f>
        <v>0</v>
      </c>
      <c r="K5233" s="444">
        <f t="shared" ca="1" si="201"/>
        <v>-294825347989.95825</v>
      </c>
      <c r="L5233" s="444">
        <f t="shared" ca="1" si="202"/>
        <v>-71052908865579.938</v>
      </c>
      <c r="M5233" s="460">
        <f t="shared" si="204"/>
        <v>0.05</v>
      </c>
      <c r="N5233" s="464">
        <f t="shared" si="205"/>
        <v>210321</v>
      </c>
    </row>
    <row r="5234" spans="7:14" ht="11.25" customHeight="1" x14ac:dyDescent="0.3">
      <c r="G5234" s="459"/>
      <c r="H5234" s="459">
        <v>5227</v>
      </c>
      <c r="I5234" s="444">
        <f t="shared" ca="1" si="203"/>
        <v>-71052908865579.938</v>
      </c>
      <c r="J5234" s="444">
        <f t="array" ref="J5234">IFERROR(INDEX('Retirement Calculator'!J:J,MATCH('Isaac 401k'!N5234,'Retirement Calculator'!A:A,0),0),0)</f>
        <v>0</v>
      </c>
      <c r="K5234" s="444">
        <f t="shared" ca="1" si="201"/>
        <v>-296053786939.91638</v>
      </c>
      <c r="L5234" s="444">
        <f t="shared" ca="1" si="202"/>
        <v>-71348962652519.859</v>
      </c>
      <c r="M5234" s="460">
        <f t="shared" si="204"/>
        <v>0.05</v>
      </c>
      <c r="N5234" s="464">
        <f t="shared" si="205"/>
        <v>210351</v>
      </c>
    </row>
    <row r="5235" spans="7:14" ht="11.25" customHeight="1" x14ac:dyDescent="0.3">
      <c r="G5235" s="459"/>
      <c r="H5235" s="459">
        <v>5228</v>
      </c>
      <c r="I5235" s="444">
        <f t="shared" ca="1" si="203"/>
        <v>-71348962652519.859</v>
      </c>
      <c r="J5235" s="444">
        <f t="array" ref="J5235">IFERROR(INDEX('Retirement Calculator'!J:J,MATCH('Isaac 401k'!N5235,'Retirement Calculator'!A:A,0),0),0)</f>
        <v>0</v>
      </c>
      <c r="K5235" s="444">
        <f t="shared" ca="1" si="201"/>
        <v>-297287344385.49939</v>
      </c>
      <c r="L5235" s="444">
        <f t="shared" ca="1" si="202"/>
        <v>-71646249996905.359</v>
      </c>
      <c r="M5235" s="460">
        <f t="shared" si="204"/>
        <v>0.05</v>
      </c>
      <c r="N5235" s="464">
        <f t="shared" si="205"/>
        <v>210382</v>
      </c>
    </row>
    <row r="5236" spans="7:14" ht="11.25" customHeight="1" x14ac:dyDescent="0.3">
      <c r="G5236" s="459"/>
      <c r="H5236" s="459">
        <v>5229</v>
      </c>
      <c r="I5236" s="444">
        <f t="shared" ca="1" si="203"/>
        <v>-71646249996905.359</v>
      </c>
      <c r="J5236" s="444">
        <f t="array" ref="J5236">IFERROR(INDEX('Retirement Calculator'!J:J,MATCH('Isaac 401k'!N5236,'Retirement Calculator'!A:A,0),0),0)</f>
        <v>0</v>
      </c>
      <c r="K5236" s="444">
        <f t="shared" ca="1" si="201"/>
        <v>-298526041653.77234</v>
      </c>
      <c r="L5236" s="444">
        <f t="shared" ca="1" si="202"/>
        <v>-71944776038559.125</v>
      </c>
      <c r="M5236" s="460">
        <f t="shared" si="204"/>
        <v>0.05</v>
      </c>
      <c r="N5236" s="464">
        <f t="shared" si="205"/>
        <v>210413</v>
      </c>
    </row>
    <row r="5237" spans="7:14" ht="11.25" customHeight="1" x14ac:dyDescent="0.3">
      <c r="G5237" s="459"/>
      <c r="H5237" s="459">
        <v>5230</v>
      </c>
      <c r="I5237" s="444">
        <f t="shared" ca="1" si="203"/>
        <v>-71944776038559.125</v>
      </c>
      <c r="J5237" s="444">
        <f t="array" ref="J5237">IFERROR(INDEX('Retirement Calculator'!J:J,MATCH('Isaac 401k'!N5237,'Retirement Calculator'!A:A,0),0),0)</f>
        <v>0</v>
      </c>
      <c r="K5237" s="444">
        <f t="shared" ca="1" si="201"/>
        <v>-299769900160.66302</v>
      </c>
      <c r="L5237" s="444">
        <f t="shared" ca="1" si="202"/>
        <v>-72244545938719.781</v>
      </c>
      <c r="M5237" s="460">
        <f t="shared" si="204"/>
        <v>0.05</v>
      </c>
      <c r="N5237" s="464">
        <f t="shared" si="205"/>
        <v>210442</v>
      </c>
    </row>
    <row r="5238" spans="7:14" ht="11.25" customHeight="1" x14ac:dyDescent="0.3">
      <c r="G5238" s="459"/>
      <c r="H5238" s="459">
        <v>5231</v>
      </c>
      <c r="I5238" s="444">
        <f t="shared" ca="1" si="203"/>
        <v>-72244545938719.781</v>
      </c>
      <c r="J5238" s="444">
        <f t="array" ref="J5238">IFERROR(INDEX('Retirement Calculator'!J:J,MATCH('Isaac 401k'!N5238,'Retirement Calculator'!A:A,0),0),0)</f>
        <v>0</v>
      </c>
      <c r="K5238" s="444">
        <f t="shared" ca="1" si="201"/>
        <v>-301018941411.3324</v>
      </c>
      <c r="L5238" s="444">
        <f t="shared" ca="1" si="202"/>
        <v>-72545564880131.109</v>
      </c>
      <c r="M5238" s="460">
        <f t="shared" si="204"/>
        <v>0.05</v>
      </c>
      <c r="N5238" s="464">
        <f t="shared" si="205"/>
        <v>210473</v>
      </c>
    </row>
    <row r="5239" spans="7:14" ht="11.25" customHeight="1" x14ac:dyDescent="0.3">
      <c r="G5239" s="459"/>
      <c r="H5239" s="459">
        <v>5232</v>
      </c>
      <c r="I5239" s="444">
        <f t="shared" ca="1" si="203"/>
        <v>-72545564880131.109</v>
      </c>
      <c r="J5239" s="444">
        <f t="array" ref="J5239">IFERROR(INDEX('Retirement Calculator'!J:J,MATCH('Isaac 401k'!N5239,'Retirement Calculator'!A:A,0),0),0)</f>
        <v>0</v>
      </c>
      <c r="K5239" s="444">
        <f t="shared" ca="1" si="201"/>
        <v>-302273187000.54626</v>
      </c>
      <c r="L5239" s="444">
        <f t="shared" ca="1" si="202"/>
        <v>-72847838067131.656</v>
      </c>
      <c r="M5239" s="460">
        <f t="shared" si="204"/>
        <v>0.05</v>
      </c>
      <c r="N5239" s="464">
        <f t="shared" si="205"/>
        <v>210503</v>
      </c>
    </row>
    <row r="5240" spans="7:14" ht="11.25" customHeight="1" x14ac:dyDescent="0.3">
      <c r="G5240" s="459"/>
      <c r="H5240" s="459">
        <v>5233</v>
      </c>
      <c r="I5240" s="444">
        <f t="shared" ca="1" si="203"/>
        <v>-72847838067131.656</v>
      </c>
      <c r="J5240" s="444">
        <f t="array" ref="J5240">IFERROR(INDEX('Retirement Calculator'!J:J,MATCH('Isaac 401k'!N5240,'Retirement Calculator'!A:A,0),0),0)</f>
        <v>0</v>
      </c>
      <c r="K5240" s="444">
        <f t="shared" ca="1" si="201"/>
        <v>-303532658613.04858</v>
      </c>
      <c r="L5240" s="444">
        <f t="shared" ca="1" si="202"/>
        <v>-73151370725744.703</v>
      </c>
      <c r="M5240" s="460">
        <f t="shared" si="204"/>
        <v>0.05</v>
      </c>
      <c r="N5240" s="464">
        <f t="shared" si="205"/>
        <v>210534</v>
      </c>
    </row>
    <row r="5241" spans="7:14" ht="11.25" customHeight="1" x14ac:dyDescent="0.3">
      <c r="G5241" s="459"/>
      <c r="H5241" s="459">
        <v>5234</v>
      </c>
      <c r="I5241" s="444">
        <f t="shared" ca="1" si="203"/>
        <v>-73151370725744.703</v>
      </c>
      <c r="J5241" s="444">
        <f t="array" ref="J5241">IFERROR(INDEX('Retirement Calculator'!J:J,MATCH('Isaac 401k'!N5241,'Retirement Calculator'!A:A,0),0),0)</f>
        <v>0</v>
      </c>
      <c r="K5241" s="444">
        <f t="shared" ca="1" si="201"/>
        <v>-304797378023.93628</v>
      </c>
      <c r="L5241" s="444">
        <f t="shared" ca="1" si="202"/>
        <v>-73456168103768.641</v>
      </c>
      <c r="M5241" s="460">
        <f t="shared" si="204"/>
        <v>0.05</v>
      </c>
      <c r="N5241" s="464">
        <f t="shared" si="205"/>
        <v>210564</v>
      </c>
    </row>
    <row r="5242" spans="7:14" ht="11.25" customHeight="1" x14ac:dyDescent="0.3">
      <c r="G5242" s="459"/>
      <c r="H5242" s="459">
        <v>5235</v>
      </c>
      <c r="I5242" s="444">
        <f t="shared" ca="1" si="203"/>
        <v>-73456168103768.641</v>
      </c>
      <c r="J5242" s="444">
        <f t="array" ref="J5242">IFERROR(INDEX('Retirement Calculator'!J:J,MATCH('Isaac 401k'!N5242,'Retirement Calculator'!A:A,0),0),0)</f>
        <v>0</v>
      </c>
      <c r="K5242" s="444">
        <f t="shared" ca="1" si="201"/>
        <v>-306067367099.03601</v>
      </c>
      <c r="L5242" s="444">
        <f t="shared" ca="1" si="202"/>
        <v>-73762235470867.672</v>
      </c>
      <c r="M5242" s="460">
        <f t="shared" si="204"/>
        <v>0.05</v>
      </c>
      <c r="N5242" s="464">
        <f t="shared" si="205"/>
        <v>210595</v>
      </c>
    </row>
    <row r="5243" spans="7:14" ht="11.25" customHeight="1" x14ac:dyDescent="0.3">
      <c r="G5243" s="459"/>
      <c r="H5243" s="459">
        <v>5236</v>
      </c>
      <c r="I5243" s="444">
        <f t="shared" ca="1" si="203"/>
        <v>-73762235470867.672</v>
      </c>
      <c r="J5243" s="444">
        <f t="array" ref="J5243">IFERROR(INDEX('Retirement Calculator'!J:J,MATCH('Isaac 401k'!N5243,'Retirement Calculator'!A:A,0),0),0)</f>
        <v>0</v>
      </c>
      <c r="K5243" s="444">
        <f t="shared" ca="1" si="201"/>
        <v>-307342647795.28198</v>
      </c>
      <c r="L5243" s="444">
        <f t="shared" ca="1" si="202"/>
        <v>-74069578118662.953</v>
      </c>
      <c r="M5243" s="460">
        <f t="shared" si="204"/>
        <v>0.05</v>
      </c>
      <c r="N5243" s="464">
        <f t="shared" si="205"/>
        <v>210626</v>
      </c>
    </row>
    <row r="5244" spans="7:14" ht="11.25" customHeight="1" x14ac:dyDescent="0.3">
      <c r="G5244" s="459"/>
      <c r="H5244" s="459">
        <v>5237</v>
      </c>
      <c r="I5244" s="444">
        <f t="shared" ca="1" si="203"/>
        <v>-74069578118662.953</v>
      </c>
      <c r="J5244" s="444">
        <f t="array" ref="J5244">IFERROR(INDEX('Retirement Calculator'!J:J,MATCH('Isaac 401k'!N5244,'Retirement Calculator'!A:A,0),0),0)</f>
        <v>0</v>
      </c>
      <c r="K5244" s="444">
        <f t="shared" ca="1" si="201"/>
        <v>-308623242161.09564</v>
      </c>
      <c r="L5244" s="444">
        <f t="shared" ca="1" si="202"/>
        <v>-74378201360824.047</v>
      </c>
      <c r="M5244" s="460">
        <f t="shared" si="204"/>
        <v>0.05</v>
      </c>
      <c r="N5244" s="464">
        <f t="shared" si="205"/>
        <v>210656</v>
      </c>
    </row>
    <row r="5245" spans="7:14" ht="11.25" customHeight="1" x14ac:dyDescent="0.3">
      <c r="G5245" s="459"/>
      <c r="H5245" s="459">
        <v>5238</v>
      </c>
      <c r="I5245" s="444">
        <f t="shared" ca="1" si="203"/>
        <v>-74378201360824.047</v>
      </c>
      <c r="J5245" s="444">
        <f t="array" ref="J5245">IFERROR(INDEX('Retirement Calculator'!J:J,MATCH('Isaac 401k'!N5245,'Retirement Calculator'!A:A,0),0),0)</f>
        <v>0</v>
      </c>
      <c r="K5245" s="444">
        <f t="shared" ca="1" si="201"/>
        <v>-309909172336.76685</v>
      </c>
      <c r="L5245" s="444">
        <f t="shared" ca="1" si="202"/>
        <v>-74688110533160.813</v>
      </c>
      <c r="M5245" s="460">
        <f t="shared" si="204"/>
        <v>0.05</v>
      </c>
      <c r="N5245" s="464">
        <f t="shared" si="205"/>
        <v>210687</v>
      </c>
    </row>
    <row r="5246" spans="7:14" ht="11.25" customHeight="1" x14ac:dyDescent="0.3">
      <c r="G5246" s="459"/>
      <c r="H5246" s="459">
        <v>5239</v>
      </c>
      <c r="I5246" s="444">
        <f t="shared" ca="1" si="203"/>
        <v>-74688110533160.813</v>
      </c>
      <c r="J5246" s="444">
        <f t="array" ref="J5246">IFERROR(INDEX('Retirement Calculator'!J:J,MATCH('Isaac 401k'!N5246,'Retirement Calculator'!A:A,0),0),0)</f>
        <v>0</v>
      </c>
      <c r="K5246" s="444">
        <f t="shared" ca="1" si="201"/>
        <v>-311200460554.83673</v>
      </c>
      <c r="L5246" s="444">
        <f t="shared" ca="1" si="202"/>
        <v>-74999310993715.656</v>
      </c>
      <c r="M5246" s="460">
        <f t="shared" si="204"/>
        <v>0.05</v>
      </c>
      <c r="N5246" s="464">
        <f t="shared" si="205"/>
        <v>210717</v>
      </c>
    </row>
    <row r="5247" spans="7:14" ht="11.25" customHeight="1" x14ac:dyDescent="0.3">
      <c r="G5247" s="459"/>
      <c r="H5247" s="459">
        <v>5240</v>
      </c>
      <c r="I5247" s="444">
        <f t="shared" ca="1" si="203"/>
        <v>-74999310993715.656</v>
      </c>
      <c r="J5247" s="444">
        <f t="array" ref="J5247">IFERROR(INDEX('Retirement Calculator'!J:J,MATCH('Isaac 401k'!N5247,'Retirement Calculator'!A:A,0),0),0)</f>
        <v>0</v>
      </c>
      <c r="K5247" s="444">
        <f t="shared" ca="1" si="201"/>
        <v>-312497129140.48187</v>
      </c>
      <c r="L5247" s="444">
        <f t="shared" ca="1" si="202"/>
        <v>-75311808122856.141</v>
      </c>
      <c r="M5247" s="460">
        <f t="shared" si="204"/>
        <v>0.05</v>
      </c>
      <c r="N5247" s="464">
        <f t="shared" si="205"/>
        <v>210748</v>
      </c>
    </row>
    <row r="5248" spans="7:14" ht="11.25" customHeight="1" x14ac:dyDescent="0.3">
      <c r="G5248" s="459"/>
      <c r="H5248" s="459">
        <v>5241</v>
      </c>
      <c r="I5248" s="444">
        <f t="shared" ca="1" si="203"/>
        <v>-75311808122856.141</v>
      </c>
      <c r="J5248" s="444">
        <f t="array" ref="J5248">IFERROR(INDEX('Retirement Calculator'!J:J,MATCH('Isaac 401k'!N5248,'Retirement Calculator'!A:A,0),0),0)</f>
        <v>0</v>
      </c>
      <c r="K5248" s="444">
        <f t="shared" ca="1" si="201"/>
        <v>-313799200511.90057</v>
      </c>
      <c r="L5248" s="444">
        <f t="shared" ca="1" si="202"/>
        <v>-75625607323368.047</v>
      </c>
      <c r="M5248" s="460">
        <f t="shared" si="204"/>
        <v>0.05</v>
      </c>
      <c r="N5248" s="464">
        <f t="shared" si="205"/>
        <v>210779</v>
      </c>
    </row>
    <row r="5249" spans="7:14" ht="11.25" customHeight="1" x14ac:dyDescent="0.3">
      <c r="G5249" s="459"/>
      <c r="H5249" s="459">
        <v>5242</v>
      </c>
      <c r="I5249" s="444">
        <f t="shared" ca="1" si="203"/>
        <v>-75625607323368.047</v>
      </c>
      <c r="J5249" s="444">
        <f t="array" ref="J5249">IFERROR(INDEX('Retirement Calculator'!J:J,MATCH('Isaac 401k'!N5249,'Retirement Calculator'!A:A,0),0),0)</f>
        <v>0</v>
      </c>
      <c r="K5249" s="444">
        <f t="shared" ca="1" si="201"/>
        <v>-315106697180.7002</v>
      </c>
      <c r="L5249" s="444">
        <f t="shared" ca="1" si="202"/>
        <v>-75940714020548.75</v>
      </c>
      <c r="M5249" s="460">
        <f t="shared" si="204"/>
        <v>0.05</v>
      </c>
      <c r="N5249" s="464">
        <f t="shared" si="205"/>
        <v>210807</v>
      </c>
    </row>
    <row r="5250" spans="7:14" ht="11.25" customHeight="1" x14ac:dyDescent="0.3">
      <c r="G5250" s="459"/>
      <c r="H5250" s="459">
        <v>5243</v>
      </c>
      <c r="I5250" s="444">
        <f t="shared" ca="1" si="203"/>
        <v>-75940714020548.75</v>
      </c>
      <c r="J5250" s="444">
        <f t="array" ref="J5250">IFERROR(INDEX('Retirement Calculator'!J:J,MATCH('Isaac 401k'!N5250,'Retirement Calculator'!A:A,0),0),0)</f>
        <v>0</v>
      </c>
      <c r="K5250" s="444">
        <f t="shared" ca="1" si="201"/>
        <v>-316419641752.28644</v>
      </c>
      <c r="L5250" s="444">
        <f t="shared" ca="1" si="202"/>
        <v>-76257133662301.031</v>
      </c>
      <c r="M5250" s="460">
        <f t="shared" si="204"/>
        <v>0.05</v>
      </c>
      <c r="N5250" s="464">
        <f t="shared" si="205"/>
        <v>210838</v>
      </c>
    </row>
    <row r="5251" spans="7:14" ht="11.25" customHeight="1" x14ac:dyDescent="0.3">
      <c r="G5251" s="459"/>
      <c r="H5251" s="459">
        <v>5244</v>
      </c>
      <c r="I5251" s="444">
        <f t="shared" ca="1" si="203"/>
        <v>-76257133662301.031</v>
      </c>
      <c r="J5251" s="444">
        <f t="array" ref="J5251">IFERROR(INDEX('Retirement Calculator'!J:J,MATCH('Isaac 401k'!N5251,'Retirement Calculator'!A:A,0),0),0)</f>
        <v>0</v>
      </c>
      <c r="K5251" s="444">
        <f t="shared" ca="1" si="201"/>
        <v>-317738056926.25427</v>
      </c>
      <c r="L5251" s="444">
        <f t="shared" ca="1" si="202"/>
        <v>-76574871719227.281</v>
      </c>
      <c r="M5251" s="460">
        <f t="shared" si="204"/>
        <v>0.05</v>
      </c>
      <c r="N5251" s="464">
        <f t="shared" si="205"/>
        <v>210868</v>
      </c>
    </row>
    <row r="5252" spans="7:14" ht="11.25" customHeight="1" x14ac:dyDescent="0.3">
      <c r="G5252" s="459"/>
      <c r="H5252" s="459">
        <v>5245</v>
      </c>
      <c r="I5252" s="444">
        <f t="shared" ca="1" si="203"/>
        <v>-76574871719227.281</v>
      </c>
      <c r="J5252" s="444">
        <f t="array" ref="J5252">IFERROR(INDEX('Retirement Calculator'!J:J,MATCH('Isaac 401k'!N5252,'Retirement Calculator'!A:A,0),0),0)</f>
        <v>0</v>
      </c>
      <c r="K5252" s="444">
        <f t="shared" ca="1" si="201"/>
        <v>-319061965496.78033</v>
      </c>
      <c r="L5252" s="444">
        <f t="shared" ca="1" si="202"/>
        <v>-76893933684724.063</v>
      </c>
      <c r="M5252" s="460">
        <f t="shared" si="204"/>
        <v>0.05</v>
      </c>
      <c r="N5252" s="464">
        <f t="shared" si="205"/>
        <v>210899</v>
      </c>
    </row>
    <row r="5253" spans="7:14" ht="11.25" customHeight="1" x14ac:dyDescent="0.3">
      <c r="G5253" s="459"/>
      <c r="H5253" s="459">
        <v>5246</v>
      </c>
      <c r="I5253" s="444">
        <f t="shared" ca="1" si="203"/>
        <v>-76893933684724.063</v>
      </c>
      <c r="J5253" s="444">
        <f t="array" ref="J5253">IFERROR(INDEX('Retirement Calculator'!J:J,MATCH('Isaac 401k'!N5253,'Retirement Calculator'!A:A,0),0),0)</f>
        <v>0</v>
      </c>
      <c r="K5253" s="444">
        <f t="shared" ca="1" si="201"/>
        <v>-320391390353.01691</v>
      </c>
      <c r="L5253" s="444">
        <f t="shared" ca="1" si="202"/>
        <v>-77214325075077.078</v>
      </c>
      <c r="M5253" s="460">
        <f t="shared" si="204"/>
        <v>0.05</v>
      </c>
      <c r="N5253" s="464">
        <f t="shared" si="205"/>
        <v>210929</v>
      </c>
    </row>
    <row r="5254" spans="7:14" ht="11.25" customHeight="1" x14ac:dyDescent="0.3">
      <c r="G5254" s="459"/>
      <c r="H5254" s="459">
        <v>5247</v>
      </c>
      <c r="I5254" s="444">
        <f t="shared" ca="1" si="203"/>
        <v>-77214325075077.078</v>
      </c>
      <c r="J5254" s="444">
        <f t="array" ref="J5254">IFERROR(INDEX('Retirement Calculator'!J:J,MATCH('Isaac 401k'!N5254,'Retirement Calculator'!A:A,0),0),0)</f>
        <v>0</v>
      </c>
      <c r="K5254" s="444">
        <f t="shared" ca="1" si="201"/>
        <v>-321726354479.48779</v>
      </c>
      <c r="L5254" s="444">
        <f t="shared" ca="1" si="202"/>
        <v>-77536051429556.563</v>
      </c>
      <c r="M5254" s="460">
        <f t="shared" si="204"/>
        <v>0.05</v>
      </c>
      <c r="N5254" s="464">
        <f t="shared" si="205"/>
        <v>210960</v>
      </c>
    </row>
    <row r="5255" spans="7:14" ht="11.25" customHeight="1" x14ac:dyDescent="0.3">
      <c r="G5255" s="459"/>
      <c r="H5255" s="459">
        <v>5248</v>
      </c>
      <c r="I5255" s="444">
        <f t="shared" ca="1" si="203"/>
        <v>-77536051429556.563</v>
      </c>
      <c r="J5255" s="444">
        <f t="array" ref="J5255">IFERROR(INDEX('Retirement Calculator'!J:J,MATCH('Isaac 401k'!N5255,'Retirement Calculator'!A:A,0),0),0)</f>
        <v>0</v>
      </c>
      <c r="K5255" s="444">
        <f t="shared" ca="1" si="201"/>
        <v>-323066880956.48566</v>
      </c>
      <c r="L5255" s="444">
        <f t="shared" ca="1" si="202"/>
        <v>-77859118310513.047</v>
      </c>
      <c r="M5255" s="460">
        <f t="shared" si="204"/>
        <v>0.05</v>
      </c>
      <c r="N5255" s="464">
        <f t="shared" si="205"/>
        <v>210991</v>
      </c>
    </row>
    <row r="5256" spans="7:14" ht="11.25" customHeight="1" x14ac:dyDescent="0.3">
      <c r="G5256" s="459"/>
      <c r="H5256" s="459">
        <v>5249</v>
      </c>
      <c r="I5256" s="444">
        <f t="shared" ca="1" si="203"/>
        <v>-77859118310513.047</v>
      </c>
      <c r="J5256" s="444">
        <f t="array" ref="J5256">IFERROR(INDEX('Retirement Calculator'!J:J,MATCH('Isaac 401k'!N5256,'Retirement Calculator'!A:A,0),0),0)</f>
        <v>0</v>
      </c>
      <c r="K5256" s="444">
        <f t="shared" ca="1" si="201"/>
        <v>-324412992960.47101</v>
      </c>
      <c r="L5256" s="444">
        <f t="shared" ca="1" si="202"/>
        <v>-78183531303473.516</v>
      </c>
      <c r="M5256" s="460">
        <f t="shared" si="204"/>
        <v>0.05</v>
      </c>
      <c r="N5256" s="464">
        <f t="shared" si="205"/>
        <v>211021</v>
      </c>
    </row>
    <row r="5257" spans="7:14" ht="11.25" customHeight="1" x14ac:dyDescent="0.3">
      <c r="G5257" s="459"/>
      <c r="H5257" s="459">
        <v>5250</v>
      </c>
      <c r="I5257" s="444">
        <f t="shared" ca="1" si="203"/>
        <v>-78183531303473.516</v>
      </c>
      <c r="J5257" s="444">
        <f t="array" ref="J5257">IFERROR(INDEX('Retirement Calculator'!J:J,MATCH('Isaac 401k'!N5257,'Retirement Calculator'!A:A,0),0),0)</f>
        <v>0</v>
      </c>
      <c r="K5257" s="444">
        <f t="shared" ca="1" si="201"/>
        <v>-325764713764.47296</v>
      </c>
      <c r="L5257" s="444">
        <f t="shared" ca="1" si="202"/>
        <v>-78509296017237.984</v>
      </c>
      <c r="M5257" s="460">
        <f t="shared" si="204"/>
        <v>0.05</v>
      </c>
      <c r="N5257" s="464">
        <f t="shared" si="205"/>
        <v>211052</v>
      </c>
    </row>
    <row r="5258" spans="7:14" ht="11.25" customHeight="1" x14ac:dyDescent="0.3">
      <c r="G5258" s="459"/>
      <c r="H5258" s="459">
        <v>5251</v>
      </c>
      <c r="I5258" s="444">
        <f t="shared" ca="1" si="203"/>
        <v>-78509296017237.984</v>
      </c>
      <c r="J5258" s="444">
        <f t="array" ref="J5258">IFERROR(INDEX('Retirement Calculator'!J:J,MATCH('Isaac 401k'!N5258,'Retirement Calculator'!A:A,0),0),0)</f>
        <v>0</v>
      </c>
      <c r="K5258" s="444">
        <f t="shared" ca="1" si="201"/>
        <v>-327122066738.49158</v>
      </c>
      <c r="L5258" s="444">
        <f t="shared" ca="1" si="202"/>
        <v>-78836418083976.469</v>
      </c>
      <c r="M5258" s="460">
        <f t="shared" si="204"/>
        <v>0.05</v>
      </c>
      <c r="N5258" s="464">
        <f t="shared" si="205"/>
        <v>211082</v>
      </c>
    </row>
    <row r="5259" spans="7:14" ht="11.25" customHeight="1" x14ac:dyDescent="0.3">
      <c r="G5259" s="459"/>
      <c r="H5259" s="459">
        <v>5252</v>
      </c>
      <c r="I5259" s="444">
        <f t="shared" ca="1" si="203"/>
        <v>-78836418083976.469</v>
      </c>
      <c r="J5259" s="444">
        <f t="array" ref="J5259">IFERROR(INDEX('Retirement Calculator'!J:J,MATCH('Isaac 401k'!N5259,'Retirement Calculator'!A:A,0),0),0)</f>
        <v>0</v>
      </c>
      <c r="K5259" s="444">
        <f t="shared" ca="1" si="201"/>
        <v>-328485075349.90198</v>
      </c>
      <c r="L5259" s="444">
        <f t="shared" ca="1" si="202"/>
        <v>-79164903159326.375</v>
      </c>
      <c r="M5259" s="460">
        <f t="shared" si="204"/>
        <v>0.05</v>
      </c>
      <c r="N5259" s="464">
        <f t="shared" si="205"/>
        <v>211113</v>
      </c>
    </row>
    <row r="5260" spans="7:14" ht="11.25" customHeight="1" x14ac:dyDescent="0.3">
      <c r="G5260" s="459"/>
      <c r="H5260" s="459">
        <v>5253</v>
      </c>
      <c r="I5260" s="444">
        <f t="shared" ca="1" si="203"/>
        <v>-79164903159326.375</v>
      </c>
      <c r="J5260" s="444">
        <f t="array" ref="J5260">IFERROR(INDEX('Retirement Calculator'!J:J,MATCH('Isaac 401k'!N5260,'Retirement Calculator'!A:A,0),0),0)</f>
        <v>0</v>
      </c>
      <c r="K5260" s="444">
        <f t="shared" ca="1" si="201"/>
        <v>-329853763163.85986</v>
      </c>
      <c r="L5260" s="444">
        <f t="shared" ca="1" si="202"/>
        <v>-79494756922490.234</v>
      </c>
      <c r="M5260" s="460">
        <f t="shared" si="204"/>
        <v>0.05</v>
      </c>
      <c r="N5260" s="464">
        <f t="shared" si="205"/>
        <v>211144</v>
      </c>
    </row>
    <row r="5261" spans="7:14" ht="11.25" customHeight="1" x14ac:dyDescent="0.3">
      <c r="G5261" s="459"/>
      <c r="H5261" s="459">
        <v>5254</v>
      </c>
      <c r="I5261" s="444">
        <f t="shared" ca="1" si="203"/>
        <v>-79494756922490.234</v>
      </c>
      <c r="J5261" s="444">
        <f t="array" ref="J5261">IFERROR(INDEX('Retirement Calculator'!J:J,MATCH('Isaac 401k'!N5261,'Retirement Calculator'!A:A,0),0),0)</f>
        <v>0</v>
      </c>
      <c r="K5261" s="444">
        <f t="shared" ca="1" si="201"/>
        <v>-331228153843.70929</v>
      </c>
      <c r="L5261" s="444">
        <f t="shared" ca="1" si="202"/>
        <v>-79825985076333.938</v>
      </c>
      <c r="M5261" s="460">
        <f t="shared" si="204"/>
        <v>0.05</v>
      </c>
      <c r="N5261" s="464">
        <f t="shared" si="205"/>
        <v>211172</v>
      </c>
    </row>
    <row r="5262" spans="7:14" ht="11.25" customHeight="1" x14ac:dyDescent="0.3">
      <c r="G5262" s="459"/>
      <c r="H5262" s="459">
        <v>5255</v>
      </c>
      <c r="I5262" s="444">
        <f t="shared" ca="1" si="203"/>
        <v>-79825985076333.938</v>
      </c>
      <c r="J5262" s="444">
        <f t="array" ref="J5262">IFERROR(INDEX('Retirement Calculator'!J:J,MATCH('Isaac 401k'!N5262,'Retirement Calculator'!A:A,0),0),0)</f>
        <v>0</v>
      </c>
      <c r="K5262" s="444">
        <f t="shared" ca="1" si="201"/>
        <v>-332608271151.39142</v>
      </c>
      <c r="L5262" s="444">
        <f t="shared" ca="1" si="202"/>
        <v>-80158593347485.328</v>
      </c>
      <c r="M5262" s="460">
        <f t="shared" si="204"/>
        <v>0.05</v>
      </c>
      <c r="N5262" s="464">
        <f t="shared" si="205"/>
        <v>211203</v>
      </c>
    </row>
    <row r="5263" spans="7:14" ht="11.25" customHeight="1" x14ac:dyDescent="0.3">
      <c r="G5263" s="459"/>
      <c r="H5263" s="459">
        <v>5256</v>
      </c>
      <c r="I5263" s="444">
        <f t="shared" ca="1" si="203"/>
        <v>-80158593347485.328</v>
      </c>
      <c r="J5263" s="444">
        <f t="array" ref="J5263">IFERROR(INDEX('Retirement Calculator'!J:J,MATCH('Isaac 401k'!N5263,'Retirement Calculator'!A:A,0),0),0)</f>
        <v>0</v>
      </c>
      <c r="K5263" s="444">
        <f t="shared" ca="1" si="201"/>
        <v>-333994138947.85553</v>
      </c>
      <c r="L5263" s="444">
        <f t="shared" ca="1" si="202"/>
        <v>-80492587486433.188</v>
      </c>
      <c r="M5263" s="460">
        <f t="shared" si="204"/>
        <v>0.05</v>
      </c>
      <c r="N5263" s="464">
        <f t="shared" si="205"/>
        <v>211233</v>
      </c>
    </row>
    <row r="5264" spans="7:14" ht="11.25" customHeight="1" x14ac:dyDescent="0.3">
      <c r="G5264" s="459"/>
      <c r="H5264" s="459">
        <v>5257</v>
      </c>
      <c r="I5264" s="444">
        <f t="shared" ca="1" si="203"/>
        <v>-80492587486433.188</v>
      </c>
      <c r="J5264" s="444">
        <f t="array" ref="J5264">IFERROR(INDEX('Retirement Calculator'!J:J,MATCH('Isaac 401k'!N5264,'Retirement Calculator'!A:A,0),0),0)</f>
        <v>0</v>
      </c>
      <c r="K5264" s="444">
        <f t="shared" ca="1" si="201"/>
        <v>-335385781193.47162</v>
      </c>
      <c r="L5264" s="444">
        <f t="shared" ca="1" si="202"/>
        <v>-80827973267626.656</v>
      </c>
      <c r="M5264" s="460">
        <f t="shared" si="204"/>
        <v>0.05</v>
      </c>
      <c r="N5264" s="464">
        <f t="shared" si="205"/>
        <v>211264</v>
      </c>
    </row>
    <row r="5265" spans="7:14" ht="11.25" customHeight="1" x14ac:dyDescent="0.3">
      <c r="G5265" s="459"/>
      <c r="H5265" s="459">
        <v>5258</v>
      </c>
      <c r="I5265" s="444">
        <f t="shared" ca="1" si="203"/>
        <v>-80827973267626.656</v>
      </c>
      <c r="J5265" s="444">
        <f t="array" ref="J5265">IFERROR(INDEX('Retirement Calculator'!J:J,MATCH('Isaac 401k'!N5265,'Retirement Calculator'!A:A,0),0),0)</f>
        <v>0</v>
      </c>
      <c r="K5265" s="444">
        <f t="shared" ca="1" si="201"/>
        <v>-336783221948.4444</v>
      </c>
      <c r="L5265" s="444">
        <f t="shared" ca="1" si="202"/>
        <v>-81164756489575.094</v>
      </c>
      <c r="M5265" s="460">
        <f t="shared" si="204"/>
        <v>0.05</v>
      </c>
      <c r="N5265" s="464">
        <f t="shared" si="205"/>
        <v>211294</v>
      </c>
    </row>
    <row r="5266" spans="7:14" ht="11.25" customHeight="1" x14ac:dyDescent="0.3">
      <c r="G5266" s="459"/>
      <c r="H5266" s="459">
        <v>5259</v>
      </c>
      <c r="I5266" s="444">
        <f t="shared" ca="1" si="203"/>
        <v>-81164756489575.094</v>
      </c>
      <c r="J5266" s="444">
        <f t="array" ref="J5266">IFERROR(INDEX('Retirement Calculator'!J:J,MATCH('Isaac 401k'!N5266,'Retirement Calculator'!A:A,0),0),0)</f>
        <v>0</v>
      </c>
      <c r="K5266" s="444">
        <f t="shared" ca="1" si="201"/>
        <v>-338186485373.22955</v>
      </c>
      <c r="L5266" s="444">
        <f t="shared" ca="1" si="202"/>
        <v>-81502942974948.328</v>
      </c>
      <c r="M5266" s="460">
        <f t="shared" si="204"/>
        <v>0.05</v>
      </c>
      <c r="N5266" s="464">
        <f t="shared" si="205"/>
        <v>211325</v>
      </c>
    </row>
    <row r="5267" spans="7:14" ht="11.25" customHeight="1" x14ac:dyDescent="0.3">
      <c r="G5267" s="459"/>
      <c r="H5267" s="459">
        <v>5260</v>
      </c>
      <c r="I5267" s="444">
        <f t="shared" ca="1" si="203"/>
        <v>-81502942974948.328</v>
      </c>
      <c r="J5267" s="444">
        <f t="array" ref="J5267">IFERROR(INDEX('Retirement Calculator'!J:J,MATCH('Isaac 401k'!N5267,'Retirement Calculator'!A:A,0),0),0)</f>
        <v>0</v>
      </c>
      <c r="K5267" s="444">
        <f t="shared" ca="1" si="201"/>
        <v>-339595595728.95135</v>
      </c>
      <c r="L5267" s="444">
        <f t="shared" ca="1" si="202"/>
        <v>-81842538570677.281</v>
      </c>
      <c r="M5267" s="460">
        <f t="shared" si="204"/>
        <v>0.05</v>
      </c>
      <c r="N5267" s="464">
        <f t="shared" si="205"/>
        <v>211356</v>
      </c>
    </row>
    <row r="5268" spans="7:14" ht="11.25" customHeight="1" x14ac:dyDescent="0.3">
      <c r="G5268" s="459"/>
      <c r="H5268" s="459">
        <v>5261</v>
      </c>
      <c r="I5268" s="444">
        <f t="shared" ca="1" si="203"/>
        <v>-81842538570677.281</v>
      </c>
      <c r="J5268" s="444">
        <f t="array" ref="J5268">IFERROR(INDEX('Retirement Calculator'!J:J,MATCH('Isaac 401k'!N5268,'Retirement Calculator'!A:A,0),0),0)</f>
        <v>0</v>
      </c>
      <c r="K5268" s="444">
        <f t="shared" ca="1" si="201"/>
        <v>-341010577377.82202</v>
      </c>
      <c r="L5268" s="444">
        <f t="shared" ca="1" si="202"/>
        <v>-82183549148055.109</v>
      </c>
      <c r="M5268" s="460">
        <f t="shared" si="204"/>
        <v>0.05</v>
      </c>
      <c r="N5268" s="464">
        <f t="shared" si="205"/>
        <v>211386</v>
      </c>
    </row>
    <row r="5269" spans="7:14" ht="11.25" customHeight="1" x14ac:dyDescent="0.3">
      <c r="G5269" s="459"/>
      <c r="H5269" s="459">
        <v>5262</v>
      </c>
      <c r="I5269" s="444">
        <f t="shared" ca="1" si="203"/>
        <v>-82183549148055.109</v>
      </c>
      <c r="J5269" s="444">
        <f t="array" ref="J5269">IFERROR(INDEX('Retirement Calculator'!J:J,MATCH('Isaac 401k'!N5269,'Retirement Calculator'!A:A,0),0),0)</f>
        <v>0</v>
      </c>
      <c r="K5269" s="444">
        <f t="shared" ca="1" si="201"/>
        <v>-342431454783.56293</v>
      </c>
      <c r="L5269" s="444">
        <f t="shared" ca="1" si="202"/>
        <v>-82525980602838.672</v>
      </c>
      <c r="M5269" s="460">
        <f t="shared" si="204"/>
        <v>0.05</v>
      </c>
      <c r="N5269" s="464">
        <f t="shared" si="205"/>
        <v>211417</v>
      </c>
    </row>
    <row r="5270" spans="7:14" ht="11.25" customHeight="1" x14ac:dyDescent="0.3">
      <c r="G5270" s="459"/>
      <c r="H5270" s="459">
        <v>5263</v>
      </c>
      <c r="I5270" s="444">
        <f t="shared" ca="1" si="203"/>
        <v>-82525980602838.672</v>
      </c>
      <c r="J5270" s="444">
        <f t="array" ref="J5270">IFERROR(INDEX('Retirement Calculator'!J:J,MATCH('Isaac 401k'!N5270,'Retirement Calculator'!A:A,0),0),0)</f>
        <v>0</v>
      </c>
      <c r="K5270" s="444">
        <f t="shared" ca="1" si="201"/>
        <v>-343858252511.82782</v>
      </c>
      <c r="L5270" s="444">
        <f t="shared" ca="1" si="202"/>
        <v>-82869838855350.5</v>
      </c>
      <c r="M5270" s="460">
        <f t="shared" si="204"/>
        <v>0.05</v>
      </c>
      <c r="N5270" s="464">
        <f t="shared" si="205"/>
        <v>211447</v>
      </c>
    </row>
    <row r="5271" spans="7:14" ht="11.25" customHeight="1" x14ac:dyDescent="0.3">
      <c r="G5271" s="459"/>
      <c r="H5271" s="459">
        <v>5264</v>
      </c>
      <c r="I5271" s="444">
        <f t="shared" ca="1" si="203"/>
        <v>-82869838855350.5</v>
      </c>
      <c r="J5271" s="444">
        <f t="array" ref="J5271">IFERROR(INDEX('Retirement Calculator'!J:J,MATCH('Isaac 401k'!N5271,'Retirement Calculator'!A:A,0),0),0)</f>
        <v>0</v>
      </c>
      <c r="K5271" s="444">
        <f t="shared" ca="1" si="201"/>
        <v>-345290995230.62708</v>
      </c>
      <c r="L5271" s="444">
        <f t="shared" ca="1" si="202"/>
        <v>-83215129850581.125</v>
      </c>
      <c r="M5271" s="460">
        <f t="shared" si="204"/>
        <v>0.05</v>
      </c>
      <c r="N5271" s="464">
        <f t="shared" si="205"/>
        <v>211478</v>
      </c>
    </row>
    <row r="5272" spans="7:14" ht="11.25" customHeight="1" x14ac:dyDescent="0.3">
      <c r="G5272" s="459"/>
      <c r="H5272" s="459">
        <v>5265</v>
      </c>
      <c r="I5272" s="444">
        <f t="shared" ca="1" si="203"/>
        <v>-83215129850581.125</v>
      </c>
      <c r="J5272" s="444">
        <f t="array" ref="J5272">IFERROR(INDEX('Retirement Calculator'!J:J,MATCH('Isaac 401k'!N5272,'Retirement Calculator'!A:A,0),0),0)</f>
        <v>0</v>
      </c>
      <c r="K5272" s="444">
        <f t="shared" ca="1" si="201"/>
        <v>-346729707710.7547</v>
      </c>
      <c r="L5272" s="444">
        <f t="shared" ca="1" si="202"/>
        <v>-83561859558291.875</v>
      </c>
      <c r="M5272" s="460">
        <f t="shared" si="204"/>
        <v>0.05</v>
      </c>
      <c r="N5272" s="464">
        <f t="shared" si="205"/>
        <v>211509</v>
      </c>
    </row>
    <row r="5273" spans="7:14" ht="11.25" customHeight="1" x14ac:dyDescent="0.3">
      <c r="G5273" s="459"/>
      <c r="H5273" s="459">
        <v>5266</v>
      </c>
      <c r="I5273" s="444">
        <f t="shared" ca="1" si="203"/>
        <v>-83561859558291.875</v>
      </c>
      <c r="J5273" s="444">
        <f t="array" ref="J5273">IFERROR(INDEX('Retirement Calculator'!J:J,MATCH('Isaac 401k'!N5273,'Retirement Calculator'!A:A,0),0),0)</f>
        <v>0</v>
      </c>
      <c r="K5273" s="444">
        <f t="shared" ca="1" si="201"/>
        <v>-348174414826.21613</v>
      </c>
      <c r="L5273" s="444">
        <f t="shared" ca="1" si="202"/>
        <v>-83910033973118.094</v>
      </c>
      <c r="M5273" s="460">
        <f t="shared" si="204"/>
        <v>0.05</v>
      </c>
      <c r="N5273" s="464">
        <f t="shared" si="205"/>
        <v>211537</v>
      </c>
    </row>
    <row r="5274" spans="7:14" ht="11.25" customHeight="1" x14ac:dyDescent="0.3">
      <c r="G5274" s="459"/>
      <c r="H5274" s="459">
        <v>5267</v>
      </c>
      <c r="I5274" s="444">
        <f t="shared" ca="1" si="203"/>
        <v>-83910033973118.094</v>
      </c>
      <c r="J5274" s="444">
        <f t="array" ref="J5274">IFERROR(INDEX('Retirement Calculator'!J:J,MATCH('Isaac 401k'!N5274,'Retirement Calculator'!A:A,0),0),0)</f>
        <v>0</v>
      </c>
      <c r="K5274" s="444">
        <f t="shared" ca="1" si="201"/>
        <v>-349625141554.65869</v>
      </c>
      <c r="L5274" s="444">
        <f t="shared" ca="1" si="202"/>
        <v>-84259659114672.75</v>
      </c>
      <c r="M5274" s="460">
        <f t="shared" si="204"/>
        <v>0.05</v>
      </c>
      <c r="N5274" s="464">
        <f t="shared" si="205"/>
        <v>211568</v>
      </c>
    </row>
    <row r="5275" spans="7:14" ht="11.25" customHeight="1" x14ac:dyDescent="0.3">
      <c r="G5275" s="459"/>
      <c r="H5275" s="459">
        <v>5268</v>
      </c>
      <c r="I5275" s="444">
        <f t="shared" ca="1" si="203"/>
        <v>-84259659114672.75</v>
      </c>
      <c r="J5275" s="444">
        <f t="array" ref="J5275">IFERROR(INDEX('Retirement Calculator'!J:J,MATCH('Isaac 401k'!N5275,'Retirement Calculator'!A:A,0),0),0)</f>
        <v>0</v>
      </c>
      <c r="K5275" s="444">
        <f t="shared" ca="1" si="201"/>
        <v>-351081912977.8031</v>
      </c>
      <c r="L5275" s="444">
        <f t="shared" ca="1" si="202"/>
        <v>-84610741027650.547</v>
      </c>
      <c r="M5275" s="460">
        <f t="shared" si="204"/>
        <v>0.05</v>
      </c>
      <c r="N5275" s="464">
        <f t="shared" si="205"/>
        <v>211598</v>
      </c>
    </row>
    <row r="5276" spans="7:14" ht="11.25" customHeight="1" x14ac:dyDescent="0.3">
      <c r="G5276" s="459"/>
      <c r="H5276" s="459">
        <v>5269</v>
      </c>
      <c r="I5276" s="444">
        <f t="shared" ca="1" si="203"/>
        <v>-84610741027650.547</v>
      </c>
      <c r="J5276" s="444">
        <f t="array" ref="J5276">IFERROR(INDEX('Retirement Calculator'!J:J,MATCH('Isaac 401k'!N5276,'Retirement Calculator'!A:A,0),0),0)</f>
        <v>0</v>
      </c>
      <c r="K5276" s="444">
        <f t="shared" ca="1" si="201"/>
        <v>-352544754281.87726</v>
      </c>
      <c r="L5276" s="444">
        <f t="shared" ca="1" si="202"/>
        <v>-84963285781932.422</v>
      </c>
      <c r="M5276" s="460">
        <f t="shared" si="204"/>
        <v>0.05</v>
      </c>
      <c r="N5276" s="464">
        <f t="shared" si="205"/>
        <v>211629</v>
      </c>
    </row>
    <row r="5277" spans="7:14" ht="11.25" customHeight="1" x14ac:dyDescent="0.3">
      <c r="G5277" s="459"/>
      <c r="H5277" s="459">
        <v>5270</v>
      </c>
      <c r="I5277" s="444">
        <f t="shared" ca="1" si="203"/>
        <v>-84963285781932.422</v>
      </c>
      <c r="J5277" s="444">
        <f t="array" ref="J5277">IFERROR(INDEX('Retirement Calculator'!J:J,MATCH('Isaac 401k'!N5277,'Retirement Calculator'!A:A,0),0),0)</f>
        <v>0</v>
      </c>
      <c r="K5277" s="444">
        <f t="shared" ca="1" si="201"/>
        <v>-354013690758.05176</v>
      </c>
      <c r="L5277" s="444">
        <f t="shared" ca="1" si="202"/>
        <v>-85317299472690.469</v>
      </c>
      <c r="M5277" s="460">
        <f t="shared" si="204"/>
        <v>0.05</v>
      </c>
      <c r="N5277" s="464">
        <f t="shared" si="205"/>
        <v>211659</v>
      </c>
    </row>
    <row r="5278" spans="7:14" ht="11.25" customHeight="1" x14ac:dyDescent="0.3">
      <c r="G5278" s="459"/>
      <c r="H5278" s="459">
        <v>5271</v>
      </c>
      <c r="I5278" s="444">
        <f t="shared" ca="1" si="203"/>
        <v>-85317299472690.469</v>
      </c>
      <c r="J5278" s="444">
        <f t="array" ref="J5278">IFERROR(INDEX('Retirement Calculator'!J:J,MATCH('Isaac 401k'!N5278,'Retirement Calculator'!A:A,0),0),0)</f>
        <v>0</v>
      </c>
      <c r="K5278" s="444">
        <f t="shared" ca="1" si="201"/>
        <v>-355488747802.87695</v>
      </c>
      <c r="L5278" s="444">
        <f t="shared" ca="1" si="202"/>
        <v>-85672788220493.344</v>
      </c>
      <c r="M5278" s="460">
        <f t="shared" si="204"/>
        <v>0.05</v>
      </c>
      <c r="N5278" s="464">
        <f t="shared" si="205"/>
        <v>211690</v>
      </c>
    </row>
    <row r="5279" spans="7:14" ht="11.25" customHeight="1" x14ac:dyDescent="0.3">
      <c r="G5279" s="459"/>
      <c r="H5279" s="459">
        <v>5272</v>
      </c>
      <c r="I5279" s="444">
        <f t="shared" ca="1" si="203"/>
        <v>-85672788220493.344</v>
      </c>
      <c r="J5279" s="444">
        <f t="array" ref="J5279">IFERROR(INDEX('Retirement Calculator'!J:J,MATCH('Isaac 401k'!N5279,'Retirement Calculator'!A:A,0),0),0)</f>
        <v>0</v>
      </c>
      <c r="K5279" s="444">
        <f t="shared" ca="1" si="201"/>
        <v>-356969950918.72229</v>
      </c>
      <c r="L5279" s="444">
        <f t="shared" ca="1" si="202"/>
        <v>-86029758171412.063</v>
      </c>
      <c r="M5279" s="460">
        <f t="shared" si="204"/>
        <v>0.05</v>
      </c>
      <c r="N5279" s="464">
        <f t="shared" si="205"/>
        <v>211721</v>
      </c>
    </row>
    <row r="5280" spans="7:14" ht="11.25" customHeight="1" x14ac:dyDescent="0.3">
      <c r="G5280" s="459"/>
      <c r="H5280" s="459">
        <v>5273</v>
      </c>
      <c r="I5280" s="444">
        <f t="shared" ca="1" si="203"/>
        <v>-86029758171412.063</v>
      </c>
      <c r="J5280" s="444">
        <f t="array" ref="J5280">IFERROR(INDEX('Retirement Calculator'!J:J,MATCH('Isaac 401k'!N5280,'Retirement Calculator'!A:A,0),0),0)</f>
        <v>0</v>
      </c>
      <c r="K5280" s="444">
        <f t="shared" ca="1" si="201"/>
        <v>-358457325714.21692</v>
      </c>
      <c r="L5280" s="444">
        <f t="shared" ca="1" si="202"/>
        <v>-86388215497126.281</v>
      </c>
      <c r="M5280" s="460">
        <f t="shared" si="204"/>
        <v>0.05</v>
      </c>
      <c r="N5280" s="464">
        <f t="shared" si="205"/>
        <v>211751</v>
      </c>
    </row>
    <row r="5281" spans="7:14" ht="11.25" customHeight="1" x14ac:dyDescent="0.3">
      <c r="G5281" s="459"/>
      <c r="H5281" s="459">
        <v>5274</v>
      </c>
      <c r="I5281" s="444">
        <f t="shared" ca="1" si="203"/>
        <v>-86388215497126.281</v>
      </c>
      <c r="J5281" s="444">
        <f t="array" ref="J5281">IFERROR(INDEX('Retirement Calculator'!J:J,MATCH('Isaac 401k'!N5281,'Retirement Calculator'!A:A,0),0),0)</f>
        <v>0</v>
      </c>
      <c r="K5281" s="444">
        <f t="shared" ca="1" si="201"/>
        <v>-359950897904.69281</v>
      </c>
      <c r="L5281" s="444">
        <f t="shared" ca="1" si="202"/>
        <v>-86748166395030.969</v>
      </c>
      <c r="M5281" s="460">
        <f t="shared" si="204"/>
        <v>0.05</v>
      </c>
      <c r="N5281" s="464">
        <f t="shared" si="205"/>
        <v>211782</v>
      </c>
    </row>
    <row r="5282" spans="7:14" ht="11.25" customHeight="1" x14ac:dyDescent="0.3">
      <c r="G5282" s="459"/>
      <c r="H5282" s="459">
        <v>5275</v>
      </c>
      <c r="I5282" s="444">
        <f t="shared" ca="1" si="203"/>
        <v>-86748166395030.969</v>
      </c>
      <c r="J5282" s="444">
        <f t="array" ref="J5282">IFERROR(INDEX('Retirement Calculator'!J:J,MATCH('Isaac 401k'!N5282,'Retirement Calculator'!A:A,0),0),0)</f>
        <v>0</v>
      </c>
      <c r="K5282" s="444">
        <f t="shared" ca="1" si="201"/>
        <v>-361450693312.62903</v>
      </c>
      <c r="L5282" s="444">
        <f t="shared" ca="1" si="202"/>
        <v>-87109617088343.594</v>
      </c>
      <c r="M5282" s="460">
        <f t="shared" si="204"/>
        <v>0.05</v>
      </c>
      <c r="N5282" s="464">
        <f t="shared" si="205"/>
        <v>211812</v>
      </c>
    </row>
    <row r="5283" spans="7:14" ht="11.25" customHeight="1" x14ac:dyDescent="0.3">
      <c r="G5283" s="459"/>
      <c r="H5283" s="459">
        <v>5276</v>
      </c>
      <c r="I5283" s="444">
        <f t="shared" ca="1" si="203"/>
        <v>-87109617088343.594</v>
      </c>
      <c r="J5283" s="444">
        <f t="array" ref="J5283">IFERROR(INDEX('Retirement Calculator'!J:J,MATCH('Isaac 401k'!N5283,'Retirement Calculator'!A:A,0),0),0)</f>
        <v>0</v>
      </c>
      <c r="K5283" s="444">
        <f t="shared" ca="1" si="201"/>
        <v>-362956737868.09833</v>
      </c>
      <c r="L5283" s="444">
        <f t="shared" ca="1" si="202"/>
        <v>-87472573826211.688</v>
      </c>
      <c r="M5283" s="460">
        <f t="shared" si="204"/>
        <v>0.05</v>
      </c>
      <c r="N5283" s="464">
        <f t="shared" si="205"/>
        <v>211843</v>
      </c>
    </row>
    <row r="5284" spans="7:14" ht="11.25" customHeight="1" x14ac:dyDescent="0.3">
      <c r="G5284" s="459"/>
      <c r="H5284" s="459">
        <v>5277</v>
      </c>
      <c r="I5284" s="444">
        <f t="shared" ca="1" si="203"/>
        <v>-87472573826211.688</v>
      </c>
      <c r="J5284" s="444">
        <f t="array" ref="J5284">IFERROR(INDEX('Retirement Calculator'!J:J,MATCH('Isaac 401k'!N5284,'Retirement Calculator'!A:A,0),0),0)</f>
        <v>0</v>
      </c>
      <c r="K5284" s="444">
        <f t="shared" ca="1" si="201"/>
        <v>-364469057609.21533</v>
      </c>
      <c r="L5284" s="444">
        <f t="shared" ca="1" si="202"/>
        <v>-87837042883820.906</v>
      </c>
      <c r="M5284" s="460">
        <f t="shared" si="204"/>
        <v>0.05</v>
      </c>
      <c r="N5284" s="464">
        <f t="shared" si="205"/>
        <v>211874</v>
      </c>
    </row>
    <row r="5285" spans="7:14" ht="11.25" customHeight="1" x14ac:dyDescent="0.3">
      <c r="G5285" s="459"/>
      <c r="H5285" s="459">
        <v>5278</v>
      </c>
      <c r="I5285" s="444">
        <f t="shared" ca="1" si="203"/>
        <v>-87837042883820.906</v>
      </c>
      <c r="J5285" s="444">
        <f t="array" ref="J5285">IFERROR(INDEX('Retirement Calculator'!J:J,MATCH('Isaac 401k'!N5285,'Retirement Calculator'!A:A,0),0),0)</f>
        <v>0</v>
      </c>
      <c r="K5285" s="444">
        <f t="shared" ca="1" si="201"/>
        <v>-365987678682.5871</v>
      </c>
      <c r="L5285" s="444">
        <f t="shared" ca="1" si="202"/>
        <v>-88203030562503.5</v>
      </c>
      <c r="M5285" s="460">
        <f t="shared" si="204"/>
        <v>0.05</v>
      </c>
      <c r="N5285" s="464">
        <f t="shared" si="205"/>
        <v>211903</v>
      </c>
    </row>
    <row r="5286" spans="7:14" ht="11.25" customHeight="1" x14ac:dyDescent="0.3">
      <c r="G5286" s="459"/>
      <c r="H5286" s="459">
        <v>5279</v>
      </c>
      <c r="I5286" s="444">
        <f t="shared" ca="1" si="203"/>
        <v>-88203030562503.5</v>
      </c>
      <c r="J5286" s="444">
        <f t="array" ref="J5286">IFERROR(INDEX('Retirement Calculator'!J:J,MATCH('Isaac 401k'!N5286,'Retirement Calculator'!A:A,0),0),0)</f>
        <v>0</v>
      </c>
      <c r="K5286" s="444">
        <f t="shared" ca="1" si="201"/>
        <v>-367512627343.76459</v>
      </c>
      <c r="L5286" s="444">
        <f t="shared" ca="1" si="202"/>
        <v>-88570543189847.266</v>
      </c>
      <c r="M5286" s="460">
        <f t="shared" si="204"/>
        <v>0.05</v>
      </c>
      <c r="N5286" s="464">
        <f t="shared" si="205"/>
        <v>211934</v>
      </c>
    </row>
    <row r="5287" spans="7:14" ht="11.25" customHeight="1" x14ac:dyDescent="0.3">
      <c r="G5287" s="459"/>
      <c r="H5287" s="459">
        <v>5280</v>
      </c>
      <c r="I5287" s="444">
        <f t="shared" ca="1" si="203"/>
        <v>-88570543189847.266</v>
      </c>
      <c r="J5287" s="444">
        <f t="array" ref="J5287">IFERROR(INDEX('Retirement Calculator'!J:J,MATCH('Isaac 401k'!N5287,'Retirement Calculator'!A:A,0),0),0)</f>
        <v>0</v>
      </c>
      <c r="K5287" s="444">
        <f t="shared" ca="1" si="201"/>
        <v>-369043929957.69696</v>
      </c>
      <c r="L5287" s="444">
        <f t="shared" ca="1" si="202"/>
        <v>-88939587119804.969</v>
      </c>
      <c r="M5287" s="460">
        <f t="shared" si="204"/>
        <v>0.05</v>
      </c>
      <c r="N5287" s="464">
        <f t="shared" si="205"/>
        <v>211964</v>
      </c>
    </row>
    <row r="5288" spans="7:14" ht="11.25" customHeight="1" x14ac:dyDescent="0.3">
      <c r="G5288" s="459"/>
      <c r="H5288" s="459">
        <v>5281</v>
      </c>
      <c r="I5288" s="444">
        <f t="shared" ca="1" si="203"/>
        <v>-88939587119804.969</v>
      </c>
      <c r="J5288" s="444">
        <f t="array" ref="J5288">IFERROR(INDEX('Retirement Calculator'!J:J,MATCH('Isaac 401k'!N5288,'Retirement Calculator'!A:A,0),0),0)</f>
        <v>0</v>
      </c>
      <c r="K5288" s="444">
        <f t="shared" ca="1" si="201"/>
        <v>-370581612999.18738</v>
      </c>
      <c r="L5288" s="444">
        <f t="shared" ca="1" si="202"/>
        <v>-89310168732804.156</v>
      </c>
      <c r="M5288" s="460">
        <f t="shared" si="204"/>
        <v>0.05</v>
      </c>
      <c r="N5288" s="464">
        <f t="shared" si="205"/>
        <v>211995</v>
      </c>
    </row>
    <row r="5289" spans="7:14" ht="11.25" customHeight="1" x14ac:dyDescent="0.3">
      <c r="G5289" s="459"/>
      <c r="H5289" s="459">
        <v>5282</v>
      </c>
      <c r="I5289" s="444">
        <f t="shared" ca="1" si="203"/>
        <v>-89310168732804.156</v>
      </c>
      <c r="J5289" s="444">
        <f t="array" ref="J5289">IFERROR(INDEX('Retirement Calculator'!J:J,MATCH('Isaac 401k'!N5289,'Retirement Calculator'!A:A,0),0),0)</f>
        <v>0</v>
      </c>
      <c r="K5289" s="444">
        <f t="shared" ca="1" si="201"/>
        <v>-372125703053.35065</v>
      </c>
      <c r="L5289" s="444">
        <f t="shared" ca="1" si="202"/>
        <v>-89682294435857.5</v>
      </c>
      <c r="M5289" s="460">
        <f t="shared" si="204"/>
        <v>0.05</v>
      </c>
      <c r="N5289" s="464">
        <f t="shared" si="205"/>
        <v>212025</v>
      </c>
    </row>
    <row r="5290" spans="7:14" ht="11.25" customHeight="1" x14ac:dyDescent="0.3">
      <c r="G5290" s="459"/>
      <c r="H5290" s="459">
        <v>5283</v>
      </c>
      <c r="I5290" s="444">
        <f t="shared" ca="1" si="203"/>
        <v>-89682294435857.5</v>
      </c>
      <c r="J5290" s="444">
        <f t="array" ref="J5290">IFERROR(INDEX('Retirement Calculator'!J:J,MATCH('Isaac 401k'!N5290,'Retirement Calculator'!A:A,0),0),0)</f>
        <v>0</v>
      </c>
      <c r="K5290" s="444">
        <f t="shared" ca="1" si="201"/>
        <v>-373676226816.07294</v>
      </c>
      <c r="L5290" s="444">
        <f t="shared" ca="1" si="202"/>
        <v>-90055970662673.578</v>
      </c>
      <c r="M5290" s="460">
        <f t="shared" si="204"/>
        <v>0.05</v>
      </c>
      <c r="N5290" s="464">
        <f t="shared" si="205"/>
        <v>212056</v>
      </c>
    </row>
    <row r="5291" spans="7:14" ht="11.25" customHeight="1" x14ac:dyDescent="0.3">
      <c r="G5291" s="459"/>
      <c r="H5291" s="459">
        <v>5284</v>
      </c>
      <c r="I5291" s="444">
        <f t="shared" ca="1" si="203"/>
        <v>-90055970662673.578</v>
      </c>
      <c r="J5291" s="444">
        <f t="array" ref="J5291">IFERROR(INDEX('Retirement Calculator'!J:J,MATCH('Isaac 401k'!N5291,'Retirement Calculator'!A:A,0),0),0)</f>
        <v>0</v>
      </c>
      <c r="K5291" s="444">
        <f t="shared" ca="1" si="201"/>
        <v>-375233211094.47327</v>
      </c>
      <c r="L5291" s="444">
        <f t="shared" ca="1" si="202"/>
        <v>-90431203873768.047</v>
      </c>
      <c r="M5291" s="460">
        <f t="shared" si="204"/>
        <v>0.05</v>
      </c>
      <c r="N5291" s="464">
        <f t="shared" si="205"/>
        <v>212087</v>
      </c>
    </row>
    <row r="5292" spans="7:14" ht="11.25" customHeight="1" x14ac:dyDescent="0.3">
      <c r="G5292" s="459"/>
      <c r="H5292" s="459">
        <v>5285</v>
      </c>
      <c r="I5292" s="444">
        <f t="shared" ca="1" si="203"/>
        <v>-90431203873768.047</v>
      </c>
      <c r="J5292" s="444">
        <f t="array" ref="J5292">IFERROR(INDEX('Retirement Calculator'!J:J,MATCH('Isaac 401k'!N5292,'Retirement Calculator'!A:A,0),0),0)</f>
        <v>0</v>
      </c>
      <c r="K5292" s="444">
        <f t="shared" ca="1" si="201"/>
        <v>-376796682807.36688</v>
      </c>
      <c r="L5292" s="444">
        <f t="shared" ca="1" si="202"/>
        <v>-90808000556575.406</v>
      </c>
      <c r="M5292" s="460">
        <f t="shared" si="204"/>
        <v>0.05</v>
      </c>
      <c r="N5292" s="464">
        <f t="shared" si="205"/>
        <v>212117</v>
      </c>
    </row>
    <row r="5293" spans="7:14" ht="11.25" customHeight="1" x14ac:dyDescent="0.3">
      <c r="G5293" s="459"/>
      <c r="H5293" s="459">
        <v>5286</v>
      </c>
      <c r="I5293" s="444">
        <f t="shared" ca="1" si="203"/>
        <v>-90808000556575.406</v>
      </c>
      <c r="J5293" s="444">
        <f t="array" ref="J5293">IFERROR(INDEX('Retirement Calculator'!J:J,MATCH('Isaac 401k'!N5293,'Retirement Calculator'!A:A,0),0),0)</f>
        <v>0</v>
      </c>
      <c r="K5293" s="444">
        <f t="shared" ca="1" si="201"/>
        <v>-378366668985.73083</v>
      </c>
      <c r="L5293" s="444">
        <f t="shared" ca="1" si="202"/>
        <v>-91186367225561.141</v>
      </c>
      <c r="M5293" s="460">
        <f t="shared" si="204"/>
        <v>0.05</v>
      </c>
      <c r="N5293" s="464">
        <f t="shared" si="205"/>
        <v>212148</v>
      </c>
    </row>
    <row r="5294" spans="7:14" ht="11.25" customHeight="1" x14ac:dyDescent="0.3">
      <c r="G5294" s="459"/>
      <c r="H5294" s="459">
        <v>5287</v>
      </c>
      <c r="I5294" s="444">
        <f t="shared" ca="1" si="203"/>
        <v>-91186367225561.141</v>
      </c>
      <c r="J5294" s="444">
        <f t="array" ref="J5294">IFERROR(INDEX('Retirement Calculator'!J:J,MATCH('Isaac 401k'!N5294,'Retirement Calculator'!A:A,0),0),0)</f>
        <v>0</v>
      </c>
      <c r="K5294" s="444">
        <f t="shared" ca="1" si="201"/>
        <v>-379943196773.17139</v>
      </c>
      <c r="L5294" s="444">
        <f t="shared" ca="1" si="202"/>
        <v>-91566310422334.313</v>
      </c>
      <c r="M5294" s="460">
        <f t="shared" si="204"/>
        <v>0.05</v>
      </c>
      <c r="N5294" s="464">
        <f t="shared" si="205"/>
        <v>212178</v>
      </c>
    </row>
    <row r="5295" spans="7:14" ht="11.25" customHeight="1" x14ac:dyDescent="0.3">
      <c r="G5295" s="459"/>
      <c r="H5295" s="459">
        <v>5288</v>
      </c>
      <c r="I5295" s="444">
        <f t="shared" ca="1" si="203"/>
        <v>-91566310422334.313</v>
      </c>
      <c r="J5295" s="444">
        <f t="array" ref="J5295">IFERROR(INDEX('Retirement Calculator'!J:J,MATCH('Isaac 401k'!N5295,'Retirement Calculator'!A:A,0),0),0)</f>
        <v>0</v>
      </c>
      <c r="K5295" s="444">
        <f t="shared" ca="1" si="201"/>
        <v>-381526293426.39294</v>
      </c>
      <c r="L5295" s="444">
        <f t="shared" ca="1" si="202"/>
        <v>-91947836715760.703</v>
      </c>
      <c r="M5295" s="460">
        <f t="shared" si="204"/>
        <v>0.05</v>
      </c>
      <c r="N5295" s="464">
        <f t="shared" si="205"/>
        <v>212209</v>
      </c>
    </row>
    <row r="5296" spans="7:14" ht="11.25" customHeight="1" x14ac:dyDescent="0.3">
      <c r="G5296" s="459"/>
      <c r="H5296" s="459">
        <v>5289</v>
      </c>
      <c r="I5296" s="444">
        <f t="shared" ca="1" si="203"/>
        <v>-91947836715760.703</v>
      </c>
      <c r="J5296" s="444">
        <f t="array" ref="J5296">IFERROR(INDEX('Retirement Calculator'!J:J,MATCH('Isaac 401k'!N5296,'Retirement Calculator'!A:A,0),0),0)</f>
        <v>0</v>
      </c>
      <c r="K5296" s="444">
        <f t="shared" ca="1" si="201"/>
        <v>-383115986315.66962</v>
      </c>
      <c r="L5296" s="444">
        <f t="shared" ca="1" si="202"/>
        <v>-92330952702076.375</v>
      </c>
      <c r="M5296" s="460">
        <f t="shared" si="204"/>
        <v>0.05</v>
      </c>
      <c r="N5296" s="464">
        <f t="shared" si="205"/>
        <v>212240</v>
      </c>
    </row>
    <row r="5297" spans="7:14" ht="11.25" customHeight="1" x14ac:dyDescent="0.3">
      <c r="G5297" s="459"/>
      <c r="H5297" s="459">
        <v>5290</v>
      </c>
      <c r="I5297" s="444">
        <f t="shared" ca="1" si="203"/>
        <v>-92330952702076.375</v>
      </c>
      <c r="J5297" s="444">
        <f t="array" ref="J5297">IFERROR(INDEX('Retirement Calculator'!J:J,MATCH('Isaac 401k'!N5297,'Retirement Calculator'!A:A,0),0),0)</f>
        <v>0</v>
      </c>
      <c r="K5297" s="444">
        <f t="shared" ca="1" si="201"/>
        <v>-384712302925.31824</v>
      </c>
      <c r="L5297" s="444">
        <f t="shared" ca="1" si="202"/>
        <v>-92715665005001.688</v>
      </c>
      <c r="M5297" s="460">
        <f t="shared" si="204"/>
        <v>0.05</v>
      </c>
      <c r="N5297" s="464">
        <f t="shared" si="205"/>
        <v>212268</v>
      </c>
    </row>
    <row r="5298" spans="7:14" ht="11.25" customHeight="1" x14ac:dyDescent="0.3">
      <c r="G5298" s="459"/>
      <c r="H5298" s="459">
        <v>5291</v>
      </c>
      <c r="I5298" s="444">
        <f t="shared" ca="1" si="203"/>
        <v>-92715665005001.688</v>
      </c>
      <c r="J5298" s="444">
        <f t="array" ref="J5298">IFERROR(INDEX('Retirement Calculator'!J:J,MATCH('Isaac 401k'!N5298,'Retirement Calculator'!A:A,0),0),0)</f>
        <v>0</v>
      </c>
      <c r="K5298" s="444">
        <f t="shared" ca="1" si="201"/>
        <v>-386315270854.17371</v>
      </c>
      <c r="L5298" s="444">
        <f t="shared" ca="1" si="202"/>
        <v>-93101980275855.859</v>
      </c>
      <c r="M5298" s="460">
        <f t="shared" si="204"/>
        <v>0.05</v>
      </c>
      <c r="N5298" s="464">
        <f t="shared" si="205"/>
        <v>212299</v>
      </c>
    </row>
    <row r="5299" spans="7:14" ht="11.25" customHeight="1" x14ac:dyDescent="0.3">
      <c r="G5299" s="459"/>
      <c r="H5299" s="459">
        <v>5292</v>
      </c>
      <c r="I5299" s="444">
        <f t="shared" ca="1" si="203"/>
        <v>-93101980275855.859</v>
      </c>
      <c r="J5299" s="444">
        <f t="array" ref="J5299">IFERROR(INDEX('Retirement Calculator'!J:J,MATCH('Isaac 401k'!N5299,'Retirement Calculator'!A:A,0),0),0)</f>
        <v>0</v>
      </c>
      <c r="K5299" s="444">
        <f t="shared" ca="1" si="201"/>
        <v>-387924917816.0661</v>
      </c>
      <c r="L5299" s="444">
        <f t="shared" ca="1" si="202"/>
        <v>-93489905193671.922</v>
      </c>
      <c r="M5299" s="460">
        <f t="shared" si="204"/>
        <v>0.05</v>
      </c>
      <c r="N5299" s="464">
        <f t="shared" si="205"/>
        <v>212329</v>
      </c>
    </row>
    <row r="5300" spans="7:14" ht="11.25" customHeight="1" x14ac:dyDescent="0.3">
      <c r="G5300" s="459"/>
      <c r="H5300" s="459">
        <v>5293</v>
      </c>
      <c r="I5300" s="444">
        <f t="shared" ca="1" si="203"/>
        <v>-93489905193671.922</v>
      </c>
      <c r="J5300" s="444">
        <f t="array" ref="J5300">IFERROR(INDEX('Retirement Calculator'!J:J,MATCH('Isaac 401k'!N5300,'Retirement Calculator'!A:A,0),0),0)</f>
        <v>0</v>
      </c>
      <c r="K5300" s="444">
        <f t="shared" ca="1" si="201"/>
        <v>-389541271640.29968</v>
      </c>
      <c r="L5300" s="444">
        <f t="shared" ca="1" si="202"/>
        <v>-93879446465312.219</v>
      </c>
      <c r="M5300" s="460">
        <f t="shared" si="204"/>
        <v>0.05</v>
      </c>
      <c r="N5300" s="464">
        <f t="shared" si="205"/>
        <v>212360</v>
      </c>
    </row>
    <row r="5301" spans="7:14" ht="11.25" customHeight="1" x14ac:dyDescent="0.3">
      <c r="G5301" s="459"/>
      <c r="H5301" s="459">
        <v>5294</v>
      </c>
      <c r="I5301" s="444">
        <f t="shared" ca="1" si="203"/>
        <v>-93879446465312.219</v>
      </c>
      <c r="J5301" s="444">
        <f t="array" ref="J5301">IFERROR(INDEX('Retirement Calculator'!J:J,MATCH('Isaac 401k'!N5301,'Retirement Calculator'!A:A,0),0),0)</f>
        <v>0</v>
      </c>
      <c r="K5301" s="444">
        <f t="shared" ca="1" si="201"/>
        <v>-391164360272.13422</v>
      </c>
      <c r="L5301" s="444">
        <f t="shared" ca="1" si="202"/>
        <v>-94270610825584.359</v>
      </c>
      <c r="M5301" s="460">
        <f t="shared" si="204"/>
        <v>0.05</v>
      </c>
      <c r="N5301" s="464">
        <f t="shared" si="205"/>
        <v>212390</v>
      </c>
    </row>
    <row r="5302" spans="7:14" ht="11.25" customHeight="1" x14ac:dyDescent="0.3">
      <c r="G5302" s="459"/>
      <c r="H5302" s="459">
        <v>5295</v>
      </c>
      <c r="I5302" s="444">
        <f t="shared" ca="1" si="203"/>
        <v>-94270610825584.359</v>
      </c>
      <c r="J5302" s="444">
        <f t="array" ref="J5302">IFERROR(INDEX('Retirement Calculator'!J:J,MATCH('Isaac 401k'!N5302,'Retirement Calculator'!A:A,0),0),0)</f>
        <v>0</v>
      </c>
      <c r="K5302" s="444">
        <f t="shared" ca="1" si="201"/>
        <v>-392794211773.26819</v>
      </c>
      <c r="L5302" s="444">
        <f t="shared" ca="1" si="202"/>
        <v>-94663405037357.625</v>
      </c>
      <c r="M5302" s="460">
        <f t="shared" si="204"/>
        <v>0.05</v>
      </c>
      <c r="N5302" s="464">
        <f t="shared" si="205"/>
        <v>212421</v>
      </c>
    </row>
    <row r="5303" spans="7:14" ht="11.25" customHeight="1" x14ac:dyDescent="0.3">
      <c r="G5303" s="459"/>
      <c r="H5303" s="459">
        <v>5296</v>
      </c>
      <c r="I5303" s="444">
        <f t="shared" ca="1" si="203"/>
        <v>-94663405037357.625</v>
      </c>
      <c r="J5303" s="444">
        <f t="array" ref="J5303">IFERROR(INDEX('Retirement Calculator'!J:J,MATCH('Isaac 401k'!N5303,'Retirement Calculator'!A:A,0),0),0)</f>
        <v>0</v>
      </c>
      <c r="K5303" s="444">
        <f t="shared" ca="1" si="201"/>
        <v>-394430854322.32343</v>
      </c>
      <c r="L5303" s="444">
        <f t="shared" ca="1" si="202"/>
        <v>-95057835891679.953</v>
      </c>
      <c r="M5303" s="460">
        <f t="shared" si="204"/>
        <v>0.05</v>
      </c>
      <c r="N5303" s="464">
        <f t="shared" si="205"/>
        <v>212452</v>
      </c>
    </row>
    <row r="5304" spans="7:14" ht="11.25" customHeight="1" x14ac:dyDescent="0.3">
      <c r="G5304" s="459"/>
      <c r="H5304" s="459">
        <v>5297</v>
      </c>
      <c r="I5304" s="444">
        <f t="shared" ca="1" si="203"/>
        <v>-95057835891679.953</v>
      </c>
      <c r="J5304" s="444">
        <f t="array" ref="J5304">IFERROR(INDEX('Retirement Calculator'!J:J,MATCH('Isaac 401k'!N5304,'Retirement Calculator'!A:A,0),0),0)</f>
        <v>0</v>
      </c>
      <c r="K5304" s="444">
        <f t="shared" ca="1" si="201"/>
        <v>-396074316215.33313</v>
      </c>
      <c r="L5304" s="444">
        <f t="shared" ca="1" si="202"/>
        <v>-95453910207895.281</v>
      </c>
      <c r="M5304" s="460">
        <f t="shared" si="204"/>
        <v>0.05</v>
      </c>
      <c r="N5304" s="464">
        <f t="shared" si="205"/>
        <v>212482</v>
      </c>
    </row>
    <row r="5305" spans="7:14" ht="11.25" customHeight="1" x14ac:dyDescent="0.3">
      <c r="G5305" s="459"/>
      <c r="H5305" s="459">
        <v>5298</v>
      </c>
      <c r="I5305" s="444">
        <f t="shared" ca="1" si="203"/>
        <v>-95453910207895.281</v>
      </c>
      <c r="J5305" s="444">
        <f t="array" ref="J5305">IFERROR(INDEX('Retirement Calculator'!J:J,MATCH('Isaac 401k'!N5305,'Retirement Calculator'!A:A,0),0),0)</f>
        <v>0</v>
      </c>
      <c r="K5305" s="444">
        <f t="shared" ca="1" si="201"/>
        <v>-397724625866.23035</v>
      </c>
      <c r="L5305" s="444">
        <f t="shared" ca="1" si="202"/>
        <v>-95851634833761.516</v>
      </c>
      <c r="M5305" s="460">
        <f t="shared" si="204"/>
        <v>0.05</v>
      </c>
      <c r="N5305" s="464">
        <f t="shared" si="205"/>
        <v>212513</v>
      </c>
    </row>
    <row r="5306" spans="7:14" ht="11.25" customHeight="1" x14ac:dyDescent="0.3">
      <c r="G5306" s="459"/>
      <c r="H5306" s="459">
        <v>5299</v>
      </c>
      <c r="I5306" s="444">
        <f t="shared" ca="1" si="203"/>
        <v>-95851634833761.516</v>
      </c>
      <c r="J5306" s="444">
        <f t="array" ref="J5306">IFERROR(INDEX('Retirement Calculator'!J:J,MATCH('Isaac 401k'!N5306,'Retirement Calculator'!A:A,0),0),0)</f>
        <v>0</v>
      </c>
      <c r="K5306" s="444">
        <f t="shared" ca="1" si="201"/>
        <v>-399381811807.33966</v>
      </c>
      <c r="L5306" s="444">
        <f t="shared" ca="1" si="202"/>
        <v>-96251016645568.859</v>
      </c>
      <c r="M5306" s="460">
        <f t="shared" si="204"/>
        <v>0.05</v>
      </c>
      <c r="N5306" s="464">
        <f t="shared" si="205"/>
        <v>212543</v>
      </c>
    </row>
    <row r="5307" spans="7:14" ht="11.25" customHeight="1" x14ac:dyDescent="0.3">
      <c r="G5307" s="459"/>
      <c r="H5307" s="459">
        <v>5300</v>
      </c>
      <c r="I5307" s="444">
        <f t="shared" ca="1" si="203"/>
        <v>-96251016645568.859</v>
      </c>
      <c r="J5307" s="444">
        <f t="array" ref="J5307">IFERROR(INDEX('Retirement Calculator'!J:J,MATCH('Isaac 401k'!N5307,'Retirement Calculator'!A:A,0),0),0)</f>
        <v>0</v>
      </c>
      <c r="K5307" s="444">
        <f t="shared" ca="1" si="201"/>
        <v>-401045902689.87024</v>
      </c>
      <c r="L5307" s="444">
        <f t="shared" ca="1" si="202"/>
        <v>-96652062548258.734</v>
      </c>
      <c r="M5307" s="460">
        <f t="shared" si="204"/>
        <v>0.05</v>
      </c>
      <c r="N5307" s="464">
        <f t="shared" si="205"/>
        <v>212574</v>
      </c>
    </row>
    <row r="5308" spans="7:14" ht="11.25" customHeight="1" x14ac:dyDescent="0.3">
      <c r="G5308" s="459"/>
      <c r="H5308" s="459">
        <v>5301</v>
      </c>
      <c r="I5308" s="444">
        <f t="shared" ca="1" si="203"/>
        <v>-96652062548258.734</v>
      </c>
      <c r="J5308" s="444">
        <f t="array" ref="J5308">IFERROR(INDEX('Retirement Calculator'!J:J,MATCH('Isaac 401k'!N5308,'Retirement Calculator'!A:A,0),0),0)</f>
        <v>0</v>
      </c>
      <c r="K5308" s="444">
        <f t="shared" ca="1" si="201"/>
        <v>-402716927284.41138</v>
      </c>
      <c r="L5308" s="444">
        <f t="shared" ca="1" si="202"/>
        <v>-97054779475543.141</v>
      </c>
      <c r="M5308" s="460">
        <f t="shared" si="204"/>
        <v>0.05</v>
      </c>
      <c r="N5308" s="464">
        <f t="shared" si="205"/>
        <v>212605</v>
      </c>
    </row>
    <row r="5309" spans="7:14" ht="11.25" customHeight="1" x14ac:dyDescent="0.3">
      <c r="G5309" s="459"/>
      <c r="H5309" s="459">
        <v>5302</v>
      </c>
      <c r="I5309" s="444">
        <f t="shared" ca="1" si="203"/>
        <v>-97054779475543.141</v>
      </c>
      <c r="J5309" s="444">
        <f t="array" ref="J5309">IFERROR(INDEX('Retirement Calculator'!J:J,MATCH('Isaac 401k'!N5309,'Retirement Calculator'!A:A,0),0),0)</f>
        <v>0</v>
      </c>
      <c r="K5309" s="444">
        <f t="shared" ca="1" si="201"/>
        <v>-404394914481.42975</v>
      </c>
      <c r="L5309" s="444">
        <f t="shared" ca="1" si="202"/>
        <v>-97459174390024.578</v>
      </c>
      <c r="M5309" s="460">
        <f t="shared" si="204"/>
        <v>0.05</v>
      </c>
      <c r="N5309" s="464">
        <f t="shared" si="205"/>
        <v>212633</v>
      </c>
    </row>
    <row r="5310" spans="7:14" ht="11.25" customHeight="1" x14ac:dyDescent="0.3">
      <c r="G5310" s="459"/>
      <c r="H5310" s="459">
        <v>5303</v>
      </c>
      <c r="I5310" s="444">
        <f t="shared" ca="1" si="203"/>
        <v>-97459174390024.578</v>
      </c>
      <c r="J5310" s="444">
        <f t="array" ref="J5310">IFERROR(INDEX('Retirement Calculator'!J:J,MATCH('Isaac 401k'!N5310,'Retirement Calculator'!A:A,0),0),0)</f>
        <v>0</v>
      </c>
      <c r="K5310" s="444">
        <f t="shared" ca="1" si="201"/>
        <v>-406079893291.76904</v>
      </c>
      <c r="L5310" s="444">
        <f t="shared" ca="1" si="202"/>
        <v>-97865254283316.344</v>
      </c>
      <c r="M5310" s="460">
        <f t="shared" si="204"/>
        <v>0.05</v>
      </c>
      <c r="N5310" s="464">
        <f t="shared" si="205"/>
        <v>212664</v>
      </c>
    </row>
    <row r="5311" spans="7:14" ht="11.25" customHeight="1" x14ac:dyDescent="0.3">
      <c r="G5311" s="459"/>
      <c r="H5311" s="459">
        <v>5304</v>
      </c>
      <c r="I5311" s="444">
        <f t="shared" ca="1" si="203"/>
        <v>-97865254283316.344</v>
      </c>
      <c r="J5311" s="444">
        <f t="array" ref="J5311">IFERROR(INDEX('Retirement Calculator'!J:J,MATCH('Isaac 401k'!N5311,'Retirement Calculator'!A:A,0),0),0)</f>
        <v>0</v>
      </c>
      <c r="K5311" s="444">
        <f t="shared" ca="1" si="201"/>
        <v>-407771892847.15143</v>
      </c>
      <c r="L5311" s="444">
        <f t="shared" ca="1" si="202"/>
        <v>-98273026176163.5</v>
      </c>
      <c r="M5311" s="460">
        <f t="shared" si="204"/>
        <v>0.05</v>
      </c>
      <c r="N5311" s="464">
        <f t="shared" si="205"/>
        <v>212694</v>
      </c>
    </row>
    <row r="5312" spans="7:14" ht="11.25" customHeight="1" x14ac:dyDescent="0.3">
      <c r="G5312" s="459"/>
      <c r="H5312" s="459">
        <v>5305</v>
      </c>
      <c r="I5312" s="444">
        <f t="shared" ca="1" si="203"/>
        <v>-98273026176163.5</v>
      </c>
      <c r="J5312" s="444">
        <f t="array" ref="J5312">IFERROR(INDEX('Retirement Calculator'!J:J,MATCH('Isaac 401k'!N5312,'Retirement Calculator'!A:A,0),0),0)</f>
        <v>0</v>
      </c>
      <c r="K5312" s="444">
        <f t="shared" ca="1" si="201"/>
        <v>-409470942400.68127</v>
      </c>
      <c r="L5312" s="444">
        <f t="shared" ca="1" si="202"/>
        <v>-98682497118564.188</v>
      </c>
      <c r="M5312" s="460">
        <f t="shared" si="204"/>
        <v>0.05</v>
      </c>
      <c r="N5312" s="464">
        <f t="shared" si="205"/>
        <v>212725</v>
      </c>
    </row>
    <row r="5313" spans="7:14" ht="11.25" customHeight="1" x14ac:dyDescent="0.3">
      <c r="G5313" s="459"/>
      <c r="H5313" s="459">
        <v>5306</v>
      </c>
      <c r="I5313" s="444">
        <f t="shared" ca="1" si="203"/>
        <v>-98682497118564.188</v>
      </c>
      <c r="J5313" s="444">
        <f t="array" ref="J5313">IFERROR(INDEX('Retirement Calculator'!J:J,MATCH('Isaac 401k'!N5313,'Retirement Calculator'!A:A,0),0),0)</f>
        <v>0</v>
      </c>
      <c r="K5313" s="444">
        <f t="shared" ca="1" si="201"/>
        <v>-411177071327.35077</v>
      </c>
      <c r="L5313" s="444">
        <f t="shared" ca="1" si="202"/>
        <v>-99093674189891.531</v>
      </c>
      <c r="M5313" s="460">
        <f t="shared" si="204"/>
        <v>0.05</v>
      </c>
      <c r="N5313" s="464">
        <f t="shared" si="205"/>
        <v>212755</v>
      </c>
    </row>
    <row r="5314" spans="7:14" ht="11.25" customHeight="1" x14ac:dyDescent="0.3">
      <c r="G5314" s="459"/>
      <c r="H5314" s="459">
        <v>5307</v>
      </c>
      <c r="I5314" s="444">
        <f t="shared" ca="1" si="203"/>
        <v>-99093674189891.531</v>
      </c>
      <c r="J5314" s="444">
        <f t="array" ref="J5314">IFERROR(INDEX('Retirement Calculator'!J:J,MATCH('Isaac 401k'!N5314,'Retirement Calculator'!A:A,0),0),0)</f>
        <v>0</v>
      </c>
      <c r="K5314" s="444">
        <f t="shared" ca="1" si="201"/>
        <v>-412890309124.54803</v>
      </c>
      <c r="L5314" s="444">
        <f t="shared" ca="1" si="202"/>
        <v>-99506564499016.078</v>
      </c>
      <c r="M5314" s="460">
        <f t="shared" si="204"/>
        <v>0.05</v>
      </c>
      <c r="N5314" s="464">
        <f t="shared" si="205"/>
        <v>212786</v>
      </c>
    </row>
    <row r="5315" spans="7:14" ht="11.25" customHeight="1" x14ac:dyDescent="0.3">
      <c r="G5315" s="459"/>
      <c r="H5315" s="459">
        <v>5308</v>
      </c>
      <c r="I5315" s="444">
        <f t="shared" ca="1" si="203"/>
        <v>-99506564499016.078</v>
      </c>
      <c r="J5315" s="444">
        <f t="array" ref="J5315">IFERROR(INDEX('Retirement Calculator'!J:J,MATCH('Isaac 401k'!N5315,'Retirement Calculator'!A:A,0),0),0)</f>
        <v>0</v>
      </c>
      <c r="K5315" s="444">
        <f t="shared" ca="1" si="201"/>
        <v>-414610685412.56702</v>
      </c>
      <c r="L5315" s="444">
        <f t="shared" ca="1" si="202"/>
        <v>-99921175184428.641</v>
      </c>
      <c r="M5315" s="460">
        <f t="shared" si="204"/>
        <v>0.05</v>
      </c>
      <c r="N5315" s="464">
        <f t="shared" si="205"/>
        <v>212817</v>
      </c>
    </row>
    <row r="5316" spans="7:14" ht="11.25" customHeight="1" x14ac:dyDescent="0.3">
      <c r="G5316" s="459"/>
      <c r="H5316" s="459">
        <v>5309</v>
      </c>
      <c r="I5316" s="444">
        <f t="shared" ca="1" si="203"/>
        <v>-99921175184428.641</v>
      </c>
      <c r="J5316" s="444">
        <f t="array" ref="J5316">IFERROR(INDEX('Retirement Calculator'!J:J,MATCH('Isaac 401k'!N5316,'Retirement Calculator'!A:A,0),0),0)</f>
        <v>0</v>
      </c>
      <c r="K5316" s="444">
        <f t="shared" ca="1" si="201"/>
        <v>-416338229935.11932</v>
      </c>
      <c r="L5316" s="444">
        <f t="shared" ca="1" si="202"/>
        <v>-100337513414363.77</v>
      </c>
      <c r="M5316" s="460">
        <f t="shared" si="204"/>
        <v>0.05</v>
      </c>
      <c r="N5316" s="464">
        <f t="shared" si="205"/>
        <v>212847</v>
      </c>
    </row>
    <row r="5317" spans="7:14" ht="11.25" customHeight="1" x14ac:dyDescent="0.3">
      <c r="G5317" s="459"/>
      <c r="H5317" s="459">
        <v>5310</v>
      </c>
      <c r="I5317" s="444">
        <f t="shared" ca="1" si="203"/>
        <v>-100337513414363.77</v>
      </c>
      <c r="J5317" s="444">
        <f t="array" ref="J5317">IFERROR(INDEX('Retirement Calculator'!J:J,MATCH('Isaac 401k'!N5317,'Retirement Calculator'!A:A,0),0),0)</f>
        <v>0</v>
      </c>
      <c r="K5317" s="444">
        <f t="shared" ca="1" si="201"/>
        <v>-418072972559.849</v>
      </c>
      <c r="L5317" s="444">
        <f t="shared" ca="1" si="202"/>
        <v>-100755586386923.61</v>
      </c>
      <c r="M5317" s="460">
        <f t="shared" si="204"/>
        <v>0.05</v>
      </c>
      <c r="N5317" s="464">
        <f t="shared" si="205"/>
        <v>212878</v>
      </c>
    </row>
    <row r="5318" spans="7:14" ht="11.25" customHeight="1" x14ac:dyDescent="0.3">
      <c r="G5318" s="459"/>
      <c r="H5318" s="459">
        <v>5311</v>
      </c>
      <c r="I5318" s="444">
        <f t="shared" ca="1" si="203"/>
        <v>-100755586386923.61</v>
      </c>
      <c r="J5318" s="444">
        <f t="array" ref="J5318">IFERROR(INDEX('Retirement Calculator'!J:J,MATCH('Isaac 401k'!N5318,'Retirement Calculator'!A:A,0),0),0)</f>
        <v>0</v>
      </c>
      <c r="K5318" s="444">
        <f t="shared" ca="1" si="201"/>
        <v>-419814943278.84839</v>
      </c>
      <c r="L5318" s="444">
        <f t="shared" ca="1" si="202"/>
        <v>-101175401330202.45</v>
      </c>
      <c r="M5318" s="460">
        <f t="shared" si="204"/>
        <v>0.05</v>
      </c>
      <c r="N5318" s="464">
        <f t="shared" si="205"/>
        <v>212908</v>
      </c>
    </row>
    <row r="5319" spans="7:14" ht="11.25" customHeight="1" x14ac:dyDescent="0.3">
      <c r="G5319" s="459"/>
      <c r="H5319" s="459">
        <v>5312</v>
      </c>
      <c r="I5319" s="444">
        <f t="shared" ca="1" si="203"/>
        <v>-101175401330202.45</v>
      </c>
      <c r="J5319" s="444">
        <f t="array" ref="J5319">IFERROR(INDEX('Retirement Calculator'!J:J,MATCH('Isaac 401k'!N5319,'Retirement Calculator'!A:A,0),0),0)</f>
        <v>0</v>
      </c>
      <c r="K5319" s="444">
        <f t="shared" ca="1" si="201"/>
        <v>-421564172209.17688</v>
      </c>
      <c r="L5319" s="444">
        <f t="shared" ca="1" si="202"/>
        <v>-101596965502411.63</v>
      </c>
      <c r="M5319" s="460">
        <f t="shared" si="204"/>
        <v>0.05</v>
      </c>
      <c r="N5319" s="464">
        <f t="shared" si="205"/>
        <v>212939</v>
      </c>
    </row>
    <row r="5320" spans="7:14" ht="11.25" customHeight="1" x14ac:dyDescent="0.3">
      <c r="G5320" s="459"/>
      <c r="H5320" s="459">
        <v>5313</v>
      </c>
      <c r="I5320" s="444">
        <f t="shared" ca="1" si="203"/>
        <v>-101596965502411.63</v>
      </c>
      <c r="J5320" s="444">
        <f t="array" ref="J5320">IFERROR(INDEX('Retirement Calculator'!J:J,MATCH('Isaac 401k'!N5320,'Retirement Calculator'!A:A,0),0),0)</f>
        <v>0</v>
      </c>
      <c r="K5320" s="444">
        <f t="shared" ca="1" si="201"/>
        <v>-423320689593.38177</v>
      </c>
      <c r="L5320" s="444">
        <f t="shared" ca="1" si="202"/>
        <v>-102020286192005</v>
      </c>
      <c r="M5320" s="460">
        <f t="shared" si="204"/>
        <v>0.05</v>
      </c>
      <c r="N5320" s="464">
        <f t="shared" si="205"/>
        <v>212970</v>
      </c>
    </row>
    <row r="5321" spans="7:14" ht="11.25" customHeight="1" x14ac:dyDescent="0.3">
      <c r="G5321" s="459"/>
      <c r="H5321" s="459">
        <v>5314</v>
      </c>
      <c r="I5321" s="444">
        <f t="shared" ca="1" si="203"/>
        <v>-102020286192005</v>
      </c>
      <c r="J5321" s="444">
        <f t="array" ref="J5321">IFERROR(INDEX('Retirement Calculator'!J:J,MATCH('Isaac 401k'!N5321,'Retirement Calculator'!A:A,0),0),0)</f>
        <v>0</v>
      </c>
      <c r="K5321" s="444">
        <f t="shared" ca="1" si="201"/>
        <v>-425084525800.02081</v>
      </c>
      <c r="L5321" s="444">
        <f t="shared" ca="1" si="202"/>
        <v>-102445370717805.02</v>
      </c>
      <c r="M5321" s="460">
        <f t="shared" si="204"/>
        <v>0.05</v>
      </c>
      <c r="N5321" s="464">
        <f t="shared" si="205"/>
        <v>212998</v>
      </c>
    </row>
    <row r="5322" spans="7:14" ht="11.25" customHeight="1" x14ac:dyDescent="0.3">
      <c r="G5322" s="459"/>
      <c r="H5322" s="459">
        <v>5315</v>
      </c>
      <c r="I5322" s="444">
        <f t="shared" ca="1" si="203"/>
        <v>-102445370717805.02</v>
      </c>
      <c r="J5322" s="444">
        <f t="array" ref="J5322">IFERROR(INDEX('Retirement Calculator'!J:J,MATCH('Isaac 401k'!N5322,'Retirement Calculator'!A:A,0),0),0)</f>
        <v>0</v>
      </c>
      <c r="K5322" s="444">
        <f t="shared" ca="1" si="201"/>
        <v>-426855711324.18756</v>
      </c>
      <c r="L5322" s="444">
        <f t="shared" ca="1" si="202"/>
        <v>-102872226429129.2</v>
      </c>
      <c r="M5322" s="460">
        <f t="shared" si="204"/>
        <v>0.05</v>
      </c>
      <c r="N5322" s="464">
        <f t="shared" si="205"/>
        <v>213029</v>
      </c>
    </row>
    <row r="5323" spans="7:14" ht="11.25" customHeight="1" x14ac:dyDescent="0.3">
      <c r="G5323" s="459"/>
      <c r="H5323" s="459">
        <v>5316</v>
      </c>
      <c r="I5323" s="444">
        <f t="shared" ca="1" si="203"/>
        <v>-102872226429129.2</v>
      </c>
      <c r="J5323" s="444">
        <f t="array" ref="J5323">IFERROR(INDEX('Retirement Calculator'!J:J,MATCH('Isaac 401k'!N5323,'Retirement Calculator'!A:A,0),0),0)</f>
        <v>0</v>
      </c>
      <c r="K5323" s="444">
        <f t="shared" ca="1" si="201"/>
        <v>-428634276788.03833</v>
      </c>
      <c r="L5323" s="444">
        <f t="shared" ca="1" si="202"/>
        <v>-103300860705917.23</v>
      </c>
      <c r="M5323" s="460">
        <f t="shared" si="204"/>
        <v>0.05</v>
      </c>
      <c r="N5323" s="464">
        <f t="shared" si="205"/>
        <v>213059</v>
      </c>
    </row>
    <row r="5324" spans="7:14" ht="11.25" customHeight="1" x14ac:dyDescent="0.3">
      <c r="G5324" s="459"/>
      <c r="H5324" s="459">
        <v>5317</v>
      </c>
      <c r="I5324" s="444">
        <f t="shared" ca="1" si="203"/>
        <v>-103300860705917.23</v>
      </c>
      <c r="J5324" s="444">
        <f t="array" ref="J5324">IFERROR(INDEX('Retirement Calculator'!J:J,MATCH('Isaac 401k'!N5324,'Retirement Calculator'!A:A,0),0),0)</f>
        <v>0</v>
      </c>
      <c r="K5324" s="444">
        <f t="shared" ca="1" si="201"/>
        <v>-430420252941.32178</v>
      </c>
      <c r="L5324" s="444">
        <f t="shared" ca="1" si="202"/>
        <v>-103731280958858.56</v>
      </c>
      <c r="M5324" s="460">
        <f t="shared" si="204"/>
        <v>0.05</v>
      </c>
      <c r="N5324" s="464">
        <f t="shared" si="205"/>
        <v>213090</v>
      </c>
    </row>
    <row r="5325" spans="7:14" ht="11.25" customHeight="1" x14ac:dyDescent="0.3">
      <c r="G5325" s="459"/>
      <c r="H5325" s="459">
        <v>5318</v>
      </c>
      <c r="I5325" s="444">
        <f t="shared" ca="1" si="203"/>
        <v>-103731280958858.56</v>
      </c>
      <c r="J5325" s="444">
        <f t="array" ref="J5325">IFERROR(INDEX('Retirement Calculator'!J:J,MATCH('Isaac 401k'!N5325,'Retirement Calculator'!A:A,0),0),0)</f>
        <v>0</v>
      </c>
      <c r="K5325" s="444">
        <f t="shared" ca="1" si="201"/>
        <v>-432213670661.91064</v>
      </c>
      <c r="L5325" s="444">
        <f t="shared" ca="1" si="202"/>
        <v>-104163494629520.47</v>
      </c>
      <c r="M5325" s="460">
        <f t="shared" si="204"/>
        <v>0.05</v>
      </c>
      <c r="N5325" s="464">
        <f t="shared" si="205"/>
        <v>213120</v>
      </c>
    </row>
    <row r="5326" spans="7:14" ht="11.25" customHeight="1" x14ac:dyDescent="0.3">
      <c r="G5326" s="459"/>
      <c r="H5326" s="459">
        <v>5319</v>
      </c>
      <c r="I5326" s="444">
        <f t="shared" ca="1" si="203"/>
        <v>-104163494629520.47</v>
      </c>
      <c r="J5326" s="444">
        <f t="array" ref="J5326">IFERROR(INDEX('Retirement Calculator'!J:J,MATCH('Isaac 401k'!N5326,'Retirement Calculator'!A:A,0),0),0)</f>
        <v>0</v>
      </c>
      <c r="K5326" s="444">
        <f t="shared" ca="1" si="201"/>
        <v>-434014560956.33527</v>
      </c>
      <c r="L5326" s="444">
        <f t="shared" ca="1" si="202"/>
        <v>-104597509190476.8</v>
      </c>
      <c r="M5326" s="460">
        <f t="shared" si="204"/>
        <v>0.05</v>
      </c>
      <c r="N5326" s="464">
        <f t="shared" si="205"/>
        <v>213151</v>
      </c>
    </row>
    <row r="5327" spans="7:14" ht="11.25" customHeight="1" x14ac:dyDescent="0.3">
      <c r="G5327" s="459"/>
      <c r="H5327" s="459">
        <v>5320</v>
      </c>
      <c r="I5327" s="444">
        <f t="shared" ca="1" si="203"/>
        <v>-104597509190476.8</v>
      </c>
      <c r="J5327" s="444">
        <f t="array" ref="J5327">IFERROR(INDEX('Retirement Calculator'!J:J,MATCH('Isaac 401k'!N5327,'Retirement Calculator'!A:A,0),0),0)</f>
        <v>0</v>
      </c>
      <c r="K5327" s="444">
        <f t="shared" ca="1" si="201"/>
        <v>-435822954960.32001</v>
      </c>
      <c r="L5327" s="444">
        <f t="shared" ca="1" si="202"/>
        <v>-105033332145437.11</v>
      </c>
      <c r="M5327" s="460">
        <f t="shared" si="204"/>
        <v>0.05</v>
      </c>
      <c r="N5327" s="464">
        <f t="shared" si="205"/>
        <v>213182</v>
      </c>
    </row>
    <row r="5328" spans="7:14" ht="11.25" customHeight="1" x14ac:dyDescent="0.3">
      <c r="G5328" s="459"/>
      <c r="H5328" s="459">
        <v>5321</v>
      </c>
      <c r="I5328" s="444">
        <f t="shared" ca="1" si="203"/>
        <v>-105033332145437.11</v>
      </c>
      <c r="J5328" s="444">
        <f t="array" ref="J5328">IFERROR(INDEX('Retirement Calculator'!J:J,MATCH('Isaac 401k'!N5328,'Retirement Calculator'!A:A,0),0),0)</f>
        <v>0</v>
      </c>
      <c r="K5328" s="444">
        <f t="shared" ca="1" si="201"/>
        <v>-437638883939.32129</v>
      </c>
      <c r="L5328" s="444">
        <f t="shared" ca="1" si="202"/>
        <v>-105470971029376.44</v>
      </c>
      <c r="M5328" s="460">
        <f t="shared" si="204"/>
        <v>0.05</v>
      </c>
      <c r="N5328" s="464">
        <f t="shared" si="205"/>
        <v>213212</v>
      </c>
    </row>
    <row r="5329" spans="7:14" ht="11.25" customHeight="1" x14ac:dyDescent="0.3">
      <c r="G5329" s="459"/>
      <c r="H5329" s="459">
        <v>5322</v>
      </c>
      <c r="I5329" s="444">
        <f t="shared" ca="1" si="203"/>
        <v>-105470971029376.44</v>
      </c>
      <c r="J5329" s="444">
        <f t="array" ref="J5329">IFERROR(INDEX('Retirement Calculator'!J:J,MATCH('Isaac 401k'!N5329,'Retirement Calculator'!A:A,0),0),0)</f>
        <v>0</v>
      </c>
      <c r="K5329" s="444">
        <f t="shared" ca="1" si="201"/>
        <v>-439462379289.06848</v>
      </c>
      <c r="L5329" s="444">
        <f t="shared" ca="1" si="202"/>
        <v>-105910433408665.5</v>
      </c>
      <c r="M5329" s="460">
        <f t="shared" si="204"/>
        <v>0.05</v>
      </c>
      <c r="N5329" s="464">
        <f t="shared" si="205"/>
        <v>213243</v>
      </c>
    </row>
    <row r="5330" spans="7:14" ht="11.25" customHeight="1" x14ac:dyDescent="0.3">
      <c r="G5330" s="459"/>
      <c r="H5330" s="459">
        <v>5323</v>
      </c>
      <c r="I5330" s="444">
        <f t="shared" ca="1" si="203"/>
        <v>-105910433408665.5</v>
      </c>
      <c r="J5330" s="444">
        <f t="array" ref="J5330">IFERROR(INDEX('Retirement Calculator'!J:J,MATCH('Isaac 401k'!N5330,'Retirement Calculator'!A:A,0),0),0)</f>
        <v>0</v>
      </c>
      <c r="K5330" s="444">
        <f t="shared" ca="1" si="201"/>
        <v>-441293472536.10626</v>
      </c>
      <c r="L5330" s="444">
        <f t="shared" ca="1" si="202"/>
        <v>-106351726881201.61</v>
      </c>
      <c r="M5330" s="460">
        <f t="shared" si="204"/>
        <v>0.05</v>
      </c>
      <c r="N5330" s="464">
        <f t="shared" si="205"/>
        <v>213273</v>
      </c>
    </row>
    <row r="5331" spans="7:14" ht="11.25" customHeight="1" x14ac:dyDescent="0.3">
      <c r="G5331" s="459"/>
      <c r="H5331" s="459">
        <v>5324</v>
      </c>
      <c r="I5331" s="444">
        <f t="shared" ca="1" si="203"/>
        <v>-106351726881201.61</v>
      </c>
      <c r="J5331" s="444">
        <f t="array" ref="J5331">IFERROR(INDEX('Retirement Calculator'!J:J,MATCH('Isaac 401k'!N5331,'Retirement Calculator'!A:A,0),0),0)</f>
        <v>0</v>
      </c>
      <c r="K5331" s="444">
        <f t="shared" ca="1" si="201"/>
        <v>-443132195338.34003</v>
      </c>
      <c r="L5331" s="444">
        <f t="shared" ca="1" si="202"/>
        <v>-106794859076539.95</v>
      </c>
      <c r="M5331" s="460">
        <f t="shared" si="204"/>
        <v>0.05</v>
      </c>
      <c r="N5331" s="464">
        <f t="shared" si="205"/>
        <v>213304</v>
      </c>
    </row>
    <row r="5332" spans="7:14" ht="11.25" customHeight="1" x14ac:dyDescent="0.3">
      <c r="G5332" s="459"/>
      <c r="H5332" s="459">
        <v>5325</v>
      </c>
      <c r="I5332" s="444">
        <f t="shared" ca="1" si="203"/>
        <v>-106794859076539.95</v>
      </c>
      <c r="J5332" s="444">
        <f t="array" ref="J5332">IFERROR(INDEX('Retirement Calculator'!J:J,MATCH('Isaac 401k'!N5332,'Retirement Calculator'!A:A,0),0),0)</f>
        <v>0</v>
      </c>
      <c r="K5332" s="444">
        <f t="shared" ca="1" si="201"/>
        <v>-444978579485.58313</v>
      </c>
      <c r="L5332" s="444">
        <f t="shared" ca="1" si="202"/>
        <v>-107239837656025.53</v>
      </c>
      <c r="M5332" s="460">
        <f t="shared" si="204"/>
        <v>0.05</v>
      </c>
      <c r="N5332" s="464">
        <f t="shared" si="205"/>
        <v>213335</v>
      </c>
    </row>
    <row r="5333" spans="7:14" ht="11.25" customHeight="1" x14ac:dyDescent="0.3">
      <c r="G5333" s="459"/>
      <c r="H5333" s="459">
        <v>5326</v>
      </c>
      <c r="I5333" s="444">
        <f t="shared" ca="1" si="203"/>
        <v>-107239837656025.53</v>
      </c>
      <c r="J5333" s="444">
        <f t="array" ref="J5333">IFERROR(INDEX('Retirement Calculator'!J:J,MATCH('Isaac 401k'!N5333,'Retirement Calculator'!A:A,0),0),0)</f>
        <v>0</v>
      </c>
      <c r="K5333" s="444">
        <f t="shared" ca="1" si="201"/>
        <v>-446832656900.10638</v>
      </c>
      <c r="L5333" s="444">
        <f t="shared" ca="1" si="202"/>
        <v>-107686670312925.64</v>
      </c>
      <c r="M5333" s="460">
        <f t="shared" si="204"/>
        <v>0.05</v>
      </c>
      <c r="N5333" s="464">
        <f t="shared" si="205"/>
        <v>213364</v>
      </c>
    </row>
    <row r="5334" spans="7:14" ht="11.25" customHeight="1" x14ac:dyDescent="0.3">
      <c r="G5334" s="459"/>
      <c r="H5334" s="459">
        <v>5327</v>
      </c>
      <c r="I5334" s="444">
        <f t="shared" ca="1" si="203"/>
        <v>-107686670312925.64</v>
      </c>
      <c r="J5334" s="444">
        <f t="array" ref="J5334">IFERROR(INDEX('Retirement Calculator'!J:J,MATCH('Isaac 401k'!N5334,'Retirement Calculator'!A:A,0),0),0)</f>
        <v>0</v>
      </c>
      <c r="K5334" s="444">
        <f t="shared" ca="1" si="201"/>
        <v>-448694459637.19019</v>
      </c>
      <c r="L5334" s="444">
        <f t="shared" ca="1" si="202"/>
        <v>-108135364772562.83</v>
      </c>
      <c r="M5334" s="460">
        <f t="shared" si="204"/>
        <v>0.05</v>
      </c>
      <c r="N5334" s="464">
        <f t="shared" si="205"/>
        <v>213395</v>
      </c>
    </row>
    <row r="5335" spans="7:14" ht="11.25" customHeight="1" x14ac:dyDescent="0.3">
      <c r="G5335" s="459"/>
      <c r="H5335" s="459">
        <v>5328</v>
      </c>
      <c r="I5335" s="444">
        <f t="shared" ca="1" si="203"/>
        <v>-108135364772562.83</v>
      </c>
      <c r="J5335" s="444">
        <f t="array" ref="J5335">IFERROR(INDEX('Retirement Calculator'!J:J,MATCH('Isaac 401k'!N5335,'Retirement Calculator'!A:A,0),0),0)</f>
        <v>0</v>
      </c>
      <c r="K5335" s="444">
        <f t="shared" ca="1" si="201"/>
        <v>-450564019885.67847</v>
      </c>
      <c r="L5335" s="444">
        <f t="shared" ca="1" si="202"/>
        <v>-108585928792448.5</v>
      </c>
      <c r="M5335" s="460">
        <f t="shared" si="204"/>
        <v>0.05</v>
      </c>
      <c r="N5335" s="464">
        <f t="shared" si="205"/>
        <v>213425</v>
      </c>
    </row>
    <row r="5336" spans="7:14" ht="11.25" customHeight="1" x14ac:dyDescent="0.3">
      <c r="G5336" s="459"/>
      <c r="H5336" s="459">
        <v>5329</v>
      </c>
      <c r="I5336" s="444">
        <f t="shared" ca="1" si="203"/>
        <v>-108585928792448.5</v>
      </c>
      <c r="J5336" s="444">
        <f t="array" ref="J5336">IFERROR(INDEX('Retirement Calculator'!J:J,MATCH('Isaac 401k'!N5336,'Retirement Calculator'!A:A,0),0),0)</f>
        <v>0</v>
      </c>
      <c r="K5336" s="444">
        <f t="shared" ca="1" si="201"/>
        <v>-452441369968.5354</v>
      </c>
      <c r="L5336" s="444">
        <f t="shared" ca="1" si="202"/>
        <v>-109038370162417.03</v>
      </c>
      <c r="M5336" s="460">
        <f t="shared" si="204"/>
        <v>0.05</v>
      </c>
      <c r="N5336" s="464">
        <f t="shared" si="205"/>
        <v>213456</v>
      </c>
    </row>
    <row r="5337" spans="7:14" ht="11.25" customHeight="1" x14ac:dyDescent="0.3">
      <c r="G5337" s="459"/>
      <c r="H5337" s="459">
        <v>5330</v>
      </c>
      <c r="I5337" s="444">
        <f t="shared" ca="1" si="203"/>
        <v>-109038370162417.03</v>
      </c>
      <c r="J5337" s="444">
        <f t="array" ref="J5337">IFERROR(INDEX('Retirement Calculator'!J:J,MATCH('Isaac 401k'!N5337,'Retirement Calculator'!A:A,0),0),0)</f>
        <v>0</v>
      </c>
      <c r="K5337" s="444">
        <f t="shared" ca="1" si="201"/>
        <v>-454326542343.4043</v>
      </c>
      <c r="L5337" s="444">
        <f t="shared" ca="1" si="202"/>
        <v>-109492696704760.44</v>
      </c>
      <c r="M5337" s="460">
        <f t="shared" si="204"/>
        <v>0.05</v>
      </c>
      <c r="N5337" s="464">
        <f t="shared" si="205"/>
        <v>213486</v>
      </c>
    </row>
    <row r="5338" spans="7:14" ht="11.25" customHeight="1" x14ac:dyDescent="0.3">
      <c r="G5338" s="459"/>
      <c r="H5338" s="459">
        <v>5331</v>
      </c>
      <c r="I5338" s="444">
        <f t="shared" ca="1" si="203"/>
        <v>-109492696704760.44</v>
      </c>
      <c r="J5338" s="444">
        <f t="array" ref="J5338">IFERROR(INDEX('Retirement Calculator'!J:J,MATCH('Isaac 401k'!N5338,'Retirement Calculator'!A:A,0),0),0)</f>
        <v>0</v>
      </c>
      <c r="K5338" s="444">
        <f t="shared" ca="1" si="201"/>
        <v>-456219569603.16846</v>
      </c>
      <c r="L5338" s="444">
        <f t="shared" ca="1" si="202"/>
        <v>-109948916274363.61</v>
      </c>
      <c r="M5338" s="460">
        <f t="shared" si="204"/>
        <v>0.05</v>
      </c>
      <c r="N5338" s="464">
        <f t="shared" si="205"/>
        <v>213517</v>
      </c>
    </row>
    <row r="5339" spans="7:14" ht="11.25" customHeight="1" x14ac:dyDescent="0.3">
      <c r="G5339" s="459"/>
      <c r="H5339" s="459">
        <v>5332</v>
      </c>
      <c r="I5339" s="444">
        <f t="shared" ca="1" si="203"/>
        <v>-109948916274363.61</v>
      </c>
      <c r="J5339" s="444">
        <f t="array" ref="J5339">IFERROR(INDEX('Retirement Calculator'!J:J,MATCH('Isaac 401k'!N5339,'Retirement Calculator'!A:A,0),0),0)</f>
        <v>0</v>
      </c>
      <c r="K5339" s="444">
        <f t="shared" ca="1" si="201"/>
        <v>-458120484476.51495</v>
      </c>
      <c r="L5339" s="444">
        <f t="shared" ca="1" si="202"/>
        <v>-110407036758840.13</v>
      </c>
      <c r="M5339" s="460">
        <f t="shared" si="204"/>
        <v>0.05</v>
      </c>
      <c r="N5339" s="464">
        <f t="shared" si="205"/>
        <v>213548</v>
      </c>
    </row>
    <row r="5340" spans="7:14" ht="11.25" customHeight="1" x14ac:dyDescent="0.3">
      <c r="G5340" s="459"/>
      <c r="H5340" s="459">
        <v>5333</v>
      </c>
      <c r="I5340" s="444">
        <f t="shared" ca="1" si="203"/>
        <v>-110407036758840.13</v>
      </c>
      <c r="J5340" s="444">
        <f t="array" ref="J5340">IFERROR(INDEX('Retirement Calculator'!J:J,MATCH('Isaac 401k'!N5340,'Retirement Calculator'!A:A,0),0),0)</f>
        <v>0</v>
      </c>
      <c r="K5340" s="444">
        <f t="shared" ca="1" si="201"/>
        <v>-460029319828.50049</v>
      </c>
      <c r="L5340" s="444">
        <f t="shared" ca="1" si="202"/>
        <v>-110867066078668.63</v>
      </c>
      <c r="M5340" s="460">
        <f t="shared" si="204"/>
        <v>0.05</v>
      </c>
      <c r="N5340" s="464">
        <f t="shared" si="205"/>
        <v>213578</v>
      </c>
    </row>
    <row r="5341" spans="7:14" ht="11.25" customHeight="1" x14ac:dyDescent="0.3">
      <c r="G5341" s="459"/>
      <c r="H5341" s="459">
        <v>5334</v>
      </c>
      <c r="I5341" s="444">
        <f t="shared" ca="1" si="203"/>
        <v>-110867066078668.63</v>
      </c>
      <c r="J5341" s="444">
        <f t="array" ref="J5341">IFERROR(INDEX('Retirement Calculator'!J:J,MATCH('Isaac 401k'!N5341,'Retirement Calculator'!A:A,0),0),0)</f>
        <v>0</v>
      </c>
      <c r="K5341" s="444">
        <f t="shared" ca="1" si="201"/>
        <v>-461946108661.11926</v>
      </c>
      <c r="L5341" s="444">
        <f t="shared" ca="1" si="202"/>
        <v>-111329012187329.75</v>
      </c>
      <c r="M5341" s="460">
        <f t="shared" si="204"/>
        <v>0.05</v>
      </c>
      <c r="N5341" s="464">
        <f t="shared" si="205"/>
        <v>213609</v>
      </c>
    </row>
    <row r="5342" spans="7:14" ht="11.25" customHeight="1" x14ac:dyDescent="0.3">
      <c r="G5342" s="459"/>
      <c r="H5342" s="459">
        <v>5335</v>
      </c>
      <c r="I5342" s="444">
        <f t="shared" ca="1" si="203"/>
        <v>-111329012187329.75</v>
      </c>
      <c r="J5342" s="444">
        <f t="array" ref="J5342">IFERROR(INDEX('Retirement Calculator'!J:J,MATCH('Isaac 401k'!N5342,'Retirement Calculator'!A:A,0),0),0)</f>
        <v>0</v>
      </c>
      <c r="K5342" s="444">
        <f t="shared" ca="1" si="201"/>
        <v>-463870884113.87396</v>
      </c>
      <c r="L5342" s="444">
        <f t="shared" ca="1" si="202"/>
        <v>-111792883071443.63</v>
      </c>
      <c r="M5342" s="460">
        <f t="shared" si="204"/>
        <v>0.05</v>
      </c>
      <c r="N5342" s="464">
        <f t="shared" si="205"/>
        <v>213639</v>
      </c>
    </row>
    <row r="5343" spans="7:14" ht="11.25" customHeight="1" x14ac:dyDescent="0.3">
      <c r="G5343" s="459"/>
      <c r="H5343" s="459">
        <v>5336</v>
      </c>
      <c r="I5343" s="444">
        <f t="shared" ca="1" si="203"/>
        <v>-111792883071443.63</v>
      </c>
      <c r="J5343" s="444">
        <f t="array" ref="J5343">IFERROR(INDEX('Retirement Calculator'!J:J,MATCH('Isaac 401k'!N5343,'Retirement Calculator'!A:A,0),0),0)</f>
        <v>0</v>
      </c>
      <c r="K5343" s="444">
        <f t="shared" ca="1" si="201"/>
        <v>-465803679464.34845</v>
      </c>
      <c r="L5343" s="444">
        <f t="shared" ca="1" si="202"/>
        <v>-112258686750907.97</v>
      </c>
      <c r="M5343" s="460">
        <f t="shared" si="204"/>
        <v>0.05</v>
      </c>
      <c r="N5343" s="464">
        <f t="shared" si="205"/>
        <v>213670</v>
      </c>
    </row>
    <row r="5344" spans="7:14" ht="11.25" customHeight="1" x14ac:dyDescent="0.3">
      <c r="G5344" s="459"/>
      <c r="H5344" s="459">
        <v>5337</v>
      </c>
      <c r="I5344" s="444">
        <f t="shared" ca="1" si="203"/>
        <v>-112258686750907.97</v>
      </c>
      <c r="J5344" s="444">
        <f t="array" ref="J5344">IFERROR(INDEX('Retirement Calculator'!J:J,MATCH('Isaac 401k'!N5344,'Retirement Calculator'!A:A,0),0),0)</f>
        <v>0</v>
      </c>
      <c r="K5344" s="444">
        <f t="shared" ca="1" si="201"/>
        <v>-467744528128.7832</v>
      </c>
      <c r="L5344" s="444">
        <f t="shared" ca="1" si="202"/>
        <v>-112726431279036.75</v>
      </c>
      <c r="M5344" s="460">
        <f t="shared" si="204"/>
        <v>0.05</v>
      </c>
      <c r="N5344" s="464">
        <f t="shared" si="205"/>
        <v>213701</v>
      </c>
    </row>
    <row r="5345" spans="7:14" ht="11.25" customHeight="1" x14ac:dyDescent="0.3">
      <c r="G5345" s="459"/>
      <c r="H5345" s="459">
        <v>5338</v>
      </c>
      <c r="I5345" s="444">
        <f t="shared" ca="1" si="203"/>
        <v>-112726431279036.75</v>
      </c>
      <c r="J5345" s="444">
        <f t="array" ref="J5345">IFERROR(INDEX('Retirement Calculator'!J:J,MATCH('Isaac 401k'!N5345,'Retirement Calculator'!A:A,0),0),0)</f>
        <v>0</v>
      </c>
      <c r="K5345" s="444">
        <f t="shared" ca="1" si="201"/>
        <v>-469693463662.65308</v>
      </c>
      <c r="L5345" s="444">
        <f t="shared" ca="1" si="202"/>
        <v>-113196124742699.41</v>
      </c>
      <c r="M5345" s="460">
        <f t="shared" si="204"/>
        <v>0.05</v>
      </c>
      <c r="N5345" s="464">
        <f t="shared" si="205"/>
        <v>213729</v>
      </c>
    </row>
    <row r="5346" spans="7:14" ht="11.25" customHeight="1" x14ac:dyDescent="0.3">
      <c r="G5346" s="459"/>
      <c r="H5346" s="459">
        <v>5339</v>
      </c>
      <c r="I5346" s="444">
        <f t="shared" ca="1" si="203"/>
        <v>-113196124742699.41</v>
      </c>
      <c r="J5346" s="444">
        <f t="array" ref="J5346">IFERROR(INDEX('Retirement Calculator'!J:J,MATCH('Isaac 401k'!N5346,'Retirement Calculator'!A:A,0),0),0)</f>
        <v>0</v>
      </c>
      <c r="K5346" s="444">
        <f t="shared" ca="1" si="201"/>
        <v>-471650519761.24756</v>
      </c>
      <c r="L5346" s="444">
        <f t="shared" ca="1" si="202"/>
        <v>-113667775262460.66</v>
      </c>
      <c r="M5346" s="460">
        <f t="shared" si="204"/>
        <v>0.05</v>
      </c>
      <c r="N5346" s="464">
        <f t="shared" si="205"/>
        <v>213760</v>
      </c>
    </row>
    <row r="5347" spans="7:14" ht="11.25" customHeight="1" x14ac:dyDescent="0.3">
      <c r="G5347" s="459"/>
      <c r="H5347" s="459">
        <v>5340</v>
      </c>
      <c r="I5347" s="444">
        <f t="shared" ca="1" si="203"/>
        <v>-113667775262460.66</v>
      </c>
      <c r="J5347" s="444">
        <f t="array" ref="J5347">IFERROR(INDEX('Retirement Calculator'!J:J,MATCH('Isaac 401k'!N5347,'Retirement Calculator'!A:A,0),0),0)</f>
        <v>0</v>
      </c>
      <c r="K5347" s="444">
        <f t="shared" ca="1" si="201"/>
        <v>-473615730260.25275</v>
      </c>
      <c r="L5347" s="444">
        <f t="shared" ca="1" si="202"/>
        <v>-114141390992720.91</v>
      </c>
      <c r="M5347" s="460">
        <f t="shared" si="204"/>
        <v>0.05</v>
      </c>
      <c r="N5347" s="464">
        <f t="shared" si="205"/>
        <v>213790</v>
      </c>
    </row>
    <row r="5348" spans="7:14" ht="11.25" customHeight="1" x14ac:dyDescent="0.3">
      <c r="G5348" s="459"/>
      <c r="H5348" s="459">
        <v>5341</v>
      </c>
      <c r="I5348" s="444">
        <f t="shared" ca="1" si="203"/>
        <v>-114141390992720.91</v>
      </c>
      <c r="J5348" s="444">
        <f t="array" ref="J5348">IFERROR(INDEX('Retirement Calculator'!J:J,MATCH('Isaac 401k'!N5348,'Retirement Calculator'!A:A,0),0),0)</f>
        <v>0</v>
      </c>
      <c r="K5348" s="444">
        <f t="shared" ca="1" si="201"/>
        <v>-475589129136.3371</v>
      </c>
      <c r="L5348" s="444">
        <f t="shared" ca="1" si="202"/>
        <v>-114616980121857.25</v>
      </c>
      <c r="M5348" s="460">
        <f t="shared" si="204"/>
        <v>0.05</v>
      </c>
      <c r="N5348" s="464">
        <f t="shared" si="205"/>
        <v>213821</v>
      </c>
    </row>
    <row r="5349" spans="7:14" ht="11.25" customHeight="1" x14ac:dyDescent="0.3">
      <c r="G5349" s="459"/>
      <c r="H5349" s="459">
        <v>5342</v>
      </c>
      <c r="I5349" s="444">
        <f t="shared" ca="1" si="203"/>
        <v>-114616980121857.25</v>
      </c>
      <c r="J5349" s="444">
        <f t="array" ref="J5349">IFERROR(INDEX('Retirement Calculator'!J:J,MATCH('Isaac 401k'!N5349,'Retirement Calculator'!A:A,0),0),0)</f>
        <v>0</v>
      </c>
      <c r="K5349" s="444">
        <f t="shared" ca="1" si="201"/>
        <v>-477570750507.73853</v>
      </c>
      <c r="L5349" s="444">
        <f t="shared" ca="1" si="202"/>
        <v>-115094550872364.98</v>
      </c>
      <c r="M5349" s="460">
        <f t="shared" si="204"/>
        <v>0.05</v>
      </c>
      <c r="N5349" s="464">
        <f t="shared" si="205"/>
        <v>213851</v>
      </c>
    </row>
    <row r="5350" spans="7:14" ht="11.25" customHeight="1" x14ac:dyDescent="0.3">
      <c r="G5350" s="459"/>
      <c r="H5350" s="459">
        <v>5343</v>
      </c>
      <c r="I5350" s="444">
        <f t="shared" ca="1" si="203"/>
        <v>-115094550872364.98</v>
      </c>
      <c r="J5350" s="444">
        <f t="array" ref="J5350">IFERROR(INDEX('Retirement Calculator'!J:J,MATCH('Isaac 401k'!N5350,'Retirement Calculator'!A:A,0),0),0)</f>
        <v>0</v>
      </c>
      <c r="K5350" s="444">
        <f t="shared" ca="1" si="201"/>
        <v>-479560628634.85406</v>
      </c>
      <c r="L5350" s="444">
        <f t="shared" ca="1" si="202"/>
        <v>-115574111500999.84</v>
      </c>
      <c r="M5350" s="460">
        <f t="shared" si="204"/>
        <v>0.05</v>
      </c>
      <c r="N5350" s="464">
        <f t="shared" si="205"/>
        <v>213882</v>
      </c>
    </row>
    <row r="5351" spans="7:14" ht="11.25" customHeight="1" x14ac:dyDescent="0.3">
      <c r="G5351" s="459"/>
      <c r="H5351" s="459">
        <v>5344</v>
      </c>
      <c r="I5351" s="444">
        <f t="shared" ca="1" si="203"/>
        <v>-115574111500999.84</v>
      </c>
      <c r="J5351" s="444">
        <f t="array" ref="J5351">IFERROR(INDEX('Retirement Calculator'!J:J,MATCH('Isaac 401k'!N5351,'Retirement Calculator'!A:A,0),0),0)</f>
        <v>0</v>
      </c>
      <c r="K5351" s="444">
        <f t="shared" ca="1" si="201"/>
        <v>-481558797920.83258</v>
      </c>
      <c r="L5351" s="444">
        <f t="shared" ca="1" si="202"/>
        <v>-116055670298920.67</v>
      </c>
      <c r="M5351" s="460">
        <f t="shared" si="204"/>
        <v>0.05</v>
      </c>
      <c r="N5351" s="464">
        <f t="shared" si="205"/>
        <v>213913</v>
      </c>
    </row>
    <row r="5352" spans="7:14" ht="11.25" customHeight="1" x14ac:dyDescent="0.3">
      <c r="G5352" s="459"/>
      <c r="H5352" s="459">
        <v>5345</v>
      </c>
      <c r="I5352" s="444">
        <f t="shared" ca="1" si="203"/>
        <v>-116055670298920.67</v>
      </c>
      <c r="J5352" s="444">
        <f t="array" ref="J5352">IFERROR(INDEX('Retirement Calculator'!J:J,MATCH('Isaac 401k'!N5352,'Retirement Calculator'!A:A,0),0),0)</f>
        <v>0</v>
      </c>
      <c r="K5352" s="444">
        <f t="shared" ca="1" si="201"/>
        <v>-483565292912.16949</v>
      </c>
      <c r="L5352" s="444">
        <f t="shared" ca="1" si="202"/>
        <v>-116539235591832.84</v>
      </c>
      <c r="M5352" s="460">
        <f t="shared" si="204"/>
        <v>0.05</v>
      </c>
      <c r="N5352" s="464">
        <f t="shared" si="205"/>
        <v>213943</v>
      </c>
    </row>
    <row r="5353" spans="7:14" ht="11.25" customHeight="1" x14ac:dyDescent="0.3">
      <c r="G5353" s="459"/>
      <c r="H5353" s="459">
        <v>5346</v>
      </c>
      <c r="I5353" s="444">
        <f t="shared" ca="1" si="203"/>
        <v>-116539235591832.84</v>
      </c>
      <c r="J5353" s="444">
        <f t="array" ref="J5353">IFERROR(INDEX('Retirement Calculator'!J:J,MATCH('Isaac 401k'!N5353,'Retirement Calculator'!A:A,0),0),0)</f>
        <v>0</v>
      </c>
      <c r="K5353" s="444">
        <f t="shared" ca="1" si="201"/>
        <v>-485580148299.30353</v>
      </c>
      <c r="L5353" s="444">
        <f t="shared" ca="1" si="202"/>
        <v>-117024815740132.14</v>
      </c>
      <c r="M5353" s="460">
        <f t="shared" si="204"/>
        <v>0.05</v>
      </c>
      <c r="N5353" s="464">
        <f t="shared" si="205"/>
        <v>213974</v>
      </c>
    </row>
    <row r="5354" spans="7:14" ht="11.25" customHeight="1" x14ac:dyDescent="0.3">
      <c r="G5354" s="459"/>
      <c r="H5354" s="459">
        <v>5347</v>
      </c>
      <c r="I5354" s="444">
        <f t="shared" ca="1" si="203"/>
        <v>-117024815740132.14</v>
      </c>
      <c r="J5354" s="444">
        <f t="array" ref="J5354">IFERROR(INDEX('Retirement Calculator'!J:J,MATCH('Isaac 401k'!N5354,'Retirement Calculator'!A:A,0),0),0)</f>
        <v>0</v>
      </c>
      <c r="K5354" s="444">
        <f t="shared" ca="1" si="201"/>
        <v>-487603398917.21722</v>
      </c>
      <c r="L5354" s="444">
        <f t="shared" ca="1" si="202"/>
        <v>-117512419139049.36</v>
      </c>
      <c r="M5354" s="460">
        <f t="shared" si="204"/>
        <v>0.05</v>
      </c>
      <c r="N5354" s="464">
        <f t="shared" si="205"/>
        <v>214004</v>
      </c>
    </row>
    <row r="5355" spans="7:14" ht="11.25" customHeight="1" x14ac:dyDescent="0.3">
      <c r="G5355" s="459"/>
      <c r="H5355" s="459">
        <v>5348</v>
      </c>
      <c r="I5355" s="444">
        <f t="shared" ca="1" si="203"/>
        <v>-117512419139049.36</v>
      </c>
      <c r="J5355" s="444">
        <f t="array" ref="J5355">IFERROR(INDEX('Retirement Calculator'!J:J,MATCH('Isaac 401k'!N5355,'Retirement Calculator'!A:A,0),0),0)</f>
        <v>0</v>
      </c>
      <c r="K5355" s="444">
        <f t="shared" ca="1" si="201"/>
        <v>-489635079746.03894</v>
      </c>
      <c r="L5355" s="444">
        <f t="shared" ca="1" si="202"/>
        <v>-118002054218795.39</v>
      </c>
      <c r="M5355" s="460">
        <f t="shared" si="204"/>
        <v>0.05</v>
      </c>
      <c r="N5355" s="464">
        <f t="shared" si="205"/>
        <v>214035</v>
      </c>
    </row>
    <row r="5356" spans="7:14" ht="11.25" customHeight="1" x14ac:dyDescent="0.3">
      <c r="G5356" s="459"/>
      <c r="H5356" s="459">
        <v>5349</v>
      </c>
      <c r="I5356" s="444">
        <f t="shared" ca="1" si="203"/>
        <v>-118002054218795.39</v>
      </c>
      <c r="J5356" s="444">
        <f t="array" ref="J5356">IFERROR(INDEX('Retirement Calculator'!J:J,MATCH('Isaac 401k'!N5356,'Retirement Calculator'!A:A,0),0),0)</f>
        <v>0</v>
      </c>
      <c r="K5356" s="444">
        <f t="shared" ca="1" si="201"/>
        <v>-491675225911.64746</v>
      </c>
      <c r="L5356" s="444">
        <f t="shared" ca="1" si="202"/>
        <v>-118493729444707.03</v>
      </c>
      <c r="M5356" s="460">
        <f t="shared" si="204"/>
        <v>0.05</v>
      </c>
      <c r="N5356" s="464">
        <f t="shared" si="205"/>
        <v>214066</v>
      </c>
    </row>
    <row r="5357" spans="7:14" ht="11.25" customHeight="1" x14ac:dyDescent="0.3">
      <c r="G5357" s="459"/>
      <c r="H5357" s="459">
        <v>5350</v>
      </c>
      <c r="I5357" s="444">
        <f t="shared" ca="1" si="203"/>
        <v>-118493729444707.03</v>
      </c>
      <c r="J5357" s="444">
        <f t="array" ref="J5357">IFERROR(INDEX('Retirement Calculator'!J:J,MATCH('Isaac 401k'!N5357,'Retirement Calculator'!A:A,0),0),0)</f>
        <v>0</v>
      </c>
      <c r="K5357" s="444">
        <f t="shared" ca="1" si="201"/>
        <v>-493723872686.2793</v>
      </c>
      <c r="L5357" s="444">
        <f t="shared" ca="1" si="202"/>
        <v>-118987453317393.31</v>
      </c>
      <c r="M5357" s="460">
        <f t="shared" si="204"/>
        <v>0.05</v>
      </c>
      <c r="N5357" s="464">
        <f t="shared" si="205"/>
        <v>214094</v>
      </c>
    </row>
    <row r="5358" spans="7:14" ht="11.25" customHeight="1" x14ac:dyDescent="0.3">
      <c r="G5358" s="459"/>
      <c r="H5358" s="459">
        <v>5351</v>
      </c>
      <c r="I5358" s="444">
        <f t="shared" ca="1" si="203"/>
        <v>-118987453317393.31</v>
      </c>
      <c r="J5358" s="444">
        <f t="array" ref="J5358">IFERROR(INDEX('Retirement Calculator'!J:J,MATCH('Isaac 401k'!N5358,'Retirement Calculator'!A:A,0),0),0)</f>
        <v>0</v>
      </c>
      <c r="K5358" s="444">
        <f t="shared" ca="1" si="201"/>
        <v>-495781055489.13879</v>
      </c>
      <c r="L5358" s="444">
        <f t="shared" ca="1" si="202"/>
        <v>-119483234372882.45</v>
      </c>
      <c r="M5358" s="460">
        <f t="shared" si="204"/>
        <v>0.05</v>
      </c>
      <c r="N5358" s="464">
        <f t="shared" si="205"/>
        <v>214125</v>
      </c>
    </row>
    <row r="5359" spans="7:14" ht="11.25" customHeight="1" x14ac:dyDescent="0.3">
      <c r="G5359" s="459"/>
      <c r="H5359" s="459">
        <v>5352</v>
      </c>
      <c r="I5359" s="444">
        <f t="shared" ca="1" si="203"/>
        <v>-119483234372882.45</v>
      </c>
      <c r="J5359" s="444">
        <f t="array" ref="J5359">IFERROR(INDEX('Retirement Calculator'!J:J,MATCH('Isaac 401k'!N5359,'Retirement Calculator'!A:A,0),0),0)</f>
        <v>0</v>
      </c>
      <c r="K5359" s="444">
        <f t="shared" ca="1" si="201"/>
        <v>-497846809887.01013</v>
      </c>
      <c r="L5359" s="444">
        <f t="shared" ca="1" si="202"/>
        <v>-119981081182769.47</v>
      </c>
      <c r="M5359" s="460">
        <f t="shared" si="204"/>
        <v>0.05</v>
      </c>
      <c r="N5359" s="464">
        <f t="shared" si="205"/>
        <v>214155</v>
      </c>
    </row>
    <row r="5360" spans="7:14" ht="11.25" customHeight="1" x14ac:dyDescent="0.3">
      <c r="G5360" s="459"/>
      <c r="H5360" s="459">
        <v>5353</v>
      </c>
      <c r="I5360" s="444">
        <f t="shared" ca="1" si="203"/>
        <v>-119981081182769.47</v>
      </c>
      <c r="J5360" s="444">
        <f t="array" ref="J5360">IFERROR(INDEX('Retirement Calculator'!J:J,MATCH('Isaac 401k'!N5360,'Retirement Calculator'!A:A,0),0),0)</f>
        <v>0</v>
      </c>
      <c r="K5360" s="444">
        <f t="shared" ca="1" si="201"/>
        <v>-499921171594.8728</v>
      </c>
      <c r="L5360" s="444">
        <f t="shared" ca="1" si="202"/>
        <v>-120481002354364.34</v>
      </c>
      <c r="M5360" s="460">
        <f t="shared" si="204"/>
        <v>0.05</v>
      </c>
      <c r="N5360" s="464">
        <f t="shared" si="205"/>
        <v>214186</v>
      </c>
    </row>
    <row r="5361" spans="7:14" ht="11.25" customHeight="1" x14ac:dyDescent="0.3">
      <c r="G5361" s="459"/>
      <c r="H5361" s="459">
        <v>5354</v>
      </c>
      <c r="I5361" s="444">
        <f t="shared" ca="1" si="203"/>
        <v>-120481002354364.34</v>
      </c>
      <c r="J5361" s="444">
        <f t="array" ref="J5361">IFERROR(INDEX('Retirement Calculator'!J:J,MATCH('Isaac 401k'!N5361,'Retirement Calculator'!A:A,0),0),0)</f>
        <v>0</v>
      </c>
      <c r="K5361" s="444">
        <f t="shared" ca="1" si="201"/>
        <v>-502004176476.51807</v>
      </c>
      <c r="L5361" s="444">
        <f t="shared" ca="1" si="202"/>
        <v>-120983006530840.86</v>
      </c>
      <c r="M5361" s="460">
        <f t="shared" si="204"/>
        <v>0.05</v>
      </c>
      <c r="N5361" s="464">
        <f t="shared" si="205"/>
        <v>214216</v>
      </c>
    </row>
    <row r="5362" spans="7:14" ht="11.25" customHeight="1" x14ac:dyDescent="0.3">
      <c r="G5362" s="459"/>
      <c r="H5362" s="459">
        <v>5355</v>
      </c>
      <c r="I5362" s="444">
        <f t="shared" ca="1" si="203"/>
        <v>-120983006530840.86</v>
      </c>
      <c r="J5362" s="444">
        <f t="array" ref="J5362">IFERROR(INDEX('Retirement Calculator'!J:J,MATCH('Isaac 401k'!N5362,'Retirement Calculator'!A:A,0),0),0)</f>
        <v>0</v>
      </c>
      <c r="K5362" s="444">
        <f t="shared" ca="1" si="201"/>
        <v>-504095860545.17023</v>
      </c>
      <c r="L5362" s="444">
        <f t="shared" ca="1" si="202"/>
        <v>-121487102391386.03</v>
      </c>
      <c r="M5362" s="460">
        <f t="shared" si="204"/>
        <v>0.05</v>
      </c>
      <c r="N5362" s="464">
        <f t="shared" si="205"/>
        <v>214247</v>
      </c>
    </row>
    <row r="5363" spans="7:14" ht="11.25" customHeight="1" x14ac:dyDescent="0.3">
      <c r="G5363" s="459"/>
      <c r="H5363" s="459">
        <v>5356</v>
      </c>
      <c r="I5363" s="444">
        <f t="shared" ca="1" si="203"/>
        <v>-121487102391386.03</v>
      </c>
      <c r="J5363" s="444">
        <f t="array" ref="J5363">IFERROR(INDEX('Retirement Calculator'!J:J,MATCH('Isaac 401k'!N5363,'Retirement Calculator'!A:A,0),0),0)</f>
        <v>0</v>
      </c>
      <c r="K5363" s="444">
        <f t="shared" ref="K5363:K5617" ca="1" si="206">IPMT(M5363/12,1,12,-I5363+J5363,,0)</f>
        <v>-506196259964.10846</v>
      </c>
      <c r="L5363" s="444">
        <f t="shared" ref="L5363:L5617" ca="1" si="207">I5363-J5363+K5363</f>
        <v>-121993298651350.14</v>
      </c>
      <c r="M5363" s="460">
        <f t="shared" si="204"/>
        <v>0.05</v>
      </c>
      <c r="N5363" s="464">
        <f t="shared" si="205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208">L5363</f>
        <v>-121993298651350.14</v>
      </c>
      <c r="J5364" s="444">
        <f t="array" ref="J5364">IFERROR(INDEX('Retirement Calculator'!J:J,MATCH('Isaac 401k'!N5364,'Retirement Calculator'!A:A,0),0),0)</f>
        <v>0</v>
      </c>
      <c r="K5364" s="444">
        <f t="shared" ca="1" si="206"/>
        <v>-508305411047.2923</v>
      </c>
      <c r="L5364" s="444">
        <f t="shared" ca="1" si="207"/>
        <v>-122501604062397.44</v>
      </c>
      <c r="M5364" s="460">
        <f t="shared" ref="M5364:M5618" si="209">M5363</f>
        <v>0.05</v>
      </c>
      <c r="N5364" s="464">
        <f t="shared" ref="N5364:N5618" si="210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208"/>
        <v>-122501604062397.44</v>
      </c>
      <c r="J5365" s="444">
        <f t="array" ref="J5365">IFERROR(INDEX('Retirement Calculator'!J:J,MATCH('Isaac 401k'!N5365,'Retirement Calculator'!A:A,0),0),0)</f>
        <v>0</v>
      </c>
      <c r="K5365" s="444">
        <f t="shared" ca="1" si="206"/>
        <v>-510423350259.98932</v>
      </c>
      <c r="L5365" s="444">
        <f t="shared" ca="1" si="207"/>
        <v>-123012027412657.42</v>
      </c>
      <c r="M5365" s="460">
        <f t="shared" si="209"/>
        <v>0.05</v>
      </c>
      <c r="N5365" s="464">
        <f t="shared" si="210"/>
        <v>214339</v>
      </c>
    </row>
    <row r="5366" spans="7:14" ht="11.25" customHeight="1" x14ac:dyDescent="0.3">
      <c r="G5366" s="459"/>
      <c r="H5366" s="459">
        <v>5359</v>
      </c>
      <c r="I5366" s="444">
        <f t="shared" ca="1" si="208"/>
        <v>-123012027412657.42</v>
      </c>
      <c r="J5366" s="444">
        <f t="array" ref="J5366">IFERROR(INDEX('Retirement Calculator'!J:J,MATCH('Isaac 401k'!N5366,'Retirement Calculator'!A:A,0),0),0)</f>
        <v>0</v>
      </c>
      <c r="K5366" s="444">
        <f t="shared" ca="1" si="206"/>
        <v>-512550114219.40594</v>
      </c>
      <c r="L5366" s="444">
        <f t="shared" ca="1" si="207"/>
        <v>-123524577526876.83</v>
      </c>
      <c r="M5366" s="460">
        <f t="shared" si="209"/>
        <v>0.05</v>
      </c>
      <c r="N5366" s="464">
        <f t="shared" si="210"/>
        <v>214369</v>
      </c>
    </row>
    <row r="5367" spans="7:14" ht="11.25" customHeight="1" x14ac:dyDescent="0.3">
      <c r="G5367" s="459"/>
      <c r="H5367" s="459">
        <v>5360</v>
      </c>
      <c r="I5367" s="444">
        <f t="shared" ca="1" si="208"/>
        <v>-123524577526876.83</v>
      </c>
      <c r="J5367" s="444">
        <f t="array" ref="J5367">IFERROR(INDEX('Retirement Calculator'!J:J,MATCH('Isaac 401k'!N5367,'Retirement Calculator'!A:A,0),0),0)</f>
        <v>0</v>
      </c>
      <c r="K5367" s="444">
        <f t="shared" ca="1" si="206"/>
        <v>-514685739695.32013</v>
      </c>
      <c r="L5367" s="444">
        <f t="shared" ca="1" si="207"/>
        <v>-124039263266572.14</v>
      </c>
      <c r="M5367" s="460">
        <f t="shared" si="209"/>
        <v>0.05</v>
      </c>
      <c r="N5367" s="464">
        <f t="shared" si="210"/>
        <v>214400</v>
      </c>
    </row>
    <row r="5368" spans="7:14" ht="11.25" customHeight="1" x14ac:dyDescent="0.3">
      <c r="G5368" s="459"/>
      <c r="H5368" s="459">
        <v>5361</v>
      </c>
      <c r="I5368" s="444">
        <f t="shared" ca="1" si="208"/>
        <v>-124039263266572.14</v>
      </c>
      <c r="J5368" s="444">
        <f t="array" ref="J5368">IFERROR(INDEX('Retirement Calculator'!J:J,MATCH('Isaac 401k'!N5368,'Retirement Calculator'!A:A,0),0),0)</f>
        <v>0</v>
      </c>
      <c r="K5368" s="444">
        <f t="shared" ca="1" si="206"/>
        <v>-516830263610.71722</v>
      </c>
      <c r="L5368" s="444">
        <f t="shared" ca="1" si="207"/>
        <v>-124556093530182.86</v>
      </c>
      <c r="M5368" s="460">
        <f t="shared" si="209"/>
        <v>0.05</v>
      </c>
      <c r="N5368" s="464">
        <f t="shared" si="210"/>
        <v>214431</v>
      </c>
    </row>
    <row r="5369" spans="7:14" ht="11.25" customHeight="1" x14ac:dyDescent="0.3">
      <c r="G5369" s="459"/>
      <c r="H5369" s="459">
        <v>5362</v>
      </c>
      <c r="I5369" s="444">
        <f t="shared" ca="1" si="208"/>
        <v>-124556093530182.86</v>
      </c>
      <c r="J5369" s="444">
        <f t="array" ref="J5369">IFERROR(INDEX('Retirement Calculator'!J:J,MATCH('Isaac 401k'!N5369,'Retirement Calculator'!A:A,0),0),0)</f>
        <v>0</v>
      </c>
      <c r="K5369" s="444">
        <f t="shared" ca="1" si="206"/>
        <v>-518983723042.42859</v>
      </c>
      <c r="L5369" s="444">
        <f t="shared" ca="1" si="207"/>
        <v>-125075077253225.28</v>
      </c>
      <c r="M5369" s="460">
        <f t="shared" si="209"/>
        <v>0.05</v>
      </c>
      <c r="N5369" s="464">
        <f t="shared" si="210"/>
        <v>214459</v>
      </c>
    </row>
    <row r="5370" spans="7:14" ht="11.25" customHeight="1" x14ac:dyDescent="0.3">
      <c r="G5370" s="459"/>
      <c r="H5370" s="459">
        <v>5363</v>
      </c>
      <c r="I5370" s="444">
        <f t="shared" ca="1" si="208"/>
        <v>-125075077253225.28</v>
      </c>
      <c r="J5370" s="444">
        <f t="array" ref="J5370">IFERROR(INDEX('Retirement Calculator'!J:J,MATCH('Isaac 401k'!N5370,'Retirement Calculator'!A:A,0),0),0)</f>
        <v>0</v>
      </c>
      <c r="K5370" s="444">
        <f t="shared" ca="1" si="206"/>
        <v>-521146155221.77197</v>
      </c>
      <c r="L5370" s="444">
        <f t="shared" ca="1" si="207"/>
        <v>-125596223408447.05</v>
      </c>
      <c r="M5370" s="460">
        <f t="shared" si="209"/>
        <v>0.05</v>
      </c>
      <c r="N5370" s="464">
        <f t="shared" si="210"/>
        <v>214490</v>
      </c>
    </row>
    <row r="5371" spans="7:14" ht="11.25" customHeight="1" x14ac:dyDescent="0.3">
      <c r="G5371" s="459"/>
      <c r="H5371" s="459">
        <v>5364</v>
      </c>
      <c r="I5371" s="444">
        <f t="shared" ca="1" si="208"/>
        <v>-125596223408447.05</v>
      </c>
      <c r="J5371" s="444">
        <f t="array" ref="J5371">IFERROR(INDEX('Retirement Calculator'!J:J,MATCH('Isaac 401k'!N5371,'Retirement Calculator'!A:A,0),0),0)</f>
        <v>0</v>
      </c>
      <c r="K5371" s="444">
        <f t="shared" ca="1" si="206"/>
        <v>-523317597535.19604</v>
      </c>
      <c r="L5371" s="444">
        <f t="shared" ca="1" si="207"/>
        <v>-126119541005982.25</v>
      </c>
      <c r="M5371" s="460">
        <f t="shared" si="209"/>
        <v>0.05</v>
      </c>
      <c r="N5371" s="464">
        <f t="shared" si="210"/>
        <v>214520</v>
      </c>
    </row>
    <row r="5372" spans="7:14" ht="11.25" customHeight="1" x14ac:dyDescent="0.3">
      <c r="G5372" s="459"/>
      <c r="H5372" s="459">
        <v>5365</v>
      </c>
      <c r="I5372" s="444">
        <f t="shared" ca="1" si="208"/>
        <v>-126119541005982.25</v>
      </c>
      <c r="J5372" s="444">
        <f t="array" ref="J5372">IFERROR(INDEX('Retirement Calculator'!J:J,MATCH('Isaac 401k'!N5372,'Retirement Calculator'!A:A,0),0),0)</f>
        <v>0</v>
      </c>
      <c r="K5372" s="444">
        <f t="shared" ca="1" si="206"/>
        <v>-525498087524.92603</v>
      </c>
      <c r="L5372" s="444">
        <f t="shared" ca="1" si="207"/>
        <v>-126645039093507.17</v>
      </c>
      <c r="M5372" s="460">
        <f t="shared" si="209"/>
        <v>0.05</v>
      </c>
      <c r="N5372" s="464">
        <f t="shared" si="210"/>
        <v>214551</v>
      </c>
    </row>
    <row r="5373" spans="7:14" ht="11.25" customHeight="1" x14ac:dyDescent="0.3">
      <c r="G5373" s="459"/>
      <c r="H5373" s="459">
        <v>5366</v>
      </c>
      <c r="I5373" s="444">
        <f t="shared" ca="1" si="208"/>
        <v>-126645039093507.17</v>
      </c>
      <c r="J5373" s="444">
        <f t="array" ref="J5373">IFERROR(INDEX('Retirement Calculator'!J:J,MATCH('Isaac 401k'!N5373,'Retirement Calculator'!A:A,0),0),0)</f>
        <v>0</v>
      </c>
      <c r="K5373" s="444">
        <f t="shared" ca="1" si="206"/>
        <v>-527687662889.61322</v>
      </c>
      <c r="L5373" s="444">
        <f t="shared" ca="1" si="207"/>
        <v>-127172726756396.78</v>
      </c>
      <c r="M5373" s="460">
        <f t="shared" si="209"/>
        <v>0.05</v>
      </c>
      <c r="N5373" s="464">
        <f t="shared" si="210"/>
        <v>214581</v>
      </c>
    </row>
    <row r="5374" spans="7:14" ht="11.25" customHeight="1" x14ac:dyDescent="0.3">
      <c r="G5374" s="459"/>
      <c r="H5374" s="459">
        <v>5367</v>
      </c>
      <c r="I5374" s="444">
        <f t="shared" ca="1" si="208"/>
        <v>-127172726756396.78</v>
      </c>
      <c r="J5374" s="444">
        <f t="array" ref="J5374">IFERROR(INDEX('Retirement Calculator'!J:J,MATCH('Isaac 401k'!N5374,'Retirement Calculator'!A:A,0),0),0)</f>
        <v>0</v>
      </c>
      <c r="K5374" s="444">
        <f t="shared" ca="1" si="206"/>
        <v>-529886361484.98657</v>
      </c>
      <c r="L5374" s="444">
        <f t="shared" ca="1" si="207"/>
        <v>-127702613117881.77</v>
      </c>
      <c r="M5374" s="460">
        <f t="shared" si="209"/>
        <v>0.05</v>
      </c>
      <c r="N5374" s="464">
        <f t="shared" si="210"/>
        <v>214612</v>
      </c>
    </row>
    <row r="5375" spans="7:14" ht="11.25" customHeight="1" x14ac:dyDescent="0.3">
      <c r="G5375" s="459"/>
      <c r="H5375" s="459">
        <v>5368</v>
      </c>
      <c r="I5375" s="444">
        <f t="shared" ca="1" si="208"/>
        <v>-127702613117881.77</v>
      </c>
      <c r="J5375" s="444">
        <f t="array" ref="J5375">IFERROR(INDEX('Retirement Calculator'!J:J,MATCH('Isaac 401k'!N5375,'Retirement Calculator'!A:A,0),0),0)</f>
        <v>0</v>
      </c>
      <c r="K5375" s="444">
        <f t="shared" ca="1" si="206"/>
        <v>-532094221324.50732</v>
      </c>
      <c r="L5375" s="444">
        <f t="shared" ca="1" si="207"/>
        <v>-128234707339206.27</v>
      </c>
      <c r="M5375" s="460">
        <f t="shared" si="209"/>
        <v>0.05</v>
      </c>
      <c r="N5375" s="464">
        <f t="shared" si="210"/>
        <v>214643</v>
      </c>
    </row>
    <row r="5376" spans="7:14" ht="11.25" customHeight="1" x14ac:dyDescent="0.3">
      <c r="G5376" s="459"/>
      <c r="H5376" s="459">
        <v>5369</v>
      </c>
      <c r="I5376" s="444">
        <f t="shared" ca="1" si="208"/>
        <v>-128234707339206.27</v>
      </c>
      <c r="J5376" s="444">
        <f t="array" ref="J5376">IFERROR(INDEX('Retirement Calculator'!J:J,MATCH('Isaac 401k'!N5376,'Retirement Calculator'!A:A,0),0),0)</f>
        <v>0</v>
      </c>
      <c r="K5376" s="444">
        <f t="shared" ca="1" si="206"/>
        <v>-534311280580.02612</v>
      </c>
      <c r="L5376" s="444">
        <f t="shared" ca="1" si="207"/>
        <v>-128769018619786.3</v>
      </c>
      <c r="M5376" s="460">
        <f t="shared" si="209"/>
        <v>0.05</v>
      </c>
      <c r="N5376" s="464">
        <f t="shared" si="210"/>
        <v>214673</v>
      </c>
    </row>
    <row r="5377" spans="7:14" ht="11.25" customHeight="1" x14ac:dyDescent="0.3">
      <c r="G5377" s="459"/>
      <c r="H5377" s="459">
        <v>5370</v>
      </c>
      <c r="I5377" s="444">
        <f t="shared" ca="1" si="208"/>
        <v>-128769018619786.3</v>
      </c>
      <c r="J5377" s="444">
        <f t="array" ref="J5377">IFERROR(INDEX('Retirement Calculator'!J:J,MATCH('Isaac 401k'!N5377,'Retirement Calculator'!A:A,0),0),0)</f>
        <v>0</v>
      </c>
      <c r="K5377" s="444">
        <f t="shared" ca="1" si="206"/>
        <v>-536537577582.44287</v>
      </c>
      <c r="L5377" s="444">
        <f t="shared" ca="1" si="207"/>
        <v>-129305556197368.73</v>
      </c>
      <c r="M5377" s="460">
        <f t="shared" si="209"/>
        <v>0.05</v>
      </c>
      <c r="N5377" s="464">
        <f t="shared" si="210"/>
        <v>214704</v>
      </c>
    </row>
    <row r="5378" spans="7:14" ht="11.25" customHeight="1" x14ac:dyDescent="0.3">
      <c r="G5378" s="459"/>
      <c r="H5378" s="459">
        <v>5371</v>
      </c>
      <c r="I5378" s="444">
        <f t="shared" ca="1" si="208"/>
        <v>-129305556197368.73</v>
      </c>
      <c r="J5378" s="444">
        <f t="array" ref="J5378">IFERROR(INDEX('Retirement Calculator'!J:J,MATCH('Isaac 401k'!N5378,'Retirement Calculator'!A:A,0),0),0)</f>
        <v>0</v>
      </c>
      <c r="K5378" s="444">
        <f t="shared" ca="1" si="206"/>
        <v>-538773150822.36969</v>
      </c>
      <c r="L5378" s="444">
        <f t="shared" ca="1" si="207"/>
        <v>-129844329348191.11</v>
      </c>
      <c r="M5378" s="460">
        <f t="shared" si="209"/>
        <v>0.05</v>
      </c>
      <c r="N5378" s="464">
        <f t="shared" si="210"/>
        <v>214734</v>
      </c>
    </row>
    <row r="5379" spans="7:14" ht="11.25" customHeight="1" x14ac:dyDescent="0.3">
      <c r="G5379" s="459"/>
      <c r="H5379" s="459">
        <v>5372</v>
      </c>
      <c r="I5379" s="444">
        <f t="shared" ca="1" si="208"/>
        <v>-129844329348191.11</v>
      </c>
      <c r="J5379" s="444">
        <f t="array" ref="J5379">IFERROR(INDEX('Retirement Calculator'!J:J,MATCH('Isaac 401k'!N5379,'Retirement Calculator'!A:A,0),0),0)</f>
        <v>0</v>
      </c>
      <c r="K5379" s="444">
        <f t="shared" ca="1" si="206"/>
        <v>-541018038950.79626</v>
      </c>
      <c r="L5379" s="444">
        <f t="shared" ca="1" si="207"/>
        <v>-130385347387141.91</v>
      </c>
      <c r="M5379" s="460">
        <f t="shared" si="209"/>
        <v>0.05</v>
      </c>
      <c r="N5379" s="464">
        <f t="shared" si="210"/>
        <v>214765</v>
      </c>
    </row>
    <row r="5380" spans="7:14" ht="11.25" customHeight="1" x14ac:dyDescent="0.3">
      <c r="G5380" s="459"/>
      <c r="H5380" s="459">
        <v>5373</v>
      </c>
      <c r="I5380" s="444">
        <f t="shared" ca="1" si="208"/>
        <v>-130385347387141.91</v>
      </c>
      <c r="J5380" s="444">
        <f t="array" ref="J5380">IFERROR(INDEX('Retirement Calculator'!J:J,MATCH('Isaac 401k'!N5380,'Retirement Calculator'!A:A,0),0),0)</f>
        <v>0</v>
      </c>
      <c r="K5380" s="444">
        <f t="shared" ca="1" si="206"/>
        <v>-543272280779.75793</v>
      </c>
      <c r="L5380" s="444">
        <f t="shared" ca="1" si="207"/>
        <v>-130928619667921.67</v>
      </c>
      <c r="M5380" s="460">
        <f t="shared" si="209"/>
        <v>0.05</v>
      </c>
      <c r="N5380" s="464">
        <f t="shared" si="210"/>
        <v>214796</v>
      </c>
    </row>
    <row r="5381" spans="7:14" ht="11.25" customHeight="1" x14ac:dyDescent="0.3">
      <c r="G5381" s="459"/>
      <c r="H5381" s="459">
        <v>5374</v>
      </c>
      <c r="I5381" s="444">
        <f t="shared" ca="1" si="208"/>
        <v>-130928619667921.67</v>
      </c>
      <c r="J5381" s="444">
        <f t="array" ref="J5381">IFERROR(INDEX('Retirement Calculator'!J:J,MATCH('Isaac 401k'!N5381,'Retirement Calculator'!A:A,0),0),0)</f>
        <v>0</v>
      </c>
      <c r="K5381" s="444">
        <f t="shared" ca="1" si="206"/>
        <v>-545535915283.00696</v>
      </c>
      <c r="L5381" s="444">
        <f t="shared" ca="1" si="207"/>
        <v>-131474155583204.67</v>
      </c>
      <c r="M5381" s="460">
        <f t="shared" si="209"/>
        <v>0.05</v>
      </c>
      <c r="N5381" s="464">
        <f t="shared" si="210"/>
        <v>214825</v>
      </c>
    </row>
    <row r="5382" spans="7:14" ht="11.25" customHeight="1" x14ac:dyDescent="0.3">
      <c r="G5382" s="459"/>
      <c r="H5382" s="459">
        <v>5375</v>
      </c>
      <c r="I5382" s="444">
        <f t="shared" ca="1" si="208"/>
        <v>-131474155583204.67</v>
      </c>
      <c r="J5382" s="444">
        <f t="array" ref="J5382">IFERROR(INDEX('Retirement Calculator'!J:J,MATCH('Isaac 401k'!N5382,'Retirement Calculator'!A:A,0),0),0)</f>
        <v>0</v>
      </c>
      <c r="K5382" s="444">
        <f t="shared" ca="1" si="206"/>
        <v>-547808981596.6861</v>
      </c>
      <c r="L5382" s="444">
        <f t="shared" ca="1" si="207"/>
        <v>-132021964564801.36</v>
      </c>
      <c r="M5382" s="460">
        <f t="shared" si="209"/>
        <v>0.05</v>
      </c>
      <c r="N5382" s="464">
        <f t="shared" si="210"/>
        <v>214856</v>
      </c>
    </row>
    <row r="5383" spans="7:14" ht="11.25" customHeight="1" x14ac:dyDescent="0.3">
      <c r="G5383" s="459"/>
      <c r="H5383" s="459">
        <v>5376</v>
      </c>
      <c r="I5383" s="444">
        <f t="shared" ca="1" si="208"/>
        <v>-132021964564801.36</v>
      </c>
      <c r="J5383" s="444">
        <f t="array" ref="J5383">IFERROR(INDEX('Retirement Calculator'!J:J,MATCH('Isaac 401k'!N5383,'Retirement Calculator'!A:A,0),0),0)</f>
        <v>0</v>
      </c>
      <c r="K5383" s="444">
        <f t="shared" ca="1" si="206"/>
        <v>-550091519020.00562</v>
      </c>
      <c r="L5383" s="444">
        <f t="shared" ca="1" si="207"/>
        <v>-132572056083821.36</v>
      </c>
      <c r="M5383" s="460">
        <f t="shared" si="209"/>
        <v>0.05</v>
      </c>
      <c r="N5383" s="464">
        <f t="shared" si="210"/>
        <v>214886</v>
      </c>
    </row>
    <row r="5384" spans="7:14" ht="11.25" customHeight="1" x14ac:dyDescent="0.3">
      <c r="G5384" s="459"/>
      <c r="H5384" s="459">
        <v>5377</v>
      </c>
      <c r="I5384" s="444">
        <f t="shared" ca="1" si="208"/>
        <v>-132572056083821.36</v>
      </c>
      <c r="J5384" s="444">
        <f t="array" ref="J5384">IFERROR(INDEX('Retirement Calculator'!J:J,MATCH('Isaac 401k'!N5384,'Retirement Calculator'!A:A,0),0),0)</f>
        <v>0</v>
      </c>
      <c r="K5384" s="444">
        <f t="shared" ca="1" si="206"/>
        <v>-552383567015.92224</v>
      </c>
      <c r="L5384" s="444">
        <f t="shared" ca="1" si="207"/>
        <v>-133124439650837.28</v>
      </c>
      <c r="M5384" s="460">
        <f t="shared" si="209"/>
        <v>0.05</v>
      </c>
      <c r="N5384" s="464">
        <f t="shared" si="210"/>
        <v>214917</v>
      </c>
    </row>
    <row r="5385" spans="7:14" ht="11.25" customHeight="1" x14ac:dyDescent="0.3">
      <c r="G5385" s="459"/>
      <c r="H5385" s="459">
        <v>5378</v>
      </c>
      <c r="I5385" s="444">
        <f t="shared" ca="1" si="208"/>
        <v>-133124439650837.28</v>
      </c>
      <c r="J5385" s="444">
        <f t="array" ref="J5385">IFERROR(INDEX('Retirement Calculator'!J:J,MATCH('Isaac 401k'!N5385,'Retirement Calculator'!A:A,0),0),0)</f>
        <v>0</v>
      </c>
      <c r="K5385" s="444">
        <f t="shared" ca="1" si="206"/>
        <v>-554685165211.82202</v>
      </c>
      <c r="L5385" s="444">
        <f t="shared" ca="1" si="207"/>
        <v>-133679124816049.11</v>
      </c>
      <c r="M5385" s="460">
        <f t="shared" si="209"/>
        <v>0.05</v>
      </c>
      <c r="N5385" s="464">
        <f t="shared" si="210"/>
        <v>214947</v>
      </c>
    </row>
    <row r="5386" spans="7:14" ht="11.25" customHeight="1" x14ac:dyDescent="0.3">
      <c r="G5386" s="459"/>
      <c r="H5386" s="459">
        <v>5379</v>
      </c>
      <c r="I5386" s="444">
        <f t="shared" ca="1" si="208"/>
        <v>-133679124816049.11</v>
      </c>
      <c r="J5386" s="444">
        <f t="array" ref="J5386">IFERROR(INDEX('Retirement Calculator'!J:J,MATCH('Isaac 401k'!N5386,'Retirement Calculator'!A:A,0),0),0)</f>
        <v>0</v>
      </c>
      <c r="K5386" s="444">
        <f t="shared" ca="1" si="206"/>
        <v>-556996353400.20459</v>
      </c>
      <c r="L5386" s="444">
        <f t="shared" ca="1" si="207"/>
        <v>-134236121169449.31</v>
      </c>
      <c r="M5386" s="460">
        <f t="shared" si="209"/>
        <v>0.05</v>
      </c>
      <c r="N5386" s="464">
        <f t="shared" si="210"/>
        <v>214978</v>
      </c>
    </row>
    <row r="5387" spans="7:14" ht="11.25" customHeight="1" x14ac:dyDescent="0.3">
      <c r="G5387" s="459"/>
      <c r="H5387" s="459">
        <v>5380</v>
      </c>
      <c r="I5387" s="444">
        <f t="shared" ca="1" si="208"/>
        <v>-134236121169449.31</v>
      </c>
      <c r="J5387" s="444">
        <f t="array" ref="J5387">IFERROR(INDEX('Retirement Calculator'!J:J,MATCH('Isaac 401k'!N5387,'Retirement Calculator'!A:A,0),0),0)</f>
        <v>0</v>
      </c>
      <c r="K5387" s="444">
        <f t="shared" ca="1" si="206"/>
        <v>-559317171539.37207</v>
      </c>
      <c r="L5387" s="444">
        <f t="shared" ca="1" si="207"/>
        <v>-134795438340988.69</v>
      </c>
      <c r="M5387" s="460">
        <f t="shared" si="209"/>
        <v>0.05</v>
      </c>
      <c r="N5387" s="464">
        <f t="shared" si="210"/>
        <v>215009</v>
      </c>
    </row>
    <row r="5388" spans="7:14" ht="11.25" customHeight="1" x14ac:dyDescent="0.3">
      <c r="G5388" s="459"/>
      <c r="H5388" s="459">
        <v>5381</v>
      </c>
      <c r="I5388" s="444">
        <f t="shared" ca="1" si="208"/>
        <v>-134795438340988.69</v>
      </c>
      <c r="J5388" s="444">
        <f t="array" ref="J5388">IFERROR(INDEX('Retirement Calculator'!J:J,MATCH('Isaac 401k'!N5388,'Retirement Calculator'!A:A,0),0),0)</f>
        <v>0</v>
      </c>
      <c r="K5388" s="444">
        <f t="shared" ca="1" si="206"/>
        <v>-561647659754.11951</v>
      </c>
      <c r="L5388" s="444">
        <f t="shared" ca="1" si="207"/>
        <v>-135357086000742.81</v>
      </c>
      <c r="M5388" s="460">
        <f t="shared" si="209"/>
        <v>0.05</v>
      </c>
      <c r="N5388" s="464">
        <f t="shared" si="210"/>
        <v>215039</v>
      </c>
    </row>
    <row r="5389" spans="7:14" ht="11.25" customHeight="1" x14ac:dyDescent="0.3">
      <c r="G5389" s="459"/>
      <c r="H5389" s="459">
        <v>5382</v>
      </c>
      <c r="I5389" s="444">
        <f t="shared" ca="1" si="208"/>
        <v>-135357086000742.81</v>
      </c>
      <c r="J5389" s="444">
        <f t="array" ref="J5389">IFERROR(INDEX('Retirement Calculator'!J:J,MATCH('Isaac 401k'!N5389,'Retirement Calculator'!A:A,0),0),0)</f>
        <v>0</v>
      </c>
      <c r="K5389" s="444">
        <f t="shared" ca="1" si="206"/>
        <v>-563987858336.42834</v>
      </c>
      <c r="L5389" s="444">
        <f t="shared" ca="1" si="207"/>
        <v>-135921073859079.23</v>
      </c>
      <c r="M5389" s="460">
        <f t="shared" si="209"/>
        <v>0.05</v>
      </c>
      <c r="N5389" s="464">
        <f t="shared" si="210"/>
        <v>215070</v>
      </c>
    </row>
    <row r="5390" spans="7:14" ht="11.25" customHeight="1" x14ac:dyDescent="0.3">
      <c r="G5390" s="459"/>
      <c r="H5390" s="459">
        <v>5383</v>
      </c>
      <c r="I5390" s="444">
        <f t="shared" ca="1" si="208"/>
        <v>-135921073859079.23</v>
      </c>
      <c r="J5390" s="444">
        <f t="array" ref="J5390">IFERROR(INDEX('Retirement Calculator'!J:J,MATCH('Isaac 401k'!N5390,'Retirement Calculator'!A:A,0),0),0)</f>
        <v>0</v>
      </c>
      <c r="K5390" s="444">
        <f t="shared" ca="1" si="206"/>
        <v>-566337807746.16345</v>
      </c>
      <c r="L5390" s="444">
        <f t="shared" ca="1" si="207"/>
        <v>-136487411666825.39</v>
      </c>
      <c r="M5390" s="460">
        <f t="shared" si="209"/>
        <v>0.05</v>
      </c>
      <c r="N5390" s="464">
        <f t="shared" si="210"/>
        <v>215100</v>
      </c>
    </row>
    <row r="5391" spans="7:14" ht="11.25" customHeight="1" x14ac:dyDescent="0.3">
      <c r="G5391" s="459"/>
      <c r="H5391" s="459">
        <v>5384</v>
      </c>
      <c r="I5391" s="444">
        <f t="shared" ca="1" si="208"/>
        <v>-136487411666825.39</v>
      </c>
      <c r="J5391" s="444">
        <f t="array" ref="J5391">IFERROR(INDEX('Retirement Calculator'!J:J,MATCH('Isaac 401k'!N5391,'Retirement Calculator'!A:A,0),0),0)</f>
        <v>0</v>
      </c>
      <c r="K5391" s="444">
        <f t="shared" ca="1" si="206"/>
        <v>-568697548611.77246</v>
      </c>
      <c r="L5391" s="444">
        <f t="shared" ca="1" si="207"/>
        <v>-137056109215437.16</v>
      </c>
      <c r="M5391" s="460">
        <f t="shared" si="209"/>
        <v>0.05</v>
      </c>
      <c r="N5391" s="464">
        <f t="shared" si="210"/>
        <v>215131</v>
      </c>
    </row>
    <row r="5392" spans="7:14" ht="11.25" customHeight="1" x14ac:dyDescent="0.3">
      <c r="G5392" s="459"/>
      <c r="H5392" s="459">
        <v>5385</v>
      </c>
      <c r="I5392" s="444">
        <f t="shared" ca="1" si="208"/>
        <v>-137056109215437.16</v>
      </c>
      <c r="J5392" s="444">
        <f t="array" ref="J5392">IFERROR(INDEX('Retirement Calculator'!J:J,MATCH('Isaac 401k'!N5392,'Retirement Calculator'!A:A,0),0),0)</f>
        <v>0</v>
      </c>
      <c r="K5392" s="444">
        <f t="shared" ca="1" si="206"/>
        <v>-571067121730.98816</v>
      </c>
      <c r="L5392" s="444">
        <f t="shared" ca="1" si="207"/>
        <v>-137627176337168.14</v>
      </c>
      <c r="M5392" s="460">
        <f t="shared" si="209"/>
        <v>0.05</v>
      </c>
      <c r="N5392" s="464">
        <f t="shared" si="210"/>
        <v>215162</v>
      </c>
    </row>
    <row r="5393" spans="7:14" ht="11.25" customHeight="1" x14ac:dyDescent="0.3">
      <c r="G5393" s="459"/>
      <c r="H5393" s="459">
        <v>5386</v>
      </c>
      <c r="I5393" s="444">
        <f t="shared" ca="1" si="208"/>
        <v>-137627176337168.14</v>
      </c>
      <c r="J5393" s="444">
        <f t="array" ref="J5393">IFERROR(INDEX('Retirement Calculator'!J:J,MATCH('Isaac 401k'!N5393,'Retirement Calculator'!A:A,0),0),0)</f>
        <v>0</v>
      </c>
      <c r="K5393" s="444">
        <f t="shared" ca="1" si="206"/>
        <v>-573446568071.53381</v>
      </c>
      <c r="L5393" s="444">
        <f t="shared" ca="1" si="207"/>
        <v>-138200622905239.67</v>
      </c>
      <c r="M5393" s="460">
        <f t="shared" si="209"/>
        <v>0.05</v>
      </c>
      <c r="N5393" s="464">
        <f t="shared" si="210"/>
        <v>215190</v>
      </c>
    </row>
    <row r="5394" spans="7:14" ht="11.25" customHeight="1" x14ac:dyDescent="0.3">
      <c r="G5394" s="459"/>
      <c r="H5394" s="459">
        <v>5387</v>
      </c>
      <c r="I5394" s="444">
        <f t="shared" ca="1" si="208"/>
        <v>-138200622905239.67</v>
      </c>
      <c r="J5394" s="444">
        <f t="array" ref="J5394">IFERROR(INDEX('Retirement Calculator'!J:J,MATCH('Isaac 401k'!N5394,'Retirement Calculator'!A:A,0),0),0)</f>
        <v>0</v>
      </c>
      <c r="K5394" s="444">
        <f t="shared" ca="1" si="206"/>
        <v>-575835928771.83191</v>
      </c>
      <c r="L5394" s="444">
        <f t="shared" ca="1" si="207"/>
        <v>-138776458834011.5</v>
      </c>
      <c r="M5394" s="460">
        <f t="shared" si="209"/>
        <v>0.05</v>
      </c>
      <c r="N5394" s="464">
        <f t="shared" si="210"/>
        <v>215221</v>
      </c>
    </row>
    <row r="5395" spans="7:14" ht="11.25" customHeight="1" x14ac:dyDescent="0.3">
      <c r="G5395" s="459"/>
      <c r="H5395" s="459">
        <v>5388</v>
      </c>
      <c r="I5395" s="444">
        <f t="shared" ca="1" si="208"/>
        <v>-138776458834011.5</v>
      </c>
      <c r="J5395" s="444">
        <f t="array" ref="J5395">IFERROR(INDEX('Retirement Calculator'!J:J,MATCH('Isaac 401k'!N5395,'Retirement Calculator'!A:A,0),0),0)</f>
        <v>0</v>
      </c>
      <c r="K5395" s="444">
        <f t="shared" ca="1" si="206"/>
        <v>-578235245141.7146</v>
      </c>
      <c r="L5395" s="444">
        <f t="shared" ca="1" si="207"/>
        <v>-139354694079153.22</v>
      </c>
      <c r="M5395" s="460">
        <f t="shared" si="209"/>
        <v>0.05</v>
      </c>
      <c r="N5395" s="464">
        <f t="shared" si="210"/>
        <v>215251</v>
      </c>
    </row>
    <row r="5396" spans="7:14" ht="11.25" customHeight="1" x14ac:dyDescent="0.3">
      <c r="G5396" s="459"/>
      <c r="H5396" s="459">
        <v>5389</v>
      </c>
      <c r="I5396" s="444">
        <f t="shared" ca="1" si="208"/>
        <v>-139354694079153.22</v>
      </c>
      <c r="J5396" s="444">
        <f t="array" ref="J5396">IFERROR(INDEX('Retirement Calculator'!J:J,MATCH('Isaac 401k'!N5396,'Retirement Calculator'!A:A,0),0),0)</f>
        <v>0</v>
      </c>
      <c r="K5396" s="444">
        <f t="shared" ca="1" si="206"/>
        <v>-580644558663.13843</v>
      </c>
      <c r="L5396" s="444">
        <f t="shared" ca="1" si="207"/>
        <v>-139935338637816.36</v>
      </c>
      <c r="M5396" s="460">
        <f t="shared" si="209"/>
        <v>0.05</v>
      </c>
      <c r="N5396" s="464">
        <f t="shared" si="210"/>
        <v>215282</v>
      </c>
    </row>
    <row r="5397" spans="7:14" ht="11.25" customHeight="1" x14ac:dyDescent="0.3">
      <c r="G5397" s="459"/>
      <c r="H5397" s="459">
        <v>5390</v>
      </c>
      <c r="I5397" s="444">
        <f t="shared" ca="1" si="208"/>
        <v>-139935338637816.36</v>
      </c>
      <c r="J5397" s="444">
        <f t="array" ref="J5397">IFERROR(INDEX('Retirement Calculator'!J:J,MATCH('Isaac 401k'!N5397,'Retirement Calculator'!A:A,0),0),0)</f>
        <v>0</v>
      </c>
      <c r="K5397" s="444">
        <f t="shared" ca="1" si="206"/>
        <v>-583063910990.90137</v>
      </c>
      <c r="L5397" s="444">
        <f t="shared" ca="1" si="207"/>
        <v>-140518402548807.27</v>
      </c>
      <c r="M5397" s="460">
        <f t="shared" si="209"/>
        <v>0.05</v>
      </c>
      <c r="N5397" s="464">
        <f t="shared" si="210"/>
        <v>215312</v>
      </c>
    </row>
    <row r="5398" spans="7:14" ht="11.25" customHeight="1" x14ac:dyDescent="0.3">
      <c r="G5398" s="459"/>
      <c r="H5398" s="459">
        <v>5391</v>
      </c>
      <c r="I5398" s="444">
        <f t="shared" ca="1" si="208"/>
        <v>-140518402548807.27</v>
      </c>
      <c r="J5398" s="444">
        <f t="array" ref="J5398">IFERROR(INDEX('Retirement Calculator'!J:J,MATCH('Isaac 401k'!N5398,'Retirement Calculator'!A:A,0),0),0)</f>
        <v>0</v>
      </c>
      <c r="K5398" s="444">
        <f t="shared" ca="1" si="206"/>
        <v>-585493343953.36365</v>
      </c>
      <c r="L5398" s="444">
        <f t="shared" ca="1" si="207"/>
        <v>-141103895892760.63</v>
      </c>
      <c r="M5398" s="460">
        <f t="shared" si="209"/>
        <v>0.05</v>
      </c>
      <c r="N5398" s="464">
        <f t="shared" si="210"/>
        <v>215343</v>
      </c>
    </row>
    <row r="5399" spans="7:14" ht="11.25" customHeight="1" x14ac:dyDescent="0.3">
      <c r="G5399" s="459"/>
      <c r="H5399" s="459">
        <v>5392</v>
      </c>
      <c r="I5399" s="444">
        <f t="shared" ca="1" si="208"/>
        <v>-141103895892760.63</v>
      </c>
      <c r="J5399" s="444">
        <f t="array" ref="J5399">IFERROR(INDEX('Retirement Calculator'!J:J,MATCH('Isaac 401k'!N5399,'Retirement Calculator'!A:A,0),0),0)</f>
        <v>0</v>
      </c>
      <c r="K5399" s="444">
        <f t="shared" ca="1" si="206"/>
        <v>-587932899553.16931</v>
      </c>
      <c r="L5399" s="444">
        <f t="shared" ca="1" si="207"/>
        <v>-141691828792313.78</v>
      </c>
      <c r="M5399" s="460">
        <f t="shared" si="209"/>
        <v>0.05</v>
      </c>
      <c r="N5399" s="464">
        <f t="shared" si="210"/>
        <v>215374</v>
      </c>
    </row>
    <row r="5400" spans="7:14" ht="11.25" customHeight="1" x14ac:dyDescent="0.3">
      <c r="G5400" s="459"/>
      <c r="H5400" s="459">
        <v>5393</v>
      </c>
      <c r="I5400" s="444">
        <f t="shared" ca="1" si="208"/>
        <v>-141691828792313.78</v>
      </c>
      <c r="J5400" s="444">
        <f t="array" ref="J5400">IFERROR(INDEX('Retirement Calculator'!J:J,MATCH('Isaac 401k'!N5400,'Retirement Calculator'!A:A,0),0),0)</f>
        <v>0</v>
      </c>
      <c r="K5400" s="444">
        <f t="shared" ca="1" si="206"/>
        <v>-590382619967.97412</v>
      </c>
      <c r="L5400" s="444">
        <f t="shared" ca="1" si="207"/>
        <v>-142282211412281.75</v>
      </c>
      <c r="M5400" s="460">
        <f t="shared" si="209"/>
        <v>0.05</v>
      </c>
      <c r="N5400" s="464">
        <f t="shared" si="210"/>
        <v>215404</v>
      </c>
    </row>
    <row r="5401" spans="7:14" ht="11.25" customHeight="1" x14ac:dyDescent="0.3">
      <c r="G5401" s="459"/>
      <c r="H5401" s="459">
        <v>5394</v>
      </c>
      <c r="I5401" s="444">
        <f t="shared" ca="1" si="208"/>
        <v>-142282211412281.75</v>
      </c>
      <c r="J5401" s="444">
        <f t="array" ref="J5401">IFERROR(INDEX('Retirement Calculator'!J:J,MATCH('Isaac 401k'!N5401,'Retirement Calculator'!A:A,0),0),0)</f>
        <v>0</v>
      </c>
      <c r="K5401" s="444">
        <f t="shared" ca="1" si="206"/>
        <v>-592842547551.17395</v>
      </c>
      <c r="L5401" s="444">
        <f t="shared" ca="1" si="207"/>
        <v>-142875053959832.94</v>
      </c>
      <c r="M5401" s="460">
        <f t="shared" si="209"/>
        <v>0.05</v>
      </c>
      <c r="N5401" s="464">
        <f t="shared" si="210"/>
        <v>215435</v>
      </c>
    </row>
    <row r="5402" spans="7:14" ht="11.25" customHeight="1" x14ac:dyDescent="0.3">
      <c r="G5402" s="459"/>
      <c r="H5402" s="459">
        <v>5395</v>
      </c>
      <c r="I5402" s="444">
        <f t="shared" ca="1" si="208"/>
        <v>-142875053959832.94</v>
      </c>
      <c r="J5402" s="444">
        <f t="array" ref="J5402">IFERROR(INDEX('Retirement Calculator'!J:J,MATCH('Isaac 401k'!N5402,'Retirement Calculator'!A:A,0),0),0)</f>
        <v>0</v>
      </c>
      <c r="K5402" s="444">
        <f t="shared" ca="1" si="206"/>
        <v>-595312724832.63721</v>
      </c>
      <c r="L5402" s="444">
        <f t="shared" ca="1" si="207"/>
        <v>-143470366684665.56</v>
      </c>
      <c r="M5402" s="460">
        <f t="shared" si="209"/>
        <v>0.05</v>
      </c>
      <c r="N5402" s="464">
        <f t="shared" si="210"/>
        <v>215465</v>
      </c>
    </row>
    <row r="5403" spans="7:14" ht="11.25" customHeight="1" x14ac:dyDescent="0.3">
      <c r="G5403" s="459"/>
      <c r="H5403" s="459">
        <v>5396</v>
      </c>
      <c r="I5403" s="444">
        <f t="shared" ca="1" si="208"/>
        <v>-143470366684665.56</v>
      </c>
      <c r="J5403" s="444">
        <f t="array" ref="J5403">IFERROR(INDEX('Retirement Calculator'!J:J,MATCH('Isaac 401k'!N5403,'Retirement Calculator'!A:A,0),0),0)</f>
        <v>0</v>
      </c>
      <c r="K5403" s="444">
        <f t="shared" ca="1" si="206"/>
        <v>-597793194519.43982</v>
      </c>
      <c r="L5403" s="444">
        <f t="shared" ca="1" si="207"/>
        <v>-144068159879185</v>
      </c>
      <c r="M5403" s="460">
        <f t="shared" si="209"/>
        <v>0.05</v>
      </c>
      <c r="N5403" s="464">
        <f t="shared" si="210"/>
        <v>215496</v>
      </c>
    </row>
    <row r="5404" spans="7:14" ht="11.25" customHeight="1" x14ac:dyDescent="0.3">
      <c r="G5404" s="459"/>
      <c r="H5404" s="459">
        <v>5397</v>
      </c>
      <c r="I5404" s="444">
        <f t="shared" ca="1" si="208"/>
        <v>-144068159879185</v>
      </c>
      <c r="J5404" s="444">
        <f t="array" ref="J5404">IFERROR(INDEX('Retirement Calculator'!J:J,MATCH('Isaac 401k'!N5404,'Retirement Calculator'!A:A,0),0),0)</f>
        <v>0</v>
      </c>
      <c r="K5404" s="444">
        <f t="shared" ca="1" si="206"/>
        <v>-600283999496.60413</v>
      </c>
      <c r="L5404" s="444">
        <f t="shared" ca="1" si="207"/>
        <v>-144668443878681.59</v>
      </c>
      <c r="M5404" s="460">
        <f t="shared" si="209"/>
        <v>0.05</v>
      </c>
      <c r="N5404" s="464">
        <f t="shared" si="210"/>
        <v>215527</v>
      </c>
    </row>
    <row r="5405" spans="7:14" ht="11.25" customHeight="1" x14ac:dyDescent="0.3">
      <c r="G5405" s="459"/>
      <c r="H5405" s="459">
        <v>5398</v>
      </c>
      <c r="I5405" s="444">
        <f t="shared" ca="1" si="208"/>
        <v>-144668443878681.59</v>
      </c>
      <c r="J5405" s="444">
        <f t="array" ref="J5405">IFERROR(INDEX('Retirement Calculator'!J:J,MATCH('Isaac 401k'!N5405,'Retirement Calculator'!A:A,0),0),0)</f>
        <v>0</v>
      </c>
      <c r="K5405" s="444">
        <f t="shared" ca="1" si="206"/>
        <v>-602785182827.83997</v>
      </c>
      <c r="L5405" s="444">
        <f t="shared" ca="1" si="207"/>
        <v>-145271229061509.44</v>
      </c>
      <c r="M5405" s="460">
        <f t="shared" si="209"/>
        <v>0.05</v>
      </c>
      <c r="N5405" s="464">
        <f t="shared" si="210"/>
        <v>215555</v>
      </c>
    </row>
    <row r="5406" spans="7:14" ht="11.25" customHeight="1" x14ac:dyDescent="0.3">
      <c r="G5406" s="459"/>
      <c r="H5406" s="459">
        <v>5399</v>
      </c>
      <c r="I5406" s="444">
        <f t="shared" ca="1" si="208"/>
        <v>-145271229061509.44</v>
      </c>
      <c r="J5406" s="444">
        <f t="array" ref="J5406">IFERROR(INDEX('Retirement Calculator'!J:J,MATCH('Isaac 401k'!N5406,'Retirement Calculator'!A:A,0),0),0)</f>
        <v>0</v>
      </c>
      <c r="K5406" s="444">
        <f t="shared" ca="1" si="206"/>
        <v>-605296787756.28931</v>
      </c>
      <c r="L5406" s="444">
        <f t="shared" ca="1" si="207"/>
        <v>-145876525849265.72</v>
      </c>
      <c r="M5406" s="460">
        <f t="shared" si="209"/>
        <v>0.05</v>
      </c>
      <c r="N5406" s="464">
        <f t="shared" si="210"/>
        <v>215586</v>
      </c>
    </row>
    <row r="5407" spans="7:14" ht="11.25" customHeight="1" x14ac:dyDescent="0.3">
      <c r="G5407" s="459"/>
      <c r="H5407" s="459">
        <v>5400</v>
      </c>
      <c r="I5407" s="444">
        <f t="shared" ca="1" si="208"/>
        <v>-145876525849265.72</v>
      </c>
      <c r="J5407" s="444">
        <f t="array" ref="J5407">IFERROR(INDEX('Retirement Calculator'!J:J,MATCH('Isaac 401k'!N5407,'Retirement Calculator'!A:A,0),0),0)</f>
        <v>0</v>
      </c>
      <c r="K5407" s="444">
        <f t="shared" ca="1" si="206"/>
        <v>-607818857705.2738</v>
      </c>
      <c r="L5407" s="444">
        <f t="shared" ca="1" si="207"/>
        <v>-146484344706971</v>
      </c>
      <c r="M5407" s="460">
        <f t="shared" si="209"/>
        <v>0.05</v>
      </c>
      <c r="N5407" s="464">
        <f t="shared" si="210"/>
        <v>215616</v>
      </c>
    </row>
    <row r="5408" spans="7:14" ht="11.25" customHeight="1" x14ac:dyDescent="0.3">
      <c r="G5408" s="459"/>
      <c r="H5408" s="459">
        <v>5401</v>
      </c>
      <c r="I5408" s="444">
        <f t="shared" ca="1" si="208"/>
        <v>-146484344706971</v>
      </c>
      <c r="J5408" s="444">
        <f t="array" ref="J5408">IFERROR(INDEX('Retirement Calculator'!J:J,MATCH('Isaac 401k'!N5408,'Retirement Calculator'!A:A,0),0),0)</f>
        <v>0</v>
      </c>
      <c r="K5408" s="444">
        <f t="shared" ca="1" si="206"/>
        <v>-610351436279.04578</v>
      </c>
      <c r="L5408" s="444">
        <f t="shared" ca="1" si="207"/>
        <v>-147094696143250.03</v>
      </c>
      <c r="M5408" s="460">
        <f t="shared" si="209"/>
        <v>0.05</v>
      </c>
      <c r="N5408" s="464">
        <f t="shared" si="210"/>
        <v>215647</v>
      </c>
    </row>
    <row r="5409" spans="7:14" ht="11.25" customHeight="1" x14ac:dyDescent="0.3">
      <c r="G5409" s="459"/>
      <c r="H5409" s="459">
        <v>5402</v>
      </c>
      <c r="I5409" s="444">
        <f t="shared" ca="1" si="208"/>
        <v>-147094696143250.03</v>
      </c>
      <c r="J5409" s="444">
        <f t="array" ref="J5409">IFERROR(INDEX('Retirement Calculator'!J:J,MATCH('Isaac 401k'!N5409,'Retirement Calculator'!A:A,0),0),0)</f>
        <v>0</v>
      </c>
      <c r="K5409" s="444">
        <f t="shared" ca="1" si="206"/>
        <v>-612894567263.54175</v>
      </c>
      <c r="L5409" s="444">
        <f t="shared" ca="1" si="207"/>
        <v>-147707590710513.56</v>
      </c>
      <c r="M5409" s="460">
        <f t="shared" si="209"/>
        <v>0.05</v>
      </c>
      <c r="N5409" s="464">
        <f t="shared" si="210"/>
        <v>215677</v>
      </c>
    </row>
    <row r="5410" spans="7:14" ht="11.25" customHeight="1" x14ac:dyDescent="0.3">
      <c r="G5410" s="459"/>
      <c r="H5410" s="459">
        <v>5403</v>
      </c>
      <c r="I5410" s="444">
        <f t="shared" ca="1" si="208"/>
        <v>-147707590710513.56</v>
      </c>
      <c r="J5410" s="444">
        <f t="array" ref="J5410">IFERROR(INDEX('Retirement Calculator'!J:J,MATCH('Isaac 401k'!N5410,'Retirement Calculator'!A:A,0),0),0)</f>
        <v>0</v>
      </c>
      <c r="K5410" s="444">
        <f t="shared" ca="1" si="206"/>
        <v>-615448294627.13989</v>
      </c>
      <c r="L5410" s="444">
        <f t="shared" ca="1" si="207"/>
        <v>-148323039005140.69</v>
      </c>
      <c r="M5410" s="460">
        <f t="shared" si="209"/>
        <v>0.05</v>
      </c>
      <c r="N5410" s="464">
        <f t="shared" si="210"/>
        <v>215708</v>
      </c>
    </row>
    <row r="5411" spans="7:14" ht="11.25" customHeight="1" x14ac:dyDescent="0.3">
      <c r="G5411" s="459"/>
      <c r="H5411" s="459">
        <v>5404</v>
      </c>
      <c r="I5411" s="444">
        <f t="shared" ca="1" si="208"/>
        <v>-148323039005140.69</v>
      </c>
      <c r="J5411" s="444">
        <f t="array" ref="J5411">IFERROR(INDEX('Retirement Calculator'!J:J,MATCH('Isaac 401k'!N5411,'Retirement Calculator'!A:A,0),0),0)</f>
        <v>0</v>
      </c>
      <c r="K5411" s="444">
        <f t="shared" ca="1" si="206"/>
        <v>-618012662521.41956</v>
      </c>
      <c r="L5411" s="444">
        <f t="shared" ca="1" si="207"/>
        <v>-148941051667662.09</v>
      </c>
      <c r="M5411" s="460">
        <f t="shared" si="209"/>
        <v>0.05</v>
      </c>
      <c r="N5411" s="464">
        <f t="shared" si="210"/>
        <v>215739</v>
      </c>
    </row>
    <row r="5412" spans="7:14" ht="11.25" customHeight="1" x14ac:dyDescent="0.3">
      <c r="G5412" s="459"/>
      <c r="H5412" s="459">
        <v>5405</v>
      </c>
      <c r="I5412" s="444">
        <f t="shared" ca="1" si="208"/>
        <v>-148941051667662.09</v>
      </c>
      <c r="J5412" s="444">
        <f t="array" ref="J5412">IFERROR(INDEX('Retirement Calculator'!J:J,MATCH('Isaac 401k'!N5412,'Retirement Calculator'!A:A,0),0),0)</f>
        <v>0</v>
      </c>
      <c r="K5412" s="444">
        <f t="shared" ca="1" si="206"/>
        <v>-620587715281.92542</v>
      </c>
      <c r="L5412" s="444">
        <f t="shared" ca="1" si="207"/>
        <v>-149561639382944.03</v>
      </c>
      <c r="M5412" s="460">
        <f t="shared" si="209"/>
        <v>0.05</v>
      </c>
      <c r="N5412" s="464">
        <f t="shared" si="210"/>
        <v>215769</v>
      </c>
    </row>
    <row r="5413" spans="7:14" ht="11.25" customHeight="1" x14ac:dyDescent="0.3">
      <c r="G5413" s="459"/>
      <c r="H5413" s="459">
        <v>5406</v>
      </c>
      <c r="I5413" s="444">
        <f t="shared" ca="1" si="208"/>
        <v>-149561639382944.03</v>
      </c>
      <c r="J5413" s="444">
        <f t="array" ref="J5413">IFERROR(INDEX('Retirement Calculator'!J:J,MATCH('Isaac 401k'!N5413,'Retirement Calculator'!A:A,0),0),0)</f>
        <v>0</v>
      </c>
      <c r="K5413" s="444">
        <f t="shared" ca="1" si="206"/>
        <v>-623173497428.93347</v>
      </c>
      <c r="L5413" s="444">
        <f t="shared" ca="1" si="207"/>
        <v>-150184812880372.97</v>
      </c>
      <c r="M5413" s="460">
        <f t="shared" si="209"/>
        <v>0.05</v>
      </c>
      <c r="N5413" s="464">
        <f t="shared" si="210"/>
        <v>215800</v>
      </c>
    </row>
    <row r="5414" spans="7:14" ht="11.25" customHeight="1" x14ac:dyDescent="0.3">
      <c r="G5414" s="459"/>
      <c r="H5414" s="459">
        <v>5407</v>
      </c>
      <c r="I5414" s="444">
        <f t="shared" ca="1" si="208"/>
        <v>-150184812880372.97</v>
      </c>
      <c r="J5414" s="444">
        <f t="array" ref="J5414">IFERROR(INDEX('Retirement Calculator'!J:J,MATCH('Isaac 401k'!N5414,'Retirement Calculator'!A:A,0),0),0)</f>
        <v>0</v>
      </c>
      <c r="K5414" s="444">
        <f t="shared" ca="1" si="206"/>
        <v>-625770053668.2207</v>
      </c>
      <c r="L5414" s="444">
        <f t="shared" ca="1" si="207"/>
        <v>-150810582934041.19</v>
      </c>
      <c r="M5414" s="460">
        <f t="shared" si="209"/>
        <v>0.05</v>
      </c>
      <c r="N5414" s="464">
        <f t="shared" si="210"/>
        <v>215830</v>
      </c>
    </row>
    <row r="5415" spans="7:14" ht="11.25" customHeight="1" x14ac:dyDescent="0.3">
      <c r="G5415" s="459"/>
      <c r="H5415" s="459">
        <v>5408</v>
      </c>
      <c r="I5415" s="444">
        <f t="shared" ca="1" si="208"/>
        <v>-150810582934041.19</v>
      </c>
      <c r="J5415" s="444">
        <f t="array" ref="J5415">IFERROR(INDEX('Retirement Calculator'!J:J,MATCH('Isaac 401k'!N5415,'Retirement Calculator'!A:A,0),0),0)</f>
        <v>0</v>
      </c>
      <c r="K5415" s="444">
        <f t="shared" ca="1" si="206"/>
        <v>-628377428891.83826</v>
      </c>
      <c r="L5415" s="444">
        <f t="shared" ca="1" si="207"/>
        <v>-151438960362933.03</v>
      </c>
      <c r="M5415" s="460">
        <f t="shared" si="209"/>
        <v>0.05</v>
      </c>
      <c r="N5415" s="464">
        <f t="shared" si="210"/>
        <v>215861</v>
      </c>
    </row>
    <row r="5416" spans="7:14" ht="11.25" customHeight="1" x14ac:dyDescent="0.3">
      <c r="G5416" s="459"/>
      <c r="H5416" s="459">
        <v>5409</v>
      </c>
      <c r="I5416" s="444">
        <f t="shared" ca="1" si="208"/>
        <v>-151438960362933.03</v>
      </c>
      <c r="J5416" s="444">
        <f t="array" ref="J5416">IFERROR(INDEX('Retirement Calculator'!J:J,MATCH('Isaac 401k'!N5416,'Retirement Calculator'!A:A,0),0),0)</f>
        <v>0</v>
      </c>
      <c r="K5416" s="444">
        <f t="shared" ca="1" si="206"/>
        <v>-630995668178.88757</v>
      </c>
      <c r="L5416" s="444">
        <f t="shared" ca="1" si="207"/>
        <v>-152069956031111.91</v>
      </c>
      <c r="M5416" s="460">
        <f t="shared" si="209"/>
        <v>0.05</v>
      </c>
      <c r="N5416" s="464">
        <f t="shared" si="210"/>
        <v>215892</v>
      </c>
    </row>
    <row r="5417" spans="7:14" ht="11.25" customHeight="1" x14ac:dyDescent="0.3">
      <c r="G5417" s="459"/>
      <c r="H5417" s="459">
        <v>5410</v>
      </c>
      <c r="I5417" s="444">
        <f t="shared" ca="1" si="208"/>
        <v>-152069956031111.91</v>
      </c>
      <c r="J5417" s="444">
        <f t="array" ref="J5417">IFERROR(INDEX('Retirement Calculator'!J:J,MATCH('Isaac 401k'!N5417,'Retirement Calculator'!A:A,0),0),0)</f>
        <v>0</v>
      </c>
      <c r="K5417" s="444">
        <f t="shared" ca="1" si="206"/>
        <v>-633624816796.29956</v>
      </c>
      <c r="L5417" s="444">
        <f t="shared" ca="1" si="207"/>
        <v>-152703580847908.22</v>
      </c>
      <c r="M5417" s="460">
        <f t="shared" si="209"/>
        <v>0.05</v>
      </c>
      <c r="N5417" s="464">
        <f t="shared" si="210"/>
        <v>215920</v>
      </c>
    </row>
    <row r="5418" spans="7:14" ht="11.25" customHeight="1" x14ac:dyDescent="0.3">
      <c r="G5418" s="459"/>
      <c r="H5418" s="459">
        <v>5411</v>
      </c>
      <c r="I5418" s="444">
        <f t="shared" ca="1" si="208"/>
        <v>-152703580847908.22</v>
      </c>
      <c r="J5418" s="444">
        <f t="array" ref="J5418">IFERROR(INDEX('Retirement Calculator'!J:J,MATCH('Isaac 401k'!N5418,'Retirement Calculator'!A:A,0),0),0)</f>
        <v>0</v>
      </c>
      <c r="K5418" s="444">
        <f t="shared" ca="1" si="206"/>
        <v>-636264920199.61755</v>
      </c>
      <c r="L5418" s="444">
        <f t="shared" ca="1" si="207"/>
        <v>-153339845768107.84</v>
      </c>
      <c r="M5418" s="460">
        <f t="shared" si="209"/>
        <v>0.05</v>
      </c>
      <c r="N5418" s="464">
        <f t="shared" si="210"/>
        <v>215951</v>
      </c>
    </row>
    <row r="5419" spans="7:14" ht="11.25" customHeight="1" x14ac:dyDescent="0.3">
      <c r="G5419" s="459"/>
      <c r="H5419" s="459">
        <v>5412</v>
      </c>
      <c r="I5419" s="444">
        <f t="shared" ca="1" si="208"/>
        <v>-153339845768107.84</v>
      </c>
      <c r="J5419" s="444">
        <f t="array" ref="J5419">IFERROR(INDEX('Retirement Calculator'!J:J,MATCH('Isaac 401k'!N5419,'Retirement Calculator'!A:A,0),0),0)</f>
        <v>0</v>
      </c>
      <c r="K5419" s="444">
        <f t="shared" ca="1" si="206"/>
        <v>-638916024033.78271</v>
      </c>
      <c r="L5419" s="444">
        <f t="shared" ca="1" si="207"/>
        <v>-153978761792141.63</v>
      </c>
      <c r="M5419" s="460">
        <f t="shared" si="209"/>
        <v>0.05</v>
      </c>
      <c r="N5419" s="464">
        <f t="shared" si="210"/>
        <v>215981</v>
      </c>
    </row>
    <row r="5420" spans="7:14" ht="11.25" customHeight="1" x14ac:dyDescent="0.3">
      <c r="G5420" s="459"/>
      <c r="H5420" s="459">
        <v>5413</v>
      </c>
      <c r="I5420" s="444">
        <f t="shared" ca="1" si="208"/>
        <v>-153978761792141.63</v>
      </c>
      <c r="J5420" s="444">
        <f t="array" ref="J5420">IFERROR(INDEX('Retirement Calculator'!J:J,MATCH('Isaac 401k'!N5420,'Retirement Calculator'!A:A,0),0),0)</f>
        <v>0</v>
      </c>
      <c r="K5420" s="444">
        <f t="shared" ca="1" si="206"/>
        <v>-641578174133.92346</v>
      </c>
      <c r="L5420" s="444">
        <f t="shared" ca="1" si="207"/>
        <v>-154620339966275.56</v>
      </c>
      <c r="M5420" s="460">
        <f t="shared" si="209"/>
        <v>0.05</v>
      </c>
      <c r="N5420" s="464">
        <f t="shared" si="210"/>
        <v>216012</v>
      </c>
    </row>
    <row r="5421" spans="7:14" ht="11.25" customHeight="1" x14ac:dyDescent="0.3">
      <c r="G5421" s="459"/>
      <c r="H5421" s="459">
        <v>5414</v>
      </c>
      <c r="I5421" s="444">
        <f t="shared" ca="1" si="208"/>
        <v>-154620339966275.56</v>
      </c>
      <c r="J5421" s="444">
        <f t="array" ref="J5421">IFERROR(INDEX('Retirement Calculator'!J:J,MATCH('Isaac 401k'!N5421,'Retirement Calculator'!A:A,0),0),0)</f>
        <v>0</v>
      </c>
      <c r="K5421" s="444">
        <f t="shared" ca="1" si="206"/>
        <v>-644251416526.14819</v>
      </c>
      <c r="L5421" s="444">
        <f t="shared" ca="1" si="207"/>
        <v>-155264591382801.72</v>
      </c>
      <c r="M5421" s="460">
        <f t="shared" si="209"/>
        <v>0.05</v>
      </c>
      <c r="N5421" s="464">
        <f t="shared" si="210"/>
        <v>216042</v>
      </c>
    </row>
    <row r="5422" spans="7:14" ht="11.25" customHeight="1" x14ac:dyDescent="0.3">
      <c r="G5422" s="459"/>
      <c r="H5422" s="459">
        <v>5415</v>
      </c>
      <c r="I5422" s="444">
        <f t="shared" ca="1" si="208"/>
        <v>-155264591382801.72</v>
      </c>
      <c r="J5422" s="444">
        <f t="array" ref="J5422">IFERROR(INDEX('Retirement Calculator'!J:J,MATCH('Isaac 401k'!N5422,'Retirement Calculator'!A:A,0),0),0)</f>
        <v>0</v>
      </c>
      <c r="K5422" s="444">
        <f t="shared" ca="1" si="206"/>
        <v>-646935797428.34045</v>
      </c>
      <c r="L5422" s="444">
        <f t="shared" ca="1" si="207"/>
        <v>-155911527180230.06</v>
      </c>
      <c r="M5422" s="460">
        <f t="shared" si="209"/>
        <v>0.05</v>
      </c>
      <c r="N5422" s="464">
        <f t="shared" si="210"/>
        <v>216073</v>
      </c>
    </row>
    <row r="5423" spans="7:14" ht="11.25" customHeight="1" x14ac:dyDescent="0.3">
      <c r="G5423" s="459"/>
      <c r="H5423" s="459">
        <v>5416</v>
      </c>
      <c r="I5423" s="444">
        <f t="shared" ca="1" si="208"/>
        <v>-155911527180230.06</v>
      </c>
      <c r="J5423" s="444">
        <f t="array" ref="J5423">IFERROR(INDEX('Retirement Calculator'!J:J,MATCH('Isaac 401k'!N5423,'Retirement Calculator'!A:A,0),0),0)</f>
        <v>0</v>
      </c>
      <c r="K5423" s="444">
        <f t="shared" ca="1" si="206"/>
        <v>-649631363250.95862</v>
      </c>
      <c r="L5423" s="444">
        <f t="shared" ca="1" si="207"/>
        <v>-156561158543481.03</v>
      </c>
      <c r="M5423" s="460">
        <f t="shared" si="209"/>
        <v>0.05</v>
      </c>
      <c r="N5423" s="464">
        <f t="shared" si="210"/>
        <v>216104</v>
      </c>
    </row>
    <row r="5424" spans="7:14" ht="11.25" customHeight="1" x14ac:dyDescent="0.3">
      <c r="G5424" s="459"/>
      <c r="H5424" s="459">
        <v>5417</v>
      </c>
      <c r="I5424" s="444">
        <f t="shared" ca="1" si="208"/>
        <v>-156561158543481.03</v>
      </c>
      <c r="J5424" s="444">
        <f t="array" ref="J5424">IFERROR(INDEX('Retirement Calculator'!J:J,MATCH('Isaac 401k'!N5424,'Retirement Calculator'!A:A,0),0),0)</f>
        <v>0</v>
      </c>
      <c r="K5424" s="444">
        <f t="shared" ca="1" si="206"/>
        <v>-652338160597.83765</v>
      </c>
      <c r="L5424" s="444">
        <f t="shared" ca="1" si="207"/>
        <v>-157213496704078.88</v>
      </c>
      <c r="M5424" s="460">
        <f t="shared" si="209"/>
        <v>0.05</v>
      </c>
      <c r="N5424" s="464">
        <f t="shared" si="210"/>
        <v>216134</v>
      </c>
    </row>
    <row r="5425" spans="7:14" ht="11.25" customHeight="1" x14ac:dyDescent="0.3">
      <c r="G5425" s="459"/>
      <c r="H5425" s="459">
        <v>5418</v>
      </c>
      <c r="I5425" s="444">
        <f t="shared" ca="1" si="208"/>
        <v>-157213496704078.88</v>
      </c>
      <c r="J5425" s="444">
        <f t="array" ref="J5425">IFERROR(INDEX('Retirement Calculator'!J:J,MATCH('Isaac 401k'!N5425,'Retirement Calculator'!A:A,0),0),0)</f>
        <v>0</v>
      </c>
      <c r="K5425" s="444">
        <f t="shared" ca="1" si="206"/>
        <v>-655056236266.99536</v>
      </c>
      <c r="L5425" s="444">
        <f t="shared" ca="1" si="207"/>
        <v>-157868552940345.88</v>
      </c>
      <c r="M5425" s="460">
        <f t="shared" si="209"/>
        <v>0.05</v>
      </c>
      <c r="N5425" s="464">
        <f t="shared" si="210"/>
        <v>216165</v>
      </c>
    </row>
    <row r="5426" spans="7:14" ht="11.25" customHeight="1" x14ac:dyDescent="0.3">
      <c r="G5426" s="459"/>
      <c r="H5426" s="459">
        <v>5419</v>
      </c>
      <c r="I5426" s="444">
        <f t="shared" ca="1" si="208"/>
        <v>-157868552940345.88</v>
      </c>
      <c r="J5426" s="444">
        <f t="array" ref="J5426">IFERROR(INDEX('Retirement Calculator'!J:J,MATCH('Isaac 401k'!N5426,'Retirement Calculator'!A:A,0),0),0)</f>
        <v>0</v>
      </c>
      <c r="K5426" s="444">
        <f t="shared" ca="1" si="206"/>
        <v>-657785637251.44116</v>
      </c>
      <c r="L5426" s="444">
        <f t="shared" ca="1" si="207"/>
        <v>-158526338577597.31</v>
      </c>
      <c r="M5426" s="460">
        <f t="shared" si="209"/>
        <v>0.05</v>
      </c>
      <c r="N5426" s="464">
        <f t="shared" si="210"/>
        <v>216195</v>
      </c>
    </row>
    <row r="5427" spans="7:14" ht="11.25" customHeight="1" x14ac:dyDescent="0.3">
      <c r="G5427" s="459"/>
      <c r="H5427" s="459">
        <v>5420</v>
      </c>
      <c r="I5427" s="444">
        <f t="shared" ca="1" si="208"/>
        <v>-158526338577597.31</v>
      </c>
      <c r="J5427" s="444">
        <f t="array" ref="J5427">IFERROR(INDEX('Retirement Calculator'!J:J,MATCH('Isaac 401k'!N5427,'Retirement Calculator'!A:A,0),0),0)</f>
        <v>0</v>
      </c>
      <c r="K5427" s="444">
        <f t="shared" ca="1" si="206"/>
        <v>-660526410739.98877</v>
      </c>
      <c r="L5427" s="444">
        <f t="shared" ca="1" si="207"/>
        <v>-159186864988337.31</v>
      </c>
      <c r="M5427" s="460">
        <f t="shared" si="209"/>
        <v>0.05</v>
      </c>
      <c r="N5427" s="464">
        <f t="shared" si="210"/>
        <v>216226</v>
      </c>
    </row>
    <row r="5428" spans="7:14" ht="11.25" customHeight="1" x14ac:dyDescent="0.3">
      <c r="G5428" s="459"/>
      <c r="H5428" s="459">
        <v>5421</v>
      </c>
      <c r="I5428" s="444">
        <f t="shared" ca="1" si="208"/>
        <v>-159186864988337.31</v>
      </c>
      <c r="J5428" s="444">
        <f t="array" ref="J5428">IFERROR(INDEX('Retirement Calculator'!J:J,MATCH('Isaac 401k'!N5428,'Retirement Calculator'!A:A,0),0),0)</f>
        <v>0</v>
      </c>
      <c r="K5428" s="444">
        <f t="shared" ca="1" si="206"/>
        <v>-663278604118.07214</v>
      </c>
      <c r="L5428" s="444">
        <f t="shared" ca="1" si="207"/>
        <v>-159850143592455.38</v>
      </c>
      <c r="M5428" s="460">
        <f t="shared" si="209"/>
        <v>0.05</v>
      </c>
      <c r="N5428" s="464">
        <f t="shared" si="210"/>
        <v>216257</v>
      </c>
    </row>
    <row r="5429" spans="7:14" ht="11.25" customHeight="1" x14ac:dyDescent="0.3">
      <c r="G5429" s="459"/>
      <c r="H5429" s="459">
        <v>5422</v>
      </c>
      <c r="I5429" s="444">
        <f t="shared" ca="1" si="208"/>
        <v>-159850143592455.38</v>
      </c>
      <c r="J5429" s="444">
        <f t="array" ref="J5429">IFERROR(INDEX('Retirement Calculator'!J:J,MATCH('Isaac 401k'!N5429,'Retirement Calculator'!A:A,0),0),0)</f>
        <v>0</v>
      </c>
      <c r="K5429" s="444">
        <f t="shared" ca="1" si="206"/>
        <v>-666042264968.56409</v>
      </c>
      <c r="L5429" s="444">
        <f t="shared" ca="1" si="207"/>
        <v>-160516185857423.94</v>
      </c>
      <c r="M5429" s="460">
        <f t="shared" si="209"/>
        <v>0.05</v>
      </c>
      <c r="N5429" s="464">
        <f t="shared" si="210"/>
        <v>216286</v>
      </c>
    </row>
    <row r="5430" spans="7:14" ht="11.25" customHeight="1" x14ac:dyDescent="0.3">
      <c r="G5430" s="459"/>
      <c r="H5430" s="459">
        <v>5423</v>
      </c>
      <c r="I5430" s="444">
        <f t="shared" ca="1" si="208"/>
        <v>-160516185857423.94</v>
      </c>
      <c r="J5430" s="444">
        <f t="array" ref="J5430">IFERROR(INDEX('Retirement Calculator'!J:J,MATCH('Isaac 401k'!N5430,'Retirement Calculator'!A:A,0),0),0)</f>
        <v>0</v>
      </c>
      <c r="K5430" s="444">
        <f t="shared" ca="1" si="206"/>
        <v>-668817441072.59973</v>
      </c>
      <c r="L5430" s="444">
        <f t="shared" ca="1" si="207"/>
        <v>-161185003298496.53</v>
      </c>
      <c r="M5430" s="460">
        <f t="shared" si="209"/>
        <v>0.05</v>
      </c>
      <c r="N5430" s="464">
        <f t="shared" si="210"/>
        <v>216317</v>
      </c>
    </row>
    <row r="5431" spans="7:14" ht="11.25" customHeight="1" x14ac:dyDescent="0.3">
      <c r="G5431" s="459"/>
      <c r="H5431" s="459">
        <v>5424</v>
      </c>
      <c r="I5431" s="444">
        <f t="shared" ca="1" si="208"/>
        <v>-161185003298496.53</v>
      </c>
      <c r="J5431" s="444">
        <f t="array" ref="J5431">IFERROR(INDEX('Retirement Calculator'!J:J,MATCH('Isaac 401k'!N5431,'Retirement Calculator'!A:A,0),0),0)</f>
        <v>0</v>
      </c>
      <c r="K5431" s="444">
        <f t="shared" ca="1" si="206"/>
        <v>-671604180410.40222</v>
      </c>
      <c r="L5431" s="444">
        <f t="shared" ca="1" si="207"/>
        <v>-161856607478906.94</v>
      </c>
      <c r="M5431" s="460">
        <f t="shared" si="209"/>
        <v>0.05</v>
      </c>
      <c r="N5431" s="464">
        <f t="shared" si="210"/>
        <v>216347</v>
      </c>
    </row>
    <row r="5432" spans="7:14" ht="11.25" customHeight="1" x14ac:dyDescent="0.3">
      <c r="G5432" s="459"/>
      <c r="H5432" s="459">
        <v>5425</v>
      </c>
      <c r="I5432" s="444">
        <f t="shared" ca="1" si="208"/>
        <v>-161856607478906.94</v>
      </c>
      <c r="J5432" s="444">
        <f t="array" ref="J5432">IFERROR(INDEX('Retirement Calculator'!J:J,MATCH('Isaac 401k'!N5432,'Retirement Calculator'!A:A,0),0),0)</f>
        <v>0</v>
      </c>
      <c r="K5432" s="444">
        <f t="shared" ca="1" si="206"/>
        <v>-674402531162.11218</v>
      </c>
      <c r="L5432" s="444">
        <f t="shared" ca="1" si="207"/>
        <v>-162531010010069.06</v>
      </c>
      <c r="M5432" s="460">
        <f t="shared" si="209"/>
        <v>0.05</v>
      </c>
      <c r="N5432" s="464">
        <f t="shared" si="210"/>
        <v>216378</v>
      </c>
    </row>
    <row r="5433" spans="7:14" ht="11.25" customHeight="1" x14ac:dyDescent="0.3">
      <c r="G5433" s="459"/>
      <c r="H5433" s="459">
        <v>5426</v>
      </c>
      <c r="I5433" s="444">
        <f t="shared" ca="1" si="208"/>
        <v>-162531010010069.06</v>
      </c>
      <c r="J5433" s="444">
        <f t="array" ref="J5433">IFERROR(INDEX('Retirement Calculator'!J:J,MATCH('Isaac 401k'!N5433,'Retirement Calculator'!A:A,0),0),0)</f>
        <v>0</v>
      </c>
      <c r="K5433" s="444">
        <f t="shared" ca="1" si="206"/>
        <v>-677212541708.62109</v>
      </c>
      <c r="L5433" s="444">
        <f t="shared" ca="1" si="207"/>
        <v>-163208222551777.69</v>
      </c>
      <c r="M5433" s="460">
        <f t="shared" si="209"/>
        <v>0.05</v>
      </c>
      <c r="N5433" s="464">
        <f t="shared" si="210"/>
        <v>216408</v>
      </c>
    </row>
    <row r="5434" spans="7:14" ht="11.25" customHeight="1" x14ac:dyDescent="0.3">
      <c r="G5434" s="459"/>
      <c r="H5434" s="459">
        <v>5427</v>
      </c>
      <c r="I5434" s="444">
        <f t="shared" ca="1" si="208"/>
        <v>-163208222551777.69</v>
      </c>
      <c r="J5434" s="444">
        <f t="array" ref="J5434">IFERROR(INDEX('Retirement Calculator'!J:J,MATCH('Isaac 401k'!N5434,'Retirement Calculator'!A:A,0),0),0)</f>
        <v>0</v>
      </c>
      <c r="K5434" s="444">
        <f t="shared" ca="1" si="206"/>
        <v>-680034260632.40698</v>
      </c>
      <c r="L5434" s="444">
        <f t="shared" ca="1" si="207"/>
        <v>-163888256812410.09</v>
      </c>
      <c r="M5434" s="460">
        <f t="shared" si="209"/>
        <v>0.05</v>
      </c>
      <c r="N5434" s="464">
        <f t="shared" si="210"/>
        <v>216439</v>
      </c>
    </row>
    <row r="5435" spans="7:14" ht="11.25" customHeight="1" x14ac:dyDescent="0.3">
      <c r="G5435" s="459"/>
      <c r="H5435" s="459">
        <v>5428</v>
      </c>
      <c r="I5435" s="444">
        <f t="shared" ca="1" si="208"/>
        <v>-163888256812410.09</v>
      </c>
      <c r="J5435" s="444">
        <f t="array" ref="J5435">IFERROR(INDEX('Retirement Calculator'!J:J,MATCH('Isaac 401k'!N5435,'Retirement Calculator'!A:A,0),0),0)</f>
        <v>0</v>
      </c>
      <c r="K5435" s="444">
        <f t="shared" ca="1" si="206"/>
        <v>-682867736718.37537</v>
      </c>
      <c r="L5435" s="444">
        <f t="shared" ca="1" si="207"/>
        <v>-164571124549128.47</v>
      </c>
      <c r="M5435" s="460">
        <f t="shared" si="209"/>
        <v>0.05</v>
      </c>
      <c r="N5435" s="464">
        <f t="shared" si="210"/>
        <v>216470</v>
      </c>
    </row>
    <row r="5436" spans="7:14" ht="11.25" customHeight="1" x14ac:dyDescent="0.3">
      <c r="G5436" s="459"/>
      <c r="H5436" s="459">
        <v>5429</v>
      </c>
      <c r="I5436" s="444">
        <f t="shared" ca="1" si="208"/>
        <v>-164571124549128.47</v>
      </c>
      <c r="J5436" s="444">
        <f t="array" ref="J5436">IFERROR(INDEX('Retirement Calculator'!J:J,MATCH('Isaac 401k'!N5436,'Retirement Calculator'!A:A,0),0),0)</f>
        <v>0</v>
      </c>
      <c r="K5436" s="444">
        <f t="shared" ca="1" si="206"/>
        <v>-685713018954.7019</v>
      </c>
      <c r="L5436" s="444">
        <f t="shared" ca="1" si="207"/>
        <v>-165256837568083.16</v>
      </c>
      <c r="M5436" s="460">
        <f t="shared" si="209"/>
        <v>0.05</v>
      </c>
      <c r="N5436" s="464">
        <f t="shared" si="210"/>
        <v>216500</v>
      </c>
    </row>
    <row r="5437" spans="7:14" ht="11.25" customHeight="1" x14ac:dyDescent="0.3">
      <c r="G5437" s="459"/>
      <c r="H5437" s="459">
        <v>5430</v>
      </c>
      <c r="I5437" s="444">
        <f t="shared" ca="1" si="208"/>
        <v>-165256837568083.16</v>
      </c>
      <c r="J5437" s="444">
        <f t="array" ref="J5437">IFERROR(INDEX('Retirement Calculator'!J:J,MATCH('Isaac 401k'!N5437,'Retirement Calculator'!A:A,0),0),0)</f>
        <v>0</v>
      </c>
      <c r="K5437" s="444">
        <f t="shared" ca="1" si="206"/>
        <v>-688570156533.67981</v>
      </c>
      <c r="L5437" s="444">
        <f t="shared" ca="1" si="207"/>
        <v>-165945407724616.84</v>
      </c>
      <c r="M5437" s="460">
        <f t="shared" si="209"/>
        <v>0.05</v>
      </c>
      <c r="N5437" s="464">
        <f t="shared" si="210"/>
        <v>216531</v>
      </c>
    </row>
    <row r="5438" spans="7:14" ht="11.25" customHeight="1" x14ac:dyDescent="0.3">
      <c r="G5438" s="459"/>
      <c r="H5438" s="459">
        <v>5431</v>
      </c>
      <c r="I5438" s="444">
        <f t="shared" ca="1" si="208"/>
        <v>-165945407724616.84</v>
      </c>
      <c r="J5438" s="444">
        <f t="array" ref="J5438">IFERROR(INDEX('Retirement Calculator'!J:J,MATCH('Isaac 401k'!N5438,'Retirement Calculator'!A:A,0),0),0)</f>
        <v>0</v>
      </c>
      <c r="K5438" s="444">
        <f t="shared" ca="1" si="206"/>
        <v>-691439198852.57019</v>
      </c>
      <c r="L5438" s="444">
        <f t="shared" ca="1" si="207"/>
        <v>-166636846923469.41</v>
      </c>
      <c r="M5438" s="460">
        <f t="shared" si="209"/>
        <v>0.05</v>
      </c>
      <c r="N5438" s="464">
        <f t="shared" si="210"/>
        <v>216561</v>
      </c>
    </row>
    <row r="5439" spans="7:14" ht="11.25" customHeight="1" x14ac:dyDescent="0.3">
      <c r="G5439" s="459"/>
      <c r="H5439" s="459">
        <v>5432</v>
      </c>
      <c r="I5439" s="444">
        <f t="shared" ca="1" si="208"/>
        <v>-166636846923469.41</v>
      </c>
      <c r="J5439" s="444">
        <f t="array" ref="J5439">IFERROR(INDEX('Retirement Calculator'!J:J,MATCH('Isaac 401k'!N5439,'Retirement Calculator'!A:A,0),0),0)</f>
        <v>0</v>
      </c>
      <c r="K5439" s="444">
        <f t="shared" ca="1" si="206"/>
        <v>-694320195514.45581</v>
      </c>
      <c r="L5439" s="444">
        <f t="shared" ca="1" si="207"/>
        <v>-167331167118983.88</v>
      </c>
      <c r="M5439" s="460">
        <f t="shared" si="209"/>
        <v>0.05</v>
      </c>
      <c r="N5439" s="464">
        <f t="shared" si="210"/>
        <v>216592</v>
      </c>
    </row>
    <row r="5440" spans="7:14" ht="11.25" customHeight="1" x14ac:dyDescent="0.3">
      <c r="G5440" s="459"/>
      <c r="H5440" s="459">
        <v>5433</v>
      </c>
      <c r="I5440" s="444">
        <f t="shared" ca="1" si="208"/>
        <v>-167331167118983.88</v>
      </c>
      <c r="J5440" s="444">
        <f t="array" ref="J5440">IFERROR(INDEX('Retirement Calculator'!J:J,MATCH('Isaac 401k'!N5440,'Retirement Calculator'!A:A,0),0),0)</f>
        <v>0</v>
      </c>
      <c r="K5440" s="444">
        <f t="shared" ca="1" si="206"/>
        <v>-697213196329.09949</v>
      </c>
      <c r="L5440" s="444">
        <f t="shared" ca="1" si="207"/>
        <v>-168028380315312.97</v>
      </c>
      <c r="M5440" s="460">
        <f t="shared" si="209"/>
        <v>0.05</v>
      </c>
      <c r="N5440" s="464">
        <f t="shared" si="210"/>
        <v>216623</v>
      </c>
    </row>
    <row r="5441" spans="7:14" ht="11.25" customHeight="1" x14ac:dyDescent="0.3">
      <c r="G5441" s="459"/>
      <c r="H5441" s="459">
        <v>5434</v>
      </c>
      <c r="I5441" s="444">
        <f t="shared" ca="1" si="208"/>
        <v>-168028380315312.97</v>
      </c>
      <c r="J5441" s="444">
        <f t="array" ref="J5441">IFERROR(INDEX('Retirement Calculator'!J:J,MATCH('Isaac 401k'!N5441,'Retirement Calculator'!A:A,0),0),0)</f>
        <v>0</v>
      </c>
      <c r="K5441" s="444">
        <f t="shared" ca="1" si="206"/>
        <v>-700118251313.80408</v>
      </c>
      <c r="L5441" s="444">
        <f t="shared" ca="1" si="207"/>
        <v>-168728498566626.78</v>
      </c>
      <c r="M5441" s="460">
        <f t="shared" si="209"/>
        <v>0.05</v>
      </c>
      <c r="N5441" s="464">
        <f t="shared" si="210"/>
        <v>216651</v>
      </c>
    </row>
    <row r="5442" spans="7:14" ht="11.25" customHeight="1" x14ac:dyDescent="0.3">
      <c r="G5442" s="459"/>
      <c r="H5442" s="459">
        <v>5435</v>
      </c>
      <c r="I5442" s="444">
        <f t="shared" ca="1" si="208"/>
        <v>-168728498566626.78</v>
      </c>
      <c r="J5442" s="444">
        <f t="array" ref="J5442">IFERROR(INDEX('Retirement Calculator'!J:J,MATCH('Isaac 401k'!N5442,'Retirement Calculator'!A:A,0),0),0)</f>
        <v>0</v>
      </c>
      <c r="K5442" s="444">
        <f t="shared" ca="1" si="206"/>
        <v>-703035410694.2782</v>
      </c>
      <c r="L5442" s="444">
        <f t="shared" ca="1" si="207"/>
        <v>-169431533977321.06</v>
      </c>
      <c r="M5442" s="460">
        <f t="shared" si="209"/>
        <v>0.05</v>
      </c>
      <c r="N5442" s="464">
        <f t="shared" si="210"/>
        <v>216682</v>
      </c>
    </row>
    <row r="5443" spans="7:14" ht="11.25" customHeight="1" x14ac:dyDescent="0.3">
      <c r="G5443" s="459"/>
      <c r="H5443" s="459">
        <v>5436</v>
      </c>
      <c r="I5443" s="444">
        <f t="shared" ca="1" si="208"/>
        <v>-169431533977321.06</v>
      </c>
      <c r="J5443" s="444">
        <f t="array" ref="J5443">IFERROR(INDEX('Retirement Calculator'!J:J,MATCH('Isaac 401k'!N5443,'Retirement Calculator'!A:A,0),0),0)</f>
        <v>0</v>
      </c>
      <c r="K5443" s="444">
        <f t="shared" ca="1" si="206"/>
        <v>-705964724905.50439</v>
      </c>
      <c r="L5443" s="444">
        <f t="shared" ca="1" si="207"/>
        <v>-170137498702226.56</v>
      </c>
      <c r="M5443" s="460">
        <f t="shared" si="209"/>
        <v>0.05</v>
      </c>
      <c r="N5443" s="464">
        <f t="shared" si="210"/>
        <v>216712</v>
      </c>
    </row>
    <row r="5444" spans="7:14" ht="11.25" customHeight="1" x14ac:dyDescent="0.3">
      <c r="G5444" s="459"/>
      <c r="H5444" s="459">
        <v>5437</v>
      </c>
      <c r="I5444" s="444">
        <f t="shared" ca="1" si="208"/>
        <v>-170137498702226.56</v>
      </c>
      <c r="J5444" s="444">
        <f t="array" ref="J5444">IFERROR(INDEX('Retirement Calculator'!J:J,MATCH('Isaac 401k'!N5444,'Retirement Calculator'!A:A,0),0),0)</f>
        <v>0</v>
      </c>
      <c r="K5444" s="444">
        <f t="shared" ca="1" si="206"/>
        <v>-708906244592.61072</v>
      </c>
      <c r="L5444" s="444">
        <f t="shared" ca="1" si="207"/>
        <v>-170846404946819.19</v>
      </c>
      <c r="M5444" s="460">
        <f t="shared" si="209"/>
        <v>0.05</v>
      </c>
      <c r="N5444" s="464">
        <f t="shared" si="210"/>
        <v>216743</v>
      </c>
    </row>
    <row r="5445" spans="7:14" ht="11.25" customHeight="1" x14ac:dyDescent="0.3">
      <c r="G5445" s="459"/>
      <c r="H5445" s="459">
        <v>5438</v>
      </c>
      <c r="I5445" s="444">
        <f t="shared" ca="1" si="208"/>
        <v>-170846404946819.19</v>
      </c>
      <c r="J5445" s="444">
        <f t="array" ref="J5445">IFERROR(INDEX('Retirement Calculator'!J:J,MATCH('Isaac 401k'!N5445,'Retirement Calculator'!A:A,0),0),0)</f>
        <v>0</v>
      </c>
      <c r="K5445" s="444">
        <f t="shared" ca="1" si="206"/>
        <v>-711860020611.74658</v>
      </c>
      <c r="L5445" s="444">
        <f t="shared" ca="1" si="207"/>
        <v>-171558264967430.94</v>
      </c>
      <c r="M5445" s="460">
        <f t="shared" si="209"/>
        <v>0.05</v>
      </c>
      <c r="N5445" s="464">
        <f t="shared" si="210"/>
        <v>216773</v>
      </c>
    </row>
    <row r="5446" spans="7:14" ht="11.25" customHeight="1" x14ac:dyDescent="0.3">
      <c r="G5446" s="459"/>
      <c r="H5446" s="459">
        <v>5439</v>
      </c>
      <c r="I5446" s="444">
        <f t="shared" ca="1" si="208"/>
        <v>-171558264967430.94</v>
      </c>
      <c r="J5446" s="444">
        <f t="array" ref="J5446">IFERROR(INDEX('Retirement Calculator'!J:J,MATCH('Isaac 401k'!N5446,'Retirement Calculator'!A:A,0),0),0)</f>
        <v>0</v>
      </c>
      <c r="K5446" s="444">
        <f t="shared" ca="1" si="206"/>
        <v>-714826104030.96228</v>
      </c>
      <c r="L5446" s="444">
        <f t="shared" ca="1" si="207"/>
        <v>-172273091071461.91</v>
      </c>
      <c r="M5446" s="460">
        <f t="shared" si="209"/>
        <v>0.05</v>
      </c>
      <c r="N5446" s="464">
        <f t="shared" si="210"/>
        <v>216804</v>
      </c>
    </row>
    <row r="5447" spans="7:14" ht="11.25" customHeight="1" x14ac:dyDescent="0.3">
      <c r="G5447" s="459"/>
      <c r="H5447" s="459">
        <v>5440</v>
      </c>
      <c r="I5447" s="444">
        <f t="shared" ca="1" si="208"/>
        <v>-172273091071461.91</v>
      </c>
      <c r="J5447" s="444">
        <f t="array" ref="J5447">IFERROR(INDEX('Retirement Calculator'!J:J,MATCH('Isaac 401k'!N5447,'Retirement Calculator'!A:A,0),0),0)</f>
        <v>0</v>
      </c>
      <c r="K5447" s="444">
        <f t="shared" ca="1" si="206"/>
        <v>-717804546131.09131</v>
      </c>
      <c r="L5447" s="444">
        <f t="shared" ca="1" si="207"/>
        <v>-172990895617593</v>
      </c>
      <c r="M5447" s="460">
        <f t="shared" si="209"/>
        <v>0.05</v>
      </c>
      <c r="N5447" s="464">
        <f t="shared" si="210"/>
        <v>216835</v>
      </c>
    </row>
    <row r="5448" spans="7:14" ht="11.25" customHeight="1" x14ac:dyDescent="0.3">
      <c r="G5448" s="459"/>
      <c r="H5448" s="459">
        <v>5441</v>
      </c>
      <c r="I5448" s="444">
        <f t="shared" ca="1" si="208"/>
        <v>-172990895617593</v>
      </c>
      <c r="J5448" s="444">
        <f t="array" ref="J5448">IFERROR(INDEX('Retirement Calculator'!J:J,MATCH('Isaac 401k'!N5448,'Retirement Calculator'!A:A,0),0),0)</f>
        <v>0</v>
      </c>
      <c r="K5448" s="444">
        <f t="shared" ca="1" si="206"/>
        <v>-720795398406.63745</v>
      </c>
      <c r="L5448" s="444">
        <f t="shared" ca="1" si="207"/>
        <v>-173711691015999.63</v>
      </c>
      <c r="M5448" s="460">
        <f t="shared" si="209"/>
        <v>0.05</v>
      </c>
      <c r="N5448" s="464">
        <f t="shared" si="210"/>
        <v>216865</v>
      </c>
    </row>
    <row r="5449" spans="7:14" ht="11.25" customHeight="1" x14ac:dyDescent="0.3">
      <c r="G5449" s="459"/>
      <c r="H5449" s="459">
        <v>5442</v>
      </c>
      <c r="I5449" s="444">
        <f t="shared" ca="1" si="208"/>
        <v>-173711691015999.63</v>
      </c>
      <c r="J5449" s="444">
        <f t="array" ref="J5449">IFERROR(INDEX('Retirement Calculator'!J:J,MATCH('Isaac 401k'!N5449,'Retirement Calculator'!A:A,0),0),0)</f>
        <v>0</v>
      </c>
      <c r="K5449" s="444">
        <f t="shared" ca="1" si="206"/>
        <v>-723798712566.66504</v>
      </c>
      <c r="L5449" s="444">
        <f t="shared" ca="1" si="207"/>
        <v>-174435489728566.28</v>
      </c>
      <c r="M5449" s="460">
        <f t="shared" si="209"/>
        <v>0.05</v>
      </c>
      <c r="N5449" s="464">
        <f t="shared" si="210"/>
        <v>216896</v>
      </c>
    </row>
    <row r="5450" spans="7:14" ht="11.25" customHeight="1" x14ac:dyDescent="0.3">
      <c r="G5450" s="459"/>
      <c r="H5450" s="459">
        <v>5443</v>
      </c>
      <c r="I5450" s="444">
        <f t="shared" ca="1" si="208"/>
        <v>-174435489728566.28</v>
      </c>
      <c r="J5450" s="444">
        <f t="array" ref="J5450">IFERROR(INDEX('Retirement Calculator'!J:J,MATCH('Isaac 401k'!N5450,'Retirement Calculator'!A:A,0),0),0)</f>
        <v>0</v>
      </c>
      <c r="K5450" s="444">
        <f t="shared" ca="1" si="206"/>
        <v>-726814540535.69287</v>
      </c>
      <c r="L5450" s="444">
        <f t="shared" ca="1" si="207"/>
        <v>-175162304269101.97</v>
      </c>
      <c r="M5450" s="460">
        <f t="shared" si="209"/>
        <v>0.05</v>
      </c>
      <c r="N5450" s="464">
        <f t="shared" si="210"/>
        <v>216926</v>
      </c>
    </row>
    <row r="5451" spans="7:14" ht="11.25" customHeight="1" x14ac:dyDescent="0.3">
      <c r="G5451" s="459"/>
      <c r="H5451" s="459">
        <v>5444</v>
      </c>
      <c r="I5451" s="444">
        <f t="shared" ca="1" si="208"/>
        <v>-175162304269101.97</v>
      </c>
      <c r="J5451" s="444">
        <f t="array" ref="J5451">IFERROR(INDEX('Retirement Calculator'!J:J,MATCH('Isaac 401k'!N5451,'Retirement Calculator'!A:A,0),0),0)</f>
        <v>0</v>
      </c>
      <c r="K5451" s="444">
        <f t="shared" ca="1" si="206"/>
        <v>-729842934454.59155</v>
      </c>
      <c r="L5451" s="444">
        <f t="shared" ca="1" si="207"/>
        <v>-175892147203556.56</v>
      </c>
      <c r="M5451" s="460">
        <f t="shared" si="209"/>
        <v>0.05</v>
      </c>
      <c r="N5451" s="464">
        <f t="shared" si="210"/>
        <v>216957</v>
      </c>
    </row>
    <row r="5452" spans="7:14" ht="11.25" customHeight="1" x14ac:dyDescent="0.3">
      <c r="G5452" s="459"/>
      <c r="H5452" s="459">
        <v>5445</v>
      </c>
      <c r="I5452" s="444">
        <f t="shared" ca="1" si="208"/>
        <v>-175892147203556.56</v>
      </c>
      <c r="J5452" s="444">
        <f t="array" ref="J5452">IFERROR(INDEX('Retirement Calculator'!J:J,MATCH('Isaac 401k'!N5452,'Retirement Calculator'!A:A,0),0),0)</f>
        <v>0</v>
      </c>
      <c r="K5452" s="444">
        <f t="shared" ca="1" si="206"/>
        <v>-732883946681.48572</v>
      </c>
      <c r="L5452" s="444">
        <f t="shared" ca="1" si="207"/>
        <v>-176625031150238.06</v>
      </c>
      <c r="M5452" s="460">
        <f t="shared" si="209"/>
        <v>0.05</v>
      </c>
      <c r="N5452" s="464">
        <f t="shared" si="210"/>
        <v>216988</v>
      </c>
    </row>
    <row r="5453" spans="7:14" ht="11.25" customHeight="1" x14ac:dyDescent="0.3">
      <c r="G5453" s="459"/>
      <c r="H5453" s="459">
        <v>5446</v>
      </c>
      <c r="I5453" s="444">
        <f t="shared" ca="1" si="208"/>
        <v>-176625031150238.06</v>
      </c>
      <c r="J5453" s="444">
        <f t="array" ref="J5453">IFERROR(INDEX('Retirement Calculator'!J:J,MATCH('Isaac 401k'!N5453,'Retirement Calculator'!A:A,0),0),0)</f>
        <v>0</v>
      </c>
      <c r="K5453" s="444">
        <f t="shared" ca="1" si="206"/>
        <v>-735937629792.65857</v>
      </c>
      <c r="L5453" s="444">
        <f t="shared" ca="1" si="207"/>
        <v>-177360968780030.72</v>
      </c>
      <c r="M5453" s="460">
        <f t="shared" si="209"/>
        <v>0.05</v>
      </c>
      <c r="N5453" s="464">
        <f t="shared" si="210"/>
        <v>217016</v>
      </c>
    </row>
    <row r="5454" spans="7:14" ht="11.25" customHeight="1" x14ac:dyDescent="0.3">
      <c r="G5454" s="459"/>
      <c r="H5454" s="459">
        <v>5447</v>
      </c>
      <c r="I5454" s="444">
        <f t="shared" ca="1" si="208"/>
        <v>-177360968780030.72</v>
      </c>
      <c r="J5454" s="444">
        <f t="array" ref="J5454">IFERROR(INDEX('Retirement Calculator'!J:J,MATCH('Isaac 401k'!N5454,'Retirement Calculator'!A:A,0),0),0)</f>
        <v>0</v>
      </c>
      <c r="K5454" s="444">
        <f t="shared" ca="1" si="206"/>
        <v>-739004036583.4613</v>
      </c>
      <c r="L5454" s="444">
        <f t="shared" ca="1" si="207"/>
        <v>-178099972816614.19</v>
      </c>
      <c r="M5454" s="460">
        <f t="shared" si="209"/>
        <v>0.05</v>
      </c>
      <c r="N5454" s="464">
        <f t="shared" si="210"/>
        <v>217047</v>
      </c>
    </row>
    <row r="5455" spans="7:14" ht="11.25" customHeight="1" x14ac:dyDescent="0.3">
      <c r="G5455" s="459"/>
      <c r="H5455" s="459">
        <v>5448</v>
      </c>
      <c r="I5455" s="444">
        <f t="shared" ca="1" si="208"/>
        <v>-178099972816614.19</v>
      </c>
      <c r="J5455" s="444">
        <f t="array" ref="J5455">IFERROR(INDEX('Retirement Calculator'!J:J,MATCH('Isaac 401k'!N5455,'Retirement Calculator'!A:A,0),0),0)</f>
        <v>0</v>
      </c>
      <c r="K5455" s="444">
        <f t="shared" ca="1" si="206"/>
        <v>-742083220069.22583</v>
      </c>
      <c r="L5455" s="444">
        <f t="shared" ca="1" si="207"/>
        <v>-178842056036683.41</v>
      </c>
      <c r="M5455" s="460">
        <f t="shared" si="209"/>
        <v>0.05</v>
      </c>
      <c r="N5455" s="464">
        <f t="shared" si="210"/>
        <v>217077</v>
      </c>
    </row>
    <row r="5456" spans="7:14" ht="11.25" customHeight="1" x14ac:dyDescent="0.3">
      <c r="G5456" s="459"/>
      <c r="H5456" s="459">
        <v>5449</v>
      </c>
      <c r="I5456" s="444">
        <f t="shared" ca="1" si="208"/>
        <v>-178842056036683.41</v>
      </c>
      <c r="J5456" s="444">
        <f t="array" ref="J5456">IFERROR(INDEX('Retirement Calculator'!J:J,MATCH('Isaac 401k'!N5456,'Retirement Calculator'!A:A,0),0),0)</f>
        <v>0</v>
      </c>
      <c r="K5456" s="444">
        <f t="shared" ca="1" si="206"/>
        <v>-745175233486.18091</v>
      </c>
      <c r="L5456" s="444">
        <f t="shared" ca="1" si="207"/>
        <v>-179587231270169.59</v>
      </c>
      <c r="M5456" s="460">
        <f t="shared" si="209"/>
        <v>0.05</v>
      </c>
      <c r="N5456" s="464">
        <f t="shared" si="210"/>
        <v>217108</v>
      </c>
    </row>
    <row r="5457" spans="7:14" ht="11.25" customHeight="1" x14ac:dyDescent="0.3">
      <c r="G5457" s="459"/>
      <c r="H5457" s="459">
        <v>5450</v>
      </c>
      <c r="I5457" s="444">
        <f t="shared" ca="1" si="208"/>
        <v>-179587231270169.59</v>
      </c>
      <c r="J5457" s="444">
        <f t="array" ref="J5457">IFERROR(INDEX('Retirement Calculator'!J:J,MATCH('Isaac 401k'!N5457,'Retirement Calculator'!A:A,0),0),0)</f>
        <v>0</v>
      </c>
      <c r="K5457" s="444">
        <f t="shared" ca="1" si="206"/>
        <v>-748280130292.37329</v>
      </c>
      <c r="L5457" s="444">
        <f t="shared" ca="1" si="207"/>
        <v>-180335511400461.97</v>
      </c>
      <c r="M5457" s="460">
        <f t="shared" si="209"/>
        <v>0.05</v>
      </c>
      <c r="N5457" s="464">
        <f t="shared" si="210"/>
        <v>217138</v>
      </c>
    </row>
    <row r="5458" spans="7:14" ht="11.25" customHeight="1" x14ac:dyDescent="0.3">
      <c r="G5458" s="459"/>
      <c r="H5458" s="459">
        <v>5451</v>
      </c>
      <c r="I5458" s="444">
        <f t="shared" ca="1" si="208"/>
        <v>-180335511400461.97</v>
      </c>
      <c r="J5458" s="444">
        <f t="array" ref="J5458">IFERROR(INDEX('Retirement Calculator'!J:J,MATCH('Isaac 401k'!N5458,'Retirement Calculator'!A:A,0),0),0)</f>
        <v>0</v>
      </c>
      <c r="K5458" s="444">
        <f t="shared" ca="1" si="206"/>
        <v>-751397964168.59155</v>
      </c>
      <c r="L5458" s="444">
        <f t="shared" ca="1" si="207"/>
        <v>-181086909364630.56</v>
      </c>
      <c r="M5458" s="460">
        <f t="shared" si="209"/>
        <v>0.05</v>
      </c>
      <c r="N5458" s="464">
        <f t="shared" si="210"/>
        <v>217169</v>
      </c>
    </row>
    <row r="5459" spans="7:14" ht="11.25" customHeight="1" x14ac:dyDescent="0.3">
      <c r="G5459" s="459"/>
      <c r="H5459" s="459">
        <v>5452</v>
      </c>
      <c r="I5459" s="444">
        <f t="shared" ca="1" si="208"/>
        <v>-181086909364630.56</v>
      </c>
      <c r="J5459" s="444">
        <f t="array" ref="J5459">IFERROR(INDEX('Retirement Calculator'!J:J,MATCH('Isaac 401k'!N5459,'Retirement Calculator'!A:A,0),0),0)</f>
        <v>0</v>
      </c>
      <c r="K5459" s="444">
        <f t="shared" ca="1" si="206"/>
        <v>-754528789019.29395</v>
      </c>
      <c r="L5459" s="444">
        <f t="shared" ca="1" si="207"/>
        <v>-181841438153649.84</v>
      </c>
      <c r="M5459" s="460">
        <f t="shared" si="209"/>
        <v>0.05</v>
      </c>
      <c r="N5459" s="464">
        <f t="shared" si="210"/>
        <v>217200</v>
      </c>
    </row>
    <row r="5460" spans="7:14" ht="11.25" customHeight="1" x14ac:dyDescent="0.3">
      <c r="G5460" s="459"/>
      <c r="H5460" s="459">
        <v>5453</v>
      </c>
      <c r="I5460" s="444">
        <f t="shared" ca="1" si="208"/>
        <v>-181841438153649.84</v>
      </c>
      <c r="J5460" s="444">
        <f t="array" ref="J5460">IFERROR(INDEX('Retirement Calculator'!J:J,MATCH('Isaac 401k'!N5460,'Retirement Calculator'!A:A,0),0),0)</f>
        <v>0</v>
      </c>
      <c r="K5460" s="444">
        <f t="shared" ca="1" si="206"/>
        <v>-757672658973.54102</v>
      </c>
      <c r="L5460" s="444">
        <f t="shared" ca="1" si="207"/>
        <v>-182599110812623.38</v>
      </c>
      <c r="M5460" s="460">
        <f t="shared" si="209"/>
        <v>0.05</v>
      </c>
      <c r="N5460" s="464">
        <f t="shared" si="210"/>
        <v>217230</v>
      </c>
    </row>
    <row r="5461" spans="7:14" ht="11.25" customHeight="1" x14ac:dyDescent="0.3">
      <c r="G5461" s="459"/>
      <c r="H5461" s="459">
        <v>5454</v>
      </c>
      <c r="I5461" s="444">
        <f t="shared" ca="1" si="208"/>
        <v>-182599110812623.38</v>
      </c>
      <c r="J5461" s="444">
        <f t="array" ref="J5461">IFERROR(INDEX('Retirement Calculator'!J:J,MATCH('Isaac 401k'!N5461,'Retirement Calculator'!A:A,0),0),0)</f>
        <v>0</v>
      </c>
      <c r="K5461" s="444">
        <f t="shared" ca="1" si="206"/>
        <v>-760829628385.93066</v>
      </c>
      <c r="L5461" s="444">
        <f t="shared" ca="1" si="207"/>
        <v>-183359940441009.31</v>
      </c>
      <c r="M5461" s="460">
        <f t="shared" si="209"/>
        <v>0.05</v>
      </c>
      <c r="N5461" s="464">
        <f t="shared" si="210"/>
        <v>217261</v>
      </c>
    </row>
    <row r="5462" spans="7:14" ht="11.25" customHeight="1" x14ac:dyDescent="0.3">
      <c r="G5462" s="459"/>
      <c r="H5462" s="459">
        <v>5455</v>
      </c>
      <c r="I5462" s="444">
        <f t="shared" ca="1" si="208"/>
        <v>-183359940441009.31</v>
      </c>
      <c r="J5462" s="444">
        <f t="array" ref="J5462">IFERROR(INDEX('Retirement Calculator'!J:J,MATCH('Isaac 401k'!N5462,'Retirement Calculator'!A:A,0),0),0)</f>
        <v>0</v>
      </c>
      <c r="K5462" s="444">
        <f t="shared" ca="1" si="206"/>
        <v>-763999751837.53882</v>
      </c>
      <c r="L5462" s="444">
        <f t="shared" ca="1" si="207"/>
        <v>-184123940192846.84</v>
      </c>
      <c r="M5462" s="460">
        <f t="shared" si="209"/>
        <v>0.05</v>
      </c>
      <c r="N5462" s="464">
        <f t="shared" si="210"/>
        <v>217291</v>
      </c>
    </row>
    <row r="5463" spans="7:14" ht="11.25" customHeight="1" x14ac:dyDescent="0.3">
      <c r="G5463" s="459"/>
      <c r="H5463" s="459">
        <v>5456</v>
      </c>
      <c r="I5463" s="444">
        <f t="shared" ca="1" si="208"/>
        <v>-184123940192846.84</v>
      </c>
      <c r="J5463" s="444">
        <f t="array" ref="J5463">IFERROR(INDEX('Retirement Calculator'!J:J,MATCH('Isaac 401k'!N5463,'Retirement Calculator'!A:A,0),0),0)</f>
        <v>0</v>
      </c>
      <c r="K5463" s="444">
        <f t="shared" ca="1" si="206"/>
        <v>-767183084136.86182</v>
      </c>
      <c r="L5463" s="444">
        <f t="shared" ca="1" si="207"/>
        <v>-184891123276983.72</v>
      </c>
      <c r="M5463" s="460">
        <f t="shared" si="209"/>
        <v>0.05</v>
      </c>
      <c r="N5463" s="464">
        <f t="shared" si="210"/>
        <v>217322</v>
      </c>
    </row>
    <row r="5464" spans="7:14" ht="11.25" customHeight="1" x14ac:dyDescent="0.3">
      <c r="G5464" s="459"/>
      <c r="H5464" s="459">
        <v>5457</v>
      </c>
      <c r="I5464" s="444">
        <f t="shared" ca="1" si="208"/>
        <v>-184891123276983.72</v>
      </c>
      <c r="J5464" s="444">
        <f t="array" ref="J5464">IFERROR(INDEX('Retirement Calculator'!J:J,MATCH('Isaac 401k'!N5464,'Retirement Calculator'!A:A,0),0),0)</f>
        <v>0</v>
      </c>
      <c r="K5464" s="444">
        <f t="shared" ca="1" si="206"/>
        <v>-770379680320.7655</v>
      </c>
      <c r="L5464" s="444">
        <f t="shared" ca="1" si="207"/>
        <v>-185661502957304.47</v>
      </c>
      <c r="M5464" s="460">
        <f t="shared" si="209"/>
        <v>0.05</v>
      </c>
      <c r="N5464" s="464">
        <f t="shared" si="210"/>
        <v>217353</v>
      </c>
    </row>
    <row r="5465" spans="7:14" ht="11.25" customHeight="1" x14ac:dyDescent="0.3">
      <c r="G5465" s="459"/>
      <c r="H5465" s="459">
        <v>5458</v>
      </c>
      <c r="I5465" s="444">
        <f t="shared" ca="1" si="208"/>
        <v>-185661502957304.47</v>
      </c>
      <c r="J5465" s="444">
        <f t="array" ref="J5465">IFERROR(INDEX('Retirement Calculator'!J:J,MATCH('Isaac 401k'!N5465,'Retirement Calculator'!A:A,0),0),0)</f>
        <v>0</v>
      </c>
      <c r="K5465" s="444">
        <f t="shared" ca="1" si="206"/>
        <v>-773589595655.4353</v>
      </c>
      <c r="L5465" s="444">
        <f t="shared" ca="1" si="207"/>
        <v>-186435092552959.91</v>
      </c>
      <c r="M5465" s="460">
        <f t="shared" si="209"/>
        <v>0.05</v>
      </c>
      <c r="N5465" s="464">
        <f t="shared" si="210"/>
        <v>217381</v>
      </c>
    </row>
    <row r="5466" spans="7:14" ht="11.25" customHeight="1" x14ac:dyDescent="0.3">
      <c r="G5466" s="459"/>
      <c r="H5466" s="459">
        <v>5459</v>
      </c>
      <c r="I5466" s="444">
        <f t="shared" ca="1" si="208"/>
        <v>-186435092552959.91</v>
      </c>
      <c r="J5466" s="444">
        <f t="array" ref="J5466">IFERROR(INDEX('Retirement Calculator'!J:J,MATCH('Isaac 401k'!N5466,'Retirement Calculator'!A:A,0),0),0)</f>
        <v>0</v>
      </c>
      <c r="K5466" s="444">
        <f t="shared" ca="1" si="206"/>
        <v>-776812885637.33289</v>
      </c>
      <c r="L5466" s="444">
        <f t="shared" ca="1" si="207"/>
        <v>-187211905438597.25</v>
      </c>
      <c r="M5466" s="460">
        <f t="shared" si="209"/>
        <v>0.05</v>
      </c>
      <c r="N5466" s="464">
        <f t="shared" si="210"/>
        <v>217412</v>
      </c>
    </row>
    <row r="5467" spans="7:14" ht="11.25" customHeight="1" x14ac:dyDescent="0.3">
      <c r="G5467" s="459"/>
      <c r="H5467" s="459">
        <v>5460</v>
      </c>
      <c r="I5467" s="444">
        <f t="shared" ca="1" si="208"/>
        <v>-187211905438597.25</v>
      </c>
      <c r="J5467" s="444">
        <f t="array" ref="J5467">IFERROR(INDEX('Retirement Calculator'!J:J,MATCH('Isaac 401k'!N5467,'Retirement Calculator'!A:A,0),0),0)</f>
        <v>0</v>
      </c>
      <c r="K5467" s="444">
        <f t="shared" ca="1" si="206"/>
        <v>-780049605994.15515</v>
      </c>
      <c r="L5467" s="444">
        <f t="shared" ca="1" si="207"/>
        <v>-187991955044591.41</v>
      </c>
      <c r="M5467" s="460">
        <f t="shared" si="209"/>
        <v>0.05</v>
      </c>
      <c r="N5467" s="464">
        <f t="shared" si="210"/>
        <v>217442</v>
      </c>
    </row>
    <row r="5468" spans="7:14" ht="11.25" customHeight="1" x14ac:dyDescent="0.3">
      <c r="G5468" s="459"/>
      <c r="H5468" s="459">
        <v>5461</v>
      </c>
      <c r="I5468" s="444">
        <f t="shared" ca="1" si="208"/>
        <v>-187991955044591.41</v>
      </c>
      <c r="J5468" s="444">
        <f t="array" ref="J5468">IFERROR(INDEX('Retirement Calculator'!J:J,MATCH('Isaac 401k'!N5468,'Retirement Calculator'!A:A,0),0),0)</f>
        <v>0</v>
      </c>
      <c r="K5468" s="444">
        <f t="shared" ca="1" si="206"/>
        <v>-783299812685.79749</v>
      </c>
      <c r="L5468" s="444">
        <f t="shared" ca="1" si="207"/>
        <v>-188775254857277.22</v>
      </c>
      <c r="M5468" s="460">
        <f t="shared" si="209"/>
        <v>0.05</v>
      </c>
      <c r="N5468" s="464">
        <f t="shared" si="210"/>
        <v>217473</v>
      </c>
    </row>
    <row r="5469" spans="7:14" ht="11.25" customHeight="1" x14ac:dyDescent="0.3">
      <c r="G5469" s="459"/>
      <c r="H5469" s="459">
        <v>5462</v>
      </c>
      <c r="I5469" s="444">
        <f t="shared" ca="1" si="208"/>
        <v>-188775254857277.22</v>
      </c>
      <c r="J5469" s="444">
        <f t="array" ref="J5469">IFERROR(INDEX('Retirement Calculator'!J:J,MATCH('Isaac 401k'!N5469,'Retirement Calculator'!A:A,0),0),0)</f>
        <v>0</v>
      </c>
      <c r="K5469" s="444">
        <f t="shared" ca="1" si="206"/>
        <v>-786563561905.32178</v>
      </c>
      <c r="L5469" s="444">
        <f t="shared" ca="1" si="207"/>
        <v>-189561818419182.53</v>
      </c>
      <c r="M5469" s="460">
        <f t="shared" si="209"/>
        <v>0.05</v>
      </c>
      <c r="N5469" s="464">
        <f t="shared" si="210"/>
        <v>217503</v>
      </c>
    </row>
    <row r="5470" spans="7:14" ht="11.25" customHeight="1" x14ac:dyDescent="0.3">
      <c r="G5470" s="459"/>
      <c r="H5470" s="459">
        <v>5463</v>
      </c>
      <c r="I5470" s="444">
        <f t="shared" ca="1" si="208"/>
        <v>-189561818419182.53</v>
      </c>
      <c r="J5470" s="444">
        <f t="array" ref="J5470">IFERROR(INDEX('Retirement Calculator'!J:J,MATCH('Isaac 401k'!N5470,'Retirement Calculator'!A:A,0),0),0)</f>
        <v>0</v>
      </c>
      <c r="K5470" s="444">
        <f t="shared" ca="1" si="206"/>
        <v>-789840910079.92725</v>
      </c>
      <c r="L5470" s="444">
        <f t="shared" ca="1" si="207"/>
        <v>-190351659329262.47</v>
      </c>
      <c r="M5470" s="460">
        <f t="shared" si="209"/>
        <v>0.05</v>
      </c>
      <c r="N5470" s="464">
        <f t="shared" si="210"/>
        <v>217534</v>
      </c>
    </row>
    <row r="5471" spans="7:14" ht="11.25" customHeight="1" x14ac:dyDescent="0.3">
      <c r="G5471" s="459"/>
      <c r="H5471" s="459">
        <v>5464</v>
      </c>
      <c r="I5471" s="444">
        <f t="shared" ca="1" si="208"/>
        <v>-190351659329262.47</v>
      </c>
      <c r="J5471" s="444">
        <f t="array" ref="J5471">IFERROR(INDEX('Retirement Calculator'!J:J,MATCH('Isaac 401k'!N5471,'Retirement Calculator'!A:A,0),0),0)</f>
        <v>0</v>
      </c>
      <c r="K5471" s="444">
        <f t="shared" ca="1" si="206"/>
        <v>-793131913871.927</v>
      </c>
      <c r="L5471" s="444">
        <f t="shared" ca="1" si="207"/>
        <v>-191144791243134.41</v>
      </c>
      <c r="M5471" s="460">
        <f t="shared" si="209"/>
        <v>0.05</v>
      </c>
      <c r="N5471" s="464">
        <f t="shared" si="210"/>
        <v>217565</v>
      </c>
    </row>
    <row r="5472" spans="7:14" ht="11.25" customHeight="1" x14ac:dyDescent="0.3">
      <c r="G5472" s="459"/>
      <c r="H5472" s="459">
        <v>5465</v>
      </c>
      <c r="I5472" s="444">
        <f t="shared" ca="1" si="208"/>
        <v>-191144791243134.41</v>
      </c>
      <c r="J5472" s="444">
        <f t="array" ref="J5472">IFERROR(INDEX('Retirement Calculator'!J:J,MATCH('Isaac 401k'!N5472,'Retirement Calculator'!A:A,0),0),0)</f>
        <v>0</v>
      </c>
      <c r="K5472" s="444">
        <f t="shared" ca="1" si="206"/>
        <v>-796436630179.72668</v>
      </c>
      <c r="L5472" s="444">
        <f t="shared" ca="1" si="207"/>
        <v>-191941227873314.13</v>
      </c>
      <c r="M5472" s="460">
        <f t="shared" si="209"/>
        <v>0.05</v>
      </c>
      <c r="N5472" s="464">
        <f t="shared" si="210"/>
        <v>217595</v>
      </c>
    </row>
    <row r="5473" spans="7:14" ht="11.25" customHeight="1" x14ac:dyDescent="0.3">
      <c r="G5473" s="459"/>
      <c r="H5473" s="459">
        <v>5466</v>
      </c>
      <c r="I5473" s="444">
        <f t="shared" ca="1" si="208"/>
        <v>-191941227873314.13</v>
      </c>
      <c r="J5473" s="444">
        <f t="array" ref="J5473">IFERROR(INDEX('Retirement Calculator'!J:J,MATCH('Isaac 401k'!N5473,'Retirement Calculator'!A:A,0),0),0)</f>
        <v>0</v>
      </c>
      <c r="K5473" s="444">
        <f t="shared" ca="1" si="206"/>
        <v>-799755116138.80884</v>
      </c>
      <c r="L5473" s="444">
        <f t="shared" ca="1" si="207"/>
        <v>-192740982989452.94</v>
      </c>
      <c r="M5473" s="460">
        <f t="shared" si="209"/>
        <v>0.05</v>
      </c>
      <c r="N5473" s="464">
        <f t="shared" si="210"/>
        <v>217626</v>
      </c>
    </row>
    <row r="5474" spans="7:14" ht="11.25" customHeight="1" x14ac:dyDescent="0.3">
      <c r="G5474" s="459"/>
      <c r="H5474" s="459">
        <v>5467</v>
      </c>
      <c r="I5474" s="444">
        <f t="shared" ca="1" si="208"/>
        <v>-192740982989452.94</v>
      </c>
      <c r="J5474" s="444">
        <f t="array" ref="J5474">IFERROR(INDEX('Retirement Calculator'!J:J,MATCH('Isaac 401k'!N5474,'Retirement Calculator'!A:A,0),0),0)</f>
        <v>0</v>
      </c>
      <c r="K5474" s="444">
        <f t="shared" ca="1" si="206"/>
        <v>-803087429122.72058</v>
      </c>
      <c r="L5474" s="444">
        <f t="shared" ca="1" si="207"/>
        <v>-193544070418575.66</v>
      </c>
      <c r="M5474" s="460">
        <f t="shared" si="209"/>
        <v>0.05</v>
      </c>
      <c r="N5474" s="464">
        <f t="shared" si="210"/>
        <v>217656</v>
      </c>
    </row>
    <row r="5475" spans="7:14" ht="11.25" customHeight="1" x14ac:dyDescent="0.3">
      <c r="G5475" s="459"/>
      <c r="H5475" s="459">
        <v>5468</v>
      </c>
      <c r="I5475" s="444">
        <f t="shared" ca="1" si="208"/>
        <v>-193544070418575.66</v>
      </c>
      <c r="J5475" s="444">
        <f t="array" ref="J5475">IFERROR(INDEX('Retirement Calculator'!J:J,MATCH('Isaac 401k'!N5475,'Retirement Calculator'!A:A,0),0),0)</f>
        <v>0</v>
      </c>
      <c r="K5475" s="444">
        <f t="shared" ca="1" si="206"/>
        <v>-806433626744.06519</v>
      </c>
      <c r="L5475" s="444">
        <f t="shared" ca="1" si="207"/>
        <v>-194350504045319.72</v>
      </c>
      <c r="M5475" s="460">
        <f t="shared" si="209"/>
        <v>0.05</v>
      </c>
      <c r="N5475" s="464">
        <f t="shared" si="210"/>
        <v>217687</v>
      </c>
    </row>
    <row r="5476" spans="7:14" ht="11.25" customHeight="1" x14ac:dyDescent="0.3">
      <c r="G5476" s="459"/>
      <c r="H5476" s="459">
        <v>5469</v>
      </c>
      <c r="I5476" s="444">
        <f t="shared" ca="1" si="208"/>
        <v>-194350504045319.72</v>
      </c>
      <c r="J5476" s="444">
        <f t="array" ref="J5476">IFERROR(INDEX('Retirement Calculator'!J:J,MATCH('Isaac 401k'!N5476,'Retirement Calculator'!A:A,0),0),0)</f>
        <v>0</v>
      </c>
      <c r="K5476" s="444">
        <f t="shared" ca="1" si="206"/>
        <v>-809793766855.49878</v>
      </c>
      <c r="L5476" s="444">
        <f t="shared" ca="1" si="207"/>
        <v>-195160297812175.22</v>
      </c>
      <c r="M5476" s="460">
        <f t="shared" si="209"/>
        <v>0.05</v>
      </c>
      <c r="N5476" s="464">
        <f t="shared" si="210"/>
        <v>217718</v>
      </c>
    </row>
    <row r="5477" spans="7:14" ht="11.25" customHeight="1" x14ac:dyDescent="0.3">
      <c r="G5477" s="459"/>
      <c r="H5477" s="459">
        <v>5470</v>
      </c>
      <c r="I5477" s="444">
        <f t="shared" ca="1" si="208"/>
        <v>-195160297812175.22</v>
      </c>
      <c r="J5477" s="444">
        <f t="array" ref="J5477">IFERROR(INDEX('Retirement Calculator'!J:J,MATCH('Isaac 401k'!N5477,'Retirement Calculator'!A:A,0),0),0)</f>
        <v>0</v>
      </c>
      <c r="K5477" s="444">
        <f t="shared" ca="1" si="206"/>
        <v>-813167907550.7301</v>
      </c>
      <c r="L5477" s="444">
        <f t="shared" ca="1" si="207"/>
        <v>-195973465719725.94</v>
      </c>
      <c r="M5477" s="460">
        <f t="shared" si="209"/>
        <v>0.05</v>
      </c>
      <c r="N5477" s="464">
        <f t="shared" si="210"/>
        <v>217747</v>
      </c>
    </row>
    <row r="5478" spans="7:14" ht="11.25" customHeight="1" x14ac:dyDescent="0.3">
      <c r="G5478" s="459"/>
      <c r="H5478" s="459">
        <v>5471</v>
      </c>
      <c r="I5478" s="444">
        <f t="shared" ca="1" si="208"/>
        <v>-195973465719725.94</v>
      </c>
      <c r="J5478" s="444">
        <f t="array" ref="J5478">IFERROR(INDEX('Retirement Calculator'!J:J,MATCH('Isaac 401k'!N5478,'Retirement Calculator'!A:A,0),0),0)</f>
        <v>0</v>
      </c>
      <c r="K5478" s="444">
        <f t="shared" ca="1" si="206"/>
        <v>-816556107165.52478</v>
      </c>
      <c r="L5478" s="444">
        <f t="shared" ca="1" si="207"/>
        <v>-196790021826891.47</v>
      </c>
      <c r="M5478" s="460">
        <f t="shared" si="209"/>
        <v>0.05</v>
      </c>
      <c r="N5478" s="464">
        <f t="shared" si="210"/>
        <v>217778</v>
      </c>
    </row>
    <row r="5479" spans="7:14" ht="11.25" customHeight="1" x14ac:dyDescent="0.3">
      <c r="G5479" s="459"/>
      <c r="H5479" s="459">
        <v>5472</v>
      </c>
      <c r="I5479" s="444">
        <f t="shared" ca="1" si="208"/>
        <v>-196790021826891.47</v>
      </c>
      <c r="J5479" s="444">
        <f t="array" ref="J5479">IFERROR(INDEX('Retirement Calculator'!J:J,MATCH('Isaac 401k'!N5479,'Retirement Calculator'!A:A,0),0),0)</f>
        <v>0</v>
      </c>
      <c r="K5479" s="444">
        <f t="shared" ca="1" si="206"/>
        <v>-819958424278.71448</v>
      </c>
      <c r="L5479" s="444">
        <f t="shared" ca="1" si="207"/>
        <v>-197609980251170.19</v>
      </c>
      <c r="M5479" s="460">
        <f t="shared" si="209"/>
        <v>0.05</v>
      </c>
      <c r="N5479" s="464">
        <f t="shared" si="210"/>
        <v>217808</v>
      </c>
    </row>
    <row r="5480" spans="7:14" ht="11.25" customHeight="1" x14ac:dyDescent="0.3">
      <c r="G5480" s="459"/>
      <c r="H5480" s="459">
        <v>5473</v>
      </c>
      <c r="I5480" s="444">
        <f t="shared" ca="1" si="208"/>
        <v>-197609980251170.19</v>
      </c>
      <c r="J5480" s="444">
        <f t="array" ref="J5480">IFERROR(INDEX('Retirement Calculator'!J:J,MATCH('Isaac 401k'!N5480,'Retirement Calculator'!A:A,0),0),0)</f>
        <v>0</v>
      </c>
      <c r="K5480" s="444">
        <f t="shared" ca="1" si="206"/>
        <v>-823374917713.20911</v>
      </c>
      <c r="L5480" s="444">
        <f t="shared" ca="1" si="207"/>
        <v>-198433355168883.41</v>
      </c>
      <c r="M5480" s="460">
        <f t="shared" si="209"/>
        <v>0.05</v>
      </c>
      <c r="N5480" s="464">
        <f t="shared" si="210"/>
        <v>217839</v>
      </c>
    </row>
    <row r="5481" spans="7:14" ht="11.25" customHeight="1" x14ac:dyDescent="0.3">
      <c r="G5481" s="459"/>
      <c r="H5481" s="459">
        <v>5474</v>
      </c>
      <c r="I5481" s="444">
        <f t="shared" ca="1" si="208"/>
        <v>-198433355168883.41</v>
      </c>
      <c r="J5481" s="444">
        <f t="array" ref="J5481">IFERROR(INDEX('Retirement Calculator'!J:J,MATCH('Isaac 401k'!N5481,'Retirement Calculator'!A:A,0),0),0)</f>
        <v>0</v>
      </c>
      <c r="K5481" s="444">
        <f t="shared" ca="1" si="206"/>
        <v>-826805646537.01416</v>
      </c>
      <c r="L5481" s="444">
        <f t="shared" ca="1" si="207"/>
        <v>-199260160815420.41</v>
      </c>
      <c r="M5481" s="460">
        <f t="shared" si="209"/>
        <v>0.05</v>
      </c>
      <c r="N5481" s="464">
        <f t="shared" si="210"/>
        <v>217869</v>
      </c>
    </row>
    <row r="5482" spans="7:14" ht="11.25" customHeight="1" x14ac:dyDescent="0.3">
      <c r="G5482" s="459"/>
      <c r="H5482" s="459">
        <v>5475</v>
      </c>
      <c r="I5482" s="444">
        <f t="shared" ca="1" si="208"/>
        <v>-199260160815420.41</v>
      </c>
      <c r="J5482" s="444">
        <f t="array" ref="J5482">IFERROR(INDEX('Retirement Calculator'!J:J,MATCH('Isaac 401k'!N5482,'Retirement Calculator'!A:A,0),0),0)</f>
        <v>0</v>
      </c>
      <c r="K5482" s="444">
        <f t="shared" ca="1" si="206"/>
        <v>-830250670064.25171</v>
      </c>
      <c r="L5482" s="444">
        <f t="shared" ca="1" si="207"/>
        <v>-200090411485484.66</v>
      </c>
      <c r="M5482" s="460">
        <f t="shared" si="209"/>
        <v>0.05</v>
      </c>
      <c r="N5482" s="464">
        <f t="shared" si="210"/>
        <v>217900</v>
      </c>
    </row>
    <row r="5483" spans="7:14" ht="11.25" customHeight="1" x14ac:dyDescent="0.3">
      <c r="G5483" s="459"/>
      <c r="H5483" s="459">
        <v>5476</v>
      </c>
      <c r="I5483" s="444">
        <f t="shared" ca="1" si="208"/>
        <v>-200090411485484.66</v>
      </c>
      <c r="J5483" s="444">
        <f t="array" ref="J5483">IFERROR(INDEX('Retirement Calculator'!J:J,MATCH('Isaac 401k'!N5483,'Retirement Calculator'!A:A,0),0),0)</f>
        <v>0</v>
      </c>
      <c r="K5483" s="444">
        <f t="shared" ca="1" si="206"/>
        <v>-833710047856.18604</v>
      </c>
      <c r="L5483" s="444">
        <f t="shared" ca="1" si="207"/>
        <v>-200924121533340.84</v>
      </c>
      <c r="M5483" s="460">
        <f t="shared" si="209"/>
        <v>0.05</v>
      </c>
      <c r="N5483" s="464">
        <f t="shared" si="210"/>
        <v>217931</v>
      </c>
    </row>
    <row r="5484" spans="7:14" ht="11.25" customHeight="1" x14ac:dyDescent="0.3">
      <c r="G5484" s="459"/>
      <c r="H5484" s="459">
        <v>5477</v>
      </c>
      <c r="I5484" s="444">
        <f t="shared" ca="1" si="208"/>
        <v>-200924121533340.84</v>
      </c>
      <c r="J5484" s="444">
        <f t="array" ref="J5484">IFERROR(INDEX('Retirement Calculator'!J:J,MATCH('Isaac 401k'!N5484,'Retirement Calculator'!A:A,0),0),0)</f>
        <v>0</v>
      </c>
      <c r="K5484" s="444">
        <f t="shared" ca="1" si="206"/>
        <v>-837183839722.25354</v>
      </c>
      <c r="L5484" s="444">
        <f t="shared" ca="1" si="207"/>
        <v>-201761305373063.09</v>
      </c>
      <c r="M5484" s="460">
        <f t="shared" si="209"/>
        <v>0.05</v>
      </c>
      <c r="N5484" s="464">
        <f t="shared" si="210"/>
        <v>217961</v>
      </c>
    </row>
    <row r="5485" spans="7:14" ht="11.25" customHeight="1" x14ac:dyDescent="0.3">
      <c r="G5485" s="459"/>
      <c r="H5485" s="459">
        <v>5478</v>
      </c>
      <c r="I5485" s="444">
        <f t="shared" ca="1" si="208"/>
        <v>-201761305373063.09</v>
      </c>
      <c r="J5485" s="444">
        <f t="array" ref="J5485">IFERROR(INDEX('Retirement Calculator'!J:J,MATCH('Isaac 401k'!N5485,'Retirement Calculator'!A:A,0),0),0)</f>
        <v>0</v>
      </c>
      <c r="K5485" s="444">
        <f t="shared" ca="1" si="206"/>
        <v>-840672105721.09619</v>
      </c>
      <c r="L5485" s="444">
        <f t="shared" ca="1" si="207"/>
        <v>-202601977478784.19</v>
      </c>
      <c r="M5485" s="460">
        <f t="shared" si="209"/>
        <v>0.05</v>
      </c>
      <c r="N5485" s="464">
        <f t="shared" si="210"/>
        <v>217992</v>
      </c>
    </row>
    <row r="5486" spans="7:14" ht="11.25" customHeight="1" x14ac:dyDescent="0.3">
      <c r="G5486" s="459"/>
      <c r="H5486" s="459">
        <v>5479</v>
      </c>
      <c r="I5486" s="444">
        <f t="shared" ca="1" si="208"/>
        <v>-202601977478784.19</v>
      </c>
      <c r="J5486" s="444">
        <f t="array" ref="J5486">IFERROR(INDEX('Retirement Calculator'!J:J,MATCH('Isaac 401k'!N5486,'Retirement Calculator'!A:A,0),0),0)</f>
        <v>0</v>
      </c>
      <c r="K5486" s="444">
        <f t="shared" ca="1" si="206"/>
        <v>-844174906161.60083</v>
      </c>
      <c r="L5486" s="444">
        <f t="shared" ca="1" si="207"/>
        <v>-203446152384945.78</v>
      </c>
      <c r="M5486" s="460">
        <f t="shared" si="209"/>
        <v>0.05</v>
      </c>
      <c r="N5486" s="464">
        <f t="shared" si="210"/>
        <v>218022</v>
      </c>
    </row>
    <row r="5487" spans="7:14" ht="11.25" customHeight="1" x14ac:dyDescent="0.3">
      <c r="G5487" s="459"/>
      <c r="H5487" s="459">
        <v>5480</v>
      </c>
      <c r="I5487" s="444">
        <f t="shared" ca="1" si="208"/>
        <v>-203446152384945.78</v>
      </c>
      <c r="J5487" s="444">
        <f t="array" ref="J5487">IFERROR(INDEX('Retirement Calculator'!J:J,MATCH('Isaac 401k'!N5487,'Retirement Calculator'!A:A,0),0),0)</f>
        <v>0</v>
      </c>
      <c r="K5487" s="444">
        <f t="shared" ca="1" si="206"/>
        <v>-847692301603.9408</v>
      </c>
      <c r="L5487" s="444">
        <f t="shared" ca="1" si="207"/>
        <v>-204293844686549.72</v>
      </c>
      <c r="M5487" s="460">
        <f t="shared" si="209"/>
        <v>0.05</v>
      </c>
      <c r="N5487" s="464">
        <f t="shared" si="210"/>
        <v>218053</v>
      </c>
    </row>
    <row r="5488" spans="7:14" ht="11.25" customHeight="1" x14ac:dyDescent="0.3">
      <c r="G5488" s="459"/>
      <c r="H5488" s="459">
        <v>5481</v>
      </c>
      <c r="I5488" s="444">
        <f t="shared" ca="1" si="208"/>
        <v>-204293844686549.72</v>
      </c>
      <c r="J5488" s="444">
        <f t="array" ref="J5488">IFERROR(INDEX('Retirement Calculator'!J:J,MATCH('Isaac 401k'!N5488,'Retirement Calculator'!A:A,0),0),0)</f>
        <v>0</v>
      </c>
      <c r="K5488" s="444">
        <f t="shared" ca="1" si="206"/>
        <v>-851224352860.62378</v>
      </c>
      <c r="L5488" s="444">
        <f t="shared" ca="1" si="207"/>
        <v>-205145069039410.34</v>
      </c>
      <c r="M5488" s="460">
        <f t="shared" si="209"/>
        <v>0.05</v>
      </c>
      <c r="N5488" s="464">
        <f t="shared" si="210"/>
        <v>218084</v>
      </c>
    </row>
    <row r="5489" spans="7:14" ht="11.25" customHeight="1" x14ac:dyDescent="0.3">
      <c r="G5489" s="459"/>
      <c r="H5489" s="459">
        <v>5482</v>
      </c>
      <c r="I5489" s="444">
        <f t="shared" ca="1" si="208"/>
        <v>-205145069039410.34</v>
      </c>
      <c r="J5489" s="444">
        <f t="array" ref="J5489">IFERROR(INDEX('Retirement Calculator'!J:J,MATCH('Isaac 401k'!N5489,'Retirement Calculator'!A:A,0),0),0)</f>
        <v>0</v>
      </c>
      <c r="K5489" s="444">
        <f t="shared" ca="1" si="206"/>
        <v>-854771120997.54309</v>
      </c>
      <c r="L5489" s="444">
        <f t="shared" ca="1" si="207"/>
        <v>-205999840160407.88</v>
      </c>
      <c r="M5489" s="460">
        <f t="shared" si="209"/>
        <v>0.05</v>
      </c>
      <c r="N5489" s="464">
        <f t="shared" si="210"/>
        <v>218112</v>
      </c>
    </row>
    <row r="5490" spans="7:14" ht="11.25" customHeight="1" x14ac:dyDescent="0.3">
      <c r="G5490" s="459"/>
      <c r="H5490" s="459">
        <v>5483</v>
      </c>
      <c r="I5490" s="444">
        <f t="shared" ca="1" si="208"/>
        <v>-205999840160407.88</v>
      </c>
      <c r="J5490" s="444">
        <f t="array" ref="J5490">IFERROR(INDEX('Retirement Calculator'!J:J,MATCH('Isaac 401k'!N5490,'Retirement Calculator'!A:A,0),0),0)</f>
        <v>0</v>
      </c>
      <c r="K5490" s="444">
        <f t="shared" ca="1" si="206"/>
        <v>-858332667335.03284</v>
      </c>
      <c r="L5490" s="444">
        <f t="shared" ca="1" si="207"/>
        <v>-206858172827742.91</v>
      </c>
      <c r="M5490" s="460">
        <f t="shared" si="209"/>
        <v>0.05</v>
      </c>
      <c r="N5490" s="464">
        <f t="shared" si="210"/>
        <v>218143</v>
      </c>
    </row>
    <row r="5491" spans="7:14" ht="11.25" customHeight="1" x14ac:dyDescent="0.3">
      <c r="G5491" s="459"/>
      <c r="H5491" s="459">
        <v>5484</v>
      </c>
      <c r="I5491" s="444">
        <f t="shared" ca="1" si="208"/>
        <v>-206858172827742.91</v>
      </c>
      <c r="J5491" s="444">
        <f t="array" ref="J5491">IFERROR(INDEX('Retirement Calculator'!J:J,MATCH('Isaac 401k'!N5491,'Retirement Calculator'!A:A,0),0),0)</f>
        <v>0</v>
      </c>
      <c r="K5491" s="444">
        <f t="shared" ca="1" si="206"/>
        <v>-861909053448.92871</v>
      </c>
      <c r="L5491" s="444">
        <f t="shared" ca="1" si="207"/>
        <v>-207720081881191.84</v>
      </c>
      <c r="M5491" s="460">
        <f t="shared" si="209"/>
        <v>0.05</v>
      </c>
      <c r="N5491" s="464">
        <f t="shared" si="210"/>
        <v>218173</v>
      </c>
    </row>
    <row r="5492" spans="7:14" ht="11.25" customHeight="1" x14ac:dyDescent="0.3">
      <c r="G5492" s="459"/>
      <c r="H5492" s="459">
        <v>5485</v>
      </c>
      <c r="I5492" s="444">
        <f t="shared" ca="1" si="208"/>
        <v>-207720081881191.84</v>
      </c>
      <c r="J5492" s="444">
        <f t="array" ref="J5492">IFERROR(INDEX('Retirement Calculator'!J:J,MATCH('Isaac 401k'!N5492,'Retirement Calculator'!A:A,0),0),0)</f>
        <v>0</v>
      </c>
      <c r="K5492" s="444">
        <f t="shared" ca="1" si="206"/>
        <v>-865500341171.63269</v>
      </c>
      <c r="L5492" s="444">
        <f t="shared" ca="1" si="207"/>
        <v>-208585582222363.47</v>
      </c>
      <c r="M5492" s="460">
        <f t="shared" si="209"/>
        <v>0.05</v>
      </c>
      <c r="N5492" s="464">
        <f t="shared" si="210"/>
        <v>218204</v>
      </c>
    </row>
    <row r="5493" spans="7:14" ht="11.25" customHeight="1" x14ac:dyDescent="0.3">
      <c r="G5493" s="459"/>
      <c r="H5493" s="459">
        <v>5486</v>
      </c>
      <c r="I5493" s="444">
        <f t="shared" ca="1" si="208"/>
        <v>-208585582222363.47</v>
      </c>
      <c r="J5493" s="444">
        <f t="array" ref="J5493">IFERROR(INDEX('Retirement Calculator'!J:J,MATCH('Isaac 401k'!N5493,'Retirement Calculator'!A:A,0),0),0)</f>
        <v>0</v>
      </c>
      <c r="K5493" s="444">
        <f t="shared" ca="1" si="206"/>
        <v>-869106592593.18115</v>
      </c>
      <c r="L5493" s="444">
        <f t="shared" ca="1" si="207"/>
        <v>-209454688814956.66</v>
      </c>
      <c r="M5493" s="460">
        <f t="shared" si="209"/>
        <v>0.05</v>
      </c>
      <c r="N5493" s="464">
        <f t="shared" si="210"/>
        <v>218234</v>
      </c>
    </row>
    <row r="5494" spans="7:14" ht="11.25" customHeight="1" x14ac:dyDescent="0.3">
      <c r="G5494" s="459"/>
      <c r="H5494" s="459">
        <v>5487</v>
      </c>
      <c r="I5494" s="444">
        <f t="shared" ca="1" si="208"/>
        <v>-209454688814956.66</v>
      </c>
      <c r="J5494" s="444">
        <f t="array" ref="J5494">IFERROR(INDEX('Retirement Calculator'!J:J,MATCH('Isaac 401k'!N5494,'Retirement Calculator'!A:A,0),0),0)</f>
        <v>0</v>
      </c>
      <c r="K5494" s="444">
        <f t="shared" ca="1" si="206"/>
        <v>-872727870062.31934</v>
      </c>
      <c r="L5494" s="444">
        <f t="shared" ca="1" si="207"/>
        <v>-210327416685018.97</v>
      </c>
      <c r="M5494" s="460">
        <f t="shared" si="209"/>
        <v>0.05</v>
      </c>
      <c r="N5494" s="464">
        <f t="shared" si="210"/>
        <v>218265</v>
      </c>
    </row>
    <row r="5495" spans="7:14" ht="11.25" customHeight="1" x14ac:dyDescent="0.3">
      <c r="G5495" s="459"/>
      <c r="H5495" s="459">
        <v>5488</v>
      </c>
      <c r="I5495" s="444">
        <f t="shared" ca="1" si="208"/>
        <v>-210327416685018.97</v>
      </c>
      <c r="J5495" s="444">
        <f t="array" ref="J5495">IFERROR(INDEX('Retirement Calculator'!J:J,MATCH('Isaac 401k'!N5495,'Retirement Calculator'!A:A,0),0),0)</f>
        <v>0</v>
      </c>
      <c r="K5495" s="444">
        <f t="shared" ca="1" si="206"/>
        <v>-876364236187.57898</v>
      </c>
      <c r="L5495" s="444">
        <f t="shared" ca="1" si="207"/>
        <v>-211203780921206.56</v>
      </c>
      <c r="M5495" s="460">
        <f t="shared" si="209"/>
        <v>0.05</v>
      </c>
      <c r="N5495" s="464">
        <f t="shared" si="210"/>
        <v>218296</v>
      </c>
    </row>
    <row r="5496" spans="7:14" ht="11.25" customHeight="1" x14ac:dyDescent="0.3">
      <c r="G5496" s="459"/>
      <c r="H5496" s="459">
        <v>5489</v>
      </c>
      <c r="I5496" s="444">
        <f t="shared" ca="1" si="208"/>
        <v>-211203780921206.56</v>
      </c>
      <c r="J5496" s="444">
        <f t="array" ref="J5496">IFERROR(INDEX('Retirement Calculator'!J:J,MATCH('Isaac 401k'!N5496,'Retirement Calculator'!A:A,0),0),0)</f>
        <v>0</v>
      </c>
      <c r="K5496" s="444">
        <f t="shared" ca="1" si="206"/>
        <v>-880015753838.36072</v>
      </c>
      <c r="L5496" s="444">
        <f t="shared" ca="1" si="207"/>
        <v>-212083796675044.94</v>
      </c>
      <c r="M5496" s="460">
        <f t="shared" si="209"/>
        <v>0.05</v>
      </c>
      <c r="N5496" s="464">
        <f t="shared" si="210"/>
        <v>218326</v>
      </c>
    </row>
    <row r="5497" spans="7:14" ht="11.25" customHeight="1" x14ac:dyDescent="0.3">
      <c r="G5497" s="459"/>
      <c r="H5497" s="459">
        <v>5490</v>
      </c>
      <c r="I5497" s="444">
        <f t="shared" ca="1" si="208"/>
        <v>-212083796675044.94</v>
      </c>
      <c r="J5497" s="444">
        <f t="array" ref="J5497">IFERROR(INDEX('Retirement Calculator'!J:J,MATCH('Isaac 401k'!N5497,'Retirement Calculator'!A:A,0),0),0)</f>
        <v>0</v>
      </c>
      <c r="K5497" s="444">
        <f t="shared" ca="1" si="206"/>
        <v>-883682486146.02051</v>
      </c>
      <c r="L5497" s="444">
        <f t="shared" ca="1" si="207"/>
        <v>-212967479161190.97</v>
      </c>
      <c r="M5497" s="460">
        <f t="shared" si="209"/>
        <v>0.05</v>
      </c>
      <c r="N5497" s="464">
        <f t="shared" si="210"/>
        <v>218357</v>
      </c>
    </row>
    <row r="5498" spans="7:14" ht="11.25" customHeight="1" x14ac:dyDescent="0.3">
      <c r="G5498" s="459"/>
      <c r="H5498" s="459">
        <v>5491</v>
      </c>
      <c r="I5498" s="444">
        <f t="shared" ca="1" si="208"/>
        <v>-212967479161190.97</v>
      </c>
      <c r="J5498" s="444">
        <f t="array" ref="J5498">IFERROR(INDEX('Retirement Calculator'!J:J,MATCH('Isaac 401k'!N5498,'Retirement Calculator'!A:A,0),0),0)</f>
        <v>0</v>
      </c>
      <c r="K5498" s="444">
        <f t="shared" ca="1" si="206"/>
        <v>-887364496504.9624</v>
      </c>
      <c r="L5498" s="444">
        <f t="shared" ca="1" si="207"/>
        <v>-213854843657695.94</v>
      </c>
      <c r="M5498" s="460">
        <f t="shared" si="209"/>
        <v>0.05</v>
      </c>
      <c r="N5498" s="464">
        <f t="shared" si="210"/>
        <v>218387</v>
      </c>
    </row>
    <row r="5499" spans="7:14" ht="11.25" customHeight="1" x14ac:dyDescent="0.3">
      <c r="G5499" s="459"/>
      <c r="H5499" s="459">
        <v>5492</v>
      </c>
      <c r="I5499" s="444">
        <f t="shared" ca="1" si="208"/>
        <v>-213854843657695.94</v>
      </c>
      <c r="J5499" s="444">
        <f t="array" ref="J5499">IFERROR(INDEX('Retirement Calculator'!J:J,MATCH('Isaac 401k'!N5499,'Retirement Calculator'!A:A,0),0),0)</f>
        <v>0</v>
      </c>
      <c r="K5499" s="444">
        <f t="shared" ca="1" si="206"/>
        <v>-891061848573.73303</v>
      </c>
      <c r="L5499" s="444">
        <f t="shared" ca="1" si="207"/>
        <v>-214745905506269.66</v>
      </c>
      <c r="M5499" s="460">
        <f t="shared" si="209"/>
        <v>0.05</v>
      </c>
      <c r="N5499" s="464">
        <f t="shared" si="210"/>
        <v>218418</v>
      </c>
    </row>
    <row r="5500" spans="7:14" ht="11.25" customHeight="1" x14ac:dyDescent="0.3">
      <c r="G5500" s="459"/>
      <c r="H5500" s="459">
        <v>5493</v>
      </c>
      <c r="I5500" s="444">
        <f t="shared" ca="1" si="208"/>
        <v>-214745905506269.66</v>
      </c>
      <c r="J5500" s="444">
        <f t="array" ref="J5500">IFERROR(INDEX('Retirement Calculator'!J:J,MATCH('Isaac 401k'!N5500,'Retirement Calculator'!A:A,0),0),0)</f>
        <v>0</v>
      </c>
      <c r="K5500" s="444">
        <f t="shared" ca="1" si="206"/>
        <v>-894774606276.12354</v>
      </c>
      <c r="L5500" s="444">
        <f t="shared" ca="1" si="207"/>
        <v>-215640680112545.78</v>
      </c>
      <c r="M5500" s="460">
        <f t="shared" si="209"/>
        <v>0.05</v>
      </c>
      <c r="N5500" s="464">
        <f t="shared" si="210"/>
        <v>218449</v>
      </c>
    </row>
    <row r="5501" spans="7:14" ht="11.25" customHeight="1" x14ac:dyDescent="0.3">
      <c r="G5501" s="459"/>
      <c r="H5501" s="459">
        <v>5494</v>
      </c>
      <c r="I5501" s="444">
        <f t="shared" ca="1" si="208"/>
        <v>-215640680112545.78</v>
      </c>
      <c r="J5501" s="444">
        <f t="array" ref="J5501">IFERROR(INDEX('Retirement Calculator'!J:J,MATCH('Isaac 401k'!N5501,'Retirement Calculator'!A:A,0),0),0)</f>
        <v>0</v>
      </c>
      <c r="K5501" s="444">
        <f t="shared" ca="1" si="206"/>
        <v>-898502833802.27405</v>
      </c>
      <c r="L5501" s="444">
        <f t="shared" ca="1" si="207"/>
        <v>-216539182946348.06</v>
      </c>
      <c r="M5501" s="460">
        <f t="shared" si="209"/>
        <v>0.05</v>
      </c>
      <c r="N5501" s="464">
        <f t="shared" si="210"/>
        <v>218477</v>
      </c>
    </row>
    <row r="5502" spans="7:14" ht="11.25" customHeight="1" x14ac:dyDescent="0.3">
      <c r="G5502" s="459"/>
      <c r="H5502" s="459">
        <v>5495</v>
      </c>
      <c r="I5502" s="444">
        <f t="shared" ca="1" si="208"/>
        <v>-216539182946348.06</v>
      </c>
      <c r="J5502" s="444">
        <f t="array" ref="J5502">IFERROR(INDEX('Retirement Calculator'!J:J,MATCH('Isaac 401k'!N5502,'Retirement Calculator'!A:A,0),0),0)</f>
        <v>0</v>
      </c>
      <c r="K5502" s="444">
        <f t="shared" ca="1" si="206"/>
        <v>-902246595609.78357</v>
      </c>
      <c r="L5502" s="444">
        <f t="shared" ca="1" si="207"/>
        <v>-217441429541957.84</v>
      </c>
      <c r="M5502" s="460">
        <f t="shared" si="209"/>
        <v>0.05</v>
      </c>
      <c r="N5502" s="464">
        <f t="shared" si="210"/>
        <v>218508</v>
      </c>
    </row>
    <row r="5503" spans="7:14" ht="11.25" customHeight="1" x14ac:dyDescent="0.3">
      <c r="G5503" s="459"/>
      <c r="H5503" s="459">
        <v>5496</v>
      </c>
      <c r="I5503" s="444">
        <f t="shared" ca="1" si="208"/>
        <v>-217441429541957.84</v>
      </c>
      <c r="J5503" s="444">
        <f t="array" ref="J5503">IFERROR(INDEX('Retirement Calculator'!J:J,MATCH('Isaac 401k'!N5503,'Retirement Calculator'!A:A,0),0),0)</f>
        <v>0</v>
      </c>
      <c r="K5503" s="444">
        <f t="shared" ca="1" si="206"/>
        <v>-906005956424.82434</v>
      </c>
      <c r="L5503" s="444">
        <f t="shared" ca="1" si="207"/>
        <v>-218347435498382.66</v>
      </c>
      <c r="M5503" s="460">
        <f t="shared" si="209"/>
        <v>0.05</v>
      </c>
      <c r="N5503" s="464">
        <f t="shared" si="210"/>
        <v>218538</v>
      </c>
    </row>
    <row r="5504" spans="7:14" ht="11.25" customHeight="1" x14ac:dyDescent="0.3">
      <c r="G5504" s="459"/>
      <c r="H5504" s="459">
        <v>5497</v>
      </c>
      <c r="I5504" s="444">
        <f t="shared" ca="1" si="208"/>
        <v>-218347435498382.66</v>
      </c>
      <c r="J5504" s="444">
        <f t="array" ref="J5504">IFERROR(INDEX('Retirement Calculator'!J:J,MATCH('Isaac 401k'!N5504,'Retirement Calculator'!A:A,0),0),0)</f>
        <v>0</v>
      </c>
      <c r="K5504" s="444">
        <f t="shared" ca="1" si="206"/>
        <v>-909780981243.26111</v>
      </c>
      <c r="L5504" s="444">
        <f t="shared" ca="1" si="207"/>
        <v>-219257216479625.91</v>
      </c>
      <c r="M5504" s="460">
        <f t="shared" si="209"/>
        <v>0.05</v>
      </c>
      <c r="N5504" s="464">
        <f t="shared" si="210"/>
        <v>218569</v>
      </c>
    </row>
    <row r="5505" spans="7:14" ht="11.25" customHeight="1" x14ac:dyDescent="0.3">
      <c r="G5505" s="459"/>
      <c r="H5505" s="459">
        <v>5498</v>
      </c>
      <c r="I5505" s="444">
        <f t="shared" ca="1" si="208"/>
        <v>-219257216479625.91</v>
      </c>
      <c r="J5505" s="444">
        <f t="array" ref="J5505">IFERROR(INDEX('Retirement Calculator'!J:J,MATCH('Isaac 401k'!N5505,'Retirement Calculator'!A:A,0),0),0)</f>
        <v>0</v>
      </c>
      <c r="K5505" s="444">
        <f t="shared" ca="1" si="206"/>
        <v>-913571735331.77454</v>
      </c>
      <c r="L5505" s="444">
        <f t="shared" ca="1" si="207"/>
        <v>-220170788214957.69</v>
      </c>
      <c r="M5505" s="460">
        <f t="shared" si="209"/>
        <v>0.05</v>
      </c>
      <c r="N5505" s="464">
        <f t="shared" si="210"/>
        <v>218599</v>
      </c>
    </row>
    <row r="5506" spans="7:14" ht="11.25" customHeight="1" x14ac:dyDescent="0.3">
      <c r="G5506" s="459"/>
      <c r="H5506" s="459">
        <v>5499</v>
      </c>
      <c r="I5506" s="444">
        <f t="shared" ca="1" si="208"/>
        <v>-220170788214957.69</v>
      </c>
      <c r="J5506" s="444">
        <f t="array" ref="J5506">IFERROR(INDEX('Retirement Calculator'!J:J,MATCH('Isaac 401k'!N5506,'Retirement Calculator'!A:A,0),0),0)</f>
        <v>0</v>
      </c>
      <c r="K5506" s="444">
        <f t="shared" ca="1" si="206"/>
        <v>-917378284228.99023</v>
      </c>
      <c r="L5506" s="444">
        <f t="shared" ca="1" si="207"/>
        <v>-221088166499186.69</v>
      </c>
      <c r="M5506" s="460">
        <f t="shared" si="209"/>
        <v>0.05</v>
      </c>
      <c r="N5506" s="464">
        <f t="shared" si="210"/>
        <v>218630</v>
      </c>
    </row>
    <row r="5507" spans="7:14" ht="11.25" customHeight="1" x14ac:dyDescent="0.3">
      <c r="G5507" s="459"/>
      <c r="H5507" s="459">
        <v>5500</v>
      </c>
      <c r="I5507" s="444">
        <f t="shared" ca="1" si="208"/>
        <v>-221088166499186.69</v>
      </c>
      <c r="J5507" s="444">
        <f t="array" ref="J5507">IFERROR(INDEX('Retirement Calculator'!J:J,MATCH('Isaac 401k'!N5507,'Retirement Calculator'!A:A,0),0),0)</f>
        <v>0</v>
      </c>
      <c r="K5507" s="444">
        <f t="shared" ca="1" si="206"/>
        <v>-921200693746.61121</v>
      </c>
      <c r="L5507" s="444">
        <f t="shared" ca="1" si="207"/>
        <v>-222009367192933.31</v>
      </c>
      <c r="M5507" s="460">
        <f t="shared" si="209"/>
        <v>0.05</v>
      </c>
      <c r="N5507" s="464">
        <f t="shared" si="210"/>
        <v>218661</v>
      </c>
    </row>
    <row r="5508" spans="7:14" ht="11.25" customHeight="1" x14ac:dyDescent="0.3">
      <c r="G5508" s="459"/>
      <c r="H5508" s="459">
        <v>5501</v>
      </c>
      <c r="I5508" s="444">
        <f t="shared" ca="1" si="208"/>
        <v>-222009367192933.31</v>
      </c>
      <c r="J5508" s="444">
        <f t="array" ref="J5508">IFERROR(INDEX('Retirement Calculator'!J:J,MATCH('Isaac 401k'!N5508,'Retirement Calculator'!A:A,0),0),0)</f>
        <v>0</v>
      </c>
      <c r="K5508" s="444">
        <f t="shared" ca="1" si="206"/>
        <v>-925039029970.55542</v>
      </c>
      <c r="L5508" s="444">
        <f t="shared" ca="1" si="207"/>
        <v>-222934406222903.88</v>
      </c>
      <c r="M5508" s="460">
        <f t="shared" si="209"/>
        <v>0.05</v>
      </c>
      <c r="N5508" s="464">
        <f t="shared" si="210"/>
        <v>218691</v>
      </c>
    </row>
    <row r="5509" spans="7:14" ht="11.25" customHeight="1" x14ac:dyDescent="0.3">
      <c r="G5509" s="459"/>
      <c r="H5509" s="459">
        <v>5502</v>
      </c>
      <c r="I5509" s="444">
        <f t="shared" ca="1" si="208"/>
        <v>-222934406222903.88</v>
      </c>
      <c r="J5509" s="444">
        <f t="array" ref="J5509">IFERROR(INDEX('Retirement Calculator'!J:J,MATCH('Isaac 401k'!N5509,'Retirement Calculator'!A:A,0),0),0)</f>
        <v>0</v>
      </c>
      <c r="K5509" s="444">
        <f t="shared" ca="1" si="206"/>
        <v>-928893359262.09937</v>
      </c>
      <c r="L5509" s="444">
        <f t="shared" ca="1" si="207"/>
        <v>-223863299582165.97</v>
      </c>
      <c r="M5509" s="460">
        <f t="shared" si="209"/>
        <v>0.05</v>
      </c>
      <c r="N5509" s="464">
        <f t="shared" si="210"/>
        <v>218722</v>
      </c>
    </row>
    <row r="5510" spans="7:14" ht="11.25" customHeight="1" x14ac:dyDescent="0.3">
      <c r="G5510" s="459"/>
      <c r="H5510" s="459">
        <v>5503</v>
      </c>
      <c r="I5510" s="444">
        <f t="shared" ca="1" si="208"/>
        <v>-223863299582165.97</v>
      </c>
      <c r="J5510" s="444">
        <f t="array" ref="J5510">IFERROR(INDEX('Retirement Calculator'!J:J,MATCH('Isaac 401k'!N5510,'Retirement Calculator'!A:A,0),0),0)</f>
        <v>0</v>
      </c>
      <c r="K5510" s="444">
        <f t="shared" ca="1" si="206"/>
        <v>-932763748259.0249</v>
      </c>
      <c r="L5510" s="444">
        <f t="shared" ca="1" si="207"/>
        <v>-224796063330425</v>
      </c>
      <c r="M5510" s="460">
        <f t="shared" si="209"/>
        <v>0.05</v>
      </c>
      <c r="N5510" s="464">
        <f t="shared" si="210"/>
        <v>218752</v>
      </c>
    </row>
    <row r="5511" spans="7:14" ht="11.25" customHeight="1" x14ac:dyDescent="0.3">
      <c r="G5511" s="459"/>
      <c r="H5511" s="459">
        <v>5504</v>
      </c>
      <c r="I5511" s="444">
        <f t="shared" ca="1" si="208"/>
        <v>-224796063330425</v>
      </c>
      <c r="J5511" s="444">
        <f t="array" ref="J5511">IFERROR(INDEX('Retirement Calculator'!J:J,MATCH('Isaac 401k'!N5511,'Retirement Calculator'!A:A,0),0),0)</f>
        <v>0</v>
      </c>
      <c r="K5511" s="444">
        <f t="shared" ca="1" si="206"/>
        <v>-936650263876.77087</v>
      </c>
      <c r="L5511" s="444">
        <f t="shared" ca="1" si="207"/>
        <v>-225732713594301.78</v>
      </c>
      <c r="M5511" s="460">
        <f t="shared" si="209"/>
        <v>0.05</v>
      </c>
      <c r="N5511" s="464">
        <f t="shared" si="210"/>
        <v>218783</v>
      </c>
    </row>
    <row r="5512" spans="7:14" ht="11.25" customHeight="1" x14ac:dyDescent="0.3">
      <c r="G5512" s="459"/>
      <c r="H5512" s="459">
        <v>5505</v>
      </c>
      <c r="I5512" s="444">
        <f t="shared" ca="1" si="208"/>
        <v>-225732713594301.78</v>
      </c>
      <c r="J5512" s="444">
        <f t="array" ref="J5512">IFERROR(INDEX('Retirement Calculator'!J:J,MATCH('Isaac 401k'!N5512,'Retirement Calculator'!A:A,0),0),0)</f>
        <v>0</v>
      </c>
      <c r="K5512" s="444">
        <f t="shared" ca="1" si="206"/>
        <v>-940552973309.59058</v>
      </c>
      <c r="L5512" s="444">
        <f t="shared" ca="1" si="207"/>
        <v>-226673266567611.38</v>
      </c>
      <c r="M5512" s="460">
        <f t="shared" si="209"/>
        <v>0.05</v>
      </c>
      <c r="N5512" s="464">
        <f t="shared" si="210"/>
        <v>218814</v>
      </c>
    </row>
    <row r="5513" spans="7:14" ht="11.25" customHeight="1" x14ac:dyDescent="0.3">
      <c r="G5513" s="459"/>
      <c r="H5513" s="459">
        <v>5506</v>
      </c>
      <c r="I5513" s="444">
        <f t="shared" ca="1" si="208"/>
        <v>-226673266567611.38</v>
      </c>
      <c r="J5513" s="444">
        <f t="array" ref="J5513">IFERROR(INDEX('Retirement Calculator'!J:J,MATCH('Isaac 401k'!N5513,'Retirement Calculator'!A:A,0),0),0)</f>
        <v>0</v>
      </c>
      <c r="K5513" s="444">
        <f t="shared" ca="1" si="206"/>
        <v>-944471944031.71399</v>
      </c>
      <c r="L5513" s="444">
        <f t="shared" ca="1" si="207"/>
        <v>-227617738511643.09</v>
      </c>
      <c r="M5513" s="460">
        <f t="shared" si="209"/>
        <v>0.05</v>
      </c>
      <c r="N5513" s="464">
        <f t="shared" si="210"/>
        <v>218842</v>
      </c>
    </row>
    <row r="5514" spans="7:14" ht="11.25" customHeight="1" x14ac:dyDescent="0.3">
      <c r="G5514" s="459"/>
      <c r="H5514" s="459">
        <v>5507</v>
      </c>
      <c r="I5514" s="444">
        <f t="shared" ca="1" si="208"/>
        <v>-227617738511643.09</v>
      </c>
      <c r="J5514" s="444">
        <f t="array" ref="J5514">IFERROR(INDEX('Retirement Calculator'!J:J,MATCH('Isaac 401k'!N5514,'Retirement Calculator'!A:A,0),0),0)</f>
        <v>0</v>
      </c>
      <c r="K5514" s="444">
        <f t="shared" ca="1" si="206"/>
        <v>-948407243798.51282</v>
      </c>
      <c r="L5514" s="444">
        <f t="shared" ca="1" si="207"/>
        <v>-228566145755441.59</v>
      </c>
      <c r="M5514" s="460">
        <f t="shared" si="209"/>
        <v>0.05</v>
      </c>
      <c r="N5514" s="464">
        <f t="shared" si="210"/>
        <v>218873</v>
      </c>
    </row>
    <row r="5515" spans="7:14" ht="11.25" customHeight="1" x14ac:dyDescent="0.3">
      <c r="G5515" s="459"/>
      <c r="H5515" s="459">
        <v>5508</v>
      </c>
      <c r="I5515" s="444">
        <f t="shared" ca="1" si="208"/>
        <v>-228566145755441.59</v>
      </c>
      <c r="J5515" s="444">
        <f t="array" ref="J5515">IFERROR(INDEX('Retirement Calculator'!J:J,MATCH('Isaac 401k'!N5515,'Retirement Calculator'!A:A,0),0),0)</f>
        <v>0</v>
      </c>
      <c r="K5515" s="444">
        <f t="shared" ca="1" si="206"/>
        <v>-952358940647.67346</v>
      </c>
      <c r="L5515" s="444">
        <f t="shared" ca="1" si="207"/>
        <v>-229518504696089.28</v>
      </c>
      <c r="M5515" s="460">
        <f t="shared" si="209"/>
        <v>0.05</v>
      </c>
      <c r="N5515" s="464">
        <f t="shared" si="210"/>
        <v>218903</v>
      </c>
    </row>
    <row r="5516" spans="7:14" ht="11.25" customHeight="1" x14ac:dyDescent="0.3">
      <c r="G5516" s="459"/>
      <c r="H5516" s="459">
        <v>5509</v>
      </c>
      <c r="I5516" s="444">
        <f t="shared" ca="1" si="208"/>
        <v>-229518504696089.28</v>
      </c>
      <c r="J5516" s="444">
        <f t="array" ref="J5516">IFERROR(INDEX('Retirement Calculator'!J:J,MATCH('Isaac 401k'!N5516,'Retirement Calculator'!A:A,0),0),0)</f>
        <v>0</v>
      </c>
      <c r="K5516" s="444">
        <f t="shared" ca="1" si="206"/>
        <v>-956327102900.37195</v>
      </c>
      <c r="L5516" s="444">
        <f t="shared" ca="1" si="207"/>
        <v>-230474831798989.66</v>
      </c>
      <c r="M5516" s="460">
        <f t="shared" si="209"/>
        <v>0.05</v>
      </c>
      <c r="N5516" s="464">
        <f t="shared" si="210"/>
        <v>218934</v>
      </c>
    </row>
    <row r="5517" spans="7:14" ht="11.25" customHeight="1" x14ac:dyDescent="0.3">
      <c r="G5517" s="459"/>
      <c r="H5517" s="459">
        <v>5510</v>
      </c>
      <c r="I5517" s="444">
        <f t="shared" ca="1" si="208"/>
        <v>-230474831798989.66</v>
      </c>
      <c r="J5517" s="444">
        <f t="array" ref="J5517">IFERROR(INDEX('Retirement Calculator'!J:J,MATCH('Isaac 401k'!N5517,'Retirement Calculator'!A:A,0),0),0)</f>
        <v>0</v>
      </c>
      <c r="K5517" s="444">
        <f t="shared" ca="1" si="206"/>
        <v>-960311799162.45703</v>
      </c>
      <c r="L5517" s="444">
        <f t="shared" ca="1" si="207"/>
        <v>-231435143598152.13</v>
      </c>
      <c r="M5517" s="460">
        <f t="shared" si="209"/>
        <v>0.05</v>
      </c>
      <c r="N5517" s="464">
        <f t="shared" si="210"/>
        <v>218964</v>
      </c>
    </row>
    <row r="5518" spans="7:14" ht="11.25" customHeight="1" x14ac:dyDescent="0.3">
      <c r="G5518" s="459"/>
      <c r="H5518" s="459">
        <v>5511</v>
      </c>
      <c r="I5518" s="444">
        <f t="shared" ca="1" si="208"/>
        <v>-231435143598152.13</v>
      </c>
      <c r="J5518" s="444">
        <f t="array" ref="J5518">IFERROR(INDEX('Retirement Calculator'!J:J,MATCH('Isaac 401k'!N5518,'Retirement Calculator'!A:A,0),0),0)</f>
        <v>0</v>
      </c>
      <c r="K5518" s="444">
        <f t="shared" ca="1" si="206"/>
        <v>-964313098325.63379</v>
      </c>
      <c r="L5518" s="444">
        <f t="shared" ca="1" si="207"/>
        <v>-232399456696477.75</v>
      </c>
      <c r="M5518" s="460">
        <f t="shared" si="209"/>
        <v>0.05</v>
      </c>
      <c r="N5518" s="464">
        <f t="shared" si="210"/>
        <v>218995</v>
      </c>
    </row>
    <row r="5519" spans="7:14" ht="11.25" customHeight="1" x14ac:dyDescent="0.3">
      <c r="G5519" s="459"/>
      <c r="H5519" s="459">
        <v>5512</v>
      </c>
      <c r="I5519" s="444">
        <f t="shared" ca="1" si="208"/>
        <v>-232399456696477.75</v>
      </c>
      <c r="J5519" s="444">
        <f t="array" ref="J5519">IFERROR(INDEX('Retirement Calculator'!J:J,MATCH('Isaac 401k'!N5519,'Retirement Calculator'!A:A,0),0),0)</f>
        <v>0</v>
      </c>
      <c r="K5519" s="444">
        <f t="shared" ca="1" si="206"/>
        <v>-968331069568.65723</v>
      </c>
      <c r="L5519" s="444">
        <f t="shared" ca="1" si="207"/>
        <v>-233367787766046.41</v>
      </c>
      <c r="M5519" s="460">
        <f t="shared" si="209"/>
        <v>0.05</v>
      </c>
      <c r="N5519" s="464">
        <f t="shared" si="210"/>
        <v>219026</v>
      </c>
    </row>
    <row r="5520" spans="7:14" ht="11.25" customHeight="1" x14ac:dyDescent="0.3">
      <c r="G5520" s="459"/>
      <c r="H5520" s="459">
        <v>5513</v>
      </c>
      <c r="I5520" s="444">
        <f t="shared" ca="1" si="208"/>
        <v>-233367787766046.41</v>
      </c>
      <c r="J5520" s="444">
        <f t="array" ref="J5520">IFERROR(INDEX('Retirement Calculator'!J:J,MATCH('Isaac 401k'!N5520,'Retirement Calculator'!A:A,0),0),0)</f>
        <v>0</v>
      </c>
      <c r="K5520" s="444">
        <f t="shared" ca="1" si="206"/>
        <v>-972365782358.52673</v>
      </c>
      <c r="L5520" s="444">
        <f t="shared" ca="1" si="207"/>
        <v>-234340153548404.94</v>
      </c>
      <c r="M5520" s="460">
        <f t="shared" si="209"/>
        <v>0.05</v>
      </c>
      <c r="N5520" s="464">
        <f t="shared" si="210"/>
        <v>219056</v>
      </c>
    </row>
    <row r="5521" spans="7:14" ht="11.25" customHeight="1" x14ac:dyDescent="0.3">
      <c r="G5521" s="459"/>
      <c r="H5521" s="459">
        <v>5514</v>
      </c>
      <c r="I5521" s="444">
        <f t="shared" ca="1" si="208"/>
        <v>-234340153548404.94</v>
      </c>
      <c r="J5521" s="444">
        <f t="array" ref="J5521">IFERROR(INDEX('Retirement Calculator'!J:J,MATCH('Isaac 401k'!N5521,'Retirement Calculator'!A:A,0),0),0)</f>
        <v>0</v>
      </c>
      <c r="K5521" s="444">
        <f t="shared" ca="1" si="206"/>
        <v>-976417306451.68726</v>
      </c>
      <c r="L5521" s="444">
        <f t="shared" ca="1" si="207"/>
        <v>-235316570854856.63</v>
      </c>
      <c r="M5521" s="460">
        <f t="shared" si="209"/>
        <v>0.05</v>
      </c>
      <c r="N5521" s="464">
        <f t="shared" si="210"/>
        <v>219087</v>
      </c>
    </row>
    <row r="5522" spans="7:14" ht="11.25" customHeight="1" x14ac:dyDescent="0.3">
      <c r="G5522" s="459"/>
      <c r="H5522" s="459">
        <v>5515</v>
      </c>
      <c r="I5522" s="444">
        <f t="shared" ca="1" si="208"/>
        <v>-235316570854856.63</v>
      </c>
      <c r="J5522" s="444">
        <f t="array" ref="J5522">IFERROR(INDEX('Retirement Calculator'!J:J,MATCH('Isaac 401k'!N5522,'Retirement Calculator'!A:A,0),0),0)</f>
        <v>0</v>
      </c>
      <c r="K5522" s="444">
        <f t="shared" ca="1" si="206"/>
        <v>-980485711895.23608</v>
      </c>
      <c r="L5522" s="444">
        <f t="shared" ca="1" si="207"/>
        <v>-236297056566751.88</v>
      </c>
      <c r="M5522" s="460">
        <f t="shared" si="209"/>
        <v>0.05</v>
      </c>
      <c r="N5522" s="464">
        <f t="shared" si="210"/>
        <v>219117</v>
      </c>
    </row>
    <row r="5523" spans="7:14" ht="11.25" customHeight="1" x14ac:dyDescent="0.3">
      <c r="G5523" s="459"/>
      <c r="H5523" s="459">
        <v>5516</v>
      </c>
      <c r="I5523" s="444">
        <f t="shared" ca="1" si="208"/>
        <v>-236297056566751.88</v>
      </c>
      <c r="J5523" s="444">
        <f t="array" ref="J5523">IFERROR(INDEX('Retirement Calculator'!J:J,MATCH('Isaac 401k'!N5523,'Retirement Calculator'!A:A,0),0),0)</f>
        <v>0</v>
      </c>
      <c r="K5523" s="444">
        <f t="shared" ca="1" si="206"/>
        <v>-984571069028.13293</v>
      </c>
      <c r="L5523" s="444">
        <f t="shared" ca="1" si="207"/>
        <v>-237281627635780</v>
      </c>
      <c r="M5523" s="460">
        <f t="shared" si="209"/>
        <v>0.05</v>
      </c>
      <c r="N5523" s="464">
        <f t="shared" si="210"/>
        <v>219148</v>
      </c>
    </row>
    <row r="5524" spans="7:14" ht="11.25" customHeight="1" x14ac:dyDescent="0.3">
      <c r="G5524" s="459"/>
      <c r="H5524" s="459">
        <v>5517</v>
      </c>
      <c r="I5524" s="444">
        <f t="shared" ca="1" si="208"/>
        <v>-237281627635780</v>
      </c>
      <c r="J5524" s="444">
        <f t="array" ref="J5524">IFERROR(INDEX('Retirement Calculator'!J:J,MATCH('Isaac 401k'!N5524,'Retirement Calculator'!A:A,0),0),0)</f>
        <v>0</v>
      </c>
      <c r="K5524" s="444">
        <f t="shared" ca="1" si="206"/>
        <v>-988673448482.41663</v>
      </c>
      <c r="L5524" s="444">
        <f t="shared" ca="1" si="207"/>
        <v>-238270301084262.41</v>
      </c>
      <c r="M5524" s="460">
        <f t="shared" si="209"/>
        <v>0.05</v>
      </c>
      <c r="N5524" s="464">
        <f t="shared" si="210"/>
        <v>219179</v>
      </c>
    </row>
    <row r="5525" spans="7:14" ht="11.25" customHeight="1" x14ac:dyDescent="0.3">
      <c r="G5525" s="459"/>
      <c r="H5525" s="459">
        <v>5518</v>
      </c>
      <c r="I5525" s="444">
        <f t="shared" ca="1" si="208"/>
        <v>-238270301084262.41</v>
      </c>
      <c r="J5525" s="444">
        <f t="array" ref="J5525">IFERROR(INDEX('Retirement Calculator'!J:J,MATCH('Isaac 401k'!N5525,'Retirement Calculator'!A:A,0),0),0)</f>
        <v>0</v>
      </c>
      <c r="K5525" s="444">
        <f t="shared" ca="1" si="206"/>
        <v>-992792921184.42664</v>
      </c>
      <c r="L5525" s="444">
        <f t="shared" ca="1" si="207"/>
        <v>-239263094005446.84</v>
      </c>
      <c r="M5525" s="460">
        <f t="shared" si="209"/>
        <v>0.05</v>
      </c>
      <c r="N5525" s="464">
        <f t="shared" si="210"/>
        <v>219207</v>
      </c>
    </row>
    <row r="5526" spans="7:14" ht="11.25" customHeight="1" x14ac:dyDescent="0.3">
      <c r="G5526" s="459"/>
      <c r="H5526" s="459">
        <v>5519</v>
      </c>
      <c r="I5526" s="444">
        <f t="shared" ca="1" si="208"/>
        <v>-239263094005446.84</v>
      </c>
      <c r="J5526" s="444">
        <f t="array" ref="J5526">IFERROR(INDEX('Retirement Calculator'!J:J,MATCH('Isaac 401k'!N5526,'Retirement Calculator'!A:A,0),0),0)</f>
        <v>0</v>
      </c>
      <c r="K5526" s="444">
        <f t="shared" ca="1" si="206"/>
        <v>-996929558356.02832</v>
      </c>
      <c r="L5526" s="444">
        <f t="shared" ca="1" si="207"/>
        <v>-240260023563802.88</v>
      </c>
      <c r="M5526" s="460">
        <f t="shared" si="209"/>
        <v>0.05</v>
      </c>
      <c r="N5526" s="464">
        <f t="shared" si="210"/>
        <v>219238</v>
      </c>
    </row>
    <row r="5527" spans="7:14" ht="11.25" customHeight="1" x14ac:dyDescent="0.3">
      <c r="G5527" s="459"/>
      <c r="H5527" s="459">
        <v>5520</v>
      </c>
      <c r="I5527" s="444">
        <f t="shared" ca="1" si="208"/>
        <v>-240260023563802.88</v>
      </c>
      <c r="J5527" s="444">
        <f t="array" ref="J5527">IFERROR(INDEX('Retirement Calculator'!J:J,MATCH('Isaac 401k'!N5527,'Retirement Calculator'!A:A,0),0),0)</f>
        <v>0</v>
      </c>
      <c r="K5527" s="444">
        <f t="shared" ca="1" si="206"/>
        <v>-1001083431515.8453</v>
      </c>
      <c r="L5527" s="444">
        <f t="shared" ca="1" si="207"/>
        <v>-241261106995318.72</v>
      </c>
      <c r="M5527" s="460">
        <f t="shared" si="209"/>
        <v>0.05</v>
      </c>
      <c r="N5527" s="464">
        <f t="shared" si="210"/>
        <v>219268</v>
      </c>
    </row>
    <row r="5528" spans="7:14" ht="11.25" customHeight="1" x14ac:dyDescent="0.3">
      <c r="G5528" s="459"/>
      <c r="H5528" s="459">
        <v>5521</v>
      </c>
      <c r="I5528" s="444">
        <f t="shared" ca="1" si="208"/>
        <v>-241261106995318.72</v>
      </c>
      <c r="J5528" s="444">
        <f t="array" ref="J5528">IFERROR(INDEX('Retirement Calculator'!J:J,MATCH('Isaac 401k'!N5528,'Retirement Calculator'!A:A,0),0),0)</f>
        <v>0</v>
      </c>
      <c r="K5528" s="444">
        <f t="shared" ca="1" si="206"/>
        <v>-1005254612480.4946</v>
      </c>
      <c r="L5528" s="444">
        <f t="shared" ca="1" si="207"/>
        <v>-242266361607799.22</v>
      </c>
      <c r="M5528" s="460">
        <f t="shared" si="209"/>
        <v>0.05</v>
      </c>
      <c r="N5528" s="464">
        <f t="shared" si="210"/>
        <v>219299</v>
      </c>
    </row>
    <row r="5529" spans="7:14" ht="11.25" customHeight="1" x14ac:dyDescent="0.3">
      <c r="G5529" s="459"/>
      <c r="H5529" s="459">
        <v>5522</v>
      </c>
      <c r="I5529" s="444">
        <f t="shared" ca="1" si="208"/>
        <v>-242266361607799.22</v>
      </c>
      <c r="J5529" s="444">
        <f t="array" ref="J5529">IFERROR(INDEX('Retirement Calculator'!J:J,MATCH('Isaac 401k'!N5529,'Retirement Calculator'!A:A,0),0),0)</f>
        <v>0</v>
      </c>
      <c r="K5529" s="444">
        <f t="shared" ca="1" si="206"/>
        <v>-1009443173365.8301</v>
      </c>
      <c r="L5529" s="444">
        <f t="shared" ca="1" si="207"/>
        <v>-243275804781165.06</v>
      </c>
      <c r="M5529" s="460">
        <f t="shared" si="209"/>
        <v>0.05</v>
      </c>
      <c r="N5529" s="464">
        <f t="shared" si="210"/>
        <v>219329</v>
      </c>
    </row>
    <row r="5530" spans="7:14" ht="11.25" customHeight="1" x14ac:dyDescent="0.3">
      <c r="G5530" s="459"/>
      <c r="H5530" s="459">
        <v>5523</v>
      </c>
      <c r="I5530" s="444">
        <f t="shared" ca="1" si="208"/>
        <v>-243275804781165.06</v>
      </c>
      <c r="J5530" s="444">
        <f t="array" ref="J5530">IFERROR(INDEX('Retirement Calculator'!J:J,MATCH('Isaac 401k'!N5530,'Retirement Calculator'!A:A,0),0),0)</f>
        <v>0</v>
      </c>
      <c r="K5530" s="444">
        <f t="shared" ca="1" si="206"/>
        <v>-1013649186588.1876</v>
      </c>
      <c r="L5530" s="444">
        <f t="shared" ca="1" si="207"/>
        <v>-244289453967753.25</v>
      </c>
      <c r="M5530" s="460">
        <f t="shared" si="209"/>
        <v>0.05</v>
      </c>
      <c r="N5530" s="464">
        <f t="shared" si="210"/>
        <v>219360</v>
      </c>
    </row>
    <row r="5531" spans="7:14" ht="11.25" customHeight="1" x14ac:dyDescent="0.3">
      <c r="G5531" s="459"/>
      <c r="H5531" s="459">
        <v>5524</v>
      </c>
      <c r="I5531" s="444">
        <f t="shared" ca="1" si="208"/>
        <v>-244289453967753.25</v>
      </c>
      <c r="J5531" s="444">
        <f t="array" ref="J5531">IFERROR(INDEX('Retirement Calculator'!J:J,MATCH('Isaac 401k'!N5531,'Retirement Calculator'!A:A,0),0),0)</f>
        <v>0</v>
      </c>
      <c r="K5531" s="444">
        <f t="shared" ca="1" si="206"/>
        <v>-1017872724865.6385</v>
      </c>
      <c r="L5531" s="444">
        <f t="shared" ca="1" si="207"/>
        <v>-245307326692618.88</v>
      </c>
      <c r="M5531" s="460">
        <f t="shared" si="209"/>
        <v>0.05</v>
      </c>
      <c r="N5531" s="464">
        <f t="shared" si="210"/>
        <v>219391</v>
      </c>
    </row>
    <row r="5532" spans="7:14" ht="11.25" customHeight="1" x14ac:dyDescent="0.3">
      <c r="G5532" s="459"/>
      <c r="H5532" s="459">
        <v>5525</v>
      </c>
      <c r="I5532" s="444">
        <f t="shared" ca="1" si="208"/>
        <v>-245307326692618.88</v>
      </c>
      <c r="J5532" s="444">
        <f t="array" ref="J5532">IFERROR(INDEX('Retirement Calculator'!J:J,MATCH('Isaac 401k'!N5532,'Retirement Calculator'!A:A,0),0),0)</f>
        <v>0</v>
      </c>
      <c r="K5532" s="444">
        <f t="shared" ca="1" si="206"/>
        <v>-1022113861219.2451</v>
      </c>
      <c r="L5532" s="444">
        <f t="shared" ca="1" si="207"/>
        <v>-246329440553838.13</v>
      </c>
      <c r="M5532" s="460">
        <f t="shared" si="209"/>
        <v>0.05</v>
      </c>
      <c r="N5532" s="464">
        <f t="shared" si="210"/>
        <v>219421</v>
      </c>
    </row>
    <row r="5533" spans="7:14" ht="11.25" customHeight="1" x14ac:dyDescent="0.3">
      <c r="G5533" s="459"/>
      <c r="H5533" s="459">
        <v>5526</v>
      </c>
      <c r="I5533" s="444">
        <f t="shared" ca="1" si="208"/>
        <v>-246329440553838.13</v>
      </c>
      <c r="J5533" s="444">
        <f t="array" ref="J5533">IFERROR(INDEX('Retirement Calculator'!J:J,MATCH('Isaac 401k'!N5533,'Retirement Calculator'!A:A,0),0),0)</f>
        <v>0</v>
      </c>
      <c r="K5533" s="444">
        <f t="shared" ca="1" si="206"/>
        <v>-1026372668974.3253</v>
      </c>
      <c r="L5533" s="444">
        <f t="shared" ca="1" si="207"/>
        <v>-247355813222812.44</v>
      </c>
      <c r="M5533" s="460">
        <f t="shared" si="209"/>
        <v>0.05</v>
      </c>
      <c r="N5533" s="464">
        <f t="shared" si="210"/>
        <v>219452</v>
      </c>
    </row>
    <row r="5534" spans="7:14" ht="11.25" customHeight="1" x14ac:dyDescent="0.3">
      <c r="G5534" s="459"/>
      <c r="H5534" s="459">
        <v>5527</v>
      </c>
      <c r="I5534" s="444">
        <f t="shared" ca="1" si="208"/>
        <v>-247355813222812.44</v>
      </c>
      <c r="J5534" s="444">
        <f t="array" ref="J5534">IFERROR(INDEX('Retirement Calculator'!J:J,MATCH('Isaac 401k'!N5534,'Retirement Calculator'!A:A,0),0),0)</f>
        <v>0</v>
      </c>
      <c r="K5534" s="444">
        <f t="shared" ca="1" si="206"/>
        <v>-1030649221761.7185</v>
      </c>
      <c r="L5534" s="444">
        <f t="shared" ca="1" si="207"/>
        <v>-248386462444574.16</v>
      </c>
      <c r="M5534" s="460">
        <f t="shared" si="209"/>
        <v>0.05</v>
      </c>
      <c r="N5534" s="464">
        <f t="shared" si="210"/>
        <v>219482</v>
      </c>
    </row>
    <row r="5535" spans="7:14" ht="11.25" customHeight="1" x14ac:dyDescent="0.3">
      <c r="G5535" s="459"/>
      <c r="H5535" s="459">
        <v>5528</v>
      </c>
      <c r="I5535" s="444">
        <f t="shared" ca="1" si="208"/>
        <v>-248386462444574.16</v>
      </c>
      <c r="J5535" s="444">
        <f t="array" ref="J5535">IFERROR(INDEX('Retirement Calculator'!J:J,MATCH('Isaac 401k'!N5535,'Retirement Calculator'!A:A,0),0),0)</f>
        <v>0</v>
      </c>
      <c r="K5535" s="444">
        <f t="shared" ca="1" si="206"/>
        <v>-1034943593519.0591</v>
      </c>
      <c r="L5535" s="444">
        <f t="shared" ca="1" si="207"/>
        <v>-249421406038093.22</v>
      </c>
      <c r="M5535" s="460">
        <f t="shared" si="209"/>
        <v>0.05</v>
      </c>
      <c r="N5535" s="464">
        <f t="shared" si="210"/>
        <v>219513</v>
      </c>
    </row>
    <row r="5536" spans="7:14" ht="11.25" customHeight="1" x14ac:dyDescent="0.3">
      <c r="G5536" s="459"/>
      <c r="H5536" s="459">
        <v>5529</v>
      </c>
      <c r="I5536" s="444">
        <f t="shared" ca="1" si="208"/>
        <v>-249421406038093.22</v>
      </c>
      <c r="J5536" s="444">
        <f t="array" ref="J5536">IFERROR(INDEX('Retirement Calculator'!J:J,MATCH('Isaac 401k'!N5536,'Retirement Calculator'!A:A,0),0),0)</f>
        <v>0</v>
      </c>
      <c r="K5536" s="444">
        <f t="shared" ca="1" si="206"/>
        <v>-1039255858492.0549</v>
      </c>
      <c r="L5536" s="444">
        <f t="shared" ca="1" si="207"/>
        <v>-250460661896585.28</v>
      </c>
      <c r="M5536" s="460">
        <f t="shared" si="209"/>
        <v>0.05</v>
      </c>
      <c r="N5536" s="464">
        <f t="shared" si="210"/>
        <v>219544</v>
      </c>
    </row>
    <row r="5537" spans="7:14" ht="11.25" customHeight="1" x14ac:dyDescent="0.3">
      <c r="G5537" s="459"/>
      <c r="H5537" s="459">
        <v>5530</v>
      </c>
      <c r="I5537" s="444">
        <f t="shared" ca="1" si="208"/>
        <v>-250460661896585.28</v>
      </c>
      <c r="J5537" s="444">
        <f t="array" ref="J5537">IFERROR(INDEX('Retirement Calculator'!J:J,MATCH('Isaac 401k'!N5537,'Retirement Calculator'!A:A,0),0),0)</f>
        <v>0</v>
      </c>
      <c r="K5537" s="444">
        <f t="shared" ca="1" si="206"/>
        <v>-1043586091235.7719</v>
      </c>
      <c r="L5537" s="444">
        <f t="shared" ca="1" si="207"/>
        <v>-251504247987821.06</v>
      </c>
      <c r="M5537" s="460">
        <f t="shared" si="209"/>
        <v>0.05</v>
      </c>
      <c r="N5537" s="464">
        <f t="shared" si="210"/>
        <v>219572</v>
      </c>
    </row>
    <row r="5538" spans="7:14" ht="11.25" customHeight="1" x14ac:dyDescent="0.3">
      <c r="G5538" s="459"/>
      <c r="H5538" s="459">
        <v>5531</v>
      </c>
      <c r="I5538" s="444">
        <f t="shared" ca="1" si="208"/>
        <v>-251504247987821.06</v>
      </c>
      <c r="J5538" s="444">
        <f t="array" ref="J5538">IFERROR(INDEX('Retirement Calculator'!J:J,MATCH('Isaac 401k'!N5538,'Retirement Calculator'!A:A,0),0),0)</f>
        <v>0</v>
      </c>
      <c r="K5538" s="444">
        <f t="shared" ca="1" si="206"/>
        <v>-1047934366615.921</v>
      </c>
      <c r="L5538" s="444">
        <f t="shared" ca="1" si="207"/>
        <v>-252552182354436.97</v>
      </c>
      <c r="M5538" s="460">
        <f t="shared" si="209"/>
        <v>0.05</v>
      </c>
      <c r="N5538" s="464">
        <f t="shared" si="210"/>
        <v>219603</v>
      </c>
    </row>
    <row r="5539" spans="7:14" ht="11.25" customHeight="1" x14ac:dyDescent="0.3">
      <c r="G5539" s="459"/>
      <c r="H5539" s="459">
        <v>5532</v>
      </c>
      <c r="I5539" s="444">
        <f t="shared" ca="1" si="208"/>
        <v>-252552182354436.97</v>
      </c>
      <c r="J5539" s="444">
        <f t="array" ref="J5539">IFERROR(INDEX('Retirement Calculator'!J:J,MATCH('Isaac 401k'!N5539,'Retirement Calculator'!A:A,0),0),0)</f>
        <v>0</v>
      </c>
      <c r="K5539" s="444">
        <f t="shared" ca="1" si="206"/>
        <v>-1052300759810.1541</v>
      </c>
      <c r="L5539" s="444">
        <f t="shared" ca="1" si="207"/>
        <v>-253604483114247.13</v>
      </c>
      <c r="M5539" s="460">
        <f t="shared" si="209"/>
        <v>0.05</v>
      </c>
      <c r="N5539" s="464">
        <f t="shared" si="210"/>
        <v>219633</v>
      </c>
    </row>
    <row r="5540" spans="7:14" ht="11.25" customHeight="1" x14ac:dyDescent="0.3">
      <c r="G5540" s="459"/>
      <c r="H5540" s="459">
        <v>5533</v>
      </c>
      <c r="I5540" s="444">
        <f t="shared" ca="1" si="208"/>
        <v>-253604483114247.13</v>
      </c>
      <c r="J5540" s="444">
        <f t="array" ref="J5540">IFERROR(INDEX('Retirement Calculator'!J:J,MATCH('Isaac 401k'!N5540,'Retirement Calculator'!A:A,0),0),0)</f>
        <v>0</v>
      </c>
      <c r="K5540" s="444">
        <f t="shared" ca="1" si="206"/>
        <v>-1056685346309.363</v>
      </c>
      <c r="L5540" s="444">
        <f t="shared" ca="1" si="207"/>
        <v>-254661168460556.5</v>
      </c>
      <c r="M5540" s="460">
        <f t="shared" si="209"/>
        <v>0.05</v>
      </c>
      <c r="N5540" s="464">
        <f t="shared" si="210"/>
        <v>219664</v>
      </c>
    </row>
    <row r="5541" spans="7:14" ht="11.25" customHeight="1" x14ac:dyDescent="0.3">
      <c r="G5541" s="459"/>
      <c r="H5541" s="459">
        <v>5534</v>
      </c>
      <c r="I5541" s="444">
        <f t="shared" ca="1" si="208"/>
        <v>-254661168460556.5</v>
      </c>
      <c r="J5541" s="444">
        <f t="array" ref="J5541">IFERROR(INDEX('Retirement Calculator'!J:J,MATCH('Isaac 401k'!N5541,'Retirement Calculator'!A:A,0),0),0)</f>
        <v>0</v>
      </c>
      <c r="K5541" s="444">
        <f t="shared" ca="1" si="206"/>
        <v>-1061088201918.9854</v>
      </c>
      <c r="L5541" s="444">
        <f t="shared" ca="1" si="207"/>
        <v>-255722256662475.5</v>
      </c>
      <c r="M5541" s="460">
        <f t="shared" si="209"/>
        <v>0.05</v>
      </c>
      <c r="N5541" s="464">
        <f t="shared" si="210"/>
        <v>219694</v>
      </c>
    </row>
    <row r="5542" spans="7:14" ht="11.25" customHeight="1" x14ac:dyDescent="0.3">
      <c r="G5542" s="459"/>
      <c r="H5542" s="459">
        <v>5535</v>
      </c>
      <c r="I5542" s="444">
        <f t="shared" ca="1" si="208"/>
        <v>-255722256662475.5</v>
      </c>
      <c r="J5542" s="444">
        <f t="array" ref="J5542">IFERROR(INDEX('Retirement Calculator'!J:J,MATCH('Isaac 401k'!N5542,'Retirement Calculator'!A:A,0),0),0)</f>
        <v>0</v>
      </c>
      <c r="K5542" s="444">
        <f t="shared" ca="1" si="206"/>
        <v>-1065509402760.3146</v>
      </c>
      <c r="L5542" s="444">
        <f t="shared" ca="1" si="207"/>
        <v>-256787766065235.81</v>
      </c>
      <c r="M5542" s="460">
        <f t="shared" si="209"/>
        <v>0.05</v>
      </c>
      <c r="N5542" s="464">
        <f t="shared" si="210"/>
        <v>219725</v>
      </c>
    </row>
    <row r="5543" spans="7:14" ht="11.25" customHeight="1" x14ac:dyDescent="0.3">
      <c r="G5543" s="459"/>
      <c r="H5543" s="459">
        <v>5536</v>
      </c>
      <c r="I5543" s="444">
        <f t="shared" ca="1" si="208"/>
        <v>-256787766065235.81</v>
      </c>
      <c r="J5543" s="444">
        <f t="array" ref="J5543">IFERROR(INDEX('Retirement Calculator'!J:J,MATCH('Isaac 401k'!N5543,'Retirement Calculator'!A:A,0),0),0)</f>
        <v>0</v>
      </c>
      <c r="K5543" s="444">
        <f t="shared" ca="1" si="206"/>
        <v>-1069949025271.8159</v>
      </c>
      <c r="L5543" s="444">
        <f t="shared" ca="1" si="207"/>
        <v>-257857715090507.63</v>
      </c>
      <c r="M5543" s="460">
        <f t="shared" si="209"/>
        <v>0.05</v>
      </c>
      <c r="N5543" s="464">
        <f t="shared" si="210"/>
        <v>219756</v>
      </c>
    </row>
    <row r="5544" spans="7:14" ht="11.25" customHeight="1" x14ac:dyDescent="0.3">
      <c r="G5544" s="459"/>
      <c r="H5544" s="459">
        <v>5537</v>
      </c>
      <c r="I5544" s="444">
        <f t="shared" ca="1" si="208"/>
        <v>-257857715090507.63</v>
      </c>
      <c r="J5544" s="444">
        <f t="array" ref="J5544">IFERROR(INDEX('Retirement Calculator'!J:J,MATCH('Isaac 401k'!N5544,'Retirement Calculator'!A:A,0),0),0)</f>
        <v>0</v>
      </c>
      <c r="K5544" s="444">
        <f t="shared" ca="1" si="206"/>
        <v>-1074407146210.4486</v>
      </c>
      <c r="L5544" s="444">
        <f t="shared" ca="1" si="207"/>
        <v>-258932122236718.06</v>
      </c>
      <c r="M5544" s="460">
        <f t="shared" si="209"/>
        <v>0.05</v>
      </c>
      <c r="N5544" s="464">
        <f t="shared" si="210"/>
        <v>219786</v>
      </c>
    </row>
    <row r="5545" spans="7:14" ht="11.25" customHeight="1" x14ac:dyDescent="0.3">
      <c r="G5545" s="459"/>
      <c r="H5545" s="459">
        <v>5538</v>
      </c>
      <c r="I5545" s="444">
        <f t="shared" ca="1" si="208"/>
        <v>-258932122236718.06</v>
      </c>
      <c r="J5545" s="444">
        <f t="array" ref="J5545">IFERROR(INDEX('Retirement Calculator'!J:J,MATCH('Isaac 401k'!N5545,'Retirement Calculator'!A:A,0),0),0)</f>
        <v>0</v>
      </c>
      <c r="K5545" s="444">
        <f t="shared" ca="1" si="206"/>
        <v>-1078883842652.9919</v>
      </c>
      <c r="L5545" s="444">
        <f t="shared" ca="1" si="207"/>
        <v>-260011006079371.06</v>
      </c>
      <c r="M5545" s="460">
        <f t="shared" si="209"/>
        <v>0.05</v>
      </c>
      <c r="N5545" s="464">
        <f t="shared" si="210"/>
        <v>219817</v>
      </c>
    </row>
    <row r="5546" spans="7:14" ht="11.25" customHeight="1" x14ac:dyDescent="0.3">
      <c r="G5546" s="459"/>
      <c r="H5546" s="459">
        <v>5539</v>
      </c>
      <c r="I5546" s="444">
        <f t="shared" ca="1" si="208"/>
        <v>-260011006079371.06</v>
      </c>
      <c r="J5546" s="444">
        <f t="array" ref="J5546">IFERROR(INDEX('Retirement Calculator'!J:J,MATCH('Isaac 401k'!N5546,'Retirement Calculator'!A:A,0),0),0)</f>
        <v>0</v>
      </c>
      <c r="K5546" s="444">
        <f t="shared" ca="1" si="206"/>
        <v>-1083379191997.3794</v>
      </c>
      <c r="L5546" s="444">
        <f t="shared" ca="1" si="207"/>
        <v>-261094385271368.44</v>
      </c>
      <c r="M5546" s="460">
        <f t="shared" si="209"/>
        <v>0.05</v>
      </c>
      <c r="N5546" s="464">
        <f t="shared" si="210"/>
        <v>219847</v>
      </c>
    </row>
    <row r="5547" spans="7:14" ht="11.25" customHeight="1" x14ac:dyDescent="0.3">
      <c r="G5547" s="459"/>
      <c r="H5547" s="459">
        <v>5540</v>
      </c>
      <c r="I5547" s="444">
        <f t="shared" ca="1" si="208"/>
        <v>-261094385271368.44</v>
      </c>
      <c r="J5547" s="444">
        <f t="array" ref="J5547">IFERROR(INDEX('Retirement Calculator'!J:J,MATCH('Isaac 401k'!N5547,'Retirement Calculator'!A:A,0),0),0)</f>
        <v>0</v>
      </c>
      <c r="K5547" s="444">
        <f t="shared" ca="1" si="206"/>
        <v>-1087893271964.0353</v>
      </c>
      <c r="L5547" s="444">
        <f t="shared" ca="1" si="207"/>
        <v>-262182278543332.47</v>
      </c>
      <c r="M5547" s="460">
        <f t="shared" si="209"/>
        <v>0.05</v>
      </c>
      <c r="N5547" s="464">
        <f t="shared" si="210"/>
        <v>219878</v>
      </c>
    </row>
    <row r="5548" spans="7:14" ht="11.25" customHeight="1" x14ac:dyDescent="0.3">
      <c r="G5548" s="459"/>
      <c r="H5548" s="459">
        <v>5541</v>
      </c>
      <c r="I5548" s="444">
        <f t="shared" ca="1" si="208"/>
        <v>-262182278543332.47</v>
      </c>
      <c r="J5548" s="444">
        <f t="array" ref="J5548">IFERROR(INDEX('Retirement Calculator'!J:J,MATCH('Isaac 401k'!N5548,'Retirement Calculator'!A:A,0),0),0)</f>
        <v>0</v>
      </c>
      <c r="K5548" s="444">
        <f t="shared" ca="1" si="206"/>
        <v>-1092426160597.2186</v>
      </c>
      <c r="L5548" s="444">
        <f t="shared" ca="1" si="207"/>
        <v>-263274704703929.69</v>
      </c>
      <c r="M5548" s="460">
        <f t="shared" si="209"/>
        <v>0.05</v>
      </c>
      <c r="N5548" s="464">
        <f t="shared" si="210"/>
        <v>219909</v>
      </c>
    </row>
    <row r="5549" spans="7:14" ht="11.25" customHeight="1" x14ac:dyDescent="0.3">
      <c r="G5549" s="459"/>
      <c r="H5549" s="459">
        <v>5542</v>
      </c>
      <c r="I5549" s="444">
        <f t="shared" ca="1" si="208"/>
        <v>-263274704703929.69</v>
      </c>
      <c r="J5549" s="444">
        <f t="array" ref="J5549">IFERROR(INDEX('Retirement Calculator'!J:J,MATCH('Isaac 401k'!N5549,'Retirement Calculator'!A:A,0),0),0)</f>
        <v>0</v>
      </c>
      <c r="K5549" s="444">
        <f t="shared" ca="1" si="206"/>
        <v>-1096977936266.3737</v>
      </c>
      <c r="L5549" s="444">
        <f t="shared" ca="1" si="207"/>
        <v>-264371682640196.06</v>
      </c>
      <c r="M5549" s="460">
        <f t="shared" si="209"/>
        <v>0.05</v>
      </c>
      <c r="N5549" s="464">
        <f t="shared" si="210"/>
        <v>219937</v>
      </c>
    </row>
    <row r="5550" spans="7:14" ht="11.25" customHeight="1" x14ac:dyDescent="0.3">
      <c r="G5550" s="459"/>
      <c r="H5550" s="459">
        <v>5543</v>
      </c>
      <c r="I5550" s="444">
        <f t="shared" ca="1" si="208"/>
        <v>-264371682640196.06</v>
      </c>
      <c r="J5550" s="444">
        <f t="array" ref="J5550">IFERROR(INDEX('Retirement Calculator'!J:J,MATCH('Isaac 401k'!N5550,'Retirement Calculator'!A:A,0),0),0)</f>
        <v>0</v>
      </c>
      <c r="K5550" s="444">
        <f t="shared" ca="1" si="206"/>
        <v>-1101548677667.4836</v>
      </c>
      <c r="L5550" s="444">
        <f t="shared" ca="1" si="207"/>
        <v>-265473231317863.53</v>
      </c>
      <c r="M5550" s="460">
        <f t="shared" si="209"/>
        <v>0.05</v>
      </c>
      <c r="N5550" s="464">
        <f t="shared" si="210"/>
        <v>219968</v>
      </c>
    </row>
    <row r="5551" spans="7:14" ht="11.25" customHeight="1" x14ac:dyDescent="0.3">
      <c r="G5551" s="459"/>
      <c r="H5551" s="459">
        <v>5544</v>
      </c>
      <c r="I5551" s="444">
        <f t="shared" ca="1" si="208"/>
        <v>-265473231317863.53</v>
      </c>
      <c r="J5551" s="444">
        <f t="array" ref="J5551">IFERROR(INDEX('Retirement Calculator'!J:J,MATCH('Isaac 401k'!N5551,'Retirement Calculator'!A:A,0),0),0)</f>
        <v>0</v>
      </c>
      <c r="K5551" s="444">
        <f t="shared" ca="1" si="206"/>
        <v>-1106138463824.4314</v>
      </c>
      <c r="L5551" s="444">
        <f t="shared" ca="1" si="207"/>
        <v>-266579369781687.97</v>
      </c>
      <c r="M5551" s="460">
        <f t="shared" si="209"/>
        <v>0.05</v>
      </c>
      <c r="N5551" s="464">
        <f t="shared" si="210"/>
        <v>219998</v>
      </c>
    </row>
    <row r="5552" spans="7:14" ht="11.25" customHeight="1" x14ac:dyDescent="0.3">
      <c r="G5552" s="459"/>
      <c r="H5552" s="459">
        <v>5545</v>
      </c>
      <c r="I5552" s="444">
        <f t="shared" ca="1" si="208"/>
        <v>-266579369781687.97</v>
      </c>
      <c r="J5552" s="444">
        <f t="array" ref="J5552">IFERROR(INDEX('Retirement Calculator'!J:J,MATCH('Isaac 401k'!N5552,'Retirement Calculator'!A:A,0),0),0)</f>
        <v>0</v>
      </c>
      <c r="K5552" s="444">
        <f t="shared" ca="1" si="206"/>
        <v>-1110747374090.3665</v>
      </c>
      <c r="L5552" s="444">
        <f t="shared" ca="1" si="207"/>
        <v>-267690117155778.34</v>
      </c>
      <c r="M5552" s="460">
        <f t="shared" si="209"/>
        <v>0.05</v>
      </c>
      <c r="N5552" s="464">
        <f t="shared" si="210"/>
        <v>220029</v>
      </c>
    </row>
    <row r="5553" spans="7:14" ht="11.25" customHeight="1" x14ac:dyDescent="0.3">
      <c r="G5553" s="459"/>
      <c r="H5553" s="459">
        <v>5546</v>
      </c>
      <c r="I5553" s="444">
        <f t="shared" ca="1" si="208"/>
        <v>-267690117155778.34</v>
      </c>
      <c r="J5553" s="444">
        <f t="array" ref="J5553">IFERROR(INDEX('Retirement Calculator'!J:J,MATCH('Isaac 401k'!N5553,'Retirement Calculator'!A:A,0),0),0)</f>
        <v>0</v>
      </c>
      <c r="K5553" s="444">
        <f t="shared" ca="1" si="206"/>
        <v>-1115375488149.0762</v>
      </c>
      <c r="L5553" s="444">
        <f t="shared" ca="1" si="207"/>
        <v>-268805492643927.41</v>
      </c>
      <c r="M5553" s="460">
        <f t="shared" si="209"/>
        <v>0.05</v>
      </c>
      <c r="N5553" s="464">
        <f t="shared" si="210"/>
        <v>220059</v>
      </c>
    </row>
    <row r="5554" spans="7:14" ht="11.25" customHeight="1" x14ac:dyDescent="0.3">
      <c r="G5554" s="459"/>
      <c r="H5554" s="459">
        <v>5547</v>
      </c>
      <c r="I5554" s="444">
        <f t="shared" ca="1" si="208"/>
        <v>-268805492643927.41</v>
      </c>
      <c r="J5554" s="444">
        <f t="array" ref="J5554">IFERROR(INDEX('Retirement Calculator'!J:J,MATCH('Isaac 401k'!N5554,'Retirement Calculator'!A:A,0),0),0)</f>
        <v>0</v>
      </c>
      <c r="K5554" s="444">
        <f t="shared" ca="1" si="206"/>
        <v>-1120022886016.3643</v>
      </c>
      <c r="L5554" s="444">
        <f t="shared" ca="1" si="207"/>
        <v>-269925515529943.78</v>
      </c>
      <c r="M5554" s="460">
        <f t="shared" si="209"/>
        <v>0.05</v>
      </c>
      <c r="N5554" s="464">
        <f t="shared" si="210"/>
        <v>220090</v>
      </c>
    </row>
    <row r="5555" spans="7:14" ht="11.25" customHeight="1" x14ac:dyDescent="0.3">
      <c r="G5555" s="459"/>
      <c r="H5555" s="459">
        <v>5548</v>
      </c>
      <c r="I5555" s="444">
        <f t="shared" ca="1" si="208"/>
        <v>-269925515529943.78</v>
      </c>
      <c r="J5555" s="444">
        <f t="array" ref="J5555">IFERROR(INDEX('Retirement Calculator'!J:J,MATCH('Isaac 401k'!N5555,'Retirement Calculator'!A:A,0),0),0)</f>
        <v>0</v>
      </c>
      <c r="K5555" s="444">
        <f t="shared" ca="1" si="206"/>
        <v>-1124689648041.4324</v>
      </c>
      <c r="L5555" s="444">
        <f t="shared" ca="1" si="207"/>
        <v>-271050205177985.22</v>
      </c>
      <c r="M5555" s="460">
        <f t="shared" si="209"/>
        <v>0.05</v>
      </c>
      <c r="N5555" s="464">
        <f t="shared" si="210"/>
        <v>220121</v>
      </c>
    </row>
    <row r="5556" spans="7:14" ht="11.25" customHeight="1" x14ac:dyDescent="0.3">
      <c r="G5556" s="459"/>
      <c r="H5556" s="459">
        <v>5549</v>
      </c>
      <c r="I5556" s="444">
        <f t="shared" ca="1" si="208"/>
        <v>-271050205177985.22</v>
      </c>
      <c r="J5556" s="444">
        <f t="array" ref="J5556">IFERROR(INDEX('Retirement Calculator'!J:J,MATCH('Isaac 401k'!N5556,'Retirement Calculator'!A:A,0),0),0)</f>
        <v>0</v>
      </c>
      <c r="K5556" s="444">
        <f t="shared" ca="1" si="206"/>
        <v>-1129375854908.272</v>
      </c>
      <c r="L5556" s="444">
        <f t="shared" ca="1" si="207"/>
        <v>-272179581032893.5</v>
      </c>
      <c r="M5556" s="460">
        <f t="shared" si="209"/>
        <v>0.05</v>
      </c>
      <c r="N5556" s="464">
        <f t="shared" si="210"/>
        <v>220151</v>
      </c>
    </row>
    <row r="5557" spans="7:14" ht="11.25" customHeight="1" x14ac:dyDescent="0.3">
      <c r="G5557" s="459"/>
      <c r="H5557" s="459">
        <v>5550</v>
      </c>
      <c r="I5557" s="444">
        <f t="shared" ca="1" si="208"/>
        <v>-272179581032893.5</v>
      </c>
      <c r="J5557" s="444">
        <f t="array" ref="J5557">IFERROR(INDEX('Retirement Calculator'!J:J,MATCH('Isaac 401k'!N5557,'Retirement Calculator'!A:A,0),0),0)</f>
        <v>0</v>
      </c>
      <c r="K5557" s="444">
        <f t="shared" ca="1" si="206"/>
        <v>-1134081587637.0562</v>
      </c>
      <c r="L5557" s="444">
        <f t="shared" ca="1" si="207"/>
        <v>-273313662620530.56</v>
      </c>
      <c r="M5557" s="460">
        <f t="shared" si="209"/>
        <v>0.05</v>
      </c>
      <c r="N5557" s="464">
        <f t="shared" si="210"/>
        <v>220182</v>
      </c>
    </row>
    <row r="5558" spans="7:14" ht="11.25" customHeight="1" x14ac:dyDescent="0.3">
      <c r="G5558" s="459"/>
      <c r="H5558" s="459">
        <v>5551</v>
      </c>
      <c r="I5558" s="444">
        <f t="shared" ca="1" si="208"/>
        <v>-273313662620530.56</v>
      </c>
      <c r="J5558" s="444">
        <f t="array" ref="J5558">IFERROR(INDEX('Retirement Calculator'!J:J,MATCH('Isaac 401k'!N5558,'Retirement Calculator'!A:A,0),0),0)</f>
        <v>0</v>
      </c>
      <c r="K5558" s="444">
        <f t="shared" ca="1" si="206"/>
        <v>-1138806927585.5442</v>
      </c>
      <c r="L5558" s="444">
        <f t="shared" ca="1" si="207"/>
        <v>-274452469548116.09</v>
      </c>
      <c r="M5558" s="460">
        <f t="shared" si="209"/>
        <v>0.05</v>
      </c>
      <c r="N5558" s="464">
        <f t="shared" si="210"/>
        <v>220212</v>
      </c>
    </row>
    <row r="5559" spans="7:14" ht="11.25" customHeight="1" x14ac:dyDescent="0.3">
      <c r="G5559" s="459"/>
      <c r="H5559" s="459">
        <v>5552</v>
      </c>
      <c r="I5559" s="444">
        <f t="shared" ca="1" si="208"/>
        <v>-274452469548116.09</v>
      </c>
      <c r="J5559" s="444">
        <f t="array" ref="J5559">IFERROR(INDEX('Retirement Calculator'!J:J,MATCH('Isaac 401k'!N5559,'Retirement Calculator'!A:A,0),0),0)</f>
        <v>0</v>
      </c>
      <c r="K5559" s="444">
        <f t="shared" ca="1" si="206"/>
        <v>-1143551956450.4836</v>
      </c>
      <c r="L5559" s="444">
        <f t="shared" ca="1" si="207"/>
        <v>-275596021504566.56</v>
      </c>
      <c r="M5559" s="460">
        <f t="shared" si="209"/>
        <v>0.05</v>
      </c>
      <c r="N5559" s="464">
        <f t="shared" si="210"/>
        <v>220243</v>
      </c>
    </row>
    <row r="5560" spans="7:14" ht="11.25" customHeight="1" x14ac:dyDescent="0.3">
      <c r="G5560" s="459"/>
      <c r="H5560" s="459">
        <v>5553</v>
      </c>
      <c r="I5560" s="444">
        <f t="shared" ca="1" si="208"/>
        <v>-275596021504566.56</v>
      </c>
      <c r="J5560" s="444">
        <f t="array" ref="J5560">IFERROR(INDEX('Retirement Calculator'!J:J,MATCH('Isaac 401k'!N5560,'Retirement Calculator'!A:A,0),0),0)</f>
        <v>0</v>
      </c>
      <c r="K5560" s="444">
        <f t="shared" ca="1" si="206"/>
        <v>-1148316756269.0273</v>
      </c>
      <c r="L5560" s="444">
        <f t="shared" ca="1" si="207"/>
        <v>-276744338260835.59</v>
      </c>
      <c r="M5560" s="460">
        <f t="shared" si="209"/>
        <v>0.05</v>
      </c>
      <c r="N5560" s="464">
        <f t="shared" si="210"/>
        <v>220274</v>
      </c>
    </row>
    <row r="5561" spans="7:14" ht="11.25" customHeight="1" x14ac:dyDescent="0.3">
      <c r="G5561" s="459"/>
      <c r="H5561" s="459">
        <v>5554</v>
      </c>
      <c r="I5561" s="444">
        <f t="shared" ca="1" si="208"/>
        <v>-276744338260835.59</v>
      </c>
      <c r="J5561" s="444">
        <f t="array" ref="J5561">IFERROR(INDEX('Retirement Calculator'!J:J,MATCH('Isaac 401k'!N5561,'Retirement Calculator'!A:A,0),0),0)</f>
        <v>0</v>
      </c>
      <c r="K5561" s="444">
        <f t="shared" ca="1" si="206"/>
        <v>-1153101409420.1482</v>
      </c>
      <c r="L5561" s="444">
        <f t="shared" ca="1" si="207"/>
        <v>-277897439670255.75</v>
      </c>
      <c r="M5561" s="460">
        <f t="shared" si="209"/>
        <v>0.05</v>
      </c>
      <c r="N5561" s="464">
        <f t="shared" si="210"/>
        <v>220302</v>
      </c>
    </row>
    <row r="5562" spans="7:14" ht="11.25" customHeight="1" x14ac:dyDescent="0.3">
      <c r="G5562" s="459"/>
      <c r="H5562" s="459">
        <v>5555</v>
      </c>
      <c r="I5562" s="444">
        <f t="shared" ca="1" si="208"/>
        <v>-277897439670255.75</v>
      </c>
      <c r="J5562" s="444">
        <f t="array" ref="J5562">IFERROR(INDEX('Retirement Calculator'!J:J,MATCH('Isaac 401k'!N5562,'Retirement Calculator'!A:A,0),0),0)</f>
        <v>0</v>
      </c>
      <c r="K5562" s="444">
        <f t="shared" ca="1" si="206"/>
        <v>-1157905998626.0657</v>
      </c>
      <c r="L5562" s="444">
        <f t="shared" ca="1" si="207"/>
        <v>-279055345668881.81</v>
      </c>
      <c r="M5562" s="460">
        <f t="shared" si="209"/>
        <v>0.05</v>
      </c>
      <c r="N5562" s="464">
        <f t="shared" si="210"/>
        <v>220333</v>
      </c>
    </row>
    <row r="5563" spans="7:14" ht="11.25" customHeight="1" x14ac:dyDescent="0.3">
      <c r="G5563" s="459"/>
      <c r="H5563" s="459">
        <v>5556</v>
      </c>
      <c r="I5563" s="444">
        <f t="shared" ca="1" si="208"/>
        <v>-279055345668881.81</v>
      </c>
      <c r="J5563" s="444">
        <f t="array" ref="J5563">IFERROR(INDEX('Retirement Calculator'!J:J,MATCH('Isaac 401k'!N5563,'Retirement Calculator'!A:A,0),0),0)</f>
        <v>0</v>
      </c>
      <c r="K5563" s="444">
        <f t="shared" ca="1" si="206"/>
        <v>-1162730606953.6743</v>
      </c>
      <c r="L5563" s="444">
        <f t="shared" ca="1" si="207"/>
        <v>-280218076275835.5</v>
      </c>
      <c r="M5563" s="460">
        <f t="shared" si="209"/>
        <v>0.05</v>
      </c>
      <c r="N5563" s="464">
        <f t="shared" si="210"/>
        <v>220363</v>
      </c>
    </row>
    <row r="5564" spans="7:14" ht="11.25" customHeight="1" x14ac:dyDescent="0.3">
      <c r="G5564" s="459"/>
      <c r="H5564" s="459">
        <v>5557</v>
      </c>
      <c r="I5564" s="444">
        <f t="shared" ca="1" si="208"/>
        <v>-280218076275835.5</v>
      </c>
      <c r="J5564" s="444">
        <f t="array" ref="J5564">IFERROR(INDEX('Retirement Calculator'!J:J,MATCH('Isaac 401k'!N5564,'Retirement Calculator'!A:A,0),0),0)</f>
        <v>0</v>
      </c>
      <c r="K5564" s="444">
        <f t="shared" ca="1" si="206"/>
        <v>-1167575317815.9812</v>
      </c>
      <c r="L5564" s="444">
        <f t="shared" ca="1" si="207"/>
        <v>-281385651593651.47</v>
      </c>
      <c r="M5564" s="460">
        <f t="shared" si="209"/>
        <v>0.05</v>
      </c>
      <c r="N5564" s="464">
        <f t="shared" si="210"/>
        <v>220394</v>
      </c>
    </row>
    <row r="5565" spans="7:14" ht="11.25" customHeight="1" x14ac:dyDescent="0.3">
      <c r="G5565" s="459"/>
      <c r="H5565" s="459">
        <v>5558</v>
      </c>
      <c r="I5565" s="444">
        <f t="shared" ca="1" si="208"/>
        <v>-281385651593651.47</v>
      </c>
      <c r="J5565" s="444">
        <f t="array" ref="J5565">IFERROR(INDEX('Retirement Calculator'!J:J,MATCH('Isaac 401k'!N5565,'Retirement Calculator'!A:A,0),0),0)</f>
        <v>0</v>
      </c>
      <c r="K5565" s="444">
        <f t="shared" ca="1" si="206"/>
        <v>-1172440214973.5479</v>
      </c>
      <c r="L5565" s="444">
        <f t="shared" ca="1" si="207"/>
        <v>-282558091808625</v>
      </c>
      <c r="M5565" s="460">
        <f t="shared" si="209"/>
        <v>0.05</v>
      </c>
      <c r="N5565" s="464">
        <f t="shared" si="210"/>
        <v>220424</v>
      </c>
    </row>
    <row r="5566" spans="7:14" ht="11.25" customHeight="1" x14ac:dyDescent="0.3">
      <c r="G5566" s="459"/>
      <c r="H5566" s="459">
        <v>5559</v>
      </c>
      <c r="I5566" s="444">
        <f t="shared" ca="1" si="208"/>
        <v>-282558091808625</v>
      </c>
      <c r="J5566" s="444">
        <f t="array" ref="J5566">IFERROR(INDEX('Retirement Calculator'!J:J,MATCH('Isaac 401k'!N5566,'Retirement Calculator'!A:A,0),0),0)</f>
        <v>0</v>
      </c>
      <c r="K5566" s="444">
        <f t="shared" ca="1" si="206"/>
        <v>-1177325382535.9375</v>
      </c>
      <c r="L5566" s="444">
        <f t="shared" ca="1" si="207"/>
        <v>-283735417191160.94</v>
      </c>
      <c r="M5566" s="460">
        <f t="shared" si="209"/>
        <v>0.05</v>
      </c>
      <c r="N5566" s="464">
        <f t="shared" si="210"/>
        <v>220455</v>
      </c>
    </row>
    <row r="5567" spans="7:14" ht="11.25" customHeight="1" x14ac:dyDescent="0.3">
      <c r="G5567" s="459"/>
      <c r="H5567" s="459">
        <v>5560</v>
      </c>
      <c r="I5567" s="444">
        <f t="shared" ca="1" si="208"/>
        <v>-283735417191160.94</v>
      </c>
      <c r="J5567" s="444">
        <f t="array" ref="J5567">IFERROR(INDEX('Retirement Calculator'!J:J,MATCH('Isaac 401k'!N5567,'Retirement Calculator'!A:A,0),0),0)</f>
        <v>0</v>
      </c>
      <c r="K5567" s="444">
        <f t="shared" ca="1" si="206"/>
        <v>-1182230904963.1707</v>
      </c>
      <c r="L5567" s="444">
        <f t="shared" ca="1" si="207"/>
        <v>-284917648096124.13</v>
      </c>
      <c r="M5567" s="460">
        <f t="shared" si="209"/>
        <v>0.05</v>
      </c>
      <c r="N5567" s="464">
        <f t="shared" si="210"/>
        <v>220486</v>
      </c>
    </row>
    <row r="5568" spans="7:14" ht="11.25" customHeight="1" x14ac:dyDescent="0.3">
      <c r="G5568" s="459"/>
      <c r="H5568" s="459">
        <v>5561</v>
      </c>
      <c r="I5568" s="444">
        <f t="shared" ca="1" si="208"/>
        <v>-284917648096124.13</v>
      </c>
      <c r="J5568" s="444">
        <f t="array" ref="J5568">IFERROR(INDEX('Retirement Calculator'!J:J,MATCH('Isaac 401k'!N5568,'Retirement Calculator'!A:A,0),0),0)</f>
        <v>0</v>
      </c>
      <c r="K5568" s="444">
        <f t="shared" ca="1" si="206"/>
        <v>-1187156867067.1838</v>
      </c>
      <c r="L5568" s="444">
        <f t="shared" ca="1" si="207"/>
        <v>-286104804963191.31</v>
      </c>
      <c r="M5568" s="460">
        <f t="shared" si="209"/>
        <v>0.05</v>
      </c>
      <c r="N5568" s="464">
        <f t="shared" si="210"/>
        <v>220516</v>
      </c>
    </row>
    <row r="5569" spans="7:14" ht="11.25" customHeight="1" x14ac:dyDescent="0.3">
      <c r="G5569" s="459"/>
      <c r="H5569" s="459">
        <v>5562</v>
      </c>
      <c r="I5569" s="444">
        <f t="shared" ca="1" si="208"/>
        <v>-286104804963191.31</v>
      </c>
      <c r="J5569" s="444">
        <f t="array" ref="J5569">IFERROR(INDEX('Retirement Calculator'!J:J,MATCH('Isaac 401k'!N5569,'Retirement Calculator'!A:A,0),0),0)</f>
        <v>0</v>
      </c>
      <c r="K5569" s="444">
        <f t="shared" ca="1" si="206"/>
        <v>-1192103354013.2971</v>
      </c>
      <c r="L5569" s="444">
        <f t="shared" ca="1" si="207"/>
        <v>-287296908317204.63</v>
      </c>
      <c r="M5569" s="460">
        <f t="shared" si="209"/>
        <v>0.05</v>
      </c>
      <c r="N5569" s="464">
        <f t="shared" si="210"/>
        <v>220547</v>
      </c>
    </row>
    <row r="5570" spans="7:14" ht="11.25" customHeight="1" x14ac:dyDescent="0.3">
      <c r="G5570" s="459"/>
      <c r="H5570" s="459">
        <v>5563</v>
      </c>
      <c r="I5570" s="444">
        <f t="shared" ca="1" si="208"/>
        <v>-287296908317204.63</v>
      </c>
      <c r="J5570" s="444">
        <f t="array" ref="J5570">IFERROR(INDEX('Retirement Calculator'!J:J,MATCH('Isaac 401k'!N5570,'Retirement Calculator'!A:A,0),0),0)</f>
        <v>0</v>
      </c>
      <c r="K5570" s="444">
        <f t="shared" ca="1" si="206"/>
        <v>-1197070451321.686</v>
      </c>
      <c r="L5570" s="444">
        <f t="shared" ca="1" si="207"/>
        <v>-288493978768526.31</v>
      </c>
      <c r="M5570" s="460">
        <f t="shared" si="209"/>
        <v>0.05</v>
      </c>
      <c r="N5570" s="464">
        <f t="shared" si="210"/>
        <v>220577</v>
      </c>
    </row>
    <row r="5571" spans="7:14" ht="11.25" customHeight="1" x14ac:dyDescent="0.3">
      <c r="G5571" s="459"/>
      <c r="H5571" s="459">
        <v>5564</v>
      </c>
      <c r="I5571" s="444">
        <f t="shared" ca="1" si="208"/>
        <v>-288493978768526.31</v>
      </c>
      <c r="J5571" s="444">
        <f t="array" ref="J5571">IFERROR(INDEX('Retirement Calculator'!J:J,MATCH('Isaac 401k'!N5571,'Retirement Calculator'!A:A,0),0),0)</f>
        <v>0</v>
      </c>
      <c r="K5571" s="444">
        <f t="shared" ca="1" si="206"/>
        <v>-1202058244868.8596</v>
      </c>
      <c r="L5571" s="444">
        <f t="shared" ca="1" si="207"/>
        <v>-289696037013395.19</v>
      </c>
      <c r="M5571" s="460">
        <f t="shared" si="209"/>
        <v>0.05</v>
      </c>
      <c r="N5571" s="464">
        <f t="shared" si="210"/>
        <v>220608</v>
      </c>
    </row>
    <row r="5572" spans="7:14" ht="11.25" customHeight="1" x14ac:dyDescent="0.3">
      <c r="G5572" s="459"/>
      <c r="H5572" s="459">
        <v>5565</v>
      </c>
      <c r="I5572" s="444">
        <f t="shared" ca="1" si="208"/>
        <v>-289696037013395.19</v>
      </c>
      <c r="J5572" s="444">
        <f t="array" ref="J5572">IFERROR(INDEX('Retirement Calculator'!J:J,MATCH('Isaac 401k'!N5572,'Retirement Calculator'!A:A,0),0),0)</f>
        <v>0</v>
      </c>
      <c r="K5572" s="444">
        <f t="shared" ca="1" si="206"/>
        <v>-1207066820889.1465</v>
      </c>
      <c r="L5572" s="444">
        <f t="shared" ca="1" si="207"/>
        <v>-290903103834284.31</v>
      </c>
      <c r="M5572" s="460">
        <f t="shared" si="209"/>
        <v>0.05</v>
      </c>
      <c r="N5572" s="464">
        <f t="shared" si="210"/>
        <v>220639</v>
      </c>
    </row>
    <row r="5573" spans="7:14" ht="11.25" customHeight="1" x14ac:dyDescent="0.3">
      <c r="G5573" s="459"/>
      <c r="H5573" s="459">
        <v>5566</v>
      </c>
      <c r="I5573" s="444">
        <f t="shared" ca="1" si="208"/>
        <v>-290903103834284.31</v>
      </c>
      <c r="J5573" s="444">
        <f t="array" ref="J5573">IFERROR(INDEX('Retirement Calculator'!J:J,MATCH('Isaac 401k'!N5573,'Retirement Calculator'!A:A,0),0),0)</f>
        <v>0</v>
      </c>
      <c r="K5573" s="444">
        <f t="shared" ca="1" si="206"/>
        <v>-1212096265976.1846</v>
      </c>
      <c r="L5573" s="444">
        <f t="shared" ca="1" si="207"/>
        <v>-292115200100260.5</v>
      </c>
      <c r="M5573" s="460">
        <f t="shared" si="209"/>
        <v>0.05</v>
      </c>
      <c r="N5573" s="464">
        <f t="shared" si="210"/>
        <v>220668</v>
      </c>
    </row>
    <row r="5574" spans="7:14" ht="11.25" customHeight="1" x14ac:dyDescent="0.3">
      <c r="G5574" s="459"/>
      <c r="H5574" s="459">
        <v>5567</v>
      </c>
      <c r="I5574" s="444">
        <f t="shared" ca="1" si="208"/>
        <v>-292115200100260.5</v>
      </c>
      <c r="J5574" s="444">
        <f t="array" ref="J5574">IFERROR(INDEX('Retirement Calculator'!J:J,MATCH('Isaac 401k'!N5574,'Retirement Calculator'!A:A,0),0),0)</f>
        <v>0</v>
      </c>
      <c r="K5574" s="444">
        <f t="shared" ca="1" si="206"/>
        <v>-1217146667084.4187</v>
      </c>
      <c r="L5574" s="444">
        <f t="shared" ca="1" si="207"/>
        <v>-293332346767344.94</v>
      </c>
      <c r="M5574" s="460">
        <f t="shared" si="209"/>
        <v>0.05</v>
      </c>
      <c r="N5574" s="464">
        <f t="shared" si="210"/>
        <v>220699</v>
      </c>
    </row>
    <row r="5575" spans="7:14" ht="11.25" customHeight="1" x14ac:dyDescent="0.3">
      <c r="G5575" s="459"/>
      <c r="H5575" s="459">
        <v>5568</v>
      </c>
      <c r="I5575" s="444">
        <f t="shared" ca="1" si="208"/>
        <v>-293332346767344.94</v>
      </c>
      <c r="J5575" s="444">
        <f t="array" ref="J5575">IFERROR(INDEX('Retirement Calculator'!J:J,MATCH('Isaac 401k'!N5575,'Retirement Calculator'!A:A,0),0),0)</f>
        <v>0</v>
      </c>
      <c r="K5575" s="444">
        <f t="shared" ca="1" si="206"/>
        <v>-1222218111530.604</v>
      </c>
      <c r="L5575" s="444">
        <f t="shared" ca="1" si="207"/>
        <v>-294554564878875.56</v>
      </c>
      <c r="M5575" s="460">
        <f t="shared" si="209"/>
        <v>0.05</v>
      </c>
      <c r="N5575" s="464">
        <f t="shared" si="210"/>
        <v>220729</v>
      </c>
    </row>
    <row r="5576" spans="7:14" ht="11.25" customHeight="1" x14ac:dyDescent="0.3">
      <c r="G5576" s="459"/>
      <c r="H5576" s="459">
        <v>5569</v>
      </c>
      <c r="I5576" s="444">
        <f t="shared" ca="1" si="208"/>
        <v>-294554564878875.56</v>
      </c>
      <c r="J5576" s="444">
        <f t="array" ref="J5576">IFERROR(INDEX('Retirement Calculator'!J:J,MATCH('Isaac 401k'!N5576,'Retirement Calculator'!A:A,0),0),0)</f>
        <v>0</v>
      </c>
      <c r="K5576" s="444">
        <f t="shared" ca="1" si="206"/>
        <v>-1227310686995.3149</v>
      </c>
      <c r="L5576" s="444">
        <f t="shared" ca="1" si="207"/>
        <v>-295781875565870.88</v>
      </c>
      <c r="M5576" s="460">
        <f t="shared" si="209"/>
        <v>0.05</v>
      </c>
      <c r="N5576" s="464">
        <f t="shared" si="210"/>
        <v>220760</v>
      </c>
    </row>
    <row r="5577" spans="7:14" ht="11.25" customHeight="1" x14ac:dyDescent="0.3">
      <c r="G5577" s="459"/>
      <c r="H5577" s="459">
        <v>5570</v>
      </c>
      <c r="I5577" s="444">
        <f t="shared" ca="1" si="208"/>
        <v>-295781875565870.88</v>
      </c>
      <c r="J5577" s="444">
        <f t="array" ref="J5577">IFERROR(INDEX('Retirement Calculator'!J:J,MATCH('Isaac 401k'!N5577,'Retirement Calculator'!A:A,0),0),0)</f>
        <v>0</v>
      </c>
      <c r="K5577" s="444">
        <f t="shared" ca="1" si="206"/>
        <v>-1232424481524.4619</v>
      </c>
      <c r="L5577" s="444">
        <f t="shared" ca="1" si="207"/>
        <v>-297014300047395.31</v>
      </c>
      <c r="M5577" s="460">
        <f t="shared" si="209"/>
        <v>0.05</v>
      </c>
      <c r="N5577" s="464">
        <f t="shared" si="210"/>
        <v>220790</v>
      </c>
    </row>
    <row r="5578" spans="7:14" ht="11.25" customHeight="1" x14ac:dyDescent="0.3">
      <c r="G5578" s="459"/>
      <c r="H5578" s="459">
        <v>5571</v>
      </c>
      <c r="I5578" s="444">
        <f t="shared" ca="1" si="208"/>
        <v>-297014300047395.31</v>
      </c>
      <c r="J5578" s="444">
        <f t="array" ref="J5578">IFERROR(INDEX('Retirement Calculator'!J:J,MATCH('Isaac 401k'!N5578,'Retirement Calculator'!A:A,0),0),0)</f>
        <v>0</v>
      </c>
      <c r="K5578" s="444">
        <f t="shared" ca="1" si="206"/>
        <v>-1237559583530.8137</v>
      </c>
      <c r="L5578" s="444">
        <f t="shared" ca="1" si="207"/>
        <v>-298251859630926.13</v>
      </c>
      <c r="M5578" s="460">
        <f t="shared" si="209"/>
        <v>0.05</v>
      </c>
      <c r="N5578" s="464">
        <f t="shared" si="210"/>
        <v>220821</v>
      </c>
    </row>
    <row r="5579" spans="7:14" ht="11.25" customHeight="1" x14ac:dyDescent="0.3">
      <c r="G5579" s="459"/>
      <c r="H5579" s="459">
        <v>5572</v>
      </c>
      <c r="I5579" s="444">
        <f t="shared" ca="1" si="208"/>
        <v>-298251859630926.13</v>
      </c>
      <c r="J5579" s="444">
        <f t="array" ref="J5579">IFERROR(INDEX('Retirement Calculator'!J:J,MATCH('Isaac 401k'!N5579,'Retirement Calculator'!A:A,0),0),0)</f>
        <v>0</v>
      </c>
      <c r="K5579" s="444">
        <f t="shared" ca="1" si="206"/>
        <v>-1242716081795.5254</v>
      </c>
      <c r="L5579" s="444">
        <f t="shared" ca="1" si="207"/>
        <v>-299494575712721.63</v>
      </c>
      <c r="M5579" s="460">
        <f t="shared" si="209"/>
        <v>0.05</v>
      </c>
      <c r="N5579" s="464">
        <f t="shared" si="210"/>
        <v>220852</v>
      </c>
    </row>
    <row r="5580" spans="7:14" ht="11.25" customHeight="1" x14ac:dyDescent="0.3">
      <c r="G5580" s="459"/>
      <c r="H5580" s="459">
        <v>5573</v>
      </c>
      <c r="I5580" s="444">
        <f t="shared" ca="1" si="208"/>
        <v>-299494575712721.63</v>
      </c>
      <c r="J5580" s="444">
        <f t="array" ref="J5580">IFERROR(INDEX('Retirement Calculator'!J:J,MATCH('Isaac 401k'!N5580,'Retirement Calculator'!A:A,0),0),0)</f>
        <v>0</v>
      </c>
      <c r="K5580" s="444">
        <f t="shared" ca="1" si="206"/>
        <v>-1247894065469.6733</v>
      </c>
      <c r="L5580" s="444">
        <f t="shared" ca="1" si="207"/>
        <v>-300742469778191.31</v>
      </c>
      <c r="M5580" s="460">
        <f t="shared" si="209"/>
        <v>0.05</v>
      </c>
      <c r="N5580" s="464">
        <f t="shared" si="210"/>
        <v>220882</v>
      </c>
    </row>
    <row r="5581" spans="7:14" ht="11.25" customHeight="1" x14ac:dyDescent="0.3">
      <c r="G5581" s="459"/>
      <c r="H5581" s="459">
        <v>5574</v>
      </c>
      <c r="I5581" s="444">
        <f t="shared" ca="1" si="208"/>
        <v>-300742469778191.31</v>
      </c>
      <c r="J5581" s="444">
        <f t="array" ref="J5581">IFERROR(INDEX('Retirement Calculator'!J:J,MATCH('Isaac 401k'!N5581,'Retirement Calculator'!A:A,0),0),0)</f>
        <v>0</v>
      </c>
      <c r="K5581" s="444">
        <f t="shared" ca="1" si="206"/>
        <v>-1253093624075.7971</v>
      </c>
      <c r="L5581" s="444">
        <f t="shared" ca="1" si="207"/>
        <v>-301995563402267.13</v>
      </c>
      <c r="M5581" s="460">
        <f t="shared" si="209"/>
        <v>0.05</v>
      </c>
      <c r="N5581" s="464">
        <f t="shared" si="210"/>
        <v>220913</v>
      </c>
    </row>
    <row r="5582" spans="7:14" ht="11.25" customHeight="1" x14ac:dyDescent="0.3">
      <c r="G5582" s="459"/>
      <c r="H5582" s="459">
        <v>5575</v>
      </c>
      <c r="I5582" s="444">
        <f t="shared" ca="1" si="208"/>
        <v>-301995563402267.13</v>
      </c>
      <c r="J5582" s="444">
        <f t="array" ref="J5582">IFERROR(INDEX('Retirement Calculator'!J:J,MATCH('Isaac 401k'!N5582,'Retirement Calculator'!A:A,0),0),0)</f>
        <v>0</v>
      </c>
      <c r="K5582" s="444">
        <f t="shared" ca="1" si="206"/>
        <v>-1258314847509.4463</v>
      </c>
      <c r="L5582" s="444">
        <f t="shared" ca="1" si="207"/>
        <v>-303253878249776.56</v>
      </c>
      <c r="M5582" s="460">
        <f t="shared" si="209"/>
        <v>0.05</v>
      </c>
      <c r="N5582" s="464">
        <f t="shared" si="210"/>
        <v>220943</v>
      </c>
    </row>
    <row r="5583" spans="7:14" ht="11.25" customHeight="1" x14ac:dyDescent="0.3">
      <c r="G5583" s="459"/>
      <c r="H5583" s="459">
        <v>5576</v>
      </c>
      <c r="I5583" s="444">
        <f t="shared" ca="1" si="208"/>
        <v>-303253878249776.56</v>
      </c>
      <c r="J5583" s="444">
        <f t="array" ref="J5583">IFERROR(INDEX('Retirement Calculator'!J:J,MATCH('Isaac 401k'!N5583,'Retirement Calculator'!A:A,0),0),0)</f>
        <v>0</v>
      </c>
      <c r="K5583" s="444">
        <f t="shared" ca="1" si="206"/>
        <v>-1263557826040.7356</v>
      </c>
      <c r="L5583" s="444">
        <f t="shared" ca="1" si="207"/>
        <v>-304517436075817.31</v>
      </c>
      <c r="M5583" s="460">
        <f t="shared" si="209"/>
        <v>0.05</v>
      </c>
      <c r="N5583" s="464">
        <f t="shared" si="210"/>
        <v>220974</v>
      </c>
    </row>
    <row r="5584" spans="7:14" ht="11.25" customHeight="1" x14ac:dyDescent="0.3">
      <c r="G5584" s="459"/>
      <c r="H5584" s="459">
        <v>5577</v>
      </c>
      <c r="I5584" s="444">
        <f t="shared" ca="1" si="208"/>
        <v>-304517436075817.31</v>
      </c>
      <c r="J5584" s="444">
        <f t="array" ref="J5584">IFERROR(INDEX('Retirement Calculator'!J:J,MATCH('Isaac 401k'!N5584,'Retirement Calculator'!A:A,0),0),0)</f>
        <v>0</v>
      </c>
      <c r="K5584" s="444">
        <f t="shared" ca="1" si="206"/>
        <v>-1268822650315.9055</v>
      </c>
      <c r="L5584" s="444">
        <f t="shared" ca="1" si="207"/>
        <v>-305786258726133.19</v>
      </c>
      <c r="M5584" s="460">
        <f t="shared" si="209"/>
        <v>0.05</v>
      </c>
      <c r="N5584" s="464">
        <f t="shared" si="210"/>
        <v>221005</v>
      </c>
    </row>
    <row r="5585" spans="7:14" ht="11.25" customHeight="1" x14ac:dyDescent="0.3">
      <c r="G5585" s="459"/>
      <c r="H5585" s="459">
        <v>5578</v>
      </c>
      <c r="I5585" s="444">
        <f t="shared" ca="1" si="208"/>
        <v>-305786258726133.19</v>
      </c>
      <c r="J5585" s="444">
        <f t="array" ref="J5585">IFERROR(INDEX('Retirement Calculator'!J:J,MATCH('Isaac 401k'!N5585,'Retirement Calculator'!A:A,0),0),0)</f>
        <v>0</v>
      </c>
      <c r="K5585" s="444">
        <f t="shared" ca="1" si="206"/>
        <v>-1274109411358.8882</v>
      </c>
      <c r="L5585" s="444">
        <f t="shared" ca="1" si="207"/>
        <v>-307060368137492.06</v>
      </c>
      <c r="M5585" s="460">
        <f t="shared" si="209"/>
        <v>0.05</v>
      </c>
      <c r="N5585" s="464">
        <f t="shared" si="210"/>
        <v>221033</v>
      </c>
    </row>
    <row r="5586" spans="7:14" ht="11.25" customHeight="1" x14ac:dyDescent="0.3">
      <c r="G5586" s="459"/>
      <c r="H5586" s="459">
        <v>5579</v>
      </c>
      <c r="I5586" s="444">
        <f t="shared" ca="1" si="208"/>
        <v>-307060368137492.06</v>
      </c>
      <c r="J5586" s="444">
        <f t="array" ref="J5586">IFERROR(INDEX('Retirement Calculator'!J:J,MATCH('Isaac 401k'!N5586,'Retirement Calculator'!A:A,0),0),0)</f>
        <v>0</v>
      </c>
      <c r="K5586" s="444">
        <f t="shared" ca="1" si="206"/>
        <v>-1279418200572.8835</v>
      </c>
      <c r="L5586" s="444">
        <f t="shared" ca="1" si="207"/>
        <v>-308339786338064.94</v>
      </c>
      <c r="M5586" s="460">
        <f t="shared" si="209"/>
        <v>0.05</v>
      </c>
      <c r="N5586" s="464">
        <f t="shared" si="210"/>
        <v>221064</v>
      </c>
    </row>
    <row r="5587" spans="7:14" ht="11.25" customHeight="1" x14ac:dyDescent="0.3">
      <c r="G5587" s="459"/>
      <c r="H5587" s="459">
        <v>5580</v>
      </c>
      <c r="I5587" s="444">
        <f t="shared" ca="1" si="208"/>
        <v>-308339786338064.94</v>
      </c>
      <c r="J5587" s="444">
        <f t="array" ref="J5587">IFERROR(INDEX('Retirement Calculator'!J:J,MATCH('Isaac 401k'!N5587,'Retirement Calculator'!A:A,0),0),0)</f>
        <v>0</v>
      </c>
      <c r="K5587" s="444">
        <f t="shared" ca="1" si="206"/>
        <v>-1284749109741.9373</v>
      </c>
      <c r="L5587" s="444">
        <f t="shared" ca="1" si="207"/>
        <v>-309624535447806.88</v>
      </c>
      <c r="M5587" s="460">
        <f t="shared" si="209"/>
        <v>0.05</v>
      </c>
      <c r="N5587" s="464">
        <f t="shared" si="210"/>
        <v>221094</v>
      </c>
    </row>
    <row r="5588" spans="7:14" ht="11.25" customHeight="1" x14ac:dyDescent="0.3">
      <c r="G5588" s="459"/>
      <c r="H5588" s="459">
        <v>5581</v>
      </c>
      <c r="I5588" s="444">
        <f t="shared" ca="1" si="208"/>
        <v>-309624535447806.88</v>
      </c>
      <c r="J5588" s="444">
        <f t="array" ref="J5588">IFERROR(INDEX('Retirement Calculator'!J:J,MATCH('Isaac 401k'!N5588,'Retirement Calculator'!A:A,0),0),0)</f>
        <v>0</v>
      </c>
      <c r="K5588" s="444">
        <f t="shared" ca="1" si="206"/>
        <v>-1290102231032.5286</v>
      </c>
      <c r="L5588" s="444">
        <f t="shared" ca="1" si="207"/>
        <v>-310914637678839.38</v>
      </c>
      <c r="M5588" s="460">
        <f t="shared" si="209"/>
        <v>0.05</v>
      </c>
      <c r="N5588" s="464">
        <f t="shared" si="210"/>
        <v>221125</v>
      </c>
    </row>
    <row r="5589" spans="7:14" ht="11.25" customHeight="1" x14ac:dyDescent="0.3">
      <c r="G5589" s="459"/>
      <c r="H5589" s="459">
        <v>5582</v>
      </c>
      <c r="I5589" s="444">
        <f t="shared" ca="1" si="208"/>
        <v>-310914637678839.38</v>
      </c>
      <c r="J5589" s="444">
        <f t="array" ref="J5589">IFERROR(INDEX('Retirement Calculator'!J:J,MATCH('Isaac 401k'!N5589,'Retirement Calculator'!A:A,0),0),0)</f>
        <v>0</v>
      </c>
      <c r="K5589" s="444">
        <f t="shared" ca="1" si="206"/>
        <v>-1295477656995.1641</v>
      </c>
      <c r="L5589" s="444">
        <f t="shared" ca="1" si="207"/>
        <v>-312210115335834.56</v>
      </c>
      <c r="M5589" s="460">
        <f t="shared" si="209"/>
        <v>0.05</v>
      </c>
      <c r="N5589" s="464">
        <f t="shared" si="210"/>
        <v>221155</v>
      </c>
    </row>
    <row r="5590" spans="7:14" ht="11.25" customHeight="1" x14ac:dyDescent="0.3">
      <c r="G5590" s="459"/>
      <c r="H5590" s="459">
        <v>5583</v>
      </c>
      <c r="I5590" s="444">
        <f t="shared" ca="1" si="208"/>
        <v>-312210115335834.56</v>
      </c>
      <c r="J5590" s="444">
        <f t="array" ref="J5590">IFERROR(INDEX('Retirement Calculator'!J:J,MATCH('Isaac 401k'!N5590,'Retirement Calculator'!A:A,0),0),0)</f>
        <v>0</v>
      </c>
      <c r="K5590" s="444">
        <f t="shared" ca="1" si="206"/>
        <v>-1300875480565.9773</v>
      </c>
      <c r="L5590" s="444">
        <f t="shared" ca="1" si="207"/>
        <v>-313510990816400.56</v>
      </c>
      <c r="M5590" s="460">
        <f t="shared" si="209"/>
        <v>0.05</v>
      </c>
      <c r="N5590" s="464">
        <f t="shared" si="210"/>
        <v>221186</v>
      </c>
    </row>
    <row r="5591" spans="7:14" ht="11.25" customHeight="1" x14ac:dyDescent="0.3">
      <c r="G5591" s="459"/>
      <c r="H5591" s="459">
        <v>5584</v>
      </c>
      <c r="I5591" s="444">
        <f t="shared" ca="1" si="208"/>
        <v>-313510990816400.56</v>
      </c>
      <c r="J5591" s="444">
        <f t="array" ref="J5591">IFERROR(INDEX('Retirement Calculator'!J:J,MATCH('Isaac 401k'!N5591,'Retirement Calculator'!A:A,0),0),0)</f>
        <v>0</v>
      </c>
      <c r="K5591" s="444">
        <f t="shared" ca="1" si="206"/>
        <v>-1306295795068.3357</v>
      </c>
      <c r="L5591" s="444">
        <f t="shared" ca="1" si="207"/>
        <v>-314817286611468.88</v>
      </c>
      <c r="M5591" s="460">
        <f t="shared" si="209"/>
        <v>0.05</v>
      </c>
      <c r="N5591" s="464">
        <f t="shared" si="210"/>
        <v>221217</v>
      </c>
    </row>
    <row r="5592" spans="7:14" ht="11.25" customHeight="1" x14ac:dyDescent="0.3">
      <c r="G5592" s="459"/>
      <c r="H5592" s="459">
        <v>5585</v>
      </c>
      <c r="I5592" s="444">
        <f t="shared" ca="1" si="208"/>
        <v>-314817286611468.88</v>
      </c>
      <c r="J5592" s="444">
        <f t="array" ref="J5592">IFERROR(INDEX('Retirement Calculator'!J:J,MATCH('Isaac 401k'!N5592,'Retirement Calculator'!A:A,0),0),0)</f>
        <v>0</v>
      </c>
      <c r="K5592" s="444">
        <f t="shared" ca="1" si="206"/>
        <v>-1311738694214.4536</v>
      </c>
      <c r="L5592" s="444">
        <f t="shared" ca="1" si="207"/>
        <v>-316129025305683.31</v>
      </c>
      <c r="M5592" s="460">
        <f t="shared" si="209"/>
        <v>0.05</v>
      </c>
      <c r="N5592" s="464">
        <f t="shared" si="210"/>
        <v>221247</v>
      </c>
    </row>
    <row r="5593" spans="7:14" ht="11.25" customHeight="1" x14ac:dyDescent="0.3">
      <c r="G5593" s="459"/>
      <c r="H5593" s="459">
        <v>5586</v>
      </c>
      <c r="I5593" s="444">
        <f t="shared" ca="1" si="208"/>
        <v>-316129025305683.31</v>
      </c>
      <c r="J5593" s="444">
        <f t="array" ref="J5593">IFERROR(INDEX('Retirement Calculator'!J:J,MATCH('Isaac 401k'!N5593,'Retirement Calculator'!A:A,0),0),0)</f>
        <v>0</v>
      </c>
      <c r="K5593" s="444">
        <f t="shared" ca="1" si="206"/>
        <v>-1317204272107.0137</v>
      </c>
      <c r="L5593" s="444">
        <f t="shared" ca="1" si="207"/>
        <v>-317446229577790.31</v>
      </c>
      <c r="M5593" s="460">
        <f t="shared" si="209"/>
        <v>0.05</v>
      </c>
      <c r="N5593" s="464">
        <f t="shared" si="210"/>
        <v>221278</v>
      </c>
    </row>
    <row r="5594" spans="7:14" ht="11.25" customHeight="1" x14ac:dyDescent="0.3">
      <c r="G5594" s="459"/>
      <c r="H5594" s="459">
        <v>5587</v>
      </c>
      <c r="I5594" s="444">
        <f t="shared" ca="1" si="208"/>
        <v>-317446229577790.31</v>
      </c>
      <c r="J5594" s="444">
        <f t="array" ref="J5594">IFERROR(INDEX('Retirement Calculator'!J:J,MATCH('Isaac 401k'!N5594,'Retirement Calculator'!A:A,0),0),0)</f>
        <v>0</v>
      </c>
      <c r="K5594" s="444">
        <f t="shared" ca="1" si="206"/>
        <v>-1322692623240.793</v>
      </c>
      <c r="L5594" s="444">
        <f t="shared" ca="1" si="207"/>
        <v>-318768922201031.13</v>
      </c>
      <c r="M5594" s="460">
        <f t="shared" si="209"/>
        <v>0.05</v>
      </c>
      <c r="N5594" s="464">
        <f t="shared" si="210"/>
        <v>221308</v>
      </c>
    </row>
    <row r="5595" spans="7:14" ht="11.25" customHeight="1" x14ac:dyDescent="0.3">
      <c r="G5595" s="459"/>
      <c r="H5595" s="459">
        <v>5588</v>
      </c>
      <c r="I5595" s="444">
        <f t="shared" ca="1" si="208"/>
        <v>-318768922201031.13</v>
      </c>
      <c r="J5595" s="444">
        <f t="array" ref="J5595">IFERROR(INDEX('Retirement Calculator'!J:J,MATCH('Isaac 401k'!N5595,'Retirement Calculator'!A:A,0),0),0)</f>
        <v>0</v>
      </c>
      <c r="K5595" s="444">
        <f t="shared" ca="1" si="206"/>
        <v>-1328203842504.2964</v>
      </c>
      <c r="L5595" s="444">
        <f t="shared" ca="1" si="207"/>
        <v>-320097126043535.44</v>
      </c>
      <c r="M5595" s="460">
        <f t="shared" si="209"/>
        <v>0.05</v>
      </c>
      <c r="N5595" s="464">
        <f t="shared" si="210"/>
        <v>221339</v>
      </c>
    </row>
    <row r="5596" spans="7:14" ht="11.25" customHeight="1" x14ac:dyDescent="0.3">
      <c r="G5596" s="459"/>
      <c r="H5596" s="459">
        <v>5589</v>
      </c>
      <c r="I5596" s="444">
        <f t="shared" ca="1" si="208"/>
        <v>-320097126043535.44</v>
      </c>
      <c r="J5596" s="444">
        <f t="array" ref="J5596">IFERROR(INDEX('Retirement Calculator'!J:J,MATCH('Isaac 401k'!N5596,'Retirement Calculator'!A:A,0),0),0)</f>
        <v>0</v>
      </c>
      <c r="K5596" s="444">
        <f t="shared" ca="1" si="206"/>
        <v>-1333738025181.3977</v>
      </c>
      <c r="L5596" s="444">
        <f t="shared" ca="1" si="207"/>
        <v>-321430864068716.81</v>
      </c>
      <c r="M5596" s="460">
        <f t="shared" si="209"/>
        <v>0.05</v>
      </c>
      <c r="N5596" s="464">
        <f t="shared" si="210"/>
        <v>221370</v>
      </c>
    </row>
    <row r="5597" spans="7:14" ht="11.25" customHeight="1" x14ac:dyDescent="0.3">
      <c r="G5597" s="459"/>
      <c r="H5597" s="459">
        <v>5590</v>
      </c>
      <c r="I5597" s="444">
        <f t="shared" ca="1" si="208"/>
        <v>-321430864068716.81</v>
      </c>
      <c r="J5597" s="444">
        <f t="array" ref="J5597">IFERROR(INDEX('Retirement Calculator'!J:J,MATCH('Isaac 401k'!N5597,'Retirement Calculator'!A:A,0),0),0)</f>
        <v>0</v>
      </c>
      <c r="K5597" s="444">
        <f t="shared" ca="1" si="206"/>
        <v>-1339295266952.9868</v>
      </c>
      <c r="L5597" s="444">
        <f t="shared" ca="1" si="207"/>
        <v>-322770159335669.81</v>
      </c>
      <c r="M5597" s="460">
        <f t="shared" si="209"/>
        <v>0.05</v>
      </c>
      <c r="N5597" s="464">
        <f t="shared" si="210"/>
        <v>221398</v>
      </c>
    </row>
    <row r="5598" spans="7:14" ht="11.25" customHeight="1" x14ac:dyDescent="0.3">
      <c r="G5598" s="459"/>
      <c r="H5598" s="459">
        <v>5591</v>
      </c>
      <c r="I5598" s="444">
        <f t="shared" ca="1" si="208"/>
        <v>-322770159335669.81</v>
      </c>
      <c r="J5598" s="444">
        <f t="array" ref="J5598">IFERROR(INDEX('Retirement Calculator'!J:J,MATCH('Isaac 401k'!N5598,'Retirement Calculator'!A:A,0),0),0)</f>
        <v>0</v>
      </c>
      <c r="K5598" s="444">
        <f t="shared" ca="1" si="206"/>
        <v>-1344875663898.6243</v>
      </c>
      <c r="L5598" s="444">
        <f t="shared" ca="1" si="207"/>
        <v>-324115034999568.44</v>
      </c>
      <c r="M5598" s="460">
        <f t="shared" si="209"/>
        <v>0.05</v>
      </c>
      <c r="N5598" s="464">
        <f t="shared" si="210"/>
        <v>221429</v>
      </c>
    </row>
    <row r="5599" spans="7:14" ht="11.25" customHeight="1" x14ac:dyDescent="0.3">
      <c r="G5599" s="459"/>
      <c r="H5599" s="459">
        <v>5592</v>
      </c>
      <c r="I5599" s="444">
        <f t="shared" ca="1" si="208"/>
        <v>-324115034999568.44</v>
      </c>
      <c r="J5599" s="444">
        <f t="array" ref="J5599">IFERROR(INDEX('Retirement Calculator'!J:J,MATCH('Isaac 401k'!N5599,'Retirement Calculator'!A:A,0),0),0)</f>
        <v>0</v>
      </c>
      <c r="K5599" s="444">
        <f t="shared" ca="1" si="206"/>
        <v>-1350479312498.2019</v>
      </c>
      <c r="L5599" s="444">
        <f t="shared" ca="1" si="207"/>
        <v>-325465514312066.63</v>
      </c>
      <c r="M5599" s="460">
        <f t="shared" si="209"/>
        <v>0.05</v>
      </c>
      <c r="N5599" s="464">
        <f t="shared" si="210"/>
        <v>221459</v>
      </c>
    </row>
    <row r="5600" spans="7:14" ht="11.25" customHeight="1" x14ac:dyDescent="0.3">
      <c r="G5600" s="459"/>
      <c r="H5600" s="459">
        <v>5593</v>
      </c>
      <c r="I5600" s="444">
        <f t="shared" ca="1" si="208"/>
        <v>-325465514312066.63</v>
      </c>
      <c r="J5600" s="444">
        <f t="array" ref="J5600">IFERROR(INDEX('Retirement Calculator'!J:J,MATCH('Isaac 401k'!N5600,'Retirement Calculator'!A:A,0),0),0)</f>
        <v>0</v>
      </c>
      <c r="K5600" s="444">
        <f t="shared" ca="1" si="206"/>
        <v>-1356106309633.6108</v>
      </c>
      <c r="L5600" s="444">
        <f t="shared" ca="1" si="207"/>
        <v>-326821620621700.25</v>
      </c>
      <c r="M5600" s="460">
        <f t="shared" si="209"/>
        <v>0.05</v>
      </c>
      <c r="N5600" s="464">
        <f t="shared" si="210"/>
        <v>221490</v>
      </c>
    </row>
    <row r="5601" spans="7:14" ht="11.25" customHeight="1" x14ac:dyDescent="0.3">
      <c r="G5601" s="459"/>
      <c r="H5601" s="459">
        <v>5594</v>
      </c>
      <c r="I5601" s="444">
        <f t="shared" ca="1" si="208"/>
        <v>-326821620621700.25</v>
      </c>
      <c r="J5601" s="444">
        <f t="array" ref="J5601">IFERROR(INDEX('Retirement Calculator'!J:J,MATCH('Isaac 401k'!N5601,'Retirement Calculator'!A:A,0),0),0)</f>
        <v>0</v>
      </c>
      <c r="K5601" s="444">
        <f t="shared" ca="1" si="206"/>
        <v>-1361756752590.4177</v>
      </c>
      <c r="L5601" s="444">
        <f t="shared" ca="1" si="207"/>
        <v>-328183377374290.69</v>
      </c>
      <c r="M5601" s="460">
        <f t="shared" si="209"/>
        <v>0.05</v>
      </c>
      <c r="N5601" s="464">
        <f t="shared" si="210"/>
        <v>221520</v>
      </c>
    </row>
    <row r="5602" spans="7:14" ht="11.25" customHeight="1" x14ac:dyDescent="0.3">
      <c r="G5602" s="459"/>
      <c r="H5602" s="459">
        <v>5595</v>
      </c>
      <c r="I5602" s="444">
        <f t="shared" ca="1" si="208"/>
        <v>-328183377374290.69</v>
      </c>
      <c r="J5602" s="444">
        <f t="array" ref="J5602">IFERROR(INDEX('Retirement Calculator'!J:J,MATCH('Isaac 401k'!N5602,'Retirement Calculator'!A:A,0),0),0)</f>
        <v>0</v>
      </c>
      <c r="K5602" s="444">
        <f t="shared" ca="1" si="206"/>
        <v>-1367430739059.5444</v>
      </c>
      <c r="L5602" s="444">
        <f t="shared" ca="1" si="207"/>
        <v>-329550808113350.25</v>
      </c>
      <c r="M5602" s="460">
        <f t="shared" si="209"/>
        <v>0.05</v>
      </c>
      <c r="N5602" s="464">
        <f t="shared" si="210"/>
        <v>221551</v>
      </c>
    </row>
    <row r="5603" spans="7:14" ht="11.25" customHeight="1" x14ac:dyDescent="0.3">
      <c r="G5603" s="459"/>
      <c r="H5603" s="459">
        <v>5596</v>
      </c>
      <c r="I5603" s="444">
        <f t="shared" ca="1" si="208"/>
        <v>-329550808113350.25</v>
      </c>
      <c r="J5603" s="444">
        <f t="array" ref="J5603">IFERROR(INDEX('Retirement Calculator'!J:J,MATCH('Isaac 401k'!N5603,'Retirement Calculator'!A:A,0),0),0)</f>
        <v>0</v>
      </c>
      <c r="K5603" s="444">
        <f t="shared" ca="1" si="206"/>
        <v>-1373128367138.9595</v>
      </c>
      <c r="L5603" s="444">
        <f t="shared" ca="1" si="207"/>
        <v>-330923936480489.19</v>
      </c>
      <c r="M5603" s="460">
        <f t="shared" si="209"/>
        <v>0.05</v>
      </c>
      <c r="N5603" s="464">
        <f t="shared" si="210"/>
        <v>221582</v>
      </c>
    </row>
    <row r="5604" spans="7:14" ht="11.25" customHeight="1" x14ac:dyDescent="0.3">
      <c r="G5604" s="459"/>
      <c r="H5604" s="459">
        <v>5597</v>
      </c>
      <c r="I5604" s="444">
        <f t="shared" ca="1" si="208"/>
        <v>-330923936480489.19</v>
      </c>
      <c r="J5604" s="444">
        <f t="array" ref="J5604">IFERROR(INDEX('Retirement Calculator'!J:J,MATCH('Isaac 401k'!N5604,'Retirement Calculator'!A:A,0),0),0)</f>
        <v>0</v>
      </c>
      <c r="K5604" s="444">
        <f t="shared" ca="1" si="206"/>
        <v>-1378849735335.3716</v>
      </c>
      <c r="L5604" s="444">
        <f t="shared" ca="1" si="207"/>
        <v>-332302786215824.56</v>
      </c>
      <c r="M5604" s="460">
        <f t="shared" si="209"/>
        <v>0.05</v>
      </c>
      <c r="N5604" s="464">
        <f t="shared" si="210"/>
        <v>221612</v>
      </c>
    </row>
    <row r="5605" spans="7:14" ht="11.25" customHeight="1" x14ac:dyDescent="0.3">
      <c r="G5605" s="459"/>
      <c r="H5605" s="459">
        <v>5598</v>
      </c>
      <c r="I5605" s="444">
        <f t="shared" ca="1" si="208"/>
        <v>-332302786215824.56</v>
      </c>
      <c r="J5605" s="444">
        <f t="array" ref="J5605">IFERROR(INDEX('Retirement Calculator'!J:J,MATCH('Isaac 401k'!N5605,'Retirement Calculator'!A:A,0),0),0)</f>
        <v>0</v>
      </c>
      <c r="K5605" s="444">
        <f t="shared" ca="1" si="206"/>
        <v>-1384594942565.9355</v>
      </c>
      <c r="L5605" s="444">
        <f t="shared" ca="1" si="207"/>
        <v>-333687381158390.5</v>
      </c>
      <c r="M5605" s="460">
        <f t="shared" si="209"/>
        <v>0.05</v>
      </c>
      <c r="N5605" s="464">
        <f t="shared" si="210"/>
        <v>221643</v>
      </c>
    </row>
    <row r="5606" spans="7:14" ht="11.25" customHeight="1" x14ac:dyDescent="0.3">
      <c r="G5606" s="459"/>
      <c r="H5606" s="459">
        <v>5599</v>
      </c>
      <c r="I5606" s="444">
        <f t="shared" ca="1" si="208"/>
        <v>-333687381158390.5</v>
      </c>
      <c r="J5606" s="444">
        <f t="array" ref="J5606">IFERROR(INDEX('Retirement Calculator'!J:J,MATCH('Isaac 401k'!N5606,'Retirement Calculator'!A:A,0),0),0)</f>
        <v>0</v>
      </c>
      <c r="K5606" s="444">
        <f t="shared" ca="1" si="206"/>
        <v>-1390364088159.9604</v>
      </c>
      <c r="L5606" s="444">
        <f t="shared" ca="1" si="207"/>
        <v>-335077745246550.44</v>
      </c>
      <c r="M5606" s="460">
        <f t="shared" si="209"/>
        <v>0.05</v>
      </c>
      <c r="N5606" s="464">
        <f t="shared" si="210"/>
        <v>221673</v>
      </c>
    </row>
    <row r="5607" spans="7:14" ht="11.25" customHeight="1" x14ac:dyDescent="0.3">
      <c r="G5607" s="459"/>
      <c r="H5607" s="459">
        <v>5600</v>
      </c>
      <c r="I5607" s="444">
        <f t="shared" ca="1" si="208"/>
        <v>-335077745246550.44</v>
      </c>
      <c r="J5607" s="444">
        <f t="array" ref="J5607">IFERROR(INDEX('Retirement Calculator'!J:J,MATCH('Isaac 401k'!N5607,'Retirement Calculator'!A:A,0),0),0)</f>
        <v>0</v>
      </c>
      <c r="K5607" s="444">
        <f t="shared" ca="1" si="206"/>
        <v>-1396157271860.6267</v>
      </c>
      <c r="L5607" s="444">
        <f t="shared" ca="1" si="207"/>
        <v>-336473902518411.06</v>
      </c>
      <c r="M5607" s="460">
        <f t="shared" si="209"/>
        <v>0.05</v>
      </c>
      <c r="N5607" s="464">
        <f t="shared" si="210"/>
        <v>221704</v>
      </c>
    </row>
    <row r="5608" spans="7:14" ht="11.25" customHeight="1" x14ac:dyDescent="0.3">
      <c r="G5608" s="459"/>
      <c r="H5608" s="459">
        <v>5601</v>
      </c>
      <c r="I5608" s="444">
        <f t="shared" ca="1" si="208"/>
        <v>-336473902518411.06</v>
      </c>
      <c r="J5608" s="444">
        <f t="array" ref="J5608">IFERROR(INDEX('Retirement Calculator'!J:J,MATCH('Isaac 401k'!N5608,'Retirement Calculator'!A:A,0),0),0)</f>
        <v>0</v>
      </c>
      <c r="K5608" s="444">
        <f t="shared" ca="1" si="206"/>
        <v>-1401974593826.7126</v>
      </c>
      <c r="L5608" s="444">
        <f t="shared" ca="1" si="207"/>
        <v>-337875877112237.75</v>
      </c>
      <c r="M5608" s="460">
        <f t="shared" si="209"/>
        <v>0.05</v>
      </c>
      <c r="N5608" s="464">
        <f t="shared" si="210"/>
        <v>221735</v>
      </c>
    </row>
    <row r="5609" spans="7:14" ht="11.25" customHeight="1" x14ac:dyDescent="0.3">
      <c r="G5609" s="459"/>
      <c r="H5609" s="459">
        <v>5602</v>
      </c>
      <c r="I5609" s="444">
        <f t="shared" ca="1" si="208"/>
        <v>-337875877112237.75</v>
      </c>
      <c r="J5609" s="444">
        <f t="array" ref="J5609">IFERROR(INDEX('Retirement Calculator'!J:J,MATCH('Isaac 401k'!N5609,'Retirement Calculator'!A:A,0),0),0)</f>
        <v>0</v>
      </c>
      <c r="K5609" s="444">
        <f t="shared" ca="1" si="206"/>
        <v>-1407816154634.324</v>
      </c>
      <c r="L5609" s="444">
        <f t="shared" ca="1" si="207"/>
        <v>-339283693266872.06</v>
      </c>
      <c r="M5609" s="460">
        <f t="shared" si="209"/>
        <v>0.05</v>
      </c>
      <c r="N5609" s="464">
        <f t="shared" si="210"/>
        <v>221763</v>
      </c>
    </row>
    <row r="5610" spans="7:14" ht="11.25" customHeight="1" x14ac:dyDescent="0.3">
      <c r="G5610" s="459"/>
      <c r="H5610" s="459">
        <v>5603</v>
      </c>
      <c r="I5610" s="444">
        <f t="shared" ca="1" si="208"/>
        <v>-339283693266872.06</v>
      </c>
      <c r="J5610" s="444">
        <f t="array" ref="J5610">IFERROR(INDEX('Retirement Calculator'!J:J,MATCH('Isaac 401k'!N5610,'Retirement Calculator'!A:A,0),0),0)</f>
        <v>0</v>
      </c>
      <c r="K5610" s="444">
        <f t="shared" ca="1" si="206"/>
        <v>-1413682055278.6335</v>
      </c>
      <c r="L5610" s="444">
        <f t="shared" ca="1" si="207"/>
        <v>-340697375322150.69</v>
      </c>
      <c r="M5610" s="460">
        <f t="shared" si="209"/>
        <v>0.05</v>
      </c>
      <c r="N5610" s="464">
        <f t="shared" si="210"/>
        <v>221794</v>
      </c>
    </row>
    <row r="5611" spans="7:14" ht="11.25" customHeight="1" x14ac:dyDescent="0.3">
      <c r="G5611" s="459"/>
      <c r="H5611" s="459">
        <v>5604</v>
      </c>
      <c r="I5611" s="444">
        <f t="shared" ca="1" si="208"/>
        <v>-340697375322150.69</v>
      </c>
      <c r="J5611" s="444">
        <f t="array" ref="J5611">IFERROR(INDEX('Retirement Calculator'!J:J,MATCH('Isaac 401k'!N5611,'Retirement Calculator'!A:A,0),0),0)</f>
        <v>0</v>
      </c>
      <c r="K5611" s="444">
        <f t="shared" ca="1" si="206"/>
        <v>-1419572397175.6279</v>
      </c>
      <c r="L5611" s="444">
        <f t="shared" ca="1" si="207"/>
        <v>-342116947719326.31</v>
      </c>
      <c r="M5611" s="460">
        <f t="shared" si="209"/>
        <v>0.05</v>
      </c>
      <c r="N5611" s="464">
        <f t="shared" si="210"/>
        <v>221824</v>
      </c>
    </row>
    <row r="5612" spans="7:14" ht="11.25" customHeight="1" x14ac:dyDescent="0.3">
      <c r="G5612" s="459"/>
      <c r="H5612" s="459">
        <v>5605</v>
      </c>
      <c r="I5612" s="444">
        <f t="shared" ca="1" si="208"/>
        <v>-342116947719326.31</v>
      </c>
      <c r="J5612" s="444">
        <f t="array" ref="J5612">IFERROR(INDEX('Retirement Calculator'!J:J,MATCH('Isaac 401k'!N5612,'Retirement Calculator'!A:A,0),0),0)</f>
        <v>0</v>
      </c>
      <c r="K5612" s="444">
        <f t="shared" ca="1" si="206"/>
        <v>-1425487282163.8596</v>
      </c>
      <c r="L5612" s="444">
        <f t="shared" ca="1" si="207"/>
        <v>-343542435001490.19</v>
      </c>
      <c r="M5612" s="460">
        <f t="shared" si="209"/>
        <v>0.05</v>
      </c>
      <c r="N5612" s="464">
        <f t="shared" si="210"/>
        <v>221855</v>
      </c>
    </row>
    <row r="5613" spans="7:14" ht="11.25" customHeight="1" x14ac:dyDescent="0.3">
      <c r="G5613" s="459"/>
      <c r="H5613" s="459">
        <v>5606</v>
      </c>
      <c r="I5613" s="444">
        <f t="shared" ca="1" si="208"/>
        <v>-343542435001490.19</v>
      </c>
      <c r="J5613" s="444">
        <f t="array" ref="J5613">IFERROR(INDEX('Retirement Calculator'!J:J,MATCH('Isaac 401k'!N5613,'Retirement Calculator'!A:A,0),0),0)</f>
        <v>0</v>
      </c>
      <c r="K5613" s="444">
        <f t="shared" ca="1" si="206"/>
        <v>-1431426812506.209</v>
      </c>
      <c r="L5613" s="444">
        <f t="shared" ca="1" si="207"/>
        <v>-344973861813996.38</v>
      </c>
      <c r="M5613" s="460">
        <f t="shared" si="209"/>
        <v>0.05</v>
      </c>
      <c r="N5613" s="464">
        <f t="shared" si="210"/>
        <v>221885</v>
      </c>
    </row>
    <row r="5614" spans="7:14" ht="11.25" customHeight="1" x14ac:dyDescent="0.3">
      <c r="G5614" s="459"/>
      <c r="H5614" s="459">
        <v>5607</v>
      </c>
      <c r="I5614" s="444">
        <f t="shared" ca="1" si="208"/>
        <v>-344973861813996.38</v>
      </c>
      <c r="J5614" s="444">
        <f t="array" ref="J5614">IFERROR(INDEX('Retirement Calculator'!J:J,MATCH('Isaac 401k'!N5614,'Retirement Calculator'!A:A,0),0),0)</f>
        <v>0</v>
      </c>
      <c r="K5614" s="444">
        <f t="shared" ca="1" si="206"/>
        <v>-1437391090891.6516</v>
      </c>
      <c r="L5614" s="444">
        <f t="shared" ca="1" si="207"/>
        <v>-346411252904888</v>
      </c>
      <c r="M5614" s="460">
        <f t="shared" si="209"/>
        <v>0.05</v>
      </c>
      <c r="N5614" s="464">
        <f t="shared" si="210"/>
        <v>221916</v>
      </c>
    </row>
    <row r="5615" spans="7:14" ht="11.25" customHeight="1" x14ac:dyDescent="0.3">
      <c r="G5615" s="459"/>
      <c r="H5615" s="459">
        <v>5608</v>
      </c>
      <c r="I5615" s="444">
        <f t="shared" ca="1" si="208"/>
        <v>-346411252904888</v>
      </c>
      <c r="J5615" s="444">
        <f t="array" ref="J5615">IFERROR(INDEX('Retirement Calculator'!J:J,MATCH('Isaac 401k'!N5615,'Retirement Calculator'!A:A,0),0),0)</f>
        <v>0</v>
      </c>
      <c r="K5615" s="444">
        <f t="shared" ca="1" si="206"/>
        <v>-1443380220437.0332</v>
      </c>
      <c r="L5615" s="444">
        <f t="shared" ca="1" si="207"/>
        <v>-347854633125325.06</v>
      </c>
      <c r="M5615" s="460">
        <f t="shared" si="209"/>
        <v>0.05</v>
      </c>
      <c r="N5615" s="464">
        <f t="shared" si="210"/>
        <v>221947</v>
      </c>
    </row>
    <row r="5616" spans="7:14" ht="11.25" customHeight="1" x14ac:dyDescent="0.3">
      <c r="G5616" s="459"/>
      <c r="H5616" s="459">
        <v>5609</v>
      </c>
      <c r="I5616" s="444">
        <f t="shared" ca="1" si="208"/>
        <v>-347854633125325.06</v>
      </c>
      <c r="J5616" s="444">
        <f t="array" ref="J5616">IFERROR(INDEX('Retirement Calculator'!J:J,MATCH('Isaac 401k'!N5616,'Retirement Calculator'!A:A,0),0),0)</f>
        <v>0</v>
      </c>
      <c r="K5616" s="444">
        <f t="shared" ca="1" si="206"/>
        <v>-1449394304688.8545</v>
      </c>
      <c r="L5616" s="444">
        <f t="shared" ca="1" si="207"/>
        <v>-349304027430013.94</v>
      </c>
      <c r="M5616" s="460">
        <f t="shared" si="209"/>
        <v>0.05</v>
      </c>
      <c r="N5616" s="464">
        <f t="shared" si="210"/>
        <v>221977</v>
      </c>
    </row>
    <row r="5617" spans="7:14" ht="11.25" customHeight="1" x14ac:dyDescent="0.3">
      <c r="G5617" s="459"/>
      <c r="H5617" s="459">
        <v>5610</v>
      </c>
      <c r="I5617" s="444">
        <f t="shared" ca="1" si="208"/>
        <v>-349304027430013.94</v>
      </c>
      <c r="J5617" s="444">
        <f t="array" ref="J5617">IFERROR(INDEX('Retirement Calculator'!J:J,MATCH('Isaac 401k'!N5617,'Retirement Calculator'!A:A,0),0),0)</f>
        <v>0</v>
      </c>
      <c r="K5617" s="444">
        <f t="shared" ca="1" si="206"/>
        <v>-1455433447625.0581</v>
      </c>
      <c r="L5617" s="444">
        <f t="shared" ca="1" si="207"/>
        <v>-350759460877639</v>
      </c>
      <c r="M5617" s="460">
        <f t="shared" si="209"/>
        <v>0.05</v>
      </c>
      <c r="N5617" s="464">
        <f t="shared" si="210"/>
        <v>222008</v>
      </c>
    </row>
    <row r="5618" spans="7:14" ht="11.25" customHeight="1" x14ac:dyDescent="0.3">
      <c r="G5618" s="459"/>
      <c r="H5618" s="459">
        <v>5611</v>
      </c>
      <c r="I5618" s="444">
        <f t="shared" ca="1" si="208"/>
        <v>-350759460877639</v>
      </c>
      <c r="J5618" s="444">
        <f t="array" ref="J5618">IFERROR(INDEX('Retirement Calculator'!J:J,MATCH('Isaac 401k'!N5618,'Retirement Calculator'!A:A,0),0),0)</f>
        <v>0</v>
      </c>
      <c r="K5618" s="444">
        <f t="shared" ref="K5618:K5872" ca="1" si="211">IPMT(M5618/12,1,12,-I5618+J5618,,0)</f>
        <v>-1461497753656.8291</v>
      </c>
      <c r="L5618" s="444">
        <f t="shared" ref="L5618:L5872" ca="1" si="212">I5618-J5618+K5618</f>
        <v>-352220958631295.81</v>
      </c>
      <c r="M5618" s="460">
        <f t="shared" si="209"/>
        <v>0.05</v>
      </c>
      <c r="N5618" s="464">
        <f t="shared" si="210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213">L5618</f>
        <v>-352220958631295.81</v>
      </c>
      <c r="J5619" s="444">
        <f t="array" ref="J5619">IFERROR(INDEX('Retirement Calculator'!J:J,MATCH('Isaac 401k'!N5619,'Retirement Calculator'!A:A,0),0),0)</f>
        <v>0</v>
      </c>
      <c r="K5619" s="444">
        <f t="shared" ca="1" si="211"/>
        <v>-1467587327630.3992</v>
      </c>
      <c r="L5619" s="444">
        <f t="shared" ca="1" si="212"/>
        <v>-353688545958926.19</v>
      </c>
      <c r="M5619" s="460">
        <f t="shared" ref="M5619:M5873" si="214">M5618</f>
        <v>0.05</v>
      </c>
      <c r="N5619" s="464">
        <f t="shared" ref="N5619:N5873" si="215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213"/>
        <v>-353688545958926.19</v>
      </c>
      <c r="J5620" s="444">
        <f t="array" ref="J5620">IFERROR(INDEX('Retirement Calculator'!J:J,MATCH('Isaac 401k'!N5620,'Retirement Calculator'!A:A,0),0),0)</f>
        <v>0</v>
      </c>
      <c r="K5620" s="444">
        <f t="shared" ca="1" si="211"/>
        <v>-1473702274828.8591</v>
      </c>
      <c r="L5620" s="444">
        <f t="shared" ca="1" si="212"/>
        <v>-355162248233755.06</v>
      </c>
      <c r="M5620" s="460">
        <f t="shared" si="214"/>
        <v>0.05</v>
      </c>
      <c r="N5620" s="464">
        <f t="shared" si="215"/>
        <v>222100</v>
      </c>
    </row>
    <row r="5621" spans="7:14" ht="11.25" customHeight="1" x14ac:dyDescent="0.3">
      <c r="G5621" s="459"/>
      <c r="H5621" s="459">
        <v>5614</v>
      </c>
      <c r="I5621" s="444">
        <f t="shared" ca="1" si="213"/>
        <v>-355162248233755.06</v>
      </c>
      <c r="J5621" s="444">
        <f t="array" ref="J5621">IFERROR(INDEX('Retirement Calculator'!J:J,MATCH('Isaac 401k'!N5621,'Retirement Calculator'!A:A,0),0),0)</f>
        <v>0</v>
      </c>
      <c r="K5621" s="444">
        <f t="shared" ca="1" si="211"/>
        <v>-1479842700973.9795</v>
      </c>
      <c r="L5621" s="444">
        <f t="shared" ca="1" si="212"/>
        <v>-356642090934729.06</v>
      </c>
      <c r="M5621" s="460">
        <f t="shared" si="214"/>
        <v>0.05</v>
      </c>
      <c r="N5621" s="464">
        <f t="shared" si="215"/>
        <v>222129</v>
      </c>
    </row>
    <row r="5622" spans="7:14" ht="11.25" customHeight="1" x14ac:dyDescent="0.3">
      <c r="G5622" s="459"/>
      <c r="H5622" s="459">
        <v>5615</v>
      </c>
      <c r="I5622" s="444">
        <f t="shared" ca="1" si="213"/>
        <v>-356642090934729.06</v>
      </c>
      <c r="J5622" s="444">
        <f t="array" ref="J5622">IFERROR(INDEX('Retirement Calculator'!J:J,MATCH('Isaac 401k'!N5622,'Retirement Calculator'!A:A,0),0),0)</f>
        <v>0</v>
      </c>
      <c r="K5622" s="444">
        <f t="shared" ca="1" si="211"/>
        <v>-1486008712228.0378</v>
      </c>
      <c r="L5622" s="444">
        <f t="shared" ca="1" si="212"/>
        <v>-358128099646957.13</v>
      </c>
      <c r="M5622" s="460">
        <f t="shared" si="214"/>
        <v>0.05</v>
      </c>
      <c r="N5622" s="464">
        <f t="shared" si="215"/>
        <v>222160</v>
      </c>
    </row>
    <row r="5623" spans="7:14" ht="11.25" customHeight="1" x14ac:dyDescent="0.3">
      <c r="G5623" s="459"/>
      <c r="H5623" s="459">
        <v>5616</v>
      </c>
      <c r="I5623" s="444">
        <f t="shared" ca="1" si="213"/>
        <v>-358128099646957.13</v>
      </c>
      <c r="J5623" s="444">
        <f t="array" ref="J5623">IFERROR(INDEX('Retirement Calculator'!J:J,MATCH('Isaac 401k'!N5623,'Retirement Calculator'!A:A,0),0),0)</f>
        <v>0</v>
      </c>
      <c r="K5623" s="444">
        <f t="shared" ca="1" si="211"/>
        <v>-1492200415195.6548</v>
      </c>
      <c r="L5623" s="444">
        <f t="shared" ca="1" si="212"/>
        <v>-359620300062152.75</v>
      </c>
      <c r="M5623" s="460">
        <f t="shared" si="214"/>
        <v>0.05</v>
      </c>
      <c r="N5623" s="464">
        <f t="shared" si="215"/>
        <v>222190</v>
      </c>
    </row>
    <row r="5624" spans="7:14" ht="11.25" customHeight="1" x14ac:dyDescent="0.3">
      <c r="G5624" s="459"/>
      <c r="H5624" s="459">
        <v>5617</v>
      </c>
      <c r="I5624" s="444">
        <f t="shared" ca="1" si="213"/>
        <v>-359620300062152.75</v>
      </c>
      <c r="J5624" s="444">
        <f t="array" ref="J5624">IFERROR(INDEX('Retirement Calculator'!J:J,MATCH('Isaac 401k'!N5624,'Retirement Calculator'!A:A,0),0),0)</f>
        <v>0</v>
      </c>
      <c r="K5624" s="444">
        <f t="shared" ca="1" si="211"/>
        <v>-1498417916925.6365</v>
      </c>
      <c r="L5624" s="444">
        <f t="shared" ca="1" si="212"/>
        <v>-361118717979078.38</v>
      </c>
      <c r="M5624" s="460">
        <f t="shared" si="214"/>
        <v>0.05</v>
      </c>
      <c r="N5624" s="464">
        <f t="shared" si="215"/>
        <v>222221</v>
      </c>
    </row>
    <row r="5625" spans="7:14" ht="11.25" customHeight="1" x14ac:dyDescent="0.3">
      <c r="G5625" s="459"/>
      <c r="H5625" s="459">
        <v>5618</v>
      </c>
      <c r="I5625" s="444">
        <f t="shared" ca="1" si="213"/>
        <v>-361118717979078.38</v>
      </c>
      <c r="J5625" s="444">
        <f t="array" ref="J5625">IFERROR(INDEX('Retirement Calculator'!J:J,MATCH('Isaac 401k'!N5625,'Retirement Calculator'!A:A,0),0),0)</f>
        <v>0</v>
      </c>
      <c r="K5625" s="444">
        <f t="shared" ca="1" si="211"/>
        <v>-1504661324912.8267</v>
      </c>
      <c r="L5625" s="444">
        <f t="shared" ca="1" si="212"/>
        <v>-362623379303991.19</v>
      </c>
      <c r="M5625" s="460">
        <f t="shared" si="214"/>
        <v>0.05</v>
      </c>
      <c r="N5625" s="464">
        <f t="shared" si="215"/>
        <v>222251</v>
      </c>
    </row>
    <row r="5626" spans="7:14" ht="11.25" customHeight="1" x14ac:dyDescent="0.3">
      <c r="G5626" s="459"/>
      <c r="H5626" s="459">
        <v>5619</v>
      </c>
      <c r="I5626" s="444">
        <f t="shared" ca="1" si="213"/>
        <v>-362623379303991.19</v>
      </c>
      <c r="J5626" s="444">
        <f t="array" ref="J5626">IFERROR(INDEX('Retirement Calculator'!J:J,MATCH('Isaac 401k'!N5626,'Retirement Calculator'!A:A,0),0),0)</f>
        <v>0</v>
      </c>
      <c r="K5626" s="444">
        <f t="shared" ca="1" si="211"/>
        <v>-1510930747099.9634</v>
      </c>
      <c r="L5626" s="444">
        <f t="shared" ca="1" si="212"/>
        <v>-364134310051091.13</v>
      </c>
      <c r="M5626" s="460">
        <f t="shared" si="214"/>
        <v>0.05</v>
      </c>
      <c r="N5626" s="464">
        <f t="shared" si="215"/>
        <v>222282</v>
      </c>
    </row>
    <row r="5627" spans="7:14" ht="11.25" customHeight="1" x14ac:dyDescent="0.3">
      <c r="G5627" s="459"/>
      <c r="H5627" s="459">
        <v>5620</v>
      </c>
      <c r="I5627" s="444">
        <f t="shared" ca="1" si="213"/>
        <v>-364134310051091.13</v>
      </c>
      <c r="J5627" s="444">
        <f t="array" ref="J5627">IFERROR(INDEX('Retirement Calculator'!J:J,MATCH('Isaac 401k'!N5627,'Retirement Calculator'!A:A,0),0),0)</f>
        <v>0</v>
      </c>
      <c r="K5627" s="444">
        <f t="shared" ca="1" si="211"/>
        <v>-1517226291879.5464</v>
      </c>
      <c r="L5627" s="444">
        <f t="shared" ca="1" si="212"/>
        <v>-365651536342970.69</v>
      </c>
      <c r="M5627" s="460">
        <f t="shared" si="214"/>
        <v>0.05</v>
      </c>
      <c r="N5627" s="464">
        <f t="shared" si="215"/>
        <v>222313</v>
      </c>
    </row>
    <row r="5628" spans="7:14" ht="11.25" customHeight="1" x14ac:dyDescent="0.3">
      <c r="G5628" s="459"/>
      <c r="H5628" s="459">
        <v>5621</v>
      </c>
      <c r="I5628" s="444">
        <f t="shared" ca="1" si="213"/>
        <v>-365651536342970.69</v>
      </c>
      <c r="J5628" s="444">
        <f t="array" ref="J5628">IFERROR(INDEX('Retirement Calculator'!J:J,MATCH('Isaac 401k'!N5628,'Retirement Calculator'!A:A,0),0),0)</f>
        <v>0</v>
      </c>
      <c r="K5628" s="444">
        <f t="shared" ca="1" si="211"/>
        <v>-1523548068095.7112</v>
      </c>
      <c r="L5628" s="444">
        <f t="shared" ca="1" si="212"/>
        <v>-367175084411066.38</v>
      </c>
      <c r="M5628" s="460">
        <f t="shared" si="214"/>
        <v>0.05</v>
      </c>
      <c r="N5628" s="464">
        <f t="shared" si="215"/>
        <v>222343</v>
      </c>
    </row>
    <row r="5629" spans="7:14" ht="11.25" customHeight="1" x14ac:dyDescent="0.3">
      <c r="G5629" s="459"/>
      <c r="H5629" s="459">
        <v>5622</v>
      </c>
      <c r="I5629" s="444">
        <f t="shared" ca="1" si="213"/>
        <v>-367175084411066.38</v>
      </c>
      <c r="J5629" s="444">
        <f t="array" ref="J5629">IFERROR(INDEX('Retirement Calculator'!J:J,MATCH('Isaac 401k'!N5629,'Retirement Calculator'!A:A,0),0),0)</f>
        <v>0</v>
      </c>
      <c r="K5629" s="444">
        <f t="shared" ca="1" si="211"/>
        <v>-1529896185046.1099</v>
      </c>
      <c r="L5629" s="444">
        <f t="shared" ca="1" si="212"/>
        <v>-368704980596112.5</v>
      </c>
      <c r="M5629" s="460">
        <f t="shared" si="214"/>
        <v>0.05</v>
      </c>
      <c r="N5629" s="464">
        <f t="shared" si="215"/>
        <v>222374</v>
      </c>
    </row>
    <row r="5630" spans="7:14" ht="11.25" customHeight="1" x14ac:dyDescent="0.3">
      <c r="G5630" s="459"/>
      <c r="H5630" s="459">
        <v>5623</v>
      </c>
      <c r="I5630" s="444">
        <f t="shared" ca="1" si="213"/>
        <v>-368704980596112.5</v>
      </c>
      <c r="J5630" s="444">
        <f t="array" ref="J5630">IFERROR(INDEX('Retirement Calculator'!J:J,MATCH('Isaac 401k'!N5630,'Retirement Calculator'!A:A,0),0),0)</f>
        <v>0</v>
      </c>
      <c r="K5630" s="444">
        <f t="shared" ca="1" si="211"/>
        <v>-1536270752483.802</v>
      </c>
      <c r="L5630" s="444">
        <f t="shared" ca="1" si="212"/>
        <v>-370241251348596.31</v>
      </c>
      <c r="M5630" s="460">
        <f t="shared" si="214"/>
        <v>0.05</v>
      </c>
      <c r="N5630" s="464">
        <f t="shared" si="215"/>
        <v>222404</v>
      </c>
    </row>
    <row r="5631" spans="7:14" ht="11.25" customHeight="1" x14ac:dyDescent="0.3">
      <c r="G5631" s="459"/>
      <c r="H5631" s="459">
        <v>5624</v>
      </c>
      <c r="I5631" s="444">
        <f t="shared" ca="1" si="213"/>
        <v>-370241251348596.31</v>
      </c>
      <c r="J5631" s="444">
        <f t="array" ref="J5631">IFERROR(INDEX('Retirement Calculator'!J:J,MATCH('Isaac 401k'!N5631,'Retirement Calculator'!A:A,0),0),0)</f>
        <v>0</v>
      </c>
      <c r="K5631" s="444">
        <f t="shared" ca="1" si="211"/>
        <v>-1542671880619.1514</v>
      </c>
      <c r="L5631" s="444">
        <f t="shared" ca="1" si="212"/>
        <v>-371783923229215.44</v>
      </c>
      <c r="M5631" s="460">
        <f t="shared" si="214"/>
        <v>0.05</v>
      </c>
      <c r="N5631" s="464">
        <f t="shared" si="215"/>
        <v>222435</v>
      </c>
    </row>
    <row r="5632" spans="7:14" ht="11.25" customHeight="1" x14ac:dyDescent="0.3">
      <c r="G5632" s="459"/>
      <c r="H5632" s="459">
        <v>5625</v>
      </c>
      <c r="I5632" s="444">
        <f t="shared" ca="1" si="213"/>
        <v>-371783923229215.44</v>
      </c>
      <c r="J5632" s="444">
        <f t="array" ref="J5632">IFERROR(INDEX('Retirement Calculator'!J:J,MATCH('Isaac 401k'!N5632,'Retirement Calculator'!A:A,0),0),0)</f>
        <v>0</v>
      </c>
      <c r="K5632" s="444">
        <f t="shared" ca="1" si="211"/>
        <v>-1549099680121.731</v>
      </c>
      <c r="L5632" s="444">
        <f t="shared" ca="1" si="212"/>
        <v>-373333022909337.19</v>
      </c>
      <c r="M5632" s="460">
        <f t="shared" si="214"/>
        <v>0.05</v>
      </c>
      <c r="N5632" s="464">
        <f t="shared" si="215"/>
        <v>222466</v>
      </c>
    </row>
    <row r="5633" spans="7:14" ht="11.25" customHeight="1" x14ac:dyDescent="0.3">
      <c r="G5633" s="459"/>
      <c r="H5633" s="459">
        <v>5626</v>
      </c>
      <c r="I5633" s="444">
        <f t="shared" ca="1" si="213"/>
        <v>-373333022909337.19</v>
      </c>
      <c r="J5633" s="444">
        <f t="array" ref="J5633">IFERROR(INDEX('Retirement Calculator'!J:J,MATCH('Isaac 401k'!N5633,'Retirement Calculator'!A:A,0),0),0)</f>
        <v>0</v>
      </c>
      <c r="K5633" s="444">
        <f t="shared" ca="1" si="211"/>
        <v>-1555554262122.2383</v>
      </c>
      <c r="L5633" s="444">
        <f t="shared" ca="1" si="212"/>
        <v>-374888577171459.44</v>
      </c>
      <c r="M5633" s="460">
        <f t="shared" si="214"/>
        <v>0.05</v>
      </c>
      <c r="N5633" s="464">
        <f t="shared" si="215"/>
        <v>222494</v>
      </c>
    </row>
    <row r="5634" spans="7:14" ht="11.25" customHeight="1" x14ac:dyDescent="0.3">
      <c r="G5634" s="459"/>
      <c r="H5634" s="459">
        <v>5627</v>
      </c>
      <c r="I5634" s="444">
        <f t="shared" ca="1" si="213"/>
        <v>-374888577171459.44</v>
      </c>
      <c r="J5634" s="444">
        <f t="array" ref="J5634">IFERROR(INDEX('Retirement Calculator'!J:J,MATCH('Isaac 401k'!N5634,'Retirement Calculator'!A:A,0),0),0)</f>
        <v>0</v>
      </c>
      <c r="K5634" s="444">
        <f t="shared" ca="1" si="211"/>
        <v>-1562035738214.4143</v>
      </c>
      <c r="L5634" s="444">
        <f t="shared" ca="1" si="212"/>
        <v>-376450612909673.88</v>
      </c>
      <c r="M5634" s="460">
        <f t="shared" si="214"/>
        <v>0.05</v>
      </c>
      <c r="N5634" s="464">
        <f t="shared" si="215"/>
        <v>222525</v>
      </c>
    </row>
    <row r="5635" spans="7:14" ht="11.25" customHeight="1" x14ac:dyDescent="0.3">
      <c r="G5635" s="459"/>
      <c r="H5635" s="459">
        <v>5628</v>
      </c>
      <c r="I5635" s="444">
        <f t="shared" ca="1" si="213"/>
        <v>-376450612909673.88</v>
      </c>
      <c r="J5635" s="444">
        <f t="array" ref="J5635">IFERROR(INDEX('Retirement Calculator'!J:J,MATCH('Isaac 401k'!N5635,'Retirement Calculator'!A:A,0),0),0)</f>
        <v>0</v>
      </c>
      <c r="K5635" s="444">
        <f t="shared" ca="1" si="211"/>
        <v>-1568544220456.9744</v>
      </c>
      <c r="L5635" s="444">
        <f t="shared" ca="1" si="212"/>
        <v>-378019157130130.88</v>
      </c>
      <c r="M5635" s="460">
        <f t="shared" si="214"/>
        <v>0.05</v>
      </c>
      <c r="N5635" s="464">
        <f t="shared" si="215"/>
        <v>222555</v>
      </c>
    </row>
    <row r="5636" spans="7:14" ht="11.25" customHeight="1" x14ac:dyDescent="0.3">
      <c r="G5636" s="459"/>
      <c r="H5636" s="459">
        <v>5629</v>
      </c>
      <c r="I5636" s="444">
        <f t="shared" ca="1" si="213"/>
        <v>-378019157130130.88</v>
      </c>
      <c r="J5636" s="444">
        <f t="array" ref="J5636">IFERROR(INDEX('Retirement Calculator'!J:J,MATCH('Isaac 401k'!N5636,'Retirement Calculator'!A:A,0),0),0)</f>
        <v>0</v>
      </c>
      <c r="K5636" s="444">
        <f t="shared" ca="1" si="211"/>
        <v>-1575079821375.5454</v>
      </c>
      <c r="L5636" s="444">
        <f t="shared" ca="1" si="212"/>
        <v>-379594236951506.44</v>
      </c>
      <c r="M5636" s="460">
        <f t="shared" si="214"/>
        <v>0.05</v>
      </c>
      <c r="N5636" s="464">
        <f t="shared" si="215"/>
        <v>222586</v>
      </c>
    </row>
    <row r="5637" spans="7:14" ht="11.25" customHeight="1" x14ac:dyDescent="0.3">
      <c r="G5637" s="459"/>
      <c r="H5637" s="459">
        <v>5630</v>
      </c>
      <c r="I5637" s="444">
        <f t="shared" ca="1" si="213"/>
        <v>-379594236951506.44</v>
      </c>
      <c r="J5637" s="444">
        <f t="array" ref="J5637">IFERROR(INDEX('Retirement Calculator'!J:J,MATCH('Isaac 401k'!N5637,'Retirement Calculator'!A:A,0),0),0)</f>
        <v>0</v>
      </c>
      <c r="K5637" s="444">
        <f t="shared" ca="1" si="211"/>
        <v>-1581642653964.6101</v>
      </c>
      <c r="L5637" s="444">
        <f t="shared" ca="1" si="212"/>
        <v>-381175879605471.06</v>
      </c>
      <c r="M5637" s="460">
        <f t="shared" si="214"/>
        <v>0.05</v>
      </c>
      <c r="N5637" s="464">
        <f t="shared" si="215"/>
        <v>222616</v>
      </c>
    </row>
    <row r="5638" spans="7:14" ht="11.25" customHeight="1" x14ac:dyDescent="0.3">
      <c r="G5638" s="459"/>
      <c r="H5638" s="459">
        <v>5631</v>
      </c>
      <c r="I5638" s="444">
        <f t="shared" ca="1" si="213"/>
        <v>-381175879605471.06</v>
      </c>
      <c r="J5638" s="444">
        <f t="array" ref="J5638">IFERROR(INDEX('Retirement Calculator'!J:J,MATCH('Isaac 401k'!N5638,'Retirement Calculator'!A:A,0),0),0)</f>
        <v>0</v>
      </c>
      <c r="K5638" s="444">
        <f t="shared" ca="1" si="211"/>
        <v>-1588232831689.4626</v>
      </c>
      <c r="L5638" s="444">
        <f t="shared" ca="1" si="212"/>
        <v>-382764112437160.5</v>
      </c>
      <c r="M5638" s="460">
        <f t="shared" si="214"/>
        <v>0.05</v>
      </c>
      <c r="N5638" s="464">
        <f t="shared" si="215"/>
        <v>222647</v>
      </c>
    </row>
    <row r="5639" spans="7:14" ht="11.25" customHeight="1" x14ac:dyDescent="0.3">
      <c r="G5639" s="459"/>
      <c r="H5639" s="459">
        <v>5632</v>
      </c>
      <c r="I5639" s="444">
        <f t="shared" ca="1" si="213"/>
        <v>-382764112437160.5</v>
      </c>
      <c r="J5639" s="444">
        <f t="array" ref="J5639">IFERROR(INDEX('Retirement Calculator'!J:J,MATCH('Isaac 401k'!N5639,'Retirement Calculator'!A:A,0),0),0)</f>
        <v>0</v>
      </c>
      <c r="K5639" s="444">
        <f t="shared" ca="1" si="211"/>
        <v>-1594850468488.1687</v>
      </c>
      <c r="L5639" s="444">
        <f t="shared" ca="1" si="212"/>
        <v>-384358962905648.69</v>
      </c>
      <c r="M5639" s="460">
        <f t="shared" si="214"/>
        <v>0.05</v>
      </c>
      <c r="N5639" s="464">
        <f t="shared" si="215"/>
        <v>222678</v>
      </c>
    </row>
    <row r="5640" spans="7:14" ht="11.25" customHeight="1" x14ac:dyDescent="0.3">
      <c r="G5640" s="459"/>
      <c r="H5640" s="459">
        <v>5633</v>
      </c>
      <c r="I5640" s="444">
        <f t="shared" ca="1" si="213"/>
        <v>-384358962905648.69</v>
      </c>
      <c r="J5640" s="444">
        <f t="array" ref="J5640">IFERROR(INDEX('Retirement Calculator'!J:J,MATCH('Isaac 401k'!N5640,'Retirement Calculator'!A:A,0),0),0)</f>
        <v>0</v>
      </c>
      <c r="K5640" s="444">
        <f t="shared" ca="1" si="211"/>
        <v>-1601495678773.5361</v>
      </c>
      <c r="L5640" s="444">
        <f t="shared" ca="1" si="212"/>
        <v>-385960458584422.25</v>
      </c>
      <c r="M5640" s="460">
        <f t="shared" si="214"/>
        <v>0.05</v>
      </c>
      <c r="N5640" s="464">
        <f t="shared" si="215"/>
        <v>222708</v>
      </c>
    </row>
    <row r="5641" spans="7:14" ht="11.25" customHeight="1" x14ac:dyDescent="0.3">
      <c r="G5641" s="459"/>
      <c r="H5641" s="459">
        <v>5634</v>
      </c>
      <c r="I5641" s="444">
        <f t="shared" ca="1" si="213"/>
        <v>-385960458584422.25</v>
      </c>
      <c r="J5641" s="444">
        <f t="array" ref="J5641">IFERROR(INDEX('Retirement Calculator'!J:J,MATCH('Isaac 401k'!N5641,'Retirement Calculator'!A:A,0),0),0)</f>
        <v>0</v>
      </c>
      <c r="K5641" s="444">
        <f t="shared" ca="1" si="211"/>
        <v>-1608168577435.0928</v>
      </c>
      <c r="L5641" s="444">
        <f t="shared" ca="1" si="212"/>
        <v>-387568627161857.31</v>
      </c>
      <c r="M5641" s="460">
        <f t="shared" si="214"/>
        <v>0.05</v>
      </c>
      <c r="N5641" s="464">
        <f t="shared" si="215"/>
        <v>222739</v>
      </c>
    </row>
    <row r="5642" spans="7:14" ht="11.25" customHeight="1" x14ac:dyDescent="0.3">
      <c r="G5642" s="459"/>
      <c r="H5642" s="459">
        <v>5635</v>
      </c>
      <c r="I5642" s="444">
        <f t="shared" ca="1" si="213"/>
        <v>-387568627161857.31</v>
      </c>
      <c r="J5642" s="444">
        <f t="array" ref="J5642">IFERROR(INDEX('Retirement Calculator'!J:J,MATCH('Isaac 401k'!N5642,'Retirement Calculator'!A:A,0),0),0)</f>
        <v>0</v>
      </c>
      <c r="K5642" s="444">
        <f t="shared" ca="1" si="211"/>
        <v>-1614869279841.072</v>
      </c>
      <c r="L5642" s="444">
        <f t="shared" ca="1" si="212"/>
        <v>-389183496441698.38</v>
      </c>
      <c r="M5642" s="460">
        <f t="shared" si="214"/>
        <v>0.05</v>
      </c>
      <c r="N5642" s="464">
        <f t="shared" si="215"/>
        <v>222769</v>
      </c>
    </row>
    <row r="5643" spans="7:14" ht="11.25" customHeight="1" x14ac:dyDescent="0.3">
      <c r="G5643" s="459"/>
      <c r="H5643" s="459">
        <v>5636</v>
      </c>
      <c r="I5643" s="444">
        <f t="shared" ca="1" si="213"/>
        <v>-389183496441698.38</v>
      </c>
      <c r="J5643" s="444">
        <f t="array" ref="J5643">IFERROR(INDEX('Retirement Calculator'!J:J,MATCH('Isaac 401k'!N5643,'Retirement Calculator'!A:A,0),0),0)</f>
        <v>0</v>
      </c>
      <c r="K5643" s="444">
        <f t="shared" ca="1" si="211"/>
        <v>-1621597901840.4099</v>
      </c>
      <c r="L5643" s="444">
        <f t="shared" ca="1" si="212"/>
        <v>-390805094343538.81</v>
      </c>
      <c r="M5643" s="460">
        <f t="shared" si="214"/>
        <v>0.05</v>
      </c>
      <c r="N5643" s="464">
        <f t="shared" si="215"/>
        <v>222800</v>
      </c>
    </row>
    <row r="5644" spans="7:14" ht="11.25" customHeight="1" x14ac:dyDescent="0.3">
      <c r="G5644" s="459"/>
      <c r="H5644" s="459">
        <v>5637</v>
      </c>
      <c r="I5644" s="444">
        <f t="shared" ca="1" si="213"/>
        <v>-390805094343538.81</v>
      </c>
      <c r="J5644" s="444">
        <f t="array" ref="J5644">IFERROR(INDEX('Retirement Calculator'!J:J,MATCH('Isaac 401k'!N5644,'Retirement Calculator'!A:A,0),0),0)</f>
        <v>0</v>
      </c>
      <c r="K5644" s="444">
        <f t="shared" ca="1" si="211"/>
        <v>-1628354559764.7451</v>
      </c>
      <c r="L5644" s="444">
        <f t="shared" ca="1" si="212"/>
        <v>-392433448903303.56</v>
      </c>
      <c r="M5644" s="460">
        <f t="shared" si="214"/>
        <v>0.05</v>
      </c>
      <c r="N5644" s="464">
        <f t="shared" si="215"/>
        <v>222831</v>
      </c>
    </row>
    <row r="5645" spans="7:14" ht="11.25" customHeight="1" x14ac:dyDescent="0.3">
      <c r="G5645" s="459"/>
      <c r="H5645" s="459">
        <v>5638</v>
      </c>
      <c r="I5645" s="444">
        <f t="shared" ca="1" si="213"/>
        <v>-392433448903303.56</v>
      </c>
      <c r="J5645" s="444">
        <f t="array" ref="J5645">IFERROR(INDEX('Retirement Calculator'!J:J,MATCH('Isaac 401k'!N5645,'Retirement Calculator'!A:A,0),0),0)</f>
        <v>0</v>
      </c>
      <c r="K5645" s="444">
        <f t="shared" ca="1" si="211"/>
        <v>-1635139370430.4314</v>
      </c>
      <c r="L5645" s="444">
        <f t="shared" ca="1" si="212"/>
        <v>-394068588273734</v>
      </c>
      <c r="M5645" s="460">
        <f t="shared" si="214"/>
        <v>0.05</v>
      </c>
      <c r="N5645" s="464">
        <f t="shared" si="215"/>
        <v>222859</v>
      </c>
    </row>
    <row r="5646" spans="7:14" ht="11.25" customHeight="1" x14ac:dyDescent="0.3">
      <c r="G5646" s="459"/>
      <c r="H5646" s="459">
        <v>5639</v>
      </c>
      <c r="I5646" s="444">
        <f t="shared" ca="1" si="213"/>
        <v>-394068588273734</v>
      </c>
      <c r="J5646" s="444">
        <f t="array" ref="J5646">IFERROR(INDEX('Retirement Calculator'!J:J,MATCH('Isaac 401k'!N5646,'Retirement Calculator'!A:A,0),0),0)</f>
        <v>0</v>
      </c>
      <c r="K5646" s="444">
        <f t="shared" ca="1" si="211"/>
        <v>-1641952451140.5583</v>
      </c>
      <c r="L5646" s="444">
        <f t="shared" ca="1" si="212"/>
        <v>-395710540724874.56</v>
      </c>
      <c r="M5646" s="460">
        <f t="shared" si="214"/>
        <v>0.05</v>
      </c>
      <c r="N5646" s="464">
        <f t="shared" si="215"/>
        <v>222890</v>
      </c>
    </row>
    <row r="5647" spans="7:14" ht="11.25" customHeight="1" x14ac:dyDescent="0.3">
      <c r="G5647" s="459"/>
      <c r="H5647" s="459">
        <v>5640</v>
      </c>
      <c r="I5647" s="444">
        <f t="shared" ca="1" si="213"/>
        <v>-395710540724874.56</v>
      </c>
      <c r="J5647" s="444">
        <f t="array" ref="J5647">IFERROR(INDEX('Retirement Calculator'!J:J,MATCH('Isaac 401k'!N5647,'Retirement Calculator'!A:A,0),0),0)</f>
        <v>0</v>
      </c>
      <c r="K5647" s="444">
        <f t="shared" ca="1" si="211"/>
        <v>-1648793919686.9773</v>
      </c>
      <c r="L5647" s="444">
        <f t="shared" ca="1" si="212"/>
        <v>-397359334644561.56</v>
      </c>
      <c r="M5647" s="460">
        <f t="shared" si="214"/>
        <v>0.05</v>
      </c>
      <c r="N5647" s="464">
        <f t="shared" si="215"/>
        <v>222920</v>
      </c>
    </row>
    <row r="5648" spans="7:14" ht="11.25" customHeight="1" x14ac:dyDescent="0.3">
      <c r="G5648" s="459"/>
      <c r="H5648" s="459">
        <v>5641</v>
      </c>
      <c r="I5648" s="444">
        <f t="shared" ca="1" si="213"/>
        <v>-397359334644561.56</v>
      </c>
      <c r="J5648" s="444">
        <f t="array" ref="J5648">IFERROR(INDEX('Retirement Calculator'!J:J,MATCH('Isaac 401k'!N5648,'Retirement Calculator'!A:A,0),0),0)</f>
        <v>0</v>
      </c>
      <c r="K5648" s="444">
        <f t="shared" ca="1" si="211"/>
        <v>-1655663894352.3398</v>
      </c>
      <c r="L5648" s="444">
        <f t="shared" ca="1" si="212"/>
        <v>-399014998538913.88</v>
      </c>
      <c r="M5648" s="460">
        <f t="shared" si="214"/>
        <v>0.05</v>
      </c>
      <c r="N5648" s="464">
        <f t="shared" si="215"/>
        <v>222951</v>
      </c>
    </row>
    <row r="5649" spans="7:14" ht="11.25" customHeight="1" x14ac:dyDescent="0.3">
      <c r="G5649" s="459"/>
      <c r="H5649" s="459">
        <v>5642</v>
      </c>
      <c r="I5649" s="444">
        <f t="shared" ca="1" si="213"/>
        <v>-399014998538913.88</v>
      </c>
      <c r="J5649" s="444">
        <f t="array" ref="J5649">IFERROR(INDEX('Retirement Calculator'!J:J,MATCH('Isaac 401k'!N5649,'Retirement Calculator'!A:A,0),0),0)</f>
        <v>0</v>
      </c>
      <c r="K5649" s="444">
        <f t="shared" ca="1" si="211"/>
        <v>-1662562493912.1411</v>
      </c>
      <c r="L5649" s="444">
        <f t="shared" ca="1" si="212"/>
        <v>-400677561032826</v>
      </c>
      <c r="M5649" s="460">
        <f t="shared" si="214"/>
        <v>0.05</v>
      </c>
      <c r="N5649" s="464">
        <f t="shared" si="215"/>
        <v>222981</v>
      </c>
    </row>
    <row r="5650" spans="7:14" ht="11.25" customHeight="1" x14ac:dyDescent="0.3">
      <c r="G5650" s="459"/>
      <c r="H5650" s="459">
        <v>5643</v>
      </c>
      <c r="I5650" s="444">
        <f t="shared" ca="1" si="213"/>
        <v>-400677561032826</v>
      </c>
      <c r="J5650" s="444">
        <f t="array" ref="J5650">IFERROR(INDEX('Retirement Calculator'!J:J,MATCH('Isaac 401k'!N5650,'Retirement Calculator'!A:A,0),0),0)</f>
        <v>0</v>
      </c>
      <c r="K5650" s="444">
        <f t="shared" ca="1" si="211"/>
        <v>-1669489837636.7749</v>
      </c>
      <c r="L5650" s="444">
        <f t="shared" ca="1" si="212"/>
        <v>-402347050870462.75</v>
      </c>
      <c r="M5650" s="460">
        <f t="shared" si="214"/>
        <v>0.05</v>
      </c>
      <c r="N5650" s="464">
        <f t="shared" si="215"/>
        <v>223012</v>
      </c>
    </row>
    <row r="5651" spans="7:14" ht="11.25" customHeight="1" x14ac:dyDescent="0.3">
      <c r="G5651" s="459"/>
      <c r="H5651" s="459">
        <v>5644</v>
      </c>
      <c r="I5651" s="444">
        <f t="shared" ca="1" si="213"/>
        <v>-402347050870462.75</v>
      </c>
      <c r="J5651" s="444">
        <f t="array" ref="J5651">IFERROR(INDEX('Retirement Calculator'!J:J,MATCH('Isaac 401k'!N5651,'Retirement Calculator'!A:A,0),0),0)</f>
        <v>0</v>
      </c>
      <c r="K5651" s="444">
        <f t="shared" ca="1" si="211"/>
        <v>-1676446045293.5947</v>
      </c>
      <c r="L5651" s="444">
        <f t="shared" ca="1" si="212"/>
        <v>-404023496915756.38</v>
      </c>
      <c r="M5651" s="460">
        <f t="shared" si="214"/>
        <v>0.05</v>
      </c>
      <c r="N5651" s="464">
        <f t="shared" si="215"/>
        <v>223043</v>
      </c>
    </row>
    <row r="5652" spans="7:14" ht="11.25" customHeight="1" x14ac:dyDescent="0.3">
      <c r="G5652" s="459"/>
      <c r="H5652" s="459">
        <v>5645</v>
      </c>
      <c r="I5652" s="444">
        <f t="shared" ca="1" si="213"/>
        <v>-404023496915756.38</v>
      </c>
      <c r="J5652" s="444">
        <f t="array" ref="J5652">IFERROR(INDEX('Retirement Calculator'!J:J,MATCH('Isaac 401k'!N5652,'Retirement Calculator'!A:A,0),0),0)</f>
        <v>0</v>
      </c>
      <c r="K5652" s="444">
        <f t="shared" ca="1" si="211"/>
        <v>-1683431237148.9849</v>
      </c>
      <c r="L5652" s="444">
        <f t="shared" ca="1" si="212"/>
        <v>-405706928152905.38</v>
      </c>
      <c r="M5652" s="460">
        <f t="shared" si="214"/>
        <v>0.05</v>
      </c>
      <c r="N5652" s="464">
        <f t="shared" si="215"/>
        <v>223073</v>
      </c>
    </row>
    <row r="5653" spans="7:14" ht="11.25" customHeight="1" x14ac:dyDescent="0.3">
      <c r="G5653" s="459"/>
      <c r="H5653" s="459">
        <v>5646</v>
      </c>
      <c r="I5653" s="444">
        <f t="shared" ca="1" si="213"/>
        <v>-405706928152905.38</v>
      </c>
      <c r="J5653" s="444">
        <f t="array" ref="J5653">IFERROR(INDEX('Retirement Calculator'!J:J,MATCH('Isaac 401k'!N5653,'Retirement Calculator'!A:A,0),0),0)</f>
        <v>0</v>
      </c>
      <c r="K5653" s="444">
        <f t="shared" ca="1" si="211"/>
        <v>-1690445533970.439</v>
      </c>
      <c r="L5653" s="444">
        <f t="shared" ca="1" si="212"/>
        <v>-407397373686875.81</v>
      </c>
      <c r="M5653" s="460">
        <f t="shared" si="214"/>
        <v>0.05</v>
      </c>
      <c r="N5653" s="464">
        <f t="shared" si="215"/>
        <v>223104</v>
      </c>
    </row>
    <row r="5654" spans="7:14" ht="11.25" customHeight="1" x14ac:dyDescent="0.3">
      <c r="G5654" s="459"/>
      <c r="H5654" s="459">
        <v>5647</v>
      </c>
      <c r="I5654" s="444">
        <f t="shared" ca="1" si="213"/>
        <v>-407397373686875.81</v>
      </c>
      <c r="J5654" s="444">
        <f t="array" ref="J5654">IFERROR(INDEX('Retirement Calculator'!J:J,MATCH('Isaac 401k'!N5654,'Retirement Calculator'!A:A,0),0),0)</f>
        <v>0</v>
      </c>
      <c r="K5654" s="444">
        <f t="shared" ca="1" si="211"/>
        <v>-1697489057028.6492</v>
      </c>
      <c r="L5654" s="444">
        <f t="shared" ca="1" si="212"/>
        <v>-409094862743904.44</v>
      </c>
      <c r="M5654" s="460">
        <f t="shared" si="214"/>
        <v>0.05</v>
      </c>
      <c r="N5654" s="464">
        <f t="shared" si="215"/>
        <v>223134</v>
      </c>
    </row>
    <row r="5655" spans="7:14" ht="11.25" customHeight="1" x14ac:dyDescent="0.3">
      <c r="G5655" s="459"/>
      <c r="H5655" s="459">
        <v>5648</v>
      </c>
      <c r="I5655" s="444">
        <f t="shared" ca="1" si="213"/>
        <v>-409094862743904.44</v>
      </c>
      <c r="J5655" s="444">
        <f t="array" ref="J5655">IFERROR(INDEX('Retirement Calculator'!J:J,MATCH('Isaac 401k'!N5655,'Retirement Calculator'!A:A,0),0),0)</f>
        <v>0</v>
      </c>
      <c r="K5655" s="444">
        <f t="shared" ca="1" si="211"/>
        <v>-1704561928099.6018</v>
      </c>
      <c r="L5655" s="444">
        <f t="shared" ca="1" si="212"/>
        <v>-410799424672004.06</v>
      </c>
      <c r="M5655" s="460">
        <f t="shared" si="214"/>
        <v>0.05</v>
      </c>
      <c r="N5655" s="464">
        <f t="shared" si="215"/>
        <v>223165</v>
      </c>
    </row>
    <row r="5656" spans="7:14" ht="11.25" customHeight="1" x14ac:dyDescent="0.3">
      <c r="G5656" s="459"/>
      <c r="H5656" s="459">
        <v>5649</v>
      </c>
      <c r="I5656" s="444">
        <f t="shared" ca="1" si="213"/>
        <v>-410799424672004.06</v>
      </c>
      <c r="J5656" s="444">
        <f t="array" ref="J5656">IFERROR(INDEX('Retirement Calculator'!J:J,MATCH('Isaac 401k'!N5656,'Retirement Calculator'!A:A,0),0),0)</f>
        <v>0</v>
      </c>
      <c r="K5656" s="444">
        <f t="shared" ca="1" si="211"/>
        <v>-1711664269466.6836</v>
      </c>
      <c r="L5656" s="444">
        <f t="shared" ca="1" si="212"/>
        <v>-412511088941470.75</v>
      </c>
      <c r="M5656" s="460">
        <f t="shared" si="214"/>
        <v>0.05</v>
      </c>
      <c r="N5656" s="464">
        <f t="shared" si="215"/>
        <v>223196</v>
      </c>
    </row>
    <row r="5657" spans="7:14" ht="11.25" customHeight="1" x14ac:dyDescent="0.3">
      <c r="G5657" s="459"/>
      <c r="H5657" s="459">
        <v>5650</v>
      </c>
      <c r="I5657" s="444">
        <f t="shared" ca="1" si="213"/>
        <v>-412511088941470.75</v>
      </c>
      <c r="J5657" s="444">
        <f t="array" ref="J5657">IFERROR(INDEX('Retirement Calculator'!J:J,MATCH('Isaac 401k'!N5657,'Retirement Calculator'!A:A,0),0),0)</f>
        <v>0</v>
      </c>
      <c r="K5657" s="444">
        <f t="shared" ca="1" si="211"/>
        <v>-1718796203922.7947</v>
      </c>
      <c r="L5657" s="444">
        <f t="shared" ca="1" si="212"/>
        <v>-414229885145393.56</v>
      </c>
      <c r="M5657" s="460">
        <f t="shared" si="214"/>
        <v>0.05</v>
      </c>
      <c r="N5657" s="464">
        <f t="shared" si="215"/>
        <v>223224</v>
      </c>
    </row>
    <row r="5658" spans="7:14" ht="11.25" customHeight="1" x14ac:dyDescent="0.3">
      <c r="G5658" s="459"/>
      <c r="H5658" s="459">
        <v>5651</v>
      </c>
      <c r="I5658" s="444">
        <f t="shared" ca="1" si="213"/>
        <v>-414229885145393.56</v>
      </c>
      <c r="J5658" s="444">
        <f t="array" ref="J5658">IFERROR(INDEX('Retirement Calculator'!J:J,MATCH('Isaac 401k'!N5658,'Retirement Calculator'!A:A,0),0),0)</f>
        <v>0</v>
      </c>
      <c r="K5658" s="444">
        <f t="shared" ca="1" si="211"/>
        <v>-1725957854772.4731</v>
      </c>
      <c r="L5658" s="444">
        <f t="shared" ca="1" si="212"/>
        <v>-415955843000166.06</v>
      </c>
      <c r="M5658" s="460">
        <f t="shared" si="214"/>
        <v>0.05</v>
      </c>
      <c r="N5658" s="464">
        <f t="shared" si="215"/>
        <v>223255</v>
      </c>
    </row>
    <row r="5659" spans="7:14" ht="11.25" customHeight="1" x14ac:dyDescent="0.3">
      <c r="G5659" s="459"/>
      <c r="H5659" s="459">
        <v>5652</v>
      </c>
      <c r="I5659" s="444">
        <f t="shared" ca="1" si="213"/>
        <v>-415955843000166.06</v>
      </c>
      <c r="J5659" s="444">
        <f t="array" ref="J5659">IFERROR(INDEX('Retirement Calculator'!J:J,MATCH('Isaac 401k'!N5659,'Retirement Calculator'!A:A,0),0),0)</f>
        <v>0</v>
      </c>
      <c r="K5659" s="444">
        <f t="shared" ca="1" si="211"/>
        <v>-1733149345834.0251</v>
      </c>
      <c r="L5659" s="444">
        <f t="shared" ca="1" si="212"/>
        <v>-417688992346000.06</v>
      </c>
      <c r="M5659" s="460">
        <f t="shared" si="214"/>
        <v>0.05</v>
      </c>
      <c r="N5659" s="464">
        <f t="shared" si="215"/>
        <v>223285</v>
      </c>
    </row>
    <row r="5660" spans="7:14" ht="11.25" customHeight="1" x14ac:dyDescent="0.3">
      <c r="G5660" s="459"/>
      <c r="H5660" s="459">
        <v>5653</v>
      </c>
      <c r="I5660" s="444">
        <f t="shared" ca="1" si="213"/>
        <v>-417688992346000.06</v>
      </c>
      <c r="J5660" s="444">
        <f t="array" ref="J5660">IFERROR(INDEX('Retirement Calculator'!J:J,MATCH('Isaac 401k'!N5660,'Retirement Calculator'!A:A,0),0),0)</f>
        <v>0</v>
      </c>
      <c r="K5660" s="444">
        <f t="shared" ca="1" si="211"/>
        <v>-1740370801441.667</v>
      </c>
      <c r="L5660" s="444">
        <f t="shared" ca="1" si="212"/>
        <v>-419429363147441.75</v>
      </c>
      <c r="M5660" s="460">
        <f t="shared" si="214"/>
        <v>0.05</v>
      </c>
      <c r="N5660" s="464">
        <f t="shared" si="215"/>
        <v>223316</v>
      </c>
    </row>
    <row r="5661" spans="7:14" ht="11.25" customHeight="1" x14ac:dyDescent="0.3">
      <c r="G5661" s="459"/>
      <c r="H5661" s="459">
        <v>5654</v>
      </c>
      <c r="I5661" s="444">
        <f t="shared" ca="1" si="213"/>
        <v>-419429363147441.75</v>
      </c>
      <c r="J5661" s="444">
        <f t="array" ref="J5661">IFERROR(INDEX('Retirement Calculator'!J:J,MATCH('Isaac 401k'!N5661,'Retirement Calculator'!A:A,0),0),0)</f>
        <v>0</v>
      </c>
      <c r="K5661" s="444">
        <f t="shared" ca="1" si="211"/>
        <v>-1747622346447.6738</v>
      </c>
      <c r="L5661" s="444">
        <f t="shared" ca="1" si="212"/>
        <v>-421176985493889.44</v>
      </c>
      <c r="M5661" s="460">
        <f t="shared" si="214"/>
        <v>0.05</v>
      </c>
      <c r="N5661" s="464">
        <f t="shared" si="215"/>
        <v>223346</v>
      </c>
    </row>
    <row r="5662" spans="7:14" ht="11.25" customHeight="1" x14ac:dyDescent="0.3">
      <c r="G5662" s="459"/>
      <c r="H5662" s="459">
        <v>5655</v>
      </c>
      <c r="I5662" s="444">
        <f t="shared" ca="1" si="213"/>
        <v>-421176985493889.44</v>
      </c>
      <c r="J5662" s="444">
        <f t="array" ref="J5662">IFERROR(INDEX('Retirement Calculator'!J:J,MATCH('Isaac 401k'!N5662,'Retirement Calculator'!A:A,0),0),0)</f>
        <v>0</v>
      </c>
      <c r="K5662" s="444">
        <f t="shared" ca="1" si="211"/>
        <v>-1754904106224.5393</v>
      </c>
      <c r="L5662" s="444">
        <f t="shared" ca="1" si="212"/>
        <v>-422931889600114</v>
      </c>
      <c r="M5662" s="460">
        <f t="shared" si="214"/>
        <v>0.05</v>
      </c>
      <c r="N5662" s="464">
        <f t="shared" si="215"/>
        <v>223377</v>
      </c>
    </row>
    <row r="5663" spans="7:14" ht="11.25" customHeight="1" x14ac:dyDescent="0.3">
      <c r="G5663" s="459"/>
      <c r="H5663" s="459">
        <v>5656</v>
      </c>
      <c r="I5663" s="444">
        <f t="shared" ca="1" si="213"/>
        <v>-422931889600114</v>
      </c>
      <c r="J5663" s="444">
        <f t="array" ref="J5663">IFERROR(INDEX('Retirement Calculator'!J:J,MATCH('Isaac 401k'!N5663,'Retirement Calculator'!A:A,0),0),0)</f>
        <v>0</v>
      </c>
      <c r="K5663" s="444">
        <f t="shared" ca="1" si="211"/>
        <v>-1762216206667.1416</v>
      </c>
      <c r="L5663" s="444">
        <f t="shared" ca="1" si="212"/>
        <v>-424694105806781.13</v>
      </c>
      <c r="M5663" s="460">
        <f t="shared" si="214"/>
        <v>0.05</v>
      </c>
      <c r="N5663" s="464">
        <f t="shared" si="215"/>
        <v>223408</v>
      </c>
    </row>
    <row r="5664" spans="7:14" ht="11.25" customHeight="1" x14ac:dyDescent="0.3">
      <c r="G5664" s="459"/>
      <c r="H5664" s="459">
        <v>5657</v>
      </c>
      <c r="I5664" s="444">
        <f t="shared" ca="1" si="213"/>
        <v>-424694105806781.13</v>
      </c>
      <c r="J5664" s="444">
        <f t="array" ref="J5664">IFERROR(INDEX('Retirement Calculator'!J:J,MATCH('Isaac 401k'!N5664,'Retirement Calculator'!A:A,0),0),0)</f>
        <v>0</v>
      </c>
      <c r="K5664" s="444">
        <f t="shared" ca="1" si="211"/>
        <v>-1769558774194.9214</v>
      </c>
      <c r="L5664" s="444">
        <f t="shared" ca="1" si="212"/>
        <v>-426463664580976.06</v>
      </c>
      <c r="M5664" s="460">
        <f t="shared" si="214"/>
        <v>0.05</v>
      </c>
      <c r="N5664" s="464">
        <f t="shared" si="215"/>
        <v>223438</v>
      </c>
    </row>
    <row r="5665" spans="7:14" ht="11.25" customHeight="1" x14ac:dyDescent="0.3">
      <c r="G5665" s="459"/>
      <c r="H5665" s="459">
        <v>5658</v>
      </c>
      <c r="I5665" s="444">
        <f t="shared" ca="1" si="213"/>
        <v>-426463664580976.06</v>
      </c>
      <c r="J5665" s="444">
        <f t="array" ref="J5665">IFERROR(INDEX('Retirement Calculator'!J:J,MATCH('Isaac 401k'!N5665,'Retirement Calculator'!A:A,0),0),0)</f>
        <v>0</v>
      </c>
      <c r="K5665" s="444">
        <f t="shared" ca="1" si="211"/>
        <v>-1776931935754.0669</v>
      </c>
      <c r="L5665" s="444">
        <f t="shared" ca="1" si="212"/>
        <v>-428240596516730.13</v>
      </c>
      <c r="M5665" s="460">
        <f t="shared" si="214"/>
        <v>0.05</v>
      </c>
      <c r="N5665" s="464">
        <f t="shared" si="215"/>
        <v>223469</v>
      </c>
    </row>
    <row r="5666" spans="7:14" ht="11.25" customHeight="1" x14ac:dyDescent="0.3">
      <c r="G5666" s="459"/>
      <c r="H5666" s="459">
        <v>5659</v>
      </c>
      <c r="I5666" s="444">
        <f t="shared" ca="1" si="213"/>
        <v>-428240596516730.13</v>
      </c>
      <c r="J5666" s="444">
        <f t="array" ref="J5666">IFERROR(INDEX('Retirement Calculator'!J:J,MATCH('Isaac 401k'!N5666,'Retirement Calculator'!A:A,0),0),0)</f>
        <v>0</v>
      </c>
      <c r="K5666" s="444">
        <f t="shared" ca="1" si="211"/>
        <v>-1784335818819.7087</v>
      </c>
      <c r="L5666" s="444">
        <f t="shared" ca="1" si="212"/>
        <v>-430024932335549.81</v>
      </c>
      <c r="M5666" s="460">
        <f t="shared" si="214"/>
        <v>0.05</v>
      </c>
      <c r="N5666" s="464">
        <f t="shared" si="215"/>
        <v>223499</v>
      </c>
    </row>
    <row r="5667" spans="7:14" ht="11.25" customHeight="1" x14ac:dyDescent="0.3">
      <c r="G5667" s="459"/>
      <c r="H5667" s="459">
        <v>5660</v>
      </c>
      <c r="I5667" s="444">
        <f t="shared" ca="1" si="213"/>
        <v>-430024932335549.81</v>
      </c>
      <c r="J5667" s="444">
        <f t="array" ref="J5667">IFERROR(INDEX('Retirement Calculator'!J:J,MATCH('Isaac 401k'!N5667,'Retirement Calculator'!A:A,0),0),0)</f>
        <v>0</v>
      </c>
      <c r="K5667" s="444">
        <f t="shared" ca="1" si="211"/>
        <v>-1791770551398.1243</v>
      </c>
      <c r="L5667" s="444">
        <f t="shared" ca="1" si="212"/>
        <v>-431816702886947.94</v>
      </c>
      <c r="M5667" s="460">
        <f t="shared" si="214"/>
        <v>0.05</v>
      </c>
      <c r="N5667" s="464">
        <f t="shared" si="215"/>
        <v>223530</v>
      </c>
    </row>
    <row r="5668" spans="7:14" ht="11.25" customHeight="1" x14ac:dyDescent="0.3">
      <c r="G5668" s="459"/>
      <c r="H5668" s="459">
        <v>5661</v>
      </c>
      <c r="I5668" s="444">
        <f t="shared" ca="1" si="213"/>
        <v>-431816702886947.94</v>
      </c>
      <c r="J5668" s="444">
        <f t="array" ref="J5668">IFERROR(INDEX('Retirement Calculator'!J:J,MATCH('Isaac 401k'!N5668,'Retirement Calculator'!A:A,0),0),0)</f>
        <v>0</v>
      </c>
      <c r="K5668" s="444">
        <f t="shared" ca="1" si="211"/>
        <v>-1799236262028.9497</v>
      </c>
      <c r="L5668" s="444">
        <f t="shared" ca="1" si="212"/>
        <v>-433615939148976.88</v>
      </c>
      <c r="M5668" s="460">
        <f t="shared" si="214"/>
        <v>0.05</v>
      </c>
      <c r="N5668" s="464">
        <f t="shared" si="215"/>
        <v>223561</v>
      </c>
    </row>
    <row r="5669" spans="7:14" ht="11.25" customHeight="1" x14ac:dyDescent="0.3">
      <c r="G5669" s="459"/>
      <c r="H5669" s="459">
        <v>5662</v>
      </c>
      <c r="I5669" s="444">
        <f t="shared" ca="1" si="213"/>
        <v>-433615939148976.88</v>
      </c>
      <c r="J5669" s="444">
        <f t="array" ref="J5669">IFERROR(INDEX('Retirement Calculator'!J:J,MATCH('Isaac 401k'!N5669,'Retirement Calculator'!A:A,0),0),0)</f>
        <v>0</v>
      </c>
      <c r="K5669" s="444">
        <f t="shared" ca="1" si="211"/>
        <v>-1806733079787.4036</v>
      </c>
      <c r="L5669" s="444">
        <f t="shared" ca="1" si="212"/>
        <v>-435422672228764.25</v>
      </c>
      <c r="M5669" s="460">
        <f t="shared" si="214"/>
        <v>0.05</v>
      </c>
      <c r="N5669" s="464">
        <f t="shared" si="215"/>
        <v>223590</v>
      </c>
    </row>
    <row r="5670" spans="7:14" ht="11.25" customHeight="1" x14ac:dyDescent="0.3">
      <c r="G5670" s="459"/>
      <c r="H5670" s="459">
        <v>5663</v>
      </c>
      <c r="I5670" s="444">
        <f t="shared" ca="1" si="213"/>
        <v>-435422672228764.25</v>
      </c>
      <c r="J5670" s="444">
        <f t="array" ref="J5670">IFERROR(INDEX('Retirement Calculator'!J:J,MATCH('Isaac 401k'!N5670,'Retirement Calculator'!A:A,0),0),0)</f>
        <v>0</v>
      </c>
      <c r="K5670" s="444">
        <f t="shared" ca="1" si="211"/>
        <v>-1814261134286.5176</v>
      </c>
      <c r="L5670" s="444">
        <f t="shared" ca="1" si="212"/>
        <v>-437236933363050.75</v>
      </c>
      <c r="M5670" s="460">
        <f t="shared" si="214"/>
        <v>0.05</v>
      </c>
      <c r="N5670" s="464">
        <f t="shared" si="215"/>
        <v>223621</v>
      </c>
    </row>
    <row r="5671" spans="7:14" ht="11.25" customHeight="1" x14ac:dyDescent="0.3">
      <c r="G5671" s="459"/>
      <c r="H5671" s="459">
        <v>5664</v>
      </c>
      <c r="I5671" s="444">
        <f t="shared" ca="1" si="213"/>
        <v>-437236933363050.75</v>
      </c>
      <c r="J5671" s="444">
        <f t="array" ref="J5671">IFERROR(INDEX('Retirement Calculator'!J:J,MATCH('Isaac 401k'!N5671,'Retirement Calculator'!A:A,0),0),0)</f>
        <v>0</v>
      </c>
      <c r="K5671" s="444">
        <f t="shared" ca="1" si="211"/>
        <v>-1821820555679.3782</v>
      </c>
      <c r="L5671" s="444">
        <f t="shared" ca="1" si="212"/>
        <v>-439058753918730.13</v>
      </c>
      <c r="M5671" s="460">
        <f t="shared" si="214"/>
        <v>0.05</v>
      </c>
      <c r="N5671" s="464">
        <f t="shared" si="215"/>
        <v>223651</v>
      </c>
    </row>
    <row r="5672" spans="7:14" ht="11.25" customHeight="1" x14ac:dyDescent="0.3">
      <c r="G5672" s="459"/>
      <c r="H5672" s="459">
        <v>5665</v>
      </c>
      <c r="I5672" s="444">
        <f t="shared" ca="1" si="213"/>
        <v>-439058753918730.13</v>
      </c>
      <c r="J5672" s="444">
        <f t="array" ref="J5672">IFERROR(INDEX('Retirement Calculator'!J:J,MATCH('Isaac 401k'!N5672,'Retirement Calculator'!A:A,0),0),0)</f>
        <v>0</v>
      </c>
      <c r="K5672" s="444">
        <f t="shared" ca="1" si="211"/>
        <v>-1829411474661.3755</v>
      </c>
      <c r="L5672" s="444">
        <f t="shared" ca="1" si="212"/>
        <v>-440888165393391.5</v>
      </c>
      <c r="M5672" s="460">
        <f t="shared" si="214"/>
        <v>0.05</v>
      </c>
      <c r="N5672" s="464">
        <f t="shared" si="215"/>
        <v>223682</v>
      </c>
    </row>
    <row r="5673" spans="7:14" ht="11.25" customHeight="1" x14ac:dyDescent="0.3">
      <c r="G5673" s="459"/>
      <c r="H5673" s="459">
        <v>5666</v>
      </c>
      <c r="I5673" s="444">
        <f t="shared" ca="1" si="213"/>
        <v>-440888165393391.5</v>
      </c>
      <c r="J5673" s="444">
        <f t="array" ref="J5673">IFERROR(INDEX('Retirement Calculator'!J:J,MATCH('Isaac 401k'!N5673,'Retirement Calculator'!A:A,0),0),0)</f>
        <v>0</v>
      </c>
      <c r="K5673" s="444">
        <f t="shared" ca="1" si="211"/>
        <v>-1837034022472.4648</v>
      </c>
      <c r="L5673" s="444">
        <f t="shared" ca="1" si="212"/>
        <v>-442725199415863.94</v>
      </c>
      <c r="M5673" s="460">
        <f t="shared" si="214"/>
        <v>0.05</v>
      </c>
      <c r="N5673" s="464">
        <f t="shared" si="215"/>
        <v>223712</v>
      </c>
    </row>
    <row r="5674" spans="7:14" ht="11.25" customHeight="1" x14ac:dyDescent="0.3">
      <c r="G5674" s="459"/>
      <c r="H5674" s="459">
        <v>5667</v>
      </c>
      <c r="I5674" s="444">
        <f t="shared" ca="1" si="213"/>
        <v>-442725199415863.94</v>
      </c>
      <c r="J5674" s="444">
        <f t="array" ref="J5674">IFERROR(INDEX('Retirement Calculator'!J:J,MATCH('Isaac 401k'!N5674,'Retirement Calculator'!A:A,0),0),0)</f>
        <v>0</v>
      </c>
      <c r="K5674" s="444">
        <f t="shared" ca="1" si="211"/>
        <v>-1844688330899.4331</v>
      </c>
      <c r="L5674" s="444">
        <f t="shared" ca="1" si="212"/>
        <v>-444569887746763.38</v>
      </c>
      <c r="M5674" s="460">
        <f t="shared" si="214"/>
        <v>0.05</v>
      </c>
      <c r="N5674" s="464">
        <f t="shared" si="215"/>
        <v>223743</v>
      </c>
    </row>
    <row r="5675" spans="7:14" ht="11.25" customHeight="1" x14ac:dyDescent="0.3">
      <c r="G5675" s="459"/>
      <c r="H5675" s="459">
        <v>5668</v>
      </c>
      <c r="I5675" s="444">
        <f t="shared" ca="1" si="213"/>
        <v>-444569887746763.38</v>
      </c>
      <c r="J5675" s="444">
        <f t="array" ref="J5675">IFERROR(INDEX('Retirement Calculator'!J:J,MATCH('Isaac 401k'!N5675,'Retirement Calculator'!A:A,0),0),0)</f>
        <v>0</v>
      </c>
      <c r="K5675" s="444">
        <f t="shared" ca="1" si="211"/>
        <v>-1852374532278.1809</v>
      </c>
      <c r="L5675" s="444">
        <f t="shared" ca="1" si="212"/>
        <v>-446422262279041.56</v>
      </c>
      <c r="M5675" s="460">
        <f t="shared" si="214"/>
        <v>0.05</v>
      </c>
      <c r="N5675" s="464">
        <f t="shared" si="215"/>
        <v>223774</v>
      </c>
    </row>
    <row r="5676" spans="7:14" ht="11.25" customHeight="1" x14ac:dyDescent="0.3">
      <c r="G5676" s="459"/>
      <c r="H5676" s="459">
        <v>5669</v>
      </c>
      <c r="I5676" s="444">
        <f t="shared" ca="1" si="213"/>
        <v>-446422262279041.56</v>
      </c>
      <c r="J5676" s="444">
        <f t="array" ref="J5676">IFERROR(INDEX('Retirement Calculator'!J:J,MATCH('Isaac 401k'!N5676,'Retirement Calculator'!A:A,0),0),0)</f>
        <v>0</v>
      </c>
      <c r="K5676" s="444">
        <f t="shared" ca="1" si="211"/>
        <v>-1860092759496.0068</v>
      </c>
      <c r="L5676" s="444">
        <f t="shared" ca="1" si="212"/>
        <v>-448282355038537.56</v>
      </c>
      <c r="M5676" s="460">
        <f t="shared" si="214"/>
        <v>0.05</v>
      </c>
      <c r="N5676" s="464">
        <f t="shared" si="215"/>
        <v>223804</v>
      </c>
    </row>
    <row r="5677" spans="7:14" ht="11.25" customHeight="1" x14ac:dyDescent="0.3">
      <c r="G5677" s="459"/>
      <c r="H5677" s="459">
        <v>5670</v>
      </c>
      <c r="I5677" s="444">
        <f t="shared" ca="1" si="213"/>
        <v>-448282355038537.56</v>
      </c>
      <c r="J5677" s="444">
        <f t="array" ref="J5677">IFERROR(INDEX('Retirement Calculator'!J:J,MATCH('Isaac 401k'!N5677,'Retirement Calculator'!A:A,0),0),0)</f>
        <v>0</v>
      </c>
      <c r="K5677" s="444">
        <f t="shared" ca="1" si="211"/>
        <v>-1867843145993.9065</v>
      </c>
      <c r="L5677" s="444">
        <f t="shared" ca="1" si="212"/>
        <v>-450150198184531.5</v>
      </c>
      <c r="M5677" s="460">
        <f t="shared" si="214"/>
        <v>0.05</v>
      </c>
      <c r="N5677" s="464">
        <f t="shared" si="215"/>
        <v>223835</v>
      </c>
    </row>
    <row r="5678" spans="7:14" ht="11.25" customHeight="1" x14ac:dyDescent="0.3">
      <c r="G5678" s="459"/>
      <c r="H5678" s="459">
        <v>5671</v>
      </c>
      <c r="I5678" s="444">
        <f t="shared" ca="1" si="213"/>
        <v>-450150198184531.5</v>
      </c>
      <c r="J5678" s="444">
        <f t="array" ref="J5678">IFERROR(INDEX('Retirement Calculator'!J:J,MATCH('Isaac 401k'!N5678,'Retirement Calculator'!A:A,0),0),0)</f>
        <v>0</v>
      </c>
      <c r="K5678" s="444">
        <f t="shared" ca="1" si="211"/>
        <v>-1875625825768.8811</v>
      </c>
      <c r="L5678" s="444">
        <f t="shared" ca="1" si="212"/>
        <v>-452025824010300.38</v>
      </c>
      <c r="M5678" s="460">
        <f t="shared" si="214"/>
        <v>0.05</v>
      </c>
      <c r="N5678" s="464">
        <f t="shared" si="215"/>
        <v>223865</v>
      </c>
    </row>
    <row r="5679" spans="7:14" ht="11.25" customHeight="1" x14ac:dyDescent="0.3">
      <c r="G5679" s="459"/>
      <c r="H5679" s="459">
        <v>5672</v>
      </c>
      <c r="I5679" s="444">
        <f t="shared" ca="1" si="213"/>
        <v>-452025824010300.38</v>
      </c>
      <c r="J5679" s="444">
        <f t="array" ref="J5679">IFERROR(INDEX('Retirement Calculator'!J:J,MATCH('Isaac 401k'!N5679,'Retirement Calculator'!A:A,0),0),0)</f>
        <v>0</v>
      </c>
      <c r="K5679" s="444">
        <f t="shared" ca="1" si="211"/>
        <v>-1883440933376.2512</v>
      </c>
      <c r="L5679" s="444">
        <f t="shared" ca="1" si="212"/>
        <v>-453909264943676.63</v>
      </c>
      <c r="M5679" s="460">
        <f t="shared" si="214"/>
        <v>0.05</v>
      </c>
      <c r="N5679" s="464">
        <f t="shared" si="215"/>
        <v>223896</v>
      </c>
    </row>
    <row r="5680" spans="7:14" ht="11.25" customHeight="1" x14ac:dyDescent="0.3">
      <c r="G5680" s="459"/>
      <c r="H5680" s="459">
        <v>5673</v>
      </c>
      <c r="I5680" s="444">
        <f t="shared" ca="1" si="213"/>
        <v>-453909264943676.63</v>
      </c>
      <c r="J5680" s="444">
        <f t="array" ref="J5680">IFERROR(INDEX('Retirement Calculator'!J:J,MATCH('Isaac 401k'!N5680,'Retirement Calculator'!A:A,0),0),0)</f>
        <v>0</v>
      </c>
      <c r="K5680" s="444">
        <f t="shared" ca="1" si="211"/>
        <v>-1891288603931.9858</v>
      </c>
      <c r="L5680" s="444">
        <f t="shared" ca="1" si="212"/>
        <v>-455800553547608.63</v>
      </c>
      <c r="M5680" s="460">
        <f t="shared" si="214"/>
        <v>0.05</v>
      </c>
      <c r="N5680" s="464">
        <f t="shared" si="215"/>
        <v>223927</v>
      </c>
    </row>
    <row r="5681" spans="7:14" ht="11.25" customHeight="1" x14ac:dyDescent="0.3">
      <c r="G5681" s="459"/>
      <c r="H5681" s="459">
        <v>5674</v>
      </c>
      <c r="I5681" s="444">
        <f t="shared" ca="1" si="213"/>
        <v>-455800553547608.63</v>
      </c>
      <c r="J5681" s="444">
        <f t="array" ref="J5681">IFERROR(INDEX('Retirement Calculator'!J:J,MATCH('Isaac 401k'!N5681,'Retirement Calculator'!A:A,0),0),0)</f>
        <v>0</v>
      </c>
      <c r="K5681" s="444">
        <f t="shared" ca="1" si="211"/>
        <v>-1899168973115.0359</v>
      </c>
      <c r="L5681" s="444">
        <f t="shared" ca="1" si="212"/>
        <v>-457699722520723.69</v>
      </c>
      <c r="M5681" s="460">
        <f t="shared" si="214"/>
        <v>0.05</v>
      </c>
      <c r="N5681" s="464">
        <f t="shared" si="215"/>
        <v>223955</v>
      </c>
    </row>
    <row r="5682" spans="7:14" ht="11.25" customHeight="1" x14ac:dyDescent="0.3">
      <c r="G5682" s="459"/>
      <c r="H5682" s="459">
        <v>5675</v>
      </c>
      <c r="I5682" s="444">
        <f t="shared" ca="1" si="213"/>
        <v>-457699722520723.69</v>
      </c>
      <c r="J5682" s="444">
        <f t="array" ref="J5682">IFERROR(INDEX('Retirement Calculator'!J:J,MATCH('Isaac 401k'!N5682,'Retirement Calculator'!A:A,0),0),0)</f>
        <v>0</v>
      </c>
      <c r="K5682" s="444">
        <f t="shared" ca="1" si="211"/>
        <v>-1907082177169.6816</v>
      </c>
      <c r="L5682" s="444">
        <f t="shared" ca="1" si="212"/>
        <v>-459606804697893.38</v>
      </c>
      <c r="M5682" s="460">
        <f t="shared" si="214"/>
        <v>0.05</v>
      </c>
      <c r="N5682" s="464">
        <f t="shared" si="215"/>
        <v>223986</v>
      </c>
    </row>
    <row r="5683" spans="7:14" ht="11.25" customHeight="1" x14ac:dyDescent="0.3">
      <c r="G5683" s="459"/>
      <c r="H5683" s="459">
        <v>5676</v>
      </c>
      <c r="I5683" s="444">
        <f t="shared" ca="1" si="213"/>
        <v>-459606804697893.38</v>
      </c>
      <c r="J5683" s="444">
        <f t="array" ref="J5683">IFERROR(INDEX('Retirement Calculator'!J:J,MATCH('Isaac 401k'!N5683,'Retirement Calculator'!A:A,0),0),0)</f>
        <v>0</v>
      </c>
      <c r="K5683" s="444">
        <f t="shared" ca="1" si="211"/>
        <v>-1915028352907.8889</v>
      </c>
      <c r="L5683" s="444">
        <f t="shared" ca="1" si="212"/>
        <v>-461521833050801.25</v>
      </c>
      <c r="M5683" s="460">
        <f t="shared" si="214"/>
        <v>0.05</v>
      </c>
      <c r="N5683" s="464">
        <f t="shared" si="215"/>
        <v>224016</v>
      </c>
    </row>
    <row r="5684" spans="7:14" ht="11.25" customHeight="1" x14ac:dyDescent="0.3">
      <c r="G5684" s="459"/>
      <c r="H5684" s="459">
        <v>5677</v>
      </c>
      <c r="I5684" s="444">
        <f t="shared" ca="1" si="213"/>
        <v>-461521833050801.25</v>
      </c>
      <c r="J5684" s="444">
        <f t="array" ref="J5684">IFERROR(INDEX('Retirement Calculator'!J:J,MATCH('Isaac 401k'!N5684,'Retirement Calculator'!A:A,0),0),0)</f>
        <v>0</v>
      </c>
      <c r="K5684" s="444">
        <f t="shared" ca="1" si="211"/>
        <v>-1923007637711.6719</v>
      </c>
      <c r="L5684" s="444">
        <f t="shared" ca="1" si="212"/>
        <v>-463444840688512.94</v>
      </c>
      <c r="M5684" s="460">
        <f t="shared" si="214"/>
        <v>0.05</v>
      </c>
      <c r="N5684" s="464">
        <f t="shared" si="215"/>
        <v>224047</v>
      </c>
    </row>
    <row r="5685" spans="7:14" ht="11.25" customHeight="1" x14ac:dyDescent="0.3">
      <c r="G5685" s="459"/>
      <c r="H5685" s="459">
        <v>5678</v>
      </c>
      <c r="I5685" s="444">
        <f t="shared" ca="1" si="213"/>
        <v>-463444840688512.94</v>
      </c>
      <c r="J5685" s="444">
        <f t="array" ref="J5685">IFERROR(INDEX('Retirement Calculator'!J:J,MATCH('Isaac 401k'!N5685,'Retirement Calculator'!A:A,0),0),0)</f>
        <v>0</v>
      </c>
      <c r="K5685" s="444">
        <f t="shared" ca="1" si="211"/>
        <v>-1931020169535.4707</v>
      </c>
      <c r="L5685" s="444">
        <f t="shared" ca="1" si="212"/>
        <v>-465375860858048.44</v>
      </c>
      <c r="M5685" s="460">
        <f t="shared" si="214"/>
        <v>0.05</v>
      </c>
      <c r="N5685" s="464">
        <f t="shared" si="215"/>
        <v>224077</v>
      </c>
    </row>
    <row r="5686" spans="7:14" ht="11.25" customHeight="1" x14ac:dyDescent="0.3">
      <c r="G5686" s="459"/>
      <c r="H5686" s="459">
        <v>5679</v>
      </c>
      <c r="I5686" s="444">
        <f t="shared" ca="1" si="213"/>
        <v>-465375860858048.44</v>
      </c>
      <c r="J5686" s="444">
        <f t="array" ref="J5686">IFERROR(INDEX('Retirement Calculator'!J:J,MATCH('Isaac 401k'!N5686,'Retirement Calculator'!A:A,0),0),0)</f>
        <v>0</v>
      </c>
      <c r="K5686" s="444">
        <f t="shared" ca="1" si="211"/>
        <v>-1939066086908.5349</v>
      </c>
      <c r="L5686" s="444">
        <f t="shared" ca="1" si="212"/>
        <v>-467314926944957</v>
      </c>
      <c r="M5686" s="460">
        <f t="shared" si="214"/>
        <v>0.05</v>
      </c>
      <c r="N5686" s="464">
        <f t="shared" si="215"/>
        <v>224108</v>
      </c>
    </row>
    <row r="5687" spans="7:14" ht="11.25" customHeight="1" x14ac:dyDescent="0.3">
      <c r="G5687" s="459"/>
      <c r="H5687" s="459">
        <v>5680</v>
      </c>
      <c r="I5687" s="444">
        <f t="shared" ca="1" si="213"/>
        <v>-467314926944957</v>
      </c>
      <c r="J5687" s="444">
        <f t="array" ref="J5687">IFERROR(INDEX('Retirement Calculator'!J:J,MATCH('Isaac 401k'!N5687,'Retirement Calculator'!A:A,0),0),0)</f>
        <v>0</v>
      </c>
      <c r="K5687" s="444">
        <f t="shared" ca="1" si="211"/>
        <v>-1947145528937.3206</v>
      </c>
      <c r="L5687" s="444">
        <f t="shared" ca="1" si="212"/>
        <v>-469262072473894.31</v>
      </c>
      <c r="M5687" s="460">
        <f t="shared" si="214"/>
        <v>0.05</v>
      </c>
      <c r="N5687" s="464">
        <f t="shared" si="215"/>
        <v>224139</v>
      </c>
    </row>
    <row r="5688" spans="7:14" ht="11.25" customHeight="1" x14ac:dyDescent="0.3">
      <c r="G5688" s="459"/>
      <c r="H5688" s="459">
        <v>5681</v>
      </c>
      <c r="I5688" s="444">
        <f t="shared" ca="1" si="213"/>
        <v>-469262072473894.31</v>
      </c>
      <c r="J5688" s="444">
        <f t="array" ref="J5688">IFERROR(INDEX('Retirement Calculator'!J:J,MATCH('Isaac 401k'!N5688,'Retirement Calculator'!A:A,0),0),0)</f>
        <v>0</v>
      </c>
      <c r="K5688" s="444">
        <f t="shared" ca="1" si="211"/>
        <v>-1955258635307.8928</v>
      </c>
      <c r="L5688" s="444">
        <f t="shared" ca="1" si="212"/>
        <v>-471217331109202.19</v>
      </c>
      <c r="M5688" s="460">
        <f t="shared" si="214"/>
        <v>0.05</v>
      </c>
      <c r="N5688" s="464">
        <f t="shared" si="215"/>
        <v>224169</v>
      </c>
    </row>
    <row r="5689" spans="7:14" ht="11.25" customHeight="1" x14ac:dyDescent="0.3">
      <c r="G5689" s="459"/>
      <c r="H5689" s="459">
        <v>5682</v>
      </c>
      <c r="I5689" s="444">
        <f t="shared" ca="1" si="213"/>
        <v>-471217331109202.19</v>
      </c>
      <c r="J5689" s="444">
        <f t="array" ref="J5689">IFERROR(INDEX('Retirement Calculator'!J:J,MATCH('Isaac 401k'!N5689,'Retirement Calculator'!A:A,0),0),0)</f>
        <v>0</v>
      </c>
      <c r="K5689" s="444">
        <f t="shared" ca="1" si="211"/>
        <v>-1963405546288.342</v>
      </c>
      <c r="L5689" s="444">
        <f t="shared" ca="1" si="212"/>
        <v>-473180736655490.5</v>
      </c>
      <c r="M5689" s="460">
        <f t="shared" si="214"/>
        <v>0.05</v>
      </c>
      <c r="N5689" s="464">
        <f t="shared" si="215"/>
        <v>224200</v>
      </c>
    </row>
    <row r="5690" spans="7:14" ht="11.25" customHeight="1" x14ac:dyDescent="0.3">
      <c r="G5690" s="459"/>
      <c r="H5690" s="459">
        <v>5683</v>
      </c>
      <c r="I5690" s="444">
        <f t="shared" ca="1" si="213"/>
        <v>-473180736655490.5</v>
      </c>
      <c r="J5690" s="444">
        <f t="array" ref="J5690">IFERROR(INDEX('Retirement Calculator'!J:J,MATCH('Isaac 401k'!N5690,'Retirement Calculator'!A:A,0),0),0)</f>
        <v>0</v>
      </c>
      <c r="K5690" s="444">
        <f t="shared" ca="1" si="211"/>
        <v>-1971586402731.2107</v>
      </c>
      <c r="L5690" s="444">
        <f t="shared" ca="1" si="212"/>
        <v>-475152323058221.69</v>
      </c>
      <c r="M5690" s="460">
        <f t="shared" si="214"/>
        <v>0.05</v>
      </c>
      <c r="N5690" s="464">
        <f t="shared" si="215"/>
        <v>224230</v>
      </c>
    </row>
    <row r="5691" spans="7:14" ht="11.25" customHeight="1" x14ac:dyDescent="0.3">
      <c r="G5691" s="459"/>
      <c r="H5691" s="459">
        <v>5684</v>
      </c>
      <c r="I5691" s="444">
        <f t="shared" ca="1" si="213"/>
        <v>-475152323058221.69</v>
      </c>
      <c r="J5691" s="444">
        <f t="array" ref="J5691">IFERROR(INDEX('Retirement Calculator'!J:J,MATCH('Isaac 401k'!N5691,'Retirement Calculator'!A:A,0),0),0)</f>
        <v>0</v>
      </c>
      <c r="K5691" s="444">
        <f t="shared" ca="1" si="211"/>
        <v>-1979801346075.9238</v>
      </c>
      <c r="L5691" s="444">
        <f t="shared" ca="1" si="212"/>
        <v>-477132124404297.63</v>
      </c>
      <c r="M5691" s="460">
        <f t="shared" si="214"/>
        <v>0.05</v>
      </c>
      <c r="N5691" s="464">
        <f t="shared" si="215"/>
        <v>224261</v>
      </c>
    </row>
    <row r="5692" spans="7:14" ht="11.25" customHeight="1" x14ac:dyDescent="0.3">
      <c r="G5692" s="459"/>
      <c r="H5692" s="459">
        <v>5685</v>
      </c>
      <c r="I5692" s="444">
        <f t="shared" ca="1" si="213"/>
        <v>-477132124404297.63</v>
      </c>
      <c r="J5692" s="444">
        <f t="array" ref="J5692">IFERROR(INDEX('Retirement Calculator'!J:J,MATCH('Isaac 401k'!N5692,'Retirement Calculator'!A:A,0),0),0)</f>
        <v>0</v>
      </c>
      <c r="K5692" s="444">
        <f t="shared" ca="1" si="211"/>
        <v>-1988050518351.24</v>
      </c>
      <c r="L5692" s="444">
        <f t="shared" ca="1" si="212"/>
        <v>-479120174922648.88</v>
      </c>
      <c r="M5692" s="460">
        <f t="shared" si="214"/>
        <v>0.05</v>
      </c>
      <c r="N5692" s="464">
        <f t="shared" si="215"/>
        <v>224292</v>
      </c>
    </row>
    <row r="5693" spans="7:14" ht="11.25" customHeight="1" x14ac:dyDescent="0.3">
      <c r="G5693" s="459"/>
      <c r="H5693" s="459">
        <v>5686</v>
      </c>
      <c r="I5693" s="444">
        <f t="shared" ca="1" si="213"/>
        <v>-479120174922648.88</v>
      </c>
      <c r="J5693" s="444">
        <f t="array" ref="J5693">IFERROR(INDEX('Retirement Calculator'!J:J,MATCH('Isaac 401k'!N5693,'Retirement Calculator'!A:A,0),0),0)</f>
        <v>0</v>
      </c>
      <c r="K5693" s="444">
        <f t="shared" ca="1" si="211"/>
        <v>-1996334062177.7036</v>
      </c>
      <c r="L5693" s="444">
        <f t="shared" ca="1" si="212"/>
        <v>-481116508984826.56</v>
      </c>
      <c r="M5693" s="460">
        <f t="shared" si="214"/>
        <v>0.05</v>
      </c>
      <c r="N5693" s="464">
        <f t="shared" si="215"/>
        <v>224320</v>
      </c>
    </row>
    <row r="5694" spans="7:14" ht="11.25" customHeight="1" x14ac:dyDescent="0.3">
      <c r="G5694" s="459"/>
      <c r="H5694" s="459">
        <v>5687</v>
      </c>
      <c r="I5694" s="444">
        <f t="shared" ca="1" si="213"/>
        <v>-481116508984826.56</v>
      </c>
      <c r="J5694" s="444">
        <f t="array" ref="J5694">IFERROR(INDEX('Retirement Calculator'!J:J,MATCH('Isaac 401k'!N5694,'Retirement Calculator'!A:A,0),0),0)</f>
        <v>0</v>
      </c>
      <c r="K5694" s="444">
        <f t="shared" ca="1" si="211"/>
        <v>-2004652120770.1108</v>
      </c>
      <c r="L5694" s="444">
        <f t="shared" ca="1" si="212"/>
        <v>-483121161105596.69</v>
      </c>
      <c r="M5694" s="460">
        <f t="shared" si="214"/>
        <v>0.05</v>
      </c>
      <c r="N5694" s="464">
        <f t="shared" si="215"/>
        <v>224351</v>
      </c>
    </row>
    <row r="5695" spans="7:14" ht="11.25" customHeight="1" x14ac:dyDescent="0.3">
      <c r="G5695" s="459"/>
      <c r="H5695" s="459">
        <v>5688</v>
      </c>
      <c r="I5695" s="444">
        <f t="shared" ca="1" si="213"/>
        <v>-483121161105596.69</v>
      </c>
      <c r="J5695" s="444">
        <f t="array" ref="J5695">IFERROR(INDEX('Retirement Calculator'!J:J,MATCH('Isaac 401k'!N5695,'Retirement Calculator'!A:A,0),0),0)</f>
        <v>0</v>
      </c>
      <c r="K5695" s="444">
        <f t="shared" ca="1" si="211"/>
        <v>-2013004837939.9858</v>
      </c>
      <c r="L5695" s="444">
        <f t="shared" ca="1" si="212"/>
        <v>-485134165943536.69</v>
      </c>
      <c r="M5695" s="460">
        <f t="shared" si="214"/>
        <v>0.05</v>
      </c>
      <c r="N5695" s="464">
        <f t="shared" si="215"/>
        <v>224381</v>
      </c>
    </row>
    <row r="5696" spans="7:14" ht="11.25" customHeight="1" x14ac:dyDescent="0.3">
      <c r="G5696" s="459"/>
      <c r="H5696" s="459">
        <v>5689</v>
      </c>
      <c r="I5696" s="444">
        <f t="shared" ca="1" si="213"/>
        <v>-485134165943536.69</v>
      </c>
      <c r="J5696" s="444">
        <f t="array" ref="J5696">IFERROR(INDEX('Retirement Calculator'!J:J,MATCH('Isaac 401k'!N5696,'Retirement Calculator'!A:A,0),0),0)</f>
        <v>0</v>
      </c>
      <c r="K5696" s="444">
        <f t="shared" ca="1" si="211"/>
        <v>-2021392358098.0696</v>
      </c>
      <c r="L5696" s="444">
        <f t="shared" ca="1" si="212"/>
        <v>-487155558301634.75</v>
      </c>
      <c r="M5696" s="460">
        <f t="shared" si="214"/>
        <v>0.05</v>
      </c>
      <c r="N5696" s="464">
        <f t="shared" si="215"/>
        <v>224412</v>
      </c>
    </row>
    <row r="5697" spans="7:14" ht="11.25" customHeight="1" x14ac:dyDescent="0.3">
      <c r="G5697" s="459"/>
      <c r="H5697" s="459">
        <v>5690</v>
      </c>
      <c r="I5697" s="444">
        <f t="shared" ca="1" si="213"/>
        <v>-487155558301634.75</v>
      </c>
      <c r="J5697" s="444">
        <f t="array" ref="J5697">IFERROR(INDEX('Retirement Calculator'!J:J,MATCH('Isaac 401k'!N5697,'Retirement Calculator'!A:A,0),0),0)</f>
        <v>0</v>
      </c>
      <c r="K5697" s="444">
        <f t="shared" ca="1" si="211"/>
        <v>-2029814826256.8115</v>
      </c>
      <c r="L5697" s="444">
        <f t="shared" ca="1" si="212"/>
        <v>-489185373127891.56</v>
      </c>
      <c r="M5697" s="460">
        <f t="shared" si="214"/>
        <v>0.05</v>
      </c>
      <c r="N5697" s="464">
        <f t="shared" si="215"/>
        <v>224442</v>
      </c>
    </row>
    <row r="5698" spans="7:14" ht="11.25" customHeight="1" x14ac:dyDescent="0.3">
      <c r="G5698" s="459"/>
      <c r="H5698" s="459">
        <v>5691</v>
      </c>
      <c r="I5698" s="444">
        <f t="shared" ca="1" si="213"/>
        <v>-489185373127891.56</v>
      </c>
      <c r="J5698" s="444">
        <f t="array" ref="J5698">IFERROR(INDEX('Retirement Calculator'!J:J,MATCH('Isaac 401k'!N5698,'Retirement Calculator'!A:A,0),0),0)</f>
        <v>0</v>
      </c>
      <c r="K5698" s="444">
        <f t="shared" ca="1" si="211"/>
        <v>-2038272388032.8816</v>
      </c>
      <c r="L5698" s="444">
        <f t="shared" ca="1" si="212"/>
        <v>-491223645515924.44</v>
      </c>
      <c r="M5698" s="460">
        <f t="shared" si="214"/>
        <v>0.05</v>
      </c>
      <c r="N5698" s="464">
        <f t="shared" si="215"/>
        <v>224473</v>
      </c>
    </row>
    <row r="5699" spans="7:14" ht="11.25" customHeight="1" x14ac:dyDescent="0.3">
      <c r="G5699" s="459"/>
      <c r="H5699" s="459">
        <v>5692</v>
      </c>
      <c r="I5699" s="444">
        <f t="shared" ca="1" si="213"/>
        <v>-491223645515924.44</v>
      </c>
      <c r="J5699" s="444">
        <f t="array" ref="J5699">IFERROR(INDEX('Retirement Calculator'!J:J,MATCH('Isaac 401k'!N5699,'Retirement Calculator'!A:A,0),0),0)</f>
        <v>0</v>
      </c>
      <c r="K5699" s="444">
        <f t="shared" ca="1" si="211"/>
        <v>-2046765189649.6851</v>
      </c>
      <c r="L5699" s="444">
        <f t="shared" ca="1" si="212"/>
        <v>-493270410705574.13</v>
      </c>
      <c r="M5699" s="460">
        <f t="shared" si="214"/>
        <v>0.05</v>
      </c>
      <c r="N5699" s="464">
        <f t="shared" si="215"/>
        <v>224504</v>
      </c>
    </row>
    <row r="5700" spans="7:14" ht="11.25" customHeight="1" x14ac:dyDescent="0.3">
      <c r="G5700" s="459"/>
      <c r="H5700" s="459">
        <v>5693</v>
      </c>
      <c r="I5700" s="444">
        <f t="shared" ca="1" si="213"/>
        <v>-493270410705574.13</v>
      </c>
      <c r="J5700" s="444">
        <f t="array" ref="J5700">IFERROR(INDEX('Retirement Calculator'!J:J,MATCH('Isaac 401k'!N5700,'Retirement Calculator'!A:A,0),0),0)</f>
        <v>0</v>
      </c>
      <c r="K5700" s="444">
        <f t="shared" ca="1" si="211"/>
        <v>-2055293377939.8923</v>
      </c>
      <c r="L5700" s="444">
        <f t="shared" ca="1" si="212"/>
        <v>-495325704083514</v>
      </c>
      <c r="M5700" s="460">
        <f t="shared" si="214"/>
        <v>0.05</v>
      </c>
      <c r="N5700" s="464">
        <f t="shared" si="215"/>
        <v>224534</v>
      </c>
    </row>
    <row r="5701" spans="7:14" ht="11.25" customHeight="1" x14ac:dyDescent="0.3">
      <c r="G5701" s="459"/>
      <c r="H5701" s="459">
        <v>5694</v>
      </c>
      <c r="I5701" s="444">
        <f t="shared" ca="1" si="213"/>
        <v>-495325704083514</v>
      </c>
      <c r="J5701" s="444">
        <f t="array" ref="J5701">IFERROR(INDEX('Retirement Calculator'!J:J,MATCH('Isaac 401k'!N5701,'Retirement Calculator'!A:A,0),0),0)</f>
        <v>0</v>
      </c>
      <c r="K5701" s="444">
        <f t="shared" ca="1" si="211"/>
        <v>-2063857100347.9749</v>
      </c>
      <c r="L5701" s="444">
        <f t="shared" ca="1" si="212"/>
        <v>-497389561183862</v>
      </c>
      <c r="M5701" s="460">
        <f t="shared" si="214"/>
        <v>0.05</v>
      </c>
      <c r="N5701" s="464">
        <f t="shared" si="215"/>
        <v>224565</v>
      </c>
    </row>
    <row r="5702" spans="7:14" ht="11.25" customHeight="1" x14ac:dyDescent="0.3">
      <c r="G5702" s="459"/>
      <c r="H5702" s="459">
        <v>5695</v>
      </c>
      <c r="I5702" s="444">
        <f t="shared" ca="1" si="213"/>
        <v>-497389561183862</v>
      </c>
      <c r="J5702" s="444">
        <f t="array" ref="J5702">IFERROR(INDEX('Retirement Calculator'!J:J,MATCH('Isaac 401k'!N5702,'Retirement Calculator'!A:A,0),0),0)</f>
        <v>0</v>
      </c>
      <c r="K5702" s="444">
        <f t="shared" ca="1" si="211"/>
        <v>-2072456504932.7583</v>
      </c>
      <c r="L5702" s="444">
        <f t="shared" ca="1" si="212"/>
        <v>-499462017688794.75</v>
      </c>
      <c r="M5702" s="460">
        <f t="shared" si="214"/>
        <v>0.05</v>
      </c>
      <c r="N5702" s="464">
        <f t="shared" si="215"/>
        <v>224595</v>
      </c>
    </row>
    <row r="5703" spans="7:14" ht="11.25" customHeight="1" x14ac:dyDescent="0.3">
      <c r="G5703" s="459"/>
      <c r="H5703" s="459">
        <v>5696</v>
      </c>
      <c r="I5703" s="444">
        <f t="shared" ca="1" si="213"/>
        <v>-499462017688794.75</v>
      </c>
      <c r="J5703" s="444">
        <f t="array" ref="J5703">IFERROR(INDEX('Retirement Calculator'!J:J,MATCH('Isaac 401k'!N5703,'Retirement Calculator'!A:A,0),0),0)</f>
        <v>0</v>
      </c>
      <c r="K5703" s="444">
        <f t="shared" ca="1" si="211"/>
        <v>-2081091740369.978</v>
      </c>
      <c r="L5703" s="444">
        <f t="shared" ca="1" si="212"/>
        <v>-501543109429164.75</v>
      </c>
      <c r="M5703" s="460">
        <f t="shared" si="214"/>
        <v>0.05</v>
      </c>
      <c r="N5703" s="464">
        <f t="shared" si="215"/>
        <v>224626</v>
      </c>
    </row>
    <row r="5704" spans="7:14" ht="11.25" customHeight="1" x14ac:dyDescent="0.3">
      <c r="G5704" s="459"/>
      <c r="H5704" s="459">
        <v>5697</v>
      </c>
      <c r="I5704" s="444">
        <f t="shared" ca="1" si="213"/>
        <v>-501543109429164.75</v>
      </c>
      <c r="J5704" s="444">
        <f t="array" ref="J5704">IFERROR(INDEX('Retirement Calculator'!J:J,MATCH('Isaac 401k'!N5704,'Retirement Calculator'!A:A,0),0),0)</f>
        <v>0</v>
      </c>
      <c r="K5704" s="444">
        <f t="shared" ca="1" si="211"/>
        <v>-2089762955954.853</v>
      </c>
      <c r="L5704" s="444">
        <f t="shared" ca="1" si="212"/>
        <v>-503632872385119.63</v>
      </c>
      <c r="M5704" s="460">
        <f t="shared" si="214"/>
        <v>0.05</v>
      </c>
      <c r="N5704" s="464">
        <f t="shared" si="215"/>
        <v>224657</v>
      </c>
    </row>
    <row r="5705" spans="7:14" ht="11.25" customHeight="1" x14ac:dyDescent="0.3">
      <c r="G5705" s="459"/>
      <c r="H5705" s="459">
        <v>5698</v>
      </c>
      <c r="I5705" s="444">
        <f t="shared" ca="1" si="213"/>
        <v>-503632872385119.63</v>
      </c>
      <c r="J5705" s="444">
        <f t="array" ref="J5705">IFERROR(INDEX('Retirement Calculator'!J:J,MATCH('Isaac 401k'!N5705,'Retirement Calculator'!A:A,0),0),0)</f>
        <v>0</v>
      </c>
      <c r="K5705" s="444">
        <f t="shared" ca="1" si="211"/>
        <v>-2098470301604.665</v>
      </c>
      <c r="L5705" s="444">
        <f t="shared" ca="1" si="212"/>
        <v>-505731342686724.31</v>
      </c>
      <c r="M5705" s="460">
        <f t="shared" si="214"/>
        <v>0.05</v>
      </c>
      <c r="N5705" s="464">
        <f t="shared" si="215"/>
        <v>224685</v>
      </c>
    </row>
    <row r="5706" spans="7:14" ht="11.25" customHeight="1" x14ac:dyDescent="0.3">
      <c r="G5706" s="459"/>
      <c r="H5706" s="459">
        <v>5699</v>
      </c>
      <c r="I5706" s="444">
        <f t="shared" ca="1" si="213"/>
        <v>-505731342686724.31</v>
      </c>
      <c r="J5706" s="444">
        <f t="array" ref="J5706">IFERROR(INDEX('Retirement Calculator'!J:J,MATCH('Isaac 401k'!N5706,'Retirement Calculator'!A:A,0),0),0)</f>
        <v>0</v>
      </c>
      <c r="K5706" s="444">
        <f t="shared" ca="1" si="211"/>
        <v>-2107213927861.3516</v>
      </c>
      <c r="L5706" s="444">
        <f t="shared" ca="1" si="212"/>
        <v>-507838556614585.69</v>
      </c>
      <c r="M5706" s="460">
        <f t="shared" si="214"/>
        <v>0.05</v>
      </c>
      <c r="N5706" s="464">
        <f t="shared" si="215"/>
        <v>224716</v>
      </c>
    </row>
    <row r="5707" spans="7:14" ht="11.25" customHeight="1" x14ac:dyDescent="0.3">
      <c r="G5707" s="459"/>
      <c r="H5707" s="459">
        <v>5700</v>
      </c>
      <c r="I5707" s="444">
        <f t="shared" ca="1" si="213"/>
        <v>-507838556614585.69</v>
      </c>
      <c r="J5707" s="444">
        <f t="array" ref="J5707">IFERROR(INDEX('Retirement Calculator'!J:J,MATCH('Isaac 401k'!N5707,'Retirement Calculator'!A:A,0),0),0)</f>
        <v>0</v>
      </c>
      <c r="K5707" s="444">
        <f t="shared" ca="1" si="211"/>
        <v>-2115993985894.1069</v>
      </c>
      <c r="L5707" s="444">
        <f t="shared" ca="1" si="212"/>
        <v>-509954550600479.81</v>
      </c>
      <c r="M5707" s="460">
        <f t="shared" si="214"/>
        <v>0.05</v>
      </c>
      <c r="N5707" s="464">
        <f t="shared" si="215"/>
        <v>224746</v>
      </c>
    </row>
    <row r="5708" spans="7:14" ht="11.25" customHeight="1" x14ac:dyDescent="0.3">
      <c r="G5708" s="459"/>
      <c r="H5708" s="459">
        <v>5701</v>
      </c>
      <c r="I5708" s="444">
        <f t="shared" ca="1" si="213"/>
        <v>-509954550600479.81</v>
      </c>
      <c r="J5708" s="444">
        <f t="array" ref="J5708">IFERROR(INDEX('Retirement Calculator'!J:J,MATCH('Isaac 401k'!N5708,'Retirement Calculator'!A:A,0),0),0)</f>
        <v>0</v>
      </c>
      <c r="K5708" s="444">
        <f t="shared" ca="1" si="211"/>
        <v>-2124810627501.9993</v>
      </c>
      <c r="L5708" s="444">
        <f t="shared" ca="1" si="212"/>
        <v>-512079361227981.81</v>
      </c>
      <c r="M5708" s="460">
        <f t="shared" si="214"/>
        <v>0.05</v>
      </c>
      <c r="N5708" s="464">
        <f t="shared" si="215"/>
        <v>224777</v>
      </c>
    </row>
    <row r="5709" spans="7:14" ht="11.25" customHeight="1" x14ac:dyDescent="0.3">
      <c r="G5709" s="459"/>
      <c r="H5709" s="459">
        <v>5702</v>
      </c>
      <c r="I5709" s="444">
        <f t="shared" ca="1" si="213"/>
        <v>-512079361227981.81</v>
      </c>
      <c r="J5709" s="444">
        <f t="array" ref="J5709">IFERROR(INDEX('Retirement Calculator'!J:J,MATCH('Isaac 401k'!N5709,'Retirement Calculator'!A:A,0),0),0)</f>
        <v>0</v>
      </c>
      <c r="K5709" s="444">
        <f t="shared" ca="1" si="211"/>
        <v>-2133664005116.5908</v>
      </c>
      <c r="L5709" s="444">
        <f t="shared" ca="1" si="212"/>
        <v>-514213025233098.38</v>
      </c>
      <c r="M5709" s="460">
        <f t="shared" si="214"/>
        <v>0.05</v>
      </c>
      <c r="N5709" s="464">
        <f t="shared" si="215"/>
        <v>224807</v>
      </c>
    </row>
    <row r="5710" spans="7:14" ht="11.25" customHeight="1" x14ac:dyDescent="0.3">
      <c r="G5710" s="459"/>
      <c r="H5710" s="459">
        <v>5703</v>
      </c>
      <c r="I5710" s="444">
        <f t="shared" ca="1" si="213"/>
        <v>-514213025233098.38</v>
      </c>
      <c r="J5710" s="444">
        <f t="array" ref="J5710">IFERROR(INDEX('Retirement Calculator'!J:J,MATCH('Isaac 401k'!N5710,'Retirement Calculator'!A:A,0),0),0)</f>
        <v>0</v>
      </c>
      <c r="K5710" s="444">
        <f t="shared" ca="1" si="211"/>
        <v>-2142554271804.5764</v>
      </c>
      <c r="L5710" s="444">
        <f t="shared" ca="1" si="212"/>
        <v>-516355579504902.94</v>
      </c>
      <c r="M5710" s="460">
        <f t="shared" si="214"/>
        <v>0.05</v>
      </c>
      <c r="N5710" s="464">
        <f t="shared" si="215"/>
        <v>224838</v>
      </c>
    </row>
    <row r="5711" spans="7:14" ht="11.25" customHeight="1" x14ac:dyDescent="0.3">
      <c r="G5711" s="459"/>
      <c r="H5711" s="459">
        <v>5704</v>
      </c>
      <c r="I5711" s="444">
        <f t="shared" ca="1" si="213"/>
        <v>-516355579504902.94</v>
      </c>
      <c r="J5711" s="444">
        <f t="array" ref="J5711">IFERROR(INDEX('Retirement Calculator'!J:J,MATCH('Isaac 401k'!N5711,'Retirement Calculator'!A:A,0),0),0)</f>
        <v>0</v>
      </c>
      <c r="K5711" s="444">
        <f t="shared" ca="1" si="211"/>
        <v>-2151481581270.429</v>
      </c>
      <c r="L5711" s="444">
        <f t="shared" ca="1" si="212"/>
        <v>-518507061086173.38</v>
      </c>
      <c r="M5711" s="460">
        <f t="shared" si="214"/>
        <v>0.05</v>
      </c>
      <c r="N5711" s="464">
        <f t="shared" si="215"/>
        <v>224869</v>
      </c>
    </row>
    <row r="5712" spans="7:14" ht="11.25" customHeight="1" x14ac:dyDescent="0.3">
      <c r="G5712" s="459"/>
      <c r="H5712" s="459">
        <v>5705</v>
      </c>
      <c r="I5712" s="444">
        <f t="shared" ca="1" si="213"/>
        <v>-518507061086173.38</v>
      </c>
      <c r="J5712" s="444">
        <f t="array" ref="J5712">IFERROR(INDEX('Retirement Calculator'!J:J,MATCH('Isaac 401k'!N5712,'Retirement Calculator'!A:A,0),0),0)</f>
        <v>0</v>
      </c>
      <c r="K5712" s="444">
        <f t="shared" ca="1" si="211"/>
        <v>-2160446087859.0557</v>
      </c>
      <c r="L5712" s="444">
        <f t="shared" ca="1" si="212"/>
        <v>-520667507174032.44</v>
      </c>
      <c r="M5712" s="460">
        <f t="shared" si="214"/>
        <v>0.05</v>
      </c>
      <c r="N5712" s="464">
        <f t="shared" si="215"/>
        <v>224899</v>
      </c>
    </row>
    <row r="5713" spans="7:14" ht="11.25" customHeight="1" x14ac:dyDescent="0.3">
      <c r="G5713" s="459"/>
      <c r="H5713" s="459">
        <v>5706</v>
      </c>
      <c r="I5713" s="444">
        <f t="shared" ca="1" si="213"/>
        <v>-520667507174032.44</v>
      </c>
      <c r="J5713" s="444">
        <f t="array" ref="J5713">IFERROR(INDEX('Retirement Calculator'!J:J,MATCH('Isaac 401k'!N5713,'Retirement Calculator'!A:A,0),0),0)</f>
        <v>0</v>
      </c>
      <c r="K5713" s="444">
        <f t="shared" ca="1" si="211"/>
        <v>-2169447946558.4685</v>
      </c>
      <c r="L5713" s="444">
        <f t="shared" ca="1" si="212"/>
        <v>-522836955120590.88</v>
      </c>
      <c r="M5713" s="460">
        <f t="shared" si="214"/>
        <v>0.05</v>
      </c>
      <c r="N5713" s="464">
        <f t="shared" si="215"/>
        <v>224930</v>
      </c>
    </row>
    <row r="5714" spans="7:14" ht="11.25" customHeight="1" x14ac:dyDescent="0.3">
      <c r="G5714" s="459"/>
      <c r="H5714" s="459">
        <v>5707</v>
      </c>
      <c r="I5714" s="444">
        <f t="shared" ca="1" si="213"/>
        <v>-522836955120590.88</v>
      </c>
      <c r="J5714" s="444">
        <f t="array" ref="J5714">IFERROR(INDEX('Retirement Calculator'!J:J,MATCH('Isaac 401k'!N5714,'Retirement Calculator'!A:A,0),0),0)</f>
        <v>0</v>
      </c>
      <c r="K5714" s="444">
        <f t="shared" ca="1" si="211"/>
        <v>-2178487313002.4619</v>
      </c>
      <c r="L5714" s="444">
        <f t="shared" ca="1" si="212"/>
        <v>-525015442433593.31</v>
      </c>
      <c r="M5714" s="460">
        <f t="shared" si="214"/>
        <v>0.05</v>
      </c>
      <c r="N5714" s="464">
        <f t="shared" si="215"/>
        <v>224960</v>
      </c>
    </row>
    <row r="5715" spans="7:14" ht="11.25" customHeight="1" x14ac:dyDescent="0.3">
      <c r="G5715" s="459"/>
      <c r="H5715" s="459">
        <v>5708</v>
      </c>
      <c r="I5715" s="444">
        <f t="shared" ca="1" si="213"/>
        <v>-525015442433593.31</v>
      </c>
      <c r="J5715" s="444">
        <f t="array" ref="J5715">IFERROR(INDEX('Retirement Calculator'!J:J,MATCH('Isaac 401k'!N5715,'Retirement Calculator'!A:A,0),0),0)</f>
        <v>0</v>
      </c>
      <c r="K5715" s="444">
        <f t="shared" ca="1" si="211"/>
        <v>-2187564343473.3054</v>
      </c>
      <c r="L5715" s="444">
        <f t="shared" ca="1" si="212"/>
        <v>-527203006777066.63</v>
      </c>
      <c r="M5715" s="460">
        <f t="shared" si="214"/>
        <v>0.05</v>
      </c>
      <c r="N5715" s="464">
        <f t="shared" si="215"/>
        <v>224991</v>
      </c>
    </row>
    <row r="5716" spans="7:14" ht="11.25" customHeight="1" x14ac:dyDescent="0.3">
      <c r="G5716" s="459"/>
      <c r="H5716" s="459">
        <v>5709</v>
      </c>
      <c r="I5716" s="444">
        <f t="shared" ca="1" si="213"/>
        <v>-527203006777066.63</v>
      </c>
      <c r="J5716" s="444">
        <f t="array" ref="J5716">IFERROR(INDEX('Retirement Calculator'!J:J,MATCH('Isaac 401k'!N5716,'Retirement Calculator'!A:A,0),0),0)</f>
        <v>0</v>
      </c>
      <c r="K5716" s="444">
        <f t="shared" ca="1" si="211"/>
        <v>-2196679194904.4443</v>
      </c>
      <c r="L5716" s="444">
        <f t="shared" ca="1" si="212"/>
        <v>-529399685971971.06</v>
      </c>
      <c r="M5716" s="460">
        <f t="shared" si="214"/>
        <v>0.05</v>
      </c>
      <c r="N5716" s="464">
        <f t="shared" si="215"/>
        <v>225022</v>
      </c>
    </row>
    <row r="5717" spans="7:14" ht="11.25" customHeight="1" x14ac:dyDescent="0.3">
      <c r="G5717" s="459"/>
      <c r="H5717" s="459">
        <v>5710</v>
      </c>
      <c r="I5717" s="444">
        <f t="shared" ca="1" si="213"/>
        <v>-529399685971971.06</v>
      </c>
      <c r="J5717" s="444">
        <f t="array" ref="J5717">IFERROR(INDEX('Retirement Calculator'!J:J,MATCH('Isaac 401k'!N5717,'Retirement Calculator'!A:A,0),0),0)</f>
        <v>0</v>
      </c>
      <c r="K5717" s="444">
        <f t="shared" ca="1" si="211"/>
        <v>-2205832024883.2129</v>
      </c>
      <c r="L5717" s="444">
        <f t="shared" ca="1" si="212"/>
        <v>-531605517996854.25</v>
      </c>
      <c r="M5717" s="460">
        <f t="shared" si="214"/>
        <v>0.05</v>
      </c>
      <c r="N5717" s="464">
        <f t="shared" si="215"/>
        <v>225051</v>
      </c>
    </row>
    <row r="5718" spans="7:14" ht="11.25" customHeight="1" x14ac:dyDescent="0.3">
      <c r="G5718" s="459"/>
      <c r="H5718" s="459">
        <v>5711</v>
      </c>
      <c r="I5718" s="444">
        <f t="shared" ca="1" si="213"/>
        <v>-531605517996854.25</v>
      </c>
      <c r="J5718" s="444">
        <f t="array" ref="J5718">IFERROR(INDEX('Retirement Calculator'!J:J,MATCH('Isaac 401k'!N5718,'Retirement Calculator'!A:A,0),0),0)</f>
        <v>0</v>
      </c>
      <c r="K5718" s="444">
        <f t="shared" ca="1" si="211"/>
        <v>-2215022991653.5596</v>
      </c>
      <c r="L5718" s="444">
        <f t="shared" ca="1" si="212"/>
        <v>-533820540988507.81</v>
      </c>
      <c r="M5718" s="460">
        <f t="shared" si="214"/>
        <v>0.05</v>
      </c>
      <c r="N5718" s="464">
        <f t="shared" si="215"/>
        <v>225082</v>
      </c>
    </row>
    <row r="5719" spans="7:14" ht="11.25" customHeight="1" x14ac:dyDescent="0.3">
      <c r="G5719" s="459"/>
      <c r="H5719" s="459">
        <v>5712</v>
      </c>
      <c r="I5719" s="444">
        <f t="shared" ca="1" si="213"/>
        <v>-533820540988507.81</v>
      </c>
      <c r="J5719" s="444">
        <f t="array" ref="J5719">IFERROR(INDEX('Retirement Calculator'!J:J,MATCH('Isaac 401k'!N5719,'Retirement Calculator'!A:A,0),0),0)</f>
        <v>0</v>
      </c>
      <c r="K5719" s="444">
        <f t="shared" ca="1" si="211"/>
        <v>-2224252254118.7822</v>
      </c>
      <c r="L5719" s="444">
        <f t="shared" ca="1" si="212"/>
        <v>-536044793242626.63</v>
      </c>
      <c r="M5719" s="460">
        <f t="shared" si="214"/>
        <v>0.05</v>
      </c>
      <c r="N5719" s="464">
        <f t="shared" si="215"/>
        <v>225112</v>
      </c>
    </row>
    <row r="5720" spans="7:14" ht="11.25" customHeight="1" x14ac:dyDescent="0.3">
      <c r="G5720" s="459"/>
      <c r="H5720" s="459">
        <v>5713</v>
      </c>
      <c r="I5720" s="444">
        <f t="shared" ca="1" si="213"/>
        <v>-536044793242626.63</v>
      </c>
      <c r="J5720" s="444">
        <f t="array" ref="J5720">IFERROR(INDEX('Retirement Calculator'!J:J,MATCH('Isaac 401k'!N5720,'Retirement Calculator'!A:A,0),0),0)</f>
        <v>0</v>
      </c>
      <c r="K5720" s="444">
        <f t="shared" ca="1" si="211"/>
        <v>-2233519971844.2773</v>
      </c>
      <c r="L5720" s="444">
        <f t="shared" ca="1" si="212"/>
        <v>-538278313214470.88</v>
      </c>
      <c r="M5720" s="460">
        <f t="shared" si="214"/>
        <v>0.05</v>
      </c>
      <c r="N5720" s="464">
        <f t="shared" si="215"/>
        <v>225143</v>
      </c>
    </row>
    <row r="5721" spans="7:14" ht="11.25" customHeight="1" x14ac:dyDescent="0.3">
      <c r="G5721" s="459"/>
      <c r="H5721" s="459">
        <v>5714</v>
      </c>
      <c r="I5721" s="444">
        <f t="shared" ca="1" si="213"/>
        <v>-538278313214470.88</v>
      </c>
      <c r="J5721" s="444">
        <f t="array" ref="J5721">IFERROR(INDEX('Retirement Calculator'!J:J,MATCH('Isaac 401k'!N5721,'Retirement Calculator'!A:A,0),0),0)</f>
        <v>0</v>
      </c>
      <c r="K5721" s="444">
        <f t="shared" ca="1" si="211"/>
        <v>-2242826305060.2949</v>
      </c>
      <c r="L5721" s="444">
        <f t="shared" ca="1" si="212"/>
        <v>-540521139519531.19</v>
      </c>
      <c r="M5721" s="460">
        <f t="shared" si="214"/>
        <v>0.05</v>
      </c>
      <c r="N5721" s="464">
        <f t="shared" si="215"/>
        <v>225173</v>
      </c>
    </row>
    <row r="5722" spans="7:14" ht="11.25" customHeight="1" x14ac:dyDescent="0.3">
      <c r="G5722" s="459"/>
      <c r="H5722" s="459">
        <v>5715</v>
      </c>
      <c r="I5722" s="444">
        <f t="shared" ca="1" si="213"/>
        <v>-540521139519531.19</v>
      </c>
      <c r="J5722" s="444">
        <f t="array" ref="J5722">IFERROR(INDEX('Retirement Calculator'!J:J,MATCH('Isaac 401k'!N5722,'Retirement Calculator'!A:A,0),0),0)</f>
        <v>0</v>
      </c>
      <c r="K5722" s="444">
        <f t="shared" ca="1" si="211"/>
        <v>-2252171414664.7134</v>
      </c>
      <c r="L5722" s="444">
        <f t="shared" ca="1" si="212"/>
        <v>-542773310934195.88</v>
      </c>
      <c r="M5722" s="460">
        <f t="shared" si="214"/>
        <v>0.05</v>
      </c>
      <c r="N5722" s="464">
        <f t="shared" si="215"/>
        <v>225204</v>
      </c>
    </row>
    <row r="5723" spans="7:14" ht="11.25" customHeight="1" x14ac:dyDescent="0.3">
      <c r="G5723" s="459"/>
      <c r="H5723" s="459">
        <v>5716</v>
      </c>
      <c r="I5723" s="444">
        <f t="shared" ca="1" si="213"/>
        <v>-542773310934195.88</v>
      </c>
      <c r="J5723" s="444">
        <f t="array" ref="J5723">IFERROR(INDEX('Retirement Calculator'!J:J,MATCH('Isaac 401k'!N5723,'Retirement Calculator'!A:A,0),0),0)</f>
        <v>0</v>
      </c>
      <c r="K5723" s="444">
        <f t="shared" ca="1" si="211"/>
        <v>-2261555462225.8164</v>
      </c>
      <c r="L5723" s="444">
        <f t="shared" ca="1" si="212"/>
        <v>-545034866396421.69</v>
      </c>
      <c r="M5723" s="460">
        <f t="shared" si="214"/>
        <v>0.05</v>
      </c>
      <c r="N5723" s="464">
        <f t="shared" si="215"/>
        <v>225235</v>
      </c>
    </row>
    <row r="5724" spans="7:14" ht="11.25" customHeight="1" x14ac:dyDescent="0.3">
      <c r="G5724" s="459"/>
      <c r="H5724" s="459">
        <v>5717</v>
      </c>
      <c r="I5724" s="444">
        <f t="shared" ca="1" si="213"/>
        <v>-545034866396421.69</v>
      </c>
      <c r="J5724" s="444">
        <f t="array" ref="J5724">IFERROR(INDEX('Retirement Calculator'!J:J,MATCH('Isaac 401k'!N5724,'Retirement Calculator'!A:A,0),0),0)</f>
        <v>0</v>
      </c>
      <c r="K5724" s="444">
        <f t="shared" ca="1" si="211"/>
        <v>-2270978609985.0903</v>
      </c>
      <c r="L5724" s="444">
        <f t="shared" ca="1" si="212"/>
        <v>-547305845006406.75</v>
      </c>
      <c r="M5724" s="460">
        <f t="shared" si="214"/>
        <v>0.05</v>
      </c>
      <c r="N5724" s="464">
        <f t="shared" si="215"/>
        <v>225265</v>
      </c>
    </row>
    <row r="5725" spans="7:14" ht="11.25" customHeight="1" x14ac:dyDescent="0.3">
      <c r="G5725" s="459"/>
      <c r="H5725" s="459">
        <v>5718</v>
      </c>
      <c r="I5725" s="444">
        <f t="shared" ca="1" si="213"/>
        <v>-547305845006406.75</v>
      </c>
      <c r="J5725" s="444">
        <f t="array" ref="J5725">IFERROR(INDEX('Retirement Calculator'!J:J,MATCH('Isaac 401k'!N5725,'Retirement Calculator'!A:A,0),0),0)</f>
        <v>0</v>
      </c>
      <c r="K5725" s="444">
        <f t="shared" ca="1" si="211"/>
        <v>-2280441020860.0283</v>
      </c>
      <c r="L5725" s="444">
        <f t="shared" ca="1" si="212"/>
        <v>-549586286027266.75</v>
      </c>
      <c r="M5725" s="460">
        <f t="shared" si="214"/>
        <v>0.05</v>
      </c>
      <c r="N5725" s="464">
        <f t="shared" si="215"/>
        <v>225296</v>
      </c>
    </row>
    <row r="5726" spans="7:14" ht="11.25" customHeight="1" x14ac:dyDescent="0.3">
      <c r="G5726" s="459"/>
      <c r="H5726" s="459">
        <v>5719</v>
      </c>
      <c r="I5726" s="444">
        <f t="shared" ca="1" si="213"/>
        <v>-549586286027266.75</v>
      </c>
      <c r="J5726" s="444">
        <f t="array" ref="J5726">IFERROR(INDEX('Retirement Calculator'!J:J,MATCH('Isaac 401k'!N5726,'Retirement Calculator'!A:A,0),0),0)</f>
        <v>0</v>
      </c>
      <c r="K5726" s="444">
        <f t="shared" ca="1" si="211"/>
        <v>-2289942858446.9448</v>
      </c>
      <c r="L5726" s="444">
        <f t="shared" ca="1" si="212"/>
        <v>-551876228885713.69</v>
      </c>
      <c r="M5726" s="460">
        <f t="shared" si="214"/>
        <v>0.05</v>
      </c>
      <c r="N5726" s="464">
        <f t="shared" si="215"/>
        <v>225326</v>
      </c>
    </row>
    <row r="5727" spans="7:14" ht="11.25" customHeight="1" x14ac:dyDescent="0.3">
      <c r="G5727" s="459"/>
      <c r="H5727" s="459">
        <v>5720</v>
      </c>
      <c r="I5727" s="444">
        <f t="shared" ca="1" si="213"/>
        <v>-551876228885713.69</v>
      </c>
      <c r="J5727" s="444">
        <f t="array" ref="J5727">IFERROR(INDEX('Retirement Calculator'!J:J,MATCH('Isaac 401k'!N5727,'Retirement Calculator'!A:A,0),0),0)</f>
        <v>0</v>
      </c>
      <c r="K5727" s="444">
        <f t="shared" ca="1" si="211"/>
        <v>-2299484287023.8071</v>
      </c>
      <c r="L5727" s="444">
        <f t="shared" ca="1" si="212"/>
        <v>-554175713172737.5</v>
      </c>
      <c r="M5727" s="460">
        <f t="shared" si="214"/>
        <v>0.05</v>
      </c>
      <c r="N5727" s="464">
        <f t="shared" si="215"/>
        <v>225357</v>
      </c>
    </row>
    <row r="5728" spans="7:14" ht="11.25" customHeight="1" x14ac:dyDescent="0.3">
      <c r="G5728" s="459"/>
      <c r="H5728" s="459">
        <v>5721</v>
      </c>
      <c r="I5728" s="444">
        <f t="shared" ca="1" si="213"/>
        <v>-554175713172737.5</v>
      </c>
      <c r="J5728" s="444">
        <f t="array" ref="J5728">IFERROR(INDEX('Retirement Calculator'!J:J,MATCH('Isaac 401k'!N5728,'Retirement Calculator'!A:A,0),0),0)</f>
        <v>0</v>
      </c>
      <c r="K5728" s="444">
        <f t="shared" ca="1" si="211"/>
        <v>-2309065471553.0728</v>
      </c>
      <c r="L5728" s="444">
        <f t="shared" ca="1" si="212"/>
        <v>-556484778644290.56</v>
      </c>
      <c r="M5728" s="460">
        <f t="shared" si="214"/>
        <v>0.05</v>
      </c>
      <c r="N5728" s="464">
        <f t="shared" si="215"/>
        <v>225388</v>
      </c>
    </row>
    <row r="5729" spans="7:14" ht="11.25" customHeight="1" x14ac:dyDescent="0.3">
      <c r="G5729" s="459"/>
      <c r="H5729" s="459">
        <v>5722</v>
      </c>
      <c r="I5729" s="444">
        <f t="shared" ca="1" si="213"/>
        <v>-556484778644290.56</v>
      </c>
      <c r="J5729" s="444">
        <f t="array" ref="J5729">IFERROR(INDEX('Retirement Calculator'!J:J,MATCH('Isaac 401k'!N5729,'Retirement Calculator'!A:A,0),0),0)</f>
        <v>0</v>
      </c>
      <c r="K5729" s="444">
        <f t="shared" ca="1" si="211"/>
        <v>-2318686577684.5439</v>
      </c>
      <c r="L5729" s="444">
        <f t="shared" ca="1" si="212"/>
        <v>-558803465221975.13</v>
      </c>
      <c r="M5729" s="460">
        <f t="shared" si="214"/>
        <v>0.05</v>
      </c>
      <c r="N5729" s="464">
        <f t="shared" si="215"/>
        <v>225416</v>
      </c>
    </row>
    <row r="5730" spans="7:14" ht="11.25" customHeight="1" x14ac:dyDescent="0.3">
      <c r="G5730" s="459"/>
      <c r="H5730" s="459">
        <v>5723</v>
      </c>
      <c r="I5730" s="444">
        <f t="shared" ca="1" si="213"/>
        <v>-558803465221975.13</v>
      </c>
      <c r="J5730" s="444">
        <f t="array" ref="J5730">IFERROR(INDEX('Retirement Calculator'!J:J,MATCH('Isaac 401k'!N5730,'Retirement Calculator'!A:A,0),0),0)</f>
        <v>0</v>
      </c>
      <c r="K5730" s="444">
        <f t="shared" ca="1" si="211"/>
        <v>-2328347771758.2295</v>
      </c>
      <c r="L5730" s="444">
        <f t="shared" ca="1" si="212"/>
        <v>-561131812993733.38</v>
      </c>
      <c r="M5730" s="460">
        <f t="shared" si="214"/>
        <v>0.05</v>
      </c>
      <c r="N5730" s="464">
        <f t="shared" si="215"/>
        <v>225447</v>
      </c>
    </row>
    <row r="5731" spans="7:14" ht="11.25" customHeight="1" x14ac:dyDescent="0.3">
      <c r="G5731" s="459"/>
      <c r="H5731" s="459">
        <v>5724</v>
      </c>
      <c r="I5731" s="444">
        <f t="shared" ca="1" si="213"/>
        <v>-561131812993733.38</v>
      </c>
      <c r="J5731" s="444">
        <f t="array" ref="J5731">IFERROR(INDEX('Retirement Calculator'!J:J,MATCH('Isaac 401k'!N5731,'Retirement Calculator'!A:A,0),0),0)</f>
        <v>0</v>
      </c>
      <c r="K5731" s="444">
        <f t="shared" ca="1" si="211"/>
        <v>-2338049220807.2222</v>
      </c>
      <c r="L5731" s="444">
        <f t="shared" ca="1" si="212"/>
        <v>-563469862214540.63</v>
      </c>
      <c r="M5731" s="460">
        <f t="shared" si="214"/>
        <v>0.05</v>
      </c>
      <c r="N5731" s="464">
        <f t="shared" si="215"/>
        <v>225477</v>
      </c>
    </row>
    <row r="5732" spans="7:14" ht="11.25" customHeight="1" x14ac:dyDescent="0.3">
      <c r="G5732" s="459"/>
      <c r="H5732" s="459">
        <v>5725</v>
      </c>
      <c r="I5732" s="444">
        <f t="shared" ca="1" si="213"/>
        <v>-563469862214540.63</v>
      </c>
      <c r="J5732" s="444">
        <f t="array" ref="J5732">IFERROR(INDEX('Retirement Calculator'!J:J,MATCH('Isaac 401k'!N5732,'Retirement Calculator'!A:A,0),0),0)</f>
        <v>0</v>
      </c>
      <c r="K5732" s="444">
        <f t="shared" ca="1" si="211"/>
        <v>-2347791092560.5859</v>
      </c>
      <c r="L5732" s="444">
        <f t="shared" ca="1" si="212"/>
        <v>-565817653307101.25</v>
      </c>
      <c r="M5732" s="460">
        <f t="shared" si="214"/>
        <v>0.05</v>
      </c>
      <c r="N5732" s="464">
        <f t="shared" si="215"/>
        <v>225508</v>
      </c>
    </row>
    <row r="5733" spans="7:14" ht="11.25" customHeight="1" x14ac:dyDescent="0.3">
      <c r="G5733" s="459"/>
      <c r="H5733" s="459">
        <v>5726</v>
      </c>
      <c r="I5733" s="444">
        <f t="shared" ca="1" si="213"/>
        <v>-565817653307101.25</v>
      </c>
      <c r="J5733" s="444">
        <f t="array" ref="J5733">IFERROR(INDEX('Retirement Calculator'!J:J,MATCH('Isaac 401k'!N5733,'Retirement Calculator'!A:A,0),0),0)</f>
        <v>0</v>
      </c>
      <c r="K5733" s="444">
        <f t="shared" ca="1" si="211"/>
        <v>-2357573555446.2554</v>
      </c>
      <c r="L5733" s="444">
        <f t="shared" ca="1" si="212"/>
        <v>-568175226862547.5</v>
      </c>
      <c r="M5733" s="460">
        <f t="shared" si="214"/>
        <v>0.05</v>
      </c>
      <c r="N5733" s="464">
        <f t="shared" si="215"/>
        <v>225538</v>
      </c>
    </row>
    <row r="5734" spans="7:14" ht="11.25" customHeight="1" x14ac:dyDescent="0.3">
      <c r="G5734" s="459"/>
      <c r="H5734" s="459">
        <v>5727</v>
      </c>
      <c r="I5734" s="444">
        <f t="shared" ca="1" si="213"/>
        <v>-568175226862547.5</v>
      </c>
      <c r="J5734" s="444">
        <f t="array" ref="J5734">IFERROR(INDEX('Retirement Calculator'!J:J,MATCH('Isaac 401k'!N5734,'Retirement Calculator'!A:A,0),0),0)</f>
        <v>0</v>
      </c>
      <c r="K5734" s="444">
        <f t="shared" ca="1" si="211"/>
        <v>-2367396778593.9478</v>
      </c>
      <c r="L5734" s="444">
        <f t="shared" ca="1" si="212"/>
        <v>-570542623641141.5</v>
      </c>
      <c r="M5734" s="460">
        <f t="shared" si="214"/>
        <v>0.05</v>
      </c>
      <c r="N5734" s="464">
        <f t="shared" si="215"/>
        <v>225569</v>
      </c>
    </row>
    <row r="5735" spans="7:14" ht="11.25" customHeight="1" x14ac:dyDescent="0.3">
      <c r="G5735" s="459"/>
      <c r="H5735" s="459">
        <v>5728</v>
      </c>
      <c r="I5735" s="444">
        <f t="shared" ca="1" si="213"/>
        <v>-570542623641141.5</v>
      </c>
      <c r="J5735" s="444">
        <f t="array" ref="J5735">IFERROR(INDEX('Retirement Calculator'!J:J,MATCH('Isaac 401k'!N5735,'Retirement Calculator'!A:A,0),0),0)</f>
        <v>0</v>
      </c>
      <c r="K5735" s="444">
        <f t="shared" ca="1" si="211"/>
        <v>-2377260931838.0894</v>
      </c>
      <c r="L5735" s="444">
        <f t="shared" ca="1" si="212"/>
        <v>-572919884572979.63</v>
      </c>
      <c r="M5735" s="460">
        <f t="shared" si="214"/>
        <v>0.05</v>
      </c>
      <c r="N5735" s="464">
        <f t="shared" si="215"/>
        <v>225600</v>
      </c>
    </row>
    <row r="5736" spans="7:14" ht="11.25" customHeight="1" x14ac:dyDescent="0.3">
      <c r="G5736" s="459"/>
      <c r="H5736" s="459">
        <v>5729</v>
      </c>
      <c r="I5736" s="444">
        <f t="shared" ca="1" si="213"/>
        <v>-572919884572979.63</v>
      </c>
      <c r="J5736" s="444">
        <f t="array" ref="J5736">IFERROR(INDEX('Retirement Calculator'!J:J,MATCH('Isaac 401k'!N5736,'Retirement Calculator'!A:A,0),0),0)</f>
        <v>0</v>
      </c>
      <c r="K5736" s="444">
        <f t="shared" ca="1" si="211"/>
        <v>-2387166185720.7485</v>
      </c>
      <c r="L5736" s="444">
        <f t="shared" ca="1" si="212"/>
        <v>-575307050758700.38</v>
      </c>
      <c r="M5736" s="460">
        <f t="shared" si="214"/>
        <v>0.05</v>
      </c>
      <c r="N5736" s="464">
        <f t="shared" si="215"/>
        <v>225630</v>
      </c>
    </row>
    <row r="5737" spans="7:14" ht="11.25" customHeight="1" x14ac:dyDescent="0.3">
      <c r="G5737" s="459"/>
      <c r="H5737" s="459">
        <v>5730</v>
      </c>
      <c r="I5737" s="444">
        <f t="shared" ca="1" si="213"/>
        <v>-575307050758700.38</v>
      </c>
      <c r="J5737" s="444">
        <f t="array" ref="J5737">IFERROR(INDEX('Retirement Calculator'!J:J,MATCH('Isaac 401k'!N5737,'Retirement Calculator'!A:A,0),0),0)</f>
        <v>0</v>
      </c>
      <c r="K5737" s="444">
        <f t="shared" ca="1" si="211"/>
        <v>-2397112711494.585</v>
      </c>
      <c r="L5737" s="444">
        <f t="shared" ca="1" si="212"/>
        <v>-577704163470195</v>
      </c>
      <c r="M5737" s="460">
        <f t="shared" si="214"/>
        <v>0.05</v>
      </c>
      <c r="N5737" s="464">
        <f t="shared" si="215"/>
        <v>225661</v>
      </c>
    </row>
    <row r="5738" spans="7:14" ht="11.25" customHeight="1" x14ac:dyDescent="0.3">
      <c r="G5738" s="459"/>
      <c r="H5738" s="459">
        <v>5731</v>
      </c>
      <c r="I5738" s="444">
        <f t="shared" ca="1" si="213"/>
        <v>-577704163470195</v>
      </c>
      <c r="J5738" s="444">
        <f t="array" ref="J5738">IFERROR(INDEX('Retirement Calculator'!J:J,MATCH('Isaac 401k'!N5738,'Retirement Calculator'!A:A,0),0),0)</f>
        <v>0</v>
      </c>
      <c r="K5738" s="444">
        <f t="shared" ca="1" si="211"/>
        <v>-2407100681125.8125</v>
      </c>
      <c r="L5738" s="444">
        <f t="shared" ca="1" si="212"/>
        <v>-580111264151320.75</v>
      </c>
      <c r="M5738" s="460">
        <f t="shared" si="214"/>
        <v>0.05</v>
      </c>
      <c r="N5738" s="464">
        <f t="shared" si="215"/>
        <v>225691</v>
      </c>
    </row>
    <row r="5739" spans="7:14" ht="11.25" customHeight="1" x14ac:dyDescent="0.3">
      <c r="G5739" s="459"/>
      <c r="H5739" s="459">
        <v>5732</v>
      </c>
      <c r="I5739" s="444">
        <f t="shared" ca="1" si="213"/>
        <v>-580111264151320.75</v>
      </c>
      <c r="J5739" s="444">
        <f t="array" ref="J5739">IFERROR(INDEX('Retirement Calculator'!J:J,MATCH('Isaac 401k'!N5739,'Retirement Calculator'!A:A,0),0),0)</f>
        <v>0</v>
      </c>
      <c r="K5739" s="444">
        <f t="shared" ca="1" si="211"/>
        <v>-2417130267297.1699</v>
      </c>
      <c r="L5739" s="444">
        <f t="shared" ca="1" si="212"/>
        <v>-582528394418617.88</v>
      </c>
      <c r="M5739" s="460">
        <f t="shared" si="214"/>
        <v>0.05</v>
      </c>
      <c r="N5739" s="464">
        <f t="shared" si="215"/>
        <v>225722</v>
      </c>
    </row>
    <row r="5740" spans="7:14" ht="11.25" customHeight="1" x14ac:dyDescent="0.3">
      <c r="G5740" s="459"/>
      <c r="H5740" s="459">
        <v>5733</v>
      </c>
      <c r="I5740" s="444">
        <f t="shared" ca="1" si="213"/>
        <v>-582528394418617.88</v>
      </c>
      <c r="J5740" s="444">
        <f t="array" ref="J5740">IFERROR(INDEX('Retirement Calculator'!J:J,MATCH('Isaac 401k'!N5740,'Retirement Calculator'!A:A,0),0),0)</f>
        <v>0</v>
      </c>
      <c r="K5740" s="444">
        <f t="shared" ca="1" si="211"/>
        <v>-2427201643410.9077</v>
      </c>
      <c r="L5740" s="444">
        <f t="shared" ca="1" si="212"/>
        <v>-584955596062028.75</v>
      </c>
      <c r="M5740" s="460">
        <f t="shared" si="214"/>
        <v>0.05</v>
      </c>
      <c r="N5740" s="464">
        <f t="shared" si="215"/>
        <v>225753</v>
      </c>
    </row>
    <row r="5741" spans="7:14" ht="11.25" customHeight="1" x14ac:dyDescent="0.3">
      <c r="G5741" s="459"/>
      <c r="H5741" s="459">
        <v>5734</v>
      </c>
      <c r="I5741" s="444">
        <f t="shared" ca="1" si="213"/>
        <v>-584955596062028.75</v>
      </c>
      <c r="J5741" s="444">
        <f t="array" ref="J5741">IFERROR(INDEX('Retirement Calculator'!J:J,MATCH('Isaac 401k'!N5741,'Retirement Calculator'!A:A,0),0),0)</f>
        <v>0</v>
      </c>
      <c r="K5741" s="444">
        <f t="shared" ca="1" si="211"/>
        <v>-2437314983591.7866</v>
      </c>
      <c r="L5741" s="444">
        <f t="shared" ca="1" si="212"/>
        <v>-587392911045620.5</v>
      </c>
      <c r="M5741" s="460">
        <f t="shared" si="214"/>
        <v>0.05</v>
      </c>
      <c r="N5741" s="464">
        <f t="shared" si="215"/>
        <v>225781</v>
      </c>
    </row>
    <row r="5742" spans="7:14" ht="11.25" customHeight="1" x14ac:dyDescent="0.3">
      <c r="G5742" s="459"/>
      <c r="H5742" s="459">
        <v>5735</v>
      </c>
      <c r="I5742" s="444">
        <f t="shared" ca="1" si="213"/>
        <v>-587392911045620.5</v>
      </c>
      <c r="J5742" s="444">
        <f t="array" ref="J5742">IFERROR(INDEX('Retirement Calculator'!J:J,MATCH('Isaac 401k'!N5742,'Retirement Calculator'!A:A,0),0),0)</f>
        <v>0</v>
      </c>
      <c r="K5742" s="444">
        <f t="shared" ca="1" si="211"/>
        <v>-2447470462690.0854</v>
      </c>
      <c r="L5742" s="444">
        <f t="shared" ca="1" si="212"/>
        <v>-589840381508310.63</v>
      </c>
      <c r="M5742" s="460">
        <f t="shared" si="214"/>
        <v>0.05</v>
      </c>
      <c r="N5742" s="464">
        <f t="shared" si="215"/>
        <v>225812</v>
      </c>
    </row>
    <row r="5743" spans="7:14" ht="11.25" customHeight="1" x14ac:dyDescent="0.3">
      <c r="G5743" s="459"/>
      <c r="H5743" s="459">
        <v>5736</v>
      </c>
      <c r="I5743" s="444">
        <f t="shared" ca="1" si="213"/>
        <v>-589840381508310.63</v>
      </c>
      <c r="J5743" s="444">
        <f t="array" ref="J5743">IFERROR(INDEX('Retirement Calculator'!J:J,MATCH('Isaac 401k'!N5743,'Retirement Calculator'!A:A,0),0),0)</f>
        <v>0</v>
      </c>
      <c r="K5743" s="444">
        <f t="shared" ca="1" si="211"/>
        <v>-2457668256284.6274</v>
      </c>
      <c r="L5743" s="444">
        <f t="shared" ca="1" si="212"/>
        <v>-592298049764595.25</v>
      </c>
      <c r="M5743" s="460">
        <f t="shared" si="214"/>
        <v>0.05</v>
      </c>
      <c r="N5743" s="464">
        <f t="shared" si="215"/>
        <v>225842</v>
      </c>
    </row>
    <row r="5744" spans="7:14" ht="11.25" customHeight="1" x14ac:dyDescent="0.3">
      <c r="G5744" s="459"/>
      <c r="H5744" s="459">
        <v>5737</v>
      </c>
      <c r="I5744" s="444">
        <f t="shared" ca="1" si="213"/>
        <v>-592298049764595.25</v>
      </c>
      <c r="J5744" s="444">
        <f t="array" ref="J5744">IFERROR(INDEX('Retirement Calculator'!J:J,MATCH('Isaac 401k'!N5744,'Retirement Calculator'!A:A,0),0),0)</f>
        <v>0</v>
      </c>
      <c r="K5744" s="444">
        <f t="shared" ca="1" si="211"/>
        <v>-2467908540685.8135</v>
      </c>
      <c r="L5744" s="444">
        <f t="shared" ca="1" si="212"/>
        <v>-594765958305281.13</v>
      </c>
      <c r="M5744" s="460">
        <f t="shared" si="214"/>
        <v>0.05</v>
      </c>
      <c r="N5744" s="464">
        <f t="shared" si="215"/>
        <v>225873</v>
      </c>
    </row>
    <row r="5745" spans="7:14" ht="11.25" customHeight="1" x14ac:dyDescent="0.3">
      <c r="G5745" s="459"/>
      <c r="H5745" s="459">
        <v>5738</v>
      </c>
      <c r="I5745" s="444">
        <f t="shared" ca="1" si="213"/>
        <v>-594765958305281.13</v>
      </c>
      <c r="J5745" s="444">
        <f t="array" ref="J5745">IFERROR(INDEX('Retirement Calculator'!J:J,MATCH('Isaac 401k'!N5745,'Retirement Calculator'!A:A,0),0),0)</f>
        <v>0</v>
      </c>
      <c r="K5745" s="444">
        <f t="shared" ca="1" si="211"/>
        <v>-2478191492938.6714</v>
      </c>
      <c r="L5745" s="444">
        <f t="shared" ca="1" si="212"/>
        <v>-597244149798219.75</v>
      </c>
      <c r="M5745" s="460">
        <f t="shared" si="214"/>
        <v>0.05</v>
      </c>
      <c r="N5745" s="464">
        <f t="shared" si="215"/>
        <v>225903</v>
      </c>
    </row>
    <row r="5746" spans="7:14" ht="11.25" customHeight="1" x14ac:dyDescent="0.3">
      <c r="G5746" s="459"/>
      <c r="H5746" s="459">
        <v>5739</v>
      </c>
      <c r="I5746" s="444">
        <f t="shared" ca="1" si="213"/>
        <v>-597244149798219.75</v>
      </c>
      <c r="J5746" s="444">
        <f t="array" ref="J5746">IFERROR(INDEX('Retirement Calculator'!J:J,MATCH('Isaac 401k'!N5746,'Retirement Calculator'!A:A,0),0),0)</f>
        <v>0</v>
      </c>
      <c r="K5746" s="444">
        <f t="shared" ca="1" si="211"/>
        <v>-2488517290825.9155</v>
      </c>
      <c r="L5746" s="444">
        <f t="shared" ca="1" si="212"/>
        <v>-599732667089045.63</v>
      </c>
      <c r="M5746" s="460">
        <f t="shared" si="214"/>
        <v>0.05</v>
      </c>
      <c r="N5746" s="464">
        <f t="shared" si="215"/>
        <v>225934</v>
      </c>
    </row>
    <row r="5747" spans="7:14" ht="11.25" customHeight="1" x14ac:dyDescent="0.3">
      <c r="G5747" s="459"/>
      <c r="H5747" s="459">
        <v>5740</v>
      </c>
      <c r="I5747" s="444">
        <f t="shared" ca="1" si="213"/>
        <v>-599732667089045.63</v>
      </c>
      <c r="J5747" s="444">
        <f t="array" ref="J5747">IFERROR(INDEX('Retirement Calculator'!J:J,MATCH('Isaac 401k'!N5747,'Retirement Calculator'!A:A,0),0),0)</f>
        <v>0</v>
      </c>
      <c r="K5747" s="444">
        <f t="shared" ca="1" si="211"/>
        <v>-2498886112871.0234</v>
      </c>
      <c r="L5747" s="444">
        <f t="shared" ca="1" si="212"/>
        <v>-602231553201916.63</v>
      </c>
      <c r="M5747" s="460">
        <f t="shared" si="214"/>
        <v>0.05</v>
      </c>
      <c r="N5747" s="464">
        <f t="shared" si="215"/>
        <v>225965</v>
      </c>
    </row>
    <row r="5748" spans="7:14" ht="11.25" customHeight="1" x14ac:dyDescent="0.3">
      <c r="G5748" s="459"/>
      <c r="H5748" s="459">
        <v>5741</v>
      </c>
      <c r="I5748" s="444">
        <f t="shared" ca="1" si="213"/>
        <v>-602231553201916.63</v>
      </c>
      <c r="J5748" s="444">
        <f t="array" ref="J5748">IFERROR(INDEX('Retirement Calculator'!J:J,MATCH('Isaac 401k'!N5748,'Retirement Calculator'!A:A,0),0),0)</f>
        <v>0</v>
      </c>
      <c r="K5748" s="444">
        <f t="shared" ca="1" si="211"/>
        <v>-2509298138341.3193</v>
      </c>
      <c r="L5748" s="444">
        <f t="shared" ca="1" si="212"/>
        <v>-604740851340258</v>
      </c>
      <c r="M5748" s="460">
        <f t="shared" si="214"/>
        <v>0.05</v>
      </c>
      <c r="N5748" s="464">
        <f t="shared" si="215"/>
        <v>225995</v>
      </c>
    </row>
    <row r="5749" spans="7:14" ht="11.25" customHeight="1" x14ac:dyDescent="0.3">
      <c r="G5749" s="459"/>
      <c r="H5749" s="459">
        <v>5742</v>
      </c>
      <c r="I5749" s="444">
        <f t="shared" ca="1" si="213"/>
        <v>-604740851340258</v>
      </c>
      <c r="J5749" s="444">
        <f t="array" ref="J5749">IFERROR(INDEX('Retirement Calculator'!J:J,MATCH('Isaac 401k'!N5749,'Retirement Calculator'!A:A,0),0),0)</f>
        <v>0</v>
      </c>
      <c r="K5749" s="444">
        <f t="shared" ca="1" si="211"/>
        <v>-2519753547251.0752</v>
      </c>
      <c r="L5749" s="444">
        <f t="shared" ca="1" si="212"/>
        <v>-607260604887509.13</v>
      </c>
      <c r="M5749" s="460">
        <f t="shared" si="214"/>
        <v>0.05</v>
      </c>
      <c r="N5749" s="464">
        <f t="shared" si="215"/>
        <v>226026</v>
      </c>
    </row>
    <row r="5750" spans="7:14" ht="11.25" customHeight="1" x14ac:dyDescent="0.3">
      <c r="G5750" s="459"/>
      <c r="H5750" s="459">
        <v>5743</v>
      </c>
      <c r="I5750" s="444">
        <f t="shared" ca="1" si="213"/>
        <v>-607260604887509.13</v>
      </c>
      <c r="J5750" s="444">
        <f t="array" ref="J5750">IFERROR(INDEX('Retirement Calculator'!J:J,MATCH('Isaac 401k'!N5750,'Retirement Calculator'!A:A,0),0),0)</f>
        <v>0</v>
      </c>
      <c r="K5750" s="444">
        <f t="shared" ca="1" si="211"/>
        <v>-2530252520364.6211</v>
      </c>
      <c r="L5750" s="444">
        <f t="shared" ca="1" si="212"/>
        <v>-609790857407873.75</v>
      </c>
      <c r="M5750" s="460">
        <f t="shared" si="214"/>
        <v>0.05</v>
      </c>
      <c r="N5750" s="464">
        <f t="shared" si="215"/>
        <v>226056</v>
      </c>
    </row>
    <row r="5751" spans="7:14" ht="11.25" customHeight="1" x14ac:dyDescent="0.3">
      <c r="G5751" s="459"/>
      <c r="H5751" s="459">
        <v>5744</v>
      </c>
      <c r="I5751" s="444">
        <f t="shared" ca="1" si="213"/>
        <v>-609790857407873.75</v>
      </c>
      <c r="J5751" s="444">
        <f t="array" ref="J5751">IFERROR(INDEX('Retirement Calculator'!J:J,MATCH('Isaac 401k'!N5751,'Retirement Calculator'!A:A,0),0),0)</f>
        <v>0</v>
      </c>
      <c r="K5751" s="444">
        <f t="shared" ca="1" si="211"/>
        <v>-2540795239199.4741</v>
      </c>
      <c r="L5751" s="444">
        <f t="shared" ca="1" si="212"/>
        <v>-612331652647073.25</v>
      </c>
      <c r="M5751" s="460">
        <f t="shared" si="214"/>
        <v>0.05</v>
      </c>
      <c r="N5751" s="464">
        <f t="shared" si="215"/>
        <v>226087</v>
      </c>
    </row>
    <row r="5752" spans="7:14" ht="11.25" customHeight="1" x14ac:dyDescent="0.3">
      <c r="G5752" s="459"/>
      <c r="H5752" s="459">
        <v>5745</v>
      </c>
      <c r="I5752" s="444">
        <f t="shared" ca="1" si="213"/>
        <v>-612331652647073.25</v>
      </c>
      <c r="J5752" s="444">
        <f t="array" ref="J5752">IFERROR(INDEX('Retirement Calculator'!J:J,MATCH('Isaac 401k'!N5752,'Retirement Calculator'!A:A,0),0),0)</f>
        <v>0</v>
      </c>
      <c r="K5752" s="444">
        <f t="shared" ca="1" si="211"/>
        <v>-2551381886029.4717</v>
      </c>
      <c r="L5752" s="444">
        <f t="shared" ca="1" si="212"/>
        <v>-614883034533102.75</v>
      </c>
      <c r="M5752" s="460">
        <f t="shared" si="214"/>
        <v>0.05</v>
      </c>
      <c r="N5752" s="464">
        <f t="shared" si="215"/>
        <v>226118</v>
      </c>
    </row>
    <row r="5753" spans="7:14" ht="11.25" customHeight="1" x14ac:dyDescent="0.3">
      <c r="G5753" s="459"/>
      <c r="H5753" s="459">
        <v>5746</v>
      </c>
      <c r="I5753" s="444">
        <f t="shared" ca="1" si="213"/>
        <v>-614883034533102.75</v>
      </c>
      <c r="J5753" s="444">
        <f t="array" ref="J5753">IFERROR(INDEX('Retirement Calculator'!J:J,MATCH('Isaac 401k'!N5753,'Retirement Calculator'!A:A,0),0),0)</f>
        <v>0</v>
      </c>
      <c r="K5753" s="444">
        <f t="shared" ca="1" si="211"/>
        <v>-2562012643887.9282</v>
      </c>
      <c r="L5753" s="444">
        <f t="shared" ca="1" si="212"/>
        <v>-617445047176990.63</v>
      </c>
      <c r="M5753" s="460">
        <f t="shared" si="214"/>
        <v>0.05</v>
      </c>
      <c r="N5753" s="464">
        <f t="shared" si="215"/>
        <v>226146</v>
      </c>
    </row>
    <row r="5754" spans="7:14" ht="11.25" customHeight="1" x14ac:dyDescent="0.3">
      <c r="G5754" s="459"/>
      <c r="H5754" s="459">
        <v>5747</v>
      </c>
      <c r="I5754" s="444">
        <f t="shared" ca="1" si="213"/>
        <v>-617445047176990.63</v>
      </c>
      <c r="J5754" s="444">
        <f t="array" ref="J5754">IFERROR(INDEX('Retirement Calculator'!J:J,MATCH('Isaac 401k'!N5754,'Retirement Calculator'!A:A,0),0),0)</f>
        <v>0</v>
      </c>
      <c r="K5754" s="444">
        <f t="shared" ca="1" si="211"/>
        <v>-2572687696570.7944</v>
      </c>
      <c r="L5754" s="444">
        <f t="shared" ca="1" si="212"/>
        <v>-620017734873561.38</v>
      </c>
      <c r="M5754" s="460">
        <f t="shared" si="214"/>
        <v>0.05</v>
      </c>
      <c r="N5754" s="464">
        <f t="shared" si="215"/>
        <v>226177</v>
      </c>
    </row>
    <row r="5755" spans="7:14" ht="11.25" customHeight="1" x14ac:dyDescent="0.3">
      <c r="G5755" s="459"/>
      <c r="H5755" s="459">
        <v>5748</v>
      </c>
      <c r="I5755" s="444">
        <f t="shared" ca="1" si="213"/>
        <v>-620017734873561.38</v>
      </c>
      <c r="J5755" s="444">
        <f t="array" ref="J5755">IFERROR(INDEX('Retirement Calculator'!J:J,MATCH('Isaac 401k'!N5755,'Retirement Calculator'!A:A,0),0),0)</f>
        <v>0</v>
      </c>
      <c r="K5755" s="444">
        <f t="shared" ca="1" si="211"/>
        <v>-2583407228639.8389</v>
      </c>
      <c r="L5755" s="444">
        <f t="shared" ca="1" si="212"/>
        <v>-622601142102201.25</v>
      </c>
      <c r="M5755" s="460">
        <f t="shared" si="214"/>
        <v>0.05</v>
      </c>
      <c r="N5755" s="464">
        <f t="shared" si="215"/>
        <v>226207</v>
      </c>
    </row>
    <row r="5756" spans="7:14" ht="11.25" customHeight="1" x14ac:dyDescent="0.3">
      <c r="G5756" s="459"/>
      <c r="H5756" s="459">
        <v>5749</v>
      </c>
      <c r="I5756" s="444">
        <f t="shared" ca="1" si="213"/>
        <v>-622601142102201.25</v>
      </c>
      <c r="J5756" s="444">
        <f t="array" ref="J5756">IFERROR(INDEX('Retirement Calculator'!J:J,MATCH('Isaac 401k'!N5756,'Retirement Calculator'!A:A,0),0),0)</f>
        <v>0</v>
      </c>
      <c r="K5756" s="444">
        <f t="shared" ca="1" si="211"/>
        <v>-2594171425425.8384</v>
      </c>
      <c r="L5756" s="444">
        <f t="shared" ca="1" si="212"/>
        <v>-625195313527627.13</v>
      </c>
      <c r="M5756" s="460">
        <f t="shared" si="214"/>
        <v>0.05</v>
      </c>
      <c r="N5756" s="464">
        <f t="shared" si="215"/>
        <v>226238</v>
      </c>
    </row>
    <row r="5757" spans="7:14" ht="11.25" customHeight="1" x14ac:dyDescent="0.3">
      <c r="G5757" s="459"/>
      <c r="H5757" s="459">
        <v>5750</v>
      </c>
      <c r="I5757" s="444">
        <f t="shared" ca="1" si="213"/>
        <v>-625195313527627.13</v>
      </c>
      <c r="J5757" s="444">
        <f t="array" ref="J5757">IFERROR(INDEX('Retirement Calculator'!J:J,MATCH('Isaac 401k'!N5757,'Retirement Calculator'!A:A,0),0),0)</f>
        <v>0</v>
      </c>
      <c r="K5757" s="444">
        <f t="shared" ca="1" si="211"/>
        <v>-2604980473031.7798</v>
      </c>
      <c r="L5757" s="444">
        <f t="shared" ca="1" si="212"/>
        <v>-627800294000658.88</v>
      </c>
      <c r="M5757" s="460">
        <f t="shared" si="214"/>
        <v>0.05</v>
      </c>
      <c r="N5757" s="464">
        <f t="shared" si="215"/>
        <v>226268</v>
      </c>
    </row>
    <row r="5758" spans="7:14" ht="11.25" customHeight="1" x14ac:dyDescent="0.3">
      <c r="G5758" s="459"/>
      <c r="H5758" s="459">
        <v>5751</v>
      </c>
      <c r="I5758" s="444">
        <f t="shared" ca="1" si="213"/>
        <v>-627800294000658.88</v>
      </c>
      <c r="J5758" s="444">
        <f t="array" ref="J5758">IFERROR(INDEX('Retirement Calculator'!J:J,MATCH('Isaac 401k'!N5758,'Retirement Calculator'!A:A,0),0),0)</f>
        <v>0</v>
      </c>
      <c r="K5758" s="444">
        <f t="shared" ca="1" si="211"/>
        <v>-2615834558336.0786</v>
      </c>
      <c r="L5758" s="444">
        <f t="shared" ca="1" si="212"/>
        <v>-630416128558995</v>
      </c>
      <c r="M5758" s="460">
        <f t="shared" si="214"/>
        <v>0.05</v>
      </c>
      <c r="N5758" s="464">
        <f t="shared" si="215"/>
        <v>226299</v>
      </c>
    </row>
    <row r="5759" spans="7:14" ht="11.25" customHeight="1" x14ac:dyDescent="0.3">
      <c r="G5759" s="459"/>
      <c r="H5759" s="459">
        <v>5752</v>
      </c>
      <c r="I5759" s="444">
        <f t="shared" ca="1" si="213"/>
        <v>-630416128558995</v>
      </c>
      <c r="J5759" s="444">
        <f t="array" ref="J5759">IFERROR(INDEX('Retirement Calculator'!J:J,MATCH('Isaac 401k'!N5759,'Retirement Calculator'!A:A,0),0),0)</f>
        <v>0</v>
      </c>
      <c r="K5759" s="444">
        <f t="shared" ca="1" si="211"/>
        <v>-2626733868995.8125</v>
      </c>
      <c r="L5759" s="444">
        <f t="shared" ca="1" si="212"/>
        <v>-633042862427990.75</v>
      </c>
      <c r="M5759" s="460">
        <f t="shared" si="214"/>
        <v>0.05</v>
      </c>
      <c r="N5759" s="464">
        <f t="shared" si="215"/>
        <v>226330</v>
      </c>
    </row>
    <row r="5760" spans="7:14" ht="11.25" customHeight="1" x14ac:dyDescent="0.3">
      <c r="G5760" s="459"/>
      <c r="H5760" s="459">
        <v>5753</v>
      </c>
      <c r="I5760" s="444">
        <f t="shared" ca="1" si="213"/>
        <v>-633042862427990.75</v>
      </c>
      <c r="J5760" s="444">
        <f t="array" ref="J5760">IFERROR(INDEX('Retirement Calculator'!J:J,MATCH('Isaac 401k'!N5760,'Retirement Calculator'!A:A,0),0),0)</f>
        <v>0</v>
      </c>
      <c r="K5760" s="444">
        <f t="shared" ca="1" si="211"/>
        <v>-2637678593449.9614</v>
      </c>
      <c r="L5760" s="444">
        <f t="shared" ca="1" si="212"/>
        <v>-635680541021440.75</v>
      </c>
      <c r="M5760" s="460">
        <f t="shared" si="214"/>
        <v>0.05</v>
      </c>
      <c r="N5760" s="464">
        <f t="shared" si="215"/>
        <v>226360</v>
      </c>
    </row>
    <row r="5761" spans="7:14" ht="11.25" customHeight="1" x14ac:dyDescent="0.3">
      <c r="G5761" s="459"/>
      <c r="H5761" s="459">
        <v>5754</v>
      </c>
      <c r="I5761" s="444">
        <f t="shared" ca="1" si="213"/>
        <v>-635680541021440.75</v>
      </c>
      <c r="J5761" s="444">
        <f t="array" ref="J5761">IFERROR(INDEX('Retirement Calculator'!J:J,MATCH('Isaac 401k'!N5761,'Retirement Calculator'!A:A,0),0),0)</f>
        <v>0</v>
      </c>
      <c r="K5761" s="444">
        <f t="shared" ca="1" si="211"/>
        <v>-2648668920922.6699</v>
      </c>
      <c r="L5761" s="444">
        <f t="shared" ca="1" si="212"/>
        <v>-638329209942363.38</v>
      </c>
      <c r="M5761" s="460">
        <f t="shared" si="214"/>
        <v>0.05</v>
      </c>
      <c r="N5761" s="464">
        <f t="shared" si="215"/>
        <v>226391</v>
      </c>
    </row>
    <row r="5762" spans="7:14" ht="11.25" customHeight="1" x14ac:dyDescent="0.3">
      <c r="G5762" s="459"/>
      <c r="H5762" s="459">
        <v>5755</v>
      </c>
      <c r="I5762" s="444">
        <f t="shared" ca="1" si="213"/>
        <v>-638329209942363.38</v>
      </c>
      <c r="J5762" s="444">
        <f t="array" ref="J5762">IFERROR(INDEX('Retirement Calculator'!J:J,MATCH('Isaac 401k'!N5762,'Retirement Calculator'!A:A,0),0),0)</f>
        <v>0</v>
      </c>
      <c r="K5762" s="444">
        <f t="shared" ca="1" si="211"/>
        <v>-2659705041426.5142</v>
      </c>
      <c r="L5762" s="444">
        <f t="shared" ca="1" si="212"/>
        <v>-640988914983789.88</v>
      </c>
      <c r="M5762" s="460">
        <f t="shared" si="214"/>
        <v>0.05</v>
      </c>
      <c r="N5762" s="464">
        <f t="shared" si="215"/>
        <v>226421</v>
      </c>
    </row>
    <row r="5763" spans="7:14" ht="11.25" customHeight="1" x14ac:dyDescent="0.3">
      <c r="G5763" s="459"/>
      <c r="H5763" s="459">
        <v>5756</v>
      </c>
      <c r="I5763" s="444">
        <f t="shared" ca="1" si="213"/>
        <v>-640988914983789.88</v>
      </c>
      <c r="J5763" s="444">
        <f t="array" ref="J5763">IFERROR(INDEX('Retirement Calculator'!J:J,MATCH('Isaac 401k'!N5763,'Retirement Calculator'!A:A,0),0),0)</f>
        <v>0</v>
      </c>
      <c r="K5763" s="444">
        <f t="shared" ca="1" si="211"/>
        <v>-2670787145765.791</v>
      </c>
      <c r="L5763" s="444">
        <f t="shared" ca="1" si="212"/>
        <v>-643659702129555.63</v>
      </c>
      <c r="M5763" s="460">
        <f t="shared" si="214"/>
        <v>0.05</v>
      </c>
      <c r="N5763" s="464">
        <f t="shared" si="215"/>
        <v>226452</v>
      </c>
    </row>
    <row r="5764" spans="7:14" ht="11.25" customHeight="1" x14ac:dyDescent="0.3">
      <c r="G5764" s="459"/>
      <c r="H5764" s="459">
        <v>5757</v>
      </c>
      <c r="I5764" s="444">
        <f t="shared" ca="1" si="213"/>
        <v>-643659702129555.63</v>
      </c>
      <c r="J5764" s="444">
        <f t="array" ref="J5764">IFERROR(INDEX('Retirement Calculator'!J:J,MATCH('Isaac 401k'!N5764,'Retirement Calculator'!A:A,0),0),0)</f>
        <v>0</v>
      </c>
      <c r="K5764" s="444">
        <f t="shared" ca="1" si="211"/>
        <v>-2681915425539.8149</v>
      </c>
      <c r="L5764" s="444">
        <f t="shared" ca="1" si="212"/>
        <v>-646341617555095.5</v>
      </c>
      <c r="M5764" s="460">
        <f t="shared" si="214"/>
        <v>0.05</v>
      </c>
      <c r="N5764" s="464">
        <f t="shared" si="215"/>
        <v>226483</v>
      </c>
    </row>
    <row r="5765" spans="7:14" ht="11.25" customHeight="1" x14ac:dyDescent="0.3">
      <c r="G5765" s="459"/>
      <c r="H5765" s="459">
        <v>5758</v>
      </c>
      <c r="I5765" s="444">
        <f t="shared" ca="1" si="213"/>
        <v>-646341617555095.5</v>
      </c>
      <c r="J5765" s="444">
        <f t="array" ref="J5765">IFERROR(INDEX('Retirement Calculator'!J:J,MATCH('Isaac 401k'!N5765,'Retirement Calculator'!A:A,0),0),0)</f>
        <v>0</v>
      </c>
      <c r="K5765" s="444">
        <f t="shared" ca="1" si="211"/>
        <v>-2693090073146.2314</v>
      </c>
      <c r="L5765" s="444">
        <f t="shared" ca="1" si="212"/>
        <v>-649034707628241.75</v>
      </c>
      <c r="M5765" s="460">
        <f t="shared" si="214"/>
        <v>0.05</v>
      </c>
      <c r="N5765" s="464">
        <f t="shared" si="215"/>
        <v>226512</v>
      </c>
    </row>
    <row r="5766" spans="7:14" ht="11.25" customHeight="1" x14ac:dyDescent="0.3">
      <c r="G5766" s="459"/>
      <c r="H5766" s="459">
        <v>5759</v>
      </c>
      <c r="I5766" s="444">
        <f t="shared" ca="1" si="213"/>
        <v>-649034707628241.75</v>
      </c>
      <c r="J5766" s="444">
        <f t="array" ref="J5766">IFERROR(INDEX('Retirement Calculator'!J:J,MATCH('Isaac 401k'!N5766,'Retirement Calculator'!A:A,0),0),0)</f>
        <v>0</v>
      </c>
      <c r="K5766" s="444">
        <f t="shared" ca="1" si="211"/>
        <v>-2704311281784.3408</v>
      </c>
      <c r="L5766" s="444">
        <f t="shared" ca="1" si="212"/>
        <v>-651739018910026.13</v>
      </c>
      <c r="M5766" s="460">
        <f t="shared" si="214"/>
        <v>0.05</v>
      </c>
      <c r="N5766" s="464">
        <f t="shared" si="215"/>
        <v>226543</v>
      </c>
    </row>
    <row r="5767" spans="7:14" ht="11.25" customHeight="1" x14ac:dyDescent="0.3">
      <c r="G5767" s="459"/>
      <c r="H5767" s="459">
        <v>5760</v>
      </c>
      <c r="I5767" s="444">
        <f t="shared" ca="1" si="213"/>
        <v>-651739018910026.13</v>
      </c>
      <c r="J5767" s="444">
        <f t="array" ref="J5767">IFERROR(INDEX('Retirement Calculator'!J:J,MATCH('Isaac 401k'!N5767,'Retirement Calculator'!A:A,0),0),0)</f>
        <v>0</v>
      </c>
      <c r="K5767" s="444">
        <f t="shared" ca="1" si="211"/>
        <v>-2715579245458.4424</v>
      </c>
      <c r="L5767" s="444">
        <f t="shared" ca="1" si="212"/>
        <v>-654454598155484.63</v>
      </c>
      <c r="M5767" s="460">
        <f t="shared" si="214"/>
        <v>0.05</v>
      </c>
      <c r="N5767" s="464">
        <f t="shared" si="215"/>
        <v>226573</v>
      </c>
    </row>
    <row r="5768" spans="7:14" ht="11.25" customHeight="1" x14ac:dyDescent="0.3">
      <c r="G5768" s="459"/>
      <c r="H5768" s="459">
        <v>5761</v>
      </c>
      <c r="I5768" s="444">
        <f t="shared" ca="1" si="213"/>
        <v>-654454598155484.63</v>
      </c>
      <c r="J5768" s="444">
        <f t="array" ref="J5768">IFERROR(INDEX('Retirement Calculator'!J:J,MATCH('Isaac 401k'!N5768,'Retirement Calculator'!A:A,0),0),0)</f>
        <v>0</v>
      </c>
      <c r="K5768" s="444">
        <f t="shared" ca="1" si="211"/>
        <v>-2726894158981.186</v>
      </c>
      <c r="L5768" s="444">
        <f t="shared" ca="1" si="212"/>
        <v>-657181492314465.75</v>
      </c>
      <c r="M5768" s="460">
        <f t="shared" si="214"/>
        <v>0.05</v>
      </c>
      <c r="N5768" s="464">
        <f t="shared" si="215"/>
        <v>226604</v>
      </c>
    </row>
    <row r="5769" spans="7:14" ht="11.25" customHeight="1" x14ac:dyDescent="0.3">
      <c r="G5769" s="459"/>
      <c r="H5769" s="459">
        <v>5762</v>
      </c>
      <c r="I5769" s="444">
        <f t="shared" ca="1" si="213"/>
        <v>-657181492314465.75</v>
      </c>
      <c r="J5769" s="444">
        <f t="array" ref="J5769">IFERROR(INDEX('Retirement Calculator'!J:J,MATCH('Isaac 401k'!N5769,'Retirement Calculator'!A:A,0),0),0)</f>
        <v>0</v>
      </c>
      <c r="K5769" s="444">
        <f t="shared" ca="1" si="211"/>
        <v>-2738256217976.9404</v>
      </c>
      <c r="L5769" s="444">
        <f t="shared" ca="1" si="212"/>
        <v>-659919748532442.75</v>
      </c>
      <c r="M5769" s="460">
        <f t="shared" si="214"/>
        <v>0.05</v>
      </c>
      <c r="N5769" s="464">
        <f t="shared" si="215"/>
        <v>226634</v>
      </c>
    </row>
    <row r="5770" spans="7:14" ht="11.25" customHeight="1" x14ac:dyDescent="0.3">
      <c r="G5770" s="459"/>
      <c r="H5770" s="459">
        <v>5763</v>
      </c>
      <c r="I5770" s="444">
        <f t="shared" ca="1" si="213"/>
        <v>-659919748532442.75</v>
      </c>
      <c r="J5770" s="444">
        <f t="array" ref="J5770">IFERROR(INDEX('Retirement Calculator'!J:J,MATCH('Isaac 401k'!N5770,'Retirement Calculator'!A:A,0),0),0)</f>
        <v>0</v>
      </c>
      <c r="K5770" s="444">
        <f t="shared" ca="1" si="211"/>
        <v>-2749665618885.1782</v>
      </c>
      <c r="L5770" s="444">
        <f t="shared" ca="1" si="212"/>
        <v>-662669414151327.88</v>
      </c>
      <c r="M5770" s="460">
        <f t="shared" si="214"/>
        <v>0.05</v>
      </c>
      <c r="N5770" s="464">
        <f t="shared" si="215"/>
        <v>226665</v>
      </c>
    </row>
    <row r="5771" spans="7:14" ht="11.25" customHeight="1" x14ac:dyDescent="0.3">
      <c r="G5771" s="459"/>
      <c r="H5771" s="459">
        <v>5764</v>
      </c>
      <c r="I5771" s="444">
        <f t="shared" ca="1" si="213"/>
        <v>-662669414151327.88</v>
      </c>
      <c r="J5771" s="444">
        <f t="array" ref="J5771">IFERROR(INDEX('Retirement Calculator'!J:J,MATCH('Isaac 401k'!N5771,'Retirement Calculator'!A:A,0),0),0)</f>
        <v>0</v>
      </c>
      <c r="K5771" s="444">
        <f t="shared" ca="1" si="211"/>
        <v>-2761122558963.8662</v>
      </c>
      <c r="L5771" s="444">
        <f t="shared" ca="1" si="212"/>
        <v>-665430536710291.75</v>
      </c>
      <c r="M5771" s="460">
        <f t="shared" si="214"/>
        <v>0.05</v>
      </c>
      <c r="N5771" s="464">
        <f t="shared" si="215"/>
        <v>226696</v>
      </c>
    </row>
    <row r="5772" spans="7:14" ht="11.25" customHeight="1" x14ac:dyDescent="0.3">
      <c r="G5772" s="459"/>
      <c r="H5772" s="459">
        <v>5765</v>
      </c>
      <c r="I5772" s="444">
        <f t="shared" ca="1" si="213"/>
        <v>-665430536710291.75</v>
      </c>
      <c r="J5772" s="444">
        <f t="array" ref="J5772">IFERROR(INDEX('Retirement Calculator'!J:J,MATCH('Isaac 401k'!N5772,'Retirement Calculator'!A:A,0),0),0)</f>
        <v>0</v>
      </c>
      <c r="K5772" s="444">
        <f t="shared" ca="1" si="211"/>
        <v>-2772627236292.8823</v>
      </c>
      <c r="L5772" s="444">
        <f t="shared" ca="1" si="212"/>
        <v>-668203163946584.63</v>
      </c>
      <c r="M5772" s="460">
        <f t="shared" si="214"/>
        <v>0.05</v>
      </c>
      <c r="N5772" s="464">
        <f t="shared" si="215"/>
        <v>226726</v>
      </c>
    </row>
    <row r="5773" spans="7:14" ht="11.25" customHeight="1" x14ac:dyDescent="0.3">
      <c r="G5773" s="459"/>
      <c r="H5773" s="459">
        <v>5766</v>
      </c>
      <c r="I5773" s="444">
        <f t="shared" ca="1" si="213"/>
        <v>-668203163946584.63</v>
      </c>
      <c r="J5773" s="444">
        <f t="array" ref="J5773">IFERROR(INDEX('Retirement Calculator'!J:J,MATCH('Isaac 401k'!N5773,'Retirement Calculator'!A:A,0),0),0)</f>
        <v>0</v>
      </c>
      <c r="K5773" s="444">
        <f t="shared" ca="1" si="211"/>
        <v>-2784179849777.436</v>
      </c>
      <c r="L5773" s="444">
        <f t="shared" ca="1" si="212"/>
        <v>-670987343796362</v>
      </c>
      <c r="M5773" s="460">
        <f t="shared" si="214"/>
        <v>0.05</v>
      </c>
      <c r="N5773" s="464">
        <f t="shared" si="215"/>
        <v>226757</v>
      </c>
    </row>
    <row r="5774" spans="7:14" ht="11.25" customHeight="1" x14ac:dyDescent="0.3">
      <c r="G5774" s="459"/>
      <c r="H5774" s="459">
        <v>5767</v>
      </c>
      <c r="I5774" s="444">
        <f t="shared" ca="1" si="213"/>
        <v>-670987343796362</v>
      </c>
      <c r="J5774" s="444">
        <f t="array" ref="J5774">IFERROR(INDEX('Retirement Calculator'!J:J,MATCH('Isaac 401k'!N5774,'Retirement Calculator'!A:A,0),0),0)</f>
        <v>0</v>
      </c>
      <c r="K5774" s="444">
        <f t="shared" ca="1" si="211"/>
        <v>-2795780599151.5083</v>
      </c>
      <c r="L5774" s="444">
        <f t="shared" ca="1" si="212"/>
        <v>-673783124395513.5</v>
      </c>
      <c r="M5774" s="460">
        <f t="shared" si="214"/>
        <v>0.05</v>
      </c>
      <c r="N5774" s="464">
        <f t="shared" si="215"/>
        <v>226787</v>
      </c>
    </row>
    <row r="5775" spans="7:14" ht="11.25" customHeight="1" x14ac:dyDescent="0.3">
      <c r="G5775" s="459"/>
      <c r="H5775" s="459">
        <v>5768</v>
      </c>
      <c r="I5775" s="444">
        <f t="shared" ca="1" si="213"/>
        <v>-673783124395513.5</v>
      </c>
      <c r="J5775" s="444">
        <f t="array" ref="J5775">IFERROR(INDEX('Retirement Calculator'!J:J,MATCH('Isaac 401k'!N5775,'Retirement Calculator'!A:A,0),0),0)</f>
        <v>0</v>
      </c>
      <c r="K5775" s="444">
        <f t="shared" ca="1" si="211"/>
        <v>-2807429684981.3062</v>
      </c>
      <c r="L5775" s="444">
        <f t="shared" ca="1" si="212"/>
        <v>-676590554080494.75</v>
      </c>
      <c r="M5775" s="460">
        <f t="shared" si="214"/>
        <v>0.05</v>
      </c>
      <c r="N5775" s="464">
        <f t="shared" si="215"/>
        <v>226818</v>
      </c>
    </row>
    <row r="5776" spans="7:14" ht="11.25" customHeight="1" x14ac:dyDescent="0.3">
      <c r="G5776" s="459"/>
      <c r="H5776" s="459">
        <v>5769</v>
      </c>
      <c r="I5776" s="444">
        <f t="shared" ca="1" si="213"/>
        <v>-676590554080494.75</v>
      </c>
      <c r="J5776" s="444">
        <f t="array" ref="J5776">IFERROR(INDEX('Retirement Calculator'!J:J,MATCH('Isaac 401k'!N5776,'Retirement Calculator'!A:A,0),0),0)</f>
        <v>0</v>
      </c>
      <c r="K5776" s="444">
        <f t="shared" ca="1" si="211"/>
        <v>-2819127308668.728</v>
      </c>
      <c r="L5776" s="444">
        <f t="shared" ca="1" si="212"/>
        <v>-679409681389163.5</v>
      </c>
      <c r="M5776" s="460">
        <f t="shared" si="214"/>
        <v>0.05</v>
      </c>
      <c r="N5776" s="464">
        <f t="shared" si="215"/>
        <v>226849</v>
      </c>
    </row>
    <row r="5777" spans="7:14" ht="11.25" customHeight="1" x14ac:dyDescent="0.3">
      <c r="G5777" s="459"/>
      <c r="H5777" s="459">
        <v>5770</v>
      </c>
      <c r="I5777" s="444">
        <f t="shared" ca="1" si="213"/>
        <v>-679409681389163.5</v>
      </c>
      <c r="J5777" s="444">
        <f t="array" ref="J5777">IFERROR(INDEX('Retirement Calculator'!J:J,MATCH('Isaac 401k'!N5777,'Retirement Calculator'!A:A,0),0),0)</f>
        <v>0</v>
      </c>
      <c r="K5777" s="444">
        <f t="shared" ca="1" si="211"/>
        <v>-2830873672454.8477</v>
      </c>
      <c r="L5777" s="444">
        <f t="shared" ca="1" si="212"/>
        <v>-682240555061618.38</v>
      </c>
      <c r="M5777" s="460">
        <f t="shared" si="214"/>
        <v>0.05</v>
      </c>
      <c r="N5777" s="464">
        <f t="shared" si="215"/>
        <v>226877</v>
      </c>
    </row>
    <row r="5778" spans="7:14" ht="11.25" customHeight="1" x14ac:dyDescent="0.3">
      <c r="G5778" s="459"/>
      <c r="H5778" s="459">
        <v>5771</v>
      </c>
      <c r="I5778" s="444">
        <f t="shared" ca="1" si="213"/>
        <v>-682240555061618.38</v>
      </c>
      <c r="J5778" s="444">
        <f t="array" ref="J5778">IFERROR(INDEX('Retirement Calculator'!J:J,MATCH('Isaac 401k'!N5778,'Retirement Calculator'!A:A,0),0),0)</f>
        <v>0</v>
      </c>
      <c r="K5778" s="444">
        <f t="shared" ca="1" si="211"/>
        <v>-2842668979423.4097</v>
      </c>
      <c r="L5778" s="444">
        <f t="shared" ca="1" si="212"/>
        <v>-685083224041041.75</v>
      </c>
      <c r="M5778" s="460">
        <f t="shared" si="214"/>
        <v>0.05</v>
      </c>
      <c r="N5778" s="464">
        <f t="shared" si="215"/>
        <v>226908</v>
      </c>
    </row>
    <row r="5779" spans="7:14" ht="11.25" customHeight="1" x14ac:dyDescent="0.3">
      <c r="G5779" s="459"/>
      <c r="H5779" s="459">
        <v>5772</v>
      </c>
      <c r="I5779" s="444">
        <f t="shared" ca="1" si="213"/>
        <v>-685083224041041.75</v>
      </c>
      <c r="J5779" s="444">
        <f t="array" ref="J5779">IFERROR(INDEX('Retirement Calculator'!J:J,MATCH('Isaac 401k'!N5779,'Retirement Calculator'!A:A,0),0),0)</f>
        <v>0</v>
      </c>
      <c r="K5779" s="444">
        <f t="shared" ca="1" si="211"/>
        <v>-2854513433504.3408</v>
      </c>
      <c r="L5779" s="444">
        <f t="shared" ca="1" si="212"/>
        <v>-687937737474546.13</v>
      </c>
      <c r="M5779" s="460">
        <f t="shared" si="214"/>
        <v>0.05</v>
      </c>
      <c r="N5779" s="464">
        <f t="shared" si="215"/>
        <v>226938</v>
      </c>
    </row>
    <row r="5780" spans="7:14" ht="11.25" customHeight="1" x14ac:dyDescent="0.3">
      <c r="G5780" s="459"/>
      <c r="H5780" s="459">
        <v>5773</v>
      </c>
      <c r="I5780" s="444">
        <f t="shared" ca="1" si="213"/>
        <v>-687937737474546.13</v>
      </c>
      <c r="J5780" s="444">
        <f t="array" ref="J5780">IFERROR(INDEX('Retirement Calculator'!J:J,MATCH('Isaac 401k'!N5780,'Retirement Calculator'!A:A,0),0),0)</f>
        <v>0</v>
      </c>
      <c r="K5780" s="444">
        <f t="shared" ca="1" si="211"/>
        <v>-2866407239477.2754</v>
      </c>
      <c r="L5780" s="444">
        <f t="shared" ca="1" si="212"/>
        <v>-690804144714023.38</v>
      </c>
      <c r="M5780" s="460">
        <f t="shared" si="214"/>
        <v>0.05</v>
      </c>
      <c r="N5780" s="464">
        <f t="shared" si="215"/>
        <v>226969</v>
      </c>
    </row>
    <row r="5781" spans="7:14" ht="11.25" customHeight="1" x14ac:dyDescent="0.3">
      <c r="G5781" s="459"/>
      <c r="H5781" s="459">
        <v>5774</v>
      </c>
      <c r="I5781" s="444">
        <f t="shared" ca="1" si="213"/>
        <v>-690804144714023.38</v>
      </c>
      <c r="J5781" s="444">
        <f t="array" ref="J5781">IFERROR(INDEX('Retirement Calculator'!J:J,MATCH('Isaac 401k'!N5781,'Retirement Calculator'!A:A,0),0),0)</f>
        <v>0</v>
      </c>
      <c r="K5781" s="444">
        <f t="shared" ca="1" si="211"/>
        <v>-2878350602975.0972</v>
      </c>
      <c r="L5781" s="444">
        <f t="shared" ca="1" si="212"/>
        <v>-693682495316998.5</v>
      </c>
      <c r="M5781" s="460">
        <f t="shared" si="214"/>
        <v>0.05</v>
      </c>
      <c r="N5781" s="464">
        <f t="shared" si="215"/>
        <v>226999</v>
      </c>
    </row>
    <row r="5782" spans="7:14" ht="11.25" customHeight="1" x14ac:dyDescent="0.3">
      <c r="G5782" s="459"/>
      <c r="H5782" s="459">
        <v>5775</v>
      </c>
      <c r="I5782" s="444">
        <f t="shared" ca="1" si="213"/>
        <v>-693682495316998.5</v>
      </c>
      <c r="J5782" s="444">
        <f t="array" ref="J5782">IFERROR(INDEX('Retirement Calculator'!J:J,MATCH('Isaac 401k'!N5782,'Retirement Calculator'!A:A,0),0),0)</f>
        <v>0</v>
      </c>
      <c r="K5782" s="444">
        <f t="shared" ca="1" si="211"/>
        <v>-2890343730487.4937</v>
      </c>
      <c r="L5782" s="444">
        <f t="shared" ca="1" si="212"/>
        <v>-696572839047486</v>
      </c>
      <c r="M5782" s="460">
        <f t="shared" si="214"/>
        <v>0.05</v>
      </c>
      <c r="N5782" s="464">
        <f t="shared" si="215"/>
        <v>227030</v>
      </c>
    </row>
    <row r="5783" spans="7:14" ht="11.25" customHeight="1" x14ac:dyDescent="0.3">
      <c r="G5783" s="459"/>
      <c r="H5783" s="459">
        <v>5776</v>
      </c>
      <c r="I5783" s="444">
        <f t="shared" ca="1" si="213"/>
        <v>-696572839047486</v>
      </c>
      <c r="J5783" s="444">
        <f t="array" ref="J5783">IFERROR(INDEX('Retirement Calculator'!J:J,MATCH('Isaac 401k'!N5783,'Retirement Calculator'!A:A,0),0),0)</f>
        <v>0</v>
      </c>
      <c r="K5783" s="444">
        <f t="shared" ca="1" si="211"/>
        <v>-2902386829364.5249</v>
      </c>
      <c r="L5783" s="444">
        <f t="shared" ca="1" si="212"/>
        <v>-699475225876850.5</v>
      </c>
      <c r="M5783" s="460">
        <f t="shared" si="214"/>
        <v>0.05</v>
      </c>
      <c r="N5783" s="464">
        <f t="shared" si="215"/>
        <v>227061</v>
      </c>
    </row>
    <row r="5784" spans="7:14" ht="11.25" customHeight="1" x14ac:dyDescent="0.3">
      <c r="G5784" s="459"/>
      <c r="H5784" s="459">
        <v>5777</v>
      </c>
      <c r="I5784" s="444">
        <f t="shared" ca="1" si="213"/>
        <v>-699475225876850.5</v>
      </c>
      <c r="J5784" s="444">
        <f t="array" ref="J5784">IFERROR(INDEX('Retirement Calculator'!J:J,MATCH('Isaac 401k'!N5784,'Retirement Calculator'!A:A,0),0),0)</f>
        <v>0</v>
      </c>
      <c r="K5784" s="444">
        <f t="shared" ca="1" si="211"/>
        <v>-2914480107820.2104</v>
      </c>
      <c r="L5784" s="444">
        <f t="shared" ca="1" si="212"/>
        <v>-702389705984670.75</v>
      </c>
      <c r="M5784" s="460">
        <f t="shared" si="214"/>
        <v>0.05</v>
      </c>
      <c r="N5784" s="464">
        <f t="shared" si="215"/>
        <v>227091</v>
      </c>
    </row>
    <row r="5785" spans="7:14" ht="11.25" customHeight="1" x14ac:dyDescent="0.3">
      <c r="G5785" s="459"/>
      <c r="H5785" s="459">
        <v>5778</v>
      </c>
      <c r="I5785" s="444">
        <f t="shared" ca="1" si="213"/>
        <v>-702389705984670.75</v>
      </c>
      <c r="J5785" s="444">
        <f t="array" ref="J5785">IFERROR(INDEX('Retirement Calculator'!J:J,MATCH('Isaac 401k'!N5785,'Retirement Calculator'!A:A,0),0),0)</f>
        <v>0</v>
      </c>
      <c r="K5785" s="444">
        <f t="shared" ca="1" si="211"/>
        <v>-2926623774936.1279</v>
      </c>
      <c r="L5785" s="444">
        <f t="shared" ca="1" si="212"/>
        <v>-705316329759606.88</v>
      </c>
      <c r="M5785" s="460">
        <f t="shared" si="214"/>
        <v>0.05</v>
      </c>
      <c r="N5785" s="464">
        <f t="shared" si="215"/>
        <v>227122</v>
      </c>
    </row>
    <row r="5786" spans="7:14" ht="11.25" customHeight="1" x14ac:dyDescent="0.3">
      <c r="G5786" s="459"/>
      <c r="H5786" s="459">
        <v>5779</v>
      </c>
      <c r="I5786" s="444">
        <f t="shared" ca="1" si="213"/>
        <v>-705316329759606.88</v>
      </c>
      <c r="J5786" s="444">
        <f t="array" ref="J5786">IFERROR(INDEX('Retirement Calculator'!J:J,MATCH('Isaac 401k'!N5786,'Retirement Calculator'!A:A,0),0),0)</f>
        <v>0</v>
      </c>
      <c r="K5786" s="444">
        <f t="shared" ca="1" si="211"/>
        <v>-2938818040665.0288</v>
      </c>
      <c r="L5786" s="444">
        <f t="shared" ca="1" si="212"/>
        <v>-708255147800271.88</v>
      </c>
      <c r="M5786" s="460">
        <f t="shared" si="214"/>
        <v>0.05</v>
      </c>
      <c r="N5786" s="464">
        <f t="shared" si="215"/>
        <v>227152</v>
      </c>
    </row>
    <row r="5787" spans="7:14" ht="11.25" customHeight="1" x14ac:dyDescent="0.3">
      <c r="G5787" s="459"/>
      <c r="H5787" s="459">
        <v>5780</v>
      </c>
      <c r="I5787" s="444">
        <f t="shared" ca="1" si="213"/>
        <v>-708255147800271.88</v>
      </c>
      <c r="J5787" s="444">
        <f t="array" ref="J5787">IFERROR(INDEX('Retirement Calculator'!J:J,MATCH('Isaac 401k'!N5787,'Retirement Calculator'!A:A,0),0),0)</f>
        <v>0</v>
      </c>
      <c r="K5787" s="444">
        <f t="shared" ca="1" si="211"/>
        <v>-2951063115834.4663</v>
      </c>
      <c r="L5787" s="444">
        <f t="shared" ca="1" si="212"/>
        <v>-711206210916106.38</v>
      </c>
      <c r="M5787" s="460">
        <f t="shared" si="214"/>
        <v>0.05</v>
      </c>
      <c r="N5787" s="464">
        <f t="shared" si="215"/>
        <v>227183</v>
      </c>
    </row>
    <row r="5788" spans="7:14" ht="11.25" customHeight="1" x14ac:dyDescent="0.3">
      <c r="G5788" s="459"/>
      <c r="H5788" s="459">
        <v>5781</v>
      </c>
      <c r="I5788" s="444">
        <f t="shared" ca="1" si="213"/>
        <v>-711206210916106.38</v>
      </c>
      <c r="J5788" s="444">
        <f t="array" ref="J5788">IFERROR(INDEX('Retirement Calculator'!J:J,MATCH('Isaac 401k'!N5788,'Retirement Calculator'!A:A,0),0),0)</f>
        <v>0</v>
      </c>
      <c r="K5788" s="444">
        <f t="shared" ca="1" si="211"/>
        <v>-2963359212150.4434</v>
      </c>
      <c r="L5788" s="444">
        <f t="shared" ca="1" si="212"/>
        <v>-714169570128256.88</v>
      </c>
      <c r="M5788" s="460">
        <f t="shared" si="214"/>
        <v>0.05</v>
      </c>
      <c r="N5788" s="464">
        <f t="shared" si="215"/>
        <v>227214</v>
      </c>
    </row>
    <row r="5789" spans="7:14" ht="11.25" customHeight="1" x14ac:dyDescent="0.3">
      <c r="G5789" s="459"/>
      <c r="H5789" s="459">
        <v>5782</v>
      </c>
      <c r="I5789" s="444">
        <f t="shared" ca="1" si="213"/>
        <v>-714169570128256.88</v>
      </c>
      <c r="J5789" s="444">
        <f t="array" ref="J5789">IFERROR(INDEX('Retirement Calculator'!J:J,MATCH('Isaac 401k'!N5789,'Retirement Calculator'!A:A,0),0),0)</f>
        <v>0</v>
      </c>
      <c r="K5789" s="444">
        <f t="shared" ca="1" si="211"/>
        <v>-2975706542201.0703</v>
      </c>
      <c r="L5789" s="444">
        <f t="shared" ca="1" si="212"/>
        <v>-717145276670458</v>
      </c>
      <c r="M5789" s="460">
        <f t="shared" si="214"/>
        <v>0.05</v>
      </c>
      <c r="N5789" s="464">
        <f t="shared" si="215"/>
        <v>227242</v>
      </c>
    </row>
    <row r="5790" spans="7:14" ht="11.25" customHeight="1" x14ac:dyDescent="0.3">
      <c r="G5790" s="459"/>
      <c r="H5790" s="459">
        <v>5783</v>
      </c>
      <c r="I5790" s="444">
        <f t="shared" ca="1" si="213"/>
        <v>-717145276670458</v>
      </c>
      <c r="J5790" s="444">
        <f t="array" ref="J5790">IFERROR(INDEX('Retirement Calculator'!J:J,MATCH('Isaac 401k'!N5790,'Retirement Calculator'!A:A,0),0),0)</f>
        <v>0</v>
      </c>
      <c r="K5790" s="444">
        <f t="shared" ca="1" si="211"/>
        <v>-2988105319460.2417</v>
      </c>
      <c r="L5790" s="444">
        <f t="shared" ca="1" si="212"/>
        <v>-720133381989918.25</v>
      </c>
      <c r="M5790" s="460">
        <f t="shared" si="214"/>
        <v>0.05</v>
      </c>
      <c r="N5790" s="464">
        <f t="shared" si="215"/>
        <v>227273</v>
      </c>
    </row>
    <row r="5791" spans="7:14" ht="11.25" customHeight="1" x14ac:dyDescent="0.3">
      <c r="G5791" s="459"/>
      <c r="H5791" s="459">
        <v>5784</v>
      </c>
      <c r="I5791" s="444">
        <f t="shared" ca="1" si="213"/>
        <v>-720133381989918.25</v>
      </c>
      <c r="J5791" s="444">
        <f t="array" ref="J5791">IFERROR(INDEX('Retirement Calculator'!J:J,MATCH('Isaac 401k'!N5791,'Retirement Calculator'!A:A,0),0),0)</f>
        <v>0</v>
      </c>
      <c r="K5791" s="444">
        <f t="shared" ca="1" si="211"/>
        <v>-3000555758291.3262</v>
      </c>
      <c r="L5791" s="444">
        <f t="shared" ca="1" si="212"/>
        <v>-723133937748209.63</v>
      </c>
      <c r="M5791" s="460">
        <f t="shared" si="214"/>
        <v>0.05</v>
      </c>
      <c r="N5791" s="464">
        <f t="shared" si="215"/>
        <v>227303</v>
      </c>
    </row>
    <row r="5792" spans="7:14" ht="11.25" customHeight="1" x14ac:dyDescent="0.3">
      <c r="G5792" s="459"/>
      <c r="H5792" s="459">
        <v>5785</v>
      </c>
      <c r="I5792" s="444">
        <f t="shared" ca="1" si="213"/>
        <v>-723133937748209.63</v>
      </c>
      <c r="J5792" s="444">
        <f t="array" ref="J5792">IFERROR(INDEX('Retirement Calculator'!J:J,MATCH('Isaac 401k'!N5792,'Retirement Calculator'!A:A,0),0),0)</f>
        <v>0</v>
      </c>
      <c r="K5792" s="444">
        <f t="shared" ca="1" si="211"/>
        <v>-3013058073950.8735</v>
      </c>
      <c r="L5792" s="444">
        <f t="shared" ca="1" si="212"/>
        <v>-726146995822160.5</v>
      </c>
      <c r="M5792" s="460">
        <f t="shared" si="214"/>
        <v>0.05</v>
      </c>
      <c r="N5792" s="464">
        <f t="shared" si="215"/>
        <v>227334</v>
      </c>
    </row>
    <row r="5793" spans="7:14" ht="11.25" customHeight="1" x14ac:dyDescent="0.3">
      <c r="G5793" s="459"/>
      <c r="H5793" s="459">
        <v>5786</v>
      </c>
      <c r="I5793" s="444">
        <f t="shared" ca="1" si="213"/>
        <v>-726146995822160.5</v>
      </c>
      <c r="J5793" s="444">
        <f t="array" ref="J5793">IFERROR(INDEX('Retirement Calculator'!J:J,MATCH('Isaac 401k'!N5793,'Retirement Calculator'!A:A,0),0),0)</f>
        <v>0</v>
      </c>
      <c r="K5793" s="444">
        <f t="shared" ca="1" si="211"/>
        <v>-3025612482592.3354</v>
      </c>
      <c r="L5793" s="444">
        <f t="shared" ca="1" si="212"/>
        <v>-729172608304752.88</v>
      </c>
      <c r="M5793" s="460">
        <f t="shared" si="214"/>
        <v>0.05</v>
      </c>
      <c r="N5793" s="464">
        <f t="shared" si="215"/>
        <v>227364</v>
      </c>
    </row>
    <row r="5794" spans="7:14" ht="11.25" customHeight="1" x14ac:dyDescent="0.3">
      <c r="G5794" s="459"/>
      <c r="H5794" s="459">
        <v>5787</v>
      </c>
      <c r="I5794" s="444">
        <f t="shared" ca="1" si="213"/>
        <v>-729172608304752.88</v>
      </c>
      <c r="J5794" s="444">
        <f t="array" ref="J5794">IFERROR(INDEX('Retirement Calculator'!J:J,MATCH('Isaac 401k'!N5794,'Retirement Calculator'!A:A,0),0),0)</f>
        <v>0</v>
      </c>
      <c r="K5794" s="444">
        <f t="shared" ca="1" si="211"/>
        <v>-3038219201269.8037</v>
      </c>
      <c r="L5794" s="444">
        <f t="shared" ca="1" si="212"/>
        <v>-732210827506022.63</v>
      </c>
      <c r="M5794" s="460">
        <f t="shared" si="214"/>
        <v>0.05</v>
      </c>
      <c r="N5794" s="464">
        <f t="shared" si="215"/>
        <v>227395</v>
      </c>
    </row>
    <row r="5795" spans="7:14" ht="11.25" customHeight="1" x14ac:dyDescent="0.3">
      <c r="G5795" s="459"/>
      <c r="H5795" s="459">
        <v>5788</v>
      </c>
      <c r="I5795" s="444">
        <f t="shared" ca="1" si="213"/>
        <v>-732210827506022.63</v>
      </c>
      <c r="J5795" s="444">
        <f t="array" ref="J5795">IFERROR(INDEX('Retirement Calculator'!J:J,MATCH('Isaac 401k'!N5795,'Retirement Calculator'!A:A,0),0),0)</f>
        <v>0</v>
      </c>
      <c r="K5795" s="444">
        <f t="shared" ca="1" si="211"/>
        <v>-3050878447941.7607</v>
      </c>
      <c r="L5795" s="444">
        <f t="shared" ca="1" si="212"/>
        <v>-735261705953964.38</v>
      </c>
      <c r="M5795" s="460">
        <f t="shared" si="214"/>
        <v>0.05</v>
      </c>
      <c r="N5795" s="464">
        <f t="shared" si="215"/>
        <v>227426</v>
      </c>
    </row>
    <row r="5796" spans="7:14" ht="11.25" customHeight="1" x14ac:dyDescent="0.3">
      <c r="G5796" s="459"/>
      <c r="H5796" s="459">
        <v>5789</v>
      </c>
      <c r="I5796" s="444">
        <f t="shared" ca="1" si="213"/>
        <v>-735261705953964.38</v>
      </c>
      <c r="J5796" s="444">
        <f t="array" ref="J5796">IFERROR(INDEX('Retirement Calculator'!J:J,MATCH('Isaac 401k'!N5796,'Retirement Calculator'!A:A,0),0),0)</f>
        <v>0</v>
      </c>
      <c r="K5796" s="444">
        <f t="shared" ca="1" si="211"/>
        <v>-3063590441474.8516</v>
      </c>
      <c r="L5796" s="444">
        <f t="shared" ca="1" si="212"/>
        <v>-738325296395439.25</v>
      </c>
      <c r="M5796" s="460">
        <f t="shared" si="214"/>
        <v>0.05</v>
      </c>
      <c r="N5796" s="464">
        <f t="shared" si="215"/>
        <v>227456</v>
      </c>
    </row>
    <row r="5797" spans="7:14" ht="11.25" customHeight="1" x14ac:dyDescent="0.3">
      <c r="G5797" s="459"/>
      <c r="H5797" s="459">
        <v>5790</v>
      </c>
      <c r="I5797" s="444">
        <f t="shared" ca="1" si="213"/>
        <v>-738325296395439.25</v>
      </c>
      <c r="J5797" s="444">
        <f t="array" ref="J5797">IFERROR(INDEX('Retirement Calculator'!J:J,MATCH('Isaac 401k'!N5797,'Retirement Calculator'!A:A,0),0),0)</f>
        <v>0</v>
      </c>
      <c r="K5797" s="444">
        <f t="shared" ca="1" si="211"/>
        <v>-3076355401647.6636</v>
      </c>
      <c r="L5797" s="444">
        <f t="shared" ca="1" si="212"/>
        <v>-741401651797086.88</v>
      </c>
      <c r="M5797" s="460">
        <f t="shared" si="214"/>
        <v>0.05</v>
      </c>
      <c r="N5797" s="464">
        <f t="shared" si="215"/>
        <v>227487</v>
      </c>
    </row>
    <row r="5798" spans="7:14" ht="11.25" customHeight="1" x14ac:dyDescent="0.3">
      <c r="G5798" s="459"/>
      <c r="H5798" s="459">
        <v>5791</v>
      </c>
      <c r="I5798" s="444">
        <f t="shared" ca="1" si="213"/>
        <v>-741401651797086.88</v>
      </c>
      <c r="J5798" s="444">
        <f t="array" ref="J5798">IFERROR(INDEX('Retirement Calculator'!J:J,MATCH('Isaac 401k'!N5798,'Retirement Calculator'!A:A,0),0),0)</f>
        <v>0</v>
      </c>
      <c r="K5798" s="444">
        <f t="shared" ca="1" si="211"/>
        <v>-3089173549154.5288</v>
      </c>
      <c r="L5798" s="444">
        <f t="shared" ca="1" si="212"/>
        <v>-744490825346241.38</v>
      </c>
      <c r="M5798" s="460">
        <f t="shared" si="214"/>
        <v>0.05</v>
      </c>
      <c r="N5798" s="464">
        <f t="shared" si="215"/>
        <v>227517</v>
      </c>
    </row>
    <row r="5799" spans="7:14" ht="11.25" customHeight="1" x14ac:dyDescent="0.3">
      <c r="G5799" s="459"/>
      <c r="H5799" s="459">
        <v>5792</v>
      </c>
      <c r="I5799" s="444">
        <f t="shared" ca="1" si="213"/>
        <v>-744490825346241.38</v>
      </c>
      <c r="J5799" s="444">
        <f t="array" ref="J5799">IFERROR(INDEX('Retirement Calculator'!J:J,MATCH('Isaac 401k'!N5799,'Retirement Calculator'!A:A,0),0),0)</f>
        <v>0</v>
      </c>
      <c r="K5799" s="444">
        <f t="shared" ca="1" si="211"/>
        <v>-3102045105609.3389</v>
      </c>
      <c r="L5799" s="444">
        <f t="shared" ca="1" si="212"/>
        <v>-747592870451850.75</v>
      </c>
      <c r="M5799" s="460">
        <f t="shared" si="214"/>
        <v>0.05</v>
      </c>
      <c r="N5799" s="464">
        <f t="shared" si="215"/>
        <v>227548</v>
      </c>
    </row>
    <row r="5800" spans="7:14" ht="11.25" customHeight="1" x14ac:dyDescent="0.3">
      <c r="G5800" s="459"/>
      <c r="H5800" s="459">
        <v>5793</v>
      </c>
      <c r="I5800" s="444">
        <f t="shared" ca="1" si="213"/>
        <v>-747592870451850.75</v>
      </c>
      <c r="J5800" s="444">
        <f t="array" ref="J5800">IFERROR(INDEX('Retirement Calculator'!J:J,MATCH('Isaac 401k'!N5800,'Retirement Calculator'!A:A,0),0),0)</f>
        <v>0</v>
      </c>
      <c r="K5800" s="444">
        <f t="shared" ca="1" si="211"/>
        <v>-3114970293549.3779</v>
      </c>
      <c r="L5800" s="444">
        <f t="shared" ca="1" si="212"/>
        <v>-750707840745400.13</v>
      </c>
      <c r="M5800" s="460">
        <f t="shared" si="214"/>
        <v>0.05</v>
      </c>
      <c r="N5800" s="464">
        <f t="shared" si="215"/>
        <v>227579</v>
      </c>
    </row>
    <row r="5801" spans="7:14" ht="11.25" customHeight="1" x14ac:dyDescent="0.3">
      <c r="G5801" s="459"/>
      <c r="H5801" s="459">
        <v>5794</v>
      </c>
      <c r="I5801" s="444">
        <f t="shared" ca="1" si="213"/>
        <v>-750707840745400.13</v>
      </c>
      <c r="J5801" s="444">
        <f t="array" ref="J5801">IFERROR(INDEX('Retirement Calculator'!J:J,MATCH('Isaac 401k'!N5801,'Retirement Calculator'!A:A,0),0),0)</f>
        <v>0</v>
      </c>
      <c r="K5801" s="444">
        <f t="shared" ca="1" si="211"/>
        <v>-3127949336439.167</v>
      </c>
      <c r="L5801" s="444">
        <f t="shared" ca="1" si="212"/>
        <v>-753835790081839.25</v>
      </c>
      <c r="M5801" s="460">
        <f t="shared" si="214"/>
        <v>0.05</v>
      </c>
      <c r="N5801" s="464">
        <f t="shared" si="215"/>
        <v>227607</v>
      </c>
    </row>
    <row r="5802" spans="7:14" ht="11.25" customHeight="1" x14ac:dyDescent="0.3">
      <c r="G5802" s="459"/>
      <c r="H5802" s="459">
        <v>5795</v>
      </c>
      <c r="I5802" s="444">
        <f t="shared" ca="1" si="213"/>
        <v>-753835790081839.25</v>
      </c>
      <c r="J5802" s="444">
        <f t="array" ref="J5802">IFERROR(INDEX('Retirement Calculator'!J:J,MATCH('Isaac 401k'!N5802,'Retirement Calculator'!A:A,0),0),0)</f>
        <v>0</v>
      </c>
      <c r="K5802" s="444">
        <f t="shared" ca="1" si="211"/>
        <v>-3140982458674.3301</v>
      </c>
      <c r="L5802" s="444">
        <f t="shared" ca="1" si="212"/>
        <v>-756976772540513.63</v>
      </c>
      <c r="M5802" s="460">
        <f t="shared" si="214"/>
        <v>0.05</v>
      </c>
      <c r="N5802" s="464">
        <f t="shared" si="215"/>
        <v>227638</v>
      </c>
    </row>
    <row r="5803" spans="7:14" ht="11.25" customHeight="1" x14ac:dyDescent="0.3">
      <c r="G5803" s="459"/>
      <c r="H5803" s="459">
        <v>5796</v>
      </c>
      <c r="I5803" s="444">
        <f t="shared" ca="1" si="213"/>
        <v>-756976772540513.63</v>
      </c>
      <c r="J5803" s="444">
        <f t="array" ref="J5803">IFERROR(INDEX('Retirement Calculator'!J:J,MATCH('Isaac 401k'!N5803,'Retirement Calculator'!A:A,0),0),0)</f>
        <v>0</v>
      </c>
      <c r="K5803" s="444">
        <f t="shared" ca="1" si="211"/>
        <v>-3154069885585.4736</v>
      </c>
      <c r="L5803" s="444">
        <f t="shared" ca="1" si="212"/>
        <v>-760130842426099.13</v>
      </c>
      <c r="M5803" s="460">
        <f t="shared" si="214"/>
        <v>0.05</v>
      </c>
      <c r="N5803" s="464">
        <f t="shared" si="215"/>
        <v>227668</v>
      </c>
    </row>
    <row r="5804" spans="7:14" ht="11.25" customHeight="1" x14ac:dyDescent="0.3">
      <c r="G5804" s="459"/>
      <c r="H5804" s="459">
        <v>5797</v>
      </c>
      <c r="I5804" s="444">
        <f t="shared" ca="1" si="213"/>
        <v>-760130842426099.13</v>
      </c>
      <c r="J5804" s="444">
        <f t="array" ref="J5804">IFERROR(INDEX('Retirement Calculator'!J:J,MATCH('Isaac 401k'!N5804,'Retirement Calculator'!A:A,0),0),0)</f>
        <v>0</v>
      </c>
      <c r="K5804" s="444">
        <f t="shared" ca="1" si="211"/>
        <v>-3167211843442.0796</v>
      </c>
      <c r="L5804" s="444">
        <f t="shared" ca="1" si="212"/>
        <v>-763298054269541.25</v>
      </c>
      <c r="M5804" s="460">
        <f t="shared" si="214"/>
        <v>0.05</v>
      </c>
      <c r="N5804" s="464">
        <f t="shared" si="215"/>
        <v>227699</v>
      </c>
    </row>
    <row r="5805" spans="7:14" ht="11.25" customHeight="1" x14ac:dyDescent="0.3">
      <c r="G5805" s="459"/>
      <c r="H5805" s="459">
        <v>5798</v>
      </c>
      <c r="I5805" s="444">
        <f t="shared" ca="1" si="213"/>
        <v>-763298054269541.25</v>
      </c>
      <c r="J5805" s="444">
        <f t="array" ref="J5805">IFERROR(INDEX('Retirement Calculator'!J:J,MATCH('Isaac 401k'!N5805,'Retirement Calculator'!A:A,0),0),0)</f>
        <v>0</v>
      </c>
      <c r="K5805" s="444">
        <f t="shared" ca="1" si="211"/>
        <v>-3180408559456.4219</v>
      </c>
      <c r="L5805" s="444">
        <f t="shared" ca="1" si="212"/>
        <v>-766478462828997.63</v>
      </c>
      <c r="M5805" s="460">
        <f t="shared" si="214"/>
        <v>0.05</v>
      </c>
      <c r="N5805" s="464">
        <f t="shared" si="215"/>
        <v>227729</v>
      </c>
    </row>
    <row r="5806" spans="7:14" ht="11.25" customHeight="1" x14ac:dyDescent="0.3">
      <c r="G5806" s="459"/>
      <c r="H5806" s="459">
        <v>5799</v>
      </c>
      <c r="I5806" s="444">
        <f t="shared" ca="1" si="213"/>
        <v>-766478462828997.63</v>
      </c>
      <c r="J5806" s="444">
        <f t="array" ref="J5806">IFERROR(INDEX('Retirement Calculator'!J:J,MATCH('Isaac 401k'!N5806,'Retirement Calculator'!A:A,0),0),0)</f>
        <v>0</v>
      </c>
      <c r="K5806" s="444">
        <f t="shared" ca="1" si="211"/>
        <v>-3193660261787.4902</v>
      </c>
      <c r="L5806" s="444">
        <f t="shared" ca="1" si="212"/>
        <v>-769672123090785.13</v>
      </c>
      <c r="M5806" s="460">
        <f t="shared" si="214"/>
        <v>0.05</v>
      </c>
      <c r="N5806" s="464">
        <f t="shared" si="215"/>
        <v>227760</v>
      </c>
    </row>
    <row r="5807" spans="7:14" ht="11.25" customHeight="1" x14ac:dyDescent="0.3">
      <c r="G5807" s="459"/>
      <c r="H5807" s="459">
        <v>5800</v>
      </c>
      <c r="I5807" s="444">
        <f t="shared" ca="1" si="213"/>
        <v>-769672123090785.13</v>
      </c>
      <c r="J5807" s="444">
        <f t="array" ref="J5807">IFERROR(INDEX('Retirement Calculator'!J:J,MATCH('Isaac 401k'!N5807,'Retirement Calculator'!A:A,0),0),0)</f>
        <v>0</v>
      </c>
      <c r="K5807" s="444">
        <f t="shared" ca="1" si="211"/>
        <v>-3206967179544.938</v>
      </c>
      <c r="L5807" s="444">
        <f t="shared" ca="1" si="212"/>
        <v>-772879090270330.13</v>
      </c>
      <c r="M5807" s="460">
        <f t="shared" si="214"/>
        <v>0.05</v>
      </c>
      <c r="N5807" s="464">
        <f t="shared" si="215"/>
        <v>227791</v>
      </c>
    </row>
    <row r="5808" spans="7:14" ht="11.25" customHeight="1" x14ac:dyDescent="0.3">
      <c r="G5808" s="459"/>
      <c r="H5808" s="459">
        <v>5801</v>
      </c>
      <c r="I5808" s="444">
        <f t="shared" ca="1" si="213"/>
        <v>-772879090270330.13</v>
      </c>
      <c r="J5808" s="444">
        <f t="array" ref="J5808">IFERROR(INDEX('Retirement Calculator'!J:J,MATCH('Isaac 401k'!N5808,'Retirement Calculator'!A:A,0),0),0)</f>
        <v>0</v>
      </c>
      <c r="K5808" s="444">
        <f t="shared" ca="1" si="211"/>
        <v>-3220329542793.042</v>
      </c>
      <c r="L5808" s="444">
        <f t="shared" ca="1" si="212"/>
        <v>-776099419813123.13</v>
      </c>
      <c r="M5808" s="460">
        <f t="shared" si="214"/>
        <v>0.05</v>
      </c>
      <c r="N5808" s="464">
        <f t="shared" si="215"/>
        <v>227821</v>
      </c>
    </row>
    <row r="5809" spans="7:14" ht="11.25" customHeight="1" x14ac:dyDescent="0.3">
      <c r="G5809" s="459"/>
      <c r="H5809" s="459">
        <v>5802</v>
      </c>
      <c r="I5809" s="444">
        <f t="shared" ca="1" si="213"/>
        <v>-776099419813123.13</v>
      </c>
      <c r="J5809" s="444">
        <f t="array" ref="J5809">IFERROR(INDEX('Retirement Calculator'!J:J,MATCH('Isaac 401k'!N5809,'Retirement Calculator'!A:A,0),0),0)</f>
        <v>0</v>
      </c>
      <c r="K5809" s="444">
        <f t="shared" ca="1" si="211"/>
        <v>-3233747582554.6797</v>
      </c>
      <c r="L5809" s="444">
        <f t="shared" ca="1" si="212"/>
        <v>-779333167395677.75</v>
      </c>
      <c r="M5809" s="460">
        <f t="shared" si="214"/>
        <v>0.05</v>
      </c>
      <c r="N5809" s="464">
        <f t="shared" si="215"/>
        <v>227852</v>
      </c>
    </row>
    <row r="5810" spans="7:14" ht="11.25" customHeight="1" x14ac:dyDescent="0.3">
      <c r="G5810" s="459"/>
      <c r="H5810" s="459">
        <v>5803</v>
      </c>
      <c r="I5810" s="444">
        <f t="shared" ca="1" si="213"/>
        <v>-779333167395677.75</v>
      </c>
      <c r="J5810" s="444">
        <f t="array" ref="J5810">IFERROR(INDEX('Retirement Calculator'!J:J,MATCH('Isaac 401k'!N5810,'Retirement Calculator'!A:A,0),0),0)</f>
        <v>0</v>
      </c>
      <c r="K5810" s="444">
        <f t="shared" ca="1" si="211"/>
        <v>-3247221530815.3237</v>
      </c>
      <c r="L5810" s="444">
        <f t="shared" ca="1" si="212"/>
        <v>-782580388926493.13</v>
      </c>
      <c r="M5810" s="460">
        <f t="shared" si="214"/>
        <v>0.05</v>
      </c>
      <c r="N5810" s="464">
        <f t="shared" si="215"/>
        <v>227882</v>
      </c>
    </row>
    <row r="5811" spans="7:14" ht="11.25" customHeight="1" x14ac:dyDescent="0.3">
      <c r="G5811" s="459"/>
      <c r="H5811" s="459">
        <v>5804</v>
      </c>
      <c r="I5811" s="444">
        <f t="shared" ca="1" si="213"/>
        <v>-782580388926493.13</v>
      </c>
      <c r="J5811" s="444">
        <f t="array" ref="J5811">IFERROR(INDEX('Retirement Calculator'!J:J,MATCH('Isaac 401k'!N5811,'Retirement Calculator'!A:A,0),0),0)</f>
        <v>0</v>
      </c>
      <c r="K5811" s="444">
        <f t="shared" ca="1" si="211"/>
        <v>-3260751620527.0547</v>
      </c>
      <c r="L5811" s="444">
        <f t="shared" ca="1" si="212"/>
        <v>-785841140547020.13</v>
      </c>
      <c r="M5811" s="460">
        <f t="shared" si="214"/>
        <v>0.05</v>
      </c>
      <c r="N5811" s="464">
        <f t="shared" si="215"/>
        <v>227913</v>
      </c>
    </row>
    <row r="5812" spans="7:14" ht="11.25" customHeight="1" x14ac:dyDescent="0.3">
      <c r="G5812" s="459"/>
      <c r="H5812" s="459">
        <v>5805</v>
      </c>
      <c r="I5812" s="444">
        <f t="shared" ca="1" si="213"/>
        <v>-785841140547020.13</v>
      </c>
      <c r="J5812" s="444">
        <f t="array" ref="J5812">IFERROR(INDEX('Retirement Calculator'!J:J,MATCH('Isaac 401k'!N5812,'Retirement Calculator'!A:A,0),0),0)</f>
        <v>0</v>
      </c>
      <c r="K5812" s="444">
        <f t="shared" ca="1" si="211"/>
        <v>-3274338085612.584</v>
      </c>
      <c r="L5812" s="444">
        <f t="shared" ca="1" si="212"/>
        <v>-789115478632632.75</v>
      </c>
      <c r="M5812" s="460">
        <f t="shared" si="214"/>
        <v>0.05</v>
      </c>
      <c r="N5812" s="464">
        <f t="shared" si="215"/>
        <v>227944</v>
      </c>
    </row>
    <row r="5813" spans="7:14" ht="11.25" customHeight="1" x14ac:dyDescent="0.3">
      <c r="G5813" s="459"/>
      <c r="H5813" s="459">
        <v>5806</v>
      </c>
      <c r="I5813" s="444">
        <f t="shared" ca="1" si="213"/>
        <v>-789115478632632.75</v>
      </c>
      <c r="J5813" s="444">
        <f t="array" ref="J5813">IFERROR(INDEX('Retirement Calculator'!J:J,MATCH('Isaac 401k'!N5813,'Retirement Calculator'!A:A,0),0),0)</f>
        <v>0</v>
      </c>
      <c r="K5813" s="444">
        <f t="shared" ca="1" si="211"/>
        <v>-3287981160969.3032</v>
      </c>
      <c r="L5813" s="444">
        <f t="shared" ca="1" si="212"/>
        <v>-792403459793602</v>
      </c>
      <c r="M5813" s="460">
        <f t="shared" si="214"/>
        <v>0.05</v>
      </c>
      <c r="N5813" s="464">
        <f t="shared" si="215"/>
        <v>227973</v>
      </c>
    </row>
    <row r="5814" spans="7:14" ht="11.25" customHeight="1" x14ac:dyDescent="0.3">
      <c r="G5814" s="459"/>
      <c r="H5814" s="459">
        <v>5807</v>
      </c>
      <c r="I5814" s="444">
        <f t="shared" ca="1" si="213"/>
        <v>-792403459793602</v>
      </c>
      <c r="J5814" s="444">
        <f t="array" ref="J5814">IFERROR(INDEX('Retirement Calculator'!J:J,MATCH('Isaac 401k'!N5814,'Retirement Calculator'!A:A,0),0),0)</f>
        <v>0</v>
      </c>
      <c r="K5814" s="444">
        <f t="shared" ca="1" si="211"/>
        <v>-3301681082473.3418</v>
      </c>
      <c r="L5814" s="444">
        <f t="shared" ca="1" si="212"/>
        <v>-795705140876075.38</v>
      </c>
      <c r="M5814" s="460">
        <f t="shared" si="214"/>
        <v>0.05</v>
      </c>
      <c r="N5814" s="464">
        <f t="shared" si="215"/>
        <v>228004</v>
      </c>
    </row>
    <row r="5815" spans="7:14" ht="11.25" customHeight="1" x14ac:dyDescent="0.3">
      <c r="G5815" s="459"/>
      <c r="H5815" s="459">
        <v>5808</v>
      </c>
      <c r="I5815" s="444">
        <f t="shared" ca="1" si="213"/>
        <v>-795705140876075.38</v>
      </c>
      <c r="J5815" s="444">
        <f t="array" ref="J5815">IFERROR(INDEX('Retirement Calculator'!J:J,MATCH('Isaac 401k'!N5815,'Retirement Calculator'!A:A,0),0),0)</f>
        <v>0</v>
      </c>
      <c r="K5815" s="444">
        <f t="shared" ca="1" si="211"/>
        <v>-3315438086983.6475</v>
      </c>
      <c r="L5815" s="444">
        <f t="shared" ca="1" si="212"/>
        <v>-799020578963059</v>
      </c>
      <c r="M5815" s="460">
        <f t="shared" si="214"/>
        <v>0.05</v>
      </c>
      <c r="N5815" s="464">
        <f t="shared" si="215"/>
        <v>228034</v>
      </c>
    </row>
    <row r="5816" spans="7:14" ht="11.25" customHeight="1" x14ac:dyDescent="0.3">
      <c r="G5816" s="459"/>
      <c r="H5816" s="459">
        <v>5809</v>
      </c>
      <c r="I5816" s="444">
        <f t="shared" ca="1" si="213"/>
        <v>-799020578963059</v>
      </c>
      <c r="J5816" s="444">
        <f t="array" ref="J5816">IFERROR(INDEX('Retirement Calculator'!J:J,MATCH('Isaac 401k'!N5816,'Retirement Calculator'!A:A,0),0),0)</f>
        <v>0</v>
      </c>
      <c r="K5816" s="444">
        <f t="shared" ca="1" si="211"/>
        <v>-3329252412346.0791</v>
      </c>
      <c r="L5816" s="444">
        <f t="shared" ca="1" si="212"/>
        <v>-802349831375405.13</v>
      </c>
      <c r="M5816" s="460">
        <f t="shared" si="214"/>
        <v>0.05</v>
      </c>
      <c r="N5816" s="464">
        <f t="shared" si="215"/>
        <v>228065</v>
      </c>
    </row>
    <row r="5817" spans="7:14" ht="11.25" customHeight="1" x14ac:dyDescent="0.3">
      <c r="G5817" s="459"/>
      <c r="H5817" s="459">
        <v>5810</v>
      </c>
      <c r="I5817" s="444">
        <f t="shared" ca="1" si="213"/>
        <v>-802349831375405.13</v>
      </c>
      <c r="J5817" s="444">
        <f t="array" ref="J5817">IFERROR(INDEX('Retirement Calculator'!J:J,MATCH('Isaac 401k'!N5817,'Retirement Calculator'!A:A,0),0),0)</f>
        <v>0</v>
      </c>
      <c r="K5817" s="444">
        <f t="shared" ca="1" si="211"/>
        <v>-3343124297397.5215</v>
      </c>
      <c r="L5817" s="444">
        <f t="shared" ca="1" si="212"/>
        <v>-805692955672802.63</v>
      </c>
      <c r="M5817" s="460">
        <f t="shared" si="214"/>
        <v>0.05</v>
      </c>
      <c r="N5817" s="464">
        <f t="shared" si="215"/>
        <v>228095</v>
      </c>
    </row>
    <row r="5818" spans="7:14" ht="11.25" customHeight="1" x14ac:dyDescent="0.3">
      <c r="G5818" s="459"/>
      <c r="H5818" s="459">
        <v>5811</v>
      </c>
      <c r="I5818" s="444">
        <f t="shared" ca="1" si="213"/>
        <v>-805692955672802.63</v>
      </c>
      <c r="J5818" s="444">
        <f t="array" ref="J5818">IFERROR(INDEX('Retirement Calculator'!J:J,MATCH('Isaac 401k'!N5818,'Retirement Calculator'!A:A,0),0),0)</f>
        <v>0</v>
      </c>
      <c r="K5818" s="444">
        <f t="shared" ca="1" si="211"/>
        <v>-3357053981970.0107</v>
      </c>
      <c r="L5818" s="444">
        <f t="shared" ca="1" si="212"/>
        <v>-809050009654772.63</v>
      </c>
      <c r="M5818" s="460">
        <f t="shared" si="214"/>
        <v>0.05</v>
      </c>
      <c r="N5818" s="464">
        <f t="shared" si="215"/>
        <v>228126</v>
      </c>
    </row>
    <row r="5819" spans="7:14" ht="11.25" customHeight="1" x14ac:dyDescent="0.3">
      <c r="G5819" s="459"/>
      <c r="H5819" s="459">
        <v>5812</v>
      </c>
      <c r="I5819" s="444">
        <f t="shared" ca="1" si="213"/>
        <v>-809050009654772.63</v>
      </c>
      <c r="J5819" s="444">
        <f t="array" ref="J5819">IFERROR(INDEX('Retirement Calculator'!J:J,MATCH('Isaac 401k'!N5819,'Retirement Calculator'!A:A,0),0),0)</f>
        <v>0</v>
      </c>
      <c r="K5819" s="444">
        <f t="shared" ca="1" si="211"/>
        <v>-3371041706894.8857</v>
      </c>
      <c r="L5819" s="444">
        <f t="shared" ca="1" si="212"/>
        <v>-812421051361667.5</v>
      </c>
      <c r="M5819" s="460">
        <f t="shared" si="214"/>
        <v>0.05</v>
      </c>
      <c r="N5819" s="464">
        <f t="shared" si="215"/>
        <v>228157</v>
      </c>
    </row>
    <row r="5820" spans="7:14" ht="11.25" customHeight="1" x14ac:dyDescent="0.3">
      <c r="G5820" s="459"/>
      <c r="H5820" s="459">
        <v>5813</v>
      </c>
      <c r="I5820" s="444">
        <f t="shared" ca="1" si="213"/>
        <v>-812421051361667.5</v>
      </c>
      <c r="J5820" s="444">
        <f t="array" ref="J5820">IFERROR(INDEX('Retirement Calculator'!J:J,MATCH('Isaac 401k'!N5820,'Retirement Calculator'!A:A,0),0),0)</f>
        <v>0</v>
      </c>
      <c r="K5820" s="444">
        <f t="shared" ca="1" si="211"/>
        <v>-3385087714006.9478</v>
      </c>
      <c r="L5820" s="444">
        <f t="shared" ca="1" si="212"/>
        <v>-815806139075674.5</v>
      </c>
      <c r="M5820" s="460">
        <f t="shared" si="214"/>
        <v>0.05</v>
      </c>
      <c r="N5820" s="464">
        <f t="shared" si="215"/>
        <v>228187</v>
      </c>
    </row>
    <row r="5821" spans="7:14" ht="11.25" customHeight="1" x14ac:dyDescent="0.3">
      <c r="G5821" s="459"/>
      <c r="H5821" s="459">
        <v>5814</v>
      </c>
      <c r="I5821" s="444">
        <f t="shared" ca="1" si="213"/>
        <v>-815806139075674.5</v>
      </c>
      <c r="J5821" s="444">
        <f t="array" ref="J5821">IFERROR(INDEX('Retirement Calculator'!J:J,MATCH('Isaac 401k'!N5821,'Retirement Calculator'!A:A,0),0),0)</f>
        <v>0</v>
      </c>
      <c r="K5821" s="444">
        <f t="shared" ca="1" si="211"/>
        <v>-3399192246148.6436</v>
      </c>
      <c r="L5821" s="444">
        <f t="shared" ca="1" si="212"/>
        <v>-819205331321823.13</v>
      </c>
      <c r="M5821" s="460">
        <f t="shared" si="214"/>
        <v>0.05</v>
      </c>
      <c r="N5821" s="464">
        <f t="shared" si="215"/>
        <v>228218</v>
      </c>
    </row>
    <row r="5822" spans="7:14" ht="11.25" customHeight="1" x14ac:dyDescent="0.3">
      <c r="G5822" s="459"/>
      <c r="H5822" s="459">
        <v>5815</v>
      </c>
      <c r="I5822" s="444">
        <f t="shared" ca="1" si="213"/>
        <v>-819205331321823.13</v>
      </c>
      <c r="J5822" s="444">
        <f t="array" ref="J5822">IFERROR(INDEX('Retirement Calculator'!J:J,MATCH('Isaac 401k'!N5822,'Retirement Calculator'!A:A,0),0),0)</f>
        <v>0</v>
      </c>
      <c r="K5822" s="444">
        <f t="shared" ca="1" si="211"/>
        <v>-3413355547174.2632</v>
      </c>
      <c r="L5822" s="444">
        <f t="shared" ca="1" si="212"/>
        <v>-822618686868997.38</v>
      </c>
      <c r="M5822" s="460">
        <f t="shared" si="214"/>
        <v>0.05</v>
      </c>
      <c r="N5822" s="464">
        <f t="shared" si="215"/>
        <v>228248</v>
      </c>
    </row>
    <row r="5823" spans="7:14" ht="11.25" customHeight="1" x14ac:dyDescent="0.3">
      <c r="G5823" s="459"/>
      <c r="H5823" s="459">
        <v>5816</v>
      </c>
      <c r="I5823" s="444">
        <f t="shared" ca="1" si="213"/>
        <v>-822618686868997.38</v>
      </c>
      <c r="J5823" s="444">
        <f t="array" ref="J5823">IFERROR(INDEX('Retirement Calculator'!J:J,MATCH('Isaac 401k'!N5823,'Retirement Calculator'!A:A,0),0),0)</f>
        <v>0</v>
      </c>
      <c r="K5823" s="444">
        <f t="shared" ca="1" si="211"/>
        <v>-3427577861954.1558</v>
      </c>
      <c r="L5823" s="444">
        <f t="shared" ca="1" si="212"/>
        <v>-826046264730951.5</v>
      </c>
      <c r="M5823" s="460">
        <f t="shared" si="214"/>
        <v>0.05</v>
      </c>
      <c r="N5823" s="464">
        <f t="shared" si="215"/>
        <v>228279</v>
      </c>
    </row>
    <row r="5824" spans="7:14" ht="11.25" customHeight="1" x14ac:dyDescent="0.3">
      <c r="G5824" s="459"/>
      <c r="H5824" s="459">
        <v>5817</v>
      </c>
      <c r="I5824" s="444">
        <f t="shared" ca="1" si="213"/>
        <v>-826046264730951.5</v>
      </c>
      <c r="J5824" s="444">
        <f t="array" ref="J5824">IFERROR(INDEX('Retirement Calculator'!J:J,MATCH('Isaac 401k'!N5824,'Retirement Calculator'!A:A,0),0),0)</f>
        <v>0</v>
      </c>
      <c r="K5824" s="444">
        <f t="shared" ca="1" si="211"/>
        <v>-3441859436378.9644</v>
      </c>
      <c r="L5824" s="444">
        <f t="shared" ca="1" si="212"/>
        <v>-829488124167330.5</v>
      </c>
      <c r="M5824" s="460">
        <f t="shared" si="214"/>
        <v>0.05</v>
      </c>
      <c r="N5824" s="464">
        <f t="shared" si="215"/>
        <v>228310</v>
      </c>
    </row>
    <row r="5825" spans="7:14" ht="11.25" customHeight="1" x14ac:dyDescent="0.3">
      <c r="G5825" s="459"/>
      <c r="H5825" s="459">
        <v>5818</v>
      </c>
      <c r="I5825" s="444">
        <f t="shared" ca="1" si="213"/>
        <v>-829488124167330.5</v>
      </c>
      <c r="J5825" s="444">
        <f t="array" ref="J5825">IFERROR(INDEX('Retirement Calculator'!J:J,MATCH('Isaac 401k'!N5825,'Retirement Calculator'!A:A,0),0),0)</f>
        <v>0</v>
      </c>
      <c r="K5825" s="444">
        <f t="shared" ca="1" si="211"/>
        <v>-3456200517363.877</v>
      </c>
      <c r="L5825" s="444">
        <f t="shared" ca="1" si="212"/>
        <v>-832944324684694.38</v>
      </c>
      <c r="M5825" s="460">
        <f t="shared" si="214"/>
        <v>0.05</v>
      </c>
      <c r="N5825" s="464">
        <f t="shared" si="215"/>
        <v>228338</v>
      </c>
    </row>
    <row r="5826" spans="7:14" ht="11.25" customHeight="1" x14ac:dyDescent="0.3">
      <c r="G5826" s="459"/>
      <c r="H5826" s="459">
        <v>5819</v>
      </c>
      <c r="I5826" s="444">
        <f t="shared" ca="1" si="213"/>
        <v>-832944324684694.38</v>
      </c>
      <c r="J5826" s="444">
        <f t="array" ref="J5826">IFERROR(INDEX('Retirement Calculator'!J:J,MATCH('Isaac 401k'!N5826,'Retirement Calculator'!A:A,0),0),0)</f>
        <v>0</v>
      </c>
      <c r="K5826" s="444">
        <f t="shared" ca="1" si="211"/>
        <v>-3470601352852.8931</v>
      </c>
      <c r="L5826" s="444">
        <f t="shared" ca="1" si="212"/>
        <v>-836414926037547.25</v>
      </c>
      <c r="M5826" s="460">
        <f t="shared" si="214"/>
        <v>0.05</v>
      </c>
      <c r="N5826" s="464">
        <f t="shared" si="215"/>
        <v>228369</v>
      </c>
    </row>
    <row r="5827" spans="7:14" ht="11.25" customHeight="1" x14ac:dyDescent="0.3">
      <c r="G5827" s="459"/>
      <c r="H5827" s="459">
        <v>5820</v>
      </c>
      <c r="I5827" s="444">
        <f t="shared" ca="1" si="213"/>
        <v>-836414926037547.25</v>
      </c>
      <c r="J5827" s="444">
        <f t="array" ref="J5827">IFERROR(INDEX('Retirement Calculator'!J:J,MATCH('Isaac 401k'!N5827,'Retirement Calculator'!A:A,0),0),0)</f>
        <v>0</v>
      </c>
      <c r="K5827" s="444">
        <f t="shared" ca="1" si="211"/>
        <v>-3485062191823.1133</v>
      </c>
      <c r="L5827" s="444">
        <f t="shared" ca="1" si="212"/>
        <v>-839899988229370.38</v>
      </c>
      <c r="M5827" s="460">
        <f t="shared" si="214"/>
        <v>0.05</v>
      </c>
      <c r="N5827" s="464">
        <f t="shared" si="215"/>
        <v>228399</v>
      </c>
    </row>
    <row r="5828" spans="7:14" ht="11.25" customHeight="1" x14ac:dyDescent="0.3">
      <c r="G5828" s="459"/>
      <c r="H5828" s="459">
        <v>5821</v>
      </c>
      <c r="I5828" s="444">
        <f t="shared" ca="1" si="213"/>
        <v>-839899988229370.38</v>
      </c>
      <c r="J5828" s="444">
        <f t="array" ref="J5828">IFERROR(INDEX('Retirement Calculator'!J:J,MATCH('Isaac 401k'!N5828,'Retirement Calculator'!A:A,0),0),0)</f>
        <v>0</v>
      </c>
      <c r="K5828" s="444">
        <f t="shared" ca="1" si="211"/>
        <v>-3499583284289.043</v>
      </c>
      <c r="L5828" s="444">
        <f t="shared" ca="1" si="212"/>
        <v>-843399571513659.38</v>
      </c>
      <c r="M5828" s="460">
        <f t="shared" si="214"/>
        <v>0.05</v>
      </c>
      <c r="N5828" s="464">
        <f t="shared" si="215"/>
        <v>228430</v>
      </c>
    </row>
    <row r="5829" spans="7:14" ht="11.25" customHeight="1" x14ac:dyDescent="0.3">
      <c r="G5829" s="459"/>
      <c r="H5829" s="459">
        <v>5822</v>
      </c>
      <c r="I5829" s="444">
        <f t="shared" ca="1" si="213"/>
        <v>-843399571513659.38</v>
      </c>
      <c r="J5829" s="444">
        <f t="array" ref="J5829">IFERROR(INDEX('Retirement Calculator'!J:J,MATCH('Isaac 401k'!N5829,'Retirement Calculator'!A:A,0),0),0)</f>
        <v>0</v>
      </c>
      <c r="K5829" s="444">
        <f t="shared" ca="1" si="211"/>
        <v>-3514164881306.9141</v>
      </c>
      <c r="L5829" s="444">
        <f t="shared" ca="1" si="212"/>
        <v>-846913736394966.25</v>
      </c>
      <c r="M5829" s="460">
        <f t="shared" si="214"/>
        <v>0.05</v>
      </c>
      <c r="N5829" s="464">
        <f t="shared" si="215"/>
        <v>228460</v>
      </c>
    </row>
    <row r="5830" spans="7:14" ht="11.25" customHeight="1" x14ac:dyDescent="0.3">
      <c r="G5830" s="459"/>
      <c r="H5830" s="459">
        <v>5823</v>
      </c>
      <c r="I5830" s="444">
        <f t="shared" ca="1" si="213"/>
        <v>-846913736394966.25</v>
      </c>
      <c r="J5830" s="444">
        <f t="array" ref="J5830">IFERROR(INDEX('Retirement Calculator'!J:J,MATCH('Isaac 401k'!N5830,'Retirement Calculator'!A:A,0),0),0)</f>
        <v>0</v>
      </c>
      <c r="K5830" s="444">
        <f t="shared" ca="1" si="211"/>
        <v>-3528807234979.0259</v>
      </c>
      <c r="L5830" s="444">
        <f t="shared" ca="1" si="212"/>
        <v>-850442543629945.25</v>
      </c>
      <c r="M5830" s="460">
        <f t="shared" si="214"/>
        <v>0.05</v>
      </c>
      <c r="N5830" s="464">
        <f t="shared" si="215"/>
        <v>228491</v>
      </c>
    </row>
    <row r="5831" spans="7:14" ht="11.25" customHeight="1" x14ac:dyDescent="0.3">
      <c r="G5831" s="459"/>
      <c r="H5831" s="459">
        <v>5824</v>
      </c>
      <c r="I5831" s="444">
        <f t="shared" ca="1" si="213"/>
        <v>-850442543629945.25</v>
      </c>
      <c r="J5831" s="444">
        <f t="array" ref="J5831">IFERROR(INDEX('Retirement Calculator'!J:J,MATCH('Isaac 401k'!N5831,'Retirement Calculator'!A:A,0),0),0)</f>
        <v>0</v>
      </c>
      <c r="K5831" s="444">
        <f t="shared" ca="1" si="211"/>
        <v>-3543510598458.105</v>
      </c>
      <c r="L5831" s="444">
        <f t="shared" ca="1" si="212"/>
        <v>-853986054228403.38</v>
      </c>
      <c r="M5831" s="460">
        <f t="shared" si="214"/>
        <v>0.05</v>
      </c>
      <c r="N5831" s="464">
        <f t="shared" si="215"/>
        <v>228522</v>
      </c>
    </row>
    <row r="5832" spans="7:14" ht="11.25" customHeight="1" x14ac:dyDescent="0.3">
      <c r="G5832" s="459"/>
      <c r="H5832" s="459">
        <v>5825</v>
      </c>
      <c r="I5832" s="444">
        <f t="shared" ca="1" si="213"/>
        <v>-853986054228403.38</v>
      </c>
      <c r="J5832" s="444">
        <f t="array" ref="J5832">IFERROR(INDEX('Retirement Calculator'!J:J,MATCH('Isaac 401k'!N5832,'Retirement Calculator'!A:A,0),0),0)</f>
        <v>0</v>
      </c>
      <c r="K5832" s="444">
        <f t="shared" ca="1" si="211"/>
        <v>-3558275225951.6807</v>
      </c>
      <c r="L5832" s="444">
        <f t="shared" ca="1" si="212"/>
        <v>-857544329454355</v>
      </c>
      <c r="M5832" s="460">
        <f t="shared" si="214"/>
        <v>0.05</v>
      </c>
      <c r="N5832" s="464">
        <f t="shared" si="215"/>
        <v>228552</v>
      </c>
    </row>
    <row r="5833" spans="7:14" ht="11.25" customHeight="1" x14ac:dyDescent="0.3">
      <c r="G5833" s="459"/>
      <c r="H5833" s="459">
        <v>5826</v>
      </c>
      <c r="I5833" s="444">
        <f t="shared" ca="1" si="213"/>
        <v>-857544329454355</v>
      </c>
      <c r="J5833" s="444">
        <f t="array" ref="J5833">IFERROR(INDEX('Retirement Calculator'!J:J,MATCH('Isaac 401k'!N5833,'Retirement Calculator'!A:A,0),0),0)</f>
        <v>0</v>
      </c>
      <c r="K5833" s="444">
        <f t="shared" ca="1" si="211"/>
        <v>-3573101372726.479</v>
      </c>
      <c r="L5833" s="444">
        <f t="shared" ca="1" si="212"/>
        <v>-861117430827081.5</v>
      </c>
      <c r="M5833" s="460">
        <f t="shared" si="214"/>
        <v>0.05</v>
      </c>
      <c r="N5833" s="464">
        <f t="shared" si="215"/>
        <v>228583</v>
      </c>
    </row>
    <row r="5834" spans="7:14" ht="11.25" customHeight="1" x14ac:dyDescent="0.3">
      <c r="G5834" s="459"/>
      <c r="H5834" s="459">
        <v>5827</v>
      </c>
      <c r="I5834" s="444">
        <f t="shared" ca="1" si="213"/>
        <v>-861117430827081.5</v>
      </c>
      <c r="J5834" s="444">
        <f t="array" ref="J5834">IFERROR(INDEX('Retirement Calculator'!J:J,MATCH('Isaac 401k'!N5834,'Retirement Calculator'!A:A,0),0),0)</f>
        <v>0</v>
      </c>
      <c r="K5834" s="444">
        <f t="shared" ca="1" si="211"/>
        <v>-3587989295112.8394</v>
      </c>
      <c r="L5834" s="444">
        <f t="shared" ca="1" si="212"/>
        <v>-864705420122194.38</v>
      </c>
      <c r="M5834" s="460">
        <f t="shared" si="214"/>
        <v>0.05</v>
      </c>
      <c r="N5834" s="464">
        <f t="shared" si="215"/>
        <v>228613</v>
      </c>
    </row>
    <row r="5835" spans="7:14" ht="11.25" customHeight="1" x14ac:dyDescent="0.3">
      <c r="G5835" s="459"/>
      <c r="H5835" s="459">
        <v>5828</v>
      </c>
      <c r="I5835" s="444">
        <f t="shared" ca="1" si="213"/>
        <v>-864705420122194.38</v>
      </c>
      <c r="J5835" s="444">
        <f t="array" ref="J5835">IFERROR(INDEX('Retirement Calculator'!J:J,MATCH('Isaac 401k'!N5835,'Retirement Calculator'!A:A,0),0),0)</f>
        <v>0</v>
      </c>
      <c r="K5835" s="444">
        <f t="shared" ca="1" si="211"/>
        <v>-3602939250509.1431</v>
      </c>
      <c r="L5835" s="444">
        <f t="shared" ca="1" si="212"/>
        <v>-868308359372703.5</v>
      </c>
      <c r="M5835" s="460">
        <f t="shared" si="214"/>
        <v>0.05</v>
      </c>
      <c r="N5835" s="464">
        <f t="shared" si="215"/>
        <v>228644</v>
      </c>
    </row>
    <row r="5836" spans="7:14" ht="11.25" customHeight="1" x14ac:dyDescent="0.3">
      <c r="G5836" s="459"/>
      <c r="H5836" s="459">
        <v>5829</v>
      </c>
      <c r="I5836" s="444">
        <f t="shared" ca="1" si="213"/>
        <v>-868308359372703.5</v>
      </c>
      <c r="J5836" s="444">
        <f t="array" ref="J5836">IFERROR(INDEX('Retirement Calculator'!J:J,MATCH('Isaac 401k'!N5836,'Retirement Calculator'!A:A,0),0),0)</f>
        <v>0</v>
      </c>
      <c r="K5836" s="444">
        <f t="shared" ca="1" si="211"/>
        <v>-3617951497386.2646</v>
      </c>
      <c r="L5836" s="444">
        <f t="shared" ca="1" si="212"/>
        <v>-871926310870089.75</v>
      </c>
      <c r="M5836" s="460">
        <f t="shared" si="214"/>
        <v>0.05</v>
      </c>
      <c r="N5836" s="464">
        <f t="shared" si="215"/>
        <v>228675</v>
      </c>
    </row>
    <row r="5837" spans="7:14" ht="11.25" customHeight="1" x14ac:dyDescent="0.3">
      <c r="G5837" s="459"/>
      <c r="H5837" s="459">
        <v>5830</v>
      </c>
      <c r="I5837" s="444">
        <f t="shared" ca="1" si="213"/>
        <v>-871926310870089.75</v>
      </c>
      <c r="J5837" s="444">
        <f t="array" ref="J5837">IFERROR(INDEX('Retirement Calculator'!J:J,MATCH('Isaac 401k'!N5837,'Retirement Calculator'!A:A,0),0),0)</f>
        <v>0</v>
      </c>
      <c r="K5837" s="444">
        <f t="shared" ca="1" si="211"/>
        <v>-3633026295292.0405</v>
      </c>
      <c r="L5837" s="444">
        <f t="shared" ca="1" si="212"/>
        <v>-875559337165381.75</v>
      </c>
      <c r="M5837" s="460">
        <f t="shared" si="214"/>
        <v>0.05</v>
      </c>
      <c r="N5837" s="464">
        <f t="shared" si="215"/>
        <v>228703</v>
      </c>
    </row>
    <row r="5838" spans="7:14" ht="11.25" customHeight="1" x14ac:dyDescent="0.3">
      <c r="G5838" s="459"/>
      <c r="H5838" s="459">
        <v>5831</v>
      </c>
      <c r="I5838" s="444">
        <f t="shared" ca="1" si="213"/>
        <v>-875559337165381.75</v>
      </c>
      <c r="J5838" s="444">
        <f t="array" ref="J5838">IFERROR(INDEX('Retirement Calculator'!J:J,MATCH('Isaac 401k'!N5838,'Retirement Calculator'!A:A,0),0),0)</f>
        <v>0</v>
      </c>
      <c r="K5838" s="444">
        <f t="shared" ca="1" si="211"/>
        <v>-3648163904855.7573</v>
      </c>
      <c r="L5838" s="444">
        <f t="shared" ca="1" si="212"/>
        <v>-879207501070237.5</v>
      </c>
      <c r="M5838" s="460">
        <f t="shared" si="214"/>
        <v>0.05</v>
      </c>
      <c r="N5838" s="464">
        <f t="shared" si="215"/>
        <v>228734</v>
      </c>
    </row>
    <row r="5839" spans="7:14" ht="11.25" customHeight="1" x14ac:dyDescent="0.3">
      <c r="G5839" s="459"/>
      <c r="H5839" s="459">
        <v>5832</v>
      </c>
      <c r="I5839" s="444">
        <f t="shared" ca="1" si="213"/>
        <v>-879207501070237.5</v>
      </c>
      <c r="J5839" s="444">
        <f t="array" ref="J5839">IFERROR(INDEX('Retirement Calculator'!J:J,MATCH('Isaac 401k'!N5839,'Retirement Calculator'!A:A,0),0),0)</f>
        <v>0</v>
      </c>
      <c r="K5839" s="444">
        <f t="shared" ca="1" si="211"/>
        <v>-3663364587792.6563</v>
      </c>
      <c r="L5839" s="444">
        <f t="shared" ca="1" si="212"/>
        <v>-882870865658030.13</v>
      </c>
      <c r="M5839" s="460">
        <f t="shared" si="214"/>
        <v>0.05</v>
      </c>
      <c r="N5839" s="464">
        <f t="shared" si="215"/>
        <v>228764</v>
      </c>
    </row>
    <row r="5840" spans="7:14" ht="11.25" customHeight="1" x14ac:dyDescent="0.3">
      <c r="G5840" s="459"/>
      <c r="H5840" s="459">
        <v>5833</v>
      </c>
      <c r="I5840" s="444">
        <f t="shared" ca="1" si="213"/>
        <v>-882870865658030.13</v>
      </c>
      <c r="J5840" s="444">
        <f t="array" ref="J5840">IFERROR(INDEX('Retirement Calculator'!J:J,MATCH('Isaac 401k'!N5840,'Retirement Calculator'!A:A,0),0),0)</f>
        <v>0</v>
      </c>
      <c r="K5840" s="444">
        <f t="shared" ca="1" si="211"/>
        <v>-3678628606908.4585</v>
      </c>
      <c r="L5840" s="444">
        <f t="shared" ca="1" si="212"/>
        <v>-886549494264938.63</v>
      </c>
      <c r="M5840" s="460">
        <f t="shared" si="214"/>
        <v>0.05</v>
      </c>
      <c r="N5840" s="464">
        <f t="shared" si="215"/>
        <v>228795</v>
      </c>
    </row>
    <row r="5841" spans="7:14" ht="11.25" customHeight="1" x14ac:dyDescent="0.3">
      <c r="G5841" s="459"/>
      <c r="H5841" s="459">
        <v>5834</v>
      </c>
      <c r="I5841" s="444">
        <f t="shared" ca="1" si="213"/>
        <v>-886549494264938.63</v>
      </c>
      <c r="J5841" s="444">
        <f t="array" ref="J5841">IFERROR(INDEX('Retirement Calculator'!J:J,MATCH('Isaac 401k'!N5841,'Retirement Calculator'!A:A,0),0),0)</f>
        <v>0</v>
      </c>
      <c r="K5841" s="444">
        <f t="shared" ca="1" si="211"/>
        <v>-3693956226103.9116</v>
      </c>
      <c r="L5841" s="444">
        <f t="shared" ca="1" si="212"/>
        <v>-890243450491042.5</v>
      </c>
      <c r="M5841" s="460">
        <f t="shared" si="214"/>
        <v>0.05</v>
      </c>
      <c r="N5841" s="464">
        <f t="shared" si="215"/>
        <v>228825</v>
      </c>
    </row>
    <row r="5842" spans="7:14" ht="11.25" customHeight="1" x14ac:dyDescent="0.3">
      <c r="G5842" s="459"/>
      <c r="H5842" s="459">
        <v>5835</v>
      </c>
      <c r="I5842" s="444">
        <f t="shared" ca="1" si="213"/>
        <v>-890243450491042.5</v>
      </c>
      <c r="J5842" s="444">
        <f t="array" ref="J5842">IFERROR(INDEX('Retirement Calculator'!J:J,MATCH('Isaac 401k'!N5842,'Retirement Calculator'!A:A,0),0),0)</f>
        <v>0</v>
      </c>
      <c r="K5842" s="444">
        <f t="shared" ca="1" si="211"/>
        <v>-3709347710379.3442</v>
      </c>
      <c r="L5842" s="444">
        <f t="shared" ca="1" si="212"/>
        <v>-893952798201421.88</v>
      </c>
      <c r="M5842" s="460">
        <f t="shared" si="214"/>
        <v>0.05</v>
      </c>
      <c r="N5842" s="464">
        <f t="shared" si="215"/>
        <v>228856</v>
      </c>
    </row>
    <row r="5843" spans="7:14" ht="11.25" customHeight="1" x14ac:dyDescent="0.3">
      <c r="G5843" s="459"/>
      <c r="H5843" s="459">
        <v>5836</v>
      </c>
      <c r="I5843" s="444">
        <f t="shared" ca="1" si="213"/>
        <v>-893952798201421.88</v>
      </c>
      <c r="J5843" s="444">
        <f t="array" ref="J5843">IFERROR(INDEX('Retirement Calculator'!J:J,MATCH('Isaac 401k'!N5843,'Retirement Calculator'!A:A,0),0),0)</f>
        <v>0</v>
      </c>
      <c r="K5843" s="444">
        <f t="shared" ca="1" si="211"/>
        <v>-3724803325839.2578</v>
      </c>
      <c r="L5843" s="444">
        <f t="shared" ca="1" si="212"/>
        <v>-897677601527261.13</v>
      </c>
      <c r="M5843" s="460">
        <f t="shared" si="214"/>
        <v>0.05</v>
      </c>
      <c r="N5843" s="464">
        <f t="shared" si="215"/>
        <v>228887</v>
      </c>
    </row>
    <row r="5844" spans="7:14" ht="11.25" customHeight="1" x14ac:dyDescent="0.3">
      <c r="G5844" s="459"/>
      <c r="H5844" s="459">
        <v>5837</v>
      </c>
      <c r="I5844" s="444">
        <f t="shared" ca="1" si="213"/>
        <v>-897677601527261.13</v>
      </c>
      <c r="J5844" s="444">
        <f t="array" ref="J5844">IFERROR(INDEX('Retirement Calculator'!J:J,MATCH('Isaac 401k'!N5844,'Retirement Calculator'!A:A,0),0),0)</f>
        <v>0</v>
      </c>
      <c r="K5844" s="444">
        <f t="shared" ca="1" si="211"/>
        <v>-3740323339696.9219</v>
      </c>
      <c r="L5844" s="444">
        <f t="shared" ca="1" si="212"/>
        <v>-901417924866958</v>
      </c>
      <c r="M5844" s="460">
        <f t="shared" si="214"/>
        <v>0.05</v>
      </c>
      <c r="N5844" s="464">
        <f t="shared" si="215"/>
        <v>228917</v>
      </c>
    </row>
    <row r="5845" spans="7:14" ht="11.25" customHeight="1" x14ac:dyDescent="0.3">
      <c r="G5845" s="459"/>
      <c r="H5845" s="459">
        <v>5838</v>
      </c>
      <c r="I5845" s="444">
        <f t="shared" ca="1" si="213"/>
        <v>-901417924866958</v>
      </c>
      <c r="J5845" s="444">
        <f t="array" ref="J5845">IFERROR(INDEX('Retirement Calculator'!J:J,MATCH('Isaac 401k'!N5845,'Retirement Calculator'!A:A,0),0),0)</f>
        <v>0</v>
      </c>
      <c r="K5845" s="444">
        <f t="shared" ca="1" si="211"/>
        <v>-3755908020278.9917</v>
      </c>
      <c r="L5845" s="444">
        <f t="shared" ca="1" si="212"/>
        <v>-905173832887237</v>
      </c>
      <c r="M5845" s="460">
        <f t="shared" si="214"/>
        <v>0.05</v>
      </c>
      <c r="N5845" s="464">
        <f t="shared" si="215"/>
        <v>228948</v>
      </c>
    </row>
    <row r="5846" spans="7:14" ht="11.25" customHeight="1" x14ac:dyDescent="0.3">
      <c r="G5846" s="459"/>
      <c r="H5846" s="459">
        <v>5839</v>
      </c>
      <c r="I5846" s="444">
        <f t="shared" ca="1" si="213"/>
        <v>-905173832887237</v>
      </c>
      <c r="J5846" s="444">
        <f t="array" ref="J5846">IFERROR(INDEX('Retirement Calculator'!J:J,MATCH('Isaac 401k'!N5846,'Retirement Calculator'!A:A,0),0),0)</f>
        <v>0</v>
      </c>
      <c r="K5846" s="444">
        <f t="shared" ca="1" si="211"/>
        <v>-3771557637030.1543</v>
      </c>
      <c r="L5846" s="444">
        <f t="shared" ca="1" si="212"/>
        <v>-908945390524267.13</v>
      </c>
      <c r="M5846" s="460">
        <f t="shared" si="214"/>
        <v>0.05</v>
      </c>
      <c r="N5846" s="464">
        <f t="shared" si="215"/>
        <v>228978</v>
      </c>
    </row>
    <row r="5847" spans="7:14" ht="11.25" customHeight="1" x14ac:dyDescent="0.3">
      <c r="G5847" s="459"/>
      <c r="H5847" s="459">
        <v>5840</v>
      </c>
      <c r="I5847" s="444">
        <f t="shared" ca="1" si="213"/>
        <v>-908945390524267.13</v>
      </c>
      <c r="J5847" s="444">
        <f t="array" ref="J5847">IFERROR(INDEX('Retirement Calculator'!J:J,MATCH('Isaac 401k'!N5847,'Retirement Calculator'!A:A,0),0),0)</f>
        <v>0</v>
      </c>
      <c r="K5847" s="444">
        <f t="shared" ca="1" si="211"/>
        <v>-3787272460517.7793</v>
      </c>
      <c r="L5847" s="444">
        <f t="shared" ca="1" si="212"/>
        <v>-912732662984784.88</v>
      </c>
      <c r="M5847" s="460">
        <f t="shared" si="214"/>
        <v>0.05</v>
      </c>
      <c r="N5847" s="464">
        <f t="shared" si="215"/>
        <v>229009</v>
      </c>
    </row>
    <row r="5848" spans="7:14" ht="11.25" customHeight="1" x14ac:dyDescent="0.3">
      <c r="G5848" s="459"/>
      <c r="H5848" s="459">
        <v>5841</v>
      </c>
      <c r="I5848" s="444">
        <f t="shared" ca="1" si="213"/>
        <v>-912732662984784.88</v>
      </c>
      <c r="J5848" s="444">
        <f t="array" ref="J5848">IFERROR(INDEX('Retirement Calculator'!J:J,MATCH('Isaac 401k'!N5848,'Retirement Calculator'!A:A,0),0),0)</f>
        <v>0</v>
      </c>
      <c r="K5848" s="444">
        <f t="shared" ca="1" si="211"/>
        <v>-3803052762436.604</v>
      </c>
      <c r="L5848" s="444">
        <f t="shared" ca="1" si="212"/>
        <v>-916535715747221.5</v>
      </c>
      <c r="M5848" s="460">
        <f t="shared" si="214"/>
        <v>0.05</v>
      </c>
      <c r="N5848" s="464">
        <f t="shared" si="215"/>
        <v>229040</v>
      </c>
    </row>
    <row r="5849" spans="7:14" ht="11.25" customHeight="1" x14ac:dyDescent="0.3">
      <c r="G5849" s="459"/>
      <c r="H5849" s="459">
        <v>5842</v>
      </c>
      <c r="I5849" s="444">
        <f t="shared" ca="1" si="213"/>
        <v>-916535715747221.5</v>
      </c>
      <c r="J5849" s="444">
        <f t="array" ref="J5849">IFERROR(INDEX('Retirement Calculator'!J:J,MATCH('Isaac 401k'!N5849,'Retirement Calculator'!A:A,0),0),0)</f>
        <v>0</v>
      </c>
      <c r="K5849" s="444">
        <f t="shared" ca="1" si="211"/>
        <v>-3818898815613.4229</v>
      </c>
      <c r="L5849" s="444">
        <f t="shared" ca="1" si="212"/>
        <v>-920354614562834.88</v>
      </c>
      <c r="M5849" s="460">
        <f t="shared" si="214"/>
        <v>0.05</v>
      </c>
      <c r="N5849" s="464">
        <f t="shared" si="215"/>
        <v>229068</v>
      </c>
    </row>
    <row r="5850" spans="7:14" ht="11.25" customHeight="1" x14ac:dyDescent="0.3">
      <c r="G5850" s="459"/>
      <c r="H5850" s="459">
        <v>5843</v>
      </c>
      <c r="I5850" s="444">
        <f t="shared" ca="1" si="213"/>
        <v>-920354614562834.88</v>
      </c>
      <c r="J5850" s="444">
        <f t="array" ref="J5850">IFERROR(INDEX('Retirement Calculator'!J:J,MATCH('Isaac 401k'!N5850,'Retirement Calculator'!A:A,0),0),0)</f>
        <v>0</v>
      </c>
      <c r="K5850" s="444">
        <f t="shared" ca="1" si="211"/>
        <v>-3834810894011.812</v>
      </c>
      <c r="L5850" s="444">
        <f t="shared" ca="1" si="212"/>
        <v>-924189425456846.63</v>
      </c>
      <c r="M5850" s="460">
        <f t="shared" si="214"/>
        <v>0.05</v>
      </c>
      <c r="N5850" s="464">
        <f t="shared" si="215"/>
        <v>229099</v>
      </c>
    </row>
    <row r="5851" spans="7:14" ht="11.25" customHeight="1" x14ac:dyDescent="0.3">
      <c r="G5851" s="459"/>
      <c r="H5851" s="459">
        <v>5844</v>
      </c>
      <c r="I5851" s="444">
        <f t="shared" ca="1" si="213"/>
        <v>-924189425456846.63</v>
      </c>
      <c r="J5851" s="444">
        <f t="array" ref="J5851">IFERROR(INDEX('Retirement Calculator'!J:J,MATCH('Isaac 401k'!N5851,'Retirement Calculator'!A:A,0),0),0)</f>
        <v>0</v>
      </c>
      <c r="K5851" s="444">
        <f t="shared" ca="1" si="211"/>
        <v>-3850789272736.8608</v>
      </c>
      <c r="L5851" s="444">
        <f t="shared" ca="1" si="212"/>
        <v>-928040214729583.5</v>
      </c>
      <c r="M5851" s="460">
        <f t="shared" si="214"/>
        <v>0.05</v>
      </c>
      <c r="N5851" s="464">
        <f t="shared" si="215"/>
        <v>229129</v>
      </c>
    </row>
    <row r="5852" spans="7:14" ht="11.25" customHeight="1" x14ac:dyDescent="0.3">
      <c r="G5852" s="459"/>
      <c r="H5852" s="459">
        <v>5845</v>
      </c>
      <c r="I5852" s="444">
        <f t="shared" ca="1" si="213"/>
        <v>-928040214729583.5</v>
      </c>
      <c r="J5852" s="444">
        <f t="array" ref="J5852">IFERROR(INDEX('Retirement Calculator'!J:J,MATCH('Isaac 401k'!N5852,'Retirement Calculator'!A:A,0),0),0)</f>
        <v>0</v>
      </c>
      <c r="K5852" s="444">
        <f t="shared" ca="1" si="211"/>
        <v>-3866834228039.9316</v>
      </c>
      <c r="L5852" s="444">
        <f t="shared" ca="1" si="212"/>
        <v>-931907048957623.38</v>
      </c>
      <c r="M5852" s="460">
        <f t="shared" si="214"/>
        <v>0.05</v>
      </c>
      <c r="N5852" s="464">
        <f t="shared" si="215"/>
        <v>229160</v>
      </c>
    </row>
    <row r="5853" spans="7:14" ht="11.25" customHeight="1" x14ac:dyDescent="0.3">
      <c r="G5853" s="459"/>
      <c r="H5853" s="459">
        <v>5846</v>
      </c>
      <c r="I5853" s="444">
        <f t="shared" ca="1" si="213"/>
        <v>-931907048957623.38</v>
      </c>
      <c r="J5853" s="444">
        <f t="array" ref="J5853">IFERROR(INDEX('Retirement Calculator'!J:J,MATCH('Isaac 401k'!N5853,'Retirement Calculator'!A:A,0),0),0)</f>
        <v>0</v>
      </c>
      <c r="K5853" s="444">
        <f t="shared" ca="1" si="211"/>
        <v>-3882946037323.4307</v>
      </c>
      <c r="L5853" s="444">
        <f t="shared" ca="1" si="212"/>
        <v>-935789994994946.75</v>
      </c>
      <c r="M5853" s="460">
        <f t="shared" si="214"/>
        <v>0.05</v>
      </c>
      <c r="N5853" s="464">
        <f t="shared" si="215"/>
        <v>229190</v>
      </c>
    </row>
    <row r="5854" spans="7:14" ht="11.25" customHeight="1" x14ac:dyDescent="0.3">
      <c r="G5854" s="459"/>
      <c r="H5854" s="459">
        <v>5847</v>
      </c>
      <c r="I5854" s="444">
        <f t="shared" ca="1" si="213"/>
        <v>-935789994994946.75</v>
      </c>
      <c r="J5854" s="444">
        <f t="array" ref="J5854">IFERROR(INDEX('Retirement Calculator'!J:J,MATCH('Isaac 401k'!N5854,'Retirement Calculator'!A:A,0),0),0)</f>
        <v>0</v>
      </c>
      <c r="K5854" s="444">
        <f t="shared" ca="1" si="211"/>
        <v>-3899124979145.6113</v>
      </c>
      <c r="L5854" s="444">
        <f t="shared" ca="1" si="212"/>
        <v>-939689119974092.38</v>
      </c>
      <c r="M5854" s="460">
        <f t="shared" si="214"/>
        <v>0.05</v>
      </c>
      <c r="N5854" s="464">
        <f t="shared" si="215"/>
        <v>229221</v>
      </c>
    </row>
    <row r="5855" spans="7:14" ht="11.25" customHeight="1" x14ac:dyDescent="0.3">
      <c r="G5855" s="459"/>
      <c r="H5855" s="459">
        <v>5848</v>
      </c>
      <c r="I5855" s="444">
        <f t="shared" ca="1" si="213"/>
        <v>-939689119974092.38</v>
      </c>
      <c r="J5855" s="444">
        <f t="array" ref="J5855">IFERROR(INDEX('Retirement Calculator'!J:J,MATCH('Isaac 401k'!N5855,'Retirement Calculator'!A:A,0),0),0)</f>
        <v>0</v>
      </c>
      <c r="K5855" s="444">
        <f t="shared" ca="1" si="211"/>
        <v>-3915371333225.3848</v>
      </c>
      <c r="L5855" s="444">
        <f t="shared" ca="1" si="212"/>
        <v>-943604491307317.75</v>
      </c>
      <c r="M5855" s="460">
        <f t="shared" si="214"/>
        <v>0.05</v>
      </c>
      <c r="N5855" s="464">
        <f t="shared" si="215"/>
        <v>229252</v>
      </c>
    </row>
    <row r="5856" spans="7:14" ht="11.25" customHeight="1" x14ac:dyDescent="0.3">
      <c r="G5856" s="459"/>
      <c r="H5856" s="459">
        <v>5849</v>
      </c>
      <c r="I5856" s="444">
        <f t="shared" ca="1" si="213"/>
        <v>-943604491307317.75</v>
      </c>
      <c r="J5856" s="444">
        <f t="array" ref="J5856">IFERROR(INDEX('Retirement Calculator'!J:J,MATCH('Isaac 401k'!N5856,'Retirement Calculator'!A:A,0),0),0)</f>
        <v>0</v>
      </c>
      <c r="K5856" s="444">
        <f t="shared" ca="1" si="211"/>
        <v>-3931685380447.1577</v>
      </c>
      <c r="L5856" s="444">
        <f t="shared" ca="1" si="212"/>
        <v>-947536176687764.88</v>
      </c>
      <c r="M5856" s="460">
        <f t="shared" si="214"/>
        <v>0.05</v>
      </c>
      <c r="N5856" s="464">
        <f t="shared" si="215"/>
        <v>229282</v>
      </c>
    </row>
    <row r="5857" spans="7:14" ht="11.25" customHeight="1" x14ac:dyDescent="0.3">
      <c r="G5857" s="459"/>
      <c r="H5857" s="459">
        <v>5850</v>
      </c>
      <c r="I5857" s="444">
        <f t="shared" ca="1" si="213"/>
        <v>-947536176687764.88</v>
      </c>
      <c r="J5857" s="444">
        <f t="array" ref="J5857">IFERROR(INDEX('Retirement Calculator'!J:J,MATCH('Isaac 401k'!N5857,'Retirement Calculator'!A:A,0),0),0)</f>
        <v>0</v>
      </c>
      <c r="K5857" s="444">
        <f t="shared" ca="1" si="211"/>
        <v>-3948067402865.687</v>
      </c>
      <c r="L5857" s="444">
        <f t="shared" ca="1" si="212"/>
        <v>-951484244090630.5</v>
      </c>
      <c r="M5857" s="460">
        <f t="shared" si="214"/>
        <v>0.05</v>
      </c>
      <c r="N5857" s="464">
        <f t="shared" si="215"/>
        <v>229313</v>
      </c>
    </row>
    <row r="5858" spans="7:14" ht="11.25" customHeight="1" x14ac:dyDescent="0.3">
      <c r="G5858" s="459"/>
      <c r="H5858" s="459">
        <v>5851</v>
      </c>
      <c r="I5858" s="444">
        <f t="shared" ca="1" si="213"/>
        <v>-951484244090630.5</v>
      </c>
      <c r="J5858" s="444">
        <f t="array" ref="J5858">IFERROR(INDEX('Retirement Calculator'!J:J,MATCH('Isaac 401k'!N5858,'Retirement Calculator'!A:A,0),0),0)</f>
        <v>0</v>
      </c>
      <c r="K5858" s="444">
        <f t="shared" ca="1" si="211"/>
        <v>-3964517683710.9604</v>
      </c>
      <c r="L5858" s="444">
        <f t="shared" ca="1" si="212"/>
        <v>-955448761774341.5</v>
      </c>
      <c r="M5858" s="460">
        <f t="shared" si="214"/>
        <v>0.05</v>
      </c>
      <c r="N5858" s="464">
        <f t="shared" si="215"/>
        <v>229343</v>
      </c>
    </row>
    <row r="5859" spans="7:14" ht="11.25" customHeight="1" x14ac:dyDescent="0.3">
      <c r="G5859" s="459"/>
      <c r="H5859" s="459">
        <v>5852</v>
      </c>
      <c r="I5859" s="444">
        <f t="shared" ca="1" si="213"/>
        <v>-955448761774341.5</v>
      </c>
      <c r="J5859" s="444">
        <f t="array" ref="J5859">IFERROR(INDEX('Retirement Calculator'!J:J,MATCH('Isaac 401k'!N5859,'Retirement Calculator'!A:A,0),0),0)</f>
        <v>0</v>
      </c>
      <c r="K5859" s="444">
        <f t="shared" ca="1" si="211"/>
        <v>-3981036507393.0898</v>
      </c>
      <c r="L5859" s="444">
        <f t="shared" ca="1" si="212"/>
        <v>-959429798281734.63</v>
      </c>
      <c r="M5859" s="460">
        <f t="shared" si="214"/>
        <v>0.05</v>
      </c>
      <c r="N5859" s="464">
        <f t="shared" si="215"/>
        <v>229374</v>
      </c>
    </row>
    <row r="5860" spans="7:14" ht="11.25" customHeight="1" x14ac:dyDescent="0.3">
      <c r="G5860" s="459"/>
      <c r="H5860" s="459">
        <v>5853</v>
      </c>
      <c r="I5860" s="444">
        <f t="shared" ca="1" si="213"/>
        <v>-959429798281734.63</v>
      </c>
      <c r="J5860" s="444">
        <f t="array" ref="J5860">IFERROR(INDEX('Retirement Calculator'!J:J,MATCH('Isaac 401k'!N5860,'Retirement Calculator'!A:A,0),0),0)</f>
        <v>0</v>
      </c>
      <c r="K5860" s="444">
        <f t="shared" ca="1" si="211"/>
        <v>-3997624159507.2275</v>
      </c>
      <c r="L5860" s="444">
        <f t="shared" ca="1" si="212"/>
        <v>-963427422441241.88</v>
      </c>
      <c r="M5860" s="460">
        <f t="shared" si="214"/>
        <v>0.05</v>
      </c>
      <c r="N5860" s="464">
        <f t="shared" si="215"/>
        <v>229405</v>
      </c>
    </row>
    <row r="5861" spans="7:14" ht="11.25" customHeight="1" x14ac:dyDescent="0.3">
      <c r="G5861" s="459"/>
      <c r="H5861" s="459">
        <v>5854</v>
      </c>
      <c r="I5861" s="444">
        <f t="shared" ca="1" si="213"/>
        <v>-963427422441241.88</v>
      </c>
      <c r="J5861" s="444">
        <f t="array" ref="J5861">IFERROR(INDEX('Retirement Calculator'!J:J,MATCH('Isaac 401k'!N5861,'Retirement Calculator'!A:A,0),0),0)</f>
        <v>0</v>
      </c>
      <c r="K5861" s="444">
        <f t="shared" ca="1" si="211"/>
        <v>-4014280926838.5073</v>
      </c>
      <c r="L5861" s="444">
        <f t="shared" ca="1" si="212"/>
        <v>-967441703368080.38</v>
      </c>
      <c r="M5861" s="460">
        <f t="shared" si="214"/>
        <v>0.05</v>
      </c>
      <c r="N5861" s="464">
        <f t="shared" si="215"/>
        <v>229434</v>
      </c>
    </row>
    <row r="5862" spans="7:14" ht="11.25" customHeight="1" x14ac:dyDescent="0.3">
      <c r="G5862" s="459"/>
      <c r="H5862" s="459">
        <v>5855</v>
      </c>
      <c r="I5862" s="444">
        <f t="shared" ca="1" si="213"/>
        <v>-967441703368080.38</v>
      </c>
      <c r="J5862" s="444">
        <f t="array" ref="J5862">IFERROR(INDEX('Retirement Calculator'!J:J,MATCH('Isaac 401k'!N5862,'Retirement Calculator'!A:A,0),0),0)</f>
        <v>0</v>
      </c>
      <c r="K5862" s="444">
        <f t="shared" ca="1" si="211"/>
        <v>-4031007097367.002</v>
      </c>
      <c r="L5862" s="444">
        <f t="shared" ca="1" si="212"/>
        <v>-971472710465447.38</v>
      </c>
      <c r="M5862" s="460">
        <f t="shared" si="214"/>
        <v>0.05</v>
      </c>
      <c r="N5862" s="464">
        <f t="shared" si="215"/>
        <v>229465</v>
      </c>
    </row>
    <row r="5863" spans="7:14" ht="11.25" customHeight="1" x14ac:dyDescent="0.3">
      <c r="G5863" s="459"/>
      <c r="H5863" s="459">
        <v>5856</v>
      </c>
      <c r="I5863" s="444">
        <f t="shared" ca="1" si="213"/>
        <v>-971472710465447.38</v>
      </c>
      <c r="J5863" s="444">
        <f t="array" ref="J5863">IFERROR(INDEX('Retirement Calculator'!J:J,MATCH('Isaac 401k'!N5863,'Retirement Calculator'!A:A,0),0),0)</f>
        <v>0</v>
      </c>
      <c r="K5863" s="444">
        <f t="shared" ca="1" si="211"/>
        <v>-4047802960272.6973</v>
      </c>
      <c r="L5863" s="444">
        <f t="shared" ca="1" si="212"/>
        <v>-975520513425720.13</v>
      </c>
      <c r="M5863" s="460">
        <f t="shared" si="214"/>
        <v>0.05</v>
      </c>
      <c r="N5863" s="464">
        <f t="shared" si="215"/>
        <v>229495</v>
      </c>
    </row>
    <row r="5864" spans="7:14" ht="11.25" customHeight="1" x14ac:dyDescent="0.3">
      <c r="G5864" s="459"/>
      <c r="H5864" s="459">
        <v>5857</v>
      </c>
      <c r="I5864" s="444">
        <f t="shared" ca="1" si="213"/>
        <v>-975520513425720.13</v>
      </c>
      <c r="J5864" s="444">
        <f t="array" ref="J5864">IFERROR(INDEX('Retirement Calculator'!J:J,MATCH('Isaac 401k'!N5864,'Retirement Calculator'!A:A,0),0),0)</f>
        <v>0</v>
      </c>
      <c r="K5864" s="444">
        <f t="shared" ca="1" si="211"/>
        <v>-4064668805940.5</v>
      </c>
      <c r="L5864" s="444">
        <f t="shared" ca="1" si="212"/>
        <v>-979585182231660.63</v>
      </c>
      <c r="M5864" s="460">
        <f t="shared" si="214"/>
        <v>0.05</v>
      </c>
      <c r="N5864" s="464">
        <f t="shared" si="215"/>
        <v>229526</v>
      </c>
    </row>
    <row r="5865" spans="7:14" ht="11.25" customHeight="1" x14ac:dyDescent="0.3">
      <c r="G5865" s="459"/>
      <c r="H5865" s="459">
        <v>5858</v>
      </c>
      <c r="I5865" s="444">
        <f t="shared" ca="1" si="213"/>
        <v>-979585182231660.63</v>
      </c>
      <c r="J5865" s="444">
        <f t="array" ref="J5865">IFERROR(INDEX('Retirement Calculator'!J:J,MATCH('Isaac 401k'!N5865,'Retirement Calculator'!A:A,0),0),0)</f>
        <v>0</v>
      </c>
      <c r="K5865" s="444">
        <f t="shared" ca="1" si="211"/>
        <v>-4081604925965.252</v>
      </c>
      <c r="L5865" s="444">
        <f t="shared" ca="1" si="212"/>
        <v>-983666787157625.88</v>
      </c>
      <c r="M5865" s="460">
        <f t="shared" si="214"/>
        <v>0.05</v>
      </c>
      <c r="N5865" s="464">
        <f t="shared" si="215"/>
        <v>229556</v>
      </c>
    </row>
    <row r="5866" spans="7:14" ht="11.25" customHeight="1" x14ac:dyDescent="0.3">
      <c r="G5866" s="459"/>
      <c r="H5866" s="459">
        <v>5859</v>
      </c>
      <c r="I5866" s="444">
        <f t="shared" ca="1" si="213"/>
        <v>-983666787157625.88</v>
      </c>
      <c r="J5866" s="444">
        <f t="array" ref="J5866">IFERROR(INDEX('Retirement Calculator'!J:J,MATCH('Isaac 401k'!N5866,'Retirement Calculator'!A:A,0),0),0)</f>
        <v>0</v>
      </c>
      <c r="K5866" s="444">
        <f t="shared" ca="1" si="211"/>
        <v>-4098611613156.7744</v>
      </c>
      <c r="L5866" s="444">
        <f t="shared" ca="1" si="212"/>
        <v>-987765398770782.63</v>
      </c>
      <c r="M5866" s="460">
        <f t="shared" si="214"/>
        <v>0.05</v>
      </c>
      <c r="N5866" s="464">
        <f t="shared" si="215"/>
        <v>229587</v>
      </c>
    </row>
    <row r="5867" spans="7:14" ht="11.25" customHeight="1" x14ac:dyDescent="0.3">
      <c r="G5867" s="459"/>
      <c r="H5867" s="459">
        <v>5860</v>
      </c>
      <c r="I5867" s="444">
        <f t="shared" ca="1" si="213"/>
        <v>-987765398770782.63</v>
      </c>
      <c r="J5867" s="444">
        <f t="array" ref="J5867">IFERROR(INDEX('Retirement Calculator'!J:J,MATCH('Isaac 401k'!N5867,'Retirement Calculator'!A:A,0),0),0)</f>
        <v>0</v>
      </c>
      <c r="K5867" s="444">
        <f t="shared" ca="1" si="211"/>
        <v>-4115689161544.9277</v>
      </c>
      <c r="L5867" s="444">
        <f t="shared" ca="1" si="212"/>
        <v>-991881087932327.5</v>
      </c>
      <c r="M5867" s="460">
        <f t="shared" si="214"/>
        <v>0.05</v>
      </c>
      <c r="N5867" s="464">
        <f t="shared" si="215"/>
        <v>229618</v>
      </c>
    </row>
    <row r="5868" spans="7:14" ht="11.25" customHeight="1" x14ac:dyDescent="0.3">
      <c r="G5868" s="459"/>
      <c r="H5868" s="459">
        <v>5861</v>
      </c>
      <c r="I5868" s="444">
        <f t="shared" ca="1" si="213"/>
        <v>-991881087932327.5</v>
      </c>
      <c r="J5868" s="444">
        <f t="array" ref="J5868">IFERROR(INDEX('Retirement Calculator'!J:J,MATCH('Isaac 401k'!N5868,'Retirement Calculator'!A:A,0),0),0)</f>
        <v>0</v>
      </c>
      <c r="K5868" s="444">
        <f t="shared" ca="1" si="211"/>
        <v>-4132837866384.6973</v>
      </c>
      <c r="L5868" s="444">
        <f t="shared" ca="1" si="212"/>
        <v>-996013925798712.25</v>
      </c>
      <c r="M5868" s="460">
        <f t="shared" si="214"/>
        <v>0.05</v>
      </c>
      <c r="N5868" s="464">
        <f t="shared" si="215"/>
        <v>229648</v>
      </c>
    </row>
    <row r="5869" spans="7:14" ht="11.25" customHeight="1" x14ac:dyDescent="0.3">
      <c r="G5869" s="459"/>
      <c r="H5869" s="459">
        <v>5862</v>
      </c>
      <c r="I5869" s="444">
        <f t="shared" ca="1" si="213"/>
        <v>-996013925798712.25</v>
      </c>
      <c r="J5869" s="444">
        <f t="array" ref="J5869">IFERROR(INDEX('Retirement Calculator'!J:J,MATCH('Isaac 401k'!N5869,'Retirement Calculator'!A:A,0),0),0)</f>
        <v>0</v>
      </c>
      <c r="K5869" s="444">
        <f t="shared" ca="1" si="211"/>
        <v>-4150058024161.3013</v>
      </c>
      <c r="L5869" s="444">
        <f t="shared" ca="1" si="212"/>
        <v>-1000163983822873.5</v>
      </c>
      <c r="M5869" s="460">
        <f t="shared" si="214"/>
        <v>0.05</v>
      </c>
      <c r="N5869" s="464">
        <f t="shared" si="215"/>
        <v>229679</v>
      </c>
    </row>
    <row r="5870" spans="7:14" ht="11.25" customHeight="1" x14ac:dyDescent="0.3">
      <c r="G5870" s="459"/>
      <c r="H5870" s="459">
        <v>5863</v>
      </c>
      <c r="I5870" s="444">
        <f t="shared" ca="1" si="213"/>
        <v>-1000163983822873.5</v>
      </c>
      <c r="J5870" s="444">
        <f t="array" ref="J5870">IFERROR(INDEX('Retirement Calculator'!J:J,MATCH('Isaac 401k'!N5870,'Retirement Calculator'!A:A,0),0),0)</f>
        <v>0</v>
      </c>
      <c r="K5870" s="444">
        <f t="shared" ca="1" si="211"/>
        <v>-4167349932595.3066</v>
      </c>
      <c r="L5870" s="444">
        <f t="shared" ca="1" si="212"/>
        <v>-1004331333755468.8</v>
      </c>
      <c r="M5870" s="460">
        <f t="shared" si="214"/>
        <v>0.05</v>
      </c>
      <c r="N5870" s="464">
        <f t="shared" si="215"/>
        <v>229709</v>
      </c>
    </row>
    <row r="5871" spans="7:14" ht="11.25" customHeight="1" x14ac:dyDescent="0.3">
      <c r="G5871" s="459"/>
      <c r="H5871" s="459">
        <v>5864</v>
      </c>
      <c r="I5871" s="444">
        <f t="shared" ca="1" si="213"/>
        <v>-1004331333755468.8</v>
      </c>
      <c r="J5871" s="444">
        <f t="array" ref="J5871">IFERROR(INDEX('Retirement Calculator'!J:J,MATCH('Isaac 401k'!N5871,'Retirement Calculator'!A:A,0),0),0)</f>
        <v>0</v>
      </c>
      <c r="K5871" s="444">
        <f t="shared" ca="1" si="211"/>
        <v>-4184713890647.7871</v>
      </c>
      <c r="L5871" s="444">
        <f t="shared" ca="1" si="212"/>
        <v>-1008516047646116.5</v>
      </c>
      <c r="M5871" s="460">
        <f t="shared" si="214"/>
        <v>0.05</v>
      </c>
      <c r="N5871" s="464">
        <f t="shared" si="215"/>
        <v>229740</v>
      </c>
    </row>
    <row r="5872" spans="7:14" ht="11.25" customHeight="1" x14ac:dyDescent="0.3">
      <c r="G5872" s="459"/>
      <c r="H5872" s="459">
        <v>5865</v>
      </c>
      <c r="I5872" s="444">
        <f t="shared" ca="1" si="213"/>
        <v>-1008516047646116.5</v>
      </c>
      <c r="J5872" s="444">
        <f t="array" ref="J5872">IFERROR(INDEX('Retirement Calculator'!J:J,MATCH('Isaac 401k'!N5872,'Retirement Calculator'!A:A,0),0),0)</f>
        <v>0</v>
      </c>
      <c r="K5872" s="444">
        <f t="shared" ca="1" si="211"/>
        <v>-4202150198525.4854</v>
      </c>
      <c r="L5872" s="444">
        <f t="shared" ca="1" si="212"/>
        <v>-1012718197844642</v>
      </c>
      <c r="M5872" s="460">
        <f t="shared" si="214"/>
        <v>0.05</v>
      </c>
      <c r="N5872" s="464">
        <f t="shared" si="215"/>
        <v>229771</v>
      </c>
    </row>
    <row r="5873" spans="7:14" ht="11.25" customHeight="1" x14ac:dyDescent="0.3">
      <c r="G5873" s="459"/>
      <c r="H5873" s="459">
        <v>5866</v>
      </c>
      <c r="I5873" s="444">
        <f t="shared" ca="1" si="213"/>
        <v>-1012718197844642</v>
      </c>
      <c r="J5873" s="444">
        <f t="array" ref="J5873">IFERROR(INDEX('Retirement Calculator'!J:J,MATCH('Isaac 401k'!N5873,'Retirement Calculator'!A:A,0),0),0)</f>
        <v>0</v>
      </c>
      <c r="K5873" s="444">
        <f t="shared" ref="K5873:K6127" ca="1" si="216">IPMT(M5873/12,1,12,-I5873+J5873,,0)</f>
        <v>-4219659157686.0078</v>
      </c>
      <c r="L5873" s="444">
        <f t="shared" ref="L5873:L6127" ca="1" si="217">I5873-J5873+K5873</f>
        <v>-1016937857002328</v>
      </c>
      <c r="M5873" s="460">
        <f t="shared" si="214"/>
        <v>0.05</v>
      </c>
      <c r="N5873" s="464">
        <f t="shared" si="215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18">L5873</f>
        <v>-1016937857002328</v>
      </c>
      <c r="J5874" s="444">
        <f t="array" ref="J5874">IFERROR(INDEX('Retirement Calculator'!J:J,MATCH('Isaac 401k'!N5874,'Retirement Calculator'!A:A,0),0),0)</f>
        <v>0</v>
      </c>
      <c r="K5874" s="444">
        <f t="shared" ca="1" si="216"/>
        <v>-4237241070843.0332</v>
      </c>
      <c r="L5874" s="444">
        <f t="shared" ca="1" si="217"/>
        <v>-1021175098073171</v>
      </c>
      <c r="M5874" s="460">
        <f t="shared" ref="M5874:M6128" si="219">M5873</f>
        <v>0.05</v>
      </c>
      <c r="N5874" s="464">
        <f t="shared" ref="N5874:N6128" si="220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18"/>
        <v>-1021175098073171</v>
      </c>
      <c r="J5875" s="444">
        <f t="array" ref="J5875">IFERROR(INDEX('Retirement Calculator'!J:J,MATCH('Isaac 401k'!N5875,'Retirement Calculator'!A:A,0),0),0)</f>
        <v>0</v>
      </c>
      <c r="K5875" s="444">
        <f t="shared" ca="1" si="216"/>
        <v>-4254896241971.5459</v>
      </c>
      <c r="L5875" s="444">
        <f t="shared" ca="1" si="217"/>
        <v>-1025429994315142.5</v>
      </c>
      <c r="M5875" s="460">
        <f t="shared" si="219"/>
        <v>0.05</v>
      </c>
      <c r="N5875" s="464">
        <f t="shared" si="220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18"/>
        <v>-1025429994315142.5</v>
      </c>
      <c r="J5876" s="444">
        <f t="array" ref="J5876">IFERROR(INDEX('Retirement Calculator'!J:J,MATCH('Isaac 401k'!N5876,'Retirement Calculator'!A:A,0),0),0)</f>
        <v>0</v>
      </c>
      <c r="K5876" s="444">
        <f t="shared" ca="1" si="216"/>
        <v>-4272624976313.0938</v>
      </c>
      <c r="L5876" s="444">
        <f t="shared" ca="1" si="217"/>
        <v>-1029702619291455.6</v>
      </c>
      <c r="M5876" s="460">
        <f t="shared" si="219"/>
        <v>0.05</v>
      </c>
      <c r="N5876" s="464">
        <f t="shared" si="220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18"/>
        <v>-1029702619291455.6</v>
      </c>
      <c r="J5877" s="444">
        <f t="array" ref="J5877">IFERROR(INDEX('Retirement Calculator'!J:J,MATCH('Isaac 401k'!N5877,'Retirement Calculator'!A:A,0),0),0)</f>
        <v>0</v>
      </c>
      <c r="K5877" s="444">
        <f t="shared" ca="1" si="216"/>
        <v>-4290427580381.0645</v>
      </c>
      <c r="L5877" s="444">
        <f t="shared" ca="1" si="217"/>
        <v>-1033993046871836.8</v>
      </c>
      <c r="M5877" s="460">
        <f t="shared" si="219"/>
        <v>0.05</v>
      </c>
      <c r="N5877" s="464">
        <f t="shared" si="220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18"/>
        <v>-1033993046871836.8</v>
      </c>
      <c r="J5878" s="444">
        <f t="array" ref="J5878">IFERROR(INDEX('Retirement Calculator'!J:J,MATCH('Isaac 401k'!N5878,'Retirement Calculator'!A:A,0),0),0)</f>
        <v>0</v>
      </c>
      <c r="K5878" s="444">
        <f t="shared" ca="1" si="216"/>
        <v>-4308304361965.9863</v>
      </c>
      <c r="L5878" s="444">
        <f t="shared" ca="1" si="217"/>
        <v>-1038301351233802.8</v>
      </c>
      <c r="M5878" s="460">
        <f t="shared" si="219"/>
        <v>0.05</v>
      </c>
      <c r="N5878" s="464">
        <f t="shared" si="220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18"/>
        <v>-1038301351233802.8</v>
      </c>
      <c r="J5879" s="444">
        <f t="array" ref="J5879">IFERROR(INDEX('Retirement Calculator'!J:J,MATCH('Isaac 401k'!N5879,'Retirement Calculator'!A:A,0),0),0)</f>
        <v>0</v>
      </c>
      <c r="K5879" s="444">
        <f t="shared" ca="1" si="216"/>
        <v>-4326255630140.8447</v>
      </c>
      <c r="L5879" s="444">
        <f t="shared" ca="1" si="217"/>
        <v>-1042627606863943.6</v>
      </c>
      <c r="M5879" s="460">
        <f t="shared" si="219"/>
        <v>0.05</v>
      </c>
      <c r="N5879" s="464">
        <f t="shared" si="220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18"/>
        <v>-1042627606863943.6</v>
      </c>
      <c r="J5880" s="444">
        <f t="array" ref="J5880">IFERROR(INDEX('Retirement Calculator'!J:J,MATCH('Isaac 401k'!N5880,'Retirement Calculator'!A:A,0),0),0)</f>
        <v>0</v>
      </c>
      <c r="K5880" s="444">
        <f t="shared" ca="1" si="216"/>
        <v>-4344281695266.4316</v>
      </c>
      <c r="L5880" s="444">
        <f t="shared" ca="1" si="217"/>
        <v>-1046971888559210</v>
      </c>
      <c r="M5880" s="460">
        <f t="shared" si="219"/>
        <v>0.05</v>
      </c>
      <c r="N5880" s="464">
        <f t="shared" si="220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18"/>
        <v>-1046971888559210</v>
      </c>
      <c r="J5881" s="444">
        <f t="array" ref="J5881">IFERROR(INDEX('Retirement Calculator'!J:J,MATCH('Isaac 401k'!N5881,'Retirement Calculator'!A:A,0),0),0)</f>
        <v>0</v>
      </c>
      <c r="K5881" s="444">
        <f t="shared" ca="1" si="216"/>
        <v>-4362382868996.7075</v>
      </c>
      <c r="L5881" s="444">
        <f t="shared" ca="1" si="217"/>
        <v>-1051334271428206.8</v>
      </c>
      <c r="M5881" s="460">
        <f t="shared" si="219"/>
        <v>0.05</v>
      </c>
      <c r="N5881" s="464">
        <f t="shared" si="220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18"/>
        <v>-1051334271428206.8</v>
      </c>
      <c r="J5882" s="444">
        <f t="array" ref="J5882">IFERROR(INDEX('Retirement Calculator'!J:J,MATCH('Isaac 401k'!N5882,'Retirement Calculator'!A:A,0),0),0)</f>
        <v>0</v>
      </c>
      <c r="K5882" s="444">
        <f t="shared" ca="1" si="216"/>
        <v>-4380559464284.1948</v>
      </c>
      <c r="L5882" s="444">
        <f t="shared" ca="1" si="217"/>
        <v>-1055714830892491</v>
      </c>
      <c r="M5882" s="460">
        <f t="shared" si="219"/>
        <v>0.05</v>
      </c>
      <c r="N5882" s="464">
        <f t="shared" si="220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18"/>
        <v>-1055714830892491</v>
      </c>
      <c r="J5883" s="444">
        <f t="array" ref="J5883">IFERROR(INDEX('Retirement Calculator'!J:J,MATCH('Isaac 401k'!N5883,'Retirement Calculator'!A:A,0),0),0)</f>
        <v>0</v>
      </c>
      <c r="K5883" s="444">
        <f t="shared" ca="1" si="216"/>
        <v>-4398811795385.3789</v>
      </c>
      <c r="L5883" s="444">
        <f t="shared" ca="1" si="217"/>
        <v>-1060113642687876.4</v>
      </c>
      <c r="M5883" s="460">
        <f t="shared" si="219"/>
        <v>0.05</v>
      </c>
      <c r="N5883" s="464">
        <f t="shared" si="220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18"/>
        <v>-1060113642687876.4</v>
      </c>
      <c r="J5884" s="444">
        <f t="array" ref="J5884">IFERROR(INDEX('Retirement Calculator'!J:J,MATCH('Isaac 401k'!N5884,'Retirement Calculator'!A:A,0),0),0)</f>
        <v>0</v>
      </c>
      <c r="K5884" s="444">
        <f t="shared" ca="1" si="216"/>
        <v>-4417140177866.1523</v>
      </c>
      <c r="L5884" s="444">
        <f t="shared" ca="1" si="217"/>
        <v>-1064530782865742.5</v>
      </c>
      <c r="M5884" s="460">
        <f t="shared" si="219"/>
        <v>0.05</v>
      </c>
      <c r="N5884" s="464">
        <f t="shared" si="220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18"/>
        <v>-1064530782865742.5</v>
      </c>
      <c r="J5885" s="444">
        <f t="array" ref="J5885">IFERROR(INDEX('Retirement Calculator'!J:J,MATCH('Isaac 401k'!N5885,'Retirement Calculator'!A:A,0),0),0)</f>
        <v>0</v>
      </c>
      <c r="K5885" s="444">
        <f t="shared" ca="1" si="216"/>
        <v>-4435544928607.2598</v>
      </c>
      <c r="L5885" s="444">
        <f t="shared" ca="1" si="217"/>
        <v>-1068966327794349.8</v>
      </c>
      <c r="M5885" s="460">
        <f t="shared" si="219"/>
        <v>0.05</v>
      </c>
      <c r="N5885" s="464">
        <f t="shared" si="220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18"/>
        <v>-1068966327794349.8</v>
      </c>
      <c r="J5886" s="444">
        <f t="array" ref="J5886">IFERROR(INDEX('Retirement Calculator'!J:J,MATCH('Isaac 401k'!N5886,'Retirement Calculator'!A:A,0),0),0)</f>
        <v>0</v>
      </c>
      <c r="K5886" s="444">
        <f t="shared" ca="1" si="216"/>
        <v>-4454026365809.791</v>
      </c>
      <c r="L5886" s="444">
        <f t="shared" ca="1" si="217"/>
        <v>-1073420354160159.5</v>
      </c>
      <c r="M5886" s="460">
        <f t="shared" si="219"/>
        <v>0.05</v>
      </c>
      <c r="N5886" s="464">
        <f t="shared" si="220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18"/>
        <v>-1073420354160159.5</v>
      </c>
      <c r="J5887" s="444">
        <f t="array" ref="J5887">IFERROR(INDEX('Retirement Calculator'!J:J,MATCH('Isaac 401k'!N5887,'Retirement Calculator'!A:A,0),0),0)</f>
        <v>0</v>
      </c>
      <c r="K5887" s="444">
        <f t="shared" ca="1" si="216"/>
        <v>-4472584809000.6641</v>
      </c>
      <c r="L5887" s="444">
        <f t="shared" ca="1" si="217"/>
        <v>-1077892938969160.1</v>
      </c>
      <c r="M5887" s="460">
        <f t="shared" si="219"/>
        <v>0.05</v>
      </c>
      <c r="N5887" s="464">
        <f t="shared" si="220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18"/>
        <v>-1077892938969160.1</v>
      </c>
      <c r="J5888" s="444">
        <f t="array" ref="J5888">IFERROR(INDEX('Retirement Calculator'!J:J,MATCH('Isaac 401k'!N5888,'Retirement Calculator'!A:A,0),0),0)</f>
        <v>0</v>
      </c>
      <c r="K5888" s="444">
        <f t="shared" ca="1" si="216"/>
        <v>-4491220579038.167</v>
      </c>
      <c r="L5888" s="444">
        <f t="shared" ca="1" si="217"/>
        <v>-1082384159548198.3</v>
      </c>
      <c r="M5888" s="460">
        <f t="shared" si="219"/>
        <v>0.05</v>
      </c>
      <c r="N5888" s="464">
        <f t="shared" si="220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18"/>
        <v>-1082384159548198.3</v>
      </c>
      <c r="J5889" s="444">
        <f t="array" ref="J5889">IFERROR(INDEX('Retirement Calculator'!J:J,MATCH('Isaac 401k'!N5889,'Retirement Calculator'!A:A,0),0),0)</f>
        <v>0</v>
      </c>
      <c r="K5889" s="444">
        <f t="shared" ca="1" si="216"/>
        <v>-4509933998117.4922</v>
      </c>
      <c r="L5889" s="444">
        <f t="shared" ca="1" si="217"/>
        <v>-1086894093546315.8</v>
      </c>
      <c r="M5889" s="460">
        <f t="shared" si="219"/>
        <v>0.05</v>
      </c>
      <c r="N5889" s="464">
        <f t="shared" si="220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18"/>
        <v>-1086894093546315.8</v>
      </c>
      <c r="J5890" s="444">
        <f t="array" ref="J5890">IFERROR(INDEX('Retirement Calculator'!J:J,MATCH('Isaac 401k'!N5890,'Retirement Calculator'!A:A,0),0),0)</f>
        <v>0</v>
      </c>
      <c r="K5890" s="444">
        <f t="shared" ca="1" si="216"/>
        <v>-4528725389776.3154</v>
      </c>
      <c r="L5890" s="444">
        <f t="shared" ca="1" si="217"/>
        <v>-1091422818936092.1</v>
      </c>
      <c r="M5890" s="460">
        <f t="shared" si="219"/>
        <v>0.05</v>
      </c>
      <c r="N5890" s="464">
        <f t="shared" si="220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18"/>
        <v>-1091422818936092.1</v>
      </c>
      <c r="J5891" s="444">
        <f t="array" ref="J5891">IFERROR(INDEX('Retirement Calculator'!J:J,MATCH('Isaac 401k'!N5891,'Retirement Calculator'!A:A,0),0),0)</f>
        <v>0</v>
      </c>
      <c r="K5891" s="444">
        <f t="shared" ca="1" si="216"/>
        <v>-4547595078900.3838</v>
      </c>
      <c r="L5891" s="444">
        <f t="shared" ca="1" si="217"/>
        <v>-1095970414014992.5</v>
      </c>
      <c r="M5891" s="460">
        <f t="shared" si="219"/>
        <v>0.05</v>
      </c>
      <c r="N5891" s="464">
        <f t="shared" si="220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18"/>
        <v>-1095970414014992.5</v>
      </c>
      <c r="J5892" s="444">
        <f t="array" ref="J5892">IFERROR(INDEX('Retirement Calculator'!J:J,MATCH('Isaac 401k'!N5892,'Retirement Calculator'!A:A,0),0),0)</f>
        <v>0</v>
      </c>
      <c r="K5892" s="444">
        <f t="shared" ca="1" si="216"/>
        <v>-4566543391729.1357</v>
      </c>
      <c r="L5892" s="444">
        <f t="shared" ca="1" si="217"/>
        <v>-1100536957406721.6</v>
      </c>
      <c r="M5892" s="460">
        <f t="shared" si="219"/>
        <v>0.05</v>
      </c>
      <c r="N5892" s="464">
        <f t="shared" si="220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18"/>
        <v>-1100536957406721.6</v>
      </c>
      <c r="J5893" s="444">
        <f t="array" ref="J5893">IFERROR(INDEX('Retirement Calculator'!J:J,MATCH('Isaac 401k'!N5893,'Retirement Calculator'!A:A,0),0),0)</f>
        <v>0</v>
      </c>
      <c r="K5893" s="444">
        <f t="shared" ca="1" si="216"/>
        <v>-4585570655861.3398</v>
      </c>
      <c r="L5893" s="444">
        <f t="shared" ca="1" si="217"/>
        <v>-1105122528062583</v>
      </c>
      <c r="M5893" s="460">
        <f t="shared" si="219"/>
        <v>0.05</v>
      </c>
      <c r="N5893" s="464">
        <f t="shared" si="220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18"/>
        <v>-1105122528062583</v>
      </c>
      <c r="J5894" s="444">
        <f t="array" ref="J5894">IFERROR(INDEX('Retirement Calculator'!J:J,MATCH('Isaac 401k'!N5894,'Retirement Calculator'!A:A,0),0),0)</f>
        <v>0</v>
      </c>
      <c r="K5894" s="444">
        <f t="shared" ca="1" si="216"/>
        <v>-4604677200260.7627</v>
      </c>
      <c r="L5894" s="444">
        <f t="shared" ca="1" si="217"/>
        <v>-1109727205262843.8</v>
      </c>
      <c r="M5894" s="460">
        <f t="shared" si="219"/>
        <v>0.05</v>
      </c>
      <c r="N5894" s="464">
        <f t="shared" si="220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18"/>
        <v>-1109727205262843.8</v>
      </c>
      <c r="J5895" s="444">
        <f t="array" ref="J5895">IFERROR(INDEX('Retirement Calculator'!J:J,MATCH('Isaac 401k'!N5895,'Retirement Calculator'!A:A,0),0),0)</f>
        <v>0</v>
      </c>
      <c r="K5895" s="444">
        <f t="shared" ca="1" si="216"/>
        <v>-4623863355261.8486</v>
      </c>
      <c r="L5895" s="444">
        <f t="shared" ca="1" si="217"/>
        <v>-1114351068618105.6</v>
      </c>
      <c r="M5895" s="460">
        <f t="shared" si="219"/>
        <v>0.05</v>
      </c>
      <c r="N5895" s="464">
        <f t="shared" si="220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18"/>
        <v>-1114351068618105.6</v>
      </c>
      <c r="J5896" s="444">
        <f t="array" ref="J5896">IFERROR(INDEX('Retirement Calculator'!J:J,MATCH('Isaac 401k'!N5896,'Retirement Calculator'!A:A,0),0),0)</f>
        <v>0</v>
      </c>
      <c r="K5896" s="444">
        <f t="shared" ca="1" si="216"/>
        <v>-4643129452575.4404</v>
      </c>
      <c r="L5896" s="444">
        <f t="shared" ca="1" si="217"/>
        <v>-1118994198070681.1</v>
      </c>
      <c r="M5896" s="460">
        <f t="shared" si="219"/>
        <v>0.05</v>
      </c>
      <c r="N5896" s="464">
        <f t="shared" si="220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18"/>
        <v>-1118994198070681.1</v>
      </c>
      <c r="J5897" s="444">
        <f t="array" ref="J5897">IFERROR(INDEX('Retirement Calculator'!J:J,MATCH('Isaac 401k'!N5897,'Retirement Calculator'!A:A,0),0),0)</f>
        <v>0</v>
      </c>
      <c r="K5897" s="444">
        <f t="shared" ca="1" si="216"/>
        <v>-4662475825294.5049</v>
      </c>
      <c r="L5897" s="444">
        <f t="shared" ca="1" si="217"/>
        <v>-1123656673895975.6</v>
      </c>
      <c r="M5897" s="460">
        <f t="shared" si="219"/>
        <v>0.05</v>
      </c>
      <c r="N5897" s="464">
        <f t="shared" si="220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18"/>
        <v>-1123656673895975.6</v>
      </c>
      <c r="J5898" s="444">
        <f t="array" ref="J5898">IFERROR(INDEX('Retirement Calculator'!J:J,MATCH('Isaac 401k'!N5898,'Retirement Calculator'!A:A,0),0),0)</f>
        <v>0</v>
      </c>
      <c r="K5898" s="444">
        <f t="shared" ca="1" si="216"/>
        <v>-4681902807899.8984</v>
      </c>
      <c r="L5898" s="444">
        <f t="shared" ca="1" si="217"/>
        <v>-1128338576703875.5</v>
      </c>
      <c r="M5898" s="460">
        <f t="shared" si="219"/>
        <v>0.05</v>
      </c>
      <c r="N5898" s="464">
        <f t="shared" si="220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18"/>
        <v>-1128338576703875.5</v>
      </c>
      <c r="J5899" s="444">
        <f t="array" ref="J5899">IFERROR(INDEX('Retirement Calculator'!J:J,MATCH('Isaac 401k'!N5899,'Retirement Calculator'!A:A,0),0),0)</f>
        <v>0</v>
      </c>
      <c r="K5899" s="444">
        <f t="shared" ca="1" si="216"/>
        <v>-4701410736266.1475</v>
      </c>
      <c r="L5899" s="444">
        <f t="shared" ca="1" si="217"/>
        <v>-1133039987440141.8</v>
      </c>
      <c r="M5899" s="460">
        <f t="shared" si="219"/>
        <v>0.05</v>
      </c>
      <c r="N5899" s="464">
        <f t="shared" si="220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18"/>
        <v>-1133039987440141.8</v>
      </c>
      <c r="J5900" s="444">
        <f t="array" ref="J5900">IFERROR(INDEX('Retirement Calculator'!J:J,MATCH('Isaac 401k'!N5900,'Retirement Calculator'!A:A,0),0),0)</f>
        <v>0</v>
      </c>
      <c r="K5900" s="444">
        <f t="shared" ca="1" si="216"/>
        <v>-4720999947667.2568</v>
      </c>
      <c r="L5900" s="444">
        <f t="shared" ca="1" si="217"/>
        <v>-1137760987387809</v>
      </c>
      <c r="M5900" s="460">
        <f t="shared" si="219"/>
        <v>0.05</v>
      </c>
      <c r="N5900" s="464">
        <f t="shared" si="220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18"/>
        <v>-1137760987387809</v>
      </c>
      <c r="J5901" s="444">
        <f t="array" ref="J5901">IFERROR(INDEX('Retirement Calculator'!J:J,MATCH('Isaac 401k'!N5901,'Retirement Calculator'!A:A,0),0),0)</f>
        <v>0</v>
      </c>
      <c r="K5901" s="444">
        <f t="shared" ca="1" si="216"/>
        <v>-4740670780782.5371</v>
      </c>
      <c r="L5901" s="444">
        <f t="shared" ca="1" si="217"/>
        <v>-1142501658168591.5</v>
      </c>
      <c r="M5901" s="460">
        <f t="shared" si="219"/>
        <v>0.05</v>
      </c>
      <c r="N5901" s="464">
        <f t="shared" si="220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18"/>
        <v>-1142501658168591.5</v>
      </c>
      <c r="J5902" s="444">
        <f t="array" ref="J5902">IFERROR(INDEX('Retirement Calculator'!J:J,MATCH('Isaac 401k'!N5902,'Retirement Calculator'!A:A,0),0),0)</f>
        <v>0</v>
      </c>
      <c r="K5902" s="444">
        <f t="shared" ca="1" si="216"/>
        <v>-4760423575702.4648</v>
      </c>
      <c r="L5902" s="444">
        <f t="shared" ca="1" si="217"/>
        <v>-1147262081744294</v>
      </c>
      <c r="M5902" s="460">
        <f t="shared" si="219"/>
        <v>0.05</v>
      </c>
      <c r="N5902" s="464">
        <f t="shared" si="220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18"/>
        <v>-1147262081744294</v>
      </c>
      <c r="J5903" s="444">
        <f t="array" ref="J5903">IFERROR(INDEX('Retirement Calculator'!J:J,MATCH('Isaac 401k'!N5903,'Retirement Calculator'!A:A,0),0),0)</f>
        <v>0</v>
      </c>
      <c r="K5903" s="444">
        <f t="shared" ca="1" si="216"/>
        <v>-4780258673934.5586</v>
      </c>
      <c r="L5903" s="444">
        <f t="shared" ca="1" si="217"/>
        <v>-1152042340418228.5</v>
      </c>
      <c r="M5903" s="460">
        <f t="shared" si="219"/>
        <v>0.05</v>
      </c>
      <c r="N5903" s="464">
        <f t="shared" si="220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18"/>
        <v>-1152042340418228.5</v>
      </c>
      <c r="J5904" s="444">
        <f t="array" ref="J5904">IFERROR(INDEX('Retirement Calculator'!J:J,MATCH('Isaac 401k'!N5904,'Retirement Calculator'!A:A,0),0),0)</f>
        <v>0</v>
      </c>
      <c r="K5904" s="444">
        <f t="shared" ca="1" si="216"/>
        <v>-4800176418409.2852</v>
      </c>
      <c r="L5904" s="444">
        <f t="shared" ca="1" si="217"/>
        <v>-1156842516836637.8</v>
      </c>
      <c r="M5904" s="460">
        <f t="shared" si="219"/>
        <v>0.05</v>
      </c>
      <c r="N5904" s="464">
        <f t="shared" si="220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18"/>
        <v>-1156842516836637.8</v>
      </c>
      <c r="J5905" s="444">
        <f t="array" ref="J5905">IFERROR(INDEX('Retirement Calculator'!J:J,MATCH('Isaac 401k'!N5905,'Retirement Calculator'!A:A,0),0),0)</f>
        <v>0</v>
      </c>
      <c r="K5905" s="444">
        <f t="shared" ca="1" si="216"/>
        <v>-4820177153485.9902</v>
      </c>
      <c r="L5905" s="444">
        <f t="shared" ca="1" si="217"/>
        <v>-1161662693990123.8</v>
      </c>
      <c r="M5905" s="460">
        <f t="shared" si="219"/>
        <v>0.05</v>
      </c>
      <c r="N5905" s="464">
        <f t="shared" si="220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18"/>
        <v>-1161662693990123.8</v>
      </c>
      <c r="J5906" s="444">
        <f t="array" ref="J5906">IFERROR(INDEX('Retirement Calculator'!J:J,MATCH('Isaac 401k'!N5906,'Retirement Calculator'!A:A,0),0),0)</f>
        <v>0</v>
      </c>
      <c r="K5906" s="444">
        <f t="shared" ca="1" si="216"/>
        <v>-4840261224958.8486</v>
      </c>
      <c r="L5906" s="444">
        <f t="shared" ca="1" si="217"/>
        <v>-1166502955215082.5</v>
      </c>
      <c r="M5906" s="460">
        <f t="shared" si="219"/>
        <v>0.05</v>
      </c>
      <c r="N5906" s="464">
        <f t="shared" si="220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18"/>
        <v>-1166502955215082.5</v>
      </c>
      <c r="J5907" s="444">
        <f t="array" ref="J5907">IFERROR(INDEX('Retirement Calculator'!J:J,MATCH('Isaac 401k'!N5907,'Retirement Calculator'!A:A,0),0),0)</f>
        <v>0</v>
      </c>
      <c r="K5907" s="444">
        <f t="shared" ca="1" si="216"/>
        <v>-4860428980062.8438</v>
      </c>
      <c r="L5907" s="444">
        <f t="shared" ca="1" si="217"/>
        <v>-1171363384195145.3</v>
      </c>
      <c r="M5907" s="460">
        <f t="shared" si="219"/>
        <v>0.05</v>
      </c>
      <c r="N5907" s="464">
        <f t="shared" si="220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18"/>
        <v>-1171363384195145.3</v>
      </c>
      <c r="J5908" s="444">
        <f t="array" ref="J5908">IFERROR(INDEX('Retirement Calculator'!J:J,MATCH('Isaac 401k'!N5908,'Retirement Calculator'!A:A,0),0),0)</f>
        <v>0</v>
      </c>
      <c r="K5908" s="444">
        <f t="shared" ca="1" si="216"/>
        <v>-4880680767479.7715</v>
      </c>
      <c r="L5908" s="444">
        <f t="shared" ca="1" si="217"/>
        <v>-1176244064962625</v>
      </c>
      <c r="M5908" s="460">
        <f t="shared" si="219"/>
        <v>0.05</v>
      </c>
      <c r="N5908" s="464">
        <f t="shared" si="220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18"/>
        <v>-1176244064962625</v>
      </c>
      <c r="J5909" s="444">
        <f t="array" ref="J5909">IFERROR(INDEX('Retirement Calculator'!J:J,MATCH('Isaac 401k'!N5909,'Retirement Calculator'!A:A,0),0),0)</f>
        <v>0</v>
      </c>
      <c r="K5909" s="444">
        <f t="shared" ca="1" si="216"/>
        <v>-4901016937344.2705</v>
      </c>
      <c r="L5909" s="444">
        <f t="shared" ca="1" si="217"/>
        <v>-1181145081899969.3</v>
      </c>
      <c r="M5909" s="460">
        <f t="shared" si="219"/>
        <v>0.05</v>
      </c>
      <c r="N5909" s="464">
        <f t="shared" si="220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18"/>
        <v>-1181145081899969.3</v>
      </c>
      <c r="J5910" s="444">
        <f t="array" ref="J5910">IFERROR(INDEX('Retirement Calculator'!J:J,MATCH('Isaac 401k'!N5910,'Retirement Calculator'!A:A,0),0),0)</f>
        <v>0</v>
      </c>
      <c r="K5910" s="444">
        <f t="shared" ca="1" si="216"/>
        <v>-4921437841249.8721</v>
      </c>
      <c r="L5910" s="444">
        <f t="shared" ca="1" si="217"/>
        <v>-1186066519741219</v>
      </c>
      <c r="M5910" s="460">
        <f t="shared" si="219"/>
        <v>0.05</v>
      </c>
      <c r="N5910" s="464">
        <f t="shared" si="220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18"/>
        <v>-1186066519741219</v>
      </c>
      <c r="J5911" s="444">
        <f t="array" ref="J5911">IFERROR(INDEX('Retirement Calculator'!J:J,MATCH('Isaac 401k'!N5911,'Retirement Calculator'!A:A,0),0),0)</f>
        <v>0</v>
      </c>
      <c r="K5911" s="444">
        <f t="shared" ca="1" si="216"/>
        <v>-4941943832255.0791</v>
      </c>
      <c r="L5911" s="444">
        <f t="shared" ca="1" si="217"/>
        <v>-1191008463573474</v>
      </c>
      <c r="M5911" s="460">
        <f t="shared" si="219"/>
        <v>0.05</v>
      </c>
      <c r="N5911" s="464">
        <f t="shared" si="220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18"/>
        <v>-1191008463573474</v>
      </c>
      <c r="J5912" s="444">
        <f t="array" ref="J5912">IFERROR(INDEX('Retirement Calculator'!J:J,MATCH('Isaac 401k'!N5912,'Retirement Calculator'!A:A,0),0),0)</f>
        <v>0</v>
      </c>
      <c r="K5912" s="444">
        <f t="shared" ca="1" si="216"/>
        <v>-4962535264889.4746</v>
      </c>
      <c r="L5912" s="444">
        <f t="shared" ca="1" si="217"/>
        <v>-1195970998838363.5</v>
      </c>
      <c r="M5912" s="460">
        <f t="shared" si="219"/>
        <v>0.05</v>
      </c>
      <c r="N5912" s="464">
        <f t="shared" si="220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18"/>
        <v>-1195970998838363.5</v>
      </c>
      <c r="J5913" s="444">
        <f t="array" ref="J5913">IFERROR(INDEX('Retirement Calculator'!J:J,MATCH('Isaac 401k'!N5913,'Retirement Calculator'!A:A,0),0),0)</f>
        <v>0</v>
      </c>
      <c r="K5913" s="444">
        <f t="shared" ca="1" si="216"/>
        <v>-4983212495159.8477</v>
      </c>
      <c r="L5913" s="444">
        <f t="shared" ca="1" si="217"/>
        <v>-1200954211333523.3</v>
      </c>
      <c r="M5913" s="460">
        <f t="shared" si="219"/>
        <v>0.05</v>
      </c>
      <c r="N5913" s="464">
        <f t="shared" si="220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18"/>
        <v>-1200954211333523.3</v>
      </c>
      <c r="J5914" s="444">
        <f t="array" ref="J5914">IFERROR(INDEX('Retirement Calculator'!J:J,MATCH('Isaac 401k'!N5914,'Retirement Calculator'!A:A,0),0),0)</f>
        <v>0</v>
      </c>
      <c r="K5914" s="444">
        <f t="shared" ca="1" si="216"/>
        <v>-5003975880556.3467</v>
      </c>
      <c r="L5914" s="444">
        <f t="shared" ca="1" si="217"/>
        <v>-1205958187214079.5</v>
      </c>
      <c r="M5914" s="460">
        <f t="shared" si="219"/>
        <v>0.05</v>
      </c>
      <c r="N5914" s="464">
        <f t="shared" si="220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18"/>
        <v>-1205958187214079.5</v>
      </c>
      <c r="J5915" s="444">
        <f t="array" ref="J5915">IFERROR(INDEX('Retirement Calculator'!J:J,MATCH('Isaac 401k'!N5915,'Retirement Calculator'!A:A,0),0),0)</f>
        <v>0</v>
      </c>
      <c r="K5915" s="444">
        <f t="shared" ca="1" si="216"/>
        <v>-5024825780058.6641</v>
      </c>
      <c r="L5915" s="444">
        <f t="shared" ca="1" si="217"/>
        <v>-1210983012994138.3</v>
      </c>
      <c r="M5915" s="460">
        <f t="shared" si="219"/>
        <v>0.05</v>
      </c>
      <c r="N5915" s="464">
        <f t="shared" si="220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18"/>
        <v>-1210983012994138.3</v>
      </c>
      <c r="J5916" s="444">
        <f t="array" ref="J5916">IFERROR(INDEX('Retirement Calculator'!J:J,MATCH('Isaac 401k'!N5916,'Retirement Calculator'!A:A,0),0),0)</f>
        <v>0</v>
      </c>
      <c r="K5916" s="444">
        <f t="shared" ca="1" si="216"/>
        <v>-5045762554142.2422</v>
      </c>
      <c r="L5916" s="444">
        <f t="shared" ca="1" si="217"/>
        <v>-1216028775548280.5</v>
      </c>
      <c r="M5916" s="460">
        <f t="shared" si="219"/>
        <v>0.05</v>
      </c>
      <c r="N5916" s="464">
        <f t="shared" si="220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18"/>
        <v>-1216028775548280.5</v>
      </c>
      <c r="J5917" s="444">
        <f t="array" ref="J5917">IFERROR(INDEX('Retirement Calculator'!J:J,MATCH('Isaac 401k'!N5917,'Retirement Calculator'!A:A,0),0),0)</f>
        <v>0</v>
      </c>
      <c r="K5917" s="444">
        <f t="shared" ca="1" si="216"/>
        <v>-5066786564784.502</v>
      </c>
      <c r="L5917" s="444">
        <f t="shared" ca="1" si="217"/>
        <v>-1221095562113065</v>
      </c>
      <c r="M5917" s="460">
        <f t="shared" si="219"/>
        <v>0.05</v>
      </c>
      <c r="N5917" s="464">
        <f t="shared" si="220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18"/>
        <v>-1221095562113065</v>
      </c>
      <c r="J5918" s="444">
        <f t="array" ref="J5918">IFERROR(INDEX('Retirement Calculator'!J:J,MATCH('Isaac 401k'!N5918,'Retirement Calculator'!A:A,0),0),0)</f>
        <v>0</v>
      </c>
      <c r="K5918" s="444">
        <f t="shared" ca="1" si="216"/>
        <v>-5087898175471.1045</v>
      </c>
      <c r="L5918" s="444">
        <f t="shared" ca="1" si="217"/>
        <v>-1226183460288536</v>
      </c>
      <c r="M5918" s="460">
        <f t="shared" si="219"/>
        <v>0.05</v>
      </c>
      <c r="N5918" s="464">
        <f t="shared" si="220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18"/>
        <v>-1226183460288536</v>
      </c>
      <c r="J5919" s="444">
        <f t="array" ref="J5919">IFERROR(INDEX('Retirement Calculator'!J:J,MATCH('Isaac 401k'!N5919,'Retirement Calculator'!A:A,0),0),0)</f>
        <v>0</v>
      </c>
      <c r="K5919" s="444">
        <f t="shared" ca="1" si="216"/>
        <v>-5109097751202.2334</v>
      </c>
      <c r="L5919" s="444">
        <f t="shared" ca="1" si="217"/>
        <v>-1231292558039738.3</v>
      </c>
      <c r="M5919" s="460">
        <f t="shared" si="219"/>
        <v>0.05</v>
      </c>
      <c r="N5919" s="464">
        <f t="shared" si="220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18"/>
        <v>-1231292558039738.3</v>
      </c>
      <c r="J5920" s="444">
        <f t="array" ref="J5920">IFERROR(INDEX('Retirement Calculator'!J:J,MATCH('Isaac 401k'!N5920,'Retirement Calculator'!A:A,0),0),0)</f>
        <v>0</v>
      </c>
      <c r="K5920" s="444">
        <f t="shared" ca="1" si="216"/>
        <v>-5130385658498.9092</v>
      </c>
      <c r="L5920" s="444">
        <f t="shared" ca="1" si="217"/>
        <v>-1236422943698237.3</v>
      </c>
      <c r="M5920" s="460">
        <f t="shared" si="219"/>
        <v>0.05</v>
      </c>
      <c r="N5920" s="464">
        <f t="shared" si="220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18"/>
        <v>-1236422943698237.3</v>
      </c>
      <c r="J5921" s="444">
        <f t="array" ref="J5921">IFERROR(INDEX('Retirement Calculator'!J:J,MATCH('Isaac 401k'!N5921,'Retirement Calculator'!A:A,0),0),0)</f>
        <v>0</v>
      </c>
      <c r="K5921" s="444">
        <f t="shared" ca="1" si="216"/>
        <v>-5151762265409.3223</v>
      </c>
      <c r="L5921" s="444">
        <f t="shared" ca="1" si="217"/>
        <v>-1241574705963646.5</v>
      </c>
      <c r="M5921" s="460">
        <f t="shared" si="219"/>
        <v>0.05</v>
      </c>
      <c r="N5921" s="464">
        <f t="shared" si="220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18"/>
        <v>-1241574705963646.5</v>
      </c>
      <c r="J5922" s="444">
        <f t="array" ref="J5922">IFERROR(INDEX('Retirement Calculator'!J:J,MATCH('Isaac 401k'!N5922,'Retirement Calculator'!A:A,0),0),0)</f>
        <v>0</v>
      </c>
      <c r="K5922" s="444">
        <f t="shared" ca="1" si="216"/>
        <v>-5173227941515.1934</v>
      </c>
      <c r="L5922" s="444">
        <f t="shared" ca="1" si="217"/>
        <v>-1246747933905161.8</v>
      </c>
      <c r="M5922" s="460">
        <f t="shared" si="219"/>
        <v>0.05</v>
      </c>
      <c r="N5922" s="464">
        <f t="shared" si="220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18"/>
        <v>-1246747933905161.8</v>
      </c>
      <c r="J5923" s="444">
        <f t="array" ref="J5923">IFERROR(INDEX('Retirement Calculator'!J:J,MATCH('Isaac 401k'!N5923,'Retirement Calculator'!A:A,0),0),0)</f>
        <v>0</v>
      </c>
      <c r="K5923" s="444">
        <f t="shared" ca="1" si="216"/>
        <v>-5194783057938.1738</v>
      </c>
      <c r="L5923" s="444">
        <f t="shared" ca="1" si="217"/>
        <v>-1251942716963100</v>
      </c>
      <c r="M5923" s="460">
        <f t="shared" si="219"/>
        <v>0.05</v>
      </c>
      <c r="N5923" s="464">
        <f t="shared" si="220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18"/>
        <v>-1251942716963100</v>
      </c>
      <c r="J5924" s="444">
        <f t="array" ref="J5924">IFERROR(INDEX('Retirement Calculator'!J:J,MATCH('Isaac 401k'!N5924,'Retirement Calculator'!A:A,0),0),0)</f>
        <v>0</v>
      </c>
      <c r="K5924" s="444">
        <f t="shared" ca="1" si="216"/>
        <v>-5216427987346.25</v>
      </c>
      <c r="L5924" s="444">
        <f t="shared" ca="1" si="217"/>
        <v>-1257159144950446.3</v>
      </c>
      <c r="M5924" s="460">
        <f t="shared" si="219"/>
        <v>0.05</v>
      </c>
      <c r="N5924" s="464">
        <f t="shared" si="220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18"/>
        <v>-1257159144950446.3</v>
      </c>
      <c r="J5925" s="444">
        <f t="array" ref="J5925">IFERROR(INDEX('Retirement Calculator'!J:J,MATCH('Isaac 401k'!N5925,'Retirement Calculator'!A:A,0),0),0)</f>
        <v>0</v>
      </c>
      <c r="K5925" s="444">
        <f t="shared" ca="1" si="216"/>
        <v>-5238163103960.1924</v>
      </c>
      <c r="L5925" s="444">
        <f t="shared" ca="1" si="217"/>
        <v>-1262397308054406.5</v>
      </c>
      <c r="M5925" s="460">
        <f t="shared" si="219"/>
        <v>0.05</v>
      </c>
      <c r="N5925" s="464">
        <f t="shared" si="220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18"/>
        <v>-1262397308054406.5</v>
      </c>
      <c r="J5926" s="444">
        <f t="array" ref="J5926">IFERROR(INDEX('Retirement Calculator'!J:J,MATCH('Isaac 401k'!N5926,'Retirement Calculator'!A:A,0),0),0)</f>
        <v>0</v>
      </c>
      <c r="K5926" s="444">
        <f t="shared" ca="1" si="216"/>
        <v>-5259988783560.0273</v>
      </c>
      <c r="L5926" s="444">
        <f t="shared" ca="1" si="217"/>
        <v>-1267657296837966.5</v>
      </c>
      <c r="M5926" s="460">
        <f t="shared" si="219"/>
        <v>0.05</v>
      </c>
      <c r="N5926" s="464">
        <f t="shared" si="220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18"/>
        <v>-1267657296837966.5</v>
      </c>
      <c r="J5927" s="444">
        <f t="array" ref="J5927">IFERROR(INDEX('Retirement Calculator'!J:J,MATCH('Isaac 401k'!N5927,'Retirement Calculator'!A:A,0),0),0)</f>
        <v>0</v>
      </c>
      <c r="K5927" s="444">
        <f t="shared" ca="1" si="216"/>
        <v>-5281905403491.5273</v>
      </c>
      <c r="L5927" s="444">
        <f t="shared" ca="1" si="217"/>
        <v>-1272939202241458</v>
      </c>
      <c r="M5927" s="460">
        <f t="shared" si="219"/>
        <v>0.05</v>
      </c>
      <c r="N5927" s="464">
        <f t="shared" si="220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18"/>
        <v>-1272939202241458</v>
      </c>
      <c r="J5928" s="444">
        <f t="array" ref="J5928">IFERROR(INDEX('Retirement Calculator'!J:J,MATCH('Isaac 401k'!N5928,'Retirement Calculator'!A:A,0),0),0)</f>
        <v>0</v>
      </c>
      <c r="K5928" s="444">
        <f t="shared" ca="1" si="216"/>
        <v>-5303913342672.7412</v>
      </c>
      <c r="L5928" s="444">
        <f t="shared" ca="1" si="217"/>
        <v>-1278243115584130.8</v>
      </c>
      <c r="M5928" s="460">
        <f t="shared" si="219"/>
        <v>0.05</v>
      </c>
      <c r="N5928" s="464">
        <f t="shared" si="220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18"/>
        <v>-1278243115584130.8</v>
      </c>
      <c r="J5929" s="444">
        <f t="array" ref="J5929">IFERROR(INDEX('Retirement Calculator'!J:J,MATCH('Isaac 401k'!N5929,'Retirement Calculator'!A:A,0),0),0)</f>
        <v>0</v>
      </c>
      <c r="K5929" s="444">
        <f t="shared" ca="1" si="216"/>
        <v>-5326012981600.5449</v>
      </c>
      <c r="L5929" s="444">
        <f t="shared" ca="1" si="217"/>
        <v>-1283569128565731.3</v>
      </c>
      <c r="M5929" s="460">
        <f t="shared" si="219"/>
        <v>0.05</v>
      </c>
      <c r="N5929" s="464">
        <f t="shared" si="220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18"/>
        <v>-1283569128565731.3</v>
      </c>
      <c r="J5930" s="444">
        <f t="array" ref="J5930">IFERROR(INDEX('Retirement Calculator'!J:J,MATCH('Isaac 401k'!N5930,'Retirement Calculator'!A:A,0),0),0)</f>
        <v>0</v>
      </c>
      <c r="K5930" s="444">
        <f t="shared" ca="1" si="216"/>
        <v>-5348204702357.2139</v>
      </c>
      <c r="L5930" s="444">
        <f t="shared" ca="1" si="217"/>
        <v>-1288917333268088.5</v>
      </c>
      <c r="M5930" s="460">
        <f t="shared" si="219"/>
        <v>0.05</v>
      </c>
      <c r="N5930" s="464">
        <f t="shared" si="220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18"/>
        <v>-1288917333268088.5</v>
      </c>
      <c r="J5931" s="444">
        <f t="array" ref="J5931">IFERROR(INDEX('Retirement Calculator'!J:J,MATCH('Isaac 401k'!N5931,'Retirement Calculator'!A:A,0),0),0)</f>
        <v>0</v>
      </c>
      <c r="K5931" s="444">
        <f t="shared" ca="1" si="216"/>
        <v>-5370488888617.0352</v>
      </c>
      <c r="L5931" s="444">
        <f t="shared" ca="1" si="217"/>
        <v>-1294287822156705.5</v>
      </c>
      <c r="M5931" s="460">
        <f t="shared" si="219"/>
        <v>0.05</v>
      </c>
      <c r="N5931" s="464">
        <f t="shared" si="220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18"/>
        <v>-1294287822156705.5</v>
      </c>
      <c r="J5932" s="444">
        <f t="array" ref="J5932">IFERROR(INDEX('Retirement Calculator'!J:J,MATCH('Isaac 401k'!N5932,'Retirement Calculator'!A:A,0),0),0)</f>
        <v>0</v>
      </c>
      <c r="K5932" s="444">
        <f t="shared" ca="1" si="216"/>
        <v>-5392865925652.9395</v>
      </c>
      <c r="L5932" s="444">
        <f t="shared" ca="1" si="217"/>
        <v>-1299680688082358.5</v>
      </c>
      <c r="M5932" s="460">
        <f t="shared" si="219"/>
        <v>0.05</v>
      </c>
      <c r="N5932" s="464">
        <f t="shared" si="220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18"/>
        <v>-1299680688082358.5</v>
      </c>
      <c r="J5933" s="444">
        <f t="array" ref="J5933">IFERROR(INDEX('Retirement Calculator'!J:J,MATCH('Isaac 401k'!N5933,'Retirement Calculator'!A:A,0),0),0)</f>
        <v>0</v>
      </c>
      <c r="K5933" s="444">
        <f t="shared" ca="1" si="216"/>
        <v>-5415336200343.1602</v>
      </c>
      <c r="L5933" s="444">
        <f t="shared" ca="1" si="217"/>
        <v>-1305096024282701.8</v>
      </c>
      <c r="M5933" s="460">
        <f t="shared" si="219"/>
        <v>0.05</v>
      </c>
      <c r="N5933" s="464">
        <f t="shared" si="220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18"/>
        <v>-1305096024282701.8</v>
      </c>
      <c r="J5934" s="444">
        <f t="array" ref="J5934">IFERROR(INDEX('Retirement Calculator'!J:J,MATCH('Isaac 401k'!N5934,'Retirement Calculator'!A:A,0),0),0)</f>
        <v>0</v>
      </c>
      <c r="K5934" s="444">
        <f t="shared" ca="1" si="216"/>
        <v>-5437900101177.9238</v>
      </c>
      <c r="L5934" s="444">
        <f t="shared" ca="1" si="217"/>
        <v>-1310533924383879.8</v>
      </c>
      <c r="M5934" s="460">
        <f t="shared" si="219"/>
        <v>0.05</v>
      </c>
      <c r="N5934" s="464">
        <f t="shared" si="220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18"/>
        <v>-1310533924383879.8</v>
      </c>
      <c r="J5935" s="444">
        <f t="array" ref="J5935">IFERROR(INDEX('Retirement Calculator'!J:J,MATCH('Isaac 401k'!N5935,'Retirement Calculator'!A:A,0),0),0)</f>
        <v>0</v>
      </c>
      <c r="K5935" s="444">
        <f t="shared" ca="1" si="216"/>
        <v>-5460558018266.166</v>
      </c>
      <c r="L5935" s="444">
        <f t="shared" ca="1" si="217"/>
        <v>-1315994482402146</v>
      </c>
      <c r="M5935" s="460">
        <f t="shared" si="219"/>
        <v>0.05</v>
      </c>
      <c r="N5935" s="464">
        <f t="shared" si="220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18"/>
        <v>-1315994482402146</v>
      </c>
      <c r="J5936" s="444">
        <f t="array" ref="J5936">IFERROR(INDEX('Retirement Calculator'!J:J,MATCH('Isaac 401k'!N5936,'Retirement Calculator'!A:A,0),0),0)</f>
        <v>0</v>
      </c>
      <c r="K5936" s="444">
        <f t="shared" ca="1" si="216"/>
        <v>-5483310343342.2754</v>
      </c>
      <c r="L5936" s="444">
        <f t="shared" ca="1" si="217"/>
        <v>-1321477792745488.3</v>
      </c>
      <c r="M5936" s="460">
        <f t="shared" si="219"/>
        <v>0.05</v>
      </c>
      <c r="N5936" s="464">
        <f t="shared" si="220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18"/>
        <v>-1321477792745488.3</v>
      </c>
      <c r="J5937" s="444">
        <f t="array" ref="J5937">IFERROR(INDEX('Retirement Calculator'!J:J,MATCH('Isaac 401k'!N5937,'Retirement Calculator'!A:A,0),0),0)</f>
        <v>0</v>
      </c>
      <c r="K5937" s="444">
        <f t="shared" ca="1" si="216"/>
        <v>-5506157469772.8672</v>
      </c>
      <c r="L5937" s="444">
        <f t="shared" ca="1" si="217"/>
        <v>-1326983950215261</v>
      </c>
      <c r="M5937" s="460">
        <f t="shared" si="219"/>
        <v>0.05</v>
      </c>
      <c r="N5937" s="464">
        <f t="shared" si="220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18"/>
        <v>-1326983950215261</v>
      </c>
      <c r="J5938" s="444">
        <f t="array" ref="J5938">IFERROR(INDEX('Retirement Calculator'!J:J,MATCH('Isaac 401k'!N5938,'Retirement Calculator'!A:A,0),0),0)</f>
        <v>0</v>
      </c>
      <c r="K5938" s="444">
        <f t="shared" ca="1" si="216"/>
        <v>-5529099792563.5879</v>
      </c>
      <c r="L5938" s="444">
        <f t="shared" ca="1" si="217"/>
        <v>-1332513050007824.5</v>
      </c>
      <c r="M5938" s="460">
        <f t="shared" si="219"/>
        <v>0.05</v>
      </c>
      <c r="N5938" s="464">
        <f t="shared" si="220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18"/>
        <v>-1332513050007824.5</v>
      </c>
      <c r="J5939" s="444">
        <f t="array" ref="J5939">IFERROR(INDEX('Retirement Calculator'!J:J,MATCH('Isaac 401k'!N5939,'Retirement Calculator'!A:A,0),0),0)</f>
        <v>0</v>
      </c>
      <c r="K5939" s="444">
        <f t="shared" ca="1" si="216"/>
        <v>-5552137708365.9355</v>
      </c>
      <c r="L5939" s="444">
        <f t="shared" ca="1" si="217"/>
        <v>-1338065187716190.5</v>
      </c>
      <c r="M5939" s="460">
        <f t="shared" si="219"/>
        <v>0.05</v>
      </c>
      <c r="N5939" s="464">
        <f t="shared" si="220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18"/>
        <v>-1338065187716190.5</v>
      </c>
      <c r="J5940" s="444">
        <f t="array" ref="J5940">IFERROR(INDEX('Retirement Calculator'!J:J,MATCH('Isaac 401k'!N5940,'Retirement Calculator'!A:A,0),0),0)</f>
        <v>0</v>
      </c>
      <c r="K5940" s="444">
        <f t="shared" ca="1" si="216"/>
        <v>-5575271615484.127</v>
      </c>
      <c r="L5940" s="444">
        <f t="shared" ca="1" si="217"/>
        <v>-1343640459331674.8</v>
      </c>
      <c r="M5940" s="460">
        <f t="shared" si="219"/>
        <v>0.05</v>
      </c>
      <c r="N5940" s="464">
        <f t="shared" si="220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18"/>
        <v>-1343640459331674.8</v>
      </c>
      <c r="J5941" s="444">
        <f t="array" ref="J5941">IFERROR(INDEX('Retirement Calculator'!J:J,MATCH('Isaac 401k'!N5941,'Retirement Calculator'!A:A,0),0),0)</f>
        <v>0</v>
      </c>
      <c r="K5941" s="444">
        <f t="shared" ca="1" si="216"/>
        <v>-5598501913881.9785</v>
      </c>
      <c r="L5941" s="444">
        <f t="shared" ca="1" si="217"/>
        <v>-1349238961245556.8</v>
      </c>
      <c r="M5941" s="460">
        <f t="shared" si="219"/>
        <v>0.05</v>
      </c>
      <c r="N5941" s="464">
        <f t="shared" si="220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18"/>
        <v>-1349238961245556.8</v>
      </c>
      <c r="J5942" s="444">
        <f t="array" ref="J5942">IFERROR(INDEX('Retirement Calculator'!J:J,MATCH('Isaac 401k'!N5942,'Retirement Calculator'!A:A,0),0),0)</f>
        <v>0</v>
      </c>
      <c r="K5942" s="444">
        <f t="shared" ca="1" si="216"/>
        <v>-5621829005189.8193</v>
      </c>
      <c r="L5942" s="444">
        <f t="shared" ca="1" si="217"/>
        <v>-1354860790250746.5</v>
      </c>
      <c r="M5942" s="460">
        <f t="shared" si="219"/>
        <v>0.05</v>
      </c>
      <c r="N5942" s="464">
        <f t="shared" si="220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18"/>
        <v>-1354860790250746.5</v>
      </c>
      <c r="J5943" s="444">
        <f t="array" ref="J5943">IFERROR(INDEX('Retirement Calculator'!J:J,MATCH('Isaac 401k'!N5943,'Retirement Calculator'!A:A,0),0),0)</f>
        <v>0</v>
      </c>
      <c r="K5943" s="444">
        <f t="shared" ca="1" si="216"/>
        <v>-5645253292711.4434</v>
      </c>
      <c r="L5943" s="444">
        <f t="shared" ca="1" si="217"/>
        <v>-1360506043543458</v>
      </c>
      <c r="M5943" s="460">
        <f t="shared" si="219"/>
        <v>0.05</v>
      </c>
      <c r="N5943" s="464">
        <f t="shared" si="220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18"/>
        <v>-1360506043543458</v>
      </c>
      <c r="J5944" s="444">
        <f t="array" ref="J5944">IFERROR(INDEX('Retirement Calculator'!J:J,MATCH('Isaac 401k'!N5944,'Retirement Calculator'!A:A,0),0),0)</f>
        <v>0</v>
      </c>
      <c r="K5944" s="444">
        <f t="shared" ca="1" si="216"/>
        <v>-5668775181431.0752</v>
      </c>
      <c r="L5944" s="444">
        <f t="shared" ca="1" si="217"/>
        <v>-1366174818724889</v>
      </c>
      <c r="M5944" s="460">
        <f t="shared" si="219"/>
        <v>0.05</v>
      </c>
      <c r="N5944" s="464">
        <f t="shared" si="220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18"/>
        <v>-1366174818724889</v>
      </c>
      <c r="J5945" s="444">
        <f t="array" ref="J5945">IFERROR(INDEX('Retirement Calculator'!J:J,MATCH('Isaac 401k'!N5945,'Retirement Calculator'!A:A,0),0),0)</f>
        <v>0</v>
      </c>
      <c r="K5945" s="444">
        <f t="shared" ca="1" si="216"/>
        <v>-5692395078020.3711</v>
      </c>
      <c r="L5945" s="444">
        <f t="shared" ca="1" si="217"/>
        <v>-1371867213802909.3</v>
      </c>
      <c r="M5945" s="460">
        <f t="shared" si="219"/>
        <v>0.05</v>
      </c>
      <c r="N5945" s="464">
        <f t="shared" si="220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18"/>
        <v>-1371867213802909.3</v>
      </c>
      <c r="J5946" s="444">
        <f t="array" ref="J5946">IFERROR(INDEX('Retirement Calculator'!J:J,MATCH('Isaac 401k'!N5946,'Retirement Calculator'!A:A,0),0),0)</f>
        <v>0</v>
      </c>
      <c r="K5946" s="444">
        <f t="shared" ca="1" si="216"/>
        <v>-5716113390845.4551</v>
      </c>
      <c r="L5946" s="444">
        <f t="shared" ca="1" si="217"/>
        <v>-1377583327193754.8</v>
      </c>
      <c r="M5946" s="460">
        <f t="shared" si="219"/>
        <v>0.05</v>
      </c>
      <c r="N5946" s="464">
        <f t="shared" si="220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18"/>
        <v>-1377583327193754.8</v>
      </c>
      <c r="J5947" s="444">
        <f t="array" ref="J5947">IFERROR(INDEX('Retirement Calculator'!J:J,MATCH('Isaac 401k'!N5947,'Retirement Calculator'!A:A,0),0),0)</f>
        <v>0</v>
      </c>
      <c r="K5947" s="444">
        <f t="shared" ca="1" si="216"/>
        <v>-5739930529973.9785</v>
      </c>
      <c r="L5947" s="444">
        <f t="shared" ca="1" si="217"/>
        <v>-1383323257723728.8</v>
      </c>
      <c r="M5947" s="460">
        <f t="shared" si="219"/>
        <v>0.05</v>
      </c>
      <c r="N5947" s="464">
        <f t="shared" si="220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18"/>
        <v>-1383323257723728.8</v>
      </c>
      <c r="J5948" s="444">
        <f t="array" ref="J5948">IFERROR(INDEX('Retirement Calculator'!J:J,MATCH('Isaac 401k'!N5948,'Retirement Calculator'!A:A,0),0),0)</f>
        <v>0</v>
      </c>
      <c r="K5948" s="444">
        <f t="shared" ca="1" si="216"/>
        <v>-5763846907182.2031</v>
      </c>
      <c r="L5948" s="444">
        <f t="shared" ca="1" si="217"/>
        <v>-1389087104630911</v>
      </c>
      <c r="M5948" s="460">
        <f t="shared" si="219"/>
        <v>0.05</v>
      </c>
      <c r="N5948" s="464">
        <f t="shared" si="220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18"/>
        <v>-1389087104630911</v>
      </c>
      <c r="J5949" s="444">
        <f t="array" ref="J5949">IFERROR(INDEX('Retirement Calculator'!J:J,MATCH('Isaac 401k'!N5949,'Retirement Calculator'!A:A,0),0),0)</f>
        <v>0</v>
      </c>
      <c r="K5949" s="444">
        <f t="shared" ca="1" si="216"/>
        <v>-5787862935962.1289</v>
      </c>
      <c r="L5949" s="444">
        <f t="shared" ca="1" si="217"/>
        <v>-1394874967566873.3</v>
      </c>
      <c r="M5949" s="460">
        <f t="shared" si="219"/>
        <v>0.05</v>
      </c>
      <c r="N5949" s="464">
        <f t="shared" si="220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18"/>
        <v>-1394874967566873.3</v>
      </c>
      <c r="J5950" s="444">
        <f t="array" ref="J5950">IFERROR(INDEX('Retirement Calculator'!J:J,MATCH('Isaac 401k'!N5950,'Retirement Calculator'!A:A,0),0),0)</f>
        <v>0</v>
      </c>
      <c r="K5950" s="444">
        <f t="shared" ca="1" si="216"/>
        <v>-5811979031528.6387</v>
      </c>
      <c r="L5950" s="444">
        <f t="shared" ca="1" si="217"/>
        <v>-1400686946598402</v>
      </c>
      <c r="M5950" s="460">
        <f t="shared" si="219"/>
        <v>0.05</v>
      </c>
      <c r="N5950" s="464">
        <f t="shared" si="220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18"/>
        <v>-1400686946598402</v>
      </c>
      <c r="J5951" s="444">
        <f t="array" ref="J5951">IFERROR(INDEX('Retirement Calculator'!J:J,MATCH('Isaac 401k'!N5951,'Retirement Calculator'!A:A,0),0),0)</f>
        <v>0</v>
      </c>
      <c r="K5951" s="444">
        <f t="shared" ca="1" si="216"/>
        <v>-5836195610826.6748</v>
      </c>
      <c r="L5951" s="444">
        <f t="shared" ca="1" si="217"/>
        <v>-1406523142209228.8</v>
      </c>
      <c r="M5951" s="460">
        <f t="shared" si="219"/>
        <v>0.05</v>
      </c>
      <c r="N5951" s="464">
        <f t="shared" si="220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18"/>
        <v>-1406523142209228.8</v>
      </c>
      <c r="J5952" s="444">
        <f t="array" ref="J5952">IFERROR(INDEX('Retirement Calculator'!J:J,MATCH('Isaac 401k'!N5952,'Retirement Calculator'!A:A,0),0),0)</f>
        <v>0</v>
      </c>
      <c r="K5952" s="444">
        <f t="shared" ca="1" si="216"/>
        <v>-5860513092538.4531</v>
      </c>
      <c r="L5952" s="444">
        <f t="shared" ca="1" si="217"/>
        <v>-1412383655301767.3</v>
      </c>
      <c r="M5952" s="460">
        <f t="shared" si="219"/>
        <v>0.05</v>
      </c>
      <c r="N5952" s="464">
        <f t="shared" si="220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18"/>
        <v>-1412383655301767.3</v>
      </c>
      <c r="J5953" s="444">
        <f t="array" ref="J5953">IFERROR(INDEX('Retirement Calculator'!J:J,MATCH('Isaac 401k'!N5953,'Retirement Calculator'!A:A,0),0),0)</f>
        <v>0</v>
      </c>
      <c r="K5953" s="444">
        <f t="shared" ca="1" si="216"/>
        <v>-5884931897090.6973</v>
      </c>
      <c r="L5953" s="444">
        <f t="shared" ca="1" si="217"/>
        <v>-1418268587198858</v>
      </c>
      <c r="M5953" s="460">
        <f t="shared" si="219"/>
        <v>0.05</v>
      </c>
      <c r="N5953" s="464">
        <f t="shared" si="220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18"/>
        <v>-1418268587198858</v>
      </c>
      <c r="J5954" s="444">
        <f t="array" ref="J5954">IFERROR(INDEX('Retirement Calculator'!J:J,MATCH('Isaac 401k'!N5954,'Retirement Calculator'!A:A,0),0),0)</f>
        <v>0</v>
      </c>
      <c r="K5954" s="444">
        <f t="shared" ca="1" si="216"/>
        <v>-5909452446661.9082</v>
      </c>
      <c r="L5954" s="444">
        <f t="shared" ca="1" si="217"/>
        <v>-1424178039645520</v>
      </c>
      <c r="M5954" s="460">
        <f t="shared" si="219"/>
        <v>0.05</v>
      </c>
      <c r="N5954" s="464">
        <f t="shared" si="220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18"/>
        <v>-1424178039645520</v>
      </c>
      <c r="J5955" s="444">
        <f t="array" ref="J5955">IFERROR(INDEX('Retirement Calculator'!J:J,MATCH('Isaac 401k'!N5955,'Retirement Calculator'!A:A,0),0),0)</f>
        <v>0</v>
      </c>
      <c r="K5955" s="444">
        <f t="shared" ca="1" si="216"/>
        <v>-5934075165189.667</v>
      </c>
      <c r="L5955" s="444">
        <f t="shared" ca="1" si="217"/>
        <v>-1430112114810709.8</v>
      </c>
      <c r="M5955" s="460">
        <f t="shared" si="219"/>
        <v>0.05</v>
      </c>
      <c r="N5955" s="464">
        <f t="shared" si="220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18"/>
        <v>-1430112114810709.8</v>
      </c>
      <c r="J5956" s="444">
        <f t="array" ref="J5956">IFERROR(INDEX('Retirement Calculator'!J:J,MATCH('Isaac 401k'!N5956,'Retirement Calculator'!A:A,0),0),0)</f>
        <v>0</v>
      </c>
      <c r="K5956" s="444">
        <f t="shared" ca="1" si="216"/>
        <v>-5958800478377.957</v>
      </c>
      <c r="L5956" s="444">
        <f t="shared" ca="1" si="217"/>
        <v>-1436070915289087.8</v>
      </c>
      <c r="M5956" s="460">
        <f t="shared" si="219"/>
        <v>0.05</v>
      </c>
      <c r="N5956" s="464">
        <f t="shared" si="220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18"/>
        <v>-1436070915289087.8</v>
      </c>
      <c r="J5957" s="444">
        <f t="array" ref="J5957">IFERROR(INDEX('Retirement Calculator'!J:J,MATCH('Isaac 401k'!N5957,'Retirement Calculator'!A:A,0),0),0)</f>
        <v>0</v>
      </c>
      <c r="K5957" s="444">
        <f t="shared" ca="1" si="216"/>
        <v>-5983628813704.5322</v>
      </c>
      <c r="L5957" s="444">
        <f t="shared" ca="1" si="217"/>
        <v>-1442054544102792.3</v>
      </c>
      <c r="M5957" s="460">
        <f t="shared" si="219"/>
        <v>0.05</v>
      </c>
      <c r="N5957" s="464">
        <f t="shared" si="220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18"/>
        <v>-1442054544102792.3</v>
      </c>
      <c r="J5958" s="444">
        <f t="array" ref="J5958">IFERROR(INDEX('Retirement Calculator'!J:J,MATCH('Isaac 401k'!N5958,'Retirement Calculator'!A:A,0),0),0)</f>
        <v>0</v>
      </c>
      <c r="K5958" s="444">
        <f t="shared" ca="1" si="216"/>
        <v>-6008560600428.3008</v>
      </c>
      <c r="L5958" s="444">
        <f t="shared" ca="1" si="217"/>
        <v>-1448063104703220.5</v>
      </c>
      <c r="M5958" s="460">
        <f t="shared" si="219"/>
        <v>0.05</v>
      </c>
      <c r="N5958" s="464">
        <f t="shared" si="220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18"/>
        <v>-1448063104703220.5</v>
      </c>
      <c r="J5959" s="444">
        <f t="array" ref="J5959">IFERROR(INDEX('Retirement Calculator'!J:J,MATCH('Isaac 401k'!N5959,'Retirement Calculator'!A:A,0),0),0)</f>
        <v>0</v>
      </c>
      <c r="K5959" s="444">
        <f t="shared" ca="1" si="216"/>
        <v>-6033596269596.752</v>
      </c>
      <c r="L5959" s="444">
        <f t="shared" ca="1" si="217"/>
        <v>-1454096700972817.3</v>
      </c>
      <c r="M5959" s="460">
        <f t="shared" si="219"/>
        <v>0.05</v>
      </c>
      <c r="N5959" s="464">
        <f t="shared" si="220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18"/>
        <v>-1454096700972817.3</v>
      </c>
      <c r="J5960" s="444">
        <f t="array" ref="J5960">IFERROR(INDEX('Retirement Calculator'!J:J,MATCH('Isaac 401k'!N5960,'Retirement Calculator'!A:A,0),0),0)</f>
        <v>0</v>
      </c>
      <c r="K5960" s="444">
        <f t="shared" ca="1" si="216"/>
        <v>-6058736254053.4053</v>
      </c>
      <c r="L5960" s="444">
        <f t="shared" ca="1" si="217"/>
        <v>-1460155437226870.8</v>
      </c>
      <c r="M5960" s="460">
        <f t="shared" si="219"/>
        <v>0.05</v>
      </c>
      <c r="N5960" s="464">
        <f t="shared" si="220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18"/>
        <v>-1460155437226870.8</v>
      </c>
      <c r="J5961" s="444">
        <f t="array" ref="J5961">IFERROR(INDEX('Retirement Calculator'!J:J,MATCH('Isaac 401k'!N5961,'Retirement Calculator'!A:A,0),0),0)</f>
        <v>0</v>
      </c>
      <c r="K5961" s="444">
        <f t="shared" ca="1" si="216"/>
        <v>-6083980988445.2949</v>
      </c>
      <c r="L5961" s="444">
        <f t="shared" ca="1" si="217"/>
        <v>-1466239418215316</v>
      </c>
      <c r="M5961" s="460">
        <f t="shared" si="219"/>
        <v>0.05</v>
      </c>
      <c r="N5961" s="464">
        <f t="shared" si="220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18"/>
        <v>-1466239418215316</v>
      </c>
      <c r="J5962" s="444">
        <f t="array" ref="J5962">IFERROR(INDEX('Retirement Calculator'!J:J,MATCH('Isaac 401k'!N5962,'Retirement Calculator'!A:A,0),0),0)</f>
        <v>0</v>
      </c>
      <c r="K5962" s="444">
        <f t="shared" ca="1" si="216"/>
        <v>-6109330909230.4834</v>
      </c>
      <c r="L5962" s="444">
        <f t="shared" ca="1" si="217"/>
        <v>-1472348749124546.5</v>
      </c>
      <c r="M5962" s="460">
        <f t="shared" si="219"/>
        <v>0.05</v>
      </c>
      <c r="N5962" s="464">
        <f t="shared" si="220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18"/>
        <v>-1472348749124546.5</v>
      </c>
      <c r="J5963" s="444">
        <f t="array" ref="J5963">IFERROR(INDEX('Retirement Calculator'!J:J,MATCH('Isaac 401k'!N5963,'Retirement Calculator'!A:A,0),0),0)</f>
        <v>0</v>
      </c>
      <c r="K5963" s="444">
        <f t="shared" ca="1" si="216"/>
        <v>-6134786454685.6104</v>
      </c>
      <c r="L5963" s="444">
        <f t="shared" ca="1" si="217"/>
        <v>-1478483535579232</v>
      </c>
      <c r="M5963" s="460">
        <f t="shared" si="219"/>
        <v>0.05</v>
      </c>
      <c r="N5963" s="464">
        <f t="shared" si="220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18"/>
        <v>-1478483535579232</v>
      </c>
      <c r="J5964" s="444">
        <f t="array" ref="J5964">IFERROR(INDEX('Retirement Calculator'!J:J,MATCH('Isaac 401k'!N5964,'Retirement Calculator'!A:A,0),0),0)</f>
        <v>0</v>
      </c>
      <c r="K5964" s="444">
        <f t="shared" ca="1" si="216"/>
        <v>-6160348064913.4668</v>
      </c>
      <c r="L5964" s="444">
        <f t="shared" ca="1" si="217"/>
        <v>-1484643883644145.5</v>
      </c>
      <c r="M5964" s="460">
        <f t="shared" si="219"/>
        <v>0.05</v>
      </c>
      <c r="N5964" s="464">
        <f t="shared" si="220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18"/>
        <v>-1484643883644145.5</v>
      </c>
      <c r="J5965" s="444">
        <f t="array" ref="J5965">IFERROR(INDEX('Retirement Calculator'!J:J,MATCH('Isaac 401k'!N5965,'Retirement Calculator'!A:A,0),0),0)</f>
        <v>0</v>
      </c>
      <c r="K5965" s="444">
        <f t="shared" ca="1" si="216"/>
        <v>-6186016181850.6064</v>
      </c>
      <c r="L5965" s="444">
        <f t="shared" ca="1" si="217"/>
        <v>-1490829899825996</v>
      </c>
      <c r="M5965" s="460">
        <f t="shared" si="219"/>
        <v>0.05</v>
      </c>
      <c r="N5965" s="464">
        <f t="shared" si="220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18"/>
        <v>-1490829899825996</v>
      </c>
      <c r="J5966" s="444">
        <f t="array" ref="J5966">IFERROR(INDEX('Retirement Calculator'!J:J,MATCH('Isaac 401k'!N5966,'Retirement Calculator'!A:A,0),0),0)</f>
        <v>0</v>
      </c>
      <c r="K5966" s="444">
        <f t="shared" ca="1" si="216"/>
        <v>-6211791249274.9834</v>
      </c>
      <c r="L5966" s="444">
        <f t="shared" ca="1" si="217"/>
        <v>-1497041691075271</v>
      </c>
      <c r="M5966" s="460">
        <f t="shared" si="219"/>
        <v>0.05</v>
      </c>
      <c r="N5966" s="464">
        <f t="shared" si="220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18"/>
        <v>-1497041691075271</v>
      </c>
      <c r="J5967" s="444">
        <f t="array" ref="J5967">IFERROR(INDEX('Retirement Calculator'!J:J,MATCH('Isaac 401k'!N5967,'Retirement Calculator'!A:A,0),0),0)</f>
        <v>0</v>
      </c>
      <c r="K5967" s="444">
        <f t="shared" ca="1" si="216"/>
        <v>-6237673712813.6289</v>
      </c>
      <c r="L5967" s="444">
        <f t="shared" ca="1" si="217"/>
        <v>-1503279364788084.8</v>
      </c>
      <c r="M5967" s="460">
        <f t="shared" si="219"/>
        <v>0.05</v>
      </c>
      <c r="N5967" s="464">
        <f t="shared" si="220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18"/>
        <v>-1503279364788084.8</v>
      </c>
      <c r="J5968" s="444">
        <f t="array" ref="J5968">IFERROR(INDEX('Retirement Calculator'!J:J,MATCH('Isaac 401k'!N5968,'Retirement Calculator'!A:A,0),0),0)</f>
        <v>0</v>
      </c>
      <c r="K5968" s="444">
        <f t="shared" ca="1" si="216"/>
        <v>-6263664019950.3535</v>
      </c>
      <c r="L5968" s="444">
        <f t="shared" ca="1" si="217"/>
        <v>-1509543028808035</v>
      </c>
      <c r="M5968" s="460">
        <f t="shared" si="219"/>
        <v>0.05</v>
      </c>
      <c r="N5968" s="464">
        <f t="shared" si="220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18"/>
        <v>-1509543028808035</v>
      </c>
      <c r="J5969" s="444">
        <f t="array" ref="J5969">IFERROR(INDEX('Retirement Calculator'!J:J,MATCH('Isaac 401k'!N5969,'Retirement Calculator'!A:A,0),0),0)</f>
        <v>0</v>
      </c>
      <c r="K5969" s="444">
        <f t="shared" ca="1" si="216"/>
        <v>-6289762620033.4795</v>
      </c>
      <c r="L5969" s="444">
        <f t="shared" ca="1" si="217"/>
        <v>-1515832791428068.5</v>
      </c>
      <c r="M5969" s="460">
        <f t="shared" si="219"/>
        <v>0.05</v>
      </c>
      <c r="N5969" s="464">
        <f t="shared" si="220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18"/>
        <v>-1515832791428068.5</v>
      </c>
      <c r="J5970" s="444">
        <f t="array" ref="J5970">IFERROR(INDEX('Retirement Calculator'!J:J,MATCH('Isaac 401k'!N5970,'Retirement Calculator'!A:A,0),0),0)</f>
        <v>0</v>
      </c>
      <c r="K5970" s="444">
        <f t="shared" ca="1" si="216"/>
        <v>-6315969964283.6191</v>
      </c>
      <c r="L5970" s="444">
        <f t="shared" ca="1" si="217"/>
        <v>-1522148761392352</v>
      </c>
      <c r="M5970" s="460">
        <f t="shared" si="219"/>
        <v>0.05</v>
      </c>
      <c r="N5970" s="464">
        <f t="shared" si="220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18"/>
        <v>-1522148761392352</v>
      </c>
      <c r="J5971" s="444">
        <f t="array" ref="J5971">IFERROR(INDEX('Retirement Calculator'!J:J,MATCH('Isaac 401k'!N5971,'Retirement Calculator'!A:A,0),0),0)</f>
        <v>0</v>
      </c>
      <c r="K5971" s="444">
        <f t="shared" ca="1" si="216"/>
        <v>-6342286505801.4668</v>
      </c>
      <c r="L5971" s="444">
        <f t="shared" ca="1" si="217"/>
        <v>-1528491047898153.5</v>
      </c>
      <c r="M5971" s="460">
        <f t="shared" si="219"/>
        <v>0.05</v>
      </c>
      <c r="N5971" s="464">
        <f t="shared" si="220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18"/>
        <v>-1528491047898153.5</v>
      </c>
      <c r="J5972" s="444">
        <f t="array" ref="J5972">IFERROR(INDEX('Retirement Calculator'!J:J,MATCH('Isaac 401k'!N5972,'Retirement Calculator'!A:A,0),0),0)</f>
        <v>0</v>
      </c>
      <c r="K5972" s="444">
        <f t="shared" ca="1" si="216"/>
        <v>-6368712699575.6396</v>
      </c>
      <c r="L5972" s="444">
        <f t="shared" ca="1" si="217"/>
        <v>-1534859760597729.3</v>
      </c>
      <c r="M5972" s="460">
        <f t="shared" si="219"/>
        <v>0.05</v>
      </c>
      <c r="N5972" s="464">
        <f t="shared" si="220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18"/>
        <v>-1534859760597729.3</v>
      </c>
      <c r="J5973" s="444">
        <f t="array" ref="J5973">IFERROR(INDEX('Retirement Calculator'!J:J,MATCH('Isaac 401k'!N5973,'Retirement Calculator'!A:A,0),0),0)</f>
        <v>0</v>
      </c>
      <c r="K5973" s="444">
        <f t="shared" ca="1" si="216"/>
        <v>-6395249002490.5381</v>
      </c>
      <c r="L5973" s="444">
        <f t="shared" ca="1" si="217"/>
        <v>-1541255009600219.8</v>
      </c>
      <c r="M5973" s="460">
        <f t="shared" si="219"/>
        <v>0.05</v>
      </c>
      <c r="N5973" s="464">
        <f t="shared" si="220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18"/>
        <v>-1541255009600219.8</v>
      </c>
      <c r="J5974" s="444">
        <f t="array" ref="J5974">IFERROR(INDEX('Retirement Calculator'!J:J,MATCH('Isaac 401k'!N5974,'Retirement Calculator'!A:A,0),0),0)</f>
        <v>0</v>
      </c>
      <c r="K5974" s="444">
        <f t="shared" ca="1" si="216"/>
        <v>-6421895873334.249</v>
      </c>
      <c r="L5974" s="444">
        <f t="shared" ca="1" si="217"/>
        <v>-1547676905473554</v>
      </c>
      <c r="M5974" s="460">
        <f t="shared" si="219"/>
        <v>0.05</v>
      </c>
      <c r="N5974" s="464">
        <f t="shared" si="220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18"/>
        <v>-1547676905473554</v>
      </c>
      <c r="J5975" s="444">
        <f t="array" ref="J5975">IFERROR(INDEX('Retirement Calculator'!J:J,MATCH('Isaac 401k'!N5975,'Retirement Calculator'!A:A,0),0),0)</f>
        <v>0</v>
      </c>
      <c r="K5975" s="444">
        <f t="shared" ca="1" si="216"/>
        <v>-6448653772806.4746</v>
      </c>
      <c r="L5975" s="444">
        <f t="shared" ca="1" si="217"/>
        <v>-1554125559246360.5</v>
      </c>
      <c r="M5975" s="460">
        <f t="shared" si="219"/>
        <v>0.05</v>
      </c>
      <c r="N5975" s="464">
        <f t="shared" si="220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18"/>
        <v>-1554125559246360.5</v>
      </c>
      <c r="J5976" s="444">
        <f t="array" ref="J5976">IFERROR(INDEX('Retirement Calculator'!J:J,MATCH('Isaac 401k'!N5976,'Retirement Calculator'!A:A,0),0),0)</f>
        <v>0</v>
      </c>
      <c r="K5976" s="444">
        <f t="shared" ca="1" si="216"/>
        <v>-6475523163526.502</v>
      </c>
      <c r="L5976" s="444">
        <f t="shared" ca="1" si="217"/>
        <v>-1560601082409887</v>
      </c>
      <c r="M5976" s="460">
        <f t="shared" si="219"/>
        <v>0.05</v>
      </c>
      <c r="N5976" s="464">
        <f t="shared" si="220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18"/>
        <v>-1560601082409887</v>
      </c>
      <c r="J5977" s="444">
        <f t="array" ref="J5977">IFERROR(INDEX('Retirement Calculator'!J:J,MATCH('Isaac 401k'!N5977,'Retirement Calculator'!A:A,0),0),0)</f>
        <v>0</v>
      </c>
      <c r="K5977" s="444">
        <f t="shared" ca="1" si="216"/>
        <v>-6502504510041.1953</v>
      </c>
      <c r="L5977" s="444">
        <f t="shared" ca="1" si="217"/>
        <v>-1567103586919928.3</v>
      </c>
      <c r="M5977" s="460">
        <f t="shared" si="219"/>
        <v>0.05</v>
      </c>
      <c r="N5977" s="464">
        <f t="shared" si="220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18"/>
        <v>-1567103586919928.3</v>
      </c>
      <c r="J5978" s="444">
        <f t="array" ref="J5978">IFERROR(INDEX('Retirement Calculator'!J:J,MATCH('Isaac 401k'!N5978,'Retirement Calculator'!A:A,0),0),0)</f>
        <v>0</v>
      </c>
      <c r="K5978" s="444">
        <f t="shared" ca="1" si="216"/>
        <v>-6529598278833.0342</v>
      </c>
      <c r="L5978" s="444">
        <f t="shared" ca="1" si="217"/>
        <v>-1573633185198761.3</v>
      </c>
      <c r="M5978" s="460">
        <f t="shared" si="219"/>
        <v>0.05</v>
      </c>
      <c r="N5978" s="464">
        <f t="shared" si="220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18"/>
        <v>-1573633185198761.3</v>
      </c>
      <c r="J5979" s="444">
        <f t="array" ref="J5979">IFERROR(INDEX('Retirement Calculator'!J:J,MATCH('Isaac 401k'!N5979,'Retirement Calculator'!A:A,0),0),0)</f>
        <v>0</v>
      </c>
      <c r="K5979" s="444">
        <f t="shared" ca="1" si="216"/>
        <v>-6556804938328.1719</v>
      </c>
      <c r="L5979" s="444">
        <f t="shared" ca="1" si="217"/>
        <v>-1580189990137089.5</v>
      </c>
      <c r="M5979" s="460">
        <f t="shared" si="219"/>
        <v>0.05</v>
      </c>
      <c r="N5979" s="464">
        <f t="shared" si="220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18"/>
        <v>-1580189990137089.5</v>
      </c>
      <c r="J5980" s="444">
        <f t="array" ref="J5980">IFERROR(INDEX('Retirement Calculator'!J:J,MATCH('Isaac 401k'!N5980,'Retirement Calculator'!A:A,0),0),0)</f>
        <v>0</v>
      </c>
      <c r="K5980" s="444">
        <f t="shared" ca="1" si="216"/>
        <v>-6584124958904.5391</v>
      </c>
      <c r="L5980" s="444">
        <f t="shared" ca="1" si="217"/>
        <v>-1586774115095994</v>
      </c>
      <c r="M5980" s="460">
        <f t="shared" si="219"/>
        <v>0.05</v>
      </c>
      <c r="N5980" s="464">
        <f t="shared" si="220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18"/>
        <v>-1586774115095994</v>
      </c>
      <c r="J5981" s="444">
        <f t="array" ref="J5981">IFERROR(INDEX('Retirement Calculator'!J:J,MATCH('Isaac 401k'!N5981,'Retirement Calculator'!A:A,0),0),0)</f>
        <v>0</v>
      </c>
      <c r="K5981" s="444">
        <f t="shared" ca="1" si="216"/>
        <v>-6611558812899.9746</v>
      </c>
      <c r="L5981" s="444">
        <f t="shared" ca="1" si="217"/>
        <v>-1593385673908894</v>
      </c>
      <c r="M5981" s="460">
        <f t="shared" si="219"/>
        <v>0.05</v>
      </c>
      <c r="N5981" s="464">
        <f t="shared" si="220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18"/>
        <v>-1593385673908894</v>
      </c>
      <c r="J5982" s="444">
        <f t="array" ref="J5982">IFERROR(INDEX('Retirement Calculator'!J:J,MATCH('Isaac 401k'!N5982,'Retirement Calculator'!A:A,0),0),0)</f>
        <v>0</v>
      </c>
      <c r="K5982" s="444">
        <f t="shared" ca="1" si="216"/>
        <v>-6639106974620.3916</v>
      </c>
      <c r="L5982" s="444">
        <f t="shared" ca="1" si="217"/>
        <v>-1600024780883514.5</v>
      </c>
      <c r="M5982" s="460">
        <f t="shared" si="219"/>
        <v>0.05</v>
      </c>
      <c r="N5982" s="464">
        <f t="shared" si="220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18"/>
        <v>-1600024780883514.5</v>
      </c>
      <c r="J5983" s="444">
        <f t="array" ref="J5983">IFERROR(INDEX('Retirement Calculator'!J:J,MATCH('Isaac 401k'!N5983,'Retirement Calculator'!A:A,0),0),0)</f>
        <v>0</v>
      </c>
      <c r="K5983" s="444">
        <f t="shared" ca="1" si="216"/>
        <v>-6666769920347.9766</v>
      </c>
      <c r="L5983" s="444">
        <f t="shared" ca="1" si="217"/>
        <v>-1606691550803862.5</v>
      </c>
      <c r="M5983" s="460">
        <f t="shared" si="219"/>
        <v>0.05</v>
      </c>
      <c r="N5983" s="464">
        <f t="shared" si="220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18"/>
        <v>-1606691550803862.5</v>
      </c>
      <c r="J5984" s="444">
        <f t="array" ref="J5984">IFERROR(INDEX('Retirement Calculator'!J:J,MATCH('Isaac 401k'!N5984,'Retirement Calculator'!A:A,0),0),0)</f>
        <v>0</v>
      </c>
      <c r="K5984" s="444">
        <f t="shared" ca="1" si="216"/>
        <v>-6694548128349.4268</v>
      </c>
      <c r="L5984" s="444">
        <f t="shared" ca="1" si="217"/>
        <v>-1613386098932212</v>
      </c>
      <c r="M5984" s="460">
        <f t="shared" si="219"/>
        <v>0.05</v>
      </c>
      <c r="N5984" s="464">
        <f t="shared" si="220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18"/>
        <v>-1613386098932212</v>
      </c>
      <c r="J5985" s="444">
        <f t="array" ref="J5985">IFERROR(INDEX('Retirement Calculator'!J:J,MATCH('Isaac 401k'!N5985,'Retirement Calculator'!A:A,0),0),0)</f>
        <v>0</v>
      </c>
      <c r="K5985" s="444">
        <f t="shared" ca="1" si="216"/>
        <v>-6722442078884.2168</v>
      </c>
      <c r="L5985" s="444">
        <f t="shared" ca="1" si="217"/>
        <v>-1620108541011096.3</v>
      </c>
      <c r="M5985" s="460">
        <f t="shared" si="219"/>
        <v>0.05</v>
      </c>
      <c r="N5985" s="464">
        <f t="shared" si="220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18"/>
        <v>-1620108541011096.3</v>
      </c>
      <c r="J5986" s="444">
        <f t="array" ref="J5986">IFERROR(INDEX('Retirement Calculator'!J:J,MATCH('Isaac 401k'!N5986,'Retirement Calculator'!A:A,0),0),0)</f>
        <v>0</v>
      </c>
      <c r="K5986" s="444">
        <f t="shared" ca="1" si="216"/>
        <v>-6750452254212.9014</v>
      </c>
      <c r="L5986" s="444">
        <f t="shared" ca="1" si="217"/>
        <v>-1626858993265309.3</v>
      </c>
      <c r="M5986" s="460">
        <f t="shared" si="219"/>
        <v>0.05</v>
      </c>
      <c r="N5986" s="464">
        <f t="shared" si="220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18"/>
        <v>-1626858993265309.3</v>
      </c>
      <c r="J5987" s="444">
        <f t="array" ref="J5987">IFERROR(INDEX('Retirement Calculator'!J:J,MATCH('Isaac 401k'!N5987,'Retirement Calculator'!A:A,0),0),0)</f>
        <v>0</v>
      </c>
      <c r="K5987" s="444">
        <f t="shared" ca="1" si="216"/>
        <v>-6778579138605.4551</v>
      </c>
      <c r="L5987" s="444">
        <f t="shared" ca="1" si="217"/>
        <v>-1633637572403914.8</v>
      </c>
      <c r="M5987" s="460">
        <f t="shared" si="219"/>
        <v>0.05</v>
      </c>
      <c r="N5987" s="464">
        <f t="shared" si="220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18"/>
        <v>-1633637572403914.8</v>
      </c>
      <c r="J5988" s="444">
        <f t="array" ref="J5988">IFERROR(INDEX('Retirement Calculator'!J:J,MATCH('Isaac 401k'!N5988,'Retirement Calculator'!A:A,0),0),0)</f>
        <v>0</v>
      </c>
      <c r="K5988" s="444">
        <f t="shared" ca="1" si="216"/>
        <v>-6806823218349.6445</v>
      </c>
      <c r="L5988" s="444">
        <f t="shared" ca="1" si="217"/>
        <v>-1640444395622264.5</v>
      </c>
      <c r="M5988" s="460">
        <f t="shared" si="219"/>
        <v>0.05</v>
      </c>
      <c r="N5988" s="464">
        <f t="shared" si="220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18"/>
        <v>-1640444395622264.5</v>
      </c>
      <c r="J5989" s="444">
        <f t="array" ref="J5989">IFERROR(INDEX('Retirement Calculator'!J:J,MATCH('Isaac 401k'!N5989,'Retirement Calculator'!A:A,0),0),0)</f>
        <v>0</v>
      </c>
      <c r="K5989" s="444">
        <f t="shared" ca="1" si="216"/>
        <v>-6835184981759.4355</v>
      </c>
      <c r="L5989" s="444">
        <f t="shared" ca="1" si="217"/>
        <v>-1647279580604024</v>
      </c>
      <c r="M5989" s="460">
        <f t="shared" si="219"/>
        <v>0.05</v>
      </c>
      <c r="N5989" s="464">
        <f t="shared" si="220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18"/>
        <v>-1647279580604024</v>
      </c>
      <c r="J5990" s="444">
        <f t="array" ref="J5990">IFERROR(INDEX('Retirement Calculator'!J:J,MATCH('Isaac 401k'!N5990,'Retirement Calculator'!A:A,0),0),0)</f>
        <v>0</v>
      </c>
      <c r="K5990" s="444">
        <f t="shared" ca="1" si="216"/>
        <v>-6863664919183.4336</v>
      </c>
      <c r="L5990" s="444">
        <f t="shared" ca="1" si="217"/>
        <v>-1654143245523207.5</v>
      </c>
      <c r="M5990" s="460">
        <f t="shared" si="219"/>
        <v>0.05</v>
      </c>
      <c r="N5990" s="464">
        <f t="shared" si="220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18"/>
        <v>-1654143245523207.5</v>
      </c>
      <c r="J5991" s="444">
        <f t="array" ref="J5991">IFERROR(INDEX('Retirement Calculator'!J:J,MATCH('Isaac 401k'!N5991,'Retirement Calculator'!A:A,0),0),0)</f>
        <v>0</v>
      </c>
      <c r="K5991" s="444">
        <f t="shared" ca="1" si="216"/>
        <v>-6892263523013.3643</v>
      </c>
      <c r="L5991" s="444">
        <f t="shared" ca="1" si="217"/>
        <v>-1661035509046220.8</v>
      </c>
      <c r="M5991" s="460">
        <f t="shared" si="219"/>
        <v>0.05</v>
      </c>
      <c r="N5991" s="464">
        <f t="shared" si="220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18"/>
        <v>-1661035509046220.8</v>
      </c>
      <c r="J5992" s="444">
        <f t="array" ref="J5992">IFERROR(INDEX('Retirement Calculator'!J:J,MATCH('Isaac 401k'!N5992,'Retirement Calculator'!A:A,0),0),0)</f>
        <v>0</v>
      </c>
      <c r="K5992" s="444">
        <f t="shared" ca="1" si="216"/>
        <v>-6920981287692.5859</v>
      </c>
      <c r="L5992" s="444">
        <f t="shared" ca="1" si="217"/>
        <v>-1667956490333913.3</v>
      </c>
      <c r="M5992" s="460">
        <f t="shared" si="219"/>
        <v>0.05</v>
      </c>
      <c r="N5992" s="464">
        <f t="shared" si="220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18"/>
        <v>-1667956490333913.3</v>
      </c>
      <c r="J5993" s="444">
        <f t="array" ref="J5993">IFERROR(INDEX('Retirement Calculator'!J:J,MATCH('Isaac 401k'!N5993,'Retirement Calculator'!A:A,0),0),0)</f>
        <v>0</v>
      </c>
      <c r="K5993" s="444">
        <f t="shared" ca="1" si="216"/>
        <v>-6949818709724.6387</v>
      </c>
      <c r="L5993" s="444">
        <f t="shared" ca="1" si="217"/>
        <v>-1674906309043638</v>
      </c>
      <c r="M5993" s="460">
        <f t="shared" si="219"/>
        <v>0.05</v>
      </c>
      <c r="N5993" s="464">
        <f t="shared" si="220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18"/>
        <v>-1674906309043638</v>
      </c>
      <c r="J5994" s="444">
        <f t="array" ref="J5994">IFERROR(INDEX('Retirement Calculator'!J:J,MATCH('Isaac 401k'!N5994,'Retirement Calculator'!A:A,0),0),0)</f>
        <v>0</v>
      </c>
      <c r="K5994" s="444">
        <f t="shared" ca="1" si="216"/>
        <v>-6978776287681.8252</v>
      </c>
      <c r="L5994" s="444">
        <f t="shared" ca="1" si="217"/>
        <v>-1681885085331319.8</v>
      </c>
      <c r="M5994" s="460">
        <f t="shared" si="219"/>
        <v>0.05</v>
      </c>
      <c r="N5994" s="464">
        <f t="shared" si="220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18"/>
        <v>-1681885085331319.8</v>
      </c>
      <c r="J5995" s="444">
        <f t="array" ref="J5995">IFERROR(INDEX('Retirement Calculator'!J:J,MATCH('Isaac 401k'!N5995,'Retirement Calculator'!A:A,0),0),0)</f>
        <v>0</v>
      </c>
      <c r="K5995" s="444">
        <f t="shared" ca="1" si="216"/>
        <v>-7007854522213.832</v>
      </c>
      <c r="L5995" s="444">
        <f t="shared" ca="1" si="217"/>
        <v>-1688892939853533.5</v>
      </c>
      <c r="M5995" s="460">
        <f t="shared" si="219"/>
        <v>0.05</v>
      </c>
      <c r="N5995" s="464">
        <f t="shared" si="220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18"/>
        <v>-1688892939853533.5</v>
      </c>
      <c r="J5996" s="444">
        <f t="array" ref="J5996">IFERROR(INDEX('Retirement Calculator'!J:J,MATCH('Isaac 401k'!N5996,'Retirement Calculator'!A:A,0),0),0)</f>
        <v>0</v>
      </c>
      <c r="K5996" s="444">
        <f t="shared" ca="1" si="216"/>
        <v>-7037053916056.3896</v>
      </c>
      <c r="L5996" s="444">
        <f t="shared" ca="1" si="217"/>
        <v>-1695929993769590</v>
      </c>
      <c r="M5996" s="460">
        <f t="shared" si="219"/>
        <v>0.05</v>
      </c>
      <c r="N5996" s="464">
        <f t="shared" si="220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18"/>
        <v>-1695929993769590</v>
      </c>
      <c r="J5997" s="444">
        <f t="array" ref="J5997">IFERROR(INDEX('Retirement Calculator'!J:J,MATCH('Isaac 401k'!N5997,'Retirement Calculator'!A:A,0),0),0)</f>
        <v>0</v>
      </c>
      <c r="K5997" s="444">
        <f t="shared" ca="1" si="216"/>
        <v>-7066374974039.958</v>
      </c>
      <c r="L5997" s="444">
        <f t="shared" ca="1" si="217"/>
        <v>-1702996368743630</v>
      </c>
      <c r="M5997" s="460">
        <f t="shared" si="219"/>
        <v>0.05</v>
      </c>
      <c r="N5997" s="464">
        <f t="shared" si="220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18"/>
        <v>-1702996368743630</v>
      </c>
      <c r="J5998" s="444">
        <f t="array" ref="J5998">IFERROR(INDEX('Retirement Calculator'!J:J,MATCH('Isaac 401k'!N5998,'Retirement Calculator'!A:A,0),0),0)</f>
        <v>0</v>
      </c>
      <c r="K5998" s="444">
        <f t="shared" ca="1" si="216"/>
        <v>-7095818203098.458</v>
      </c>
      <c r="L5998" s="444">
        <f t="shared" ca="1" si="217"/>
        <v>-1710092186946728.5</v>
      </c>
      <c r="M5998" s="460">
        <f t="shared" si="219"/>
        <v>0.05</v>
      </c>
      <c r="N5998" s="464">
        <f t="shared" si="220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18"/>
        <v>-1710092186946728.5</v>
      </c>
      <c r="J5999" s="444">
        <f t="array" ref="J5999">IFERROR(INDEX('Retirement Calculator'!J:J,MATCH('Isaac 401k'!N5999,'Retirement Calculator'!A:A,0),0),0)</f>
        <v>0</v>
      </c>
      <c r="K5999" s="444">
        <f t="shared" ca="1" si="216"/>
        <v>-7125384112278.0352</v>
      </c>
      <c r="L5999" s="444">
        <f t="shared" ca="1" si="217"/>
        <v>-1717217571059006.5</v>
      </c>
      <c r="M5999" s="460">
        <f t="shared" si="219"/>
        <v>0.05</v>
      </c>
      <c r="N5999" s="464">
        <f t="shared" si="220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18"/>
        <v>-1717217571059006.5</v>
      </c>
      <c r="J6000" s="444">
        <f t="array" ref="J6000">IFERROR(INDEX('Retirement Calculator'!J:J,MATCH('Isaac 401k'!N6000,'Retirement Calculator'!A:A,0),0),0)</f>
        <v>0</v>
      </c>
      <c r="K6000" s="444">
        <f t="shared" ca="1" si="216"/>
        <v>-7155073212745.8604</v>
      </c>
      <c r="L6000" s="444">
        <f t="shared" ca="1" si="217"/>
        <v>-1724372644271752.3</v>
      </c>
      <c r="M6000" s="460">
        <f t="shared" si="219"/>
        <v>0.05</v>
      </c>
      <c r="N6000" s="464">
        <f t="shared" si="220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18"/>
        <v>-1724372644271752.3</v>
      </c>
      <c r="J6001" s="444">
        <f t="array" ref="J6001">IFERROR(INDEX('Retirement Calculator'!J:J,MATCH('Isaac 401k'!N6001,'Retirement Calculator'!A:A,0),0),0)</f>
        <v>0</v>
      </c>
      <c r="K6001" s="444">
        <f t="shared" ca="1" si="216"/>
        <v>-7184886017798.9678</v>
      </c>
      <c r="L6001" s="444">
        <f t="shared" ca="1" si="217"/>
        <v>-1731557530289551.3</v>
      </c>
      <c r="M6001" s="460">
        <f t="shared" si="219"/>
        <v>0.05</v>
      </c>
      <c r="N6001" s="464">
        <f t="shared" si="220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18"/>
        <v>-1731557530289551.3</v>
      </c>
      <c r="J6002" s="444">
        <f t="array" ref="J6002">IFERROR(INDEX('Retirement Calculator'!J:J,MATCH('Isaac 401k'!N6002,'Retirement Calculator'!A:A,0),0),0)</f>
        <v>0</v>
      </c>
      <c r="K6002" s="444">
        <f t="shared" ca="1" si="216"/>
        <v>-7214823042873.1299</v>
      </c>
      <c r="L6002" s="444">
        <f t="shared" ca="1" si="217"/>
        <v>-1738772353332424.5</v>
      </c>
      <c r="M6002" s="460">
        <f t="shared" si="219"/>
        <v>0.05</v>
      </c>
      <c r="N6002" s="464">
        <f t="shared" si="220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18"/>
        <v>-1738772353332424.5</v>
      </c>
      <c r="J6003" s="444">
        <f t="array" ref="J6003">IFERROR(INDEX('Retirement Calculator'!J:J,MATCH('Isaac 401k'!N6003,'Retirement Calculator'!A:A,0),0),0)</f>
        <v>0</v>
      </c>
      <c r="K6003" s="444">
        <f t="shared" ca="1" si="216"/>
        <v>-7244884805551.7686</v>
      </c>
      <c r="L6003" s="444">
        <f t="shared" ca="1" si="217"/>
        <v>-1746017238137976.3</v>
      </c>
      <c r="M6003" s="460">
        <f t="shared" si="219"/>
        <v>0.05</v>
      </c>
      <c r="N6003" s="464">
        <f t="shared" si="220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18"/>
        <v>-1746017238137976.3</v>
      </c>
      <c r="J6004" s="444">
        <f t="array" ref="J6004">IFERROR(INDEX('Retirement Calculator'!J:J,MATCH('Isaac 401k'!N6004,'Retirement Calculator'!A:A,0),0),0)</f>
        <v>0</v>
      </c>
      <c r="K6004" s="444">
        <f t="shared" ca="1" si="216"/>
        <v>-7275071825574.9014</v>
      </c>
      <c r="L6004" s="444">
        <f t="shared" ca="1" si="217"/>
        <v>-1753292309963551.3</v>
      </c>
      <c r="M6004" s="460">
        <f t="shared" si="219"/>
        <v>0.05</v>
      </c>
      <c r="N6004" s="464">
        <f t="shared" si="220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18"/>
        <v>-1753292309963551.3</v>
      </c>
      <c r="J6005" s="444">
        <f t="array" ref="J6005">IFERROR(INDEX('Retirement Calculator'!J:J,MATCH('Isaac 401k'!N6005,'Retirement Calculator'!A:A,0),0),0)</f>
        <v>0</v>
      </c>
      <c r="K6005" s="444">
        <f t="shared" ca="1" si="216"/>
        <v>-7305384624848.1299</v>
      </c>
      <c r="L6005" s="444">
        <f t="shared" ca="1" si="217"/>
        <v>-1760597694588399.5</v>
      </c>
      <c r="M6005" s="460">
        <f t="shared" si="219"/>
        <v>0.05</v>
      </c>
      <c r="N6005" s="464">
        <f t="shared" si="220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18"/>
        <v>-1760597694588399.5</v>
      </c>
      <c r="J6006" s="444">
        <f t="array" ref="J6006">IFERROR(INDEX('Retirement Calculator'!J:J,MATCH('Isaac 401k'!N6006,'Retirement Calculator'!A:A,0),0),0)</f>
        <v>0</v>
      </c>
      <c r="K6006" s="444">
        <f t="shared" ca="1" si="216"/>
        <v>-7335823727451.6641</v>
      </c>
      <c r="L6006" s="444">
        <f t="shared" ca="1" si="217"/>
        <v>-1767933518315851.3</v>
      </c>
      <c r="M6006" s="460">
        <f t="shared" si="219"/>
        <v>0.05</v>
      </c>
      <c r="N6006" s="464">
        <f t="shared" si="220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18"/>
        <v>-1767933518315851.3</v>
      </c>
      <c r="J6007" s="444">
        <f t="array" ref="J6007">IFERROR(INDEX('Retirement Calculator'!J:J,MATCH('Isaac 401k'!N6007,'Retirement Calculator'!A:A,0),0),0)</f>
        <v>0</v>
      </c>
      <c r="K6007" s="444">
        <f t="shared" ca="1" si="216"/>
        <v>-7366389659649.3809</v>
      </c>
      <c r="L6007" s="444">
        <f t="shared" ca="1" si="217"/>
        <v>-1775299907975500.8</v>
      </c>
      <c r="M6007" s="460">
        <f t="shared" si="219"/>
        <v>0.05</v>
      </c>
      <c r="N6007" s="464">
        <f t="shared" si="220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18"/>
        <v>-1775299907975500.8</v>
      </c>
      <c r="J6008" s="444">
        <f t="array" ref="J6008">IFERROR(INDEX('Retirement Calculator'!J:J,MATCH('Isaac 401k'!N6008,'Retirement Calculator'!A:A,0),0),0)</f>
        <v>0</v>
      </c>
      <c r="K6008" s="444">
        <f t="shared" ca="1" si="216"/>
        <v>-7397082949897.9209</v>
      </c>
      <c r="L6008" s="444">
        <f t="shared" ca="1" si="217"/>
        <v>-1782696990925398.8</v>
      </c>
      <c r="M6008" s="460">
        <f t="shared" si="219"/>
        <v>0.05</v>
      </c>
      <c r="N6008" s="464">
        <f t="shared" si="220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18"/>
        <v>-1782696990925398.8</v>
      </c>
      <c r="J6009" s="444">
        <f t="array" ref="J6009">IFERROR(INDEX('Retirement Calculator'!J:J,MATCH('Isaac 401k'!N6009,'Retirement Calculator'!A:A,0),0),0)</f>
        <v>0</v>
      </c>
      <c r="K6009" s="444">
        <f t="shared" ca="1" si="216"/>
        <v>-7427904128855.8281</v>
      </c>
      <c r="L6009" s="444">
        <f t="shared" ca="1" si="217"/>
        <v>-1790124895054254.5</v>
      </c>
      <c r="M6009" s="460">
        <f t="shared" si="219"/>
        <v>0.05</v>
      </c>
      <c r="N6009" s="464">
        <f t="shared" si="220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18"/>
        <v>-1790124895054254.5</v>
      </c>
      <c r="J6010" s="444">
        <f t="array" ref="J6010">IFERROR(INDEX('Retirement Calculator'!J:J,MATCH('Isaac 401k'!N6010,'Retirement Calculator'!A:A,0),0),0)</f>
        <v>0</v>
      </c>
      <c r="K6010" s="444">
        <f t="shared" ca="1" si="216"/>
        <v>-7458853729392.7266</v>
      </c>
      <c r="L6010" s="444">
        <f t="shared" ca="1" si="217"/>
        <v>-1797583748783647.3</v>
      </c>
      <c r="M6010" s="460">
        <f t="shared" si="219"/>
        <v>0.05</v>
      </c>
      <c r="N6010" s="464">
        <f t="shared" si="220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18"/>
        <v>-1797583748783647.3</v>
      </c>
      <c r="J6011" s="444">
        <f t="array" ref="J6011">IFERROR(INDEX('Retirement Calculator'!J:J,MATCH('Isaac 401k'!N6011,'Retirement Calculator'!A:A,0),0),0)</f>
        <v>0</v>
      </c>
      <c r="K6011" s="444">
        <f t="shared" ca="1" si="216"/>
        <v>-7489932286598.5313</v>
      </c>
      <c r="L6011" s="444">
        <f t="shared" ca="1" si="217"/>
        <v>-1805073681070245.8</v>
      </c>
      <c r="M6011" s="460">
        <f t="shared" si="219"/>
        <v>0.05</v>
      </c>
      <c r="N6011" s="464">
        <f t="shared" si="220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18"/>
        <v>-1805073681070245.8</v>
      </c>
      <c r="J6012" s="444">
        <f t="array" ref="J6012">IFERROR(INDEX('Retirement Calculator'!J:J,MATCH('Isaac 401k'!N6012,'Retirement Calculator'!A:A,0),0),0)</f>
        <v>0</v>
      </c>
      <c r="K6012" s="444">
        <f t="shared" ca="1" si="216"/>
        <v>-7521140337792.6914</v>
      </c>
      <c r="L6012" s="444">
        <f t="shared" ca="1" si="217"/>
        <v>-1812594821408038.5</v>
      </c>
      <c r="M6012" s="460">
        <f t="shared" si="219"/>
        <v>0.05</v>
      </c>
      <c r="N6012" s="464">
        <f t="shared" si="220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18"/>
        <v>-1812594821408038.5</v>
      </c>
      <c r="J6013" s="444">
        <f t="array" ref="J6013">IFERROR(INDEX('Retirement Calculator'!J:J,MATCH('Isaac 401k'!N6013,'Retirement Calculator'!A:A,0),0),0)</f>
        <v>0</v>
      </c>
      <c r="K6013" s="444">
        <f t="shared" ca="1" si="216"/>
        <v>-7552478422533.4951</v>
      </c>
      <c r="L6013" s="444">
        <f t="shared" ca="1" si="217"/>
        <v>-1820147299830572</v>
      </c>
      <c r="M6013" s="460">
        <f t="shared" si="219"/>
        <v>0.05</v>
      </c>
      <c r="N6013" s="464">
        <f t="shared" si="220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18"/>
        <v>-1820147299830572</v>
      </c>
      <c r="J6014" s="444">
        <f t="array" ref="J6014">IFERROR(INDEX('Retirement Calculator'!J:J,MATCH('Isaac 401k'!N6014,'Retirement Calculator'!A:A,0),0),0)</f>
        <v>0</v>
      </c>
      <c r="K6014" s="444">
        <f t="shared" ca="1" si="216"/>
        <v>-7583947082627.3818</v>
      </c>
      <c r="L6014" s="444">
        <f t="shared" ca="1" si="217"/>
        <v>-1827731246913199.5</v>
      </c>
      <c r="M6014" s="460">
        <f t="shared" si="219"/>
        <v>0.05</v>
      </c>
      <c r="N6014" s="464">
        <f t="shared" si="220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18"/>
        <v>-1827731246913199.5</v>
      </c>
      <c r="J6015" s="444">
        <f t="array" ref="J6015">IFERROR(INDEX('Retirement Calculator'!J:J,MATCH('Isaac 401k'!N6015,'Retirement Calculator'!A:A,0),0),0)</f>
        <v>0</v>
      </c>
      <c r="K6015" s="444">
        <f t="shared" ca="1" si="216"/>
        <v>-7615546862138.3301</v>
      </c>
      <c r="L6015" s="444">
        <f t="shared" ca="1" si="217"/>
        <v>-1835346793775337.8</v>
      </c>
      <c r="M6015" s="460">
        <f t="shared" si="219"/>
        <v>0.05</v>
      </c>
      <c r="N6015" s="464">
        <f t="shared" si="220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18"/>
        <v>-1835346793775337.8</v>
      </c>
      <c r="J6016" s="444">
        <f t="array" ref="J6016">IFERROR(INDEX('Retirement Calculator'!J:J,MATCH('Isaac 401k'!N6016,'Retirement Calculator'!A:A,0),0),0)</f>
        <v>0</v>
      </c>
      <c r="K6016" s="444">
        <f t="shared" ca="1" si="216"/>
        <v>-7647278307397.2402</v>
      </c>
      <c r="L6016" s="444">
        <f t="shared" ca="1" si="217"/>
        <v>-1842994072082735</v>
      </c>
      <c r="M6016" s="460">
        <f t="shared" si="219"/>
        <v>0.05</v>
      </c>
      <c r="N6016" s="464">
        <f t="shared" si="220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18"/>
        <v>-1842994072082735</v>
      </c>
      <c r="J6017" s="444">
        <f t="array" ref="J6017">IFERROR(INDEX('Retirement Calculator'!J:J,MATCH('Isaac 401k'!N6017,'Retirement Calculator'!A:A,0),0),0)</f>
        <v>0</v>
      </c>
      <c r="K6017" s="444">
        <f t="shared" ca="1" si="216"/>
        <v>-7679141967011.3945</v>
      </c>
      <c r="L6017" s="444">
        <f t="shared" ca="1" si="217"/>
        <v>-1850673214049746.5</v>
      </c>
      <c r="M6017" s="460">
        <f t="shared" si="219"/>
        <v>0.05</v>
      </c>
      <c r="N6017" s="464">
        <f t="shared" si="220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18"/>
        <v>-1850673214049746.5</v>
      </c>
      <c r="J6018" s="444">
        <f t="array" ref="J6018">IFERROR(INDEX('Retirement Calculator'!J:J,MATCH('Isaac 401k'!N6018,'Retirement Calculator'!A:A,0),0),0)</f>
        <v>0</v>
      </c>
      <c r="K6018" s="444">
        <f t="shared" ca="1" si="216"/>
        <v>-7711138391873.9434</v>
      </c>
      <c r="L6018" s="444">
        <f t="shared" ca="1" si="217"/>
        <v>-1858384352441620.5</v>
      </c>
      <c r="M6018" s="460">
        <f t="shared" si="219"/>
        <v>0.05</v>
      </c>
      <c r="N6018" s="464">
        <f t="shared" si="220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18"/>
        <v>-1858384352441620.5</v>
      </c>
      <c r="J6019" s="444">
        <f t="array" ref="J6019">IFERROR(INDEX('Retirement Calculator'!J:J,MATCH('Isaac 401k'!N6019,'Retirement Calculator'!A:A,0),0),0)</f>
        <v>0</v>
      </c>
      <c r="K6019" s="444">
        <f t="shared" ca="1" si="216"/>
        <v>-7743268135173.4189</v>
      </c>
      <c r="L6019" s="444">
        <f t="shared" ca="1" si="217"/>
        <v>-1866127620576794</v>
      </c>
      <c r="M6019" s="460">
        <f t="shared" si="219"/>
        <v>0.05</v>
      </c>
      <c r="N6019" s="464">
        <f t="shared" si="220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18"/>
        <v>-1866127620576794</v>
      </c>
      <c r="J6020" s="444">
        <f t="array" ref="J6020">IFERROR(INDEX('Retirement Calculator'!J:J,MATCH('Isaac 401k'!N6020,'Retirement Calculator'!A:A,0),0),0)</f>
        <v>0</v>
      </c>
      <c r="K6020" s="444">
        <f t="shared" ca="1" si="216"/>
        <v>-7775531752403.3086</v>
      </c>
      <c r="L6020" s="444">
        <f t="shared" ca="1" si="217"/>
        <v>-1873903152329197.3</v>
      </c>
      <c r="M6020" s="460">
        <f t="shared" si="219"/>
        <v>0.05</v>
      </c>
      <c r="N6020" s="464">
        <f t="shared" si="220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18"/>
        <v>-1873903152329197.3</v>
      </c>
      <c r="J6021" s="444">
        <f t="array" ref="J6021">IFERROR(INDEX('Retirement Calculator'!J:J,MATCH('Isaac 401k'!N6021,'Retirement Calculator'!A:A,0),0),0)</f>
        <v>0</v>
      </c>
      <c r="K6021" s="444">
        <f t="shared" ca="1" si="216"/>
        <v>-7807929801371.6553</v>
      </c>
      <c r="L6021" s="444">
        <f t="shared" ca="1" si="217"/>
        <v>-1881711082130569</v>
      </c>
      <c r="M6021" s="460">
        <f t="shared" si="219"/>
        <v>0.05</v>
      </c>
      <c r="N6021" s="464">
        <f t="shared" si="220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18"/>
        <v>-1881711082130569</v>
      </c>
      <c r="J6022" s="444">
        <f t="array" ref="J6022">IFERROR(INDEX('Retirement Calculator'!J:J,MATCH('Isaac 401k'!N6022,'Retirement Calculator'!A:A,0),0),0)</f>
        <v>0</v>
      </c>
      <c r="K6022" s="444">
        <f t="shared" ca="1" si="216"/>
        <v>-7840462842210.7041</v>
      </c>
      <c r="L6022" s="444">
        <f t="shared" ca="1" si="217"/>
        <v>-1889551544972779.8</v>
      </c>
      <c r="M6022" s="460">
        <f t="shared" si="219"/>
        <v>0.05</v>
      </c>
      <c r="N6022" s="464">
        <f t="shared" si="220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18"/>
        <v>-1889551544972779.8</v>
      </c>
      <c r="J6023" s="444">
        <f t="array" ref="J6023">IFERROR(INDEX('Retirement Calculator'!J:J,MATCH('Isaac 401k'!N6023,'Retirement Calculator'!A:A,0),0),0)</f>
        <v>0</v>
      </c>
      <c r="K6023" s="444">
        <f t="shared" ca="1" si="216"/>
        <v>-7873131437386.582</v>
      </c>
      <c r="L6023" s="444">
        <f t="shared" ca="1" si="217"/>
        <v>-1897424676410166.3</v>
      </c>
      <c r="M6023" s="460">
        <f t="shared" si="219"/>
        <v>0.05</v>
      </c>
      <c r="N6023" s="464">
        <f t="shared" si="220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18"/>
        <v>-1897424676410166.3</v>
      </c>
      <c r="J6024" s="444">
        <f t="array" ref="J6024">IFERROR(INDEX('Retirement Calculator'!J:J,MATCH('Isaac 401k'!N6024,'Retirement Calculator'!A:A,0),0),0)</f>
        <v>0</v>
      </c>
      <c r="K6024" s="444">
        <f t="shared" ca="1" si="216"/>
        <v>-7905936151709.0264</v>
      </c>
      <c r="L6024" s="444">
        <f t="shared" ca="1" si="217"/>
        <v>-1905330612561875.3</v>
      </c>
      <c r="M6024" s="460">
        <f t="shared" si="219"/>
        <v>0.05</v>
      </c>
      <c r="N6024" s="464">
        <f t="shared" si="220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18"/>
        <v>-1905330612561875.3</v>
      </c>
      <c r="J6025" s="444">
        <f t="array" ref="J6025">IFERROR(INDEX('Retirement Calculator'!J:J,MATCH('Isaac 401k'!N6025,'Retirement Calculator'!A:A,0),0),0)</f>
        <v>0</v>
      </c>
      <c r="K6025" s="444">
        <f t="shared" ca="1" si="216"/>
        <v>-7938877552341.1475</v>
      </c>
      <c r="L6025" s="444">
        <f t="shared" ca="1" si="217"/>
        <v>-1913269490114216.5</v>
      </c>
      <c r="M6025" s="460">
        <f t="shared" si="219"/>
        <v>0.05</v>
      </c>
      <c r="N6025" s="464">
        <f t="shared" si="220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18"/>
        <v>-1913269490114216.5</v>
      </c>
      <c r="J6026" s="444">
        <f t="array" ref="J6026">IFERROR(INDEX('Retirement Calculator'!J:J,MATCH('Isaac 401k'!N6026,'Retirement Calculator'!A:A,0),0),0)</f>
        <v>0</v>
      </c>
      <c r="K6026" s="444">
        <f t="shared" ca="1" si="216"/>
        <v>-7971956208809.2344</v>
      </c>
      <c r="L6026" s="444">
        <f t="shared" ca="1" si="217"/>
        <v>-1921241446323025.8</v>
      </c>
      <c r="M6026" s="460">
        <f t="shared" si="219"/>
        <v>0.05</v>
      </c>
      <c r="N6026" s="464">
        <f t="shared" si="220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18"/>
        <v>-1921241446323025.8</v>
      </c>
      <c r="J6027" s="444">
        <f t="array" ref="J6027">IFERROR(INDEX('Retirement Calculator'!J:J,MATCH('Isaac 401k'!N6027,'Retirement Calculator'!A:A,0),0),0)</f>
        <v>0</v>
      </c>
      <c r="K6027" s="444">
        <f t="shared" ca="1" si="216"/>
        <v>-8005172693012.6074</v>
      </c>
      <c r="L6027" s="444">
        <f t="shared" ca="1" si="217"/>
        <v>-1929246619016038.3</v>
      </c>
      <c r="M6027" s="460">
        <f t="shared" si="219"/>
        <v>0.05</v>
      </c>
      <c r="N6027" s="464">
        <f t="shared" si="220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18"/>
        <v>-1929246619016038.3</v>
      </c>
      <c r="J6028" s="444">
        <f t="array" ref="J6028">IFERROR(INDEX('Retirement Calculator'!J:J,MATCH('Isaac 401k'!N6028,'Retirement Calculator'!A:A,0),0),0)</f>
        <v>0</v>
      </c>
      <c r="K6028" s="444">
        <f t="shared" ca="1" si="216"/>
        <v>-8038527579233.4922</v>
      </c>
      <c r="L6028" s="444">
        <f t="shared" ca="1" si="217"/>
        <v>-1937285146595271.8</v>
      </c>
      <c r="M6028" s="460">
        <f t="shared" si="219"/>
        <v>0.05</v>
      </c>
      <c r="N6028" s="464">
        <f t="shared" si="220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18"/>
        <v>-1937285146595271.8</v>
      </c>
      <c r="J6029" s="444">
        <f t="array" ref="J6029">IFERROR(INDEX('Retirement Calculator'!J:J,MATCH('Isaac 401k'!N6029,'Retirement Calculator'!A:A,0),0),0)</f>
        <v>0</v>
      </c>
      <c r="K6029" s="444">
        <f t="shared" ca="1" si="216"/>
        <v>-8072021444146.9658</v>
      </c>
      <c r="L6029" s="444">
        <f t="shared" ca="1" si="217"/>
        <v>-1945357168039418.8</v>
      </c>
      <c r="M6029" s="460">
        <f t="shared" si="219"/>
        <v>0.05</v>
      </c>
      <c r="N6029" s="464">
        <f t="shared" si="220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18"/>
        <v>-1945357168039418.8</v>
      </c>
      <c r="J6030" s="444">
        <f t="array" ref="J6030">IFERROR(INDEX('Retirement Calculator'!J:J,MATCH('Isaac 401k'!N6030,'Retirement Calculator'!A:A,0),0),0)</f>
        <v>0</v>
      </c>
      <c r="K6030" s="444">
        <f t="shared" ca="1" si="216"/>
        <v>-8105654866830.9111</v>
      </c>
      <c r="L6030" s="444">
        <f t="shared" ca="1" si="217"/>
        <v>-1953462822906249.8</v>
      </c>
      <c r="M6030" s="460">
        <f t="shared" si="219"/>
        <v>0.05</v>
      </c>
      <c r="N6030" s="464">
        <f t="shared" si="220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18"/>
        <v>-1953462822906249.8</v>
      </c>
      <c r="J6031" s="444">
        <f t="array" ref="J6031">IFERROR(INDEX('Retirement Calculator'!J:J,MATCH('Isaac 401k'!N6031,'Retirement Calculator'!A:A,0),0),0)</f>
        <v>0</v>
      </c>
      <c r="K6031" s="444">
        <f t="shared" ca="1" si="216"/>
        <v>-8139428428776.04</v>
      </c>
      <c r="L6031" s="444">
        <f t="shared" ca="1" si="217"/>
        <v>-1961602251335025.8</v>
      </c>
      <c r="M6031" s="460">
        <f t="shared" si="219"/>
        <v>0.05</v>
      </c>
      <c r="N6031" s="464">
        <f t="shared" si="220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18"/>
        <v>-1961602251335025.8</v>
      </c>
      <c r="J6032" s="444">
        <f t="array" ref="J6032">IFERROR(INDEX('Retirement Calculator'!J:J,MATCH('Isaac 401k'!N6032,'Retirement Calculator'!A:A,0),0),0)</f>
        <v>0</v>
      </c>
      <c r="K6032" s="444">
        <f t="shared" ca="1" si="216"/>
        <v>-8173342713895.9404</v>
      </c>
      <c r="L6032" s="444">
        <f t="shared" ca="1" si="217"/>
        <v>-1969775594048921.8</v>
      </c>
      <c r="M6032" s="460">
        <f t="shared" si="219"/>
        <v>0.05</v>
      </c>
      <c r="N6032" s="464">
        <f t="shared" si="220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18"/>
        <v>-1969775594048921.8</v>
      </c>
      <c r="J6033" s="444">
        <f t="array" ref="J6033">IFERROR(INDEX('Retirement Calculator'!J:J,MATCH('Isaac 401k'!N6033,'Retirement Calculator'!A:A,0),0),0)</f>
        <v>0</v>
      </c>
      <c r="K6033" s="444">
        <f t="shared" ca="1" si="216"/>
        <v>-8207398308537.1738</v>
      </c>
      <c r="L6033" s="444">
        <f t="shared" ca="1" si="217"/>
        <v>-1977982992357459</v>
      </c>
      <c r="M6033" s="460">
        <f t="shared" si="219"/>
        <v>0.05</v>
      </c>
      <c r="N6033" s="464">
        <f t="shared" si="220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18"/>
        <v>-1977982992357459</v>
      </c>
      <c r="J6034" s="444">
        <f t="array" ref="J6034">IFERROR(INDEX('Retirement Calculator'!J:J,MATCH('Isaac 401k'!N6034,'Retirement Calculator'!A:A,0),0),0)</f>
        <v>0</v>
      </c>
      <c r="K6034" s="444">
        <f t="shared" ca="1" si="216"/>
        <v>-8241595801489.4131</v>
      </c>
      <c r="L6034" s="444">
        <f t="shared" ca="1" si="217"/>
        <v>-1986224588158948.5</v>
      </c>
      <c r="M6034" s="460">
        <f t="shared" si="219"/>
        <v>0.05</v>
      </c>
      <c r="N6034" s="464">
        <f t="shared" si="220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18"/>
        <v>-1986224588158948.5</v>
      </c>
      <c r="J6035" s="444">
        <f t="array" ref="J6035">IFERROR(INDEX('Retirement Calculator'!J:J,MATCH('Isaac 401k'!N6035,'Retirement Calculator'!A:A,0),0),0)</f>
        <v>0</v>
      </c>
      <c r="K6035" s="444">
        <f t="shared" ca="1" si="216"/>
        <v>-8275935783995.6182</v>
      </c>
      <c r="L6035" s="444">
        <f t="shared" ca="1" si="217"/>
        <v>-1994500523942944</v>
      </c>
      <c r="M6035" s="460">
        <f t="shared" si="219"/>
        <v>0.05</v>
      </c>
      <c r="N6035" s="464">
        <f t="shared" si="220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18"/>
        <v>-1994500523942944</v>
      </c>
      <c r="J6036" s="444">
        <f t="array" ref="J6036">IFERROR(INDEX('Retirement Calculator'!J:J,MATCH('Isaac 401k'!N6036,'Retirement Calculator'!A:A,0),0),0)</f>
        <v>0</v>
      </c>
      <c r="K6036" s="444">
        <f t="shared" ca="1" si="216"/>
        <v>-8310418849762.2666</v>
      </c>
      <c r="L6036" s="444">
        <f t="shared" ca="1" si="217"/>
        <v>-2002810942792706.3</v>
      </c>
      <c r="M6036" s="460">
        <f t="shared" si="219"/>
        <v>0.05</v>
      </c>
      <c r="N6036" s="464">
        <f t="shared" si="220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18"/>
        <v>-2002810942792706.3</v>
      </c>
      <c r="J6037" s="444">
        <f t="array" ref="J6037">IFERROR(INDEX('Retirement Calculator'!J:J,MATCH('Isaac 401k'!N6037,'Retirement Calculator'!A:A,0),0),0)</f>
        <v>0</v>
      </c>
      <c r="K6037" s="444">
        <f t="shared" ca="1" si="216"/>
        <v>-8345045594969.6084</v>
      </c>
      <c r="L6037" s="444">
        <f t="shared" ca="1" si="217"/>
        <v>-2011155988387675.8</v>
      </c>
      <c r="M6037" s="460">
        <f t="shared" si="219"/>
        <v>0.05</v>
      </c>
      <c r="N6037" s="464">
        <f t="shared" si="220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18"/>
        <v>-2011155988387675.8</v>
      </c>
      <c r="J6038" s="444">
        <f t="array" ref="J6038">IFERROR(INDEX('Retirement Calculator'!J:J,MATCH('Isaac 401k'!N6038,'Retirement Calculator'!A:A,0),0),0)</f>
        <v>0</v>
      </c>
      <c r="K6038" s="444">
        <f t="shared" ca="1" si="216"/>
        <v>-8379816618281.9824</v>
      </c>
      <c r="L6038" s="444">
        <f t="shared" ca="1" si="217"/>
        <v>-2019535805005957.8</v>
      </c>
      <c r="M6038" s="460">
        <f t="shared" si="219"/>
        <v>0.05</v>
      </c>
      <c r="N6038" s="464">
        <f t="shared" si="220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18"/>
        <v>-2019535805005957.8</v>
      </c>
      <c r="J6039" s="444">
        <f t="array" ref="J6039">IFERROR(INDEX('Retirement Calculator'!J:J,MATCH('Isaac 401k'!N6039,'Retirement Calculator'!A:A,0),0),0)</f>
        <v>0</v>
      </c>
      <c r="K6039" s="444">
        <f t="shared" ca="1" si="216"/>
        <v>-8414732520858.1572</v>
      </c>
      <c r="L6039" s="444">
        <f t="shared" ca="1" si="217"/>
        <v>-2027950537526816</v>
      </c>
      <c r="M6039" s="460">
        <f t="shared" si="219"/>
        <v>0.05</v>
      </c>
      <c r="N6039" s="464">
        <f t="shared" si="220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18"/>
        <v>-2027950537526816</v>
      </c>
      <c r="J6040" s="444">
        <f t="array" ref="J6040">IFERROR(INDEX('Retirement Calculator'!J:J,MATCH('Isaac 401k'!N6040,'Retirement Calculator'!A:A,0),0),0)</f>
        <v>0</v>
      </c>
      <c r="K6040" s="444">
        <f t="shared" ca="1" si="216"/>
        <v>-8449793906361.7334</v>
      </c>
      <c r="L6040" s="444">
        <f t="shared" ca="1" si="217"/>
        <v>-2036400331433177.8</v>
      </c>
      <c r="M6040" s="460">
        <f t="shared" si="219"/>
        <v>0.05</v>
      </c>
      <c r="N6040" s="464">
        <f t="shared" si="220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18"/>
        <v>-2036400331433177.8</v>
      </c>
      <c r="J6041" s="444">
        <f t="array" ref="J6041">IFERROR(INDEX('Retirement Calculator'!J:J,MATCH('Isaac 401k'!N6041,'Retirement Calculator'!A:A,0),0),0)</f>
        <v>0</v>
      </c>
      <c r="K6041" s="444">
        <f t="shared" ca="1" si="216"/>
        <v>-8485001380971.5742</v>
      </c>
      <c r="L6041" s="444">
        <f t="shared" ca="1" si="217"/>
        <v>-2044885332814149.3</v>
      </c>
      <c r="M6041" s="460">
        <f t="shared" si="219"/>
        <v>0.05</v>
      </c>
      <c r="N6041" s="464">
        <f t="shared" si="220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18"/>
        <v>-2044885332814149.3</v>
      </c>
      <c r="J6042" s="444">
        <f t="array" ref="J6042">IFERROR(INDEX('Retirement Calculator'!J:J,MATCH('Isaac 401k'!N6042,'Retirement Calculator'!A:A,0),0),0)</f>
        <v>0</v>
      </c>
      <c r="K6042" s="444">
        <f t="shared" ca="1" si="216"/>
        <v>-8520355553392.2881</v>
      </c>
      <c r="L6042" s="444">
        <f t="shared" ca="1" si="217"/>
        <v>-2053405688367541.5</v>
      </c>
      <c r="M6042" s="460">
        <f t="shared" si="219"/>
        <v>0.05</v>
      </c>
      <c r="N6042" s="464">
        <f t="shared" si="220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18"/>
        <v>-2053405688367541.5</v>
      </c>
      <c r="J6043" s="444">
        <f t="array" ref="J6043">IFERROR(INDEX('Retirement Calculator'!J:J,MATCH('Isaac 401k'!N6043,'Retirement Calculator'!A:A,0),0),0)</f>
        <v>0</v>
      </c>
      <c r="K6043" s="444">
        <f t="shared" ca="1" si="216"/>
        <v>-8555857034864.7568</v>
      </c>
      <c r="L6043" s="444">
        <f t="shared" ca="1" si="217"/>
        <v>-2061961545402406.3</v>
      </c>
      <c r="M6043" s="460">
        <f t="shared" si="219"/>
        <v>0.05</v>
      </c>
      <c r="N6043" s="464">
        <f t="shared" si="220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18"/>
        <v>-2061961545402406.3</v>
      </c>
      <c r="J6044" s="444">
        <f t="array" ref="J6044">IFERROR(INDEX('Retirement Calculator'!J:J,MATCH('Isaac 401k'!N6044,'Retirement Calculator'!A:A,0),0),0)</f>
        <v>0</v>
      </c>
      <c r="K6044" s="444">
        <f t="shared" ca="1" si="216"/>
        <v>-8591506439176.6924</v>
      </c>
      <c r="L6044" s="444">
        <f t="shared" ca="1" si="217"/>
        <v>-2070553051841583</v>
      </c>
      <c r="M6044" s="460">
        <f t="shared" si="219"/>
        <v>0.05</v>
      </c>
      <c r="N6044" s="464">
        <f t="shared" si="220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18"/>
        <v>-2070553051841583</v>
      </c>
      <c r="J6045" s="444">
        <f t="array" ref="J6045">IFERROR(INDEX('Retirement Calculator'!J:J,MATCH('Isaac 401k'!N6045,'Retirement Calculator'!A:A,0),0),0)</f>
        <v>0</v>
      </c>
      <c r="K6045" s="444">
        <f t="shared" ca="1" si="216"/>
        <v>-8627304382673.2637</v>
      </c>
      <c r="L6045" s="444">
        <f t="shared" ca="1" si="217"/>
        <v>-2079180356224256.3</v>
      </c>
      <c r="M6045" s="460">
        <f t="shared" si="219"/>
        <v>0.05</v>
      </c>
      <c r="N6045" s="464">
        <f t="shared" si="220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18"/>
        <v>-2079180356224256.3</v>
      </c>
      <c r="J6046" s="444">
        <f t="array" ref="J6046">IFERROR(INDEX('Retirement Calculator'!J:J,MATCH('Isaac 401k'!N6046,'Retirement Calculator'!A:A,0),0),0)</f>
        <v>0</v>
      </c>
      <c r="K6046" s="444">
        <f t="shared" ca="1" si="216"/>
        <v>-8663251484267.7334</v>
      </c>
      <c r="L6046" s="444">
        <f t="shared" ca="1" si="217"/>
        <v>-2087843607708524</v>
      </c>
      <c r="M6046" s="460">
        <f t="shared" si="219"/>
        <v>0.05</v>
      </c>
      <c r="N6046" s="464">
        <f t="shared" si="220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18"/>
        <v>-2087843607708524</v>
      </c>
      <c r="J6047" s="444">
        <f t="array" ref="J6047">IFERROR(INDEX('Retirement Calculator'!J:J,MATCH('Isaac 401k'!N6047,'Retirement Calculator'!A:A,0),0),0)</f>
        <v>0</v>
      </c>
      <c r="K6047" s="444">
        <f t="shared" ca="1" si="216"/>
        <v>-8699348365452.1826</v>
      </c>
      <c r="L6047" s="444">
        <f t="shared" ca="1" si="217"/>
        <v>-2096542956073976.3</v>
      </c>
      <c r="M6047" s="460">
        <f t="shared" si="219"/>
        <v>0.05</v>
      </c>
      <c r="N6047" s="464">
        <f t="shared" si="220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18"/>
        <v>-2096542956073976.3</v>
      </c>
      <c r="J6048" s="444">
        <f t="array" ref="J6048">IFERROR(INDEX('Retirement Calculator'!J:J,MATCH('Isaac 401k'!N6048,'Retirement Calculator'!A:A,0),0),0)</f>
        <v>0</v>
      </c>
      <c r="K6048" s="444">
        <f t="shared" ca="1" si="216"/>
        <v>-8735595650308.2344</v>
      </c>
      <c r="L6048" s="444">
        <f t="shared" ca="1" si="217"/>
        <v>-2105278551724284.5</v>
      </c>
      <c r="M6048" s="460">
        <f t="shared" si="219"/>
        <v>0.05</v>
      </c>
      <c r="N6048" s="464">
        <f t="shared" si="220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18"/>
        <v>-2105278551724284.5</v>
      </c>
      <c r="J6049" s="444">
        <f t="array" ref="J6049">IFERROR(INDEX('Retirement Calculator'!J:J,MATCH('Isaac 401k'!N6049,'Retirement Calculator'!A:A,0),0),0)</f>
        <v>0</v>
      </c>
      <c r="K6049" s="444">
        <f t="shared" ca="1" si="216"/>
        <v>-8771993965517.8516</v>
      </c>
      <c r="L6049" s="444">
        <f t="shared" ca="1" si="217"/>
        <v>-2114050545689802.3</v>
      </c>
      <c r="M6049" s="460">
        <f t="shared" si="219"/>
        <v>0.05</v>
      </c>
      <c r="N6049" s="464">
        <f t="shared" si="220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18"/>
        <v>-2114050545689802.3</v>
      </c>
      <c r="J6050" s="444">
        <f t="array" ref="J6050">IFERROR(INDEX('Retirement Calculator'!J:J,MATCH('Isaac 401k'!N6050,'Retirement Calculator'!A:A,0),0),0)</f>
        <v>0</v>
      </c>
      <c r="K6050" s="444">
        <f t="shared" ca="1" si="216"/>
        <v>-8808543940374.1758</v>
      </c>
      <c r="L6050" s="444">
        <f t="shared" ca="1" si="217"/>
        <v>-2122859089630176.5</v>
      </c>
      <c r="M6050" s="460">
        <f t="shared" si="219"/>
        <v>0.05</v>
      </c>
      <c r="N6050" s="464">
        <f t="shared" si="220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18"/>
        <v>-2122859089630176.5</v>
      </c>
      <c r="J6051" s="444">
        <f t="array" ref="J6051">IFERROR(INDEX('Retirement Calculator'!J:J,MATCH('Isaac 401k'!N6051,'Retirement Calculator'!A:A,0),0),0)</f>
        <v>0</v>
      </c>
      <c r="K6051" s="444">
        <f t="shared" ca="1" si="216"/>
        <v>-8845246206792.4004</v>
      </c>
      <c r="L6051" s="444">
        <f t="shared" ca="1" si="217"/>
        <v>-2131704335836969</v>
      </c>
      <c r="M6051" s="460">
        <f t="shared" si="219"/>
        <v>0.05</v>
      </c>
      <c r="N6051" s="464">
        <f t="shared" si="220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18"/>
        <v>-2131704335836969</v>
      </c>
      <c r="J6052" s="444">
        <f t="array" ref="J6052">IFERROR(INDEX('Retirement Calculator'!J:J,MATCH('Isaac 401k'!N6052,'Retirement Calculator'!A:A,0),0),0)</f>
        <v>0</v>
      </c>
      <c r="K6052" s="444">
        <f t="shared" ca="1" si="216"/>
        <v>-8882101399320.7031</v>
      </c>
      <c r="L6052" s="444">
        <f t="shared" ca="1" si="217"/>
        <v>-2140586437236289.8</v>
      </c>
      <c r="M6052" s="460">
        <f t="shared" si="219"/>
        <v>0.05</v>
      </c>
      <c r="N6052" s="464">
        <f t="shared" si="220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18"/>
        <v>-2140586437236289.8</v>
      </c>
      <c r="J6053" s="444">
        <f t="array" ref="J6053">IFERROR(INDEX('Retirement Calculator'!J:J,MATCH('Isaac 401k'!N6053,'Retirement Calculator'!A:A,0),0),0)</f>
        <v>0</v>
      </c>
      <c r="K6053" s="444">
        <f t="shared" ca="1" si="216"/>
        <v>-8919110155151.207</v>
      </c>
      <c r="L6053" s="444">
        <f t="shared" ca="1" si="217"/>
        <v>-2149505547391441</v>
      </c>
      <c r="M6053" s="460">
        <f t="shared" si="219"/>
        <v>0.05</v>
      </c>
      <c r="N6053" s="464">
        <f t="shared" si="220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18"/>
        <v>-2149505547391441</v>
      </c>
      <c r="J6054" s="444">
        <f t="array" ref="J6054">IFERROR(INDEX('Retirement Calculator'!J:J,MATCH('Isaac 401k'!N6054,'Retirement Calculator'!A:A,0),0),0)</f>
        <v>0</v>
      </c>
      <c r="K6054" s="444">
        <f t="shared" ca="1" si="216"/>
        <v>-8956273114131.0059</v>
      </c>
      <c r="L6054" s="444">
        <f t="shared" ca="1" si="217"/>
        <v>-2158461820505572</v>
      </c>
      <c r="M6054" s="460">
        <f t="shared" si="219"/>
        <v>0.05</v>
      </c>
      <c r="N6054" s="464">
        <f t="shared" si="220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18"/>
        <v>-2158461820505572</v>
      </c>
      <c r="J6055" s="444">
        <f t="array" ref="J6055">IFERROR(INDEX('Retirement Calculator'!J:J,MATCH('Isaac 401k'!N6055,'Retirement Calculator'!A:A,0),0),0)</f>
        <v>0</v>
      </c>
      <c r="K6055" s="444">
        <f t="shared" ca="1" si="216"/>
        <v>-8993590918773.2168</v>
      </c>
      <c r="L6055" s="444">
        <f t="shared" ca="1" si="217"/>
        <v>-2167455411424345.3</v>
      </c>
      <c r="M6055" s="460">
        <f t="shared" si="219"/>
        <v>0.05</v>
      </c>
      <c r="N6055" s="464">
        <f t="shared" si="220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18"/>
        <v>-2167455411424345.3</v>
      </c>
      <c r="J6056" s="444">
        <f t="array" ref="J6056">IFERROR(INDEX('Retirement Calculator'!J:J,MATCH('Isaac 401k'!N6056,'Retirement Calculator'!A:A,0),0),0)</f>
        <v>0</v>
      </c>
      <c r="K6056" s="444">
        <f t="shared" ca="1" si="216"/>
        <v>-9031064214268.1055</v>
      </c>
      <c r="L6056" s="444">
        <f t="shared" ca="1" si="217"/>
        <v>-2176486475638613.3</v>
      </c>
      <c r="M6056" s="460">
        <f t="shared" si="219"/>
        <v>0.05</v>
      </c>
      <c r="N6056" s="464">
        <f t="shared" si="220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18"/>
        <v>-2176486475638613.3</v>
      </c>
      <c r="J6057" s="444">
        <f t="array" ref="J6057">IFERROR(INDEX('Retirement Calculator'!J:J,MATCH('Isaac 401k'!N6057,'Retirement Calculator'!A:A,0),0),0)</f>
        <v>0</v>
      </c>
      <c r="K6057" s="444">
        <f t="shared" ca="1" si="216"/>
        <v>-9068693648494.2227</v>
      </c>
      <c r="L6057" s="444">
        <f t="shared" ca="1" si="217"/>
        <v>-2185555169287107.5</v>
      </c>
      <c r="M6057" s="460">
        <f t="shared" si="219"/>
        <v>0.05</v>
      </c>
      <c r="N6057" s="464">
        <f t="shared" si="220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18"/>
        <v>-2185555169287107.5</v>
      </c>
      <c r="J6058" s="444">
        <f t="array" ref="J6058">IFERROR(INDEX('Retirement Calculator'!J:J,MATCH('Isaac 401k'!N6058,'Retirement Calculator'!A:A,0),0),0)</f>
        <v>0</v>
      </c>
      <c r="K6058" s="444">
        <f t="shared" ca="1" si="216"/>
        <v>-9106479872029.6133</v>
      </c>
      <c r="L6058" s="444">
        <f t="shared" ca="1" si="217"/>
        <v>-2194661649159137</v>
      </c>
      <c r="M6058" s="460">
        <f t="shared" si="219"/>
        <v>0.05</v>
      </c>
      <c r="N6058" s="464">
        <f t="shared" si="220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18"/>
        <v>-2194661649159137</v>
      </c>
      <c r="J6059" s="444">
        <f t="array" ref="J6059">IFERROR(INDEX('Retirement Calculator'!J:J,MATCH('Isaac 401k'!N6059,'Retirement Calculator'!A:A,0),0),0)</f>
        <v>0</v>
      </c>
      <c r="K6059" s="444">
        <f t="shared" ca="1" si="216"/>
        <v>-9144423538163.0703</v>
      </c>
      <c r="L6059" s="444">
        <f t="shared" ca="1" si="217"/>
        <v>-2203806072697300</v>
      </c>
      <c r="M6059" s="460">
        <f t="shared" si="219"/>
        <v>0.05</v>
      </c>
      <c r="N6059" s="464">
        <f t="shared" si="220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18"/>
        <v>-2203806072697300</v>
      </c>
      <c r="J6060" s="444">
        <f t="array" ref="J6060">IFERROR(INDEX('Retirement Calculator'!J:J,MATCH('Isaac 401k'!N6060,'Retirement Calculator'!A:A,0),0),0)</f>
        <v>0</v>
      </c>
      <c r="K6060" s="444">
        <f t="shared" ca="1" si="216"/>
        <v>-9182525302905.416</v>
      </c>
      <c r="L6060" s="444">
        <f t="shared" ca="1" si="217"/>
        <v>-2212988598000205.5</v>
      </c>
      <c r="M6060" s="460">
        <f t="shared" si="219"/>
        <v>0.05</v>
      </c>
      <c r="N6060" s="464">
        <f t="shared" si="220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18"/>
        <v>-2212988598000205.5</v>
      </c>
      <c r="J6061" s="444">
        <f t="array" ref="J6061">IFERROR(INDEX('Retirement Calculator'!J:J,MATCH('Isaac 401k'!N6061,'Retirement Calculator'!A:A,0),0),0)</f>
        <v>0</v>
      </c>
      <c r="K6061" s="444">
        <f t="shared" ca="1" si="216"/>
        <v>-9220785825000.8555</v>
      </c>
      <c r="L6061" s="444">
        <f t="shared" ca="1" si="217"/>
        <v>-2222209383825206.3</v>
      </c>
      <c r="M6061" s="460">
        <f t="shared" si="219"/>
        <v>0.05</v>
      </c>
      <c r="N6061" s="464">
        <f t="shared" si="220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18"/>
        <v>-2222209383825206.3</v>
      </c>
      <c r="J6062" s="444">
        <f t="array" ref="J6062">IFERROR(INDEX('Retirement Calculator'!J:J,MATCH('Isaac 401k'!N6062,'Retirement Calculator'!A:A,0),0),0)</f>
        <v>0</v>
      </c>
      <c r="K6062" s="444">
        <f t="shared" ca="1" si="216"/>
        <v>-9259205765938.3594</v>
      </c>
      <c r="L6062" s="444">
        <f t="shared" ca="1" si="217"/>
        <v>-2231468589591144.5</v>
      </c>
      <c r="M6062" s="460">
        <f t="shared" si="219"/>
        <v>0.05</v>
      </c>
      <c r="N6062" s="464">
        <f t="shared" si="220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18"/>
        <v>-2231468589591144.5</v>
      </c>
      <c r="J6063" s="444">
        <f t="array" ref="J6063">IFERROR(INDEX('Retirement Calculator'!J:J,MATCH('Isaac 401k'!N6063,'Retirement Calculator'!A:A,0),0),0)</f>
        <v>0</v>
      </c>
      <c r="K6063" s="444">
        <f t="shared" ca="1" si="216"/>
        <v>-9297785789963.1016</v>
      </c>
      <c r="L6063" s="444">
        <f t="shared" ca="1" si="217"/>
        <v>-2240766375381107.5</v>
      </c>
      <c r="M6063" s="460">
        <f t="shared" si="219"/>
        <v>0.05</v>
      </c>
      <c r="N6063" s="464">
        <f t="shared" si="220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18"/>
        <v>-2240766375381107.5</v>
      </c>
      <c r="J6064" s="444">
        <f t="array" ref="J6064">IFERROR(INDEX('Retirement Calculator'!J:J,MATCH('Isaac 401k'!N6064,'Retirement Calculator'!A:A,0),0),0)</f>
        <v>0</v>
      </c>
      <c r="K6064" s="444">
        <f t="shared" ca="1" si="216"/>
        <v>-9336526564087.9473</v>
      </c>
      <c r="L6064" s="444">
        <f t="shared" ca="1" si="217"/>
        <v>-2250102901945195.5</v>
      </c>
      <c r="M6064" s="460">
        <f t="shared" si="219"/>
        <v>0.05</v>
      </c>
      <c r="N6064" s="464">
        <f t="shared" si="220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18"/>
        <v>-2250102901945195.5</v>
      </c>
      <c r="J6065" s="444">
        <f t="array" ref="J6065">IFERROR(INDEX('Retirement Calculator'!J:J,MATCH('Isaac 401k'!N6065,'Retirement Calculator'!A:A,0),0),0)</f>
        <v>0</v>
      </c>
      <c r="K6065" s="444">
        <f t="shared" ca="1" si="216"/>
        <v>-9375428758104.9805</v>
      </c>
      <c r="L6065" s="444">
        <f t="shared" ca="1" si="217"/>
        <v>-2259478330703300.5</v>
      </c>
      <c r="M6065" s="460">
        <f t="shared" si="219"/>
        <v>0.05</v>
      </c>
      <c r="N6065" s="464">
        <f t="shared" si="220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18"/>
        <v>-2259478330703300.5</v>
      </c>
      <c r="J6066" s="444">
        <f t="array" ref="J6066">IFERROR(INDEX('Retirement Calculator'!J:J,MATCH('Isaac 401k'!N6066,'Retirement Calculator'!A:A,0),0),0)</f>
        <v>0</v>
      </c>
      <c r="K6066" s="444">
        <f t="shared" ca="1" si="216"/>
        <v>-9414493044597.0859</v>
      </c>
      <c r="L6066" s="444">
        <f t="shared" ca="1" si="217"/>
        <v>-2268892823747897.5</v>
      </c>
      <c r="M6066" s="460">
        <f t="shared" si="219"/>
        <v>0.05</v>
      </c>
      <c r="N6066" s="464">
        <f t="shared" si="220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18"/>
        <v>-2268892823747897.5</v>
      </c>
      <c r="J6067" s="444">
        <f t="array" ref="J6067">IFERROR(INDEX('Retirement Calculator'!J:J,MATCH('Isaac 401k'!N6067,'Retirement Calculator'!A:A,0),0),0)</f>
        <v>0</v>
      </c>
      <c r="K6067" s="444">
        <f t="shared" ca="1" si="216"/>
        <v>-9453720098949.5723</v>
      </c>
      <c r="L6067" s="444">
        <f t="shared" ca="1" si="217"/>
        <v>-2278346543846847</v>
      </c>
      <c r="M6067" s="460">
        <f t="shared" si="219"/>
        <v>0.05</v>
      </c>
      <c r="N6067" s="464">
        <f t="shared" si="220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18"/>
        <v>-2278346543846847</v>
      </c>
      <c r="J6068" s="444">
        <f t="array" ref="J6068">IFERROR(INDEX('Retirement Calculator'!J:J,MATCH('Isaac 401k'!N6068,'Retirement Calculator'!A:A,0),0),0)</f>
        <v>0</v>
      </c>
      <c r="K6068" s="444">
        <f t="shared" ca="1" si="216"/>
        <v>-9493110599361.8633</v>
      </c>
      <c r="L6068" s="444">
        <f t="shared" ca="1" si="217"/>
        <v>-2287839654446209</v>
      </c>
      <c r="M6068" s="460">
        <f t="shared" si="219"/>
        <v>0.05</v>
      </c>
      <c r="N6068" s="464">
        <f t="shared" si="220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18"/>
        <v>-2287839654446209</v>
      </c>
      <c r="J6069" s="444">
        <f t="array" ref="J6069">IFERROR(INDEX('Retirement Calculator'!J:J,MATCH('Isaac 401k'!N6069,'Retirement Calculator'!A:A,0),0),0)</f>
        <v>0</v>
      </c>
      <c r="K6069" s="444">
        <f t="shared" ca="1" si="216"/>
        <v>-9532665226859.2031</v>
      </c>
      <c r="L6069" s="444">
        <f t="shared" ca="1" si="217"/>
        <v>-2297372319673068</v>
      </c>
      <c r="M6069" s="460">
        <f t="shared" si="219"/>
        <v>0.05</v>
      </c>
      <c r="N6069" s="464">
        <f t="shared" si="220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18"/>
        <v>-2297372319673068</v>
      </c>
      <c r="J6070" s="444">
        <f t="array" ref="J6070">IFERROR(INDEX('Retirement Calculator'!J:J,MATCH('Isaac 401k'!N6070,'Retirement Calculator'!A:A,0),0),0)</f>
        <v>0</v>
      </c>
      <c r="K6070" s="444">
        <f t="shared" ca="1" si="216"/>
        <v>-9572384665304.4492</v>
      </c>
      <c r="L6070" s="444">
        <f t="shared" ca="1" si="217"/>
        <v>-2306944704338372.5</v>
      </c>
      <c r="M6070" s="460">
        <f t="shared" si="219"/>
        <v>0.05</v>
      </c>
      <c r="N6070" s="464">
        <f t="shared" si="220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18"/>
        <v>-2306944704338372.5</v>
      </c>
      <c r="J6071" s="444">
        <f t="array" ref="J6071">IFERROR(INDEX('Retirement Calculator'!J:J,MATCH('Isaac 401k'!N6071,'Retirement Calculator'!A:A,0),0),0)</f>
        <v>0</v>
      </c>
      <c r="K6071" s="444">
        <f t="shared" ca="1" si="216"/>
        <v>-9612269601409.8848</v>
      </c>
      <c r="L6071" s="444">
        <f t="shared" ca="1" si="217"/>
        <v>-2316556973939782.5</v>
      </c>
      <c r="M6071" s="460">
        <f t="shared" si="219"/>
        <v>0.05</v>
      </c>
      <c r="N6071" s="464">
        <f t="shared" si="220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18"/>
        <v>-2316556973939782.5</v>
      </c>
      <c r="J6072" s="444">
        <f t="array" ref="J6072">IFERROR(INDEX('Retirement Calculator'!J:J,MATCH('Isaac 401k'!N6072,'Retirement Calculator'!A:A,0),0),0)</f>
        <v>0</v>
      </c>
      <c r="K6072" s="444">
        <f t="shared" ca="1" si="216"/>
        <v>-9652320724749.0938</v>
      </c>
      <c r="L6072" s="444">
        <f t="shared" ca="1" si="217"/>
        <v>-2326209294664531.5</v>
      </c>
      <c r="M6072" s="460">
        <f t="shared" si="219"/>
        <v>0.05</v>
      </c>
      <c r="N6072" s="464">
        <f t="shared" si="220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18"/>
        <v>-2326209294664531.5</v>
      </c>
      <c r="J6073" s="444">
        <f t="array" ref="J6073">IFERROR(INDEX('Retirement Calculator'!J:J,MATCH('Isaac 401k'!N6073,'Retirement Calculator'!A:A,0),0),0)</f>
        <v>0</v>
      </c>
      <c r="K6073" s="444">
        <f t="shared" ca="1" si="216"/>
        <v>-9692538727768.8809</v>
      </c>
      <c r="L6073" s="444">
        <f t="shared" ca="1" si="217"/>
        <v>-2335901833392300.5</v>
      </c>
      <c r="M6073" s="460">
        <f t="shared" si="219"/>
        <v>0.05</v>
      </c>
      <c r="N6073" s="464">
        <f t="shared" si="220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18"/>
        <v>-2335901833392300.5</v>
      </c>
      <c r="J6074" s="444">
        <f t="array" ref="J6074">IFERROR(INDEX('Retirement Calculator'!J:J,MATCH('Isaac 401k'!N6074,'Retirement Calculator'!A:A,0),0),0)</f>
        <v>0</v>
      </c>
      <c r="K6074" s="444">
        <f t="shared" ca="1" si="216"/>
        <v>-9732924305801.252</v>
      </c>
      <c r="L6074" s="444">
        <f t="shared" ca="1" si="217"/>
        <v>-2345634757698102</v>
      </c>
      <c r="M6074" s="460">
        <f t="shared" si="219"/>
        <v>0.05</v>
      </c>
      <c r="N6074" s="464">
        <f t="shared" si="220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18"/>
        <v>-2345634757698102</v>
      </c>
      <c r="J6075" s="444">
        <f t="array" ref="J6075">IFERROR(INDEX('Retirement Calculator'!J:J,MATCH('Isaac 401k'!N6075,'Retirement Calculator'!A:A,0),0),0)</f>
        <v>0</v>
      </c>
      <c r="K6075" s="444">
        <f t="shared" ca="1" si="216"/>
        <v>-9773478157075.4258</v>
      </c>
      <c r="L6075" s="444">
        <f t="shared" ca="1" si="217"/>
        <v>-2355408235855177.5</v>
      </c>
      <c r="M6075" s="460">
        <f t="shared" si="219"/>
        <v>0.05</v>
      </c>
      <c r="N6075" s="464">
        <f t="shared" si="220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18"/>
        <v>-2355408235855177.5</v>
      </c>
      <c r="J6076" s="444">
        <f t="array" ref="J6076">IFERROR(INDEX('Retirement Calculator'!J:J,MATCH('Isaac 401k'!N6076,'Retirement Calculator'!A:A,0),0),0)</f>
        <v>0</v>
      </c>
      <c r="K6076" s="444">
        <f t="shared" ca="1" si="216"/>
        <v>-9814200982729.9063</v>
      </c>
      <c r="L6076" s="444">
        <f t="shared" ca="1" si="217"/>
        <v>-2365222436837907.5</v>
      </c>
      <c r="M6076" s="460">
        <f t="shared" si="219"/>
        <v>0.05</v>
      </c>
      <c r="N6076" s="464">
        <f t="shared" si="220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18"/>
        <v>-2365222436837907.5</v>
      </c>
      <c r="J6077" s="444">
        <f t="array" ref="J6077">IFERROR(INDEX('Retirement Calculator'!J:J,MATCH('Isaac 401k'!N6077,'Retirement Calculator'!A:A,0),0),0)</f>
        <v>0</v>
      </c>
      <c r="K6077" s="444">
        <f t="shared" ca="1" si="216"/>
        <v>-9855093486824.6152</v>
      </c>
      <c r="L6077" s="444">
        <f t="shared" ca="1" si="217"/>
        <v>-2375077530324732</v>
      </c>
      <c r="M6077" s="460">
        <f t="shared" si="219"/>
        <v>0.05</v>
      </c>
      <c r="N6077" s="464">
        <f t="shared" si="220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18"/>
        <v>-2375077530324732</v>
      </c>
      <c r="J6078" s="444">
        <f t="array" ref="J6078">IFERROR(INDEX('Retirement Calculator'!J:J,MATCH('Isaac 401k'!N6078,'Retirement Calculator'!A:A,0),0),0)</f>
        <v>0</v>
      </c>
      <c r="K6078" s="444">
        <f t="shared" ca="1" si="216"/>
        <v>-9896156376353.0508</v>
      </c>
      <c r="L6078" s="444">
        <f t="shared" ca="1" si="217"/>
        <v>-2384973686701085</v>
      </c>
      <c r="M6078" s="460">
        <f t="shared" si="219"/>
        <v>0.05</v>
      </c>
      <c r="N6078" s="464">
        <f t="shared" si="220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18"/>
        <v>-2384973686701085</v>
      </c>
      <c r="J6079" s="444">
        <f t="array" ref="J6079">IFERROR(INDEX('Retirement Calculator'!J:J,MATCH('Isaac 401k'!N6079,'Retirement Calculator'!A:A,0),0),0)</f>
        <v>0</v>
      </c>
      <c r="K6079" s="444">
        <f t="shared" ca="1" si="216"/>
        <v>-9937390361254.5215</v>
      </c>
      <c r="L6079" s="444">
        <f t="shared" ca="1" si="217"/>
        <v>-2394911077062339.5</v>
      </c>
      <c r="M6079" s="460">
        <f t="shared" si="219"/>
        <v>0.05</v>
      </c>
      <c r="N6079" s="464">
        <f t="shared" si="220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18"/>
        <v>-2394911077062339.5</v>
      </c>
      <c r="J6080" s="444">
        <f t="array" ref="J6080">IFERROR(INDEX('Retirement Calculator'!J:J,MATCH('Isaac 401k'!N6080,'Retirement Calculator'!A:A,0),0),0)</f>
        <v>0</v>
      </c>
      <c r="K6080" s="444">
        <f t="shared" ca="1" si="216"/>
        <v>-9978796154426.4141</v>
      </c>
      <c r="L6080" s="444">
        <f t="shared" ca="1" si="217"/>
        <v>-2404889873216766</v>
      </c>
      <c r="M6080" s="460">
        <f t="shared" si="219"/>
        <v>0.05</v>
      </c>
      <c r="N6080" s="464">
        <f t="shared" si="220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18"/>
        <v>-2404889873216766</v>
      </c>
      <c r="J6081" s="444">
        <f t="array" ref="J6081">IFERROR(INDEX('Retirement Calculator'!J:J,MATCH('Isaac 401k'!N6081,'Retirement Calculator'!A:A,0),0),0)</f>
        <v>0</v>
      </c>
      <c r="K6081" s="444">
        <f t="shared" ca="1" si="216"/>
        <v>-10020374471736.525</v>
      </c>
      <c r="L6081" s="444">
        <f t="shared" ca="1" si="217"/>
        <v>-2414910247688502.5</v>
      </c>
      <c r="M6081" s="460">
        <f t="shared" si="219"/>
        <v>0.05</v>
      </c>
      <c r="N6081" s="464">
        <f t="shared" si="220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18"/>
        <v>-2414910247688502.5</v>
      </c>
      <c r="J6082" s="444">
        <f t="array" ref="J6082">IFERROR(INDEX('Retirement Calculator'!J:J,MATCH('Isaac 401k'!N6082,'Retirement Calculator'!A:A,0),0),0)</f>
        <v>0</v>
      </c>
      <c r="K6082" s="444">
        <f t="shared" ca="1" si="216"/>
        <v>-10062126032035.428</v>
      </c>
      <c r="L6082" s="444">
        <f t="shared" ca="1" si="217"/>
        <v>-2424972373720538</v>
      </c>
      <c r="M6082" s="460">
        <f t="shared" si="219"/>
        <v>0.05</v>
      </c>
      <c r="N6082" s="464">
        <f t="shared" si="220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18"/>
        <v>-2424972373720538</v>
      </c>
      <c r="J6083" s="444">
        <f t="array" ref="J6083">IFERROR(INDEX('Retirement Calculator'!J:J,MATCH('Isaac 401k'!N6083,'Retirement Calculator'!A:A,0),0),0)</f>
        <v>0</v>
      </c>
      <c r="K6083" s="444">
        <f t="shared" ca="1" si="216"/>
        <v>-10104051557168.908</v>
      </c>
      <c r="L6083" s="444">
        <f t="shared" ca="1" si="217"/>
        <v>-2435076425277707</v>
      </c>
      <c r="M6083" s="460">
        <f t="shared" si="219"/>
        <v>0.05</v>
      </c>
      <c r="N6083" s="464">
        <f t="shared" si="220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18"/>
        <v>-2435076425277707</v>
      </c>
      <c r="J6084" s="444">
        <f t="array" ref="J6084">IFERROR(INDEX('Retirement Calculator'!J:J,MATCH('Isaac 401k'!N6084,'Retirement Calculator'!A:A,0),0),0)</f>
        <v>0</v>
      </c>
      <c r="K6084" s="444">
        <f t="shared" ca="1" si="216"/>
        <v>-10146151771990.445</v>
      </c>
      <c r="L6084" s="444">
        <f t="shared" ca="1" si="217"/>
        <v>-2445222577049697.5</v>
      </c>
      <c r="M6084" s="460">
        <f t="shared" si="219"/>
        <v>0.05</v>
      </c>
      <c r="N6084" s="464">
        <f t="shared" si="220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18"/>
        <v>-2445222577049697.5</v>
      </c>
      <c r="J6085" s="444">
        <f t="array" ref="J6085">IFERROR(INDEX('Retirement Calculator'!J:J,MATCH('Isaac 401k'!N6085,'Retirement Calculator'!A:A,0),0),0)</f>
        <v>0</v>
      </c>
      <c r="K6085" s="444">
        <f t="shared" ca="1" si="216"/>
        <v>-10188427404373.74</v>
      </c>
      <c r="L6085" s="444">
        <f t="shared" ca="1" si="217"/>
        <v>-2455411004454071</v>
      </c>
      <c r="M6085" s="460">
        <f t="shared" si="219"/>
        <v>0.05</v>
      </c>
      <c r="N6085" s="464">
        <f t="shared" si="220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18"/>
        <v>-2455411004454071</v>
      </c>
      <c r="J6086" s="444">
        <f t="array" ref="J6086">IFERROR(INDEX('Retirement Calculator'!J:J,MATCH('Isaac 401k'!N6086,'Retirement Calculator'!A:A,0),0),0)</f>
        <v>0</v>
      </c>
      <c r="K6086" s="444">
        <f t="shared" ca="1" si="216"/>
        <v>-10230879185225.295</v>
      </c>
      <c r="L6086" s="444">
        <f t="shared" ca="1" si="217"/>
        <v>-2465641883639296.5</v>
      </c>
      <c r="M6086" s="460">
        <f t="shared" si="219"/>
        <v>0.05</v>
      </c>
      <c r="N6086" s="464">
        <f t="shared" si="220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18"/>
        <v>-2465641883639296.5</v>
      </c>
      <c r="J6087" s="444">
        <f t="array" ref="J6087">IFERROR(INDEX('Retirement Calculator'!J:J,MATCH('Isaac 401k'!N6087,'Retirement Calculator'!A:A,0),0),0)</f>
        <v>0</v>
      </c>
      <c r="K6087" s="444">
        <f t="shared" ca="1" si="216"/>
        <v>-10273507848497.068</v>
      </c>
      <c r="L6087" s="444">
        <f t="shared" ca="1" si="217"/>
        <v>-2475915391487793.5</v>
      </c>
      <c r="M6087" s="460">
        <f t="shared" si="219"/>
        <v>0.05</v>
      </c>
      <c r="N6087" s="464">
        <f t="shared" si="220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18"/>
        <v>-2475915391487793.5</v>
      </c>
      <c r="J6088" s="444">
        <f t="array" ref="J6088">IFERROR(INDEX('Retirement Calculator'!J:J,MATCH('Isaac 401k'!N6088,'Retirement Calculator'!A:A,0),0),0)</f>
        <v>0</v>
      </c>
      <c r="K6088" s="444">
        <f t="shared" ca="1" si="216"/>
        <v>-10316314131199.139</v>
      </c>
      <c r="L6088" s="444">
        <f t="shared" ca="1" si="217"/>
        <v>-2486231705618992.5</v>
      </c>
      <c r="M6088" s="460">
        <f t="shared" si="219"/>
        <v>0.05</v>
      </c>
      <c r="N6088" s="464">
        <f t="shared" si="220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18"/>
        <v>-2486231705618992.5</v>
      </c>
      <c r="J6089" s="444">
        <f t="array" ref="J6089">IFERROR(INDEX('Retirement Calculator'!J:J,MATCH('Isaac 401k'!N6089,'Retirement Calculator'!A:A,0),0),0)</f>
        <v>0</v>
      </c>
      <c r="K6089" s="444">
        <f t="shared" ca="1" si="216"/>
        <v>-10359298773412.469</v>
      </c>
      <c r="L6089" s="444">
        <f t="shared" ca="1" si="217"/>
        <v>-2496591004392405</v>
      </c>
      <c r="M6089" s="460">
        <f t="shared" si="219"/>
        <v>0.05</v>
      </c>
      <c r="N6089" s="464">
        <f t="shared" si="220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18"/>
        <v>-2496591004392405</v>
      </c>
      <c r="J6090" s="444">
        <f t="array" ref="J6090">IFERROR(INDEX('Retirement Calculator'!J:J,MATCH('Isaac 401k'!N6090,'Retirement Calculator'!A:A,0),0),0)</f>
        <v>0</v>
      </c>
      <c r="K6090" s="444">
        <f t="shared" ca="1" si="216"/>
        <v>-10402462518301.688</v>
      </c>
      <c r="L6090" s="444">
        <f t="shared" ca="1" si="217"/>
        <v>-2506993466910706.5</v>
      </c>
      <c r="M6090" s="460">
        <f t="shared" si="219"/>
        <v>0.05</v>
      </c>
      <c r="N6090" s="464">
        <f t="shared" si="220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18"/>
        <v>-2506993466910706.5</v>
      </c>
      <c r="J6091" s="444">
        <f t="array" ref="J6091">IFERROR(INDEX('Retirement Calculator'!J:J,MATCH('Isaac 401k'!N6091,'Retirement Calculator'!A:A,0),0),0)</f>
        <v>0</v>
      </c>
      <c r="K6091" s="444">
        <f t="shared" ca="1" si="216"/>
        <v>-10445806112127.943</v>
      </c>
      <c r="L6091" s="444">
        <f t="shared" ca="1" si="217"/>
        <v>-2517439273022834.5</v>
      </c>
      <c r="M6091" s="460">
        <f t="shared" si="219"/>
        <v>0.05</v>
      </c>
      <c r="N6091" s="464">
        <f t="shared" si="220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18"/>
        <v>-2517439273022834.5</v>
      </c>
      <c r="J6092" s="444">
        <f t="array" ref="J6092">IFERROR(INDEX('Retirement Calculator'!J:J,MATCH('Isaac 401k'!N6092,'Retirement Calculator'!A:A,0),0),0)</f>
        <v>0</v>
      </c>
      <c r="K6092" s="444">
        <f t="shared" ca="1" si="216"/>
        <v>-10489330304261.811</v>
      </c>
      <c r="L6092" s="444">
        <f t="shared" ca="1" si="217"/>
        <v>-2527928603327096.5</v>
      </c>
      <c r="M6092" s="460">
        <f t="shared" si="219"/>
        <v>0.05</v>
      </c>
      <c r="N6092" s="464">
        <f t="shared" si="220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18"/>
        <v>-2527928603327096.5</v>
      </c>
      <c r="J6093" s="444">
        <f t="array" ref="J6093">IFERROR(INDEX('Retirement Calculator'!J:J,MATCH('Isaac 401k'!N6093,'Retirement Calculator'!A:A,0),0),0)</f>
        <v>0</v>
      </c>
      <c r="K6093" s="444">
        <f t="shared" ca="1" si="216"/>
        <v>-10533035847196.234</v>
      </c>
      <c r="L6093" s="444">
        <f t="shared" ca="1" si="217"/>
        <v>-2538461639174292.5</v>
      </c>
      <c r="M6093" s="460">
        <f t="shared" si="219"/>
        <v>0.05</v>
      </c>
      <c r="N6093" s="464">
        <f t="shared" si="220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18"/>
        <v>-2538461639174292.5</v>
      </c>
      <c r="J6094" s="444">
        <f t="array" ref="J6094">IFERROR(INDEX('Retirement Calculator'!J:J,MATCH('Isaac 401k'!N6094,'Retirement Calculator'!A:A,0),0),0)</f>
        <v>0</v>
      </c>
      <c r="K6094" s="444">
        <f t="shared" ca="1" si="216"/>
        <v>-10576923496559.553</v>
      </c>
      <c r="L6094" s="444">
        <f t="shared" ca="1" si="217"/>
        <v>-2549038562670852</v>
      </c>
      <c r="M6094" s="460">
        <f t="shared" si="219"/>
        <v>0.05</v>
      </c>
      <c r="N6094" s="464">
        <f t="shared" si="220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18"/>
        <v>-2549038562670852</v>
      </c>
      <c r="J6095" s="444">
        <f t="array" ref="J6095">IFERROR(INDEX('Retirement Calculator'!J:J,MATCH('Isaac 401k'!N6095,'Retirement Calculator'!A:A,0),0),0)</f>
        <v>0</v>
      </c>
      <c r="K6095" s="444">
        <f t="shared" ca="1" si="216"/>
        <v>-10620994011128.551</v>
      </c>
      <c r="L6095" s="444">
        <f t="shared" ca="1" si="217"/>
        <v>-2559659556681980.5</v>
      </c>
      <c r="M6095" s="460">
        <f t="shared" si="219"/>
        <v>0.05</v>
      </c>
      <c r="N6095" s="464">
        <f t="shared" si="220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18"/>
        <v>-2559659556681980.5</v>
      </c>
      <c r="J6096" s="444">
        <f t="array" ref="J6096">IFERROR(INDEX('Retirement Calculator'!J:J,MATCH('Isaac 401k'!N6096,'Retirement Calculator'!A:A,0),0),0)</f>
        <v>0</v>
      </c>
      <c r="K6096" s="444">
        <f t="shared" ca="1" si="216"/>
        <v>-10665248152841.586</v>
      </c>
      <c r="L6096" s="444">
        <f t="shared" ca="1" si="217"/>
        <v>-2570324804834822</v>
      </c>
      <c r="M6096" s="460">
        <f t="shared" si="219"/>
        <v>0.05</v>
      </c>
      <c r="N6096" s="464">
        <f t="shared" si="220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18"/>
        <v>-2570324804834822</v>
      </c>
      <c r="J6097" s="444">
        <f t="array" ref="J6097">IFERROR(INDEX('Retirement Calculator'!J:J,MATCH('Isaac 401k'!N6097,'Retirement Calculator'!A:A,0),0),0)</f>
        <v>0</v>
      </c>
      <c r="K6097" s="444">
        <f t="shared" ca="1" si="216"/>
        <v>-10709686686811.758</v>
      </c>
      <c r="L6097" s="444">
        <f t="shared" ca="1" si="217"/>
        <v>-2581034491521634</v>
      </c>
      <c r="M6097" s="460">
        <f t="shared" si="219"/>
        <v>0.05</v>
      </c>
      <c r="N6097" s="464">
        <f t="shared" si="220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18"/>
        <v>-2581034491521634</v>
      </c>
      <c r="J6098" s="444">
        <f t="array" ref="J6098">IFERROR(INDEX('Retirement Calculator'!J:J,MATCH('Isaac 401k'!N6098,'Retirement Calculator'!A:A,0),0),0)</f>
        <v>0</v>
      </c>
      <c r="K6098" s="444">
        <f t="shared" ca="1" si="216"/>
        <v>-10754310381340.141</v>
      </c>
      <c r="L6098" s="444">
        <f t="shared" ca="1" si="217"/>
        <v>-2591788801902974</v>
      </c>
      <c r="M6098" s="460">
        <f t="shared" si="219"/>
        <v>0.05</v>
      </c>
      <c r="N6098" s="464">
        <f t="shared" si="220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18"/>
        <v>-2591788801902974</v>
      </c>
      <c r="J6099" s="444">
        <f t="array" ref="J6099">IFERROR(INDEX('Retirement Calculator'!J:J,MATCH('Isaac 401k'!N6099,'Retirement Calculator'!A:A,0),0),0)</f>
        <v>0</v>
      </c>
      <c r="K6099" s="444">
        <f t="shared" ca="1" si="216"/>
        <v>-10799120007929.059</v>
      </c>
      <c r="L6099" s="444">
        <f t="shared" ca="1" si="217"/>
        <v>-2602587921910903</v>
      </c>
      <c r="M6099" s="460">
        <f t="shared" si="219"/>
        <v>0.05</v>
      </c>
      <c r="N6099" s="464">
        <f t="shared" si="220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18"/>
        <v>-2602587921910903</v>
      </c>
      <c r="J6100" s="444">
        <f t="array" ref="J6100">IFERROR(INDEX('Retirement Calculator'!J:J,MATCH('Isaac 401k'!N6100,'Retirement Calculator'!A:A,0),0),0)</f>
        <v>0</v>
      </c>
      <c r="K6100" s="444">
        <f t="shared" ca="1" si="216"/>
        <v>-10844116341295.43</v>
      </c>
      <c r="L6100" s="444">
        <f t="shared" ca="1" si="217"/>
        <v>-2613432038252198.5</v>
      </c>
      <c r="M6100" s="460">
        <f t="shared" si="219"/>
        <v>0.05</v>
      </c>
      <c r="N6100" s="464">
        <f t="shared" si="220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18"/>
        <v>-2613432038252198.5</v>
      </c>
      <c r="J6101" s="444">
        <f t="array" ref="J6101">IFERROR(INDEX('Retirement Calculator'!J:J,MATCH('Isaac 401k'!N6101,'Retirement Calculator'!A:A,0),0),0)</f>
        <v>0</v>
      </c>
      <c r="K6101" s="444">
        <f t="shared" ca="1" si="216"/>
        <v>-10889300159384.16</v>
      </c>
      <c r="L6101" s="444">
        <f t="shared" ca="1" si="217"/>
        <v>-2624321338411582.5</v>
      </c>
      <c r="M6101" s="460">
        <f t="shared" si="219"/>
        <v>0.05</v>
      </c>
      <c r="N6101" s="464">
        <f t="shared" si="220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18"/>
        <v>-2624321338411582.5</v>
      </c>
      <c r="J6102" s="444">
        <f t="array" ref="J6102">IFERROR(INDEX('Retirement Calculator'!J:J,MATCH('Isaac 401k'!N6102,'Retirement Calculator'!A:A,0),0),0)</f>
        <v>0</v>
      </c>
      <c r="K6102" s="444">
        <f t="shared" ca="1" si="216"/>
        <v>-10934672243381.594</v>
      </c>
      <c r="L6102" s="444">
        <f t="shared" ca="1" si="217"/>
        <v>-2635256010654964</v>
      </c>
      <c r="M6102" s="460">
        <f t="shared" si="219"/>
        <v>0.05</v>
      </c>
      <c r="N6102" s="464">
        <f t="shared" si="220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18"/>
        <v>-2635256010654964</v>
      </c>
      <c r="J6103" s="444">
        <f t="array" ref="J6103">IFERROR(INDEX('Retirement Calculator'!J:J,MATCH('Isaac 401k'!N6103,'Retirement Calculator'!A:A,0),0),0)</f>
        <v>0</v>
      </c>
      <c r="K6103" s="444">
        <f t="shared" ca="1" si="216"/>
        <v>-10980233377729.016</v>
      </c>
      <c r="L6103" s="444">
        <f t="shared" ca="1" si="217"/>
        <v>-2646236244032693</v>
      </c>
      <c r="M6103" s="460">
        <f t="shared" si="219"/>
        <v>0.05</v>
      </c>
      <c r="N6103" s="464">
        <f t="shared" si="220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18"/>
        <v>-2646236244032693</v>
      </c>
      <c r="J6104" s="444">
        <f t="array" ref="J6104">IFERROR(INDEX('Retirement Calculator'!J:J,MATCH('Isaac 401k'!N6104,'Retirement Calculator'!A:A,0),0),0)</f>
        <v>0</v>
      </c>
      <c r="K6104" s="444">
        <f t="shared" ca="1" si="216"/>
        <v>-11025984350136.221</v>
      </c>
      <c r="L6104" s="444">
        <f t="shared" ca="1" si="217"/>
        <v>-2657262228382829</v>
      </c>
      <c r="M6104" s="460">
        <f t="shared" si="219"/>
        <v>0.05</v>
      </c>
      <c r="N6104" s="464">
        <f t="shared" si="220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18"/>
        <v>-2657262228382829</v>
      </c>
      <c r="J6105" s="444">
        <f t="array" ref="J6105">IFERROR(INDEX('Retirement Calculator'!J:J,MATCH('Isaac 401k'!N6105,'Retirement Calculator'!A:A,0),0),0)</f>
        <v>0</v>
      </c>
      <c r="K6105" s="444">
        <f t="shared" ca="1" si="216"/>
        <v>-11071925951595.121</v>
      </c>
      <c r="L6105" s="444">
        <f t="shared" ca="1" si="217"/>
        <v>-2668334154334424</v>
      </c>
      <c r="M6105" s="460">
        <f t="shared" si="219"/>
        <v>0.05</v>
      </c>
      <c r="N6105" s="464">
        <f t="shared" si="220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18"/>
        <v>-2668334154334424</v>
      </c>
      <c r="J6106" s="444">
        <f t="array" ref="J6106">IFERROR(INDEX('Retirement Calculator'!J:J,MATCH('Isaac 401k'!N6106,'Retirement Calculator'!A:A,0),0),0)</f>
        <v>0</v>
      </c>
      <c r="K6106" s="444">
        <f t="shared" ca="1" si="216"/>
        <v>-11118058976393.434</v>
      </c>
      <c r="L6106" s="444">
        <f t="shared" ca="1" si="217"/>
        <v>-2679452213310817.5</v>
      </c>
      <c r="M6106" s="460">
        <f t="shared" si="219"/>
        <v>0.05</v>
      </c>
      <c r="N6106" s="464">
        <f t="shared" si="220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18"/>
        <v>-2679452213310817.5</v>
      </c>
      <c r="J6107" s="444">
        <f t="array" ref="J6107">IFERROR(INDEX('Retirement Calculator'!J:J,MATCH('Isaac 401k'!N6107,'Retirement Calculator'!A:A,0),0),0)</f>
        <v>0</v>
      </c>
      <c r="K6107" s="444">
        <f t="shared" ca="1" si="216"/>
        <v>-11164384222128.406</v>
      </c>
      <c r="L6107" s="444">
        <f t="shared" ca="1" si="217"/>
        <v>-2690616597532946</v>
      </c>
      <c r="M6107" s="460">
        <f t="shared" si="219"/>
        <v>0.05</v>
      </c>
      <c r="N6107" s="464">
        <f t="shared" si="220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18"/>
        <v>-2690616597532946</v>
      </c>
      <c r="J6108" s="444">
        <f t="array" ref="J6108">IFERROR(INDEX('Retirement Calculator'!J:J,MATCH('Isaac 401k'!N6108,'Retirement Calculator'!A:A,0),0),0)</f>
        <v>0</v>
      </c>
      <c r="K6108" s="444">
        <f t="shared" ca="1" si="216"/>
        <v>-11210902489720.607</v>
      </c>
      <c r="L6108" s="444">
        <f t="shared" ca="1" si="217"/>
        <v>-2701827500022666.5</v>
      </c>
      <c r="M6108" s="460">
        <f t="shared" si="219"/>
        <v>0.05</v>
      </c>
      <c r="N6108" s="464">
        <f t="shared" si="220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18"/>
        <v>-2701827500022666.5</v>
      </c>
      <c r="J6109" s="444">
        <f t="array" ref="J6109">IFERROR(INDEX('Retirement Calculator'!J:J,MATCH('Isaac 401k'!N6109,'Retirement Calculator'!A:A,0),0),0)</f>
        <v>0</v>
      </c>
      <c r="K6109" s="444">
        <f t="shared" ca="1" si="216"/>
        <v>-11257614583427.777</v>
      </c>
      <c r="L6109" s="444">
        <f t="shared" ca="1" si="217"/>
        <v>-2713085114606094.5</v>
      </c>
      <c r="M6109" s="460">
        <f t="shared" si="219"/>
        <v>0.05</v>
      </c>
      <c r="N6109" s="464">
        <f t="shared" si="220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18"/>
        <v>-2713085114606094.5</v>
      </c>
      <c r="J6110" s="444">
        <f t="array" ref="J6110">IFERROR(INDEX('Retirement Calculator'!J:J,MATCH('Isaac 401k'!N6110,'Retirement Calculator'!A:A,0),0),0)</f>
        <v>0</v>
      </c>
      <c r="K6110" s="444">
        <f t="shared" ca="1" si="216"/>
        <v>-11304521310858.727</v>
      </c>
      <c r="L6110" s="444">
        <f t="shared" ca="1" si="217"/>
        <v>-2724389635916953</v>
      </c>
      <c r="M6110" s="460">
        <f t="shared" si="219"/>
        <v>0.05</v>
      </c>
      <c r="N6110" s="464">
        <f t="shared" si="220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18"/>
        <v>-2724389635916953</v>
      </c>
      <c r="J6111" s="444">
        <f t="array" ref="J6111">IFERROR(INDEX('Retirement Calculator'!J:J,MATCH('Isaac 401k'!N6111,'Retirement Calculator'!A:A,0),0),0)</f>
        <v>0</v>
      </c>
      <c r="K6111" s="444">
        <f t="shared" ca="1" si="216"/>
        <v>-11351623482987.305</v>
      </c>
      <c r="L6111" s="444">
        <f t="shared" ca="1" si="217"/>
        <v>-2735741259399940.5</v>
      </c>
      <c r="M6111" s="460">
        <f t="shared" si="219"/>
        <v>0.05</v>
      </c>
      <c r="N6111" s="464">
        <f t="shared" si="220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18"/>
        <v>-2735741259399940.5</v>
      </c>
      <c r="J6112" s="444">
        <f t="array" ref="J6112">IFERROR(INDEX('Retirement Calculator'!J:J,MATCH('Isaac 401k'!N6112,'Retirement Calculator'!A:A,0),0),0)</f>
        <v>0</v>
      </c>
      <c r="K6112" s="444">
        <f t="shared" ca="1" si="216"/>
        <v>-11398921914166.418</v>
      </c>
      <c r="L6112" s="444">
        <f t="shared" ca="1" si="217"/>
        <v>-2747140181314107</v>
      </c>
      <c r="M6112" s="460">
        <f t="shared" si="219"/>
        <v>0.05</v>
      </c>
      <c r="N6112" s="464">
        <f t="shared" si="220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18"/>
        <v>-2747140181314107</v>
      </c>
      <c r="J6113" s="444">
        <f t="array" ref="J6113">IFERROR(INDEX('Retirement Calculator'!J:J,MATCH('Isaac 401k'!N6113,'Retirement Calculator'!A:A,0),0),0)</f>
        <v>0</v>
      </c>
      <c r="K6113" s="444">
        <f t="shared" ca="1" si="216"/>
        <v>-11446417422142.113</v>
      </c>
      <c r="L6113" s="444">
        <f t="shared" ca="1" si="217"/>
        <v>-2758586598736249</v>
      </c>
      <c r="M6113" s="460">
        <f t="shared" si="219"/>
        <v>0.05</v>
      </c>
      <c r="N6113" s="464">
        <f t="shared" si="220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18"/>
        <v>-2758586598736249</v>
      </c>
      <c r="J6114" s="444">
        <f t="array" ref="J6114">IFERROR(INDEX('Retirement Calculator'!J:J,MATCH('Isaac 401k'!N6114,'Retirement Calculator'!A:A,0),0),0)</f>
        <v>0</v>
      </c>
      <c r="K6114" s="444">
        <f t="shared" ca="1" si="216"/>
        <v>-11494110828067.703</v>
      </c>
      <c r="L6114" s="444">
        <f t="shared" ca="1" si="217"/>
        <v>-2770080709564316.5</v>
      </c>
      <c r="M6114" s="460">
        <f t="shared" si="219"/>
        <v>0.05</v>
      </c>
      <c r="N6114" s="464">
        <f t="shared" si="220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18"/>
        <v>-2770080709564316.5</v>
      </c>
      <c r="J6115" s="444">
        <f t="array" ref="J6115">IFERROR(INDEX('Retirement Calculator'!J:J,MATCH('Isaac 401k'!N6115,'Retirement Calculator'!A:A,0),0),0)</f>
        <v>0</v>
      </c>
      <c r="K6115" s="444">
        <f t="shared" ca="1" si="216"/>
        <v>-11542002956517.984</v>
      </c>
      <c r="L6115" s="444">
        <f t="shared" ca="1" si="217"/>
        <v>-2781622712520834.5</v>
      </c>
      <c r="M6115" s="460">
        <f t="shared" si="219"/>
        <v>0.05</v>
      </c>
      <c r="N6115" s="464">
        <f t="shared" si="220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18"/>
        <v>-2781622712520834.5</v>
      </c>
      <c r="J6116" s="444">
        <f t="array" ref="J6116">IFERROR(INDEX('Retirement Calculator'!J:J,MATCH('Isaac 401k'!N6116,'Retirement Calculator'!A:A,0),0),0)</f>
        <v>0</v>
      </c>
      <c r="K6116" s="444">
        <f t="shared" ca="1" si="216"/>
        <v>-11590094635503.477</v>
      </c>
      <c r="L6116" s="444">
        <f t="shared" ca="1" si="217"/>
        <v>-2793212807156338</v>
      </c>
      <c r="M6116" s="460">
        <f t="shared" si="219"/>
        <v>0.05</v>
      </c>
      <c r="N6116" s="464">
        <f t="shared" si="220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18"/>
        <v>-2793212807156338</v>
      </c>
      <c r="J6117" s="444">
        <f t="array" ref="J6117">IFERROR(INDEX('Retirement Calculator'!J:J,MATCH('Isaac 401k'!N6117,'Retirement Calculator'!A:A,0),0),0)</f>
        <v>0</v>
      </c>
      <c r="K6117" s="444">
        <f t="shared" ca="1" si="216"/>
        <v>-11638386696484.742</v>
      </c>
      <c r="L6117" s="444">
        <f t="shared" ca="1" si="217"/>
        <v>-2804851193852822.5</v>
      </c>
      <c r="M6117" s="460">
        <f t="shared" si="219"/>
        <v>0.05</v>
      </c>
      <c r="N6117" s="464">
        <f t="shared" si="220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18"/>
        <v>-2804851193852822.5</v>
      </c>
      <c r="J6118" s="444">
        <f t="array" ref="J6118">IFERROR(INDEX('Retirement Calculator'!J:J,MATCH('Isaac 401k'!N6118,'Retirement Calculator'!A:A,0),0),0)</f>
        <v>0</v>
      </c>
      <c r="K6118" s="444">
        <f t="shared" ca="1" si="216"/>
        <v>-11686879974386.76</v>
      </c>
      <c r="L6118" s="444">
        <f t="shared" ca="1" si="217"/>
        <v>-2816538073827209.5</v>
      </c>
      <c r="M6118" s="460">
        <f t="shared" si="219"/>
        <v>0.05</v>
      </c>
      <c r="N6118" s="464">
        <f t="shared" si="220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18"/>
        <v>-2816538073827209.5</v>
      </c>
      <c r="J6119" s="444">
        <f t="array" ref="J6119">IFERROR(INDEX('Retirement Calculator'!J:J,MATCH('Isaac 401k'!N6119,'Retirement Calculator'!A:A,0),0),0)</f>
        <v>0</v>
      </c>
      <c r="K6119" s="444">
        <f t="shared" ca="1" si="216"/>
        <v>-11735575307613.373</v>
      </c>
      <c r="L6119" s="444">
        <f t="shared" ca="1" si="217"/>
        <v>-2828273649134823</v>
      </c>
      <c r="M6119" s="460">
        <f t="shared" si="219"/>
        <v>0.05</v>
      </c>
      <c r="N6119" s="464">
        <f t="shared" si="220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18"/>
        <v>-2828273649134823</v>
      </c>
      <c r="J6120" s="444">
        <f t="array" ref="J6120">IFERROR(INDEX('Retirement Calculator'!J:J,MATCH('Isaac 401k'!N6120,'Retirement Calculator'!A:A,0),0),0)</f>
        <v>0</v>
      </c>
      <c r="K6120" s="444">
        <f t="shared" ca="1" si="216"/>
        <v>-11784473538061.762</v>
      </c>
      <c r="L6120" s="444">
        <f t="shared" ca="1" si="217"/>
        <v>-2840058122672885</v>
      </c>
      <c r="M6120" s="460">
        <f t="shared" si="219"/>
        <v>0.05</v>
      </c>
      <c r="N6120" s="464">
        <f t="shared" si="220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18"/>
        <v>-2840058122672885</v>
      </c>
      <c r="J6121" s="444">
        <f t="array" ref="J6121">IFERROR(INDEX('Retirement Calculator'!J:J,MATCH('Isaac 401k'!N6121,'Retirement Calculator'!A:A,0),0),0)</f>
        <v>0</v>
      </c>
      <c r="K6121" s="444">
        <f t="shared" ca="1" si="216"/>
        <v>-11833575511137.021</v>
      </c>
      <c r="L6121" s="444">
        <f t="shared" ca="1" si="217"/>
        <v>-2851891698184022</v>
      </c>
      <c r="M6121" s="460">
        <f t="shared" si="219"/>
        <v>0.05</v>
      </c>
      <c r="N6121" s="464">
        <f t="shared" si="220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18"/>
        <v>-2851891698184022</v>
      </c>
      <c r="J6122" s="444">
        <f t="array" ref="J6122">IFERROR(INDEX('Retirement Calculator'!J:J,MATCH('Isaac 401k'!N6122,'Retirement Calculator'!A:A,0),0),0)</f>
        <v>0</v>
      </c>
      <c r="K6122" s="444">
        <f t="shared" ca="1" si="216"/>
        <v>-11882882075766.758</v>
      </c>
      <c r="L6122" s="444">
        <f t="shared" ca="1" si="217"/>
        <v>-2863774580259789</v>
      </c>
      <c r="M6122" s="460">
        <f t="shared" si="219"/>
        <v>0.05</v>
      </c>
      <c r="N6122" s="464">
        <f t="shared" si="220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18"/>
        <v>-2863774580259789</v>
      </c>
      <c r="J6123" s="444">
        <f t="array" ref="J6123">IFERROR(INDEX('Retirement Calculator'!J:J,MATCH('Isaac 401k'!N6123,'Retirement Calculator'!A:A,0),0),0)</f>
        <v>0</v>
      </c>
      <c r="K6123" s="444">
        <f t="shared" ca="1" si="216"/>
        <v>-11932394084415.787</v>
      </c>
      <c r="L6123" s="444">
        <f t="shared" ca="1" si="217"/>
        <v>-2875706974344205</v>
      </c>
      <c r="M6123" s="460">
        <f t="shared" si="219"/>
        <v>0.05</v>
      </c>
      <c r="N6123" s="464">
        <f t="shared" si="220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18"/>
        <v>-2875706974344205</v>
      </c>
      <c r="J6124" s="444">
        <f t="array" ref="J6124">IFERROR(INDEX('Retirement Calculator'!J:J,MATCH('Isaac 401k'!N6124,'Retirement Calculator'!A:A,0),0),0)</f>
        <v>0</v>
      </c>
      <c r="K6124" s="444">
        <f t="shared" ca="1" si="216"/>
        <v>-11982112393100.854</v>
      </c>
      <c r="L6124" s="444">
        <f t="shared" ca="1" si="217"/>
        <v>-2887689086737306</v>
      </c>
      <c r="M6124" s="460">
        <f t="shared" si="219"/>
        <v>0.05</v>
      </c>
      <c r="N6124" s="464">
        <f t="shared" si="220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18"/>
        <v>-2887689086737306</v>
      </c>
      <c r="J6125" s="444">
        <f t="array" ref="J6125">IFERROR(INDEX('Retirement Calculator'!J:J,MATCH('Isaac 401k'!N6125,'Retirement Calculator'!A:A,0),0),0)</f>
        <v>0</v>
      </c>
      <c r="K6125" s="444">
        <f t="shared" ca="1" si="216"/>
        <v>-12032037861405.441</v>
      </c>
      <c r="L6125" s="444">
        <f t="shared" ca="1" si="217"/>
        <v>-2899721124598711.5</v>
      </c>
      <c r="M6125" s="460">
        <f t="shared" si="219"/>
        <v>0.05</v>
      </c>
      <c r="N6125" s="464">
        <f t="shared" si="220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18"/>
        <v>-2899721124598711.5</v>
      </c>
      <c r="J6126" s="444">
        <f t="array" ref="J6126">IFERROR(INDEX('Retirement Calculator'!J:J,MATCH('Isaac 401k'!N6126,'Retirement Calculator'!A:A,0),0),0)</f>
        <v>0</v>
      </c>
      <c r="K6126" s="444">
        <f t="shared" ca="1" si="216"/>
        <v>-12082171352494.631</v>
      </c>
      <c r="L6126" s="444">
        <f t="shared" ca="1" si="217"/>
        <v>-2911803295951206</v>
      </c>
      <c r="M6126" s="460">
        <f t="shared" si="219"/>
        <v>0.05</v>
      </c>
      <c r="N6126" s="464">
        <f t="shared" si="220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18"/>
        <v>-2911803295951206</v>
      </c>
      <c r="J6127" s="444">
        <f t="array" ref="J6127">IFERROR(INDEX('Retirement Calculator'!J:J,MATCH('Isaac 401k'!N6127,'Retirement Calculator'!A:A,0),0),0)</f>
        <v>0</v>
      </c>
      <c r="K6127" s="444">
        <f t="shared" ca="1" si="216"/>
        <v>-12132513733130.025</v>
      </c>
      <c r="L6127" s="444">
        <f t="shared" ca="1" si="217"/>
        <v>-2923935809684336</v>
      </c>
      <c r="M6127" s="460">
        <f t="shared" si="219"/>
        <v>0.05</v>
      </c>
      <c r="N6127" s="464">
        <f t="shared" si="220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18"/>
        <v>-2923935809684336</v>
      </c>
      <c r="J6128" s="444">
        <f t="array" ref="J6128">IFERROR(INDEX('Retirement Calculator'!J:J,MATCH('Isaac 401k'!N6128,'Retirement Calculator'!A:A,0),0),0)</f>
        <v>0</v>
      </c>
      <c r="K6128" s="444">
        <f t="shared" ref="K6128:K6250" ca="1" si="221">IPMT(M6128/12,1,12,-I6128+J6128,,0)</f>
        <v>-12183065873684.732</v>
      </c>
      <c r="L6128" s="444">
        <f t="shared" ref="L6128:L6250" ca="1" si="222">I6128-J6128+K6128</f>
        <v>-2936118875558020.5</v>
      </c>
      <c r="M6128" s="460">
        <f t="shared" si="219"/>
        <v>0.05</v>
      </c>
      <c r="N6128" s="464">
        <f t="shared" si="220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23">L6128</f>
        <v>-2936118875558020.5</v>
      </c>
      <c r="J6129" s="444">
        <f t="array" ref="J6129">IFERROR(INDEX('Retirement Calculator'!J:J,MATCH('Isaac 401k'!N6129,'Retirement Calculator'!A:A,0),0),0)</f>
        <v>0</v>
      </c>
      <c r="K6129" s="444">
        <f t="shared" ca="1" si="221"/>
        <v>-12233828648158.418</v>
      </c>
      <c r="L6129" s="444">
        <f t="shared" ca="1" si="222"/>
        <v>-2948352704206179</v>
      </c>
      <c r="M6129" s="460">
        <f t="shared" ref="M6129:M6250" si="224">M6128</f>
        <v>0.05</v>
      </c>
      <c r="N6129" s="464">
        <f t="shared" ref="N6129:N6250" si="225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23"/>
        <v>-2948352704206179</v>
      </c>
      <c r="J6130" s="444">
        <f t="array" ref="J6130">IFERROR(INDEX('Retirement Calculator'!J:J,MATCH('Isaac 401k'!N6130,'Retirement Calculator'!A:A,0),0),0)</f>
        <v>0</v>
      </c>
      <c r="K6130" s="444">
        <f t="shared" ca="1" si="221"/>
        <v>-12284802934192.412</v>
      </c>
      <c r="L6130" s="444">
        <f t="shared" ca="1" si="222"/>
        <v>-2960637507140371.5</v>
      </c>
      <c r="M6130" s="460">
        <f t="shared" si="224"/>
        <v>0.05</v>
      </c>
      <c r="N6130" s="464">
        <f t="shared" si="225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23"/>
        <v>-2960637507140371.5</v>
      </c>
      <c r="J6131" s="444">
        <f t="array" ref="J6131">IFERROR(INDEX('Retirement Calculator'!J:J,MATCH('Isaac 401k'!N6131,'Retirement Calculator'!A:A,0),0),0)</f>
        <v>0</v>
      </c>
      <c r="K6131" s="444">
        <f t="shared" ca="1" si="221"/>
        <v>-12335989613084.881</v>
      </c>
      <c r="L6131" s="444">
        <f t="shared" ca="1" si="222"/>
        <v>-2972973496753456.5</v>
      </c>
      <c r="M6131" s="460">
        <f t="shared" si="224"/>
        <v>0.05</v>
      </c>
      <c r="N6131" s="464">
        <f t="shared" si="225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23"/>
        <v>-2972973496753456.5</v>
      </c>
      <c r="J6132" s="444">
        <f t="array" ref="J6132">IFERROR(INDEX('Retirement Calculator'!J:J,MATCH('Isaac 401k'!N6132,'Retirement Calculator'!A:A,0),0),0)</f>
        <v>0</v>
      </c>
      <c r="K6132" s="444">
        <f t="shared" ca="1" si="221"/>
        <v>-12387389569806.068</v>
      </c>
      <c r="L6132" s="444">
        <f t="shared" ca="1" si="222"/>
        <v>-2985360886323262.5</v>
      </c>
      <c r="M6132" s="460">
        <f t="shared" si="224"/>
        <v>0.05</v>
      </c>
      <c r="N6132" s="464">
        <f t="shared" si="225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23"/>
        <v>-2985360886323262.5</v>
      </c>
      <c r="J6133" s="444">
        <f t="array" ref="J6133">IFERROR(INDEX('Retirement Calculator'!J:J,MATCH('Isaac 401k'!N6133,'Retirement Calculator'!A:A,0),0),0)</f>
        <v>0</v>
      </c>
      <c r="K6133" s="444">
        <f t="shared" ca="1" si="221"/>
        <v>-12439003693013.594</v>
      </c>
      <c r="L6133" s="444">
        <f t="shared" ca="1" si="222"/>
        <v>-2997799890016276</v>
      </c>
      <c r="M6133" s="460">
        <f t="shared" si="224"/>
        <v>0.05</v>
      </c>
      <c r="N6133" s="464">
        <f t="shared" si="225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23"/>
        <v>-2997799890016276</v>
      </c>
      <c r="J6134" s="444">
        <f t="array" ref="J6134">IFERROR(INDEX('Retirement Calculator'!J:J,MATCH('Isaac 401k'!N6134,'Retirement Calculator'!A:A,0),0),0)</f>
        <v>0</v>
      </c>
      <c r="K6134" s="444">
        <f t="shared" ca="1" si="221"/>
        <v>-12490832875067.816</v>
      </c>
      <c r="L6134" s="444">
        <f t="shared" ca="1" si="222"/>
        <v>-3010290722891344</v>
      </c>
      <c r="M6134" s="460">
        <f t="shared" si="224"/>
        <v>0.05</v>
      </c>
      <c r="N6134" s="464">
        <f t="shared" si="225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23"/>
        <v>-3010290722891344</v>
      </c>
      <c r="J6135" s="444">
        <f t="array" ref="J6135">IFERROR(INDEX('Retirement Calculator'!J:J,MATCH('Isaac 401k'!N6135,'Retirement Calculator'!A:A,0),0),0)</f>
        <v>0</v>
      </c>
      <c r="K6135" s="444">
        <f t="shared" ca="1" si="221"/>
        <v>-12542878012047.266</v>
      </c>
      <c r="L6135" s="444">
        <f t="shared" ca="1" si="222"/>
        <v>-3022833600903391.5</v>
      </c>
      <c r="M6135" s="460">
        <f t="shared" si="224"/>
        <v>0.05</v>
      </c>
      <c r="N6135" s="464">
        <f t="shared" si="225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23"/>
        <v>-3022833600903391.5</v>
      </c>
      <c r="J6136" s="444">
        <f t="array" ref="J6136">IFERROR(INDEX('Retirement Calculator'!J:J,MATCH('Isaac 401k'!N6136,'Retirement Calculator'!A:A,0),0),0)</f>
        <v>0</v>
      </c>
      <c r="K6136" s="444">
        <f t="shared" ca="1" si="221"/>
        <v>-12595140003764.131</v>
      </c>
      <c r="L6136" s="444">
        <f t="shared" ca="1" si="222"/>
        <v>-3035428740907155.5</v>
      </c>
      <c r="M6136" s="460">
        <f t="shared" si="224"/>
        <v>0.05</v>
      </c>
      <c r="N6136" s="464">
        <f t="shared" si="225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23"/>
        <v>-3035428740907155.5</v>
      </c>
      <c r="J6137" s="444">
        <f t="array" ref="J6137">IFERROR(INDEX('Retirement Calculator'!J:J,MATCH('Isaac 401k'!N6137,'Retirement Calculator'!A:A,0),0),0)</f>
        <v>0</v>
      </c>
      <c r="K6137" s="444">
        <f t="shared" ca="1" si="221"/>
        <v>-12647619753779.814</v>
      </c>
      <c r="L6137" s="444">
        <f t="shared" ca="1" si="222"/>
        <v>-3048076360660935.5</v>
      </c>
      <c r="M6137" s="460">
        <f t="shared" si="224"/>
        <v>0.05</v>
      </c>
      <c r="N6137" s="464">
        <f t="shared" si="225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23"/>
        <v>-3048076360660935.5</v>
      </c>
      <c r="J6138" s="444">
        <f t="array" ref="J6138">IFERROR(INDEX('Retirement Calculator'!J:J,MATCH('Isaac 401k'!N6138,'Retirement Calculator'!A:A,0),0),0)</f>
        <v>0</v>
      </c>
      <c r="K6138" s="444">
        <f t="shared" ca="1" si="221"/>
        <v>-12700318169420.564</v>
      </c>
      <c r="L6138" s="444">
        <f t="shared" ca="1" si="222"/>
        <v>-3060776678830356</v>
      </c>
      <c r="M6138" s="460">
        <f t="shared" si="224"/>
        <v>0.05</v>
      </c>
      <c r="N6138" s="464">
        <f t="shared" si="225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23"/>
        <v>-3060776678830356</v>
      </c>
      <c r="J6139" s="444">
        <f t="array" ref="J6139">IFERROR(INDEX('Retirement Calculator'!J:J,MATCH('Isaac 401k'!N6139,'Retirement Calculator'!A:A,0),0),0)</f>
        <v>0</v>
      </c>
      <c r="K6139" s="444">
        <f t="shared" ca="1" si="221"/>
        <v>-12753236161793.15</v>
      </c>
      <c r="L6139" s="444">
        <f t="shared" ca="1" si="222"/>
        <v>-3073529914992149</v>
      </c>
      <c r="M6139" s="460">
        <f t="shared" si="224"/>
        <v>0.05</v>
      </c>
      <c r="N6139" s="464">
        <f t="shared" si="225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23"/>
        <v>-3073529914992149</v>
      </c>
      <c r="J6140" s="444">
        <f t="array" ref="J6140">IFERROR(INDEX('Retirement Calculator'!J:J,MATCH('Isaac 401k'!N6140,'Retirement Calculator'!A:A,0),0),0)</f>
        <v>0</v>
      </c>
      <c r="K6140" s="444">
        <f t="shared" ca="1" si="221"/>
        <v>-12806374645800.621</v>
      </c>
      <c r="L6140" s="444">
        <f t="shared" ca="1" si="222"/>
        <v>-3086336289637949.5</v>
      </c>
      <c r="M6140" s="460">
        <f t="shared" si="224"/>
        <v>0.05</v>
      </c>
      <c r="N6140" s="464">
        <f t="shared" si="225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23"/>
        <v>-3086336289637949.5</v>
      </c>
      <c r="J6141" s="444">
        <f t="array" ref="J6141">IFERROR(INDEX('Retirement Calculator'!J:J,MATCH('Isaac 401k'!N6141,'Retirement Calculator'!A:A,0),0),0)</f>
        <v>0</v>
      </c>
      <c r="K6141" s="444">
        <f t="shared" ca="1" si="221"/>
        <v>-12859734540158.123</v>
      </c>
      <c r="L6141" s="444">
        <f t="shared" ca="1" si="222"/>
        <v>-3099196024178107.5</v>
      </c>
      <c r="M6141" s="460">
        <f t="shared" si="224"/>
        <v>0.05</v>
      </c>
      <c r="N6141" s="464">
        <f t="shared" si="225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23"/>
        <v>-3099196024178107.5</v>
      </c>
      <c r="J6142" s="444">
        <f t="array" ref="J6142">IFERROR(INDEX('Retirement Calculator'!J:J,MATCH('Isaac 401k'!N6142,'Retirement Calculator'!A:A,0),0),0)</f>
        <v>0</v>
      </c>
      <c r="K6142" s="444">
        <f t="shared" ca="1" si="221"/>
        <v>-12913316767408.781</v>
      </c>
      <c r="L6142" s="444">
        <f t="shared" ca="1" si="222"/>
        <v>-3112109340945516.5</v>
      </c>
      <c r="M6142" s="460">
        <f t="shared" si="224"/>
        <v>0.05</v>
      </c>
      <c r="N6142" s="464">
        <f t="shared" si="225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23"/>
        <v>-3112109340945516.5</v>
      </c>
      <c r="J6143" s="444">
        <f t="array" ref="J6143">IFERROR(INDEX('Retirement Calculator'!J:J,MATCH('Isaac 401k'!N6143,'Retirement Calculator'!A:A,0),0),0)</f>
        <v>0</v>
      </c>
      <c r="K6143" s="444">
        <f t="shared" ca="1" si="221"/>
        <v>-12967122253939.652</v>
      </c>
      <c r="L6143" s="444">
        <f t="shared" ca="1" si="222"/>
        <v>-3125076463199456</v>
      </c>
      <c r="M6143" s="460">
        <f t="shared" si="224"/>
        <v>0.05</v>
      </c>
      <c r="N6143" s="464">
        <f t="shared" si="225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23"/>
        <v>-3125076463199456</v>
      </c>
      <c r="J6144" s="444">
        <f t="array" ref="J6144">IFERROR(INDEX('Retirement Calculator'!J:J,MATCH('Isaac 401k'!N6144,'Retirement Calculator'!A:A,0),0),0)</f>
        <v>0</v>
      </c>
      <c r="K6144" s="444">
        <f t="shared" ca="1" si="221"/>
        <v>-13021151929997.732</v>
      </c>
      <c r="L6144" s="444">
        <f t="shared" ca="1" si="222"/>
        <v>-3138097615129453.5</v>
      </c>
      <c r="M6144" s="460">
        <f t="shared" si="224"/>
        <v>0.05</v>
      </c>
      <c r="N6144" s="464">
        <f t="shared" si="225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23"/>
        <v>-3138097615129453.5</v>
      </c>
      <c r="J6145" s="444">
        <f t="array" ref="J6145">IFERROR(INDEX('Retirement Calculator'!J:J,MATCH('Isaac 401k'!N6145,'Retirement Calculator'!A:A,0),0),0)</f>
        <v>0</v>
      </c>
      <c r="K6145" s="444">
        <f t="shared" ca="1" si="221"/>
        <v>-13075406729706.057</v>
      </c>
      <c r="L6145" s="444">
        <f t="shared" ca="1" si="222"/>
        <v>-3151173021859159.5</v>
      </c>
      <c r="M6145" s="460">
        <f t="shared" si="224"/>
        <v>0.05</v>
      </c>
      <c r="N6145" s="464">
        <f t="shared" si="225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23"/>
        <v>-3151173021859159.5</v>
      </c>
      <c r="J6146" s="444">
        <f t="array" ref="J6146">IFERROR(INDEX('Retirement Calculator'!J:J,MATCH('Isaac 401k'!N6146,'Retirement Calculator'!A:A,0),0),0)</f>
        <v>0</v>
      </c>
      <c r="K6146" s="444">
        <f t="shared" ca="1" si="221"/>
        <v>-13129887591079.832</v>
      </c>
      <c r="L6146" s="444">
        <f t="shared" ca="1" si="222"/>
        <v>-3164302909450239.5</v>
      </c>
      <c r="M6146" s="460">
        <f t="shared" si="224"/>
        <v>0.05</v>
      </c>
      <c r="N6146" s="464">
        <f t="shared" si="225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23"/>
        <v>-3164302909450239.5</v>
      </c>
      <c r="J6147" s="444">
        <f t="array" ref="J6147">IFERROR(INDEX('Retirement Calculator'!J:J,MATCH('Isaac 401k'!N6147,'Retirement Calculator'!A:A,0),0),0)</f>
        <v>0</v>
      </c>
      <c r="K6147" s="444">
        <f t="shared" ca="1" si="221"/>
        <v>-13184595456042.664</v>
      </c>
      <c r="L6147" s="444">
        <f t="shared" ca="1" si="222"/>
        <v>-3177487504906282</v>
      </c>
      <c r="M6147" s="460">
        <f t="shared" si="224"/>
        <v>0.05</v>
      </c>
      <c r="N6147" s="464">
        <f t="shared" si="225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23"/>
        <v>-3177487504906282</v>
      </c>
      <c r="J6148" s="444">
        <f t="array" ref="J6148">IFERROR(INDEX('Retirement Calculator'!J:J,MATCH('Isaac 401k'!N6148,'Retirement Calculator'!A:A,0),0),0)</f>
        <v>0</v>
      </c>
      <c r="K6148" s="444">
        <f t="shared" ca="1" si="221"/>
        <v>-13239531270442.842</v>
      </c>
      <c r="L6148" s="444">
        <f t="shared" ca="1" si="222"/>
        <v>-3190727036176725</v>
      </c>
      <c r="M6148" s="460">
        <f t="shared" si="224"/>
        <v>0.05</v>
      </c>
      <c r="N6148" s="464">
        <f t="shared" si="225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23"/>
        <v>-3190727036176725</v>
      </c>
      <c r="J6149" s="444">
        <f t="array" ref="J6149">IFERROR(INDEX('Retirement Calculator'!J:J,MATCH('Isaac 401k'!N6149,'Retirement Calculator'!A:A,0),0),0)</f>
        <v>0</v>
      </c>
      <c r="K6149" s="444">
        <f t="shared" ca="1" si="221"/>
        <v>-13294695984069.688</v>
      </c>
      <c r="L6149" s="444">
        <f t="shared" ca="1" si="222"/>
        <v>-3204021732160794.5</v>
      </c>
      <c r="M6149" s="460">
        <f t="shared" si="224"/>
        <v>0.05</v>
      </c>
      <c r="N6149" s="464">
        <f t="shared" si="225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23"/>
        <v>-3204021732160794.5</v>
      </c>
      <c r="J6150" s="444">
        <f t="array" ref="J6150">IFERROR(INDEX('Retirement Calculator'!J:J,MATCH('Isaac 401k'!N6150,'Retirement Calculator'!A:A,0),0),0)</f>
        <v>0</v>
      </c>
      <c r="K6150" s="444">
        <f t="shared" ca="1" si="221"/>
        <v>-13350090550669.977</v>
      </c>
      <c r="L6150" s="444">
        <f t="shared" ca="1" si="222"/>
        <v>-3217371822711464.5</v>
      </c>
      <c r="M6150" s="460">
        <f t="shared" si="224"/>
        <v>0.05</v>
      </c>
      <c r="N6150" s="464">
        <f t="shared" si="225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23"/>
        <v>-3217371822711464.5</v>
      </c>
      <c r="J6151" s="444">
        <f t="array" ref="J6151">IFERROR(INDEX('Retirement Calculator'!J:J,MATCH('Isaac 401k'!N6151,'Retirement Calculator'!A:A,0),0),0)</f>
        <v>0</v>
      </c>
      <c r="K6151" s="444">
        <f t="shared" ca="1" si="221"/>
        <v>-13405715927964.436</v>
      </c>
      <c r="L6151" s="444">
        <f t="shared" ca="1" si="222"/>
        <v>-3230777538639429</v>
      </c>
      <c r="M6151" s="460">
        <f t="shared" si="224"/>
        <v>0.05</v>
      </c>
      <c r="N6151" s="464">
        <f t="shared" si="225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23"/>
        <v>-3230777538639429</v>
      </c>
      <c r="J6152" s="444">
        <f t="array" ref="J6152">IFERROR(INDEX('Retirement Calculator'!J:J,MATCH('Isaac 401k'!N6152,'Retirement Calculator'!A:A,0),0),0)</f>
        <v>0</v>
      </c>
      <c r="K6152" s="444">
        <f t="shared" ca="1" si="221"/>
        <v>-13461573077664.287</v>
      </c>
      <c r="L6152" s="444">
        <f t="shared" ca="1" si="222"/>
        <v>-3244239111717093.5</v>
      </c>
      <c r="M6152" s="460">
        <f t="shared" si="224"/>
        <v>0.05</v>
      </c>
      <c r="N6152" s="464">
        <f t="shared" si="225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23"/>
        <v>-3244239111717093.5</v>
      </c>
      <c r="J6153" s="444">
        <f t="array" ref="J6153">IFERROR(INDEX('Retirement Calculator'!J:J,MATCH('Isaac 401k'!N6153,'Retirement Calculator'!A:A,0),0),0)</f>
        <v>0</v>
      </c>
      <c r="K6153" s="444">
        <f t="shared" ca="1" si="221"/>
        <v>-13517662965487.889</v>
      </c>
      <c r="L6153" s="444">
        <f t="shared" ca="1" si="222"/>
        <v>-3257756774682581.5</v>
      </c>
      <c r="M6153" s="460">
        <f t="shared" si="224"/>
        <v>0.05</v>
      </c>
      <c r="N6153" s="464">
        <f t="shared" si="225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23"/>
        <v>-3257756774682581.5</v>
      </c>
      <c r="J6154" s="444">
        <f t="array" ref="J6154">IFERROR(INDEX('Retirement Calculator'!J:J,MATCH('Isaac 401k'!N6154,'Retirement Calculator'!A:A,0),0),0)</f>
        <v>0</v>
      </c>
      <c r="K6154" s="444">
        <f t="shared" ca="1" si="221"/>
        <v>-13573986561177.422</v>
      </c>
      <c r="L6154" s="444">
        <f t="shared" ca="1" si="222"/>
        <v>-3271330761243759</v>
      </c>
      <c r="M6154" s="460">
        <f t="shared" si="224"/>
        <v>0.05</v>
      </c>
      <c r="N6154" s="464">
        <f t="shared" si="225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23"/>
        <v>-3271330761243759</v>
      </c>
      <c r="J6155" s="444">
        <f t="array" ref="J6155">IFERROR(INDEX('Retirement Calculator'!J:J,MATCH('Isaac 401k'!N6155,'Retirement Calculator'!A:A,0),0),0)</f>
        <v>0</v>
      </c>
      <c r="K6155" s="444">
        <f t="shared" ca="1" si="221"/>
        <v>-13630544838515.662</v>
      </c>
      <c r="L6155" s="444">
        <f t="shared" ca="1" si="222"/>
        <v>-3284961306082274.5</v>
      </c>
      <c r="M6155" s="460">
        <f t="shared" si="224"/>
        <v>0.05</v>
      </c>
      <c r="N6155" s="464">
        <f t="shared" si="225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23"/>
        <v>-3284961306082274.5</v>
      </c>
      <c r="J6156" s="444">
        <f t="array" ref="J6156">IFERROR(INDEX('Retirement Calculator'!J:J,MATCH('Isaac 401k'!N6156,'Retirement Calculator'!A:A,0),0),0)</f>
        <v>0</v>
      </c>
      <c r="K6156" s="444">
        <f t="shared" ca="1" si="221"/>
        <v>-13687338775342.811</v>
      </c>
      <c r="L6156" s="444">
        <f t="shared" ca="1" si="222"/>
        <v>-3298648644857617.5</v>
      </c>
      <c r="M6156" s="460">
        <f t="shared" si="224"/>
        <v>0.05</v>
      </c>
      <c r="N6156" s="464">
        <f t="shared" si="225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23"/>
        <v>-3298648644857617.5</v>
      </c>
      <c r="J6157" s="444">
        <f t="array" ref="J6157">IFERROR(INDEX('Retirement Calculator'!J:J,MATCH('Isaac 401k'!N6157,'Retirement Calculator'!A:A,0),0),0)</f>
        <v>0</v>
      </c>
      <c r="K6157" s="444">
        <f t="shared" ca="1" si="221"/>
        <v>-13744369353573.406</v>
      </c>
      <c r="L6157" s="444">
        <f t="shared" ca="1" si="222"/>
        <v>-3312393014211191</v>
      </c>
      <c r="M6157" s="460">
        <f t="shared" si="224"/>
        <v>0.05</v>
      </c>
      <c r="N6157" s="464">
        <f t="shared" si="225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23"/>
        <v>-3312393014211191</v>
      </c>
      <c r="J6158" s="444">
        <f t="array" ref="J6158">IFERROR(INDEX('Retirement Calculator'!J:J,MATCH('Isaac 401k'!N6158,'Retirement Calculator'!A:A,0),0),0)</f>
        <v>0</v>
      </c>
      <c r="K6158" s="444">
        <f t="shared" ca="1" si="221"/>
        <v>-13801637559213.295</v>
      </c>
      <c r="L6158" s="444">
        <f t="shared" ca="1" si="222"/>
        <v>-3326194651770404.5</v>
      </c>
      <c r="M6158" s="460">
        <f t="shared" si="224"/>
        <v>0.05</v>
      </c>
      <c r="N6158" s="464">
        <f t="shared" si="225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23"/>
        <v>-3326194651770404.5</v>
      </c>
      <c r="J6159" s="444">
        <f t="array" ref="J6159">IFERROR(INDEX('Retirement Calculator'!J:J,MATCH('Isaac 401k'!N6159,'Retirement Calculator'!A:A,0),0),0)</f>
        <v>0</v>
      </c>
      <c r="K6159" s="444">
        <f t="shared" ca="1" si="221"/>
        <v>-13859144382376.686</v>
      </c>
      <c r="L6159" s="444">
        <f t="shared" ca="1" si="222"/>
        <v>-3340053796152781</v>
      </c>
      <c r="M6159" s="460">
        <f t="shared" si="224"/>
        <v>0.05</v>
      </c>
      <c r="N6159" s="464">
        <f t="shared" si="225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23"/>
        <v>-3340053796152781</v>
      </c>
      <c r="J6160" s="444">
        <f t="array" ref="J6160">IFERROR(INDEX('Retirement Calculator'!J:J,MATCH('Isaac 401k'!N6160,'Retirement Calculator'!A:A,0),0),0)</f>
        <v>0</v>
      </c>
      <c r="K6160" s="444">
        <f t="shared" ca="1" si="221"/>
        <v>-13916890817303.254</v>
      </c>
      <c r="L6160" s="444">
        <f t="shared" ca="1" si="222"/>
        <v>-3353970686970084.5</v>
      </c>
      <c r="M6160" s="460">
        <f t="shared" si="224"/>
        <v>0.05</v>
      </c>
      <c r="N6160" s="464">
        <f t="shared" si="225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23"/>
        <v>-3353970686970084.5</v>
      </c>
      <c r="J6161" s="444">
        <f t="array" ref="J6161">IFERROR(INDEX('Retirement Calculator'!J:J,MATCH('Isaac 401k'!N6161,'Retirement Calculator'!A:A,0),0),0)</f>
        <v>0</v>
      </c>
      <c r="K6161" s="444">
        <f t="shared" ca="1" si="221"/>
        <v>-13974877862375.352</v>
      </c>
      <c r="L6161" s="444">
        <f t="shared" ca="1" si="222"/>
        <v>-3367945564832460</v>
      </c>
      <c r="M6161" s="460">
        <f t="shared" si="224"/>
        <v>0.05</v>
      </c>
      <c r="N6161" s="464">
        <f t="shared" si="225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23"/>
        <v>-3367945564832460</v>
      </c>
      <c r="J6162" s="444">
        <f t="array" ref="J6162">IFERROR(INDEX('Retirement Calculator'!J:J,MATCH('Isaac 401k'!N6162,'Retirement Calculator'!A:A,0),0),0)</f>
        <v>0</v>
      </c>
      <c r="K6162" s="444">
        <f t="shared" ca="1" si="221"/>
        <v>-14033106520135.25</v>
      </c>
      <c r="L6162" s="444">
        <f t="shared" ca="1" si="222"/>
        <v>-3381978671352595</v>
      </c>
      <c r="M6162" s="460">
        <f t="shared" si="224"/>
        <v>0.05</v>
      </c>
      <c r="N6162" s="464">
        <f t="shared" si="225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23"/>
        <v>-3381978671352595</v>
      </c>
      <c r="J6163" s="444">
        <f t="array" ref="J6163">IFERROR(INDEX('Retirement Calculator'!J:J,MATCH('Isaac 401k'!N6163,'Retirement Calculator'!A:A,0),0),0)</f>
        <v>0</v>
      </c>
      <c r="K6163" s="444">
        <f t="shared" ca="1" si="221"/>
        <v>-14091577797302.479</v>
      </c>
      <c r="L6163" s="444">
        <f t="shared" ca="1" si="222"/>
        <v>-3396070249149897.5</v>
      </c>
      <c r="M6163" s="460">
        <f t="shared" si="224"/>
        <v>0.05</v>
      </c>
      <c r="N6163" s="464">
        <f t="shared" si="225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23"/>
        <v>-3396070249149897.5</v>
      </c>
      <c r="J6164" s="444">
        <f t="array" ref="J6164">IFERROR(INDEX('Retirement Calculator'!J:J,MATCH('Isaac 401k'!N6164,'Retirement Calculator'!A:A,0),0),0)</f>
        <v>0</v>
      </c>
      <c r="K6164" s="444">
        <f t="shared" ca="1" si="221"/>
        <v>-14150292704791.24</v>
      </c>
      <c r="L6164" s="444">
        <f t="shared" ca="1" si="222"/>
        <v>-3410220541854688.5</v>
      </c>
      <c r="M6164" s="460">
        <f t="shared" si="224"/>
        <v>0.05</v>
      </c>
      <c r="N6164" s="464">
        <f t="shared" si="225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23"/>
        <v>-3410220541854688.5</v>
      </c>
      <c r="J6165" s="444">
        <f t="array" ref="J6165">IFERROR(INDEX('Retirement Calculator'!J:J,MATCH('Isaac 401k'!N6165,'Retirement Calculator'!A:A,0),0),0)</f>
        <v>0</v>
      </c>
      <c r="K6165" s="444">
        <f t="shared" ca="1" si="221"/>
        <v>-14209252257727.869</v>
      </c>
      <c r="L6165" s="444">
        <f t="shared" ca="1" si="222"/>
        <v>-3424429794112416.5</v>
      </c>
      <c r="M6165" s="460">
        <f t="shared" si="224"/>
        <v>0.05</v>
      </c>
      <c r="N6165" s="464">
        <f t="shared" si="225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23"/>
        <v>-3424429794112416.5</v>
      </c>
      <c r="J6166" s="444">
        <f t="array" ref="J6166">IFERROR(INDEX('Retirement Calculator'!J:J,MATCH('Isaac 401k'!N6166,'Retirement Calculator'!A:A,0),0),0)</f>
        <v>0</v>
      </c>
      <c r="K6166" s="444">
        <f t="shared" ca="1" si="221"/>
        <v>-14268457475468.402</v>
      </c>
      <c r="L6166" s="444">
        <f t="shared" ca="1" si="222"/>
        <v>-3438698251587885</v>
      </c>
      <c r="M6166" s="460">
        <f t="shared" si="224"/>
        <v>0.05</v>
      </c>
      <c r="N6166" s="464">
        <f t="shared" si="225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23"/>
        <v>-3438698251587885</v>
      </c>
      <c r="J6167" s="444">
        <f t="array" ref="J6167">IFERROR(INDEX('Retirement Calculator'!J:J,MATCH('Isaac 401k'!N6167,'Retirement Calculator'!A:A,0),0),0)</f>
        <v>0</v>
      </c>
      <c r="K6167" s="444">
        <f t="shared" ca="1" si="221"/>
        <v>-14327909381616.188</v>
      </c>
      <c r="L6167" s="444">
        <f t="shared" ca="1" si="222"/>
        <v>-3453026160969501</v>
      </c>
      <c r="M6167" s="460">
        <f t="shared" si="224"/>
        <v>0.05</v>
      </c>
      <c r="N6167" s="464">
        <f t="shared" si="225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23"/>
        <v>-3453026160969501</v>
      </c>
      <c r="J6168" s="444">
        <f t="array" ref="J6168">IFERROR(INDEX('Retirement Calculator'!J:J,MATCH('Isaac 401k'!N6168,'Retirement Calculator'!A:A,0),0),0)</f>
        <v>0</v>
      </c>
      <c r="K6168" s="444">
        <f t="shared" ca="1" si="221"/>
        <v>-14387609004039.588</v>
      </c>
      <c r="L6168" s="444">
        <f t="shared" ca="1" si="222"/>
        <v>-3467413769973540.5</v>
      </c>
      <c r="M6168" s="460">
        <f t="shared" si="224"/>
        <v>0.05</v>
      </c>
      <c r="N6168" s="464">
        <f t="shared" si="225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23"/>
        <v>-3467413769973540.5</v>
      </c>
      <c r="J6169" s="444">
        <f t="array" ref="J6169">IFERROR(INDEX('Retirement Calculator'!J:J,MATCH('Isaac 401k'!N6169,'Retirement Calculator'!A:A,0),0),0)</f>
        <v>0</v>
      </c>
      <c r="K6169" s="444">
        <f t="shared" ca="1" si="221"/>
        <v>-14447557374889.752</v>
      </c>
      <c r="L6169" s="444">
        <f t="shared" ca="1" si="222"/>
        <v>-3481861327348430.5</v>
      </c>
      <c r="M6169" s="460">
        <f t="shared" si="224"/>
        <v>0.05</v>
      </c>
      <c r="N6169" s="464">
        <f t="shared" si="225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23"/>
        <v>-3481861327348430.5</v>
      </c>
      <c r="J6170" s="444">
        <f t="array" ref="J6170">IFERROR(INDEX('Retirement Calculator'!J:J,MATCH('Isaac 401k'!N6170,'Retirement Calculator'!A:A,0),0),0)</f>
        <v>0</v>
      </c>
      <c r="K6170" s="444">
        <f t="shared" ca="1" si="221"/>
        <v>-14507755530618.461</v>
      </c>
      <c r="L6170" s="444">
        <f t="shared" ca="1" si="222"/>
        <v>-3496369082879049</v>
      </c>
      <c r="M6170" s="460">
        <f t="shared" si="224"/>
        <v>0.05</v>
      </c>
      <c r="N6170" s="464">
        <f t="shared" si="225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23"/>
        <v>-3496369082879049</v>
      </c>
      <c r="J6171" s="444">
        <f t="array" ref="J6171">IFERROR(INDEX('Retirement Calculator'!J:J,MATCH('Isaac 401k'!N6171,'Retirement Calculator'!A:A,0),0),0)</f>
        <v>0</v>
      </c>
      <c r="K6171" s="444">
        <f t="shared" ca="1" si="221"/>
        <v>-14568204511996.037</v>
      </c>
      <c r="L6171" s="444">
        <f t="shared" ca="1" si="222"/>
        <v>-3510937287391045</v>
      </c>
      <c r="M6171" s="460">
        <f t="shared" si="224"/>
        <v>0.05</v>
      </c>
      <c r="N6171" s="464">
        <f t="shared" si="225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23"/>
        <v>-3510937287391045</v>
      </c>
      <c r="J6172" s="444">
        <f t="array" ref="J6172">IFERROR(INDEX('Retirement Calculator'!J:J,MATCH('Isaac 401k'!N6172,'Retirement Calculator'!A:A,0),0),0)</f>
        <v>0</v>
      </c>
      <c r="K6172" s="444">
        <f t="shared" ca="1" si="221"/>
        <v>-14628905364129.354</v>
      </c>
      <c r="L6172" s="444">
        <f t="shared" ca="1" si="222"/>
        <v>-3525566192755174.5</v>
      </c>
      <c r="M6172" s="460">
        <f t="shared" si="224"/>
        <v>0.05</v>
      </c>
      <c r="N6172" s="464">
        <f t="shared" si="225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23"/>
        <v>-3525566192755174.5</v>
      </c>
      <c r="J6173" s="444">
        <f t="array" ref="J6173">IFERROR(INDEX('Retirement Calculator'!J:J,MATCH('Isaac 401k'!N6173,'Retirement Calculator'!A:A,0),0),0)</f>
        <v>0</v>
      </c>
      <c r="K6173" s="444">
        <f t="shared" ca="1" si="221"/>
        <v>-14689859136479.893</v>
      </c>
      <c r="L6173" s="444">
        <f t="shared" ca="1" si="222"/>
        <v>-3540256051891654.5</v>
      </c>
      <c r="M6173" s="460">
        <f t="shared" si="224"/>
        <v>0.05</v>
      </c>
      <c r="N6173" s="464">
        <f t="shared" si="225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23"/>
        <v>-3540256051891654.5</v>
      </c>
      <c r="J6174" s="444">
        <f t="array" ref="J6174">IFERROR(INDEX('Retirement Calculator'!J:J,MATCH('Isaac 401k'!N6174,'Retirement Calculator'!A:A,0),0),0)</f>
        <v>0</v>
      </c>
      <c r="K6174" s="444">
        <f t="shared" ca="1" si="221"/>
        <v>-14751066882881.893</v>
      </c>
      <c r="L6174" s="444">
        <f t="shared" ca="1" si="222"/>
        <v>-3555007118774536.5</v>
      </c>
      <c r="M6174" s="460">
        <f t="shared" si="224"/>
        <v>0.05</v>
      </c>
      <c r="N6174" s="464">
        <f t="shared" si="225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23"/>
        <v>-3555007118774536.5</v>
      </c>
      <c r="J6175" s="444">
        <f t="array" ref="J6175">IFERROR(INDEX('Retirement Calculator'!J:J,MATCH('Isaac 401k'!N6175,'Retirement Calculator'!A:A,0),0),0)</f>
        <v>0</v>
      </c>
      <c r="K6175" s="444">
        <f t="shared" ca="1" si="221"/>
        <v>-14812529661560.568</v>
      </c>
      <c r="L6175" s="444">
        <f t="shared" ca="1" si="222"/>
        <v>-3569819648436097</v>
      </c>
      <c r="M6175" s="460">
        <f t="shared" si="224"/>
        <v>0.05</v>
      </c>
      <c r="N6175" s="464">
        <f t="shared" si="225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23"/>
        <v>-3569819648436097</v>
      </c>
      <c r="J6176" s="444">
        <f t="array" ref="J6176">IFERROR(INDEX('Retirement Calculator'!J:J,MATCH('Isaac 401k'!N6176,'Retirement Calculator'!A:A,0),0),0)</f>
        <v>0</v>
      </c>
      <c r="K6176" s="444">
        <f t="shared" ca="1" si="221"/>
        <v>-14874248535150.406</v>
      </c>
      <c r="L6176" s="444">
        <f t="shared" ca="1" si="222"/>
        <v>-3584693896971247.5</v>
      </c>
      <c r="M6176" s="460">
        <f t="shared" si="224"/>
        <v>0.05</v>
      </c>
      <c r="N6176" s="464">
        <f t="shared" si="225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23"/>
        <v>-3584693896971247.5</v>
      </c>
      <c r="J6177" s="444">
        <f t="array" ref="J6177">IFERROR(INDEX('Retirement Calculator'!J:J,MATCH('Isaac 401k'!N6177,'Retirement Calculator'!A:A,0),0),0)</f>
        <v>0</v>
      </c>
      <c r="K6177" s="444">
        <f t="shared" ca="1" si="221"/>
        <v>-14936224570713.531</v>
      </c>
      <c r="L6177" s="444">
        <f t="shared" ca="1" si="222"/>
        <v>-3599630121541961</v>
      </c>
      <c r="M6177" s="460">
        <f t="shared" si="224"/>
        <v>0.05</v>
      </c>
      <c r="N6177" s="464">
        <f t="shared" si="225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23"/>
        <v>-3599630121541961</v>
      </c>
      <c r="J6178" s="444">
        <f t="array" ref="J6178">IFERROR(INDEX('Retirement Calculator'!J:J,MATCH('Isaac 401k'!N6178,'Retirement Calculator'!A:A,0),0),0)</f>
        <v>0</v>
      </c>
      <c r="K6178" s="444">
        <f t="shared" ca="1" si="221"/>
        <v>-14998458839758.17</v>
      </c>
      <c r="L6178" s="444">
        <f t="shared" ca="1" si="222"/>
        <v>-3614628580381719</v>
      </c>
      <c r="M6178" s="460">
        <f t="shared" si="224"/>
        <v>0.05</v>
      </c>
      <c r="N6178" s="464">
        <f t="shared" si="225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23"/>
        <v>-3614628580381719</v>
      </c>
      <c r="J6179" s="444">
        <f t="array" ref="J6179">IFERROR(INDEX('Retirement Calculator'!J:J,MATCH('Isaac 401k'!N6179,'Retirement Calculator'!A:A,0),0),0)</f>
        <v>0</v>
      </c>
      <c r="K6179" s="444">
        <f t="shared" ca="1" si="221"/>
        <v>-15060952418257.162</v>
      </c>
      <c r="L6179" s="444">
        <f t="shared" ca="1" si="222"/>
        <v>-3629689532799976</v>
      </c>
      <c r="M6179" s="460">
        <f t="shared" si="224"/>
        <v>0.05</v>
      </c>
      <c r="N6179" s="464">
        <f t="shared" si="225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23"/>
        <v>-3629689532799976</v>
      </c>
      <c r="J6180" s="444">
        <f t="array" ref="J6180">IFERROR(INDEX('Retirement Calculator'!J:J,MATCH('Isaac 401k'!N6180,'Retirement Calculator'!A:A,0),0),0)</f>
        <v>0</v>
      </c>
      <c r="K6180" s="444">
        <f t="shared" ca="1" si="221"/>
        <v>-15123706386666.568</v>
      </c>
      <c r="L6180" s="444">
        <f t="shared" ca="1" si="222"/>
        <v>-3644813239186642.5</v>
      </c>
      <c r="M6180" s="460">
        <f t="shared" si="224"/>
        <v>0.05</v>
      </c>
      <c r="N6180" s="464">
        <f t="shared" si="225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23"/>
        <v>-3644813239186642.5</v>
      </c>
      <c r="J6181" s="444">
        <f t="array" ref="J6181">IFERROR(INDEX('Retirement Calculator'!J:J,MATCH('Isaac 401k'!N6181,'Retirement Calculator'!A:A,0),0),0)</f>
        <v>0</v>
      </c>
      <c r="K6181" s="444">
        <f t="shared" ca="1" si="221"/>
        <v>-15186721829944.344</v>
      </c>
      <c r="L6181" s="444">
        <f t="shared" ca="1" si="222"/>
        <v>-3659999961016587</v>
      </c>
      <c r="M6181" s="460">
        <f t="shared" si="224"/>
        <v>0.05</v>
      </c>
      <c r="N6181" s="464">
        <f t="shared" si="225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23"/>
        <v>-3659999961016587</v>
      </c>
      <c r="J6182" s="444">
        <f t="array" ref="J6182">IFERROR(INDEX('Retirement Calculator'!J:J,MATCH('Isaac 401k'!N6182,'Retirement Calculator'!A:A,0),0),0)</f>
        <v>0</v>
      </c>
      <c r="K6182" s="444">
        <f t="shared" ca="1" si="221"/>
        <v>-15249999837569.111</v>
      </c>
      <c r="L6182" s="444">
        <f t="shared" ca="1" si="222"/>
        <v>-3675249960854156</v>
      </c>
      <c r="M6182" s="460">
        <f t="shared" si="224"/>
        <v>0.05</v>
      </c>
      <c r="N6182" s="464">
        <f t="shared" si="225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23"/>
        <v>-3675249960854156</v>
      </c>
      <c r="J6183" s="444">
        <f t="array" ref="J6183">IFERROR(INDEX('Retirement Calculator'!J:J,MATCH('Isaac 401k'!N6183,'Retirement Calculator'!A:A,0),0),0)</f>
        <v>0</v>
      </c>
      <c r="K6183" s="444">
        <f t="shared" ca="1" si="221"/>
        <v>-15313541503558.98</v>
      </c>
      <c r="L6183" s="444">
        <f t="shared" ca="1" si="222"/>
        <v>-3690563502357715</v>
      </c>
      <c r="M6183" s="460">
        <f t="shared" si="224"/>
        <v>0.05</v>
      </c>
      <c r="N6183" s="464">
        <f t="shared" si="225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23"/>
        <v>-3690563502357715</v>
      </c>
      <c r="J6184" s="444">
        <f t="array" ref="J6184">IFERROR(INDEX('Retirement Calculator'!J:J,MATCH('Isaac 401k'!N6184,'Retirement Calculator'!A:A,0),0),0)</f>
        <v>0</v>
      </c>
      <c r="K6184" s="444">
        <f t="shared" ca="1" si="221"/>
        <v>-15377347926490.479</v>
      </c>
      <c r="L6184" s="444">
        <f t="shared" ca="1" si="222"/>
        <v>-3705940850284205.5</v>
      </c>
      <c r="M6184" s="460">
        <f t="shared" si="224"/>
        <v>0.05</v>
      </c>
      <c r="N6184" s="464">
        <f t="shared" si="225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23"/>
        <v>-3705940850284205.5</v>
      </c>
      <c r="J6185" s="444">
        <f t="array" ref="J6185">IFERROR(INDEX('Retirement Calculator'!J:J,MATCH('Isaac 401k'!N6185,'Retirement Calculator'!A:A,0),0),0)</f>
        <v>0</v>
      </c>
      <c r="K6185" s="444">
        <f t="shared" ca="1" si="221"/>
        <v>-15441420209517.525</v>
      </c>
      <c r="L6185" s="444">
        <f t="shared" ca="1" si="222"/>
        <v>-3721382270493723</v>
      </c>
      <c r="M6185" s="460">
        <f t="shared" si="224"/>
        <v>0.05</v>
      </c>
      <c r="N6185" s="464">
        <f t="shared" si="225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23"/>
        <v>-3721382270493723</v>
      </c>
      <c r="J6186" s="444">
        <f t="array" ref="J6186">IFERROR(INDEX('Retirement Calculator'!J:J,MATCH('Isaac 401k'!N6186,'Retirement Calculator'!A:A,0),0),0)</f>
        <v>0</v>
      </c>
      <c r="K6186" s="444">
        <f t="shared" ca="1" si="221"/>
        <v>-15505759460390.512</v>
      </c>
      <c r="L6186" s="444">
        <f t="shared" ca="1" si="222"/>
        <v>-3736888029954113.5</v>
      </c>
      <c r="M6186" s="460">
        <f t="shared" si="224"/>
        <v>0.05</v>
      </c>
      <c r="N6186" s="464">
        <f t="shared" si="225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23"/>
        <v>-3736888029954113.5</v>
      </c>
      <c r="J6187" s="444">
        <f t="array" ref="J6187">IFERROR(INDEX('Retirement Calculator'!J:J,MATCH('Isaac 401k'!N6187,'Retirement Calculator'!A:A,0),0),0)</f>
        <v>0</v>
      </c>
      <c r="K6187" s="444">
        <f t="shared" ca="1" si="221"/>
        <v>-15570366791475.473</v>
      </c>
      <c r="L6187" s="444">
        <f t="shared" ca="1" si="222"/>
        <v>-3752458396745589</v>
      </c>
      <c r="M6187" s="460">
        <f t="shared" si="224"/>
        <v>0.05</v>
      </c>
      <c r="N6187" s="464">
        <f t="shared" si="225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23"/>
        <v>-3752458396745589</v>
      </c>
      <c r="J6188" s="444">
        <f t="array" ref="J6188">IFERROR(INDEX('Retirement Calculator'!J:J,MATCH('Isaac 401k'!N6188,'Retirement Calculator'!A:A,0),0),0)</f>
        <v>0</v>
      </c>
      <c r="K6188" s="444">
        <f t="shared" ca="1" si="221"/>
        <v>-15635243319773.289</v>
      </c>
      <c r="L6188" s="444">
        <f t="shared" ca="1" si="222"/>
        <v>-3768093640065362.5</v>
      </c>
      <c r="M6188" s="460">
        <f t="shared" si="224"/>
        <v>0.05</v>
      </c>
      <c r="N6188" s="464">
        <f t="shared" si="225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23"/>
        <v>-3768093640065362.5</v>
      </c>
      <c r="J6189" s="444">
        <f t="array" ref="J6189">IFERROR(INDEX('Retirement Calculator'!J:J,MATCH('Isaac 401k'!N6189,'Retirement Calculator'!A:A,0),0),0)</f>
        <v>0</v>
      </c>
      <c r="K6189" s="444">
        <f t="shared" ca="1" si="221"/>
        <v>-15700390166939.01</v>
      </c>
      <c r="L6189" s="444">
        <f t="shared" ca="1" si="222"/>
        <v>-3783794030232301.5</v>
      </c>
      <c r="M6189" s="460">
        <f t="shared" si="224"/>
        <v>0.05</v>
      </c>
      <c r="N6189" s="464">
        <f t="shared" si="225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23"/>
        <v>-3783794030232301.5</v>
      </c>
      <c r="J6190" s="444">
        <f t="array" ref="J6190">IFERROR(INDEX('Retirement Calculator'!J:J,MATCH('Isaac 401k'!N6190,'Retirement Calculator'!A:A,0),0),0)</f>
        <v>0</v>
      </c>
      <c r="K6190" s="444">
        <f t="shared" ca="1" si="221"/>
        <v>-15765808459301.256</v>
      </c>
      <c r="L6190" s="444">
        <f t="shared" ca="1" si="222"/>
        <v>-3799559838691603</v>
      </c>
      <c r="M6190" s="460">
        <f t="shared" si="224"/>
        <v>0.05</v>
      </c>
      <c r="N6190" s="464">
        <f t="shared" si="225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23"/>
        <v>-3799559838691603</v>
      </c>
      <c r="J6191" s="444">
        <f t="array" ref="J6191">IFERROR(INDEX('Retirement Calculator'!J:J,MATCH('Isaac 401k'!N6191,'Retirement Calculator'!A:A,0),0),0)</f>
        <v>0</v>
      </c>
      <c r="K6191" s="444">
        <f t="shared" ca="1" si="221"/>
        <v>-15831499327881.682</v>
      </c>
      <c r="L6191" s="444">
        <f t="shared" ca="1" si="222"/>
        <v>-3815391338019484.5</v>
      </c>
      <c r="M6191" s="460">
        <f t="shared" si="224"/>
        <v>0.05</v>
      </c>
      <c r="N6191" s="464">
        <f t="shared" si="225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23"/>
        <v>-3815391338019484.5</v>
      </c>
      <c r="J6192" s="444">
        <f t="array" ref="J6192">IFERROR(INDEX('Retirement Calculator'!J:J,MATCH('Isaac 401k'!N6192,'Retirement Calculator'!A:A,0),0),0)</f>
        <v>0</v>
      </c>
      <c r="K6192" s="444">
        <f t="shared" ca="1" si="221"/>
        <v>-15897463908414.518</v>
      </c>
      <c r="L6192" s="444">
        <f t="shared" ca="1" si="222"/>
        <v>-3831288801927899</v>
      </c>
      <c r="M6192" s="460">
        <f t="shared" si="224"/>
        <v>0.05</v>
      </c>
      <c r="N6192" s="464">
        <f t="shared" si="225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23"/>
        <v>-3831288801927899</v>
      </c>
      <c r="J6193" s="444">
        <f t="array" ref="J6193">IFERROR(INDEX('Retirement Calculator'!J:J,MATCH('Isaac 401k'!N6193,'Retirement Calculator'!A:A,0),0),0)</f>
        <v>0</v>
      </c>
      <c r="K6193" s="444">
        <f t="shared" ca="1" si="221"/>
        <v>-15963703341366.246</v>
      </c>
      <c r="L6193" s="444">
        <f t="shared" ca="1" si="222"/>
        <v>-3847252505269265</v>
      </c>
      <c r="M6193" s="460">
        <f t="shared" si="224"/>
        <v>0.05</v>
      </c>
      <c r="N6193" s="464">
        <f t="shared" si="225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23"/>
        <v>-3847252505269265</v>
      </c>
      <c r="J6194" s="444">
        <f t="array" ref="J6194">IFERROR(INDEX('Retirement Calculator'!J:J,MATCH('Isaac 401k'!N6194,'Retirement Calculator'!A:A,0),0),0)</f>
        <v>0</v>
      </c>
      <c r="K6194" s="444">
        <f t="shared" ca="1" si="221"/>
        <v>-16030218771955.271</v>
      </c>
      <c r="L6194" s="444">
        <f t="shared" ca="1" si="222"/>
        <v>-3863282724041220.5</v>
      </c>
      <c r="M6194" s="460">
        <f t="shared" si="224"/>
        <v>0.05</v>
      </c>
      <c r="N6194" s="464">
        <f t="shared" si="225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23"/>
        <v>-3863282724041220.5</v>
      </c>
      <c r="J6195" s="444">
        <f t="array" ref="J6195">IFERROR(INDEX('Retirement Calculator'!J:J,MATCH('Isaac 401k'!N6195,'Retirement Calculator'!A:A,0),0),0)</f>
        <v>0</v>
      </c>
      <c r="K6195" s="444">
        <f t="shared" ca="1" si="221"/>
        <v>-16097011350171.752</v>
      </c>
      <c r="L6195" s="444">
        <f t="shared" ca="1" si="222"/>
        <v>-3879379735391392.5</v>
      </c>
      <c r="M6195" s="460">
        <f t="shared" si="224"/>
        <v>0.05</v>
      </c>
      <c r="N6195" s="464">
        <f t="shared" si="225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23"/>
        <v>-3879379735391392.5</v>
      </c>
      <c r="J6196" s="444">
        <f t="array" ref="J6196">IFERROR(INDEX('Retirement Calculator'!J:J,MATCH('Isaac 401k'!N6196,'Retirement Calculator'!A:A,0),0),0)</f>
        <v>0</v>
      </c>
      <c r="K6196" s="444">
        <f t="shared" ca="1" si="221"/>
        <v>-16164082230797.469</v>
      </c>
      <c r="L6196" s="444">
        <f t="shared" ca="1" si="222"/>
        <v>-3895543817622190</v>
      </c>
      <c r="M6196" s="460">
        <f t="shared" si="224"/>
        <v>0.05</v>
      </c>
      <c r="N6196" s="464">
        <f t="shared" si="225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23"/>
        <v>-3895543817622190</v>
      </c>
      <c r="J6197" s="444">
        <f t="array" ref="J6197">IFERROR(INDEX('Retirement Calculator'!J:J,MATCH('Isaac 401k'!N6197,'Retirement Calculator'!A:A,0),0),0)</f>
        <v>0</v>
      </c>
      <c r="K6197" s="444">
        <f t="shared" ca="1" si="221"/>
        <v>-16231432573425.791</v>
      </c>
      <c r="L6197" s="444">
        <f t="shared" ca="1" si="222"/>
        <v>-3911775250195616</v>
      </c>
      <c r="M6197" s="460">
        <f t="shared" si="224"/>
        <v>0.05</v>
      </c>
      <c r="N6197" s="464">
        <f t="shared" si="225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23"/>
        <v>-3911775250195616</v>
      </c>
      <c r="J6198" s="444">
        <f t="array" ref="J6198">IFERROR(INDEX('Retirement Calculator'!J:J,MATCH('Isaac 401k'!N6198,'Retirement Calculator'!A:A,0),0),0)</f>
        <v>0</v>
      </c>
      <c r="K6198" s="444">
        <f t="shared" ca="1" si="221"/>
        <v>-16299063542481.732</v>
      </c>
      <c r="L6198" s="444">
        <f t="shared" ca="1" si="222"/>
        <v>-3928074313738097.5</v>
      </c>
      <c r="M6198" s="460">
        <f t="shared" si="224"/>
        <v>0.05</v>
      </c>
      <c r="N6198" s="464">
        <f t="shared" si="225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23"/>
        <v>-3928074313738097.5</v>
      </c>
      <c r="J6199" s="444">
        <f t="array" ref="J6199">IFERROR(INDEX('Retirement Calculator'!J:J,MATCH('Isaac 401k'!N6199,'Retirement Calculator'!A:A,0),0),0)</f>
        <v>0</v>
      </c>
      <c r="K6199" s="444">
        <f t="shared" ca="1" si="221"/>
        <v>-16366976307242.07</v>
      </c>
      <c r="L6199" s="444">
        <f t="shared" ca="1" si="222"/>
        <v>-3944441290045339.5</v>
      </c>
      <c r="M6199" s="460">
        <f t="shared" si="224"/>
        <v>0.05</v>
      </c>
      <c r="N6199" s="464">
        <f t="shared" si="225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23"/>
        <v>-3944441290045339.5</v>
      </c>
      <c r="J6200" s="444">
        <f t="array" ref="J6200">IFERROR(INDEX('Retirement Calculator'!J:J,MATCH('Isaac 401k'!N6200,'Retirement Calculator'!A:A,0),0),0)</f>
        <v>0</v>
      </c>
      <c r="K6200" s="444">
        <f t="shared" ca="1" si="221"/>
        <v>-16435172041855.58</v>
      </c>
      <c r="L6200" s="444">
        <f t="shared" ca="1" si="222"/>
        <v>-3960876462087195</v>
      </c>
      <c r="M6200" s="460">
        <f t="shared" si="224"/>
        <v>0.05</v>
      </c>
      <c r="N6200" s="464">
        <f t="shared" si="225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23"/>
        <v>-3960876462087195</v>
      </c>
      <c r="J6201" s="444">
        <f t="array" ref="J6201">IFERROR(INDEX('Retirement Calculator'!J:J,MATCH('Isaac 401k'!N6201,'Retirement Calculator'!A:A,0),0),0)</f>
        <v>0</v>
      </c>
      <c r="K6201" s="444">
        <f t="shared" ca="1" si="221"/>
        <v>-16503651925363.313</v>
      </c>
      <c r="L6201" s="444">
        <f t="shared" ca="1" si="222"/>
        <v>-3977380114012558.5</v>
      </c>
      <c r="M6201" s="460">
        <f t="shared" si="224"/>
        <v>0.05</v>
      </c>
      <c r="N6201" s="464">
        <f t="shared" si="225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23"/>
        <v>-3977380114012558.5</v>
      </c>
      <c r="J6202" s="444">
        <f t="array" ref="J6202">IFERROR(INDEX('Retirement Calculator'!J:J,MATCH('Isaac 401k'!N6202,'Retirement Calculator'!A:A,0),0),0)</f>
        <v>0</v>
      </c>
      <c r="K6202" s="444">
        <f t="shared" ca="1" si="221"/>
        <v>-16572417141718.994</v>
      </c>
      <c r="L6202" s="444">
        <f t="shared" ca="1" si="222"/>
        <v>-3993952531154277.5</v>
      </c>
      <c r="M6202" s="460">
        <f t="shared" si="224"/>
        <v>0.05</v>
      </c>
      <c r="N6202" s="464">
        <f t="shared" si="225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23"/>
        <v>-3993952531154277.5</v>
      </c>
      <c r="J6203" s="444">
        <f t="array" ref="J6203">IFERROR(INDEX('Retirement Calculator'!J:J,MATCH('Isaac 401k'!N6203,'Retirement Calculator'!A:A,0),0),0)</f>
        <v>0</v>
      </c>
      <c r="K6203" s="444">
        <f t="shared" ca="1" si="221"/>
        <v>-16641468879809.49</v>
      </c>
      <c r="L6203" s="444">
        <f t="shared" ca="1" si="222"/>
        <v>-4010594000034087</v>
      </c>
      <c r="M6203" s="460">
        <f t="shared" si="224"/>
        <v>0.05</v>
      </c>
      <c r="N6203" s="464">
        <f t="shared" si="225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23"/>
        <v>-4010594000034087</v>
      </c>
      <c r="J6204" s="444">
        <f t="array" ref="J6204">IFERROR(INDEX('Retirement Calculator'!J:J,MATCH('Isaac 401k'!N6204,'Retirement Calculator'!A:A,0),0),0)</f>
        <v>0</v>
      </c>
      <c r="K6204" s="444">
        <f t="shared" ca="1" si="221"/>
        <v>-16710808333475.365</v>
      </c>
      <c r="L6204" s="444">
        <f t="shared" ca="1" si="222"/>
        <v>-4027304808367562.5</v>
      </c>
      <c r="M6204" s="460">
        <f t="shared" si="224"/>
        <v>0.05</v>
      </c>
      <c r="N6204" s="464">
        <f t="shared" si="225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23"/>
        <v>-4027304808367562.5</v>
      </c>
      <c r="J6205" s="444">
        <f t="array" ref="J6205">IFERROR(INDEX('Retirement Calculator'!J:J,MATCH('Isaac 401k'!N6205,'Retirement Calculator'!A:A,0),0),0)</f>
        <v>0</v>
      </c>
      <c r="K6205" s="444">
        <f t="shared" ca="1" si="221"/>
        <v>-16780436701531.51</v>
      </c>
      <c r="L6205" s="444">
        <f t="shared" ca="1" si="222"/>
        <v>-4044085245069094</v>
      </c>
      <c r="M6205" s="460">
        <f t="shared" si="224"/>
        <v>0.05</v>
      </c>
      <c r="N6205" s="464">
        <f t="shared" si="225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23"/>
        <v>-4044085245069094</v>
      </c>
      <c r="J6206" s="444">
        <f t="array" ref="J6206">IFERROR(INDEX('Retirement Calculator'!J:J,MATCH('Isaac 401k'!N6206,'Retirement Calculator'!A:A,0),0),0)</f>
        <v>0</v>
      </c>
      <c r="K6206" s="444">
        <f t="shared" ca="1" si="221"/>
        <v>-16850355187787.889</v>
      </c>
      <c r="L6206" s="444">
        <f t="shared" ca="1" si="222"/>
        <v>-4060935600256882</v>
      </c>
      <c r="M6206" s="460">
        <f t="shared" si="224"/>
        <v>0.05</v>
      </c>
      <c r="N6206" s="464">
        <f t="shared" si="225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23"/>
        <v>-4060935600256882</v>
      </c>
      <c r="J6207" s="444">
        <f t="array" ref="J6207">IFERROR(INDEX('Retirement Calculator'!J:J,MATCH('Isaac 401k'!N6207,'Retirement Calculator'!A:A,0),0),0)</f>
        <v>0</v>
      </c>
      <c r="K6207" s="444">
        <f t="shared" ca="1" si="221"/>
        <v>-16920565001070.342</v>
      </c>
      <c r="L6207" s="444">
        <f t="shared" ca="1" si="222"/>
        <v>-4077856165257952.5</v>
      </c>
      <c r="M6207" s="460">
        <f t="shared" si="224"/>
        <v>0.05</v>
      </c>
      <c r="N6207" s="464">
        <f t="shared" si="225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23"/>
        <v>-4077856165257952.5</v>
      </c>
      <c r="J6208" s="444">
        <f t="array" ref="J6208">IFERROR(INDEX('Retirement Calculator'!J:J,MATCH('Isaac 401k'!N6208,'Retirement Calculator'!A:A,0),0),0)</f>
        <v>0</v>
      </c>
      <c r="K6208" s="444">
        <f t="shared" ca="1" si="221"/>
        <v>-16991067355241.471</v>
      </c>
      <c r="L6208" s="444">
        <f t="shared" ca="1" si="222"/>
        <v>-4094847232613194</v>
      </c>
      <c r="M6208" s="460">
        <f t="shared" si="224"/>
        <v>0.05</v>
      </c>
      <c r="N6208" s="464">
        <f t="shared" si="225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23"/>
        <v>-4094847232613194</v>
      </c>
      <c r="J6209" s="444">
        <f t="array" ref="J6209">IFERROR(INDEX('Retirement Calculator'!J:J,MATCH('Isaac 401k'!N6209,'Retirement Calculator'!A:A,0),0),0)</f>
        <v>0</v>
      </c>
      <c r="K6209" s="444">
        <f t="shared" ca="1" si="221"/>
        <v>-17061863469221.639</v>
      </c>
      <c r="L6209" s="444">
        <f t="shared" ca="1" si="222"/>
        <v>-4111909096082415.5</v>
      </c>
      <c r="M6209" s="460">
        <f t="shared" si="224"/>
        <v>0.05</v>
      </c>
      <c r="N6209" s="464">
        <f t="shared" si="225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23"/>
        <v>-4111909096082415.5</v>
      </c>
      <c r="J6210" s="444">
        <f t="array" ref="J6210">IFERROR(INDEX('Retirement Calculator'!J:J,MATCH('Isaac 401k'!N6210,'Retirement Calculator'!A:A,0),0),0)</f>
        <v>0</v>
      </c>
      <c r="K6210" s="444">
        <f t="shared" ca="1" si="221"/>
        <v>-17132954567010.064</v>
      </c>
      <c r="L6210" s="444">
        <f t="shared" ca="1" si="222"/>
        <v>-4129042050649425.5</v>
      </c>
      <c r="M6210" s="460">
        <f t="shared" si="224"/>
        <v>0.05</v>
      </c>
      <c r="N6210" s="464">
        <f t="shared" si="225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23"/>
        <v>-4129042050649425.5</v>
      </c>
      <c r="J6211" s="444">
        <f t="array" ref="J6211">IFERROR(INDEX('Retirement Calculator'!J:J,MATCH('Isaac 401k'!N6211,'Retirement Calculator'!A:A,0),0),0)</f>
        <v>0</v>
      </c>
      <c r="K6211" s="444">
        <f t="shared" ca="1" si="221"/>
        <v>-17204341877705.939</v>
      </c>
      <c r="L6211" s="444">
        <f t="shared" ca="1" si="222"/>
        <v>-4146246392527131.5</v>
      </c>
      <c r="M6211" s="460">
        <f t="shared" si="224"/>
        <v>0.05</v>
      </c>
      <c r="N6211" s="464">
        <f t="shared" si="225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23"/>
        <v>-4146246392527131.5</v>
      </c>
      <c r="J6212" s="444">
        <f t="array" ref="J6212">IFERROR(INDEX('Retirement Calculator'!J:J,MATCH('Isaac 401k'!N6212,'Retirement Calculator'!A:A,0),0),0)</f>
        <v>0</v>
      </c>
      <c r="K6212" s="444">
        <f t="shared" ca="1" si="221"/>
        <v>-17276026635529.715</v>
      </c>
      <c r="L6212" s="444">
        <f t="shared" ca="1" si="222"/>
        <v>-4163522419162661</v>
      </c>
      <c r="M6212" s="460">
        <f t="shared" si="224"/>
        <v>0.05</v>
      </c>
      <c r="N6212" s="464">
        <f t="shared" si="225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23"/>
        <v>-4163522419162661</v>
      </c>
      <c r="J6213" s="444">
        <f t="array" ref="J6213">IFERROR(INDEX('Retirement Calculator'!J:J,MATCH('Isaac 401k'!N6213,'Retirement Calculator'!A:A,0),0),0)</f>
        <v>0</v>
      </c>
      <c r="K6213" s="444">
        <f t="shared" ca="1" si="221"/>
        <v>-17348010079844.422</v>
      </c>
      <c r="L6213" s="444">
        <f t="shared" ca="1" si="222"/>
        <v>-4180870429242505.5</v>
      </c>
      <c r="M6213" s="460">
        <f t="shared" si="224"/>
        <v>0.05</v>
      </c>
      <c r="N6213" s="464">
        <f t="shared" si="225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23"/>
        <v>-4180870429242505.5</v>
      </c>
      <c r="J6214" s="444">
        <f t="array" ref="J6214">IFERROR(INDEX('Retirement Calculator'!J:J,MATCH('Isaac 401k'!N6214,'Retirement Calculator'!A:A,0),0),0)</f>
        <v>0</v>
      </c>
      <c r="K6214" s="444">
        <f t="shared" ca="1" si="221"/>
        <v>-17420293455177.105</v>
      </c>
      <c r="L6214" s="444">
        <f t="shared" ca="1" si="222"/>
        <v>-4198290722697682.5</v>
      </c>
      <c r="M6214" s="460">
        <f t="shared" si="224"/>
        <v>0.05</v>
      </c>
      <c r="N6214" s="464">
        <f t="shared" si="225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23"/>
        <v>-4198290722697682.5</v>
      </c>
      <c r="J6215" s="444">
        <f t="array" ref="J6215">IFERROR(INDEX('Retirement Calculator'!J:J,MATCH('Isaac 401k'!N6215,'Retirement Calculator'!A:A,0),0),0)</f>
        <v>0</v>
      </c>
      <c r="K6215" s="444">
        <f t="shared" ca="1" si="221"/>
        <v>-17492878011240.342</v>
      </c>
      <c r="L6215" s="444">
        <f t="shared" ca="1" si="222"/>
        <v>-4215783600708923</v>
      </c>
      <c r="M6215" s="460">
        <f t="shared" si="224"/>
        <v>0.05</v>
      </c>
      <c r="N6215" s="464">
        <f t="shared" si="225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23"/>
        <v>-4215783600708923</v>
      </c>
      <c r="J6216" s="444">
        <f t="array" ref="J6216">IFERROR(INDEX('Retirement Calculator'!J:J,MATCH('Isaac 401k'!N6216,'Retirement Calculator'!A:A,0),0),0)</f>
        <v>0</v>
      </c>
      <c r="K6216" s="444">
        <f t="shared" ca="1" si="221"/>
        <v>-17565765002953.848</v>
      </c>
      <c r="L6216" s="444">
        <f t="shared" ca="1" si="222"/>
        <v>-4233349365711877</v>
      </c>
      <c r="M6216" s="460">
        <f t="shared" si="224"/>
        <v>0.05</v>
      </c>
      <c r="N6216" s="464">
        <f t="shared" si="225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23"/>
        <v>-4233349365711877</v>
      </c>
      <c r="J6217" s="444">
        <f t="array" ref="J6217">IFERROR(INDEX('Retirement Calculator'!J:J,MATCH('Isaac 401k'!N6217,'Retirement Calculator'!A:A,0),0),0)</f>
        <v>0</v>
      </c>
      <c r="K6217" s="444">
        <f t="shared" ca="1" si="221"/>
        <v>-17638955690466.152</v>
      </c>
      <c r="L6217" s="444">
        <f t="shared" ca="1" si="222"/>
        <v>-4250988321402343</v>
      </c>
      <c r="M6217" s="460">
        <f t="shared" si="224"/>
        <v>0.05</v>
      </c>
      <c r="N6217" s="464">
        <f t="shared" si="225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23"/>
        <v>-4250988321402343</v>
      </c>
      <c r="J6218" s="444">
        <f t="array" ref="J6218">IFERROR(INDEX('Retirement Calculator'!J:J,MATCH('Isaac 401k'!N6218,'Retirement Calculator'!A:A,0),0),0)</f>
        <v>0</v>
      </c>
      <c r="K6218" s="444">
        <f t="shared" ca="1" si="221"/>
        <v>-17712451339176.43</v>
      </c>
      <c r="L6218" s="444">
        <f t="shared" ca="1" si="222"/>
        <v>-4268700772741519.5</v>
      </c>
      <c r="M6218" s="460">
        <f t="shared" si="224"/>
        <v>0.05</v>
      </c>
      <c r="N6218" s="464">
        <f t="shared" si="225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23"/>
        <v>-4268700772741519.5</v>
      </c>
      <c r="J6219" s="444">
        <f t="array" ref="J6219">IFERROR(INDEX('Retirement Calculator'!J:J,MATCH('Isaac 401k'!N6219,'Retirement Calculator'!A:A,0),0),0)</f>
        <v>0</v>
      </c>
      <c r="K6219" s="444">
        <f t="shared" ca="1" si="221"/>
        <v>-17786253219756.332</v>
      </c>
      <c r="L6219" s="444">
        <f t="shared" ca="1" si="222"/>
        <v>-4286487025961276</v>
      </c>
      <c r="M6219" s="460">
        <f t="shared" si="224"/>
        <v>0.05</v>
      </c>
      <c r="N6219" s="464">
        <f t="shared" si="225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23"/>
        <v>-4286487025961276</v>
      </c>
      <c r="J6220" s="444">
        <f t="array" ref="J6220">IFERROR(INDEX('Retirement Calculator'!J:J,MATCH('Isaac 401k'!N6220,'Retirement Calculator'!A:A,0),0),0)</f>
        <v>0</v>
      </c>
      <c r="K6220" s="444">
        <f t="shared" ca="1" si="221"/>
        <v>-17860362608171.98</v>
      </c>
      <c r="L6220" s="444">
        <f t="shared" ca="1" si="222"/>
        <v>-4304347388569448</v>
      </c>
      <c r="M6220" s="460">
        <f t="shared" si="224"/>
        <v>0.05</v>
      </c>
      <c r="N6220" s="464">
        <f t="shared" si="225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23"/>
        <v>-4304347388569448</v>
      </c>
      <c r="J6221" s="444">
        <f t="array" ref="J6221">IFERROR(INDEX('Retirement Calculator'!J:J,MATCH('Isaac 401k'!N6221,'Retirement Calculator'!A:A,0),0),0)</f>
        <v>0</v>
      </c>
      <c r="K6221" s="444">
        <f t="shared" ca="1" si="221"/>
        <v>-17934780785706.031</v>
      </c>
      <c r="L6221" s="444">
        <f t="shared" ca="1" si="222"/>
        <v>-4322282169355154</v>
      </c>
      <c r="M6221" s="460">
        <f t="shared" si="224"/>
        <v>0.05</v>
      </c>
      <c r="N6221" s="464">
        <f t="shared" si="225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23"/>
        <v>-4322282169355154</v>
      </c>
      <c r="J6222" s="444">
        <f t="array" ref="J6222">IFERROR(INDEX('Retirement Calculator'!J:J,MATCH('Isaac 401k'!N6222,'Retirement Calculator'!A:A,0),0),0)</f>
        <v>0</v>
      </c>
      <c r="K6222" s="444">
        <f t="shared" ca="1" si="221"/>
        <v>-18009509038979.809</v>
      </c>
      <c r="L6222" s="444">
        <f t="shared" ca="1" si="222"/>
        <v>-4340291678394134</v>
      </c>
      <c r="M6222" s="460">
        <f t="shared" si="224"/>
        <v>0.05</v>
      </c>
      <c r="N6222" s="464">
        <f t="shared" si="225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23"/>
        <v>-4340291678394134</v>
      </c>
      <c r="J6223" s="444">
        <f t="array" ref="J6223">IFERROR(INDEX('Retirement Calculator'!J:J,MATCH('Isaac 401k'!N6223,'Retirement Calculator'!A:A,0),0),0)</f>
        <v>0</v>
      </c>
      <c r="K6223" s="444">
        <f t="shared" ca="1" si="221"/>
        <v>-18084548659975.559</v>
      </c>
      <c r="L6223" s="444">
        <f t="shared" ca="1" si="222"/>
        <v>-4358376227054109.5</v>
      </c>
      <c r="M6223" s="460">
        <f t="shared" si="224"/>
        <v>0.05</v>
      </c>
      <c r="N6223" s="464">
        <f t="shared" si="225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23"/>
        <v>-4358376227054109.5</v>
      </c>
      <c r="J6224" s="444">
        <f t="array" ref="J6224">IFERROR(INDEX('Retirement Calculator'!J:J,MATCH('Isaac 401k'!N6224,'Retirement Calculator'!A:A,0),0),0)</f>
        <v>0</v>
      </c>
      <c r="K6224" s="444">
        <f t="shared" ca="1" si="221"/>
        <v>-18159900946058.789</v>
      </c>
      <c r="L6224" s="444">
        <f t="shared" ca="1" si="222"/>
        <v>-4376536128000168.5</v>
      </c>
      <c r="M6224" s="460">
        <f t="shared" si="224"/>
        <v>0.05</v>
      </c>
      <c r="N6224" s="464">
        <f t="shared" si="225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23"/>
        <v>-4376536128000168.5</v>
      </c>
      <c r="J6225" s="444">
        <f t="array" ref="J6225">IFERROR(INDEX('Retirement Calculator'!J:J,MATCH('Isaac 401k'!N6225,'Retirement Calculator'!A:A,0),0),0)</f>
        <v>0</v>
      </c>
      <c r="K6225" s="444">
        <f t="shared" ca="1" si="221"/>
        <v>-18235567200000.703</v>
      </c>
      <c r="L6225" s="444">
        <f t="shared" ca="1" si="222"/>
        <v>-4394771695200169</v>
      </c>
      <c r="M6225" s="460">
        <f t="shared" si="224"/>
        <v>0.05</v>
      </c>
      <c r="N6225" s="464">
        <f t="shared" si="225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23"/>
        <v>-4394771695200169</v>
      </c>
      <c r="J6226" s="444">
        <f t="array" ref="J6226">IFERROR(INDEX('Retirement Calculator'!J:J,MATCH('Isaac 401k'!N6226,'Retirement Calculator'!A:A,0),0),0)</f>
        <v>0</v>
      </c>
      <c r="K6226" s="444">
        <f t="shared" ca="1" si="221"/>
        <v>-18311548730000.703</v>
      </c>
      <c r="L6226" s="444">
        <f t="shared" ca="1" si="222"/>
        <v>-4413083243930169.5</v>
      </c>
      <c r="M6226" s="460">
        <f t="shared" si="224"/>
        <v>0.05</v>
      </c>
      <c r="N6226" s="464">
        <f t="shared" si="225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23"/>
        <v>-4413083243930169.5</v>
      </c>
      <c r="J6227" s="444">
        <f t="array" ref="J6227">IFERROR(INDEX('Retirement Calculator'!J:J,MATCH('Isaac 401k'!N6227,'Retirement Calculator'!A:A,0),0),0)</f>
        <v>0</v>
      </c>
      <c r="K6227" s="444">
        <f t="shared" ca="1" si="221"/>
        <v>-18387846849709.039</v>
      </c>
      <c r="L6227" s="444">
        <f t="shared" ca="1" si="222"/>
        <v>-4431471090779878.5</v>
      </c>
      <c r="M6227" s="460">
        <f t="shared" si="224"/>
        <v>0.05</v>
      </c>
      <c r="N6227" s="464">
        <f t="shared" si="225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23"/>
        <v>-4431471090779878.5</v>
      </c>
      <c r="J6228" s="444">
        <f t="array" ref="J6228">IFERROR(INDEX('Retirement Calculator'!J:J,MATCH('Isaac 401k'!N6228,'Retirement Calculator'!A:A,0),0),0)</f>
        <v>0</v>
      </c>
      <c r="K6228" s="444">
        <f t="shared" ca="1" si="221"/>
        <v>-18464462878249.492</v>
      </c>
      <c r="L6228" s="444">
        <f t="shared" ca="1" si="222"/>
        <v>-4449935553658128</v>
      </c>
      <c r="M6228" s="460">
        <f t="shared" si="224"/>
        <v>0.05</v>
      </c>
      <c r="N6228" s="464">
        <f t="shared" si="225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23"/>
        <v>-4449935553658128</v>
      </c>
      <c r="J6229" s="444">
        <f t="array" ref="J6229">IFERROR(INDEX('Retirement Calculator'!J:J,MATCH('Isaac 401k'!N6229,'Retirement Calculator'!A:A,0),0),0)</f>
        <v>0</v>
      </c>
      <c r="K6229" s="444">
        <f t="shared" ca="1" si="221"/>
        <v>-18541398140242.199</v>
      </c>
      <c r="L6229" s="444">
        <f t="shared" ca="1" si="222"/>
        <v>-4468476951798370</v>
      </c>
      <c r="M6229" s="460">
        <f t="shared" si="224"/>
        <v>0.05</v>
      </c>
      <c r="N6229" s="464">
        <f t="shared" si="225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23"/>
        <v>-4468476951798370</v>
      </c>
      <c r="J6230" s="444">
        <f t="array" ref="J6230">IFERROR(INDEX('Retirement Calculator'!J:J,MATCH('Isaac 401k'!N6230,'Retirement Calculator'!A:A,0),0),0)</f>
        <v>0</v>
      </c>
      <c r="K6230" s="444">
        <f t="shared" ca="1" si="221"/>
        <v>-18618653965826.543</v>
      </c>
      <c r="L6230" s="444">
        <f t="shared" ca="1" si="222"/>
        <v>-4487095605764196.5</v>
      </c>
      <c r="M6230" s="460">
        <f t="shared" si="224"/>
        <v>0.05</v>
      </c>
      <c r="N6230" s="464">
        <f t="shared" si="225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23"/>
        <v>-4487095605764196.5</v>
      </c>
      <c r="J6231" s="444">
        <f t="array" ref="J6231">IFERROR(INDEX('Retirement Calculator'!J:J,MATCH('Isaac 401k'!N6231,'Retirement Calculator'!A:A,0),0),0)</f>
        <v>0</v>
      </c>
      <c r="K6231" s="444">
        <f t="shared" ca="1" si="221"/>
        <v>-18696231690684.152</v>
      </c>
      <c r="L6231" s="444">
        <f t="shared" ca="1" si="222"/>
        <v>-4505791837454881</v>
      </c>
      <c r="M6231" s="460">
        <f t="shared" si="224"/>
        <v>0.05</v>
      </c>
      <c r="N6231" s="464">
        <f t="shared" si="225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23"/>
        <v>-4505791837454881</v>
      </c>
      <c r="J6232" s="444">
        <f t="array" ref="J6232">IFERROR(INDEX('Retirement Calculator'!J:J,MATCH('Isaac 401k'!N6232,'Retirement Calculator'!A:A,0),0),0)</f>
        <v>0</v>
      </c>
      <c r="K6232" s="444">
        <f t="shared" ca="1" si="221"/>
        <v>-18774132656062.004</v>
      </c>
      <c r="L6232" s="444">
        <f t="shared" ca="1" si="222"/>
        <v>-4524565970110943</v>
      </c>
      <c r="M6232" s="460">
        <f t="shared" si="224"/>
        <v>0.05</v>
      </c>
      <c r="N6232" s="464">
        <f t="shared" si="225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23"/>
        <v>-4524565970110943</v>
      </c>
      <c r="J6233" s="444">
        <f t="array" ref="J6233">IFERROR(INDEX('Retirement Calculator'!J:J,MATCH('Isaac 401k'!N6233,'Retirement Calculator'!A:A,0),0),0)</f>
        <v>0</v>
      </c>
      <c r="K6233" s="444">
        <f t="shared" ca="1" si="221"/>
        <v>-18852358208795.594</v>
      </c>
      <c r="L6233" s="444">
        <f t="shared" ca="1" si="222"/>
        <v>-4543418328319739</v>
      </c>
      <c r="M6233" s="460">
        <f t="shared" si="224"/>
        <v>0.05</v>
      </c>
      <c r="N6233" s="464">
        <f t="shared" si="225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23"/>
        <v>-4543418328319739</v>
      </c>
      <c r="J6234" s="444">
        <f t="array" ref="J6234">IFERROR(INDEX('Retirement Calculator'!J:J,MATCH('Isaac 401k'!N6234,'Retirement Calculator'!A:A,0),0),0)</f>
        <v>0</v>
      </c>
      <c r="K6234" s="444">
        <f t="shared" ca="1" si="221"/>
        <v>-18930909701332.246</v>
      </c>
      <c r="L6234" s="444">
        <f t="shared" ca="1" si="222"/>
        <v>-4562349238021071</v>
      </c>
      <c r="M6234" s="460">
        <f t="shared" si="224"/>
        <v>0.05</v>
      </c>
      <c r="N6234" s="464">
        <f t="shared" si="225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23"/>
        <v>-4562349238021071</v>
      </c>
      <c r="J6235" s="444">
        <f t="array" ref="J6235">IFERROR(INDEX('Retirement Calculator'!J:J,MATCH('Isaac 401k'!N6235,'Retirement Calculator'!A:A,0),0),0)</f>
        <v>0</v>
      </c>
      <c r="K6235" s="444">
        <f t="shared" ca="1" si="221"/>
        <v>-19009788491754.461</v>
      </c>
      <c r="L6235" s="444">
        <f t="shared" ca="1" si="222"/>
        <v>-4581359026512825</v>
      </c>
      <c r="M6235" s="460">
        <f t="shared" si="224"/>
        <v>0.05</v>
      </c>
      <c r="N6235" s="464">
        <f t="shared" si="225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23"/>
        <v>-4581359026512825</v>
      </c>
      <c r="J6236" s="444">
        <f t="array" ref="J6236">IFERROR(INDEX('Retirement Calculator'!J:J,MATCH('Isaac 401k'!N6236,'Retirement Calculator'!A:A,0),0),0)</f>
        <v>0</v>
      </c>
      <c r="K6236" s="444">
        <f t="shared" ca="1" si="221"/>
        <v>-19088995943803.438</v>
      </c>
      <c r="L6236" s="444">
        <f t="shared" ca="1" si="222"/>
        <v>-4600448022456628</v>
      </c>
      <c r="M6236" s="460">
        <f t="shared" si="224"/>
        <v>0.05</v>
      </c>
      <c r="N6236" s="464">
        <f t="shared" si="225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23"/>
        <v>-4600448022456628</v>
      </c>
      <c r="J6237" s="444">
        <f t="array" ref="J6237">IFERROR(INDEX('Retirement Calculator'!J:J,MATCH('Isaac 401k'!N6237,'Retirement Calculator'!A:A,0),0),0)</f>
        <v>0</v>
      </c>
      <c r="K6237" s="444">
        <f t="shared" ca="1" si="221"/>
        <v>-19168533426902.617</v>
      </c>
      <c r="L6237" s="444">
        <f t="shared" ca="1" si="222"/>
        <v>-4619616555883531</v>
      </c>
      <c r="M6237" s="460">
        <f t="shared" si="224"/>
        <v>0.05</v>
      </c>
      <c r="N6237" s="464">
        <f t="shared" si="225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23"/>
        <v>-4619616555883531</v>
      </c>
      <c r="J6238" s="444">
        <f t="array" ref="J6238">IFERROR(INDEX('Retirement Calculator'!J:J,MATCH('Isaac 401k'!N6238,'Retirement Calculator'!A:A,0),0),0)</f>
        <v>0</v>
      </c>
      <c r="K6238" s="444">
        <f t="shared" ca="1" si="221"/>
        <v>-19248402316181.379</v>
      </c>
      <c r="L6238" s="444">
        <f t="shared" ca="1" si="222"/>
        <v>-4638864958199712</v>
      </c>
      <c r="M6238" s="460">
        <f t="shared" si="224"/>
        <v>0.05</v>
      </c>
      <c r="N6238" s="464">
        <f t="shared" si="225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23"/>
        <v>-4638864958199712</v>
      </c>
      <c r="J6239" s="444">
        <f t="array" ref="J6239">IFERROR(INDEX('Retirement Calculator'!J:J,MATCH('Isaac 401k'!N6239,'Retirement Calculator'!A:A,0),0),0)</f>
        <v>0</v>
      </c>
      <c r="K6239" s="444">
        <f t="shared" ca="1" si="221"/>
        <v>-19328603992498.801</v>
      </c>
      <c r="L6239" s="444">
        <f t="shared" ca="1" si="222"/>
        <v>-4658193562192211</v>
      </c>
      <c r="M6239" s="460">
        <f t="shared" si="224"/>
        <v>0.05</v>
      </c>
      <c r="N6239" s="464">
        <f t="shared" si="225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23"/>
        <v>-4658193562192211</v>
      </c>
      <c r="J6240" s="444">
        <f t="array" ref="J6240">IFERROR(INDEX('Retirement Calculator'!J:J,MATCH('Isaac 401k'!N6240,'Retirement Calculator'!A:A,0),0),0)</f>
        <v>0</v>
      </c>
      <c r="K6240" s="444">
        <f t="shared" ca="1" si="221"/>
        <v>-19409139842467.547</v>
      </c>
      <c r="L6240" s="444">
        <f t="shared" ca="1" si="222"/>
        <v>-4677602702034679</v>
      </c>
      <c r="M6240" s="460">
        <f t="shared" si="224"/>
        <v>0.05</v>
      </c>
      <c r="N6240" s="464">
        <f t="shared" si="225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23"/>
        <v>-4677602702034679</v>
      </c>
      <c r="J6241" s="444">
        <f t="array" ref="J6241">IFERROR(INDEX('Retirement Calculator'!J:J,MATCH('Isaac 401k'!N6241,'Retirement Calculator'!A:A,0),0),0)</f>
        <v>0</v>
      </c>
      <c r="K6241" s="444">
        <f t="shared" ca="1" si="221"/>
        <v>-19490011258477.828</v>
      </c>
      <c r="L6241" s="444">
        <f t="shared" ca="1" si="222"/>
        <v>-4697092713293157</v>
      </c>
      <c r="M6241" s="460">
        <f t="shared" si="224"/>
        <v>0.05</v>
      </c>
      <c r="N6241" s="464">
        <f t="shared" si="225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23"/>
        <v>-4697092713293157</v>
      </c>
      <c r="J6242" s="444">
        <f t="array" ref="J6242">IFERROR(INDEX('Retirement Calculator'!J:J,MATCH('Isaac 401k'!N6242,'Retirement Calculator'!A:A,0),0),0)</f>
        <v>0</v>
      </c>
      <c r="K6242" s="444">
        <f t="shared" ca="1" si="221"/>
        <v>-19571219638721.488</v>
      </c>
      <c r="L6242" s="444">
        <f t="shared" ca="1" si="222"/>
        <v>-4716663932931878</v>
      </c>
      <c r="M6242" s="460">
        <f t="shared" si="224"/>
        <v>0.05</v>
      </c>
      <c r="N6242" s="464">
        <f t="shared" si="225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23"/>
        <v>-4716663932931878</v>
      </c>
      <c r="J6243" s="444">
        <f t="array" ref="J6243">IFERROR(INDEX('Retirement Calculator'!J:J,MATCH('Isaac 401k'!N6243,'Retirement Calculator'!A:A,0),0),0)</f>
        <v>0</v>
      </c>
      <c r="K6243" s="444">
        <f t="shared" ca="1" si="221"/>
        <v>-19652766387216.156</v>
      </c>
      <c r="L6243" s="444">
        <f t="shared" ca="1" si="222"/>
        <v>-4736316699319094</v>
      </c>
      <c r="M6243" s="460">
        <f t="shared" si="224"/>
        <v>0.05</v>
      </c>
      <c r="N6243" s="464">
        <f t="shared" si="225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23"/>
        <v>-4736316699319094</v>
      </c>
      <c r="J6244" s="444">
        <f t="array" ref="J6244">IFERROR(INDEX('Retirement Calculator'!J:J,MATCH('Isaac 401k'!N6244,'Retirement Calculator'!A:A,0),0),0)</f>
        <v>0</v>
      </c>
      <c r="K6244" s="444">
        <f t="shared" ca="1" si="221"/>
        <v>-19734652913829.559</v>
      </c>
      <c r="L6244" s="444">
        <f t="shared" ca="1" si="222"/>
        <v>-4756051352232924</v>
      </c>
      <c r="M6244" s="460">
        <f t="shared" si="224"/>
        <v>0.05</v>
      </c>
      <c r="N6244" s="464">
        <f t="shared" si="225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23"/>
        <v>-4756051352232924</v>
      </c>
      <c r="J6245" s="444">
        <f t="array" ref="J6245">IFERROR(INDEX('Retirement Calculator'!J:J,MATCH('Isaac 401k'!N6245,'Retirement Calculator'!A:A,0),0),0)</f>
        <v>0</v>
      </c>
      <c r="K6245" s="444">
        <f t="shared" ca="1" si="221"/>
        <v>-19816880634303.852</v>
      </c>
      <c r="L6245" s="444">
        <f t="shared" ca="1" si="222"/>
        <v>-4775868232867228</v>
      </c>
      <c r="M6245" s="460">
        <f t="shared" si="224"/>
        <v>0.05</v>
      </c>
      <c r="N6245" s="464">
        <f t="shared" si="225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23"/>
        <v>-4775868232867228</v>
      </c>
      <c r="J6246" s="444">
        <f t="array" ref="J6246">IFERROR(INDEX('Retirement Calculator'!J:J,MATCH('Isaac 401k'!N6246,'Retirement Calculator'!A:A,0),0),0)</f>
        <v>0</v>
      </c>
      <c r="K6246" s="444">
        <f t="shared" ca="1" si="221"/>
        <v>-19899450970280.117</v>
      </c>
      <c r="L6246" s="444">
        <f t="shared" ca="1" si="222"/>
        <v>-4795767683837508</v>
      </c>
      <c r="M6246" s="460">
        <f t="shared" si="224"/>
        <v>0.05</v>
      </c>
      <c r="N6246" s="464">
        <f t="shared" si="225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23"/>
        <v>-4795767683837508</v>
      </c>
      <c r="J6247" s="444">
        <f t="array" ref="J6247">IFERROR(INDEX('Retirement Calculator'!J:J,MATCH('Isaac 401k'!N6247,'Retirement Calculator'!A:A,0),0),0)</f>
        <v>0</v>
      </c>
      <c r="K6247" s="444">
        <f t="shared" ca="1" si="221"/>
        <v>-19982365349322.949</v>
      </c>
      <c r="L6247" s="444">
        <f t="shared" ca="1" si="222"/>
        <v>-4815750049186831</v>
      </c>
      <c r="M6247" s="460">
        <f t="shared" si="224"/>
        <v>0.05</v>
      </c>
      <c r="N6247" s="464">
        <f t="shared" si="225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23"/>
        <v>-4815750049186831</v>
      </c>
      <c r="J6248" s="444">
        <f t="array" ref="J6248">IFERROR(INDEX('Retirement Calculator'!J:J,MATCH('Isaac 401k'!N6248,'Retirement Calculator'!A:A,0),0),0)</f>
        <v>0</v>
      </c>
      <c r="K6248" s="444">
        <f t="shared" ca="1" si="221"/>
        <v>-20065625204945.129</v>
      </c>
      <c r="L6248" s="444">
        <f t="shared" ca="1" si="222"/>
        <v>-4835815674391776</v>
      </c>
      <c r="M6248" s="460">
        <f t="shared" si="224"/>
        <v>0.05</v>
      </c>
      <c r="N6248" s="464">
        <f t="shared" si="225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23"/>
        <v>-4835815674391776</v>
      </c>
      <c r="J6249" s="444">
        <f t="array" ref="J6249">IFERROR(INDEX('Retirement Calculator'!J:J,MATCH('Isaac 401k'!N6249,'Retirement Calculator'!A:A,0),0),0)</f>
        <v>0</v>
      </c>
      <c r="K6249" s="444">
        <f t="shared" ca="1" si="221"/>
        <v>-20149231976632.398</v>
      </c>
      <c r="L6249" s="444">
        <f t="shared" ca="1" si="222"/>
        <v>-4855964906368408</v>
      </c>
      <c r="M6249" s="460">
        <f t="shared" si="224"/>
        <v>0.05</v>
      </c>
      <c r="N6249" s="464">
        <f t="shared" si="225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23"/>
        <v>-4855964906368408</v>
      </c>
      <c r="J6250" s="444">
        <f t="array" ref="J6250">IFERROR(INDEX('Retirement Calculator'!J:J,MATCH('Isaac 401k'!N6250,'Retirement Calculator'!A:A,0),0),0)</f>
        <v>0</v>
      </c>
      <c r="K6250" s="444">
        <f t="shared" ca="1" si="221"/>
        <v>-20233187109868.367</v>
      </c>
      <c r="L6250" s="444">
        <f t="shared" ca="1" si="222"/>
        <v>-4876198093478276</v>
      </c>
      <c r="M6250" s="460">
        <f t="shared" si="224"/>
        <v>0.05</v>
      </c>
      <c r="N6250" s="464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59" t="s">
        <v>657</v>
      </c>
      <c r="B1" s="444">
        <f ca="1">'Combined Retirement'!I8+'Combined Retirement'!K8</f>
        <v>3373563.445590293</v>
      </c>
      <c r="C1" s="446"/>
      <c r="D1" s="446"/>
      <c r="E1" s="446"/>
      <c r="F1" s="446"/>
      <c r="G1" s="459"/>
      <c r="H1" s="459"/>
      <c r="I1" s="431"/>
      <c r="J1" s="431"/>
      <c r="K1" s="431"/>
      <c r="L1" s="431"/>
      <c r="M1" s="462"/>
      <c r="N1" s="464"/>
    </row>
    <row r="2" spans="1:14" ht="11.25" customHeight="1" x14ac:dyDescent="0.3">
      <c r="A2" s="459" t="s">
        <v>658</v>
      </c>
      <c r="B2" s="460">
        <v>0.05</v>
      </c>
      <c r="C2" s="446" t="s">
        <v>667</v>
      </c>
      <c r="D2" s="446"/>
      <c r="E2" s="446"/>
      <c r="F2" s="446"/>
      <c r="G2" s="459"/>
      <c r="H2" s="459"/>
      <c r="I2" s="431"/>
      <c r="J2" s="431"/>
      <c r="K2" s="431"/>
      <c r="L2" s="431"/>
      <c r="M2" s="462"/>
      <c r="N2" s="464"/>
    </row>
    <row r="3" spans="1:14" ht="11.25" customHeight="1" x14ac:dyDescent="0.3">
      <c r="A3" s="459"/>
      <c r="B3" s="446"/>
      <c r="C3" s="446"/>
      <c r="D3" s="446"/>
      <c r="E3" s="446"/>
      <c r="F3" s="446"/>
      <c r="G3" s="459"/>
      <c r="H3" s="459"/>
      <c r="I3" s="431"/>
      <c r="J3" s="431"/>
      <c r="K3" s="431"/>
      <c r="L3" s="431"/>
      <c r="M3" s="462"/>
      <c r="N3" s="464"/>
    </row>
    <row r="4" spans="1:14" ht="11.25" customHeight="1" x14ac:dyDescent="0.3">
      <c r="A4" s="459" t="s">
        <v>660</v>
      </c>
      <c r="B4" s="451">
        <f ca="1">(SUMIFS(H:H,I:I,"&gt;0",L:L,"&lt;0"))/12</f>
        <v>51.416666666666664</v>
      </c>
      <c r="C4" s="463">
        <f ca="1">(SUMIFS(H:H,I:I,"&gt;0",L:L,"&lt;0"))</f>
        <v>617</v>
      </c>
      <c r="D4" s="456">
        <f t="array" aca="1" ref="D4" ca="1">INDEX(N:N,MATCH(C4,H:H,0),0)</f>
        <v>70037</v>
      </c>
      <c r="E4" s="446"/>
      <c r="F4" s="446"/>
      <c r="G4" s="459"/>
      <c r="H4" s="459"/>
      <c r="I4" s="446"/>
      <c r="J4" s="431"/>
      <c r="K4" s="431"/>
      <c r="L4" s="431"/>
      <c r="M4" s="462"/>
      <c r="N4" s="464"/>
    </row>
    <row r="5" spans="1:14" ht="11.25" customHeight="1" x14ac:dyDescent="0.3">
      <c r="A5" s="459"/>
      <c r="B5" s="446"/>
      <c r="C5" s="446"/>
      <c r="D5" s="446"/>
      <c r="E5" s="446"/>
      <c r="F5" s="446"/>
      <c r="G5" s="459"/>
      <c r="H5" s="459"/>
      <c r="I5" s="431"/>
      <c r="J5" s="431"/>
      <c r="K5" s="431"/>
      <c r="L5" s="431"/>
      <c r="M5" s="462"/>
      <c r="N5" s="464"/>
    </row>
    <row r="6" spans="1:14" ht="11.25" customHeight="1" x14ac:dyDescent="0.3">
      <c r="A6" s="459"/>
      <c r="B6" s="446"/>
      <c r="C6" s="446"/>
      <c r="D6" s="446"/>
      <c r="E6" s="446"/>
      <c r="F6" s="446"/>
      <c r="G6" s="459"/>
      <c r="H6" s="459"/>
      <c r="I6" s="431"/>
      <c r="J6" s="431"/>
      <c r="K6" s="431"/>
      <c r="L6" s="431"/>
      <c r="M6" s="462"/>
      <c r="N6" s="464"/>
    </row>
    <row r="7" spans="1:14" ht="11.25" customHeight="1" x14ac:dyDescent="0.3">
      <c r="A7" s="459" t="s">
        <v>661</v>
      </c>
      <c r="B7" s="446" t="s">
        <v>662</v>
      </c>
      <c r="C7" s="446" t="s">
        <v>663</v>
      </c>
      <c r="D7" s="446" t="s">
        <v>664</v>
      </c>
      <c r="E7" s="446" t="s">
        <v>665</v>
      </c>
      <c r="F7" s="446"/>
      <c r="G7" s="459" t="s">
        <v>666</v>
      </c>
      <c r="H7" s="459" t="s">
        <v>224</v>
      </c>
      <c r="I7" s="446" t="s">
        <v>662</v>
      </c>
      <c r="J7" s="446" t="s">
        <v>663</v>
      </c>
      <c r="K7" s="446" t="s">
        <v>664</v>
      </c>
      <c r="L7" s="446" t="s">
        <v>665</v>
      </c>
      <c r="M7" s="460"/>
      <c r="N7" s="464" t="s">
        <v>592</v>
      </c>
    </row>
    <row r="8" spans="1:14" ht="11.25" customHeight="1" x14ac:dyDescent="0.3">
      <c r="A8" s="459">
        <v>1</v>
      </c>
      <c r="B8" s="447">
        <f ca="1">B1</f>
        <v>3373563.445590293</v>
      </c>
      <c r="C8" s="447">
        <f t="shared" ref="C8:C71" si="0">SUMIF(G:G,A8,J:J)</f>
        <v>0</v>
      </c>
      <c r="D8" s="447">
        <f ca="1">SUMIF(G:G,1,K:K)</f>
        <v>172597.90850083853</v>
      </c>
      <c r="E8" s="447">
        <f t="shared" ref="E8:E71" ca="1" si="1">B8-C8+D8</f>
        <v>3546161.3540911316</v>
      </c>
      <c r="F8" s="431"/>
      <c r="G8" s="459">
        <v>1</v>
      </c>
      <c r="H8" s="459">
        <v>1</v>
      </c>
      <c r="I8" s="444">
        <f ca="1">B1</f>
        <v>3373563.445590293</v>
      </c>
      <c r="J8" s="444">
        <f t="array" ref="J8">IFERROR(INDEX('Retirement Calculator'!K:K,MATCH('Lorri 401b'!N8,'Retirement Calculator'!A:A,0),0),0)</f>
        <v>0</v>
      </c>
      <c r="K8" s="444">
        <f t="shared" ref="K8:K262" ca="1" si="2">IPMT(M8/12,1,12,-I8+J8,,0)</f>
        <v>14056.51435662622</v>
      </c>
      <c r="L8" s="444">
        <f t="shared" ref="L8:L262" ca="1" si="3">I8-J8+K8</f>
        <v>3387619.9599469192</v>
      </c>
      <c r="M8" s="460">
        <f>B2</f>
        <v>0.05</v>
      </c>
      <c r="N8" s="464">
        <f>'Retirement Calculator'!D7</f>
        <v>51288</v>
      </c>
    </row>
    <row r="9" spans="1:14" ht="11.25" customHeight="1" x14ac:dyDescent="0.3">
      <c r="A9" s="459">
        <v>2</v>
      </c>
      <c r="B9" s="447">
        <f t="shared" ref="B9:B71" ca="1" si="4">E8</f>
        <v>3546161.3540911316</v>
      </c>
      <c r="C9" s="447">
        <f t="shared" si="0"/>
        <v>0</v>
      </c>
      <c r="D9" s="447">
        <f ca="1">SUMIF(G:G,2,K:K)</f>
        <v>181428.34507015918</v>
      </c>
      <c r="E9" s="447">
        <f t="shared" ca="1" si="1"/>
        <v>3727589.6991612907</v>
      </c>
      <c r="F9" s="431"/>
      <c r="G9" s="459">
        <v>1</v>
      </c>
      <c r="H9" s="459">
        <v>2</v>
      </c>
      <c r="I9" s="444">
        <f t="shared" ref="I9:I263" ca="1" si="5">L8</f>
        <v>3387619.9599469192</v>
      </c>
      <c r="J9" s="444">
        <f t="array" ref="J9">IFERROR(INDEX('Retirement Calculator'!K:K,MATCH('Lorri 401b'!N9,'Retirement Calculator'!A:A,0),0),0)</f>
        <v>0</v>
      </c>
      <c r="K9" s="444">
        <f t="shared" ca="1" si="2"/>
        <v>14115.083166445494</v>
      </c>
      <c r="L9" s="444">
        <f t="shared" ca="1" si="3"/>
        <v>3401735.0431133648</v>
      </c>
      <c r="M9" s="460">
        <f t="shared" ref="M9:M263" si="6">M8</f>
        <v>0.05</v>
      </c>
      <c r="N9" s="464">
        <f t="shared" ref="N9:N263" si="7">EDATE(N8,1)</f>
        <v>51318</v>
      </c>
    </row>
    <row r="10" spans="1:14" ht="11.25" customHeight="1" x14ac:dyDescent="0.3">
      <c r="A10" s="459">
        <v>3</v>
      </c>
      <c r="B10" s="447">
        <f t="shared" ca="1" si="4"/>
        <v>3727589.6991612907</v>
      </c>
      <c r="C10" s="447">
        <f t="shared" si="0"/>
        <v>0</v>
      </c>
      <c r="D10" s="447">
        <f ca="1">SUMIF(G:G,3,K:K)</f>
        <v>190710.56353349052</v>
      </c>
      <c r="E10" s="447">
        <f t="shared" ca="1" si="1"/>
        <v>3918300.2626947812</v>
      </c>
      <c r="F10" s="431"/>
      <c r="G10" s="459">
        <v>1</v>
      </c>
      <c r="H10" s="459">
        <v>3</v>
      </c>
      <c r="I10" s="444">
        <f t="shared" ca="1" si="5"/>
        <v>3401735.0431133648</v>
      </c>
      <c r="J10" s="444">
        <f t="array" ref="J10">IFERROR(INDEX('Retirement Calculator'!K:K,MATCH('Lorri 401b'!N10,'Retirement Calculator'!A:A,0),0),0)</f>
        <v>0</v>
      </c>
      <c r="K10" s="444">
        <f t="shared" ca="1" si="2"/>
        <v>14173.896012972353</v>
      </c>
      <c r="L10" s="444">
        <f t="shared" ca="1" si="3"/>
        <v>3415908.9391263374</v>
      </c>
      <c r="M10" s="460">
        <f t="shared" si="6"/>
        <v>0.05</v>
      </c>
      <c r="N10" s="464">
        <f t="shared" si="7"/>
        <v>51349</v>
      </c>
    </row>
    <row r="11" spans="1:14" ht="11.25" customHeight="1" x14ac:dyDescent="0.3">
      <c r="A11" s="459">
        <v>4</v>
      </c>
      <c r="B11" s="447">
        <f t="shared" ca="1" si="4"/>
        <v>3918300.2626947812</v>
      </c>
      <c r="C11" s="447">
        <f t="shared" si="0"/>
        <v>0</v>
      </c>
      <c r="D11" s="447">
        <f ca="1">SUMIF(G:G,4,K:K)</f>
        <v>200467.67790995879</v>
      </c>
      <c r="E11" s="447">
        <f t="shared" ca="1" si="1"/>
        <v>4118767.9406047398</v>
      </c>
      <c r="F11" s="431"/>
      <c r="G11" s="459">
        <v>1</v>
      </c>
      <c r="H11" s="459">
        <v>4</v>
      </c>
      <c r="I11" s="444">
        <f t="shared" ca="1" si="5"/>
        <v>3415908.9391263374</v>
      </c>
      <c r="J11" s="444">
        <f t="array" ref="J11">IFERROR(INDEX('Retirement Calculator'!K:K,MATCH('Lorri 401b'!N11,'Retirement Calculator'!A:A,0),0),0)</f>
        <v>0</v>
      </c>
      <c r="K11" s="444">
        <f t="shared" ca="1" si="2"/>
        <v>14232.953913026406</v>
      </c>
      <c r="L11" s="444">
        <f t="shared" ca="1" si="3"/>
        <v>3430141.8930393639</v>
      </c>
      <c r="M11" s="460">
        <f t="shared" si="6"/>
        <v>0.05</v>
      </c>
      <c r="N11" s="464">
        <f t="shared" si="7"/>
        <v>51380</v>
      </c>
    </row>
    <row r="12" spans="1:14" ht="11.25" customHeight="1" x14ac:dyDescent="0.3">
      <c r="A12" s="459">
        <v>5</v>
      </c>
      <c r="B12" s="447">
        <f t="shared" ca="1" si="4"/>
        <v>4118767.9406047398</v>
      </c>
      <c r="C12" s="447">
        <f t="shared" si="0"/>
        <v>0</v>
      </c>
      <c r="D12" s="447">
        <f ca="1">SUMIF(G:G,5,K:K)</f>
        <v>210723.98477577622</v>
      </c>
      <c r="E12" s="447">
        <f t="shared" ca="1" si="1"/>
        <v>4329491.9253805159</v>
      </c>
      <c r="F12" s="431"/>
      <c r="G12" s="459">
        <v>1</v>
      </c>
      <c r="H12" s="459">
        <v>5</v>
      </c>
      <c r="I12" s="444">
        <f t="shared" ca="1" si="5"/>
        <v>3430141.8930393639</v>
      </c>
      <c r="J12" s="444">
        <f t="array" ref="J12">IFERROR(INDEX('Retirement Calculator'!K:K,MATCH('Lorri 401b'!N12,'Retirement Calculator'!A:A,0),0),0)</f>
        <v>0</v>
      </c>
      <c r="K12" s="444">
        <f t="shared" ca="1" si="2"/>
        <v>14292.257887664016</v>
      </c>
      <c r="L12" s="444">
        <f t="shared" ca="1" si="3"/>
        <v>3444434.1509270277</v>
      </c>
      <c r="M12" s="460">
        <f t="shared" si="6"/>
        <v>0.05</v>
      </c>
      <c r="N12" s="464">
        <f t="shared" si="7"/>
        <v>51410</v>
      </c>
    </row>
    <row r="13" spans="1:14" ht="11.25" customHeight="1" x14ac:dyDescent="0.3">
      <c r="A13" s="459">
        <v>6</v>
      </c>
      <c r="B13" s="447">
        <f t="shared" ca="1" si="4"/>
        <v>4329491.9253805159</v>
      </c>
      <c r="C13" s="447">
        <f t="shared" si="0"/>
        <v>110555.47832289393</v>
      </c>
      <c r="D13" s="447">
        <f ca="1">SUMIF(G:G,6,K:K)</f>
        <v>220115.37879120893</v>
      </c>
      <c r="E13" s="447">
        <f t="shared" ca="1" si="1"/>
        <v>4439051.8258488309</v>
      </c>
      <c r="F13" s="431"/>
      <c r="G13" s="459">
        <v>1</v>
      </c>
      <c r="H13" s="459">
        <v>6</v>
      </c>
      <c r="I13" s="444">
        <f t="shared" ca="1" si="5"/>
        <v>3444434.1509270277</v>
      </c>
      <c r="J13" s="444">
        <f t="array" ref="J13">IFERROR(INDEX('Retirement Calculator'!K:K,MATCH('Lorri 401b'!N13,'Retirement Calculator'!A:A,0),0),0)</f>
        <v>0</v>
      </c>
      <c r="K13" s="444">
        <f t="shared" ca="1" si="2"/>
        <v>14351.808962195948</v>
      </c>
      <c r="L13" s="444">
        <f t="shared" ca="1" si="3"/>
        <v>3458785.9598892238</v>
      </c>
      <c r="M13" s="460">
        <f t="shared" si="6"/>
        <v>0.05</v>
      </c>
      <c r="N13" s="464">
        <f t="shared" si="7"/>
        <v>51441</v>
      </c>
    </row>
    <row r="14" spans="1:14" ht="11.25" customHeight="1" x14ac:dyDescent="0.3">
      <c r="A14" s="459">
        <v>7</v>
      </c>
      <c r="B14" s="447">
        <f t="shared" ca="1" si="4"/>
        <v>4439051.8258488309</v>
      </c>
      <c r="C14" s="447">
        <f t="shared" si="0"/>
        <v>265333.14797494543</v>
      </c>
      <c r="D14" s="447">
        <f ca="1">SUMIF(G:G,7,K:K)</f>
        <v>219813.27013564116</v>
      </c>
      <c r="E14" s="447">
        <f t="shared" ca="1" si="1"/>
        <v>4393531.9480095264</v>
      </c>
      <c r="F14" s="431"/>
      <c r="G14" s="459">
        <v>1</v>
      </c>
      <c r="H14" s="459">
        <v>7</v>
      </c>
      <c r="I14" s="444">
        <f t="shared" ca="1" si="5"/>
        <v>3458785.9598892238</v>
      </c>
      <c r="J14" s="444">
        <f t="array" ref="J14">IFERROR(INDEX('Retirement Calculator'!K:K,MATCH('Lorri 401b'!N14,'Retirement Calculator'!A:A,0),0),0)</f>
        <v>0</v>
      </c>
      <c r="K14" s="444">
        <f t="shared" ca="1" si="2"/>
        <v>14411.608166205096</v>
      </c>
      <c r="L14" s="444">
        <f t="shared" ca="1" si="3"/>
        <v>3473197.568055429</v>
      </c>
      <c r="M14" s="460">
        <f t="shared" si="6"/>
        <v>0.05</v>
      </c>
      <c r="N14" s="464">
        <f t="shared" si="7"/>
        <v>51471</v>
      </c>
    </row>
    <row r="15" spans="1:14" ht="11.25" customHeight="1" x14ac:dyDescent="0.3">
      <c r="A15" s="459">
        <v>8</v>
      </c>
      <c r="B15" s="447">
        <f t="shared" ca="1" si="4"/>
        <v>4393531.9480095264</v>
      </c>
      <c r="C15" s="447">
        <f t="shared" si="0"/>
        <v>265333.14797494543</v>
      </c>
      <c r="D15" s="447">
        <f ca="1">SUMIF(G:G,8,K:K)</f>
        <v>217484.38679403791</v>
      </c>
      <c r="E15" s="447">
        <f t="shared" ca="1" si="1"/>
        <v>4345683.1868286189</v>
      </c>
      <c r="F15" s="431"/>
      <c r="G15" s="459">
        <v>1</v>
      </c>
      <c r="H15" s="459">
        <v>8</v>
      </c>
      <c r="I15" s="444">
        <f t="shared" ca="1" si="5"/>
        <v>3473197.568055429</v>
      </c>
      <c r="J15" s="444">
        <f t="array" ref="J15">IFERROR(INDEX('Retirement Calculator'!K:K,MATCH('Lorri 401b'!N15,'Retirement Calculator'!A:A,0),0),0)</f>
        <v>0</v>
      </c>
      <c r="K15" s="444">
        <f t="shared" ca="1" si="2"/>
        <v>14471.656533564288</v>
      </c>
      <c r="L15" s="444">
        <f t="shared" ca="1" si="3"/>
        <v>3487669.2245889935</v>
      </c>
      <c r="M15" s="460">
        <f t="shared" si="6"/>
        <v>0.05</v>
      </c>
      <c r="N15" s="464">
        <f t="shared" si="7"/>
        <v>51502</v>
      </c>
    </row>
    <row r="16" spans="1:14" ht="11.25" customHeight="1" x14ac:dyDescent="0.3">
      <c r="A16" s="459">
        <v>9</v>
      </c>
      <c r="B16" s="447">
        <f t="shared" ca="1" si="4"/>
        <v>4345683.1868286189</v>
      </c>
      <c r="C16" s="447">
        <f t="shared" si="0"/>
        <v>246150.24357494549</v>
      </c>
      <c r="D16" s="447">
        <f ca="1">SUMIF(G:G,9,K:K)</f>
        <v>215522.64956410433</v>
      </c>
      <c r="E16" s="447">
        <f t="shared" ca="1" si="1"/>
        <v>4315055.5928177778</v>
      </c>
      <c r="F16" s="431"/>
      <c r="G16" s="459">
        <v>1</v>
      </c>
      <c r="H16" s="459">
        <v>9</v>
      </c>
      <c r="I16" s="444">
        <f t="shared" ca="1" si="5"/>
        <v>3487669.2245889935</v>
      </c>
      <c r="J16" s="444">
        <f t="array" ref="J16">IFERROR(INDEX('Retirement Calculator'!K:K,MATCH('Lorri 401b'!N16,'Retirement Calculator'!A:A,0),0),0)</f>
        <v>0</v>
      </c>
      <c r="K16" s="444">
        <f t="shared" ca="1" si="2"/>
        <v>14531.95510245414</v>
      </c>
      <c r="L16" s="444">
        <f t="shared" ca="1" si="3"/>
        <v>3502201.1796914474</v>
      </c>
      <c r="M16" s="460">
        <f t="shared" si="6"/>
        <v>0.05</v>
      </c>
      <c r="N16" s="464">
        <f t="shared" si="7"/>
        <v>51533</v>
      </c>
    </row>
    <row r="17" spans="1:14" ht="11.25" customHeight="1" x14ac:dyDescent="0.3">
      <c r="A17" s="459">
        <v>10</v>
      </c>
      <c r="B17" s="447">
        <f t="shared" ca="1" si="4"/>
        <v>4315055.5928177778</v>
      </c>
      <c r="C17" s="447">
        <f t="shared" si="0"/>
        <v>244406.34317494548</v>
      </c>
      <c r="D17" s="447">
        <f ca="1">SUMIF(G:G,10,K:K)</f>
        <v>214044.90498113923</v>
      </c>
      <c r="E17" s="447">
        <f t="shared" ca="1" si="1"/>
        <v>4284694.1546239713</v>
      </c>
      <c r="F17" s="431"/>
      <c r="G17" s="459">
        <v>1</v>
      </c>
      <c r="H17" s="459">
        <v>10</v>
      </c>
      <c r="I17" s="444">
        <f t="shared" ca="1" si="5"/>
        <v>3502201.1796914474</v>
      </c>
      <c r="J17" s="444">
        <f t="array" ref="J17">IFERROR(INDEX('Retirement Calculator'!K:K,MATCH('Lorri 401b'!N17,'Retirement Calculator'!A:A,0),0),0)</f>
        <v>0</v>
      </c>
      <c r="K17" s="444">
        <f t="shared" ca="1" si="2"/>
        <v>14592.504915381031</v>
      </c>
      <c r="L17" s="444">
        <f t="shared" ca="1" si="3"/>
        <v>3516793.6846068283</v>
      </c>
      <c r="M17" s="460">
        <f t="shared" si="6"/>
        <v>0.05</v>
      </c>
      <c r="N17" s="464">
        <f t="shared" si="7"/>
        <v>51561</v>
      </c>
    </row>
    <row r="18" spans="1:14" ht="11.25" customHeight="1" x14ac:dyDescent="0.3">
      <c r="A18" s="459">
        <v>11</v>
      </c>
      <c r="B18" s="447">
        <f t="shared" ca="1" si="4"/>
        <v>4284694.1546239713</v>
      </c>
      <c r="C18" s="447">
        <f t="shared" si="0"/>
        <v>244406.34317494548</v>
      </c>
      <c r="D18" s="447">
        <f ca="1">SUMIF(G:G,11,K:K)</f>
        <v>212491.55618072522</v>
      </c>
      <c r="E18" s="447">
        <f t="shared" ca="1" si="1"/>
        <v>4252779.3676297506</v>
      </c>
      <c r="F18" s="431"/>
      <c r="G18" s="459">
        <v>1</v>
      </c>
      <c r="H18" s="459">
        <v>11</v>
      </c>
      <c r="I18" s="444">
        <f t="shared" ca="1" si="5"/>
        <v>3516793.6846068283</v>
      </c>
      <c r="J18" s="444">
        <f t="array" ref="J18">IFERROR(INDEX('Retirement Calculator'!K:K,MATCH('Lorri 401b'!N18,'Retirement Calculator'!A:A,0),0),0)</f>
        <v>0</v>
      </c>
      <c r="K18" s="444">
        <f t="shared" ca="1" si="2"/>
        <v>14653.307019195117</v>
      </c>
      <c r="L18" s="444">
        <f t="shared" ca="1" si="3"/>
        <v>3531446.9916260233</v>
      </c>
      <c r="M18" s="460">
        <f t="shared" si="6"/>
        <v>0.05</v>
      </c>
      <c r="N18" s="464">
        <f t="shared" si="7"/>
        <v>51592</v>
      </c>
    </row>
    <row r="19" spans="1:14" ht="11.25" customHeight="1" x14ac:dyDescent="0.3">
      <c r="A19" s="459">
        <v>12</v>
      </c>
      <c r="B19" s="447">
        <f t="shared" ca="1" si="4"/>
        <v>4252779.3676297506</v>
      </c>
      <c r="C19" s="447">
        <f t="shared" si="0"/>
        <v>244406.34317494548</v>
      </c>
      <c r="D19" s="447">
        <f ca="1">SUMIF(G:G,12,K:K)</f>
        <v>210858.73510760968</v>
      </c>
      <c r="E19" s="447">
        <f t="shared" ca="1" si="1"/>
        <v>4219231.7595624151</v>
      </c>
      <c r="F19" s="431"/>
      <c r="G19" s="459">
        <v>1</v>
      </c>
      <c r="H19" s="459">
        <v>12</v>
      </c>
      <c r="I19" s="444">
        <f t="shared" ca="1" si="5"/>
        <v>3531446.9916260233</v>
      </c>
      <c r="J19" s="444">
        <f t="array" ref="J19">IFERROR(INDEX('Retirement Calculator'!K:K,MATCH('Lorri 401b'!N19,'Retirement Calculator'!A:A,0),0),0)</f>
        <v>0</v>
      </c>
      <c r="K19" s="444">
        <f t="shared" ca="1" si="2"/>
        <v>14714.36246510843</v>
      </c>
      <c r="L19" s="444">
        <f t="shared" ca="1" si="3"/>
        <v>3546161.3540911316</v>
      </c>
      <c r="M19" s="460">
        <f t="shared" si="6"/>
        <v>0.05</v>
      </c>
      <c r="N19" s="464">
        <f t="shared" si="7"/>
        <v>51622</v>
      </c>
    </row>
    <row r="20" spans="1:14" ht="11.25" customHeight="1" x14ac:dyDescent="0.3">
      <c r="A20" s="459">
        <v>13</v>
      </c>
      <c r="B20" s="447">
        <f t="shared" ca="1" si="4"/>
        <v>4219231.7595624151</v>
      </c>
      <c r="C20" s="447">
        <f t="shared" si="0"/>
        <v>244406.34317494548</v>
      </c>
      <c r="D20" s="447">
        <f ca="1">SUMIF(G:G,13,K:K)</f>
        <v>209142.37580949222</v>
      </c>
      <c r="E20" s="447">
        <f t="shared" ca="1" si="1"/>
        <v>4183967.7921969616</v>
      </c>
      <c r="F20" s="431"/>
      <c r="G20" s="459">
        <v>2</v>
      </c>
      <c r="H20" s="459">
        <v>13</v>
      </c>
      <c r="I20" s="444">
        <f t="shared" ca="1" si="5"/>
        <v>3546161.3540911316</v>
      </c>
      <c r="J20" s="444">
        <f t="array" ref="J20">IFERROR(INDEX('Retirement Calculator'!K:K,MATCH('Lorri 401b'!N20,'Retirement Calculator'!A:A,0),0),0)</f>
        <v>0</v>
      </c>
      <c r="K20" s="444">
        <f t="shared" ca="1" si="2"/>
        <v>14775.672308713049</v>
      </c>
      <c r="L20" s="444">
        <f t="shared" ca="1" si="3"/>
        <v>3560937.0263998448</v>
      </c>
      <c r="M20" s="460">
        <f t="shared" si="6"/>
        <v>0.05</v>
      </c>
      <c r="N20" s="464">
        <f t="shared" si="7"/>
        <v>51653</v>
      </c>
    </row>
    <row r="21" spans="1:14" ht="11.25" customHeight="1" x14ac:dyDescent="0.3">
      <c r="A21" s="459">
        <v>14</v>
      </c>
      <c r="B21" s="447">
        <f t="shared" ca="1" si="4"/>
        <v>4183967.7921969616</v>
      </c>
      <c r="C21" s="447">
        <f t="shared" si="0"/>
        <v>244406.34317494548</v>
      </c>
      <c r="D21" s="447">
        <f ca="1">SUMIF(G:G,14,K:K)</f>
        <v>207338.20431223614</v>
      </c>
      <c r="E21" s="447">
        <f t="shared" ca="1" si="1"/>
        <v>4146899.6533342521</v>
      </c>
      <c r="F21" s="431"/>
      <c r="G21" s="459">
        <v>2</v>
      </c>
      <c r="H21" s="459">
        <v>14</v>
      </c>
      <c r="I21" s="444">
        <f t="shared" ca="1" si="5"/>
        <v>3560937.0263998448</v>
      </c>
      <c r="J21" s="444">
        <f t="array" ref="J21">IFERROR(INDEX('Retirement Calculator'!K:K,MATCH('Lorri 401b'!N21,'Retirement Calculator'!A:A,0),0),0)</f>
        <v>0</v>
      </c>
      <c r="K21" s="444">
        <f t="shared" ca="1" si="2"/>
        <v>14837.237609999351</v>
      </c>
      <c r="L21" s="444">
        <f t="shared" ca="1" si="3"/>
        <v>3575774.264009844</v>
      </c>
      <c r="M21" s="460">
        <f t="shared" si="6"/>
        <v>0.05</v>
      </c>
      <c r="N21" s="464">
        <f t="shared" si="7"/>
        <v>51683</v>
      </c>
    </row>
    <row r="22" spans="1:14" ht="11.25" customHeight="1" x14ac:dyDescent="0.3">
      <c r="A22" s="459">
        <v>15</v>
      </c>
      <c r="B22" s="447">
        <f t="shared" ca="1" si="4"/>
        <v>4146899.6533342521</v>
      </c>
      <c r="C22" s="447">
        <f t="shared" si="0"/>
        <v>244406.34317494548</v>
      </c>
      <c r="D22" s="447">
        <f ca="1">SUMIF(G:G,15,K:K)</f>
        <v>205441.72797707625</v>
      </c>
      <c r="E22" s="447">
        <f t="shared" ca="1" si="1"/>
        <v>4107935.0381363826</v>
      </c>
      <c r="F22" s="431"/>
      <c r="G22" s="459">
        <v>2</v>
      </c>
      <c r="H22" s="459">
        <v>15</v>
      </c>
      <c r="I22" s="444">
        <f t="shared" ca="1" si="5"/>
        <v>3575774.264009844</v>
      </c>
      <c r="J22" s="444">
        <f t="array" ref="J22">IFERROR(INDEX('Retirement Calculator'!K:K,MATCH('Lorri 401b'!N22,'Retirement Calculator'!A:A,0),0),0)</f>
        <v>0</v>
      </c>
      <c r="K22" s="444">
        <f t="shared" ca="1" si="2"/>
        <v>14899.05943337435</v>
      </c>
      <c r="L22" s="444">
        <f t="shared" ca="1" si="3"/>
        <v>3590673.3234432186</v>
      </c>
      <c r="M22" s="460">
        <f t="shared" si="6"/>
        <v>0.05</v>
      </c>
      <c r="N22" s="464">
        <f t="shared" si="7"/>
        <v>51714</v>
      </c>
    </row>
    <row r="23" spans="1:14" ht="11.25" customHeight="1" x14ac:dyDescent="0.3">
      <c r="A23" s="459">
        <v>16</v>
      </c>
      <c r="B23" s="447">
        <f t="shared" ca="1" si="4"/>
        <v>4107935.0381363826</v>
      </c>
      <c r="C23" s="447">
        <f t="shared" si="0"/>
        <v>244406.34317494548</v>
      </c>
      <c r="D23" s="447">
        <f ca="1">SUMIF(G:G,16,K:K)</f>
        <v>203448.2243133219</v>
      </c>
      <c r="E23" s="447">
        <f t="shared" ca="1" si="1"/>
        <v>4066976.919274759</v>
      </c>
      <c r="F23" s="431"/>
      <c r="G23" s="459">
        <v>2</v>
      </c>
      <c r="H23" s="459">
        <v>16</v>
      </c>
      <c r="I23" s="444">
        <f t="shared" ca="1" si="5"/>
        <v>3590673.3234432186</v>
      </c>
      <c r="J23" s="444">
        <f t="array" ref="J23">IFERROR(INDEX('Retirement Calculator'!K:K,MATCH('Lorri 401b'!N23,'Retirement Calculator'!A:A,0),0),0)</f>
        <v>0</v>
      </c>
      <c r="K23" s="444">
        <f t="shared" ca="1" si="2"/>
        <v>14961.138847680077</v>
      </c>
      <c r="L23" s="444">
        <f t="shared" ca="1" si="3"/>
        <v>3605634.4622908989</v>
      </c>
      <c r="M23" s="460">
        <f t="shared" si="6"/>
        <v>0.05</v>
      </c>
      <c r="N23" s="464">
        <f t="shared" si="7"/>
        <v>51745</v>
      </c>
    </row>
    <row r="24" spans="1:14" ht="11.25" customHeight="1" x14ac:dyDescent="0.3">
      <c r="A24" s="459">
        <v>17</v>
      </c>
      <c r="B24" s="447">
        <f t="shared" ca="1" si="4"/>
        <v>4066976.919274759</v>
      </c>
      <c r="C24" s="447">
        <f t="shared" si="0"/>
        <v>244406.34317494548</v>
      </c>
      <c r="D24" s="447">
        <f ca="1">SUMIF(G:G,17,K:K)</f>
        <v>201352.72921869557</v>
      </c>
      <c r="E24" s="447">
        <f t="shared" ca="1" si="1"/>
        <v>4023923.3053185092</v>
      </c>
      <c r="F24" s="431"/>
      <c r="G24" s="459">
        <v>2</v>
      </c>
      <c r="H24" s="459">
        <v>17</v>
      </c>
      <c r="I24" s="444">
        <f t="shared" ca="1" si="5"/>
        <v>3605634.4622908989</v>
      </c>
      <c r="J24" s="444">
        <f t="array" ref="J24">IFERROR(INDEX('Retirement Calculator'!K:K,MATCH('Lorri 401b'!N24,'Retirement Calculator'!A:A,0),0),0)</f>
        <v>0</v>
      </c>
      <c r="K24" s="444">
        <f t="shared" ca="1" si="2"/>
        <v>15023.476926212079</v>
      </c>
      <c r="L24" s="444">
        <f t="shared" ca="1" si="3"/>
        <v>3620657.9392171111</v>
      </c>
      <c r="M24" s="460">
        <f t="shared" si="6"/>
        <v>0.05</v>
      </c>
      <c r="N24" s="464">
        <f t="shared" si="7"/>
        <v>51775</v>
      </c>
    </row>
    <row r="25" spans="1:14" ht="11.25" customHeight="1" x14ac:dyDescent="0.3">
      <c r="A25" s="459">
        <v>18</v>
      </c>
      <c r="B25" s="447">
        <f t="shared" ca="1" si="4"/>
        <v>4023923.3053185092</v>
      </c>
      <c r="C25" s="447">
        <f t="shared" si="0"/>
        <v>244406.34317494548</v>
      </c>
      <c r="D25" s="447">
        <f ca="1">SUMIF(G:G,18,K:K)</f>
        <v>199150.02461802633</v>
      </c>
      <c r="E25" s="447">
        <f t="shared" ca="1" si="1"/>
        <v>3978666.98676159</v>
      </c>
      <c r="F25" s="431"/>
      <c r="G25" s="459">
        <v>2</v>
      </c>
      <c r="H25" s="459">
        <v>18</v>
      </c>
      <c r="I25" s="444">
        <f t="shared" ca="1" si="5"/>
        <v>3620657.9392171111</v>
      </c>
      <c r="J25" s="444">
        <f t="array" ref="J25">IFERROR(INDEX('Retirement Calculator'!K:K,MATCH('Lorri 401b'!N25,'Retirement Calculator'!A:A,0),0),0)</f>
        <v>0</v>
      </c>
      <c r="K25" s="444">
        <f t="shared" ca="1" si="2"/>
        <v>15086.074746737962</v>
      </c>
      <c r="L25" s="444">
        <f t="shared" ca="1" si="3"/>
        <v>3635744.0139638493</v>
      </c>
      <c r="M25" s="460">
        <f t="shared" si="6"/>
        <v>0.05</v>
      </c>
      <c r="N25" s="464">
        <f t="shared" si="7"/>
        <v>51806</v>
      </c>
    </row>
    <row r="26" spans="1:14" ht="11.25" customHeight="1" x14ac:dyDescent="0.3">
      <c r="A26" s="459">
        <v>19</v>
      </c>
      <c r="B26" s="447">
        <f t="shared" ca="1" si="4"/>
        <v>3978666.98676159</v>
      </c>
      <c r="C26" s="447">
        <f t="shared" si="0"/>
        <v>244406.34317494548</v>
      </c>
      <c r="D26" s="447">
        <f ca="1">SUMIF(G:G,19,K:K)</f>
        <v>196834.62546951402</v>
      </c>
      <c r="E26" s="447">
        <f t="shared" ca="1" si="1"/>
        <v>3931095.2690561586</v>
      </c>
      <c r="F26" s="431"/>
      <c r="G26" s="459">
        <v>2</v>
      </c>
      <c r="H26" s="459">
        <v>19</v>
      </c>
      <c r="I26" s="444">
        <f t="shared" ca="1" si="5"/>
        <v>3635744.0139638493</v>
      </c>
      <c r="J26" s="444">
        <f t="array" ref="J26">IFERROR(INDEX('Retirement Calculator'!K:K,MATCH('Lorri 401b'!N26,'Retirement Calculator'!A:A,0),0),0)</f>
        <v>0</v>
      </c>
      <c r="K26" s="444">
        <f t="shared" ca="1" si="2"/>
        <v>15148.933391516039</v>
      </c>
      <c r="L26" s="444">
        <f t="shared" ca="1" si="3"/>
        <v>3650892.9473553654</v>
      </c>
      <c r="M26" s="460">
        <f t="shared" si="6"/>
        <v>0.05</v>
      </c>
      <c r="N26" s="464">
        <f t="shared" si="7"/>
        <v>51836</v>
      </c>
    </row>
    <row r="27" spans="1:14" ht="11.25" customHeight="1" x14ac:dyDescent="0.3">
      <c r="A27" s="459">
        <v>20</v>
      </c>
      <c r="B27" s="447">
        <f t="shared" ca="1" si="4"/>
        <v>3931095.2690561586</v>
      </c>
      <c r="C27" s="447">
        <f t="shared" si="0"/>
        <v>244406.34317494548</v>
      </c>
      <c r="D27" s="447">
        <f ca="1">SUMIF(G:G,20,K:K)</f>
        <v>194400.76610621013</v>
      </c>
      <c r="E27" s="447">
        <f t="shared" ca="1" si="1"/>
        <v>3881089.6919874232</v>
      </c>
      <c r="F27" s="431"/>
      <c r="G27" s="459">
        <v>2</v>
      </c>
      <c r="H27" s="459">
        <v>20</v>
      </c>
      <c r="I27" s="444">
        <f t="shared" ca="1" si="5"/>
        <v>3650892.9473553654</v>
      </c>
      <c r="J27" s="444">
        <f t="array" ref="J27">IFERROR(INDEX('Retirement Calculator'!K:K,MATCH('Lorri 401b'!N27,'Retirement Calculator'!A:A,0),0),0)</f>
        <v>0</v>
      </c>
      <c r="K27" s="444">
        <f t="shared" ca="1" si="2"/>
        <v>15212.053947314022</v>
      </c>
      <c r="L27" s="444">
        <f t="shared" ca="1" si="3"/>
        <v>3666105.0013026795</v>
      </c>
      <c r="M27" s="460">
        <f t="shared" si="6"/>
        <v>0.05</v>
      </c>
      <c r="N27" s="464">
        <f t="shared" si="7"/>
        <v>51867</v>
      </c>
    </row>
    <row r="28" spans="1:14" ht="11.25" customHeight="1" x14ac:dyDescent="0.3">
      <c r="A28" s="459">
        <v>21</v>
      </c>
      <c r="B28" s="447">
        <f t="shared" ca="1" si="4"/>
        <v>3881089.6919874232</v>
      </c>
      <c r="C28" s="447">
        <f t="shared" si="0"/>
        <v>244406.34317494548</v>
      </c>
      <c r="D28" s="447">
        <f ca="1">SUMIF(G:G,21,K:K)</f>
        <v>191842.38587870233</v>
      </c>
      <c r="E28" s="447">
        <f t="shared" ca="1" si="1"/>
        <v>3828525.7346911798</v>
      </c>
      <c r="F28" s="431"/>
      <c r="G28" s="459">
        <v>2</v>
      </c>
      <c r="H28" s="459">
        <v>21</v>
      </c>
      <c r="I28" s="444">
        <f t="shared" ca="1" si="5"/>
        <v>3666105.0013026795</v>
      </c>
      <c r="J28" s="444">
        <f t="array" ref="J28">IFERROR(INDEX('Retirement Calculator'!K:K,MATCH('Lorri 401b'!N28,'Retirement Calculator'!A:A,0),0),0)</f>
        <v>0</v>
      </c>
      <c r="K28" s="444">
        <f t="shared" ca="1" si="2"/>
        <v>15275.437505427832</v>
      </c>
      <c r="L28" s="444">
        <f t="shared" ca="1" si="3"/>
        <v>3681380.4388081073</v>
      </c>
      <c r="M28" s="460">
        <f t="shared" si="6"/>
        <v>0.05</v>
      </c>
      <c r="N28" s="464">
        <f t="shared" si="7"/>
        <v>51898</v>
      </c>
    </row>
    <row r="29" spans="1:14" ht="11.25" customHeight="1" x14ac:dyDescent="0.3">
      <c r="A29" s="459">
        <v>22</v>
      </c>
      <c r="B29" s="447">
        <f t="shared" ca="1" si="4"/>
        <v>3828525.7346911798</v>
      </c>
      <c r="C29" s="447">
        <f t="shared" si="0"/>
        <v>244406.34317494548</v>
      </c>
      <c r="D29" s="447">
        <f ca="1">SUMIF(G:G,22,K:K)</f>
        <v>189153.11406325208</v>
      </c>
      <c r="E29" s="447">
        <f t="shared" ca="1" si="1"/>
        <v>3773272.5055794865</v>
      </c>
      <c r="F29" s="431"/>
      <c r="G29" s="459">
        <v>2</v>
      </c>
      <c r="H29" s="459">
        <v>22</v>
      </c>
      <c r="I29" s="444">
        <f t="shared" ca="1" si="5"/>
        <v>3681380.4388081073</v>
      </c>
      <c r="J29" s="444">
        <f t="array" ref="J29">IFERROR(INDEX('Retirement Calculator'!K:K,MATCH('Lorri 401b'!N29,'Retirement Calculator'!A:A,0),0),0)</f>
        <v>0</v>
      </c>
      <c r="K29" s="444">
        <f t="shared" ca="1" si="2"/>
        <v>15339.085161700446</v>
      </c>
      <c r="L29" s="444">
        <f t="shared" ca="1" si="3"/>
        <v>3696719.5239698077</v>
      </c>
      <c r="M29" s="460">
        <f t="shared" si="6"/>
        <v>0.05</v>
      </c>
      <c r="N29" s="464">
        <f t="shared" si="7"/>
        <v>51926</v>
      </c>
    </row>
    <row r="30" spans="1:14" ht="11.25" customHeight="1" x14ac:dyDescent="0.3">
      <c r="A30" s="459">
        <v>23</v>
      </c>
      <c r="B30" s="447">
        <f t="shared" ca="1" si="4"/>
        <v>3773272.5055794865</v>
      </c>
      <c r="C30" s="447">
        <f t="shared" si="0"/>
        <v>244406.34317494548</v>
      </c>
      <c r="D30" s="447">
        <f ca="1">SUMIF(G:G,23,K:K)</f>
        <v>186326.25399780361</v>
      </c>
      <c r="E30" s="447">
        <f t="shared" ca="1" si="1"/>
        <v>3715192.4164023446</v>
      </c>
      <c r="F30" s="431"/>
      <c r="G30" s="459">
        <v>2</v>
      </c>
      <c r="H30" s="459">
        <v>23</v>
      </c>
      <c r="I30" s="444">
        <f t="shared" ca="1" si="5"/>
        <v>3696719.5239698077</v>
      </c>
      <c r="J30" s="444">
        <f t="array" ref="J30">IFERROR(INDEX('Retirement Calculator'!K:K,MATCH('Lorri 401b'!N30,'Retirement Calculator'!A:A,0),0),0)</f>
        <v>0</v>
      </c>
      <c r="K30" s="444">
        <f t="shared" ca="1" si="2"/>
        <v>15402.998016540867</v>
      </c>
      <c r="L30" s="444">
        <f t="shared" ca="1" si="3"/>
        <v>3712122.5219863486</v>
      </c>
      <c r="M30" s="460">
        <f t="shared" si="6"/>
        <v>0.05</v>
      </c>
      <c r="N30" s="464">
        <f t="shared" si="7"/>
        <v>51957</v>
      </c>
    </row>
    <row r="31" spans="1:14" ht="11.25" customHeight="1" x14ac:dyDescent="0.3">
      <c r="A31" s="459">
        <v>24</v>
      </c>
      <c r="B31" s="447">
        <f t="shared" ca="1" si="4"/>
        <v>3715192.4164023446</v>
      </c>
      <c r="C31" s="447">
        <f t="shared" si="0"/>
        <v>244406.34317494548</v>
      </c>
      <c r="D31" s="447">
        <f ca="1">SUMIF(G:G,24,K:K)</f>
        <v>183354.76640636075</v>
      </c>
      <c r="E31" s="447">
        <f t="shared" ca="1" si="1"/>
        <v>3654140.8396337596</v>
      </c>
      <c r="F31" s="431"/>
      <c r="G31" s="459">
        <v>2</v>
      </c>
      <c r="H31" s="459">
        <v>24</v>
      </c>
      <c r="I31" s="444">
        <f t="shared" ca="1" si="5"/>
        <v>3712122.5219863486</v>
      </c>
      <c r="J31" s="444">
        <f t="array" ref="J31">IFERROR(INDEX('Retirement Calculator'!K:K,MATCH('Lorri 401b'!N31,'Retirement Calculator'!A:A,0),0),0)</f>
        <v>0</v>
      </c>
      <c r="K31" s="444">
        <f t="shared" ca="1" si="2"/>
        <v>15467.177174943119</v>
      </c>
      <c r="L31" s="444">
        <f t="shared" ca="1" si="3"/>
        <v>3727589.6991612916</v>
      </c>
      <c r="M31" s="460">
        <f t="shared" si="6"/>
        <v>0.05</v>
      </c>
      <c r="N31" s="464">
        <f t="shared" si="7"/>
        <v>51987</v>
      </c>
    </row>
    <row r="32" spans="1:14" ht="11.25" customHeight="1" x14ac:dyDescent="0.3">
      <c r="A32" s="459">
        <v>25</v>
      </c>
      <c r="B32" s="447">
        <f t="shared" ca="1" si="4"/>
        <v>3654140.8396337596</v>
      </c>
      <c r="C32" s="447">
        <f t="shared" si="0"/>
        <v>244406.34317494548</v>
      </c>
      <c r="D32" s="447">
        <f ca="1">SUMIF(G:G,25,K:K)</f>
        <v>180231.25187020763</v>
      </c>
      <c r="E32" s="447">
        <f t="shared" ca="1" si="1"/>
        <v>3589965.7483290215</v>
      </c>
      <c r="F32" s="431"/>
      <c r="G32" s="459">
        <v>3</v>
      </c>
      <c r="H32" s="459">
        <v>25</v>
      </c>
      <c r="I32" s="444">
        <f t="shared" ca="1" si="5"/>
        <v>3727589.6991612916</v>
      </c>
      <c r="J32" s="444">
        <f t="array" ref="J32">IFERROR(INDEX('Retirement Calculator'!K:K,MATCH('Lorri 401b'!N32,'Retirement Calculator'!A:A,0),0),0)</f>
        <v>0</v>
      </c>
      <c r="K32" s="444">
        <f t="shared" ca="1" si="2"/>
        <v>15531.623746505382</v>
      </c>
      <c r="L32" s="444">
        <f t="shared" ca="1" si="3"/>
        <v>3743121.3229077971</v>
      </c>
      <c r="M32" s="460">
        <f t="shared" si="6"/>
        <v>0.05</v>
      </c>
      <c r="N32" s="464">
        <f t="shared" si="7"/>
        <v>52018</v>
      </c>
    </row>
    <row r="33" spans="1:14" ht="11.25" customHeight="1" x14ac:dyDescent="0.3">
      <c r="A33" s="459">
        <v>26</v>
      </c>
      <c r="B33" s="447">
        <f t="shared" ca="1" si="4"/>
        <v>3589965.7483290215</v>
      </c>
      <c r="C33" s="447">
        <f t="shared" si="0"/>
        <v>244406.34317494548</v>
      </c>
      <c r="D33" s="447">
        <f ca="1">SUMIF(G:G,26,K:K)</f>
        <v>176947.93240232376</v>
      </c>
      <c r="E33" s="447">
        <f t="shared" ca="1" si="1"/>
        <v>3522507.3375563999</v>
      </c>
      <c r="F33" s="431"/>
      <c r="G33" s="459">
        <v>3</v>
      </c>
      <c r="H33" s="459">
        <v>26</v>
      </c>
      <c r="I33" s="444">
        <f t="shared" ca="1" si="5"/>
        <v>3743121.3229077971</v>
      </c>
      <c r="J33" s="444">
        <f t="array" ref="J33">IFERROR(INDEX('Retirement Calculator'!K:K,MATCH('Lorri 401b'!N33,'Retirement Calculator'!A:A,0),0),0)</f>
        <v>0</v>
      </c>
      <c r="K33" s="444">
        <f t="shared" ca="1" si="2"/>
        <v>15596.338845449154</v>
      </c>
      <c r="L33" s="444">
        <f t="shared" ca="1" si="3"/>
        <v>3758717.6617532461</v>
      </c>
      <c r="M33" s="460">
        <f t="shared" si="6"/>
        <v>0.05</v>
      </c>
      <c r="N33" s="464">
        <f t="shared" si="7"/>
        <v>52048</v>
      </c>
    </row>
    <row r="34" spans="1:14" ht="11.25" customHeight="1" x14ac:dyDescent="0.3">
      <c r="A34" s="459">
        <v>27</v>
      </c>
      <c r="B34" s="447">
        <f t="shared" ca="1" si="4"/>
        <v>3522507.3375563999</v>
      </c>
      <c r="C34" s="447">
        <f t="shared" si="0"/>
        <v>244406.34317494548</v>
      </c>
      <c r="D34" s="447">
        <f ca="1">SUMIF(G:G,27,K:K)</f>
        <v>173496.63207911086</v>
      </c>
      <c r="E34" s="447">
        <f t="shared" ca="1" si="1"/>
        <v>3451597.6264605653</v>
      </c>
      <c r="F34" s="431"/>
      <c r="G34" s="459">
        <v>3</v>
      </c>
      <c r="H34" s="459">
        <v>27</v>
      </c>
      <c r="I34" s="444">
        <f t="shared" ca="1" si="5"/>
        <v>3758717.6617532461</v>
      </c>
      <c r="J34" s="444">
        <f t="array" ref="J34">IFERROR(INDEX('Retirement Calculator'!K:K,MATCH('Lorri 401b'!N34,'Retirement Calculator'!A:A,0),0),0)</f>
        <v>0</v>
      </c>
      <c r="K34" s="444">
        <f t="shared" ca="1" si="2"/>
        <v>15661.323590638527</v>
      </c>
      <c r="L34" s="444">
        <f t="shared" ca="1" si="3"/>
        <v>3774378.9853438847</v>
      </c>
      <c r="M34" s="460">
        <f t="shared" si="6"/>
        <v>0.05</v>
      </c>
      <c r="N34" s="464">
        <f t="shared" si="7"/>
        <v>52079</v>
      </c>
    </row>
    <row r="35" spans="1:14" ht="11.25" customHeight="1" x14ac:dyDescent="0.3">
      <c r="A35" s="459">
        <v>28</v>
      </c>
      <c r="B35" s="447">
        <f t="shared" ca="1" si="4"/>
        <v>3451597.6264605653</v>
      </c>
      <c r="C35" s="447">
        <f t="shared" si="0"/>
        <v>244406.34317494548</v>
      </c>
      <c r="D35" s="447">
        <f ca="1">SUMIF(G:G,28,K:K)</f>
        <v>169868.75668120256</v>
      </c>
      <c r="E35" s="447">
        <f t="shared" ca="1" si="1"/>
        <v>3377060.0399668221</v>
      </c>
      <c r="F35" s="431"/>
      <c r="G35" s="459">
        <v>3</v>
      </c>
      <c r="H35" s="459">
        <v>28</v>
      </c>
      <c r="I35" s="444">
        <f t="shared" ca="1" si="5"/>
        <v>3774378.9853438847</v>
      </c>
      <c r="J35" s="444">
        <f t="array" ref="J35">IFERROR(INDEX('Retirement Calculator'!K:K,MATCH('Lorri 401b'!N35,'Retirement Calculator'!A:A,0),0),0)</f>
        <v>0</v>
      </c>
      <c r="K35" s="444">
        <f t="shared" ca="1" si="2"/>
        <v>15726.579105599521</v>
      </c>
      <c r="L35" s="444">
        <f t="shared" ca="1" si="3"/>
        <v>3790105.564449484</v>
      </c>
      <c r="M35" s="460">
        <f t="shared" si="6"/>
        <v>0.05</v>
      </c>
      <c r="N35" s="464">
        <f t="shared" si="7"/>
        <v>52110</v>
      </c>
    </row>
    <row r="36" spans="1:14" ht="11.25" customHeight="1" x14ac:dyDescent="0.3">
      <c r="A36" s="459">
        <v>29</v>
      </c>
      <c r="B36" s="447">
        <f t="shared" ca="1" si="4"/>
        <v>3377060.0399668221</v>
      </c>
      <c r="C36" s="447">
        <f t="shared" si="0"/>
        <v>244406.34317494548</v>
      </c>
      <c r="D36" s="447">
        <f ca="1">SUMIF(G:G,29,K:K)</f>
        <v>166055.2722926588</v>
      </c>
      <c r="E36" s="447">
        <f t="shared" ca="1" si="1"/>
        <v>3298708.9690845353</v>
      </c>
      <c r="F36" s="431"/>
      <c r="G36" s="459">
        <v>3</v>
      </c>
      <c r="H36" s="459">
        <v>29</v>
      </c>
      <c r="I36" s="444">
        <f t="shared" ca="1" si="5"/>
        <v>3790105.564449484</v>
      </c>
      <c r="J36" s="444">
        <f t="array" ref="J36">IFERROR(INDEX('Retirement Calculator'!K:K,MATCH('Lorri 401b'!N36,'Retirement Calculator'!A:A,0),0),0)</f>
        <v>0</v>
      </c>
      <c r="K36" s="444">
        <f t="shared" ca="1" si="2"/>
        <v>15792.106518539516</v>
      </c>
      <c r="L36" s="444">
        <f t="shared" ca="1" si="3"/>
        <v>3805897.6709680236</v>
      </c>
      <c r="M36" s="460">
        <f t="shared" si="6"/>
        <v>0.05</v>
      </c>
      <c r="N36" s="464">
        <f t="shared" si="7"/>
        <v>52140</v>
      </c>
    </row>
    <row r="37" spans="1:14" ht="11.25" customHeight="1" x14ac:dyDescent="0.3">
      <c r="A37" s="459">
        <v>30</v>
      </c>
      <c r="B37" s="447">
        <f t="shared" ca="1" si="4"/>
        <v>3298708.9690845353</v>
      </c>
      <c r="C37" s="447">
        <f t="shared" si="0"/>
        <v>244406.34317494548</v>
      </c>
      <c r="D37" s="447">
        <f ca="1">SUMIF(G:G,30,K:K)</f>
        <v>162046.68280525482</v>
      </c>
      <c r="E37" s="447">
        <f t="shared" ca="1" si="1"/>
        <v>3216349.3087148443</v>
      </c>
      <c r="F37" s="431"/>
      <c r="G37" s="459">
        <v>3</v>
      </c>
      <c r="H37" s="459">
        <v>30</v>
      </c>
      <c r="I37" s="444">
        <f t="shared" ca="1" si="5"/>
        <v>3805897.6709680236</v>
      </c>
      <c r="J37" s="444">
        <f t="array" ref="J37">IFERROR(INDEX('Retirement Calculator'!K:K,MATCH('Lorri 401b'!N37,'Retirement Calculator'!A:A,0),0),0)</f>
        <v>0</v>
      </c>
      <c r="K37" s="444">
        <f t="shared" ca="1" si="2"/>
        <v>15857.906962366762</v>
      </c>
      <c r="L37" s="444">
        <f t="shared" ca="1" si="3"/>
        <v>3821755.5779303904</v>
      </c>
      <c r="M37" s="460">
        <f t="shared" si="6"/>
        <v>0.05</v>
      </c>
      <c r="N37" s="464">
        <f t="shared" si="7"/>
        <v>52171</v>
      </c>
    </row>
    <row r="38" spans="1:14" ht="11.25" customHeight="1" x14ac:dyDescent="0.3">
      <c r="A38" s="459">
        <v>31</v>
      </c>
      <c r="B38" s="447">
        <f t="shared" ca="1" si="4"/>
        <v>3216349.3087148443</v>
      </c>
      <c r="C38" s="447">
        <f t="shared" si="0"/>
        <v>244406.34317494548</v>
      </c>
      <c r="D38" s="447">
        <f ca="1">SUMIF(G:G,31,K:K)</f>
        <v>157833.00627184648</v>
      </c>
      <c r="E38" s="447">
        <f t="shared" ca="1" si="1"/>
        <v>3129775.9718117453</v>
      </c>
      <c r="F38" s="431"/>
      <c r="G38" s="459">
        <v>3</v>
      </c>
      <c r="H38" s="459">
        <v>31</v>
      </c>
      <c r="I38" s="444">
        <f t="shared" ca="1" si="5"/>
        <v>3821755.5779303904</v>
      </c>
      <c r="J38" s="444">
        <f t="array" ref="J38">IFERROR(INDEX('Retirement Calculator'!K:K,MATCH('Lorri 401b'!N38,'Retirement Calculator'!A:A,0),0),0)</f>
        <v>0</v>
      </c>
      <c r="K38" s="444">
        <f t="shared" ca="1" si="2"/>
        <v>15923.98157470996</v>
      </c>
      <c r="L38" s="444">
        <f t="shared" ca="1" si="3"/>
        <v>3837679.5595051004</v>
      </c>
      <c r="M38" s="460">
        <f t="shared" si="6"/>
        <v>0.05</v>
      </c>
      <c r="N38" s="464">
        <f t="shared" si="7"/>
        <v>52201</v>
      </c>
    </row>
    <row r="39" spans="1:14" ht="11.25" customHeight="1" x14ac:dyDescent="0.3">
      <c r="A39" s="459">
        <v>32</v>
      </c>
      <c r="B39" s="447">
        <f t="shared" ca="1" si="4"/>
        <v>3129775.9718117453</v>
      </c>
      <c r="C39" s="447">
        <f t="shared" si="0"/>
        <v>244406.34317494548</v>
      </c>
      <c r="D39" s="447">
        <f ca="1">SUMIF(G:G,32,K:K)</f>
        <v>153403.75004992925</v>
      </c>
      <c r="E39" s="447">
        <f t="shared" ca="1" si="1"/>
        <v>3038773.3786867289</v>
      </c>
      <c r="F39" s="431"/>
      <c r="G39" s="459">
        <v>3</v>
      </c>
      <c r="H39" s="459">
        <v>32</v>
      </c>
      <c r="I39" s="444">
        <f t="shared" ca="1" si="5"/>
        <v>3837679.5595051004</v>
      </c>
      <c r="J39" s="444">
        <f t="array" ref="J39">IFERROR(INDEX('Retirement Calculator'!K:K,MATCH('Lorri 401b'!N39,'Retirement Calculator'!A:A,0),0),0)</f>
        <v>0</v>
      </c>
      <c r="K39" s="444">
        <f t="shared" ca="1" si="2"/>
        <v>15990.331497937917</v>
      </c>
      <c r="L39" s="444">
        <f t="shared" ca="1" si="3"/>
        <v>3853669.8910030383</v>
      </c>
      <c r="M39" s="460">
        <f t="shared" si="6"/>
        <v>0.05</v>
      </c>
      <c r="N39" s="464">
        <f t="shared" si="7"/>
        <v>52232</v>
      </c>
    </row>
    <row r="40" spans="1:14" ht="11.25" customHeight="1" x14ac:dyDescent="0.3">
      <c r="A40" s="459">
        <v>33</v>
      </c>
      <c r="B40" s="447">
        <f t="shared" ca="1" si="4"/>
        <v>3038773.3786867289</v>
      </c>
      <c r="C40" s="447">
        <f t="shared" si="0"/>
        <v>244406.34317494548</v>
      </c>
      <c r="D40" s="447">
        <f ca="1">SUMIF(G:G,33,K:K)</f>
        <v>148747.88467349421</v>
      </c>
      <c r="E40" s="447">
        <f t="shared" ca="1" si="1"/>
        <v>2943114.9201852777</v>
      </c>
      <c r="F40" s="431"/>
      <c r="G40" s="459">
        <v>3</v>
      </c>
      <c r="H40" s="459">
        <v>33</v>
      </c>
      <c r="I40" s="444">
        <f t="shared" ca="1" si="5"/>
        <v>3853669.8910030383</v>
      </c>
      <c r="J40" s="444">
        <f t="array" ref="J40">IFERROR(INDEX('Retirement Calculator'!K:K,MATCH('Lorri 401b'!N40,'Retirement Calculator'!A:A,0),0),0)</f>
        <v>0</v>
      </c>
      <c r="K40" s="444">
        <f t="shared" ca="1" si="2"/>
        <v>16056.957879179325</v>
      </c>
      <c r="L40" s="444">
        <f t="shared" ca="1" si="3"/>
        <v>3869726.8488822174</v>
      </c>
      <c r="M40" s="460">
        <f t="shared" si="6"/>
        <v>0.05</v>
      </c>
      <c r="N40" s="464">
        <f t="shared" si="7"/>
        <v>52263</v>
      </c>
    </row>
    <row r="41" spans="1:14" ht="11.25" customHeight="1" x14ac:dyDescent="0.3">
      <c r="A41" s="459">
        <v>34</v>
      </c>
      <c r="B41" s="447">
        <f t="shared" ca="1" si="4"/>
        <v>2943114.9201852777</v>
      </c>
      <c r="C41" s="447">
        <f t="shared" si="0"/>
        <v>244406.34317494548</v>
      </c>
      <c r="D41" s="447">
        <f ca="1">SUMIF(G:G,34,K:K)</f>
        <v>143853.81638811895</v>
      </c>
      <c r="E41" s="447">
        <f t="shared" ca="1" si="1"/>
        <v>2842562.3933984512</v>
      </c>
      <c r="F41" s="431"/>
      <c r="G41" s="459">
        <v>3</v>
      </c>
      <c r="H41" s="459">
        <v>34</v>
      </c>
      <c r="I41" s="444">
        <f t="shared" ca="1" si="5"/>
        <v>3869726.8488822174</v>
      </c>
      <c r="J41" s="444">
        <f t="array" ref="J41">IFERROR(INDEX('Retirement Calculator'!K:K,MATCH('Lorri 401b'!N41,'Retirement Calculator'!A:A,0),0),0)</f>
        <v>0</v>
      </c>
      <c r="K41" s="444">
        <f t="shared" ca="1" si="2"/>
        <v>16123.861870342573</v>
      </c>
      <c r="L41" s="444">
        <f t="shared" ca="1" si="3"/>
        <v>3885850.7107525598</v>
      </c>
      <c r="M41" s="460">
        <f t="shared" si="6"/>
        <v>0.05</v>
      </c>
      <c r="N41" s="464">
        <f t="shared" si="7"/>
        <v>52291</v>
      </c>
    </row>
    <row r="42" spans="1:14" ht="11.25" customHeight="1" x14ac:dyDescent="0.3">
      <c r="A42" s="459">
        <v>35</v>
      </c>
      <c r="B42" s="447">
        <f t="shared" ca="1" si="4"/>
        <v>2842562.3933984512</v>
      </c>
      <c r="C42" s="447">
        <f t="shared" si="0"/>
        <v>244406.34317494548</v>
      </c>
      <c r="D42" s="447">
        <f ca="1">SUMIF(G:G,35,K:K)</f>
        <v>138709.35828090107</v>
      </c>
      <c r="E42" s="447">
        <f t="shared" ca="1" si="1"/>
        <v>2736865.4085044065</v>
      </c>
      <c r="F42" s="431"/>
      <c r="G42" s="459">
        <v>3</v>
      </c>
      <c r="H42" s="459">
        <v>35</v>
      </c>
      <c r="I42" s="444">
        <f t="shared" ca="1" si="5"/>
        <v>3885850.7107525598</v>
      </c>
      <c r="J42" s="444">
        <f t="array" ref="J42">IFERROR(INDEX('Retirement Calculator'!K:K,MATCH('Lorri 401b'!N42,'Retirement Calculator'!A:A,0),0),0)</f>
        <v>0</v>
      </c>
      <c r="K42" s="444">
        <f t="shared" ca="1" si="2"/>
        <v>16191.044628135665</v>
      </c>
      <c r="L42" s="444">
        <f t="shared" ca="1" si="3"/>
        <v>3902041.7553806957</v>
      </c>
      <c r="M42" s="460">
        <f t="shared" si="6"/>
        <v>0.05</v>
      </c>
      <c r="N42" s="464">
        <f t="shared" si="7"/>
        <v>52322</v>
      </c>
    </row>
    <row r="43" spans="1:14" ht="11.25" customHeight="1" x14ac:dyDescent="0.3">
      <c r="A43" s="459">
        <v>36</v>
      </c>
      <c r="B43" s="447">
        <f t="shared" ca="1" si="4"/>
        <v>2736865.4085044065</v>
      </c>
      <c r="C43" s="447">
        <f t="shared" si="0"/>
        <v>244406.34317494548</v>
      </c>
      <c r="D43" s="447">
        <f ca="1">SUMIF(G:G,36,K:K)</f>
        <v>133301.69993334485</v>
      </c>
      <c r="E43" s="447">
        <f t="shared" ca="1" si="1"/>
        <v>2625760.7652628059</v>
      </c>
      <c r="F43" s="431"/>
      <c r="G43" s="459">
        <v>3</v>
      </c>
      <c r="H43" s="459">
        <v>36</v>
      </c>
      <c r="I43" s="444">
        <f t="shared" ca="1" si="5"/>
        <v>3902041.7553806957</v>
      </c>
      <c r="J43" s="444">
        <f t="array" ref="J43">IFERROR(INDEX('Retirement Calculator'!K:K,MATCH('Lorri 401b'!N43,'Retirement Calculator'!A:A,0),0),0)</f>
        <v>0</v>
      </c>
      <c r="K43" s="444">
        <f t="shared" ca="1" si="2"/>
        <v>16258.507314086231</v>
      </c>
      <c r="L43" s="444">
        <f t="shared" ca="1" si="3"/>
        <v>3918300.2626947821</v>
      </c>
      <c r="M43" s="460">
        <f t="shared" si="6"/>
        <v>0.05</v>
      </c>
      <c r="N43" s="464">
        <f t="shared" si="7"/>
        <v>52352</v>
      </c>
    </row>
    <row r="44" spans="1:14" ht="11.25" customHeight="1" x14ac:dyDescent="0.3">
      <c r="A44" s="459">
        <v>37</v>
      </c>
      <c r="B44" s="447">
        <f t="shared" ca="1" si="4"/>
        <v>2625760.7652628059</v>
      </c>
      <c r="C44" s="447">
        <f t="shared" si="0"/>
        <v>244406.34317494548</v>
      </c>
      <c r="D44" s="447">
        <f ca="1">SUMIF(G:G,37,K:K)</f>
        <v>127617.37552163169</v>
      </c>
      <c r="E44" s="447">
        <f t="shared" ca="1" si="1"/>
        <v>2508971.7976094922</v>
      </c>
      <c r="F44" s="431"/>
      <c r="G44" s="459">
        <v>4</v>
      </c>
      <c r="H44" s="459">
        <v>37</v>
      </c>
      <c r="I44" s="444">
        <f t="shared" ca="1" si="5"/>
        <v>3918300.2626947821</v>
      </c>
      <c r="J44" s="444">
        <f t="array" ref="J44">IFERROR(INDEX('Retirement Calculator'!K:K,MATCH('Lorri 401b'!N44,'Retirement Calculator'!A:A,0),0),0)</f>
        <v>0</v>
      </c>
      <c r="K44" s="444">
        <f t="shared" ca="1" si="2"/>
        <v>16326.251094561594</v>
      </c>
      <c r="L44" s="444">
        <f t="shared" ca="1" si="3"/>
        <v>3934626.5137893436</v>
      </c>
      <c r="M44" s="460">
        <f t="shared" si="6"/>
        <v>0.05</v>
      </c>
      <c r="N44" s="464">
        <f t="shared" si="7"/>
        <v>52383</v>
      </c>
    </row>
    <row r="45" spans="1:14" ht="11.25" customHeight="1" x14ac:dyDescent="0.3">
      <c r="A45" s="459">
        <v>38</v>
      </c>
      <c r="B45" s="447">
        <f t="shared" ca="1" si="4"/>
        <v>2508971.7976094922</v>
      </c>
      <c r="C45" s="447">
        <f t="shared" si="0"/>
        <v>244406.34317494548</v>
      </c>
      <c r="D45" s="447">
        <f ca="1">SUMIF(G:G,38,K:K)</f>
        <v>121642.2302848398</v>
      </c>
      <c r="E45" s="447">
        <f t="shared" ca="1" si="1"/>
        <v>2386207.6847193865</v>
      </c>
      <c r="F45" s="431"/>
      <c r="G45" s="459">
        <v>4</v>
      </c>
      <c r="H45" s="459">
        <v>38</v>
      </c>
      <c r="I45" s="444">
        <f t="shared" ca="1" si="5"/>
        <v>3934626.5137893436</v>
      </c>
      <c r="J45" s="444">
        <f t="array" ref="J45">IFERROR(INDEX('Retirement Calculator'!K:K,MATCH('Lorri 401b'!N45,'Retirement Calculator'!A:A,0),0),0)</f>
        <v>0</v>
      </c>
      <c r="K45" s="444">
        <f t="shared" ca="1" si="2"/>
        <v>16394.27714078893</v>
      </c>
      <c r="L45" s="444">
        <f t="shared" ca="1" si="3"/>
        <v>3951020.7909301324</v>
      </c>
      <c r="M45" s="460">
        <f t="shared" si="6"/>
        <v>0.05</v>
      </c>
      <c r="N45" s="464">
        <f t="shared" si="7"/>
        <v>52413</v>
      </c>
    </row>
    <row r="46" spans="1:14" ht="11.25" customHeight="1" x14ac:dyDescent="0.3">
      <c r="A46" s="459">
        <v>39</v>
      </c>
      <c r="B46" s="447">
        <f t="shared" ca="1" si="4"/>
        <v>2386207.6847193865</v>
      </c>
      <c r="C46" s="447">
        <f t="shared" si="0"/>
        <v>244406.34317494548</v>
      </c>
      <c r="D46" s="447">
        <f ca="1">SUMIF(G:G,39,K:K)</f>
        <v>115361.38527761461</v>
      </c>
      <c r="E46" s="447">
        <f t="shared" ca="1" si="1"/>
        <v>2257162.7268220554</v>
      </c>
      <c r="F46" s="431"/>
      <c r="G46" s="459">
        <v>4</v>
      </c>
      <c r="H46" s="459">
        <v>39</v>
      </c>
      <c r="I46" s="444">
        <f t="shared" ca="1" si="5"/>
        <v>3951020.7909301324</v>
      </c>
      <c r="J46" s="444">
        <f t="array" ref="J46">IFERROR(INDEX('Retirement Calculator'!K:K,MATCH('Lorri 401b'!N46,'Retirement Calculator'!A:A,0),0),0)</f>
        <v>0</v>
      </c>
      <c r="K46" s="444">
        <f t="shared" ca="1" si="2"/>
        <v>16462.58662887555</v>
      </c>
      <c r="L46" s="444">
        <f t="shared" ca="1" si="3"/>
        <v>3967483.3775590081</v>
      </c>
      <c r="M46" s="460">
        <f t="shared" si="6"/>
        <v>0.05</v>
      </c>
      <c r="N46" s="464">
        <f t="shared" si="7"/>
        <v>52444</v>
      </c>
    </row>
    <row r="47" spans="1:14" ht="11.25" customHeight="1" x14ac:dyDescent="0.3">
      <c r="A47" s="459">
        <v>40</v>
      </c>
      <c r="B47" s="447">
        <f t="shared" ca="1" si="4"/>
        <v>2257162.7268220554</v>
      </c>
      <c r="C47" s="447">
        <f t="shared" si="0"/>
        <v>244406.34317494548</v>
      </c>
      <c r="D47" s="447">
        <f ca="1">SUMIF(G:G,40,K:K)</f>
        <v>108759.2003195188</v>
      </c>
      <c r="E47" s="447">
        <f t="shared" ca="1" si="1"/>
        <v>2121515.5839666286</v>
      </c>
      <c r="F47" s="431"/>
      <c r="G47" s="459">
        <v>4</v>
      </c>
      <c r="H47" s="459">
        <v>40</v>
      </c>
      <c r="I47" s="444">
        <f t="shared" ca="1" si="5"/>
        <v>3967483.3775590081</v>
      </c>
      <c r="J47" s="444">
        <f t="array" ref="J47">IFERROR(INDEX('Retirement Calculator'!K:K,MATCH('Lorri 401b'!N47,'Retirement Calculator'!A:A,0),0),0)</f>
        <v>0</v>
      </c>
      <c r="K47" s="444">
        <f t="shared" ca="1" si="2"/>
        <v>16531.1807398292</v>
      </c>
      <c r="L47" s="444">
        <f t="shared" ca="1" si="3"/>
        <v>3984014.5582988374</v>
      </c>
      <c r="M47" s="460">
        <f t="shared" si="6"/>
        <v>0.05</v>
      </c>
      <c r="N47" s="464">
        <f t="shared" si="7"/>
        <v>52475</v>
      </c>
    </row>
    <row r="48" spans="1:14" ht="11.25" customHeight="1" x14ac:dyDescent="0.3">
      <c r="A48" s="459">
        <v>41</v>
      </c>
      <c r="B48" s="447">
        <f t="shared" ca="1" si="4"/>
        <v>2121515.5839666286</v>
      </c>
      <c r="C48" s="447">
        <f t="shared" si="0"/>
        <v>244406.34317494548</v>
      </c>
      <c r="D48" s="447">
        <f ca="1">SUMIF(G:G,41,K:K)</f>
        <v>101819.2350488006</v>
      </c>
      <c r="E48" s="447">
        <f t="shared" ca="1" si="1"/>
        <v>1978928.4758404838</v>
      </c>
      <c r="F48" s="431"/>
      <c r="G48" s="459">
        <v>4</v>
      </c>
      <c r="H48" s="459">
        <v>41</v>
      </c>
      <c r="I48" s="444">
        <f t="shared" ca="1" si="5"/>
        <v>3984014.5582988374</v>
      </c>
      <c r="J48" s="444">
        <f t="array" ref="J48">IFERROR(INDEX('Retirement Calculator'!K:K,MATCH('Lorri 401b'!N48,'Retirement Calculator'!A:A,0),0),0)</f>
        <v>0</v>
      </c>
      <c r="K48" s="444">
        <f t="shared" ca="1" si="2"/>
        <v>16600.060659578488</v>
      </c>
      <c r="L48" s="444">
        <f t="shared" ca="1" si="3"/>
        <v>4000614.6189584159</v>
      </c>
      <c r="M48" s="460">
        <f t="shared" si="6"/>
        <v>0.05</v>
      </c>
      <c r="N48" s="464">
        <f t="shared" si="7"/>
        <v>52505</v>
      </c>
    </row>
    <row r="49" spans="1:14" ht="11.25" customHeight="1" x14ac:dyDescent="0.3">
      <c r="A49" s="459">
        <v>42</v>
      </c>
      <c r="B49" s="447">
        <f t="shared" ca="1" si="4"/>
        <v>1978928.4758404838</v>
      </c>
      <c r="C49" s="447">
        <f t="shared" si="0"/>
        <v>244406.34317494548</v>
      </c>
      <c r="D49" s="447">
        <f ca="1">SUMIF(G:G,42,K:K)</f>
        <v>94524.207983599088</v>
      </c>
      <c r="E49" s="447">
        <f t="shared" ca="1" si="1"/>
        <v>1829046.3406491373</v>
      </c>
      <c r="F49" s="431"/>
      <c r="G49" s="459">
        <v>4</v>
      </c>
      <c r="H49" s="459">
        <v>42</v>
      </c>
      <c r="I49" s="444">
        <f t="shared" ca="1" si="5"/>
        <v>4000614.6189584159</v>
      </c>
      <c r="J49" s="444">
        <f t="array" ref="J49">IFERROR(INDEX('Retirement Calculator'!K:K,MATCH('Lorri 401b'!N49,'Retirement Calculator'!A:A,0),0),0)</f>
        <v>0</v>
      </c>
      <c r="K49" s="444">
        <f t="shared" ca="1" si="2"/>
        <v>16669.227578993399</v>
      </c>
      <c r="L49" s="444">
        <f t="shared" ca="1" si="3"/>
        <v>4017283.8465374094</v>
      </c>
      <c r="M49" s="460">
        <f t="shared" si="6"/>
        <v>0.05</v>
      </c>
      <c r="N49" s="464">
        <f t="shared" si="7"/>
        <v>52536</v>
      </c>
    </row>
    <row r="50" spans="1:14" ht="11.25" customHeight="1" x14ac:dyDescent="0.3">
      <c r="A50" s="459">
        <v>43</v>
      </c>
      <c r="B50" s="447">
        <f t="shared" ca="1" si="4"/>
        <v>1829046.3406491373</v>
      </c>
      <c r="C50" s="447">
        <f t="shared" si="0"/>
        <v>244406.34317494548</v>
      </c>
      <c r="D50" s="447">
        <f ca="1">SUMIF(G:G,43,K:K)</f>
        <v>86855.953488643281</v>
      </c>
      <c r="E50" s="447">
        <f t="shared" ca="1" si="1"/>
        <v>1671495.950962835</v>
      </c>
      <c r="F50" s="431"/>
      <c r="G50" s="459">
        <v>4</v>
      </c>
      <c r="H50" s="459">
        <v>43</v>
      </c>
      <c r="I50" s="444">
        <f t="shared" ca="1" si="5"/>
        <v>4017283.8465374094</v>
      </c>
      <c r="J50" s="444">
        <f t="array" ref="J50">IFERROR(INDEX('Retirement Calculator'!K:K,MATCH('Lorri 401b'!N50,'Retirement Calculator'!A:A,0),0),0)</f>
        <v>0</v>
      </c>
      <c r="K50" s="444">
        <f t="shared" ca="1" si="2"/>
        <v>16738.682693905874</v>
      </c>
      <c r="L50" s="444">
        <f t="shared" ca="1" si="3"/>
        <v>4034022.529231315</v>
      </c>
      <c r="M50" s="460">
        <f t="shared" si="6"/>
        <v>0.05</v>
      </c>
      <c r="N50" s="464">
        <f t="shared" si="7"/>
        <v>52566</v>
      </c>
    </row>
    <row r="51" spans="1:14" ht="11.25" customHeight="1" x14ac:dyDescent="0.3">
      <c r="A51" s="459">
        <v>44</v>
      </c>
      <c r="B51" s="447">
        <f t="shared" ca="1" si="4"/>
        <v>1671495.950962835</v>
      </c>
      <c r="C51" s="447">
        <f t="shared" si="0"/>
        <v>244406.34317494548</v>
      </c>
      <c r="D51" s="447">
        <f ca="1">SUMIF(G:G,44,K:K)</f>
        <v>78795.376540285419</v>
      </c>
      <c r="E51" s="447">
        <f t="shared" ca="1" si="1"/>
        <v>1505884.984328175</v>
      </c>
      <c r="F51" s="431"/>
      <c r="G51" s="459">
        <v>4</v>
      </c>
      <c r="H51" s="459">
        <v>44</v>
      </c>
      <c r="I51" s="444">
        <f t="shared" ca="1" si="5"/>
        <v>4034022.529231315</v>
      </c>
      <c r="J51" s="444">
        <f t="array" ref="J51">IFERROR(INDEX('Retirement Calculator'!K:K,MATCH('Lorri 401b'!N51,'Retirement Calculator'!A:A,0),0),0)</f>
        <v>0</v>
      </c>
      <c r="K51" s="444">
        <f t="shared" ca="1" si="2"/>
        <v>16808.42720513048</v>
      </c>
      <c r="L51" s="444">
        <f t="shared" ca="1" si="3"/>
        <v>4050830.9564364455</v>
      </c>
      <c r="M51" s="460">
        <f t="shared" si="6"/>
        <v>0.05</v>
      </c>
      <c r="N51" s="464">
        <f t="shared" si="7"/>
        <v>52597</v>
      </c>
    </row>
    <row r="52" spans="1:14" ht="11.25" customHeight="1" x14ac:dyDescent="0.3">
      <c r="A52" s="459">
        <v>45</v>
      </c>
      <c r="B52" s="447">
        <f t="shared" ca="1" si="4"/>
        <v>1505884.984328175</v>
      </c>
      <c r="C52" s="447">
        <f t="shared" si="0"/>
        <v>244406.34317494548</v>
      </c>
      <c r="D52" s="447">
        <f ca="1">SUMIF(G:G,45,K:K)</f>
        <v>70322.405177227818</v>
      </c>
      <c r="E52" s="447">
        <f t="shared" ca="1" si="1"/>
        <v>1331801.0463304573</v>
      </c>
      <c r="F52" s="431"/>
      <c r="G52" s="459">
        <v>4</v>
      </c>
      <c r="H52" s="459">
        <v>45</v>
      </c>
      <c r="I52" s="444">
        <f t="shared" ca="1" si="5"/>
        <v>4050830.9564364455</v>
      </c>
      <c r="J52" s="444">
        <f t="array" ref="J52">IFERROR(INDEX('Retirement Calculator'!K:K,MATCH('Lorri 401b'!N52,'Retirement Calculator'!A:A,0),0),0)</f>
        <v>0</v>
      </c>
      <c r="K52" s="444">
        <f t="shared" ca="1" si="2"/>
        <v>16878.462318485188</v>
      </c>
      <c r="L52" s="444">
        <f t="shared" ca="1" si="3"/>
        <v>4067709.4187549306</v>
      </c>
      <c r="M52" s="460">
        <f t="shared" si="6"/>
        <v>0.05</v>
      </c>
      <c r="N52" s="464">
        <f t="shared" si="7"/>
        <v>52628</v>
      </c>
    </row>
    <row r="53" spans="1:14" ht="11.25" customHeight="1" x14ac:dyDescent="0.3">
      <c r="A53" s="459">
        <v>46</v>
      </c>
      <c r="B53" s="447">
        <f t="shared" ca="1" si="4"/>
        <v>1331801.0463304573</v>
      </c>
      <c r="C53" s="447">
        <f t="shared" si="0"/>
        <v>244406.34317494548</v>
      </c>
      <c r="D53" s="447">
        <f ca="1">SUMIF(G:G,46,K:K)</f>
        <v>61415.940518538599</v>
      </c>
      <c r="E53" s="447">
        <f t="shared" ca="1" si="1"/>
        <v>1148810.6436740505</v>
      </c>
      <c r="F53" s="431"/>
      <c r="G53" s="459">
        <v>4</v>
      </c>
      <c r="H53" s="459">
        <v>46</v>
      </c>
      <c r="I53" s="444">
        <f t="shared" ca="1" si="5"/>
        <v>4067709.4187549306</v>
      </c>
      <c r="J53" s="444">
        <f t="array" ref="J53">IFERROR(INDEX('Retirement Calculator'!K:K,MATCH('Lorri 401b'!N53,'Retirement Calculator'!A:A,0),0),0)</f>
        <v>0</v>
      </c>
      <c r="K53" s="444">
        <f t="shared" ca="1" si="2"/>
        <v>16948.789244812211</v>
      </c>
      <c r="L53" s="444">
        <f t="shared" ca="1" si="3"/>
        <v>4084658.2079997426</v>
      </c>
      <c r="M53" s="460">
        <f t="shared" si="6"/>
        <v>0.05</v>
      </c>
      <c r="N53" s="464">
        <f t="shared" si="7"/>
        <v>52657</v>
      </c>
    </row>
    <row r="54" spans="1:14" ht="11.25" customHeight="1" x14ac:dyDescent="0.3">
      <c r="A54" s="459">
        <v>47</v>
      </c>
      <c r="B54" s="447">
        <f t="shared" ca="1" si="4"/>
        <v>1148810.6436740505</v>
      </c>
      <c r="C54" s="447">
        <f t="shared" si="0"/>
        <v>244406.34317494548</v>
      </c>
      <c r="D54" s="447">
        <f ca="1">SUMIF(G:G,47,K:K)</f>
        <v>52053.804224494292</v>
      </c>
      <c r="E54" s="447">
        <f t="shared" ca="1" si="1"/>
        <v>956458.10472359927</v>
      </c>
      <c r="F54" s="431"/>
      <c r="G54" s="459">
        <v>4</v>
      </c>
      <c r="H54" s="459">
        <v>47</v>
      </c>
      <c r="I54" s="444">
        <f t="shared" ca="1" si="5"/>
        <v>4084658.2079997426</v>
      </c>
      <c r="J54" s="444">
        <f t="array" ref="J54">IFERROR(INDEX('Retirement Calculator'!K:K,MATCH('Lorri 401b'!N54,'Retirement Calculator'!A:A,0),0),0)</f>
        <v>0</v>
      </c>
      <c r="K54" s="444">
        <f t="shared" ca="1" si="2"/>
        <v>17019.409199998929</v>
      </c>
      <c r="L54" s="444">
        <f t="shared" ca="1" si="3"/>
        <v>4101677.6171997413</v>
      </c>
      <c r="M54" s="460">
        <f t="shared" si="6"/>
        <v>0.05</v>
      </c>
      <c r="N54" s="464">
        <f t="shared" si="7"/>
        <v>52688</v>
      </c>
    </row>
    <row r="55" spans="1:14" ht="11.25" customHeight="1" x14ac:dyDescent="0.3">
      <c r="A55" s="459">
        <v>48</v>
      </c>
      <c r="B55" s="447">
        <f t="shared" ca="1" si="4"/>
        <v>956458.10472359927</v>
      </c>
      <c r="C55" s="447">
        <f t="shared" si="0"/>
        <v>244406.34317494548</v>
      </c>
      <c r="D55" s="447">
        <f ca="1">SUMIF(G:G,48,K:K)</f>
        <v>42212.68326941922</v>
      </c>
      <c r="E55" s="447">
        <f t="shared" ca="1" si="1"/>
        <v>754264.44481807307</v>
      </c>
      <c r="F55" s="431"/>
      <c r="G55" s="459">
        <v>4</v>
      </c>
      <c r="H55" s="459">
        <v>48</v>
      </c>
      <c r="I55" s="444">
        <f t="shared" ca="1" si="5"/>
        <v>4101677.6171997413</v>
      </c>
      <c r="J55" s="444">
        <f t="array" ref="J55">IFERROR(INDEX('Retirement Calculator'!K:K,MATCH('Lorri 401b'!N55,'Retirement Calculator'!A:A,0),0),0)</f>
        <v>0</v>
      </c>
      <c r="K55" s="444">
        <f t="shared" ca="1" si="2"/>
        <v>17090.323404998922</v>
      </c>
      <c r="L55" s="444">
        <f t="shared" ca="1" si="3"/>
        <v>4118767.9406047403</v>
      </c>
      <c r="M55" s="460">
        <f t="shared" si="6"/>
        <v>0.05</v>
      </c>
      <c r="N55" s="464">
        <f t="shared" si="7"/>
        <v>52718</v>
      </c>
    </row>
    <row r="56" spans="1:14" ht="11.25" customHeight="1" x14ac:dyDescent="0.3">
      <c r="A56" s="459">
        <v>49</v>
      </c>
      <c r="B56" s="447">
        <f t="shared" ca="1" si="4"/>
        <v>754264.44481807307</v>
      </c>
      <c r="C56" s="447">
        <f t="shared" si="0"/>
        <v>244406.34317494548</v>
      </c>
      <c r="D56" s="447">
        <f ca="1">SUMIF(G:G,49,K:K)</f>
        <v>31868.071888998791</v>
      </c>
      <c r="E56" s="447">
        <f t="shared" ca="1" si="1"/>
        <v>541726.17353212647</v>
      </c>
      <c r="F56" s="431"/>
      <c r="G56" s="459">
        <f>G55+1</f>
        <v>5</v>
      </c>
      <c r="H56" s="459">
        <v>49</v>
      </c>
      <c r="I56" s="444">
        <f t="shared" ca="1" si="5"/>
        <v>4118767.9406047403</v>
      </c>
      <c r="J56" s="444">
        <f t="array" ref="J56">IFERROR(INDEX('Retirement Calculator'!K:K,MATCH('Lorri 401b'!N56,'Retirement Calculator'!A:A,0),0),0)</f>
        <v>0</v>
      </c>
      <c r="K56" s="444">
        <f t="shared" ca="1" si="2"/>
        <v>17161.533085853087</v>
      </c>
      <c r="L56" s="444">
        <f t="shared" ca="1" si="3"/>
        <v>4135929.4736905931</v>
      </c>
      <c r="M56" s="460">
        <f t="shared" si="6"/>
        <v>0.05</v>
      </c>
      <c r="N56" s="464">
        <f t="shared" si="7"/>
        <v>52749</v>
      </c>
    </row>
    <row r="57" spans="1:14" ht="11.25" customHeight="1" x14ac:dyDescent="0.3">
      <c r="A57" s="459">
        <v>50</v>
      </c>
      <c r="B57" s="447">
        <f t="shared" ca="1" si="4"/>
        <v>541726.17353212647</v>
      </c>
      <c r="C57" s="447">
        <f t="shared" si="0"/>
        <v>244406.34317494548</v>
      </c>
      <c r="D57" s="447">
        <f ca="1">SUMIF(G:G,50,K:K)</f>
        <v>20994.210557507067</v>
      </c>
      <c r="E57" s="447">
        <f t="shared" ca="1" si="1"/>
        <v>318314.04091468808</v>
      </c>
      <c r="F57" s="431"/>
      <c r="G57" s="459">
        <f t="shared" ref="G57:G67" si="8">G56</f>
        <v>5</v>
      </c>
      <c r="H57" s="459">
        <v>50</v>
      </c>
      <c r="I57" s="444">
        <f t="shared" ca="1" si="5"/>
        <v>4135929.4736905931</v>
      </c>
      <c r="J57" s="444">
        <f t="array" ref="J57">IFERROR(INDEX('Retirement Calculator'!K:K,MATCH('Lorri 401b'!N57,'Retirement Calculator'!A:A,0),0),0)</f>
        <v>0</v>
      </c>
      <c r="K57" s="444">
        <f t="shared" ca="1" si="2"/>
        <v>17233.039473710807</v>
      </c>
      <c r="L57" s="444">
        <f t="shared" ca="1" si="3"/>
        <v>4153162.5131643037</v>
      </c>
      <c r="M57" s="460">
        <f t="shared" si="6"/>
        <v>0.05</v>
      </c>
      <c r="N57" s="464">
        <f t="shared" si="7"/>
        <v>52779</v>
      </c>
    </row>
    <row r="58" spans="1:14" ht="11.25" customHeight="1" x14ac:dyDescent="0.3">
      <c r="A58" s="459">
        <v>51</v>
      </c>
      <c r="B58" s="447">
        <f t="shared" ca="1" si="4"/>
        <v>318314.04091468808</v>
      </c>
      <c r="C58" s="447">
        <f t="shared" si="0"/>
        <v>244406.34317494548</v>
      </c>
      <c r="D58" s="447">
        <f ca="1">SUMIF(G:G,51,K:K)</f>
        <v>9564.0218429934503</v>
      </c>
      <c r="E58" s="447">
        <f t="shared" ca="1" si="1"/>
        <v>83471.719582736056</v>
      </c>
      <c r="F58" s="431"/>
      <c r="G58" s="459">
        <f t="shared" si="8"/>
        <v>5</v>
      </c>
      <c r="H58" s="459">
        <v>51</v>
      </c>
      <c r="I58" s="444">
        <f t="shared" ca="1" si="5"/>
        <v>4153162.5131643037</v>
      </c>
      <c r="J58" s="444">
        <f t="array" ref="J58">IFERROR(INDEX('Retirement Calculator'!K:K,MATCH('Lorri 401b'!N58,'Retirement Calculator'!A:A,0),0),0)</f>
        <v>0</v>
      </c>
      <c r="K58" s="444">
        <f t="shared" ca="1" si="2"/>
        <v>17304.843804851262</v>
      </c>
      <c r="L58" s="444">
        <f t="shared" ca="1" si="3"/>
        <v>4170467.3569691549</v>
      </c>
      <c r="M58" s="460">
        <f t="shared" si="6"/>
        <v>0.05</v>
      </c>
      <c r="N58" s="464">
        <f t="shared" si="7"/>
        <v>52810</v>
      </c>
    </row>
    <row r="59" spans="1:14" ht="11.25" customHeight="1" x14ac:dyDescent="0.3">
      <c r="A59" s="459">
        <v>52</v>
      </c>
      <c r="B59" s="447">
        <f t="shared" ca="1" si="4"/>
        <v>83471.719582736056</v>
      </c>
      <c r="C59" s="447">
        <f t="shared" si="0"/>
        <v>244406.34317494548</v>
      </c>
      <c r="D59" s="447">
        <f ca="1">SUMIF(G:G,52,K:K)</f>
        <v>-2450.9570193010486</v>
      </c>
      <c r="E59" s="447">
        <f t="shared" ca="1" si="1"/>
        <v>-163385.58061151046</v>
      </c>
      <c r="F59" s="431"/>
      <c r="G59" s="459">
        <f t="shared" si="8"/>
        <v>5</v>
      </c>
      <c r="H59" s="459">
        <v>52</v>
      </c>
      <c r="I59" s="444">
        <f t="shared" ca="1" si="5"/>
        <v>4170467.3569691549</v>
      </c>
      <c r="J59" s="444">
        <f t="array" ref="J59">IFERROR(INDEX('Retirement Calculator'!K:K,MATCH('Lorri 401b'!N59,'Retirement Calculator'!A:A,0),0),0)</f>
        <v>0</v>
      </c>
      <c r="K59" s="444">
        <f t="shared" ca="1" si="2"/>
        <v>17376.94732070481</v>
      </c>
      <c r="L59" s="444">
        <f t="shared" ca="1" si="3"/>
        <v>4187844.3042898597</v>
      </c>
      <c r="M59" s="460">
        <f t="shared" si="6"/>
        <v>0.05</v>
      </c>
      <c r="N59" s="464">
        <f t="shared" si="7"/>
        <v>52841</v>
      </c>
    </row>
    <row r="60" spans="1:14" ht="11.25" customHeight="1" x14ac:dyDescent="0.3">
      <c r="A60" s="459">
        <v>53</v>
      </c>
      <c r="B60" s="447">
        <f t="shared" ca="1" si="4"/>
        <v>-163385.58061151046</v>
      </c>
      <c r="C60" s="447">
        <f t="shared" si="0"/>
        <v>244406.34317494548</v>
      </c>
      <c r="D60" s="447">
        <f ca="1">SUMIF(G:G,53,K:K)</f>
        <v>-15080.645003199448</v>
      </c>
      <c r="E60" s="447">
        <f t="shared" ca="1" si="1"/>
        <v>-422872.5687896554</v>
      </c>
      <c r="F60" s="431"/>
      <c r="G60" s="459">
        <f t="shared" si="8"/>
        <v>5</v>
      </c>
      <c r="H60" s="459">
        <v>53</v>
      </c>
      <c r="I60" s="444">
        <f t="shared" ca="1" si="5"/>
        <v>4187844.3042898597</v>
      </c>
      <c r="J60" s="444">
        <f t="array" ref="J60">IFERROR(INDEX('Retirement Calculator'!K:K,MATCH('Lorri 401b'!N60,'Retirement Calculator'!A:A,0),0),0)</f>
        <v>0</v>
      </c>
      <c r="K60" s="444">
        <f t="shared" ca="1" si="2"/>
        <v>17449.351267874412</v>
      </c>
      <c r="L60" s="444">
        <f t="shared" ca="1" si="3"/>
        <v>4205293.655557734</v>
      </c>
      <c r="M60" s="460">
        <f t="shared" si="6"/>
        <v>0.05</v>
      </c>
      <c r="N60" s="464">
        <f t="shared" si="7"/>
        <v>52871</v>
      </c>
    </row>
    <row r="61" spans="1:14" ht="11.25" customHeight="1" x14ac:dyDescent="0.3">
      <c r="A61" s="459">
        <v>54</v>
      </c>
      <c r="B61" s="447">
        <f t="shared" ca="1" si="4"/>
        <v>-422872.5687896554</v>
      </c>
      <c r="C61" s="447">
        <f t="shared" si="0"/>
        <v>244406.34317494548</v>
      </c>
      <c r="D61" s="447">
        <f ca="1">SUMIF(G:G,54,K:K)</f>
        <v>-28356.491794008201</v>
      </c>
      <c r="E61" s="447">
        <f t="shared" ca="1" si="1"/>
        <v>-695635.40375860909</v>
      </c>
      <c r="F61" s="431"/>
      <c r="G61" s="459">
        <f t="shared" si="8"/>
        <v>5</v>
      </c>
      <c r="H61" s="459">
        <v>54</v>
      </c>
      <c r="I61" s="444">
        <f t="shared" ca="1" si="5"/>
        <v>4205293.655557734</v>
      </c>
      <c r="J61" s="444">
        <f t="array" ref="J61">IFERROR(INDEX('Retirement Calculator'!K:K,MATCH('Lorri 401b'!N61,'Retirement Calculator'!A:A,0),0),0)</f>
        <v>0</v>
      </c>
      <c r="K61" s="444">
        <f t="shared" ca="1" si="2"/>
        <v>17522.056898157225</v>
      </c>
      <c r="L61" s="444">
        <f t="shared" ca="1" si="3"/>
        <v>4222815.7124558911</v>
      </c>
      <c r="M61" s="460">
        <f t="shared" si="6"/>
        <v>0.05</v>
      </c>
      <c r="N61" s="464">
        <f t="shared" si="7"/>
        <v>52902</v>
      </c>
    </row>
    <row r="62" spans="1:14" ht="11.25" customHeight="1" x14ac:dyDescent="0.3">
      <c r="A62" s="459">
        <v>55</v>
      </c>
      <c r="B62" s="447">
        <f t="shared" ca="1" si="4"/>
        <v>-695635.40375860909</v>
      </c>
      <c r="C62" s="447">
        <f t="shared" si="0"/>
        <v>244406.34317494548</v>
      </c>
      <c r="D62" s="447">
        <f ca="1">SUMIF(G:G,55,K:K)</f>
        <v>-42311.556102621857</v>
      </c>
      <c r="E62" s="447">
        <f t="shared" ca="1" si="1"/>
        <v>-982353.30303617637</v>
      </c>
      <c r="F62" s="431"/>
      <c r="G62" s="459">
        <f t="shared" si="8"/>
        <v>5</v>
      </c>
      <c r="H62" s="459">
        <v>55</v>
      </c>
      <c r="I62" s="444">
        <f t="shared" ca="1" si="5"/>
        <v>4222815.7124558911</v>
      </c>
      <c r="J62" s="444">
        <f t="array" ref="J62">IFERROR(INDEX('Retirement Calculator'!K:K,MATCH('Lorri 401b'!N62,'Retirement Calculator'!A:A,0),0),0)</f>
        <v>0</v>
      </c>
      <c r="K62" s="444">
        <f t="shared" ca="1" si="2"/>
        <v>17595.065468566212</v>
      </c>
      <c r="L62" s="444">
        <f t="shared" ca="1" si="3"/>
        <v>4240410.7779244576</v>
      </c>
      <c r="M62" s="460">
        <f t="shared" si="6"/>
        <v>0.05</v>
      </c>
      <c r="N62" s="464">
        <f t="shared" si="7"/>
        <v>52932</v>
      </c>
    </row>
    <row r="63" spans="1:14" ht="11.25" customHeight="1" x14ac:dyDescent="0.3">
      <c r="A63" s="459">
        <v>56</v>
      </c>
      <c r="B63" s="447">
        <f t="shared" ca="1" si="4"/>
        <v>-982353.30303617637</v>
      </c>
      <c r="C63" s="447">
        <f t="shared" si="0"/>
        <v>244406.34317494548</v>
      </c>
      <c r="D63" s="447">
        <f ca="1">SUMIF(G:G,56,K:K)</f>
        <v>-56980.587986325816</v>
      </c>
      <c r="E63" s="447">
        <f t="shared" ca="1" si="1"/>
        <v>-1283740.2341974478</v>
      </c>
      <c r="F63" s="431"/>
      <c r="G63" s="459">
        <f t="shared" si="8"/>
        <v>5</v>
      </c>
      <c r="H63" s="459">
        <v>56</v>
      </c>
      <c r="I63" s="444">
        <f t="shared" ca="1" si="5"/>
        <v>4240410.7779244576</v>
      </c>
      <c r="J63" s="444">
        <f t="array" ref="J63">IFERROR(INDEX('Retirement Calculator'!K:K,MATCH('Lorri 401b'!N63,'Retirement Calculator'!A:A,0),0),0)</f>
        <v>0</v>
      </c>
      <c r="K63" s="444">
        <f t="shared" ca="1" si="2"/>
        <v>17668.378241351907</v>
      </c>
      <c r="L63" s="444">
        <f t="shared" ca="1" si="3"/>
        <v>4258079.1561658094</v>
      </c>
      <c r="M63" s="460">
        <f t="shared" si="6"/>
        <v>0.05</v>
      </c>
      <c r="N63" s="464">
        <f t="shared" si="7"/>
        <v>52963</v>
      </c>
    </row>
    <row r="64" spans="1:14" ht="11.25" customHeight="1" x14ac:dyDescent="0.3">
      <c r="A64" s="459">
        <v>57</v>
      </c>
      <c r="B64" s="447">
        <f t="shared" ca="1" si="4"/>
        <v>-1283740.2341974478</v>
      </c>
      <c r="C64" s="447">
        <f t="shared" si="0"/>
        <v>244406.34317494548</v>
      </c>
      <c r="D64" s="447">
        <f ca="1">SUMIF(G:G,57,K:K)</f>
        <v>-72400.115381287731</v>
      </c>
      <c r="E64" s="447">
        <f t="shared" ca="1" si="1"/>
        <v>-1600546.692753681</v>
      </c>
      <c r="F64" s="431"/>
      <c r="G64" s="459">
        <f t="shared" si="8"/>
        <v>5</v>
      </c>
      <c r="H64" s="459">
        <v>57</v>
      </c>
      <c r="I64" s="444">
        <f t="shared" ca="1" si="5"/>
        <v>4258079.1561658094</v>
      </c>
      <c r="J64" s="444">
        <f t="array" ref="J64">IFERROR(INDEX('Retirement Calculator'!K:K,MATCH('Lorri 401b'!N64,'Retirement Calculator'!A:A,0),0),0)</f>
        <v>0</v>
      </c>
      <c r="K64" s="444">
        <f t="shared" ca="1" si="2"/>
        <v>17741.996484024206</v>
      </c>
      <c r="L64" s="444">
        <f t="shared" ca="1" si="3"/>
        <v>4275821.1526498338</v>
      </c>
      <c r="M64" s="460">
        <f t="shared" si="6"/>
        <v>0.05</v>
      </c>
      <c r="N64" s="464">
        <f t="shared" si="7"/>
        <v>52994</v>
      </c>
    </row>
    <row r="65" spans="1:14" ht="11.25" customHeight="1" x14ac:dyDescent="0.3">
      <c r="A65" s="459">
        <v>58</v>
      </c>
      <c r="B65" s="447">
        <f t="shared" ca="1" si="4"/>
        <v>-1600546.692753681</v>
      </c>
      <c r="C65" s="447">
        <f t="shared" si="0"/>
        <v>244406.34317494548</v>
      </c>
      <c r="D65" s="447">
        <f ca="1">SUMIF(G:G,58,K:K)</f>
        <v>-88608.535062215262</v>
      </c>
      <c r="E65" s="447">
        <f t="shared" ca="1" si="1"/>
        <v>-1933561.5709908418</v>
      </c>
      <c r="F65" s="431"/>
      <c r="G65" s="459">
        <f t="shared" si="8"/>
        <v>5</v>
      </c>
      <c r="H65" s="459">
        <v>58</v>
      </c>
      <c r="I65" s="444">
        <f t="shared" ca="1" si="5"/>
        <v>4275821.1526498338</v>
      </c>
      <c r="J65" s="444">
        <f t="array" ref="J65">IFERROR(INDEX('Retirement Calculator'!K:K,MATCH('Lorri 401b'!N65,'Retirement Calculator'!A:A,0),0),0)</f>
        <v>0</v>
      </c>
      <c r="K65" s="444">
        <f t="shared" ca="1" si="2"/>
        <v>17815.921469374309</v>
      </c>
      <c r="L65" s="444">
        <f t="shared" ca="1" si="3"/>
        <v>4293637.0741192084</v>
      </c>
      <c r="M65" s="460">
        <f t="shared" si="6"/>
        <v>0.05</v>
      </c>
      <c r="N65" s="464">
        <f t="shared" si="7"/>
        <v>53022</v>
      </c>
    </row>
    <row r="66" spans="1:14" ht="11.25" customHeight="1" x14ac:dyDescent="0.3">
      <c r="A66" s="459">
        <v>59</v>
      </c>
      <c r="B66" s="447">
        <f t="shared" ca="1" si="4"/>
        <v>-1933561.5709908418</v>
      </c>
      <c r="C66" s="447">
        <f t="shared" si="0"/>
        <v>244406.34317494548</v>
      </c>
      <c r="D66" s="447">
        <f ca="1">SUMIF(G:G,59,K:K)</f>
        <v>-105646.20825568272</v>
      </c>
      <c r="E66" s="447">
        <f t="shared" ca="1" si="1"/>
        <v>-2283614.12242147</v>
      </c>
      <c r="F66" s="431"/>
      <c r="G66" s="459">
        <f t="shared" si="8"/>
        <v>5</v>
      </c>
      <c r="H66" s="459">
        <v>59</v>
      </c>
      <c r="I66" s="444">
        <f t="shared" ca="1" si="5"/>
        <v>4293637.0741192084</v>
      </c>
      <c r="J66" s="444">
        <f t="array" ref="J66">IFERROR(INDEX('Retirement Calculator'!K:K,MATCH('Lorri 401b'!N66,'Retirement Calculator'!A:A,0),0),0)</f>
        <v>0</v>
      </c>
      <c r="K66" s="444">
        <f t="shared" ca="1" si="2"/>
        <v>17890.1544754967</v>
      </c>
      <c r="L66" s="444">
        <f t="shared" ca="1" si="3"/>
        <v>4311527.2285947055</v>
      </c>
      <c r="M66" s="460">
        <f t="shared" si="6"/>
        <v>0.05</v>
      </c>
      <c r="N66" s="464">
        <f t="shared" si="7"/>
        <v>53053</v>
      </c>
    </row>
    <row r="67" spans="1:14" ht="11.25" customHeight="1" x14ac:dyDescent="0.3">
      <c r="A67" s="459">
        <v>60</v>
      </c>
      <c r="B67" s="447">
        <f t="shared" ca="1" si="4"/>
        <v>-2283614.12242147</v>
      </c>
      <c r="C67" s="447">
        <f t="shared" si="0"/>
        <v>244406.34317494548</v>
      </c>
      <c r="D67" s="447">
        <f t="shared" ref="D67:D71" ca="1" si="9">SUMIF(G:G,60,K:K)</f>
        <v>-123555.56114521666</v>
      </c>
      <c r="E67" s="447">
        <f t="shared" ca="1" si="1"/>
        <v>-2651576.0267416323</v>
      </c>
      <c r="F67" s="431"/>
      <c r="G67" s="459">
        <f t="shared" si="8"/>
        <v>5</v>
      </c>
      <c r="H67" s="459">
        <v>60</v>
      </c>
      <c r="I67" s="444">
        <f t="shared" ca="1" si="5"/>
        <v>4311527.2285947055</v>
      </c>
      <c r="J67" s="444">
        <f t="array" ref="J67">IFERROR(INDEX('Retirement Calculator'!K:K,MATCH('Lorri 401b'!N67,'Retirement Calculator'!A:A,0),0),0)</f>
        <v>0</v>
      </c>
      <c r="K67" s="444">
        <f t="shared" ca="1" si="2"/>
        <v>17964.696785811273</v>
      </c>
      <c r="L67" s="444">
        <f t="shared" ca="1" si="3"/>
        <v>4329491.9253805168</v>
      </c>
      <c r="M67" s="460">
        <f t="shared" si="6"/>
        <v>0.05</v>
      </c>
      <c r="N67" s="464">
        <f t="shared" si="7"/>
        <v>53083</v>
      </c>
    </row>
    <row r="68" spans="1:14" ht="11.25" customHeight="1" x14ac:dyDescent="0.3">
      <c r="A68" s="459">
        <v>61</v>
      </c>
      <c r="B68" s="447">
        <f t="shared" ca="1" si="4"/>
        <v>-2651576.0267416323</v>
      </c>
      <c r="C68" s="447">
        <f t="shared" si="0"/>
        <v>244406.34317494548</v>
      </c>
      <c r="D68" s="447">
        <f t="shared" ca="1" si="9"/>
        <v>-123555.56114521666</v>
      </c>
      <c r="E68" s="447">
        <f t="shared" ca="1" si="1"/>
        <v>-3019537.9310617945</v>
      </c>
      <c r="F68" s="431"/>
      <c r="G68" s="459">
        <f>G67+1</f>
        <v>6</v>
      </c>
      <c r="H68" s="459">
        <v>61</v>
      </c>
      <c r="I68" s="444">
        <f t="shared" ca="1" si="5"/>
        <v>4329491.9253805168</v>
      </c>
      <c r="J68" s="444">
        <f t="array" ref="J68">IFERROR(INDEX('Retirement Calculator'!K:K,MATCH('Lorri 401b'!N68,'Retirement Calculator'!A:A,0),0),0)</f>
        <v>0</v>
      </c>
      <c r="K68" s="444">
        <f t="shared" ca="1" si="2"/>
        <v>18039.549689085485</v>
      </c>
      <c r="L68" s="444">
        <f t="shared" ca="1" si="3"/>
        <v>4347531.475069602</v>
      </c>
      <c r="M68" s="460">
        <f t="shared" si="6"/>
        <v>0.05</v>
      </c>
      <c r="N68" s="464">
        <f t="shared" si="7"/>
        <v>53114</v>
      </c>
    </row>
    <row r="69" spans="1:14" ht="11.25" customHeight="1" x14ac:dyDescent="0.3">
      <c r="A69" s="459">
        <v>62</v>
      </c>
      <c r="B69" s="447">
        <f t="shared" ca="1" si="4"/>
        <v>-3019537.9310617945</v>
      </c>
      <c r="C69" s="447">
        <f t="shared" si="0"/>
        <v>244406.34317494548</v>
      </c>
      <c r="D69" s="447">
        <f t="shared" ca="1" si="9"/>
        <v>-123555.56114521666</v>
      </c>
      <c r="E69" s="447">
        <f t="shared" ca="1" si="1"/>
        <v>-3387499.8353819568</v>
      </c>
      <c r="F69" s="431"/>
      <c r="G69" s="459">
        <f t="shared" ref="G69:G79" si="10">G68</f>
        <v>6</v>
      </c>
      <c r="H69" s="459">
        <v>62</v>
      </c>
      <c r="I69" s="444">
        <f t="shared" ca="1" si="5"/>
        <v>4347531.475069602</v>
      </c>
      <c r="J69" s="444">
        <f t="array" ref="J69">IFERROR(INDEX('Retirement Calculator'!K:K,MATCH('Lorri 401b'!N69,'Retirement Calculator'!A:A,0),0),0)</f>
        <v>0</v>
      </c>
      <c r="K69" s="444">
        <f t="shared" ca="1" si="2"/>
        <v>18114.714479456674</v>
      </c>
      <c r="L69" s="444">
        <f t="shared" ca="1" si="3"/>
        <v>4365646.1895490587</v>
      </c>
      <c r="M69" s="460">
        <f t="shared" si="6"/>
        <v>0.05</v>
      </c>
      <c r="N69" s="464">
        <f t="shared" si="7"/>
        <v>53144</v>
      </c>
    </row>
    <row r="70" spans="1:14" ht="11.25" customHeight="1" x14ac:dyDescent="0.3">
      <c r="A70" s="459">
        <v>63</v>
      </c>
      <c r="B70" s="447">
        <f t="shared" ca="1" si="4"/>
        <v>-3387499.8353819568</v>
      </c>
      <c r="C70" s="447">
        <f t="shared" si="0"/>
        <v>244406.34317494548</v>
      </c>
      <c r="D70" s="447">
        <f t="shared" ca="1" si="9"/>
        <v>-123555.56114521666</v>
      </c>
      <c r="E70" s="447">
        <f t="shared" ca="1" si="1"/>
        <v>-3755461.739702119</v>
      </c>
      <c r="F70" s="431"/>
      <c r="G70" s="459">
        <f t="shared" si="10"/>
        <v>6</v>
      </c>
      <c r="H70" s="459">
        <v>63</v>
      </c>
      <c r="I70" s="444">
        <f t="shared" ca="1" si="5"/>
        <v>4365646.1895490587</v>
      </c>
      <c r="J70" s="444">
        <f t="array" ref="J70">IFERROR(INDEX('Retirement Calculator'!K:K,MATCH('Lorri 401b'!N70,'Retirement Calculator'!A:A,0),0),0)</f>
        <v>0</v>
      </c>
      <c r="K70" s="444">
        <f t="shared" ca="1" si="2"/>
        <v>18190.19245645441</v>
      </c>
      <c r="L70" s="444">
        <f t="shared" ca="1" si="3"/>
        <v>4383836.3820055127</v>
      </c>
      <c r="M70" s="460">
        <f t="shared" si="6"/>
        <v>0.05</v>
      </c>
      <c r="N70" s="464">
        <f t="shared" si="7"/>
        <v>53175</v>
      </c>
    </row>
    <row r="71" spans="1:14" ht="11.25" customHeight="1" x14ac:dyDescent="0.3">
      <c r="A71" s="459">
        <v>64</v>
      </c>
      <c r="B71" s="447">
        <f t="shared" ca="1" si="4"/>
        <v>-3755461.739702119</v>
      </c>
      <c r="C71" s="447">
        <f t="shared" si="0"/>
        <v>244406.34317494548</v>
      </c>
      <c r="D71" s="447">
        <f t="shared" ca="1" si="9"/>
        <v>-123555.56114521666</v>
      </c>
      <c r="E71" s="447">
        <f t="shared" ca="1" si="1"/>
        <v>-4123423.6440222813</v>
      </c>
      <c r="F71" s="431"/>
      <c r="G71" s="459">
        <f t="shared" si="10"/>
        <v>6</v>
      </c>
      <c r="H71" s="459">
        <v>64</v>
      </c>
      <c r="I71" s="444">
        <f t="shared" ca="1" si="5"/>
        <v>4383836.3820055127</v>
      </c>
      <c r="J71" s="444">
        <f t="array" ref="J71">IFERROR(INDEX('Retirement Calculator'!K:K,MATCH('Lorri 401b'!N71,'Retirement Calculator'!A:A,0),0),0)</f>
        <v>0</v>
      </c>
      <c r="K71" s="444">
        <f t="shared" ca="1" si="2"/>
        <v>18265.984925022971</v>
      </c>
      <c r="L71" s="444">
        <f t="shared" ca="1" si="3"/>
        <v>4402102.366930536</v>
      </c>
      <c r="M71" s="460">
        <f t="shared" si="6"/>
        <v>0.05</v>
      </c>
      <c r="N71" s="464">
        <f t="shared" si="7"/>
        <v>53206</v>
      </c>
    </row>
    <row r="72" spans="1:14" ht="11.25" customHeight="1" x14ac:dyDescent="0.3">
      <c r="A72" s="459">
        <v>65</v>
      </c>
      <c r="B72" s="431"/>
      <c r="C72" s="431"/>
      <c r="D72" s="431"/>
      <c r="E72" s="431"/>
      <c r="F72" s="431"/>
      <c r="G72" s="459">
        <f t="shared" si="10"/>
        <v>6</v>
      </c>
      <c r="H72" s="459">
        <v>65</v>
      </c>
      <c r="I72" s="444">
        <f t="shared" ca="1" si="5"/>
        <v>4402102.366930536</v>
      </c>
      <c r="J72" s="444">
        <f t="array" ref="J72">IFERROR(INDEX('Retirement Calculator'!K:K,MATCH('Lorri 401b'!N72,'Retirement Calculator'!A:A,0),0),0)</f>
        <v>0</v>
      </c>
      <c r="K72" s="444">
        <f t="shared" ca="1" si="2"/>
        <v>18342.093195543901</v>
      </c>
      <c r="L72" s="444">
        <f t="shared" ca="1" si="3"/>
        <v>4420444.4601260796</v>
      </c>
      <c r="M72" s="460">
        <f t="shared" si="6"/>
        <v>0.05</v>
      </c>
      <c r="N72" s="464">
        <f t="shared" si="7"/>
        <v>53236</v>
      </c>
    </row>
    <row r="73" spans="1:14" ht="11.25" customHeight="1" x14ac:dyDescent="0.3">
      <c r="A73" s="459">
        <v>66</v>
      </c>
      <c r="B73" s="431"/>
      <c r="C73" s="431"/>
      <c r="D73" s="431"/>
      <c r="E73" s="431"/>
      <c r="F73" s="431"/>
      <c r="G73" s="459">
        <f t="shared" si="10"/>
        <v>6</v>
      </c>
      <c r="H73" s="459">
        <v>66</v>
      </c>
      <c r="I73" s="444">
        <f t="shared" ca="1" si="5"/>
        <v>4420444.4601260796</v>
      </c>
      <c r="J73" s="444">
        <f t="array" ref="J73">IFERROR(INDEX('Retirement Calculator'!K:K,MATCH('Lorri 401b'!N73,'Retirement Calculator'!A:A,0),0),0)</f>
        <v>0</v>
      </c>
      <c r="K73" s="444">
        <f t="shared" ca="1" si="2"/>
        <v>18418.518583858666</v>
      </c>
      <c r="L73" s="444">
        <f t="shared" ca="1" si="3"/>
        <v>4438862.978709938</v>
      </c>
      <c r="M73" s="460">
        <f t="shared" si="6"/>
        <v>0.05</v>
      </c>
      <c r="N73" s="464">
        <f t="shared" si="7"/>
        <v>53267</v>
      </c>
    </row>
    <row r="74" spans="1:14" ht="11.25" customHeight="1" x14ac:dyDescent="0.3">
      <c r="A74" s="459">
        <v>67</v>
      </c>
      <c r="B74" s="431"/>
      <c r="C74" s="431"/>
      <c r="D74" s="431"/>
      <c r="E74" s="431"/>
      <c r="F74" s="431"/>
      <c r="G74" s="459">
        <f t="shared" si="10"/>
        <v>6</v>
      </c>
      <c r="H74" s="459">
        <v>67</v>
      </c>
      <c r="I74" s="444">
        <f t="shared" ca="1" si="5"/>
        <v>4438862.978709938</v>
      </c>
      <c r="J74" s="444">
        <f t="array" ref="J74">IFERROR(INDEX('Retirement Calculator'!K:K,MATCH('Lorri 401b'!N74,'Retirement Calculator'!A:A,0),0),0)</f>
        <v>0</v>
      </c>
      <c r="K74" s="444">
        <f t="shared" ca="1" si="2"/>
        <v>18495.262411291409</v>
      </c>
      <c r="L74" s="444">
        <f t="shared" ca="1" si="3"/>
        <v>4457358.2411212297</v>
      </c>
      <c r="M74" s="460">
        <f t="shared" si="6"/>
        <v>0.05</v>
      </c>
      <c r="N74" s="464">
        <f t="shared" si="7"/>
        <v>53297</v>
      </c>
    </row>
    <row r="75" spans="1:14" ht="11.25" customHeight="1" x14ac:dyDescent="0.3">
      <c r="A75" s="459">
        <v>68</v>
      </c>
      <c r="B75" s="431"/>
      <c r="C75" s="431"/>
      <c r="D75" s="431"/>
      <c r="E75" s="431"/>
      <c r="F75" s="431"/>
      <c r="G75" s="459">
        <f t="shared" si="10"/>
        <v>6</v>
      </c>
      <c r="H75" s="459">
        <v>68</v>
      </c>
      <c r="I75" s="444">
        <f t="shared" ca="1" si="5"/>
        <v>4457358.2411212297</v>
      </c>
      <c r="J75" s="444">
        <f t="array" ref="J75">IFERROR(INDEX('Retirement Calculator'!K:K,MATCH('Lorri 401b'!N75,'Retirement Calculator'!A:A,0),0),0)</f>
        <v>22111.095664578788</v>
      </c>
      <c r="K75" s="444">
        <f t="shared" ca="1" si="2"/>
        <v>18480.196439402713</v>
      </c>
      <c r="L75" s="444">
        <f t="shared" ca="1" si="3"/>
        <v>4453727.3418960543</v>
      </c>
      <c r="M75" s="460">
        <f t="shared" si="6"/>
        <v>0.05</v>
      </c>
      <c r="N75" s="464">
        <f t="shared" si="7"/>
        <v>53328</v>
      </c>
    </row>
    <row r="76" spans="1:14" ht="11.25" customHeight="1" x14ac:dyDescent="0.3">
      <c r="A76" s="459">
        <v>69</v>
      </c>
      <c r="B76" s="431"/>
      <c r="C76" s="431"/>
      <c r="D76" s="431"/>
      <c r="E76" s="431"/>
      <c r="F76" s="431"/>
      <c r="G76" s="459">
        <f t="shared" si="10"/>
        <v>6</v>
      </c>
      <c r="H76" s="459">
        <v>69</v>
      </c>
      <c r="I76" s="444">
        <f t="shared" ca="1" si="5"/>
        <v>4453727.3418960543</v>
      </c>
      <c r="J76" s="444">
        <f t="array" ref="J76">IFERROR(INDEX('Retirement Calculator'!K:K,MATCH('Lorri 401b'!N76,'Retirement Calculator'!A:A,0),0),0)</f>
        <v>22111.095664578788</v>
      </c>
      <c r="K76" s="444">
        <f t="shared" ca="1" si="2"/>
        <v>18465.06769263115</v>
      </c>
      <c r="L76" s="444">
        <f t="shared" ca="1" si="3"/>
        <v>4450081.3139241068</v>
      </c>
      <c r="M76" s="460">
        <f t="shared" si="6"/>
        <v>0.05</v>
      </c>
      <c r="N76" s="464">
        <f t="shared" si="7"/>
        <v>53359</v>
      </c>
    </row>
    <row r="77" spans="1:14" ht="11.25" customHeight="1" x14ac:dyDescent="0.3">
      <c r="A77" s="459">
        <v>70</v>
      </c>
      <c r="B77" s="431"/>
      <c r="C77" s="431"/>
      <c r="D77" s="431"/>
      <c r="E77" s="431"/>
      <c r="F77" s="431"/>
      <c r="G77" s="459">
        <f t="shared" si="10"/>
        <v>6</v>
      </c>
      <c r="H77" s="459">
        <v>70</v>
      </c>
      <c r="I77" s="444">
        <f t="shared" ca="1" si="5"/>
        <v>4450081.3139241068</v>
      </c>
      <c r="J77" s="444">
        <f t="array" ref="J77">IFERROR(INDEX('Retirement Calculator'!K:K,MATCH('Lorri 401b'!N77,'Retirement Calculator'!A:A,0),0),0)</f>
        <v>22111.095664578788</v>
      </c>
      <c r="K77" s="444">
        <f t="shared" ca="1" si="2"/>
        <v>18449.875909414703</v>
      </c>
      <c r="L77" s="444">
        <f t="shared" ca="1" si="3"/>
        <v>4446420.0941689434</v>
      </c>
      <c r="M77" s="460">
        <f t="shared" si="6"/>
        <v>0.05</v>
      </c>
      <c r="N77" s="464">
        <f t="shared" si="7"/>
        <v>53387</v>
      </c>
    </row>
    <row r="78" spans="1:14" ht="11.25" customHeight="1" x14ac:dyDescent="0.3">
      <c r="A78" s="459">
        <v>71</v>
      </c>
      <c r="B78" s="431"/>
      <c r="C78" s="431"/>
      <c r="D78" s="431"/>
      <c r="E78" s="431"/>
      <c r="F78" s="431"/>
      <c r="G78" s="459">
        <f t="shared" si="10"/>
        <v>6</v>
      </c>
      <c r="H78" s="459">
        <v>71</v>
      </c>
      <c r="I78" s="444">
        <f t="shared" ca="1" si="5"/>
        <v>4446420.0941689434</v>
      </c>
      <c r="J78" s="444">
        <f t="array" ref="J78">IFERROR(INDEX('Retirement Calculator'!K:K,MATCH('Lorri 401b'!N78,'Retirement Calculator'!A:A,0),0),0)</f>
        <v>22111.095664578788</v>
      </c>
      <c r="K78" s="444">
        <f t="shared" ca="1" si="2"/>
        <v>18434.62082710152</v>
      </c>
      <c r="L78" s="444">
        <f t="shared" ca="1" si="3"/>
        <v>4442743.619331466</v>
      </c>
      <c r="M78" s="460">
        <f t="shared" si="6"/>
        <v>0.05</v>
      </c>
      <c r="N78" s="464">
        <f t="shared" si="7"/>
        <v>53418</v>
      </c>
    </row>
    <row r="79" spans="1:14" ht="11.25" customHeight="1" x14ac:dyDescent="0.3">
      <c r="A79" s="459">
        <v>72</v>
      </c>
      <c r="B79" s="431"/>
      <c r="C79" s="431"/>
      <c r="D79" s="431"/>
      <c r="E79" s="431"/>
      <c r="F79" s="431"/>
      <c r="G79" s="459">
        <f t="shared" si="10"/>
        <v>6</v>
      </c>
      <c r="H79" s="459">
        <v>72</v>
      </c>
      <c r="I79" s="444">
        <f t="shared" ca="1" si="5"/>
        <v>4442743.619331466</v>
      </c>
      <c r="J79" s="444">
        <f t="array" ref="J79">IFERROR(INDEX('Retirement Calculator'!K:K,MATCH('Lorri 401b'!N79,'Retirement Calculator'!A:A,0),0),0)</f>
        <v>22111.095664578788</v>
      </c>
      <c r="K79" s="444">
        <f t="shared" ca="1" si="2"/>
        <v>18419.302181945364</v>
      </c>
      <c r="L79" s="444">
        <f t="shared" ca="1" si="3"/>
        <v>4439051.8258488327</v>
      </c>
      <c r="M79" s="460">
        <f t="shared" si="6"/>
        <v>0.05</v>
      </c>
      <c r="N79" s="464">
        <f t="shared" si="7"/>
        <v>53448</v>
      </c>
    </row>
    <row r="80" spans="1:14" ht="11.25" customHeight="1" x14ac:dyDescent="0.3">
      <c r="A80" s="459">
        <v>73</v>
      </c>
      <c r="B80" s="431"/>
      <c r="C80" s="431"/>
      <c r="D80" s="431"/>
      <c r="E80" s="431"/>
      <c r="F80" s="431"/>
      <c r="G80" s="459">
        <f>G79+1</f>
        <v>7</v>
      </c>
      <c r="H80" s="459">
        <v>73</v>
      </c>
      <c r="I80" s="444">
        <f t="shared" ca="1" si="5"/>
        <v>4439051.8258488327</v>
      </c>
      <c r="J80" s="444">
        <f t="array" ref="J80">IFERROR(INDEX('Retirement Calculator'!K:K,MATCH('Lorri 401b'!N80,'Retirement Calculator'!A:A,0),0),0)</f>
        <v>22111.095664578788</v>
      </c>
      <c r="K80" s="444">
        <f t="shared" ca="1" si="2"/>
        <v>18403.919709101057</v>
      </c>
      <c r="L80" s="444">
        <f t="shared" ca="1" si="3"/>
        <v>4435344.6498933556</v>
      </c>
      <c r="M80" s="460">
        <f t="shared" si="6"/>
        <v>0.05</v>
      </c>
      <c r="N80" s="464">
        <f t="shared" si="7"/>
        <v>53479</v>
      </c>
    </row>
    <row r="81" spans="1:14" ht="11.25" customHeight="1" x14ac:dyDescent="0.3">
      <c r="A81" s="459">
        <v>74</v>
      </c>
      <c r="B81" s="431"/>
      <c r="C81" s="431"/>
      <c r="D81" s="431"/>
      <c r="E81" s="431"/>
      <c r="F81" s="431"/>
      <c r="G81" s="459">
        <f t="shared" ref="G81:G91" si="11">G80</f>
        <v>7</v>
      </c>
      <c r="H81" s="459">
        <v>74</v>
      </c>
      <c r="I81" s="444">
        <f t="shared" ca="1" si="5"/>
        <v>4435344.6498933556</v>
      </c>
      <c r="J81" s="444">
        <f t="array" ref="J81">IFERROR(INDEX('Retirement Calculator'!K:K,MATCH('Lorri 401b'!N81,'Retirement Calculator'!A:A,0),0),0)</f>
        <v>22111.095664578788</v>
      </c>
      <c r="K81" s="444">
        <f t="shared" ca="1" si="2"/>
        <v>18388.473142619903</v>
      </c>
      <c r="L81" s="444">
        <f t="shared" ca="1" si="3"/>
        <v>4431622.0273713972</v>
      </c>
      <c r="M81" s="460">
        <f t="shared" si="6"/>
        <v>0.05</v>
      </c>
      <c r="N81" s="464">
        <f t="shared" si="7"/>
        <v>53509</v>
      </c>
    </row>
    <row r="82" spans="1:14" ht="11.25" customHeight="1" x14ac:dyDescent="0.3">
      <c r="A82" s="459">
        <v>75</v>
      </c>
      <c r="B82" s="431"/>
      <c r="C82" s="431"/>
      <c r="D82" s="431"/>
      <c r="E82" s="431"/>
      <c r="F82" s="431"/>
      <c r="G82" s="459">
        <f t="shared" si="11"/>
        <v>7</v>
      </c>
      <c r="H82" s="459">
        <v>75</v>
      </c>
      <c r="I82" s="444">
        <f t="shared" ca="1" si="5"/>
        <v>4431622.0273713972</v>
      </c>
      <c r="J82" s="444">
        <f t="array" ref="J82">IFERROR(INDEX('Retirement Calculator'!K:K,MATCH('Lorri 401b'!N82,'Retirement Calculator'!A:A,0),0),0)</f>
        <v>22111.095664578788</v>
      </c>
      <c r="K82" s="444">
        <f t="shared" ca="1" si="2"/>
        <v>18372.962215445077</v>
      </c>
      <c r="L82" s="444">
        <f t="shared" ca="1" si="3"/>
        <v>4427883.8939222638</v>
      </c>
      <c r="M82" s="460">
        <f t="shared" si="6"/>
        <v>0.05</v>
      </c>
      <c r="N82" s="464">
        <f t="shared" si="7"/>
        <v>53540</v>
      </c>
    </row>
    <row r="83" spans="1:14" ht="11.25" customHeight="1" x14ac:dyDescent="0.3">
      <c r="A83" s="459">
        <v>76</v>
      </c>
      <c r="B83" s="431"/>
      <c r="C83" s="431"/>
      <c r="D83" s="431"/>
      <c r="E83" s="431"/>
      <c r="F83" s="431"/>
      <c r="G83" s="459">
        <f t="shared" si="11"/>
        <v>7</v>
      </c>
      <c r="H83" s="459">
        <v>76</v>
      </c>
      <c r="I83" s="444">
        <f t="shared" ca="1" si="5"/>
        <v>4427883.8939222638</v>
      </c>
      <c r="J83" s="444">
        <f t="array" ref="J83">IFERROR(INDEX('Retirement Calculator'!K:K,MATCH('Lorri 401b'!N83,'Retirement Calculator'!A:A,0),0),0)</f>
        <v>22111.095664578788</v>
      </c>
      <c r="K83" s="444">
        <f t="shared" ca="1" si="2"/>
        <v>18357.38665940702</v>
      </c>
      <c r="L83" s="444">
        <f t="shared" ca="1" si="3"/>
        <v>4424130.1849170923</v>
      </c>
      <c r="M83" s="460">
        <f t="shared" si="6"/>
        <v>0.05</v>
      </c>
      <c r="N83" s="464">
        <f t="shared" si="7"/>
        <v>53571</v>
      </c>
    </row>
    <row r="84" spans="1:14" ht="11.25" customHeight="1" x14ac:dyDescent="0.3">
      <c r="A84" s="459">
        <v>77</v>
      </c>
      <c r="B84" s="431"/>
      <c r="C84" s="431"/>
      <c r="D84" s="431"/>
      <c r="E84" s="431"/>
      <c r="F84" s="431"/>
      <c r="G84" s="459">
        <f t="shared" si="11"/>
        <v>7</v>
      </c>
      <c r="H84" s="459">
        <v>77</v>
      </c>
      <c r="I84" s="444">
        <f t="shared" ca="1" si="5"/>
        <v>4424130.1849170923</v>
      </c>
      <c r="J84" s="444">
        <f t="array" ref="J84">IFERROR(INDEX('Retirement Calculator'!K:K,MATCH('Lorri 401b'!N84,'Retirement Calculator'!A:A,0),0),0)</f>
        <v>22111.095664578788</v>
      </c>
      <c r="K84" s="444">
        <f t="shared" ca="1" si="2"/>
        <v>18341.746205218806</v>
      </c>
      <c r="L84" s="444">
        <f t="shared" ca="1" si="3"/>
        <v>4420360.8354577329</v>
      </c>
      <c r="M84" s="460">
        <f t="shared" si="6"/>
        <v>0.05</v>
      </c>
      <c r="N84" s="464">
        <f t="shared" si="7"/>
        <v>53601</v>
      </c>
    </row>
    <row r="85" spans="1:14" ht="11.25" customHeight="1" x14ac:dyDescent="0.3">
      <c r="A85" s="459">
        <v>78</v>
      </c>
      <c r="B85" s="431"/>
      <c r="C85" s="431"/>
      <c r="D85" s="431"/>
      <c r="E85" s="431"/>
      <c r="F85" s="431"/>
      <c r="G85" s="459">
        <f t="shared" si="11"/>
        <v>7</v>
      </c>
      <c r="H85" s="459">
        <v>78</v>
      </c>
      <c r="I85" s="444">
        <f t="shared" ca="1" si="5"/>
        <v>4420360.8354577329</v>
      </c>
      <c r="J85" s="444">
        <f t="array" ref="J85">IFERROR(INDEX('Retirement Calculator'!K:K,MATCH('Lorri 401b'!N85,'Retirement Calculator'!A:A,0),0),0)</f>
        <v>22111.095664578788</v>
      </c>
      <c r="K85" s="444">
        <f t="shared" ca="1" si="2"/>
        <v>18326.040582471476</v>
      </c>
      <c r="L85" s="444">
        <f t="shared" ca="1" si="3"/>
        <v>4416575.7803756259</v>
      </c>
      <c r="M85" s="460">
        <f t="shared" si="6"/>
        <v>0.05</v>
      </c>
      <c r="N85" s="464">
        <f t="shared" si="7"/>
        <v>53632</v>
      </c>
    </row>
    <row r="86" spans="1:14" ht="11.25" customHeight="1" x14ac:dyDescent="0.3">
      <c r="A86" s="459">
        <v>79</v>
      </c>
      <c r="B86" s="431"/>
      <c r="C86" s="431"/>
      <c r="D86" s="431"/>
      <c r="E86" s="431"/>
      <c r="F86" s="431"/>
      <c r="G86" s="459">
        <f t="shared" si="11"/>
        <v>7</v>
      </c>
      <c r="H86" s="459">
        <v>79</v>
      </c>
      <c r="I86" s="444">
        <f t="shared" ca="1" si="5"/>
        <v>4416575.7803756259</v>
      </c>
      <c r="J86" s="444">
        <f t="array" ref="J86">IFERROR(INDEX('Retirement Calculator'!K:K,MATCH('Lorri 401b'!N86,'Retirement Calculator'!A:A,0),0),0)</f>
        <v>22111.095664578788</v>
      </c>
      <c r="K86" s="444">
        <f t="shared" ca="1" si="2"/>
        <v>18310.269519629364</v>
      </c>
      <c r="L86" s="444">
        <f t="shared" ca="1" si="3"/>
        <v>4412774.9542306764</v>
      </c>
      <c r="M86" s="460">
        <f t="shared" si="6"/>
        <v>0.05</v>
      </c>
      <c r="N86" s="464">
        <f t="shared" si="7"/>
        <v>53662</v>
      </c>
    </row>
    <row r="87" spans="1:14" ht="11.25" customHeight="1" x14ac:dyDescent="0.3">
      <c r="A87" s="459">
        <v>80</v>
      </c>
      <c r="B87" s="431"/>
      <c r="C87" s="431"/>
      <c r="D87" s="431"/>
      <c r="E87" s="431"/>
      <c r="F87" s="431"/>
      <c r="G87" s="459">
        <f t="shared" si="11"/>
        <v>7</v>
      </c>
      <c r="H87" s="459">
        <v>80</v>
      </c>
      <c r="I87" s="444">
        <f t="shared" ca="1" si="5"/>
        <v>4412774.9542306764</v>
      </c>
      <c r="J87" s="444">
        <f t="array" ref="J87">IFERROR(INDEX('Retirement Calculator'!K:K,MATCH('Lorri 401b'!N87,'Retirement Calculator'!A:A,0),0),0)</f>
        <v>22111.095664578788</v>
      </c>
      <c r="K87" s="444">
        <f t="shared" ca="1" si="2"/>
        <v>18294.432744025409</v>
      </c>
      <c r="L87" s="444">
        <f t="shared" ca="1" si="3"/>
        <v>4408958.2913101232</v>
      </c>
      <c r="M87" s="460">
        <f t="shared" si="6"/>
        <v>0.05</v>
      </c>
      <c r="N87" s="464">
        <f t="shared" si="7"/>
        <v>53693</v>
      </c>
    </row>
    <row r="88" spans="1:14" ht="11.25" customHeight="1" x14ac:dyDescent="0.3">
      <c r="A88" s="459">
        <v>81</v>
      </c>
      <c r="B88" s="431"/>
      <c r="C88" s="431"/>
      <c r="D88" s="431"/>
      <c r="E88" s="431"/>
      <c r="F88" s="431"/>
      <c r="G88" s="459">
        <f t="shared" si="11"/>
        <v>7</v>
      </c>
      <c r="H88" s="459">
        <v>81</v>
      </c>
      <c r="I88" s="444">
        <f t="shared" ca="1" si="5"/>
        <v>4408958.2913101232</v>
      </c>
      <c r="J88" s="444">
        <f t="array" ref="J88">IFERROR(INDEX('Retirement Calculator'!K:K,MATCH('Lorri 401b'!N88,'Retirement Calculator'!A:A,0),0),0)</f>
        <v>22111.095664578788</v>
      </c>
      <c r="K88" s="444">
        <f t="shared" ca="1" si="2"/>
        <v>18278.529981856434</v>
      </c>
      <c r="L88" s="444">
        <f t="shared" ca="1" si="3"/>
        <v>4405125.7256274009</v>
      </c>
      <c r="M88" s="460">
        <f t="shared" si="6"/>
        <v>0.05</v>
      </c>
      <c r="N88" s="464">
        <f t="shared" si="7"/>
        <v>53724</v>
      </c>
    </row>
    <row r="89" spans="1:14" ht="11.25" customHeight="1" x14ac:dyDescent="0.3">
      <c r="A89" s="459">
        <v>82</v>
      </c>
      <c r="B89" s="431"/>
      <c r="C89" s="431"/>
      <c r="D89" s="431"/>
      <c r="E89" s="431"/>
      <c r="F89" s="431"/>
      <c r="G89" s="459">
        <f t="shared" si="11"/>
        <v>7</v>
      </c>
      <c r="H89" s="459">
        <v>82</v>
      </c>
      <c r="I89" s="444">
        <f t="shared" ca="1" si="5"/>
        <v>4405125.7256274009</v>
      </c>
      <c r="J89" s="444">
        <f t="array" ref="J89">IFERROR(INDEX('Retirement Calculator'!K:K,MATCH('Lorri 401b'!N89,'Retirement Calculator'!A:A,0),0),0)</f>
        <v>22111.095664578788</v>
      </c>
      <c r="K89" s="444">
        <f t="shared" ca="1" si="2"/>
        <v>18262.560958178427</v>
      </c>
      <c r="L89" s="444">
        <f t="shared" ca="1" si="3"/>
        <v>4401277.1909210011</v>
      </c>
      <c r="M89" s="460">
        <f t="shared" si="6"/>
        <v>0.05</v>
      </c>
      <c r="N89" s="464">
        <f t="shared" si="7"/>
        <v>53752</v>
      </c>
    </row>
    <row r="90" spans="1:14" ht="11.25" customHeight="1" x14ac:dyDescent="0.3">
      <c r="A90" s="459">
        <v>83</v>
      </c>
      <c r="B90" s="431"/>
      <c r="C90" s="431"/>
      <c r="D90" s="431"/>
      <c r="E90" s="431"/>
      <c r="F90" s="431"/>
      <c r="G90" s="459">
        <f t="shared" si="11"/>
        <v>7</v>
      </c>
      <c r="H90" s="459">
        <v>83</v>
      </c>
      <c r="I90" s="444">
        <f t="shared" ca="1" si="5"/>
        <v>4401277.1909210011</v>
      </c>
      <c r="J90" s="444">
        <f t="array" ref="J90">IFERROR(INDEX('Retirement Calculator'!K:K,MATCH('Lorri 401b'!N90,'Retirement Calculator'!A:A,0),0),0)</f>
        <v>22111.095664578788</v>
      </c>
      <c r="K90" s="444">
        <f t="shared" ca="1" si="2"/>
        <v>18246.525396901761</v>
      </c>
      <c r="L90" s="444">
        <f t="shared" ca="1" si="3"/>
        <v>4397412.6206533248</v>
      </c>
      <c r="M90" s="460">
        <f t="shared" si="6"/>
        <v>0.05</v>
      </c>
      <c r="N90" s="464">
        <f t="shared" si="7"/>
        <v>53783</v>
      </c>
    </row>
    <row r="91" spans="1:14" ht="11.25" customHeight="1" x14ac:dyDescent="0.3">
      <c r="A91" s="459">
        <v>84</v>
      </c>
      <c r="B91" s="431"/>
      <c r="C91" s="431"/>
      <c r="D91" s="431"/>
      <c r="E91" s="431"/>
      <c r="F91" s="431"/>
      <c r="G91" s="459">
        <f t="shared" si="11"/>
        <v>7</v>
      </c>
      <c r="H91" s="459">
        <v>84</v>
      </c>
      <c r="I91" s="444">
        <f t="shared" ca="1" si="5"/>
        <v>4397412.6206533248</v>
      </c>
      <c r="J91" s="444">
        <f t="array" ref="J91">IFERROR(INDEX('Retirement Calculator'!K:K,MATCH('Lorri 401b'!N91,'Retirement Calculator'!A:A,0),0),0)</f>
        <v>22111.095664578788</v>
      </c>
      <c r="K91" s="444">
        <f t="shared" ca="1" si="2"/>
        <v>18230.423020786442</v>
      </c>
      <c r="L91" s="444">
        <f t="shared" ca="1" si="3"/>
        <v>4393531.9480095329</v>
      </c>
      <c r="M91" s="460">
        <f t="shared" si="6"/>
        <v>0.05</v>
      </c>
      <c r="N91" s="464">
        <f t="shared" si="7"/>
        <v>53813</v>
      </c>
    </row>
    <row r="92" spans="1:14" ht="11.25" customHeight="1" x14ac:dyDescent="0.3">
      <c r="A92" s="459">
        <v>85</v>
      </c>
      <c r="B92" s="431"/>
      <c r="C92" s="431"/>
      <c r="D92" s="431"/>
      <c r="E92" s="431"/>
      <c r="F92" s="431"/>
      <c r="G92" s="459">
        <f>G91+1</f>
        <v>8</v>
      </c>
      <c r="H92" s="459">
        <v>85</v>
      </c>
      <c r="I92" s="444">
        <f t="shared" ca="1" si="5"/>
        <v>4393531.9480095329</v>
      </c>
      <c r="J92" s="444">
        <f t="array" ref="J92">IFERROR(INDEX('Retirement Calculator'!K:K,MATCH('Lorri 401b'!N92,'Retirement Calculator'!A:A,0),0),0)</f>
        <v>22111.095664578788</v>
      </c>
      <c r="K92" s="444">
        <f t="shared" ca="1" si="2"/>
        <v>18214.253551437308</v>
      </c>
      <c r="L92" s="444">
        <f t="shared" ca="1" si="3"/>
        <v>4389635.1058963919</v>
      </c>
      <c r="M92" s="460">
        <f t="shared" si="6"/>
        <v>0.05</v>
      </c>
      <c r="N92" s="464">
        <f t="shared" si="7"/>
        <v>53844</v>
      </c>
    </row>
    <row r="93" spans="1:14" ht="11.25" customHeight="1" x14ac:dyDescent="0.3">
      <c r="A93" s="459">
        <v>86</v>
      </c>
      <c r="B93" s="431"/>
      <c r="C93" s="431"/>
      <c r="D93" s="431"/>
      <c r="E93" s="431"/>
      <c r="F93" s="431"/>
      <c r="G93" s="459">
        <f t="shared" ref="G93:G103" si="12">G92</f>
        <v>8</v>
      </c>
      <c r="H93" s="459">
        <v>86</v>
      </c>
      <c r="I93" s="444">
        <f t="shared" ca="1" si="5"/>
        <v>4389635.1058963919</v>
      </c>
      <c r="J93" s="444">
        <f t="array" ref="J93">IFERROR(INDEX('Retirement Calculator'!K:K,MATCH('Lorri 401b'!N93,'Retirement Calculator'!A:A,0),0),0)</f>
        <v>22111.095664578788</v>
      </c>
      <c r="K93" s="444">
        <f t="shared" ca="1" si="2"/>
        <v>18198.016709299223</v>
      </c>
      <c r="L93" s="444">
        <f t="shared" ca="1" si="3"/>
        <v>4385722.0269411122</v>
      </c>
      <c r="M93" s="460">
        <f t="shared" si="6"/>
        <v>0.05</v>
      </c>
      <c r="N93" s="464">
        <f t="shared" si="7"/>
        <v>53874</v>
      </c>
    </row>
    <row r="94" spans="1:14" ht="11.25" customHeight="1" x14ac:dyDescent="0.3">
      <c r="A94" s="459">
        <v>87</v>
      </c>
      <c r="B94" s="431"/>
      <c r="C94" s="431"/>
      <c r="D94" s="431"/>
      <c r="E94" s="431"/>
      <c r="F94" s="431"/>
      <c r="G94" s="459">
        <f t="shared" si="12"/>
        <v>8</v>
      </c>
      <c r="H94" s="459">
        <v>87</v>
      </c>
      <c r="I94" s="444">
        <f t="shared" ca="1" si="5"/>
        <v>4385722.0269411122</v>
      </c>
      <c r="J94" s="444">
        <f t="array" ref="J94">IFERROR(INDEX('Retirement Calculator'!K:K,MATCH('Lorri 401b'!N94,'Retirement Calculator'!A:A,0),0),0)</f>
        <v>22111.095664578788</v>
      </c>
      <c r="K94" s="444">
        <f t="shared" ca="1" si="2"/>
        <v>18181.712213652223</v>
      </c>
      <c r="L94" s="444">
        <f t="shared" ca="1" si="3"/>
        <v>4381792.643490186</v>
      </c>
      <c r="M94" s="460">
        <f t="shared" si="6"/>
        <v>0.05</v>
      </c>
      <c r="N94" s="464">
        <f t="shared" si="7"/>
        <v>53905</v>
      </c>
    </row>
    <row r="95" spans="1:14" ht="11.25" customHeight="1" x14ac:dyDescent="0.3">
      <c r="A95" s="459">
        <v>88</v>
      </c>
      <c r="B95" s="431"/>
      <c r="C95" s="431"/>
      <c r="D95" s="431"/>
      <c r="E95" s="431"/>
      <c r="F95" s="431"/>
      <c r="G95" s="459">
        <f t="shared" si="12"/>
        <v>8</v>
      </c>
      <c r="H95" s="459">
        <v>88</v>
      </c>
      <c r="I95" s="444">
        <f t="shared" ca="1" si="5"/>
        <v>4381792.643490186</v>
      </c>
      <c r="J95" s="444">
        <f t="array" ref="J95">IFERROR(INDEX('Retirement Calculator'!K:K,MATCH('Lorri 401b'!N95,'Retirement Calculator'!A:A,0),0),0)</f>
        <v>22111.095664578788</v>
      </c>
      <c r="K95" s="444">
        <f t="shared" ca="1" si="2"/>
        <v>18165.339782606698</v>
      </c>
      <c r="L95" s="444">
        <f t="shared" ca="1" si="3"/>
        <v>4377846.8876082143</v>
      </c>
      <c r="M95" s="460">
        <f t="shared" si="6"/>
        <v>0.05</v>
      </c>
      <c r="N95" s="464">
        <f t="shared" si="7"/>
        <v>53936</v>
      </c>
    </row>
    <row r="96" spans="1:14" ht="11.25" customHeight="1" x14ac:dyDescent="0.3">
      <c r="A96" s="459">
        <v>89</v>
      </c>
      <c r="B96" s="431"/>
      <c r="C96" s="431"/>
      <c r="D96" s="431"/>
      <c r="E96" s="431"/>
      <c r="F96" s="431"/>
      <c r="G96" s="459">
        <f t="shared" si="12"/>
        <v>8</v>
      </c>
      <c r="H96" s="459">
        <v>89</v>
      </c>
      <c r="I96" s="444">
        <f t="shared" ca="1" si="5"/>
        <v>4377846.8876082143</v>
      </c>
      <c r="J96" s="444">
        <f t="array" ref="J96">IFERROR(INDEX('Retirement Calculator'!K:K,MATCH('Lorri 401b'!N96,'Retirement Calculator'!A:A,0),0),0)</f>
        <v>22111.095664578788</v>
      </c>
      <c r="K96" s="444">
        <f t="shared" ca="1" si="2"/>
        <v>18148.899133098483</v>
      </c>
      <c r="L96" s="444">
        <f t="shared" ca="1" si="3"/>
        <v>4373884.6910767341</v>
      </c>
      <c r="M96" s="460">
        <f t="shared" si="6"/>
        <v>0.05</v>
      </c>
      <c r="N96" s="464">
        <f t="shared" si="7"/>
        <v>53966</v>
      </c>
    </row>
    <row r="97" spans="1:14" ht="11.25" customHeight="1" x14ac:dyDescent="0.3">
      <c r="A97" s="459">
        <v>90</v>
      </c>
      <c r="B97" s="431"/>
      <c r="C97" s="431"/>
      <c r="D97" s="431"/>
      <c r="E97" s="431"/>
      <c r="F97" s="431"/>
      <c r="G97" s="459">
        <f t="shared" si="12"/>
        <v>8</v>
      </c>
      <c r="H97" s="459">
        <v>90</v>
      </c>
      <c r="I97" s="444">
        <f t="shared" ca="1" si="5"/>
        <v>4373884.6910767341</v>
      </c>
      <c r="J97" s="444">
        <f t="array" ref="J97">IFERROR(INDEX('Retirement Calculator'!K:K,MATCH('Lorri 401b'!N97,'Retirement Calculator'!A:A,0),0),0)</f>
        <v>22111.095664578788</v>
      </c>
      <c r="K97" s="444">
        <f t="shared" ca="1" si="2"/>
        <v>18132.389980883981</v>
      </c>
      <c r="L97" s="444">
        <f t="shared" ca="1" si="3"/>
        <v>4369905.9853930399</v>
      </c>
      <c r="M97" s="460">
        <f t="shared" si="6"/>
        <v>0.05</v>
      </c>
      <c r="N97" s="464">
        <f t="shared" si="7"/>
        <v>53997</v>
      </c>
    </row>
    <row r="98" spans="1:14" ht="11.25" customHeight="1" x14ac:dyDescent="0.3">
      <c r="A98" s="459">
        <v>91</v>
      </c>
      <c r="B98" s="431"/>
      <c r="C98" s="431"/>
      <c r="D98" s="431"/>
      <c r="E98" s="431"/>
      <c r="F98" s="431"/>
      <c r="G98" s="459">
        <f t="shared" si="12"/>
        <v>8</v>
      </c>
      <c r="H98" s="459">
        <v>91</v>
      </c>
      <c r="I98" s="444">
        <f t="shared" ca="1" si="5"/>
        <v>4369905.9853930399</v>
      </c>
      <c r="J98" s="444">
        <f t="array" ref="J98">IFERROR(INDEX('Retirement Calculator'!K:K,MATCH('Lorri 401b'!N98,'Retirement Calculator'!A:A,0),0),0)</f>
        <v>22111.095664578788</v>
      </c>
      <c r="K98" s="444">
        <f t="shared" ca="1" si="2"/>
        <v>18115.812040535257</v>
      </c>
      <c r="L98" s="444">
        <f t="shared" ca="1" si="3"/>
        <v>4365910.7017689962</v>
      </c>
      <c r="M98" s="460">
        <f t="shared" si="6"/>
        <v>0.05</v>
      </c>
      <c r="N98" s="464">
        <f t="shared" si="7"/>
        <v>54027</v>
      </c>
    </row>
    <row r="99" spans="1:14" ht="11.25" customHeight="1" x14ac:dyDescent="0.3">
      <c r="A99" s="459">
        <v>92</v>
      </c>
      <c r="B99" s="431"/>
      <c r="C99" s="431"/>
      <c r="D99" s="431"/>
      <c r="E99" s="431"/>
      <c r="F99" s="431"/>
      <c r="G99" s="459">
        <f t="shared" si="12"/>
        <v>8</v>
      </c>
      <c r="H99" s="459">
        <v>92</v>
      </c>
      <c r="I99" s="444">
        <f t="shared" ca="1" si="5"/>
        <v>4365910.7017689962</v>
      </c>
      <c r="J99" s="444">
        <f t="array" ref="J99">IFERROR(INDEX('Retirement Calculator'!K:K,MATCH('Lorri 401b'!N99,'Retirement Calculator'!A:A,0),0),0)</f>
        <v>22111.095664578788</v>
      </c>
      <c r="K99" s="444">
        <f t="shared" ca="1" si="2"/>
        <v>18099.165025435075</v>
      </c>
      <c r="L99" s="444">
        <f t="shared" ca="1" si="3"/>
        <v>4361898.7711298531</v>
      </c>
      <c r="M99" s="460">
        <f t="shared" si="6"/>
        <v>0.05</v>
      </c>
      <c r="N99" s="464">
        <f t="shared" si="7"/>
        <v>54058</v>
      </c>
    </row>
    <row r="100" spans="1:14" ht="11.25" customHeight="1" x14ac:dyDescent="0.3">
      <c r="A100" s="459">
        <v>93</v>
      </c>
      <c r="B100" s="431"/>
      <c r="C100" s="431"/>
      <c r="D100" s="431"/>
      <c r="E100" s="431"/>
      <c r="F100" s="431"/>
      <c r="G100" s="459">
        <f t="shared" si="12"/>
        <v>8</v>
      </c>
      <c r="H100" s="459">
        <v>93</v>
      </c>
      <c r="I100" s="444">
        <f t="shared" ca="1" si="5"/>
        <v>4361898.7711298531</v>
      </c>
      <c r="J100" s="444">
        <f t="array" ref="J100">IFERROR(INDEX('Retirement Calculator'!K:K,MATCH('Lorri 401b'!N100,'Retirement Calculator'!A:A,0),0),0)</f>
        <v>22111.095664578788</v>
      </c>
      <c r="K100" s="444">
        <f t="shared" ca="1" si="2"/>
        <v>18082.448647771977</v>
      </c>
      <c r="L100" s="444">
        <f t="shared" ca="1" si="3"/>
        <v>4357870.1241130466</v>
      </c>
      <c r="M100" s="460">
        <f t="shared" si="6"/>
        <v>0.05</v>
      </c>
      <c r="N100" s="464">
        <f t="shared" si="7"/>
        <v>54089</v>
      </c>
    </row>
    <row r="101" spans="1:14" ht="11.25" customHeight="1" x14ac:dyDescent="0.3">
      <c r="A101" s="459">
        <v>94</v>
      </c>
      <c r="B101" s="431"/>
      <c r="C101" s="431"/>
      <c r="D101" s="431"/>
      <c r="E101" s="431"/>
      <c r="F101" s="431"/>
      <c r="G101" s="459">
        <f t="shared" si="12"/>
        <v>8</v>
      </c>
      <c r="H101" s="459">
        <v>94</v>
      </c>
      <c r="I101" s="444">
        <f t="shared" ca="1" si="5"/>
        <v>4357870.1241130466</v>
      </c>
      <c r="J101" s="444">
        <f t="array" ref="J101">IFERROR(INDEX('Retirement Calculator'!K:K,MATCH('Lorri 401b'!N101,'Retirement Calculator'!A:A,0),0),0)</f>
        <v>22111.095664578788</v>
      </c>
      <c r="K101" s="444">
        <f t="shared" ca="1" si="2"/>
        <v>18065.662618535283</v>
      </c>
      <c r="L101" s="444">
        <f t="shared" ca="1" si="3"/>
        <v>4353824.6910670036</v>
      </c>
      <c r="M101" s="460">
        <f t="shared" si="6"/>
        <v>0.05</v>
      </c>
      <c r="N101" s="464">
        <f t="shared" si="7"/>
        <v>54118</v>
      </c>
    </row>
    <row r="102" spans="1:14" ht="11.25" customHeight="1" x14ac:dyDescent="0.3">
      <c r="A102" s="459">
        <v>95</v>
      </c>
      <c r="B102" s="431"/>
      <c r="C102" s="431"/>
      <c r="D102" s="431"/>
      <c r="E102" s="431"/>
      <c r="F102" s="431"/>
      <c r="G102" s="459">
        <f t="shared" si="12"/>
        <v>8</v>
      </c>
      <c r="H102" s="459">
        <v>95</v>
      </c>
      <c r="I102" s="444">
        <f t="shared" ca="1" si="5"/>
        <v>4353824.6910670036</v>
      </c>
      <c r="J102" s="444">
        <f t="array" ref="J102">IFERROR(INDEX('Retirement Calculator'!K:K,MATCH('Lorri 401b'!N102,'Retirement Calculator'!A:A,0),0),0)</f>
        <v>22111.095664578788</v>
      </c>
      <c r="K102" s="444">
        <f t="shared" ca="1" si="2"/>
        <v>18048.806647510104</v>
      </c>
      <c r="L102" s="444">
        <f t="shared" ca="1" si="3"/>
        <v>4349762.4020499354</v>
      </c>
      <c r="M102" s="460">
        <f t="shared" si="6"/>
        <v>0.05</v>
      </c>
      <c r="N102" s="464">
        <f t="shared" si="7"/>
        <v>54149</v>
      </c>
    </row>
    <row r="103" spans="1:14" ht="11.25" customHeight="1" x14ac:dyDescent="0.3">
      <c r="A103" s="459">
        <v>96</v>
      </c>
      <c r="B103" s="431"/>
      <c r="C103" s="431"/>
      <c r="D103" s="431"/>
      <c r="E103" s="431"/>
      <c r="F103" s="431"/>
      <c r="G103" s="459">
        <f t="shared" si="12"/>
        <v>8</v>
      </c>
      <c r="H103" s="459">
        <v>96</v>
      </c>
      <c r="I103" s="444">
        <f t="shared" ca="1" si="5"/>
        <v>4349762.4020499354</v>
      </c>
      <c r="J103" s="444">
        <f t="array" ref="J103">IFERROR(INDEX('Retirement Calculator'!K:K,MATCH('Lorri 401b'!N103,'Retirement Calculator'!A:A,0),0),0)</f>
        <v>22111.095664578788</v>
      </c>
      <c r="K103" s="444">
        <f t="shared" ca="1" si="2"/>
        <v>18031.880443272319</v>
      </c>
      <c r="L103" s="444">
        <f t="shared" ca="1" si="3"/>
        <v>4345683.1868286291</v>
      </c>
      <c r="M103" s="460">
        <f t="shared" si="6"/>
        <v>0.05</v>
      </c>
      <c r="N103" s="464">
        <f t="shared" si="7"/>
        <v>54179</v>
      </c>
    </row>
    <row r="104" spans="1:14" ht="11.25" customHeight="1" x14ac:dyDescent="0.3">
      <c r="A104" s="459">
        <v>97</v>
      </c>
      <c r="B104" s="431"/>
      <c r="C104" s="431"/>
      <c r="D104" s="431"/>
      <c r="E104" s="431"/>
      <c r="F104" s="431"/>
      <c r="G104" s="459">
        <f>G103+1</f>
        <v>9</v>
      </c>
      <c r="H104" s="459">
        <v>97</v>
      </c>
      <c r="I104" s="444">
        <f t="shared" ca="1" si="5"/>
        <v>4345683.1868286291</v>
      </c>
      <c r="J104" s="444">
        <f t="array" ref="J104">IFERROR(INDEX('Retirement Calculator'!K:K,MATCH('Lorri 401b'!N104,'Retirement Calculator'!A:A,0),0),0)</f>
        <v>22111.095664578788</v>
      </c>
      <c r="K104" s="444">
        <f t="shared" ca="1" si="2"/>
        <v>18014.883713183543</v>
      </c>
      <c r="L104" s="444">
        <f t="shared" ca="1" si="3"/>
        <v>4341586.9748772345</v>
      </c>
      <c r="M104" s="460">
        <f t="shared" si="6"/>
        <v>0.05</v>
      </c>
      <c r="N104" s="464">
        <f t="shared" si="7"/>
        <v>54210</v>
      </c>
    </row>
    <row r="105" spans="1:14" ht="11.25" customHeight="1" x14ac:dyDescent="0.3">
      <c r="A105" s="459">
        <v>98</v>
      </c>
      <c r="B105" s="431"/>
      <c r="C105" s="431"/>
      <c r="D105" s="431"/>
      <c r="E105" s="431"/>
      <c r="F105" s="431"/>
      <c r="G105" s="459">
        <f t="shared" ref="G105:G115" si="13">G104</f>
        <v>9</v>
      </c>
      <c r="H105" s="459">
        <v>98</v>
      </c>
      <c r="I105" s="444">
        <f t="shared" ca="1" si="5"/>
        <v>4341586.9748772345</v>
      </c>
      <c r="J105" s="444">
        <f t="array" ref="J105">IFERROR(INDEX('Retirement Calculator'!K:K,MATCH('Lorri 401b'!N105,'Retirement Calculator'!A:A,0),0),0)</f>
        <v>20367.195264578786</v>
      </c>
      <c r="K105" s="444">
        <f t="shared" ca="1" si="2"/>
        <v>18005.082415052733</v>
      </c>
      <c r="L105" s="444">
        <f t="shared" ca="1" si="3"/>
        <v>4339224.8620277084</v>
      </c>
      <c r="M105" s="460">
        <f t="shared" si="6"/>
        <v>0.05</v>
      </c>
      <c r="N105" s="464">
        <f t="shared" si="7"/>
        <v>54240</v>
      </c>
    </row>
    <row r="106" spans="1:14" ht="11.25" customHeight="1" x14ac:dyDescent="0.3">
      <c r="A106" s="459">
        <v>99</v>
      </c>
      <c r="B106" s="431"/>
      <c r="C106" s="431"/>
      <c r="D106" s="431"/>
      <c r="E106" s="431"/>
      <c r="F106" s="431"/>
      <c r="G106" s="459">
        <f t="shared" si="13"/>
        <v>9</v>
      </c>
      <c r="H106" s="459">
        <v>99</v>
      </c>
      <c r="I106" s="444">
        <f t="shared" ca="1" si="5"/>
        <v>4339224.8620277084</v>
      </c>
      <c r="J106" s="444">
        <f t="array" ref="J106">IFERROR(INDEX('Retirement Calculator'!K:K,MATCH('Lorri 401b'!N106,'Retirement Calculator'!A:A,0),0),0)</f>
        <v>20367.195264578786</v>
      </c>
      <c r="K106" s="444">
        <f t="shared" ca="1" si="2"/>
        <v>17995.240278179706</v>
      </c>
      <c r="L106" s="444">
        <f t="shared" ca="1" si="3"/>
        <v>4336852.9070413094</v>
      </c>
      <c r="M106" s="460">
        <f t="shared" si="6"/>
        <v>0.05</v>
      </c>
      <c r="N106" s="464">
        <f t="shared" si="7"/>
        <v>54271</v>
      </c>
    </row>
    <row r="107" spans="1:14" ht="11.25" customHeight="1" x14ac:dyDescent="0.3">
      <c r="A107" s="459">
        <v>100</v>
      </c>
      <c r="B107" s="431"/>
      <c r="C107" s="431"/>
      <c r="D107" s="431"/>
      <c r="E107" s="431"/>
      <c r="F107" s="431"/>
      <c r="G107" s="459">
        <f t="shared" si="13"/>
        <v>9</v>
      </c>
      <c r="H107" s="459">
        <v>100</v>
      </c>
      <c r="I107" s="444">
        <f t="shared" ca="1" si="5"/>
        <v>4336852.9070413094</v>
      </c>
      <c r="J107" s="444">
        <f t="array" ref="J107">IFERROR(INDEX('Retirement Calculator'!K:K,MATCH('Lorri 401b'!N107,'Retirement Calculator'!A:A,0),0),0)</f>
        <v>20367.195264578786</v>
      </c>
      <c r="K107" s="444">
        <f t="shared" ca="1" si="2"/>
        <v>17985.357132403045</v>
      </c>
      <c r="L107" s="444">
        <f t="shared" ca="1" si="3"/>
        <v>4334471.0689091338</v>
      </c>
      <c r="M107" s="460">
        <f t="shared" si="6"/>
        <v>0.05</v>
      </c>
      <c r="N107" s="464">
        <f t="shared" si="7"/>
        <v>54302</v>
      </c>
    </row>
    <row r="108" spans="1:14" ht="11.25" customHeight="1" x14ac:dyDescent="0.3">
      <c r="A108" s="459">
        <v>101</v>
      </c>
      <c r="B108" s="431"/>
      <c r="C108" s="431"/>
      <c r="D108" s="431"/>
      <c r="E108" s="431"/>
      <c r="F108" s="431"/>
      <c r="G108" s="459">
        <f t="shared" si="13"/>
        <v>9</v>
      </c>
      <c r="H108" s="459">
        <v>101</v>
      </c>
      <c r="I108" s="444">
        <f t="shared" ca="1" si="5"/>
        <v>4334471.0689091338</v>
      </c>
      <c r="J108" s="444">
        <f t="array" ref="J108">IFERROR(INDEX('Retirement Calculator'!K:K,MATCH('Lorri 401b'!N108,'Retirement Calculator'!A:A,0),0),0)</f>
        <v>20367.195264578786</v>
      </c>
      <c r="K108" s="444">
        <f t="shared" ca="1" si="2"/>
        <v>17975.432806852314</v>
      </c>
      <c r="L108" s="444">
        <f t="shared" ca="1" si="3"/>
        <v>4332079.3064514073</v>
      </c>
      <c r="M108" s="460">
        <f t="shared" si="6"/>
        <v>0.05</v>
      </c>
      <c r="N108" s="464">
        <f t="shared" si="7"/>
        <v>54332</v>
      </c>
    </row>
    <row r="109" spans="1:14" ht="11.25" customHeight="1" x14ac:dyDescent="0.3">
      <c r="A109" s="459">
        <v>102</v>
      </c>
      <c r="B109" s="431"/>
      <c r="C109" s="431"/>
      <c r="D109" s="431"/>
      <c r="E109" s="431"/>
      <c r="F109" s="431"/>
      <c r="G109" s="459">
        <f t="shared" si="13"/>
        <v>9</v>
      </c>
      <c r="H109" s="459">
        <v>102</v>
      </c>
      <c r="I109" s="444">
        <f t="shared" ca="1" si="5"/>
        <v>4332079.3064514073</v>
      </c>
      <c r="J109" s="444">
        <f t="array" ref="J109">IFERROR(INDEX('Retirement Calculator'!K:K,MATCH('Lorri 401b'!N109,'Retirement Calculator'!A:A,0),0),0)</f>
        <v>20367.195264578786</v>
      </c>
      <c r="K109" s="444">
        <f t="shared" ca="1" si="2"/>
        <v>17965.467129945118</v>
      </c>
      <c r="L109" s="444">
        <f t="shared" ca="1" si="3"/>
        <v>4329677.5783167733</v>
      </c>
      <c r="M109" s="460">
        <f t="shared" si="6"/>
        <v>0.05</v>
      </c>
      <c r="N109" s="464">
        <f t="shared" si="7"/>
        <v>54363</v>
      </c>
    </row>
    <row r="110" spans="1:14" ht="11.25" customHeight="1" x14ac:dyDescent="0.3">
      <c r="A110" s="459">
        <v>103</v>
      </c>
      <c r="B110" s="431"/>
      <c r="C110" s="431"/>
      <c r="D110" s="431"/>
      <c r="E110" s="431"/>
      <c r="F110" s="431"/>
      <c r="G110" s="459">
        <f t="shared" si="13"/>
        <v>9</v>
      </c>
      <c r="H110" s="459">
        <v>103</v>
      </c>
      <c r="I110" s="444">
        <f t="shared" ca="1" si="5"/>
        <v>4329677.5783167733</v>
      </c>
      <c r="J110" s="444">
        <f t="array" ref="J110">IFERROR(INDEX('Retirement Calculator'!K:K,MATCH('Lorri 401b'!N110,'Retirement Calculator'!A:A,0),0),0)</f>
        <v>20367.195264578786</v>
      </c>
      <c r="K110" s="444">
        <f t="shared" ca="1" si="2"/>
        <v>17955.459929384142</v>
      </c>
      <c r="L110" s="444">
        <f t="shared" ca="1" si="3"/>
        <v>4327265.8429815788</v>
      </c>
      <c r="M110" s="460">
        <f t="shared" si="6"/>
        <v>0.05</v>
      </c>
      <c r="N110" s="464">
        <f t="shared" si="7"/>
        <v>54393</v>
      </c>
    </row>
    <row r="111" spans="1:14" ht="11.25" customHeight="1" x14ac:dyDescent="0.3">
      <c r="A111" s="459">
        <v>104</v>
      </c>
      <c r="B111" s="431"/>
      <c r="C111" s="431"/>
      <c r="D111" s="431"/>
      <c r="E111" s="431"/>
      <c r="F111" s="431"/>
      <c r="G111" s="459">
        <f t="shared" si="13"/>
        <v>9</v>
      </c>
      <c r="H111" s="459">
        <v>104</v>
      </c>
      <c r="I111" s="444">
        <f t="shared" ca="1" si="5"/>
        <v>4327265.8429815788</v>
      </c>
      <c r="J111" s="444">
        <f t="array" ref="J111">IFERROR(INDEX('Retirement Calculator'!K:K,MATCH('Lorri 401b'!N111,'Retirement Calculator'!A:A,0),0),0)</f>
        <v>20367.195264578786</v>
      </c>
      <c r="K111" s="444">
        <f t="shared" ca="1" si="2"/>
        <v>17945.411032154167</v>
      </c>
      <c r="L111" s="444">
        <f t="shared" ca="1" si="3"/>
        <v>4324844.0587491542</v>
      </c>
      <c r="M111" s="460">
        <f t="shared" si="6"/>
        <v>0.05</v>
      </c>
      <c r="N111" s="464">
        <f t="shared" si="7"/>
        <v>54424</v>
      </c>
    </row>
    <row r="112" spans="1:14" ht="11.25" customHeight="1" x14ac:dyDescent="0.3">
      <c r="A112" s="459">
        <v>105</v>
      </c>
      <c r="B112" s="431"/>
      <c r="C112" s="431"/>
      <c r="D112" s="431"/>
      <c r="E112" s="431"/>
      <c r="F112" s="431"/>
      <c r="G112" s="459">
        <f t="shared" si="13"/>
        <v>9</v>
      </c>
      <c r="H112" s="459">
        <v>105</v>
      </c>
      <c r="I112" s="444">
        <f t="shared" ca="1" si="5"/>
        <v>4324844.0587491542</v>
      </c>
      <c r="J112" s="444">
        <f t="array" ref="J112">IFERROR(INDEX('Retirement Calculator'!K:K,MATCH('Lorri 401b'!N112,'Retirement Calculator'!A:A,0),0),0)</f>
        <v>20367.195264578786</v>
      </c>
      <c r="K112" s="444">
        <f t="shared" ca="1" si="2"/>
        <v>17935.320264519065</v>
      </c>
      <c r="L112" s="444">
        <f t="shared" ca="1" si="3"/>
        <v>4322412.1837490946</v>
      </c>
      <c r="M112" s="460">
        <f t="shared" si="6"/>
        <v>0.05</v>
      </c>
      <c r="N112" s="464">
        <f t="shared" si="7"/>
        <v>54455</v>
      </c>
    </row>
    <row r="113" spans="1:14" ht="11.25" customHeight="1" x14ac:dyDescent="0.3">
      <c r="A113" s="459">
        <v>106</v>
      </c>
      <c r="B113" s="431"/>
      <c r="C113" s="431"/>
      <c r="D113" s="431"/>
      <c r="E113" s="431"/>
      <c r="F113" s="431"/>
      <c r="G113" s="459">
        <f t="shared" si="13"/>
        <v>9</v>
      </c>
      <c r="H113" s="459">
        <v>106</v>
      </c>
      <c r="I113" s="444">
        <f t="shared" ca="1" si="5"/>
        <v>4322412.1837490946</v>
      </c>
      <c r="J113" s="444">
        <f t="array" ref="J113">IFERROR(INDEX('Retirement Calculator'!K:K,MATCH('Lorri 401b'!N113,'Retirement Calculator'!A:A,0),0),0)</f>
        <v>20367.195264578786</v>
      </c>
      <c r="K113" s="444">
        <f t="shared" ca="1" si="2"/>
        <v>17925.187452018814</v>
      </c>
      <c r="L113" s="444">
        <f t="shared" ca="1" si="3"/>
        <v>4319970.175936535</v>
      </c>
      <c r="M113" s="460">
        <f t="shared" si="6"/>
        <v>0.05</v>
      </c>
      <c r="N113" s="464">
        <f t="shared" si="7"/>
        <v>54483</v>
      </c>
    </row>
    <row r="114" spans="1:14" ht="11.25" customHeight="1" x14ac:dyDescent="0.3">
      <c r="A114" s="459">
        <v>107</v>
      </c>
      <c r="B114" s="431"/>
      <c r="C114" s="431"/>
      <c r="D114" s="431"/>
      <c r="E114" s="431"/>
      <c r="F114" s="431"/>
      <c r="G114" s="459">
        <f t="shared" si="13"/>
        <v>9</v>
      </c>
      <c r="H114" s="459">
        <v>107</v>
      </c>
      <c r="I114" s="444">
        <f t="shared" ca="1" si="5"/>
        <v>4319970.175936535</v>
      </c>
      <c r="J114" s="444">
        <f t="array" ref="J114">IFERROR(INDEX('Retirement Calculator'!K:K,MATCH('Lorri 401b'!N114,'Retirement Calculator'!A:A,0),0),0)</f>
        <v>20367.195264578786</v>
      </c>
      <c r="K114" s="444">
        <f t="shared" ca="1" si="2"/>
        <v>17915.012419466482</v>
      </c>
      <c r="L114" s="444">
        <f t="shared" ca="1" si="3"/>
        <v>4317517.9930914231</v>
      </c>
      <c r="M114" s="460">
        <f t="shared" si="6"/>
        <v>0.05</v>
      </c>
      <c r="N114" s="464">
        <f t="shared" si="7"/>
        <v>54514</v>
      </c>
    </row>
    <row r="115" spans="1:14" ht="11.25" customHeight="1" x14ac:dyDescent="0.3">
      <c r="A115" s="459">
        <v>108</v>
      </c>
      <c r="B115" s="431"/>
      <c r="C115" s="431"/>
      <c r="D115" s="431"/>
      <c r="E115" s="431"/>
      <c r="F115" s="431"/>
      <c r="G115" s="459">
        <f t="shared" si="13"/>
        <v>9</v>
      </c>
      <c r="H115" s="459">
        <v>108</v>
      </c>
      <c r="I115" s="444">
        <f t="shared" ca="1" si="5"/>
        <v>4317517.9930914231</v>
      </c>
      <c r="J115" s="444">
        <f t="array" ref="J115">IFERROR(INDEX('Retirement Calculator'!K:K,MATCH('Lorri 401b'!N115,'Retirement Calculator'!A:A,0),0),0)</f>
        <v>20367.195264578786</v>
      </c>
      <c r="K115" s="444">
        <f t="shared" ca="1" si="2"/>
        <v>17904.794990945185</v>
      </c>
      <c r="L115" s="444">
        <f t="shared" ca="1" si="3"/>
        <v>4315055.5928177899</v>
      </c>
      <c r="M115" s="460">
        <f t="shared" si="6"/>
        <v>0.05</v>
      </c>
      <c r="N115" s="464">
        <f t="shared" si="7"/>
        <v>54544</v>
      </c>
    </row>
    <row r="116" spans="1:14" ht="11.25" customHeight="1" x14ac:dyDescent="0.3">
      <c r="A116" s="459">
        <v>109</v>
      </c>
      <c r="B116" s="431"/>
      <c r="C116" s="431"/>
      <c r="D116" s="431"/>
      <c r="E116" s="431"/>
      <c r="F116" s="431"/>
      <c r="G116" s="459">
        <f>G115+1</f>
        <v>10</v>
      </c>
      <c r="H116" s="459">
        <v>109</v>
      </c>
      <c r="I116" s="444">
        <f t="shared" ca="1" si="5"/>
        <v>4315055.5928177899</v>
      </c>
      <c r="J116" s="444">
        <f t="array" ref="J116">IFERROR(INDEX('Retirement Calculator'!K:K,MATCH('Lorri 401b'!N116,'Retirement Calculator'!A:A,0),0),0)</f>
        <v>20367.195264578786</v>
      </c>
      <c r="K116" s="444">
        <f t="shared" ca="1" si="2"/>
        <v>17894.534989805044</v>
      </c>
      <c r="L116" s="444">
        <f t="shared" ca="1" si="3"/>
        <v>4312582.932543016</v>
      </c>
      <c r="M116" s="460">
        <f t="shared" si="6"/>
        <v>0.05</v>
      </c>
      <c r="N116" s="464">
        <f t="shared" si="7"/>
        <v>54575</v>
      </c>
    </row>
    <row r="117" spans="1:14" ht="11.25" customHeight="1" x14ac:dyDescent="0.3">
      <c r="A117" s="459">
        <v>110</v>
      </c>
      <c r="B117" s="431"/>
      <c r="C117" s="431"/>
      <c r="D117" s="431"/>
      <c r="E117" s="431"/>
      <c r="F117" s="431"/>
      <c r="G117" s="459">
        <f t="shared" ref="G117:G127" si="14">G116</f>
        <v>10</v>
      </c>
      <c r="H117" s="459">
        <v>110</v>
      </c>
      <c r="I117" s="444">
        <f t="shared" ca="1" si="5"/>
        <v>4312582.932543016</v>
      </c>
      <c r="J117" s="444">
        <f t="array" ref="J117">IFERROR(INDEX('Retirement Calculator'!K:K,MATCH('Lorri 401b'!N117,'Retirement Calculator'!A:A,0),0),0)</f>
        <v>20367.195264578786</v>
      </c>
      <c r="K117" s="444">
        <f t="shared" ca="1" si="2"/>
        <v>17884.232238660155</v>
      </c>
      <c r="L117" s="444">
        <f t="shared" ca="1" si="3"/>
        <v>4310099.9695170978</v>
      </c>
      <c r="M117" s="460">
        <f t="shared" si="6"/>
        <v>0.05</v>
      </c>
      <c r="N117" s="464">
        <f t="shared" si="7"/>
        <v>54605</v>
      </c>
    </row>
    <row r="118" spans="1:14" ht="11.25" customHeight="1" x14ac:dyDescent="0.3">
      <c r="A118" s="459">
        <v>111</v>
      </c>
      <c r="B118" s="431"/>
      <c r="C118" s="431"/>
      <c r="D118" s="431"/>
      <c r="E118" s="431"/>
      <c r="F118" s="431"/>
      <c r="G118" s="459">
        <f t="shared" si="14"/>
        <v>10</v>
      </c>
      <c r="H118" s="459">
        <v>111</v>
      </c>
      <c r="I118" s="444">
        <f t="shared" ca="1" si="5"/>
        <v>4310099.9695170978</v>
      </c>
      <c r="J118" s="444">
        <f t="array" ref="J118">IFERROR(INDEX('Retirement Calculator'!K:K,MATCH('Lorri 401b'!N118,'Retirement Calculator'!A:A,0),0),0)</f>
        <v>20367.195264578786</v>
      </c>
      <c r="K118" s="444">
        <f t="shared" ca="1" si="2"/>
        <v>17873.886559385497</v>
      </c>
      <c r="L118" s="444">
        <f t="shared" ca="1" si="3"/>
        <v>4307606.6608119048</v>
      </c>
      <c r="M118" s="460">
        <f t="shared" si="6"/>
        <v>0.05</v>
      </c>
      <c r="N118" s="464">
        <f t="shared" si="7"/>
        <v>54636</v>
      </c>
    </row>
    <row r="119" spans="1:14" ht="11.25" customHeight="1" x14ac:dyDescent="0.3">
      <c r="A119" s="459">
        <v>112</v>
      </c>
      <c r="B119" s="431"/>
      <c r="C119" s="431"/>
      <c r="D119" s="431"/>
      <c r="E119" s="431"/>
      <c r="F119" s="431"/>
      <c r="G119" s="459">
        <f t="shared" si="14"/>
        <v>10</v>
      </c>
      <c r="H119" s="459">
        <v>112</v>
      </c>
      <c r="I119" s="444">
        <f t="shared" ca="1" si="5"/>
        <v>4307606.6608119048</v>
      </c>
      <c r="J119" s="444">
        <f t="array" ref="J119">IFERROR(INDEX('Retirement Calculator'!K:K,MATCH('Lorri 401b'!N119,'Retirement Calculator'!A:A,0),0),0)</f>
        <v>20367.195264578786</v>
      </c>
      <c r="K119" s="444">
        <f t="shared" ca="1" si="2"/>
        <v>17863.497773113857</v>
      </c>
      <c r="L119" s="444">
        <f t="shared" ca="1" si="3"/>
        <v>4305102.9633204397</v>
      </c>
      <c r="M119" s="460">
        <f t="shared" si="6"/>
        <v>0.05</v>
      </c>
      <c r="N119" s="464">
        <f t="shared" si="7"/>
        <v>54667</v>
      </c>
    </row>
    <row r="120" spans="1:14" ht="11.25" customHeight="1" x14ac:dyDescent="0.3">
      <c r="A120" s="459">
        <v>113</v>
      </c>
      <c r="B120" s="431"/>
      <c r="C120" s="431"/>
      <c r="D120" s="431"/>
      <c r="E120" s="431"/>
      <c r="F120" s="431"/>
      <c r="G120" s="459">
        <f t="shared" si="14"/>
        <v>10</v>
      </c>
      <c r="H120" s="459">
        <v>113</v>
      </c>
      <c r="I120" s="444">
        <f t="shared" ca="1" si="5"/>
        <v>4305102.9633204397</v>
      </c>
      <c r="J120" s="444">
        <f t="array" ref="J120">IFERROR(INDEX('Retirement Calculator'!K:K,MATCH('Lorri 401b'!N120,'Retirement Calculator'!A:A,0),0),0)</f>
        <v>20367.195264578786</v>
      </c>
      <c r="K120" s="444">
        <f t="shared" ca="1" si="2"/>
        <v>17853.065700232753</v>
      </c>
      <c r="L120" s="444">
        <f t="shared" ca="1" si="3"/>
        <v>4302588.8337560939</v>
      </c>
      <c r="M120" s="460">
        <f t="shared" si="6"/>
        <v>0.05</v>
      </c>
      <c r="N120" s="464">
        <f t="shared" si="7"/>
        <v>54697</v>
      </c>
    </row>
    <row r="121" spans="1:14" ht="11.25" customHeight="1" x14ac:dyDescent="0.3">
      <c r="A121" s="459">
        <v>114</v>
      </c>
      <c r="B121" s="431"/>
      <c r="C121" s="431"/>
      <c r="D121" s="431"/>
      <c r="E121" s="431"/>
      <c r="F121" s="431"/>
      <c r="G121" s="459">
        <f t="shared" si="14"/>
        <v>10</v>
      </c>
      <c r="H121" s="459">
        <v>114</v>
      </c>
      <c r="I121" s="444">
        <f t="shared" ca="1" si="5"/>
        <v>4302588.8337560939</v>
      </c>
      <c r="J121" s="444">
        <f t="array" ref="J121">IFERROR(INDEX('Retirement Calculator'!K:K,MATCH('Lorri 401b'!N121,'Retirement Calculator'!A:A,0),0),0)</f>
        <v>20367.195264578786</v>
      </c>
      <c r="K121" s="444">
        <f t="shared" ca="1" si="2"/>
        <v>17842.590160381311</v>
      </c>
      <c r="L121" s="444">
        <f t="shared" ca="1" si="3"/>
        <v>4300064.2286518961</v>
      </c>
      <c r="M121" s="460">
        <f t="shared" si="6"/>
        <v>0.05</v>
      </c>
      <c r="N121" s="464">
        <f t="shared" si="7"/>
        <v>54728</v>
      </c>
    </row>
    <row r="122" spans="1:14" ht="11.25" customHeight="1" x14ac:dyDescent="0.3">
      <c r="A122" s="459">
        <v>115</v>
      </c>
      <c r="B122" s="431"/>
      <c r="C122" s="431"/>
      <c r="D122" s="431"/>
      <c r="E122" s="431"/>
      <c r="F122" s="431"/>
      <c r="G122" s="459">
        <f t="shared" si="14"/>
        <v>10</v>
      </c>
      <c r="H122" s="459">
        <v>115</v>
      </c>
      <c r="I122" s="444">
        <f t="shared" ca="1" si="5"/>
        <v>4300064.2286518961</v>
      </c>
      <c r="J122" s="444">
        <f t="array" ref="J122">IFERROR(INDEX('Retirement Calculator'!K:K,MATCH('Lorri 401b'!N122,'Retirement Calculator'!A:A,0),0),0)</f>
        <v>20367.195264578786</v>
      </c>
      <c r="K122" s="444">
        <f t="shared" ca="1" si="2"/>
        <v>17832.070972447156</v>
      </c>
      <c r="L122" s="444">
        <f t="shared" ca="1" si="3"/>
        <v>4297529.1043597646</v>
      </c>
      <c r="M122" s="460">
        <f t="shared" si="6"/>
        <v>0.05</v>
      </c>
      <c r="N122" s="464">
        <f t="shared" si="7"/>
        <v>54758</v>
      </c>
    </row>
    <row r="123" spans="1:14" ht="11.25" customHeight="1" x14ac:dyDescent="0.3">
      <c r="A123" s="459">
        <v>116</v>
      </c>
      <c r="B123" s="431"/>
      <c r="C123" s="431"/>
      <c r="D123" s="431"/>
      <c r="E123" s="431"/>
      <c r="F123" s="431"/>
      <c r="G123" s="459">
        <f t="shared" si="14"/>
        <v>10</v>
      </c>
      <c r="H123" s="459">
        <v>116</v>
      </c>
      <c r="I123" s="444">
        <f t="shared" ca="1" si="5"/>
        <v>4297529.1043597646</v>
      </c>
      <c r="J123" s="444">
        <f t="array" ref="J123">IFERROR(INDEX('Retirement Calculator'!K:K,MATCH('Lorri 401b'!N123,'Retirement Calculator'!A:A,0),0),0)</f>
        <v>20367.195264578786</v>
      </c>
      <c r="K123" s="444">
        <f t="shared" ca="1" si="2"/>
        <v>17821.507954563273</v>
      </c>
      <c r="L123" s="444">
        <f t="shared" ca="1" si="3"/>
        <v>4294983.4170497488</v>
      </c>
      <c r="M123" s="460">
        <f t="shared" si="6"/>
        <v>0.05</v>
      </c>
      <c r="N123" s="464">
        <f t="shared" si="7"/>
        <v>54789</v>
      </c>
    </row>
    <row r="124" spans="1:14" ht="11.25" customHeight="1" x14ac:dyDescent="0.3">
      <c r="A124" s="459">
        <v>117</v>
      </c>
      <c r="B124" s="431"/>
      <c r="C124" s="431"/>
      <c r="D124" s="431"/>
      <c r="E124" s="431"/>
      <c r="F124" s="431"/>
      <c r="G124" s="459">
        <f t="shared" si="14"/>
        <v>10</v>
      </c>
      <c r="H124" s="459">
        <v>117</v>
      </c>
      <c r="I124" s="444">
        <f t="shared" ca="1" si="5"/>
        <v>4294983.4170497488</v>
      </c>
      <c r="J124" s="444">
        <f t="array" ref="J124">IFERROR(INDEX('Retirement Calculator'!K:K,MATCH('Lorri 401b'!N124,'Retirement Calculator'!A:A,0),0),0)</f>
        <v>20367.195264578786</v>
      </c>
      <c r="K124" s="444">
        <f t="shared" ca="1" si="2"/>
        <v>17810.900924104873</v>
      </c>
      <c r="L124" s="444">
        <f t="shared" ca="1" si="3"/>
        <v>4292427.1227092752</v>
      </c>
      <c r="M124" s="460">
        <f t="shared" si="6"/>
        <v>0.05</v>
      </c>
      <c r="N124" s="464">
        <f t="shared" si="7"/>
        <v>54820</v>
      </c>
    </row>
    <row r="125" spans="1:14" ht="11.25" customHeight="1" x14ac:dyDescent="0.3">
      <c r="A125" s="459">
        <v>118</v>
      </c>
      <c r="B125" s="431"/>
      <c r="C125" s="431"/>
      <c r="D125" s="431"/>
      <c r="E125" s="431"/>
      <c r="F125" s="431"/>
      <c r="G125" s="459">
        <f t="shared" si="14"/>
        <v>10</v>
      </c>
      <c r="H125" s="459">
        <v>118</v>
      </c>
      <c r="I125" s="444">
        <f t="shared" ca="1" si="5"/>
        <v>4292427.1227092752</v>
      </c>
      <c r="J125" s="444">
        <f t="array" ref="J125">IFERROR(INDEX('Retirement Calculator'!K:K,MATCH('Lorri 401b'!N125,'Retirement Calculator'!A:A,0),0),0)</f>
        <v>20367.195264578786</v>
      </c>
      <c r="K125" s="444">
        <f t="shared" ca="1" si="2"/>
        <v>17800.249697686235</v>
      </c>
      <c r="L125" s="444">
        <f t="shared" ca="1" si="3"/>
        <v>4289860.1771423826</v>
      </c>
      <c r="M125" s="460">
        <f t="shared" si="6"/>
        <v>0.05</v>
      </c>
      <c r="N125" s="464">
        <f t="shared" si="7"/>
        <v>54848</v>
      </c>
    </row>
    <row r="126" spans="1:14" ht="11.25" customHeight="1" x14ac:dyDescent="0.3">
      <c r="A126" s="459">
        <v>119</v>
      </c>
      <c r="B126" s="431"/>
      <c r="C126" s="431"/>
      <c r="D126" s="431"/>
      <c r="E126" s="431"/>
      <c r="F126" s="431"/>
      <c r="G126" s="459">
        <f t="shared" si="14"/>
        <v>10</v>
      </c>
      <c r="H126" s="459">
        <v>119</v>
      </c>
      <c r="I126" s="444">
        <f t="shared" ca="1" si="5"/>
        <v>4289860.1771423826</v>
      </c>
      <c r="J126" s="444">
        <f t="array" ref="J126">IFERROR(INDEX('Retirement Calculator'!K:K,MATCH('Lorri 401b'!N126,'Retirement Calculator'!A:A,0),0),0)</f>
        <v>20367.195264578786</v>
      </c>
      <c r="K126" s="444">
        <f t="shared" ca="1" si="2"/>
        <v>17789.554091157515</v>
      </c>
      <c r="L126" s="444">
        <f t="shared" ca="1" si="3"/>
        <v>4287282.5359689612</v>
      </c>
      <c r="M126" s="460">
        <f t="shared" si="6"/>
        <v>0.05</v>
      </c>
      <c r="N126" s="464">
        <f t="shared" si="7"/>
        <v>54879</v>
      </c>
    </row>
    <row r="127" spans="1:14" ht="11.25" customHeight="1" x14ac:dyDescent="0.3">
      <c r="A127" s="459">
        <v>120</v>
      </c>
      <c r="B127" s="431"/>
      <c r="C127" s="431"/>
      <c r="D127" s="431"/>
      <c r="E127" s="431"/>
      <c r="F127" s="431"/>
      <c r="G127" s="459">
        <f t="shared" si="14"/>
        <v>10</v>
      </c>
      <c r="H127" s="459">
        <v>120</v>
      </c>
      <c r="I127" s="444">
        <f t="shared" ca="1" si="5"/>
        <v>4287282.5359689612</v>
      </c>
      <c r="J127" s="444">
        <f t="array" ref="J127">IFERROR(INDEX('Retirement Calculator'!K:K,MATCH('Lorri 401b'!N127,'Retirement Calculator'!A:A,0),0),0)</f>
        <v>20367.195264578786</v>
      </c>
      <c r="K127" s="444">
        <f t="shared" ca="1" si="2"/>
        <v>17778.813919601595</v>
      </c>
      <c r="L127" s="444">
        <f t="shared" ca="1" si="3"/>
        <v>4284694.1546239844</v>
      </c>
      <c r="M127" s="460">
        <f t="shared" si="6"/>
        <v>0.05</v>
      </c>
      <c r="N127" s="464">
        <f t="shared" si="7"/>
        <v>54909</v>
      </c>
    </row>
    <row r="128" spans="1:14" ht="11.25" customHeight="1" x14ac:dyDescent="0.3">
      <c r="A128" s="459">
        <v>121</v>
      </c>
      <c r="B128" s="431"/>
      <c r="C128" s="431"/>
      <c r="D128" s="431"/>
      <c r="E128" s="431"/>
      <c r="F128" s="431"/>
      <c r="G128" s="459">
        <f>G127+1</f>
        <v>11</v>
      </c>
      <c r="H128" s="459">
        <v>121</v>
      </c>
      <c r="I128" s="444">
        <f t="shared" ca="1" si="5"/>
        <v>4284694.1546239844</v>
      </c>
      <c r="J128" s="444">
        <f t="array" ref="J128">IFERROR(INDEX('Retirement Calculator'!K:K,MATCH('Lorri 401b'!N128,'Retirement Calculator'!A:A,0),0),0)</f>
        <v>20367.195264578786</v>
      </c>
      <c r="K128" s="444">
        <f t="shared" ca="1" si="2"/>
        <v>17768.028997330857</v>
      </c>
      <c r="L128" s="444">
        <f t="shared" ca="1" si="3"/>
        <v>4282094.9883567365</v>
      </c>
      <c r="M128" s="460">
        <f t="shared" si="6"/>
        <v>0.05</v>
      </c>
      <c r="N128" s="464">
        <f t="shared" si="7"/>
        <v>54940</v>
      </c>
    </row>
    <row r="129" spans="1:14" ht="11.25" customHeight="1" x14ac:dyDescent="0.3">
      <c r="A129" s="459">
        <v>122</v>
      </c>
      <c r="B129" s="431"/>
      <c r="C129" s="431"/>
      <c r="D129" s="431"/>
      <c r="E129" s="431"/>
      <c r="F129" s="431"/>
      <c r="G129" s="459">
        <f t="shared" ref="G129:G139" si="15">G128</f>
        <v>11</v>
      </c>
      <c r="H129" s="459">
        <v>122</v>
      </c>
      <c r="I129" s="444">
        <f t="shared" ca="1" si="5"/>
        <v>4282094.9883567365</v>
      </c>
      <c r="J129" s="444">
        <f t="array" ref="J129">IFERROR(INDEX('Retirement Calculator'!K:K,MATCH('Lorri 401b'!N129,'Retirement Calculator'!A:A,0),0),0)</f>
        <v>20367.195264578786</v>
      </c>
      <c r="K129" s="444">
        <f t="shared" ca="1" si="2"/>
        <v>17757.199137883988</v>
      </c>
      <c r="L129" s="444">
        <f t="shared" ca="1" si="3"/>
        <v>4279484.9922300419</v>
      </c>
      <c r="M129" s="460">
        <f t="shared" si="6"/>
        <v>0.05</v>
      </c>
      <c r="N129" s="464">
        <f t="shared" si="7"/>
        <v>54970</v>
      </c>
    </row>
    <row r="130" spans="1:14" ht="11.25" customHeight="1" x14ac:dyDescent="0.3">
      <c r="A130" s="459">
        <v>123</v>
      </c>
      <c r="B130" s="431"/>
      <c r="C130" s="431"/>
      <c r="D130" s="431"/>
      <c r="E130" s="431"/>
      <c r="F130" s="431"/>
      <c r="G130" s="459">
        <f t="shared" si="15"/>
        <v>11</v>
      </c>
      <c r="H130" s="459">
        <v>123</v>
      </c>
      <c r="I130" s="444">
        <f t="shared" ca="1" si="5"/>
        <v>4279484.9922300419</v>
      </c>
      <c r="J130" s="444">
        <f t="array" ref="J130">IFERROR(INDEX('Retirement Calculator'!K:K,MATCH('Lorri 401b'!N130,'Retirement Calculator'!A:A,0),0),0)</f>
        <v>20367.195264578786</v>
      </c>
      <c r="K130" s="444">
        <f t="shared" ca="1" si="2"/>
        <v>17746.324154022761</v>
      </c>
      <c r="L130" s="444">
        <f t="shared" ca="1" si="3"/>
        <v>4276864.1211194862</v>
      </c>
      <c r="M130" s="460">
        <f t="shared" si="6"/>
        <v>0.05</v>
      </c>
      <c r="N130" s="464">
        <f t="shared" si="7"/>
        <v>55001</v>
      </c>
    </row>
    <row r="131" spans="1:14" ht="11.25" customHeight="1" x14ac:dyDescent="0.3">
      <c r="A131" s="459">
        <v>124</v>
      </c>
      <c r="B131" s="431"/>
      <c r="C131" s="431"/>
      <c r="D131" s="431"/>
      <c r="E131" s="431"/>
      <c r="F131" s="431"/>
      <c r="G131" s="459">
        <f t="shared" si="15"/>
        <v>11</v>
      </c>
      <c r="H131" s="459">
        <v>124</v>
      </c>
      <c r="I131" s="444">
        <f t="shared" ca="1" si="5"/>
        <v>4276864.1211194862</v>
      </c>
      <c r="J131" s="444">
        <f t="array" ref="J131">IFERROR(INDEX('Retirement Calculator'!K:K,MATCH('Lorri 401b'!N131,'Retirement Calculator'!A:A,0),0),0)</f>
        <v>20367.195264578786</v>
      </c>
      <c r="K131" s="444">
        <f t="shared" ca="1" si="2"/>
        <v>17735.403857728779</v>
      </c>
      <c r="L131" s="444">
        <f t="shared" ca="1" si="3"/>
        <v>4274232.3297126358</v>
      </c>
      <c r="M131" s="460">
        <f t="shared" si="6"/>
        <v>0.05</v>
      </c>
      <c r="N131" s="464">
        <f t="shared" si="7"/>
        <v>55032</v>
      </c>
    </row>
    <row r="132" spans="1:14" ht="11.25" customHeight="1" x14ac:dyDescent="0.3">
      <c r="A132" s="459">
        <v>125</v>
      </c>
      <c r="B132" s="431"/>
      <c r="C132" s="431"/>
      <c r="D132" s="431"/>
      <c r="E132" s="431"/>
      <c r="F132" s="431"/>
      <c r="G132" s="459">
        <f t="shared" si="15"/>
        <v>11</v>
      </c>
      <c r="H132" s="459">
        <v>125</v>
      </c>
      <c r="I132" s="444">
        <f t="shared" ca="1" si="5"/>
        <v>4274232.3297126358</v>
      </c>
      <c r="J132" s="444">
        <f t="array" ref="J132">IFERROR(INDEX('Retirement Calculator'!K:K,MATCH('Lorri 401b'!N132,'Retirement Calculator'!A:A,0),0),0)</f>
        <v>20367.195264578786</v>
      </c>
      <c r="K132" s="444">
        <f t="shared" ca="1" si="2"/>
        <v>17724.438060200238</v>
      </c>
      <c r="L132" s="444">
        <f t="shared" ca="1" si="3"/>
        <v>4271589.5725082569</v>
      </c>
      <c r="M132" s="460">
        <f t="shared" si="6"/>
        <v>0.05</v>
      </c>
      <c r="N132" s="464">
        <f t="shared" si="7"/>
        <v>55062</v>
      </c>
    </row>
    <row r="133" spans="1:14" ht="11.25" customHeight="1" x14ac:dyDescent="0.3">
      <c r="A133" s="459">
        <v>126</v>
      </c>
      <c r="B133" s="431"/>
      <c r="C133" s="431"/>
      <c r="D133" s="431"/>
      <c r="E133" s="431"/>
      <c r="F133" s="431"/>
      <c r="G133" s="459">
        <f t="shared" si="15"/>
        <v>11</v>
      </c>
      <c r="H133" s="459">
        <v>126</v>
      </c>
      <c r="I133" s="444">
        <f t="shared" ca="1" si="5"/>
        <v>4271589.5725082569</v>
      </c>
      <c r="J133" s="444">
        <f t="array" ref="J133">IFERROR(INDEX('Retirement Calculator'!K:K,MATCH('Lorri 401b'!N133,'Retirement Calculator'!A:A,0),0),0)</f>
        <v>20367.195264578786</v>
      </c>
      <c r="K133" s="444">
        <f t="shared" ca="1" si="2"/>
        <v>17713.426571848657</v>
      </c>
      <c r="L133" s="444">
        <f t="shared" ca="1" si="3"/>
        <v>4268935.8038155269</v>
      </c>
      <c r="M133" s="460">
        <f t="shared" si="6"/>
        <v>0.05</v>
      </c>
      <c r="N133" s="464">
        <f t="shared" si="7"/>
        <v>55093</v>
      </c>
    </row>
    <row r="134" spans="1:14" ht="11.25" customHeight="1" x14ac:dyDescent="0.3">
      <c r="A134" s="459">
        <v>127</v>
      </c>
      <c r="B134" s="431"/>
      <c r="C134" s="431"/>
      <c r="D134" s="431"/>
      <c r="E134" s="431"/>
      <c r="F134" s="431"/>
      <c r="G134" s="459">
        <f t="shared" si="15"/>
        <v>11</v>
      </c>
      <c r="H134" s="459">
        <v>127</v>
      </c>
      <c r="I134" s="444">
        <f t="shared" ca="1" si="5"/>
        <v>4268935.8038155269</v>
      </c>
      <c r="J134" s="444">
        <f t="array" ref="J134">IFERROR(INDEX('Retirement Calculator'!K:K,MATCH('Lorri 401b'!N134,'Retirement Calculator'!A:A,0),0),0)</f>
        <v>20367.195264578786</v>
      </c>
      <c r="K134" s="444">
        <f t="shared" ca="1" si="2"/>
        <v>17702.369202295617</v>
      </c>
      <c r="L134" s="444">
        <f t="shared" ca="1" si="3"/>
        <v>4266270.9777532434</v>
      </c>
      <c r="M134" s="460">
        <f t="shared" si="6"/>
        <v>0.05</v>
      </c>
      <c r="N134" s="464">
        <f t="shared" si="7"/>
        <v>55123</v>
      </c>
    </row>
    <row r="135" spans="1:14" ht="11.25" customHeight="1" x14ac:dyDescent="0.3">
      <c r="A135" s="459">
        <v>128</v>
      </c>
      <c r="B135" s="431"/>
      <c r="C135" s="431"/>
      <c r="D135" s="431"/>
      <c r="E135" s="431"/>
      <c r="F135" s="431"/>
      <c r="G135" s="459">
        <f t="shared" si="15"/>
        <v>11</v>
      </c>
      <c r="H135" s="459">
        <v>128</v>
      </c>
      <c r="I135" s="444">
        <f t="shared" ca="1" si="5"/>
        <v>4266270.9777532434</v>
      </c>
      <c r="J135" s="444">
        <f t="array" ref="J135">IFERROR(INDEX('Retirement Calculator'!K:K,MATCH('Lorri 401b'!N135,'Retirement Calculator'!A:A,0),0),0)</f>
        <v>20367.195264578786</v>
      </c>
      <c r="K135" s="444">
        <f t="shared" ca="1" si="2"/>
        <v>17691.265760369435</v>
      </c>
      <c r="L135" s="444">
        <f t="shared" ca="1" si="3"/>
        <v>4263595.0482490342</v>
      </c>
      <c r="M135" s="460">
        <f t="shared" si="6"/>
        <v>0.05</v>
      </c>
      <c r="N135" s="464">
        <f t="shared" si="7"/>
        <v>55154</v>
      </c>
    </row>
    <row r="136" spans="1:14" ht="11.25" customHeight="1" x14ac:dyDescent="0.3">
      <c r="A136" s="459">
        <v>129</v>
      </c>
      <c r="B136" s="431"/>
      <c r="C136" s="431"/>
      <c r="D136" s="431"/>
      <c r="E136" s="431"/>
      <c r="F136" s="431"/>
      <c r="G136" s="459">
        <f t="shared" si="15"/>
        <v>11</v>
      </c>
      <c r="H136" s="459">
        <v>129</v>
      </c>
      <c r="I136" s="444">
        <f t="shared" ca="1" si="5"/>
        <v>4263595.0482490342</v>
      </c>
      <c r="J136" s="444">
        <f t="array" ref="J136">IFERROR(INDEX('Retirement Calculator'!K:K,MATCH('Lorri 401b'!N136,'Retirement Calculator'!A:A,0),0),0)</f>
        <v>20367.195264578786</v>
      </c>
      <c r="K136" s="444">
        <f t="shared" ca="1" si="2"/>
        <v>17680.116054101898</v>
      </c>
      <c r="L136" s="444">
        <f t="shared" ca="1" si="3"/>
        <v>4260907.9690385573</v>
      </c>
      <c r="M136" s="460">
        <f t="shared" si="6"/>
        <v>0.05</v>
      </c>
      <c r="N136" s="464">
        <f t="shared" si="7"/>
        <v>55185</v>
      </c>
    </row>
    <row r="137" spans="1:14" ht="11.25" customHeight="1" x14ac:dyDescent="0.3">
      <c r="A137" s="459"/>
      <c r="B137" s="431"/>
      <c r="C137" s="431"/>
      <c r="D137" s="431"/>
      <c r="E137" s="431"/>
      <c r="F137" s="431"/>
      <c r="G137" s="459">
        <f t="shared" si="15"/>
        <v>11</v>
      </c>
      <c r="H137" s="459">
        <v>130</v>
      </c>
      <c r="I137" s="444">
        <f t="shared" ca="1" si="5"/>
        <v>4260907.9690385573</v>
      </c>
      <c r="J137" s="444">
        <f t="array" ref="J137">IFERROR(INDEX('Retirement Calculator'!K:K,MATCH('Lorri 401b'!N137,'Retirement Calculator'!A:A,0),0),0)</f>
        <v>20367.195264578786</v>
      </c>
      <c r="K137" s="444">
        <f t="shared" ca="1" si="2"/>
        <v>17668.919890724908</v>
      </c>
      <c r="L137" s="444">
        <f t="shared" ca="1" si="3"/>
        <v>4258209.6936647035</v>
      </c>
      <c r="M137" s="460">
        <f t="shared" si="6"/>
        <v>0.05</v>
      </c>
      <c r="N137" s="464">
        <f t="shared" si="7"/>
        <v>55213</v>
      </c>
    </row>
    <row r="138" spans="1:14" ht="11.25" customHeight="1" x14ac:dyDescent="0.3">
      <c r="A138" s="459"/>
      <c r="B138" s="431"/>
      <c r="C138" s="431"/>
      <c r="D138" s="431"/>
      <c r="E138" s="431"/>
      <c r="F138" s="431"/>
      <c r="G138" s="459">
        <f t="shared" si="15"/>
        <v>11</v>
      </c>
      <c r="H138" s="459">
        <v>131</v>
      </c>
      <c r="I138" s="444">
        <f t="shared" ca="1" si="5"/>
        <v>4258209.6936647035</v>
      </c>
      <c r="J138" s="444">
        <f t="array" ref="J138">IFERROR(INDEX('Retirement Calculator'!K:K,MATCH('Lorri 401b'!N138,'Retirement Calculator'!A:A,0),0),0)</f>
        <v>20367.195264578786</v>
      </c>
      <c r="K138" s="444">
        <f t="shared" ca="1" si="2"/>
        <v>17657.677076667187</v>
      </c>
      <c r="L138" s="444">
        <f t="shared" ca="1" si="3"/>
        <v>4255500.1754767923</v>
      </c>
      <c r="M138" s="460">
        <f t="shared" si="6"/>
        <v>0.05</v>
      </c>
      <c r="N138" s="464">
        <f t="shared" si="7"/>
        <v>55244</v>
      </c>
    </row>
    <row r="139" spans="1:14" ht="11.25" customHeight="1" x14ac:dyDescent="0.3">
      <c r="A139" s="459"/>
      <c r="B139" s="431"/>
      <c r="C139" s="431"/>
      <c r="D139" s="431"/>
      <c r="E139" s="431"/>
      <c r="F139" s="431"/>
      <c r="G139" s="459">
        <f t="shared" si="15"/>
        <v>11</v>
      </c>
      <c r="H139" s="459">
        <v>132</v>
      </c>
      <c r="I139" s="444">
        <f t="shared" ca="1" si="5"/>
        <v>4255500.1754767923</v>
      </c>
      <c r="J139" s="444">
        <f t="array" ref="J139">IFERROR(INDEX('Retirement Calculator'!K:K,MATCH('Lorri 401b'!N139,'Retirement Calculator'!A:A,0),0),0)</f>
        <v>20367.195264578786</v>
      </c>
      <c r="K139" s="444">
        <f t="shared" ca="1" si="2"/>
        <v>17646.38741755089</v>
      </c>
      <c r="L139" s="444">
        <f t="shared" ca="1" si="3"/>
        <v>4252779.3676297646</v>
      </c>
      <c r="M139" s="460">
        <f t="shared" si="6"/>
        <v>0.05</v>
      </c>
      <c r="N139" s="464">
        <f t="shared" si="7"/>
        <v>55274</v>
      </c>
    </row>
    <row r="140" spans="1:14" ht="11.25" customHeight="1" x14ac:dyDescent="0.3">
      <c r="A140" s="459"/>
      <c r="B140" s="431"/>
      <c r="C140" s="431"/>
      <c r="D140" s="431"/>
      <c r="E140" s="431"/>
      <c r="F140" s="431"/>
      <c r="G140" s="459">
        <f>G139+1</f>
        <v>12</v>
      </c>
      <c r="H140" s="459">
        <v>133</v>
      </c>
      <c r="I140" s="444">
        <f t="shared" ca="1" si="5"/>
        <v>4252779.3676297646</v>
      </c>
      <c r="J140" s="444">
        <f t="array" ref="J140">IFERROR(INDEX('Retirement Calculator'!K:K,MATCH('Lorri 401b'!N140,'Retirement Calculator'!A:A,0),0),0)</f>
        <v>20367.195264578786</v>
      </c>
      <c r="K140" s="444">
        <f t="shared" ca="1" si="2"/>
        <v>17635.050718188275</v>
      </c>
      <c r="L140" s="444">
        <f t="shared" ca="1" si="3"/>
        <v>4250047.2230833741</v>
      </c>
      <c r="M140" s="460">
        <f t="shared" si="6"/>
        <v>0.05</v>
      </c>
      <c r="N140" s="464">
        <f t="shared" si="7"/>
        <v>55305</v>
      </c>
    </row>
    <row r="141" spans="1:14" ht="11.25" customHeight="1" x14ac:dyDescent="0.3">
      <c r="A141" s="459"/>
      <c r="B141" s="431"/>
      <c r="C141" s="431"/>
      <c r="D141" s="431"/>
      <c r="E141" s="431"/>
      <c r="F141" s="431"/>
      <c r="G141" s="459">
        <f t="shared" ref="G141:G151" si="16">G140</f>
        <v>12</v>
      </c>
      <c r="H141" s="459">
        <v>134</v>
      </c>
      <c r="I141" s="444">
        <f t="shared" ca="1" si="5"/>
        <v>4250047.2230833741</v>
      </c>
      <c r="J141" s="444">
        <f t="array" ref="J141">IFERROR(INDEX('Retirement Calculator'!K:K,MATCH('Lorri 401b'!N141,'Retirement Calculator'!A:A,0),0),0)</f>
        <v>20367.195264578786</v>
      </c>
      <c r="K141" s="444">
        <f t="shared" ca="1" si="2"/>
        <v>17623.666782578315</v>
      </c>
      <c r="L141" s="444">
        <f t="shared" ca="1" si="3"/>
        <v>4247303.6946013737</v>
      </c>
      <c r="M141" s="460">
        <f t="shared" si="6"/>
        <v>0.05</v>
      </c>
      <c r="N141" s="464">
        <f t="shared" si="7"/>
        <v>55335</v>
      </c>
    </row>
    <row r="142" spans="1:14" ht="11.25" customHeight="1" x14ac:dyDescent="0.3">
      <c r="A142" s="459"/>
      <c r="B142" s="431"/>
      <c r="C142" s="431"/>
      <c r="D142" s="431"/>
      <c r="E142" s="431"/>
      <c r="F142" s="431"/>
      <c r="G142" s="459">
        <f t="shared" si="16"/>
        <v>12</v>
      </c>
      <c r="H142" s="459">
        <v>135</v>
      </c>
      <c r="I142" s="444">
        <f t="shared" ca="1" si="5"/>
        <v>4247303.6946013737</v>
      </c>
      <c r="J142" s="444">
        <f t="array" ref="J142">IFERROR(INDEX('Retirement Calculator'!K:K,MATCH('Lorri 401b'!N142,'Retirement Calculator'!A:A,0),0),0)</f>
        <v>20367.195264578786</v>
      </c>
      <c r="K142" s="444">
        <f t="shared" ca="1" si="2"/>
        <v>17612.235413903312</v>
      </c>
      <c r="L142" s="444">
        <f t="shared" ca="1" si="3"/>
        <v>4244548.7347506983</v>
      </c>
      <c r="M142" s="460">
        <f t="shared" si="6"/>
        <v>0.05</v>
      </c>
      <c r="N142" s="464">
        <f t="shared" si="7"/>
        <v>55366</v>
      </c>
    </row>
    <row r="143" spans="1:14" ht="11.25" customHeight="1" x14ac:dyDescent="0.3">
      <c r="A143" s="459"/>
      <c r="B143" s="431"/>
      <c r="C143" s="431"/>
      <c r="D143" s="431"/>
      <c r="E143" s="431"/>
      <c r="F143" s="431"/>
      <c r="G143" s="459">
        <f t="shared" si="16"/>
        <v>12</v>
      </c>
      <c r="H143" s="459">
        <v>136</v>
      </c>
      <c r="I143" s="444">
        <f t="shared" ca="1" si="5"/>
        <v>4244548.7347506983</v>
      </c>
      <c r="J143" s="444">
        <f t="array" ref="J143">IFERROR(INDEX('Retirement Calculator'!K:K,MATCH('Lorri 401b'!N143,'Retirement Calculator'!A:A,0),0),0)</f>
        <v>20367.195264578786</v>
      </c>
      <c r="K143" s="444">
        <f t="shared" ca="1" si="2"/>
        <v>17600.756414525498</v>
      </c>
      <c r="L143" s="444">
        <f t="shared" ca="1" si="3"/>
        <v>4241782.2959006447</v>
      </c>
      <c r="M143" s="460">
        <f t="shared" si="6"/>
        <v>0.05</v>
      </c>
      <c r="N143" s="464">
        <f t="shared" si="7"/>
        <v>55397</v>
      </c>
    </row>
    <row r="144" spans="1:14" ht="11.25" customHeight="1" x14ac:dyDescent="0.3">
      <c r="A144" s="459"/>
      <c r="B144" s="431"/>
      <c r="C144" s="431"/>
      <c r="D144" s="431"/>
      <c r="E144" s="431"/>
      <c r="F144" s="431"/>
      <c r="G144" s="459">
        <f t="shared" si="16"/>
        <v>12</v>
      </c>
      <c r="H144" s="459">
        <v>137</v>
      </c>
      <c r="I144" s="444">
        <f t="shared" ca="1" si="5"/>
        <v>4241782.2959006447</v>
      </c>
      <c r="J144" s="444">
        <f t="array" ref="J144">IFERROR(INDEX('Retirement Calculator'!K:K,MATCH('Lorri 401b'!N144,'Retirement Calculator'!A:A,0),0),0)</f>
        <v>20367.195264578786</v>
      </c>
      <c r="K144" s="444">
        <f t="shared" ca="1" si="2"/>
        <v>17589.229585983609</v>
      </c>
      <c r="L144" s="444">
        <f t="shared" ca="1" si="3"/>
        <v>4239004.3302220497</v>
      </c>
      <c r="M144" s="460">
        <f t="shared" si="6"/>
        <v>0.05</v>
      </c>
      <c r="N144" s="464">
        <f t="shared" si="7"/>
        <v>55427</v>
      </c>
    </row>
    <row r="145" spans="7:14" ht="11.25" customHeight="1" x14ac:dyDescent="0.3">
      <c r="G145" s="459">
        <f t="shared" si="16"/>
        <v>12</v>
      </c>
      <c r="H145" s="459">
        <v>138</v>
      </c>
      <c r="I145" s="444">
        <f t="shared" ca="1" si="5"/>
        <v>4239004.3302220497</v>
      </c>
      <c r="J145" s="444">
        <f t="array" ref="J145">IFERROR(INDEX('Retirement Calculator'!K:K,MATCH('Lorri 401b'!N145,'Retirement Calculator'!A:A,0),0),0)</f>
        <v>20367.195264578786</v>
      </c>
      <c r="K145" s="444">
        <f t="shared" ca="1" si="2"/>
        <v>17577.654728989462</v>
      </c>
      <c r="L145" s="444">
        <f t="shared" ca="1" si="3"/>
        <v>4236214.78968646</v>
      </c>
      <c r="M145" s="460">
        <f t="shared" si="6"/>
        <v>0.05</v>
      </c>
      <c r="N145" s="464">
        <f t="shared" si="7"/>
        <v>55458</v>
      </c>
    </row>
    <row r="146" spans="7:14" ht="11.25" customHeight="1" x14ac:dyDescent="0.3">
      <c r="G146" s="459">
        <f t="shared" si="16"/>
        <v>12</v>
      </c>
      <c r="H146" s="459">
        <v>139</v>
      </c>
      <c r="I146" s="444">
        <f t="shared" ca="1" si="5"/>
        <v>4236214.78968646</v>
      </c>
      <c r="J146" s="444">
        <f t="array" ref="J146">IFERROR(INDEX('Retirement Calculator'!K:K,MATCH('Lorri 401b'!N146,'Retirement Calculator'!A:A,0),0),0)</f>
        <v>20367.195264578786</v>
      </c>
      <c r="K146" s="444">
        <f t="shared" ca="1" si="2"/>
        <v>17566.031643424503</v>
      </c>
      <c r="L146" s="444">
        <f t="shared" ca="1" si="3"/>
        <v>4233413.6260653054</v>
      </c>
      <c r="M146" s="460">
        <f t="shared" si="6"/>
        <v>0.05</v>
      </c>
      <c r="N146" s="464">
        <f t="shared" si="7"/>
        <v>55488</v>
      </c>
    </row>
    <row r="147" spans="7:14" ht="11.25" customHeight="1" x14ac:dyDescent="0.3">
      <c r="G147" s="459">
        <f t="shared" si="16"/>
        <v>12</v>
      </c>
      <c r="H147" s="459">
        <v>140</v>
      </c>
      <c r="I147" s="444">
        <f t="shared" ca="1" si="5"/>
        <v>4233413.6260653054</v>
      </c>
      <c r="J147" s="444">
        <f t="array" ref="J147">IFERROR(INDEX('Retirement Calculator'!K:K,MATCH('Lorri 401b'!N147,'Retirement Calculator'!A:A,0),0),0)</f>
        <v>20367.195264578786</v>
      </c>
      <c r="K147" s="444">
        <f t="shared" ca="1" si="2"/>
        <v>17554.360128336361</v>
      </c>
      <c r="L147" s="444">
        <f t="shared" ca="1" si="3"/>
        <v>4230600.7909290632</v>
      </c>
      <c r="M147" s="460">
        <f t="shared" si="6"/>
        <v>0.05</v>
      </c>
      <c r="N147" s="464">
        <f t="shared" si="7"/>
        <v>55519</v>
      </c>
    </row>
    <row r="148" spans="7:14" ht="11.25" customHeight="1" x14ac:dyDescent="0.3">
      <c r="G148" s="459">
        <f t="shared" si="16"/>
        <v>12</v>
      </c>
      <c r="H148" s="459">
        <v>141</v>
      </c>
      <c r="I148" s="444">
        <f t="shared" ca="1" si="5"/>
        <v>4230600.7909290632</v>
      </c>
      <c r="J148" s="444">
        <f t="array" ref="J148">IFERROR(INDEX('Retirement Calculator'!K:K,MATCH('Lorri 401b'!N148,'Retirement Calculator'!A:A,0),0),0)</f>
        <v>20367.195264578786</v>
      </c>
      <c r="K148" s="444">
        <f t="shared" ca="1" si="2"/>
        <v>17542.63998193535</v>
      </c>
      <c r="L148" s="444">
        <f t="shared" ca="1" si="3"/>
        <v>4227776.2356464202</v>
      </c>
      <c r="M148" s="460">
        <f t="shared" si="6"/>
        <v>0.05</v>
      </c>
      <c r="N148" s="464">
        <f t="shared" si="7"/>
        <v>55550</v>
      </c>
    </row>
    <row r="149" spans="7:14" ht="11.25" customHeight="1" x14ac:dyDescent="0.3">
      <c r="G149" s="459">
        <f t="shared" si="16"/>
        <v>12</v>
      </c>
      <c r="H149" s="459">
        <v>142</v>
      </c>
      <c r="I149" s="444">
        <f t="shared" ca="1" si="5"/>
        <v>4227776.2356464202</v>
      </c>
      <c r="J149" s="444">
        <f t="array" ref="J149">IFERROR(INDEX('Retirement Calculator'!K:K,MATCH('Lorri 401b'!N149,'Retirement Calculator'!A:A,0),0),0)</f>
        <v>20367.195264578786</v>
      </c>
      <c r="K149" s="444">
        <f t="shared" ca="1" si="2"/>
        <v>17530.871001591004</v>
      </c>
      <c r="L149" s="444">
        <f t="shared" ca="1" si="3"/>
        <v>4224939.9113834323</v>
      </c>
      <c r="M149" s="460">
        <f t="shared" si="6"/>
        <v>0.05</v>
      </c>
      <c r="N149" s="464">
        <f t="shared" si="7"/>
        <v>55579</v>
      </c>
    </row>
    <row r="150" spans="7:14" ht="11.25" customHeight="1" x14ac:dyDescent="0.3">
      <c r="G150" s="459">
        <f t="shared" si="16"/>
        <v>12</v>
      </c>
      <c r="H150" s="459">
        <v>143</v>
      </c>
      <c r="I150" s="444">
        <f t="shared" ca="1" si="5"/>
        <v>4224939.9113834323</v>
      </c>
      <c r="J150" s="444">
        <f t="array" ref="J150">IFERROR(INDEX('Retirement Calculator'!K:K,MATCH('Lorri 401b'!N150,'Retirement Calculator'!A:A,0),0),0)</f>
        <v>20367.195264578786</v>
      </c>
      <c r="K150" s="444">
        <f t="shared" ca="1" si="2"/>
        <v>17519.052983828555</v>
      </c>
      <c r="L150" s="444">
        <f t="shared" ca="1" si="3"/>
        <v>4222091.7691026824</v>
      </c>
      <c r="M150" s="460">
        <f t="shared" si="6"/>
        <v>0.05</v>
      </c>
      <c r="N150" s="464">
        <f t="shared" si="7"/>
        <v>55610</v>
      </c>
    </row>
    <row r="151" spans="7:14" ht="11.25" customHeight="1" x14ac:dyDescent="0.3">
      <c r="G151" s="459">
        <f t="shared" si="16"/>
        <v>12</v>
      </c>
      <c r="H151" s="459">
        <v>144</v>
      </c>
      <c r="I151" s="444">
        <f t="shared" ca="1" si="5"/>
        <v>4222091.7691026824</v>
      </c>
      <c r="J151" s="444">
        <f t="array" ref="J151">IFERROR(INDEX('Retirement Calculator'!K:K,MATCH('Lorri 401b'!N151,'Retirement Calculator'!A:A,0),0),0)</f>
        <v>20367.195264578786</v>
      </c>
      <c r="K151" s="444">
        <f t="shared" ca="1" si="2"/>
        <v>17507.185724325431</v>
      </c>
      <c r="L151" s="444">
        <f t="shared" ca="1" si="3"/>
        <v>4219231.759562429</v>
      </c>
      <c r="M151" s="460">
        <f t="shared" si="6"/>
        <v>0.05</v>
      </c>
      <c r="N151" s="464">
        <f t="shared" si="7"/>
        <v>55640</v>
      </c>
    </row>
    <row r="152" spans="7:14" ht="11.25" customHeight="1" x14ac:dyDescent="0.3">
      <c r="G152" s="459">
        <f>G151+1</f>
        <v>13</v>
      </c>
      <c r="H152" s="459">
        <v>145</v>
      </c>
      <c r="I152" s="444">
        <f t="shared" ca="1" si="5"/>
        <v>4219231.759562429</v>
      </c>
      <c r="J152" s="444">
        <f t="array" ref="J152">IFERROR(INDEX('Retirement Calculator'!K:K,MATCH('Lorri 401b'!N152,'Retirement Calculator'!A:A,0),0),0)</f>
        <v>20367.195264578786</v>
      </c>
      <c r="K152" s="444">
        <f t="shared" ca="1" si="2"/>
        <v>17495.269017907711</v>
      </c>
      <c r="L152" s="444">
        <f t="shared" ca="1" si="3"/>
        <v>4216359.833315758</v>
      </c>
      <c r="M152" s="460">
        <f t="shared" si="6"/>
        <v>0.05</v>
      </c>
      <c r="N152" s="464">
        <f t="shared" si="7"/>
        <v>55671</v>
      </c>
    </row>
    <row r="153" spans="7:14" ht="11.25" customHeight="1" x14ac:dyDescent="0.3">
      <c r="G153" s="459">
        <f t="shared" ref="G153:G163" si="17">G152</f>
        <v>13</v>
      </c>
      <c r="H153" s="459">
        <v>146</v>
      </c>
      <c r="I153" s="444">
        <f t="shared" ca="1" si="5"/>
        <v>4216359.833315758</v>
      </c>
      <c r="J153" s="444">
        <f t="array" ref="J153">IFERROR(INDEX('Retirement Calculator'!K:K,MATCH('Lorri 401b'!N153,'Retirement Calculator'!A:A,0),0),0)</f>
        <v>20367.195264578786</v>
      </c>
      <c r="K153" s="444">
        <f t="shared" ca="1" si="2"/>
        <v>17483.302658546581</v>
      </c>
      <c r="L153" s="444">
        <f t="shared" ca="1" si="3"/>
        <v>4213475.940709726</v>
      </c>
      <c r="M153" s="460">
        <f t="shared" si="6"/>
        <v>0.05</v>
      </c>
      <c r="N153" s="464">
        <f t="shared" si="7"/>
        <v>55701</v>
      </c>
    </row>
    <row r="154" spans="7:14" ht="11.25" customHeight="1" x14ac:dyDescent="0.3">
      <c r="G154" s="459">
        <f t="shared" si="17"/>
        <v>13</v>
      </c>
      <c r="H154" s="459">
        <v>147</v>
      </c>
      <c r="I154" s="444">
        <f t="shared" ca="1" si="5"/>
        <v>4213475.940709726</v>
      </c>
      <c r="J154" s="444">
        <f t="array" ref="J154">IFERROR(INDEX('Retirement Calculator'!K:K,MATCH('Lorri 401b'!N154,'Retirement Calculator'!A:A,0),0),0)</f>
        <v>20367.195264578786</v>
      </c>
      <c r="K154" s="444">
        <f t="shared" ca="1" si="2"/>
        <v>17471.286439354779</v>
      </c>
      <c r="L154" s="444">
        <f t="shared" ca="1" si="3"/>
        <v>4210580.0318845017</v>
      </c>
      <c r="M154" s="460">
        <f t="shared" si="6"/>
        <v>0.05</v>
      </c>
      <c r="N154" s="464">
        <f t="shared" si="7"/>
        <v>55732</v>
      </c>
    </row>
    <row r="155" spans="7:14" ht="11.25" customHeight="1" x14ac:dyDescent="0.3">
      <c r="G155" s="459">
        <f t="shared" si="17"/>
        <v>13</v>
      </c>
      <c r="H155" s="459">
        <v>148</v>
      </c>
      <c r="I155" s="444">
        <f t="shared" ca="1" si="5"/>
        <v>4210580.0318845017</v>
      </c>
      <c r="J155" s="444">
        <f t="array" ref="J155">IFERROR(INDEX('Retirement Calculator'!K:K,MATCH('Lorri 401b'!N155,'Retirement Calculator'!A:A,0),0),0)</f>
        <v>20367.195264578786</v>
      </c>
      <c r="K155" s="444">
        <f t="shared" ca="1" si="2"/>
        <v>17459.220152583013</v>
      </c>
      <c r="L155" s="444">
        <f t="shared" ca="1" si="3"/>
        <v>4207672.0567725059</v>
      </c>
      <c r="M155" s="460">
        <f t="shared" si="6"/>
        <v>0.05</v>
      </c>
      <c r="N155" s="464">
        <f t="shared" si="7"/>
        <v>55763</v>
      </c>
    </row>
    <row r="156" spans="7:14" ht="11.25" customHeight="1" x14ac:dyDescent="0.3">
      <c r="G156" s="459">
        <f t="shared" si="17"/>
        <v>13</v>
      </c>
      <c r="H156" s="459">
        <v>149</v>
      </c>
      <c r="I156" s="444">
        <f t="shared" ca="1" si="5"/>
        <v>4207672.0567725059</v>
      </c>
      <c r="J156" s="444">
        <f t="array" ref="J156">IFERROR(INDEX('Retirement Calculator'!K:K,MATCH('Lorri 401b'!N156,'Retirement Calculator'!A:A,0),0),0)</f>
        <v>20367.195264578786</v>
      </c>
      <c r="K156" s="444">
        <f t="shared" ca="1" si="2"/>
        <v>17447.103589616363</v>
      </c>
      <c r="L156" s="444">
        <f t="shared" ca="1" si="3"/>
        <v>4204751.9650975438</v>
      </c>
      <c r="M156" s="460">
        <f t="shared" si="6"/>
        <v>0.05</v>
      </c>
      <c r="N156" s="464">
        <f t="shared" si="7"/>
        <v>55793</v>
      </c>
    </row>
    <row r="157" spans="7:14" ht="11.25" customHeight="1" x14ac:dyDescent="0.3">
      <c r="G157" s="459">
        <f t="shared" si="17"/>
        <v>13</v>
      </c>
      <c r="H157" s="459">
        <v>150</v>
      </c>
      <c r="I157" s="444">
        <f t="shared" ca="1" si="5"/>
        <v>4204751.9650975438</v>
      </c>
      <c r="J157" s="444">
        <f t="array" ref="J157">IFERROR(INDEX('Retirement Calculator'!K:K,MATCH('Lorri 401b'!N157,'Retirement Calculator'!A:A,0),0),0)</f>
        <v>20367.195264578786</v>
      </c>
      <c r="K157" s="444">
        <f t="shared" ca="1" si="2"/>
        <v>17434.936540970688</v>
      </c>
      <c r="L157" s="444">
        <f t="shared" ca="1" si="3"/>
        <v>4201819.7063739356</v>
      </c>
      <c r="M157" s="460">
        <f t="shared" si="6"/>
        <v>0.05</v>
      </c>
      <c r="N157" s="464">
        <f t="shared" si="7"/>
        <v>55824</v>
      </c>
    </row>
    <row r="158" spans="7:14" ht="11.25" customHeight="1" x14ac:dyDescent="0.3">
      <c r="G158" s="459">
        <f t="shared" si="17"/>
        <v>13</v>
      </c>
      <c r="H158" s="459">
        <v>151</v>
      </c>
      <c r="I158" s="444">
        <f t="shared" ca="1" si="5"/>
        <v>4201819.7063739356</v>
      </c>
      <c r="J158" s="444">
        <f t="array" ref="J158">IFERROR(INDEX('Retirement Calculator'!K:K,MATCH('Lorri 401b'!N158,'Retirement Calculator'!A:A,0),0),0)</f>
        <v>20367.195264578786</v>
      </c>
      <c r="K158" s="444">
        <f t="shared" ca="1" si="2"/>
        <v>17422.718796288988</v>
      </c>
      <c r="L158" s="444">
        <f t="shared" ca="1" si="3"/>
        <v>4198875.2299056454</v>
      </c>
      <c r="M158" s="460">
        <f t="shared" si="6"/>
        <v>0.05</v>
      </c>
      <c r="N158" s="464">
        <f t="shared" si="7"/>
        <v>55854</v>
      </c>
    </row>
    <row r="159" spans="7:14" ht="11.25" customHeight="1" x14ac:dyDescent="0.3">
      <c r="G159" s="459">
        <f t="shared" si="17"/>
        <v>13</v>
      </c>
      <c r="H159" s="459">
        <v>152</v>
      </c>
      <c r="I159" s="444">
        <f t="shared" ca="1" si="5"/>
        <v>4198875.2299056454</v>
      </c>
      <c r="J159" s="444">
        <f t="array" ref="J159">IFERROR(INDEX('Retirement Calculator'!K:K,MATCH('Lorri 401b'!N159,'Retirement Calculator'!A:A,0),0),0)</f>
        <v>20367.195264578786</v>
      </c>
      <c r="K159" s="444">
        <f t="shared" ca="1" si="2"/>
        <v>17410.450144337778</v>
      </c>
      <c r="L159" s="444">
        <f t="shared" ca="1" si="3"/>
        <v>4195918.4847854041</v>
      </c>
      <c r="M159" s="460">
        <f t="shared" si="6"/>
        <v>0.05</v>
      </c>
      <c r="N159" s="464">
        <f t="shared" si="7"/>
        <v>55885</v>
      </c>
    </row>
    <row r="160" spans="7:14" ht="11.25" customHeight="1" x14ac:dyDescent="0.3">
      <c r="G160" s="459">
        <f t="shared" si="17"/>
        <v>13</v>
      </c>
      <c r="H160" s="459">
        <v>153</v>
      </c>
      <c r="I160" s="444">
        <f t="shared" ca="1" si="5"/>
        <v>4195918.4847854041</v>
      </c>
      <c r="J160" s="444">
        <f t="array" ref="J160">IFERROR(INDEX('Retirement Calculator'!K:K,MATCH('Lorri 401b'!N160,'Retirement Calculator'!A:A,0),0),0)</f>
        <v>20367.195264578786</v>
      </c>
      <c r="K160" s="444">
        <f t="shared" ca="1" si="2"/>
        <v>17398.130373003438</v>
      </c>
      <c r="L160" s="444">
        <f t="shared" ca="1" si="3"/>
        <v>4192949.4198938287</v>
      </c>
      <c r="M160" s="460">
        <f t="shared" si="6"/>
        <v>0.05</v>
      </c>
      <c r="N160" s="464">
        <f t="shared" si="7"/>
        <v>55916</v>
      </c>
    </row>
    <row r="161" spans="7:14" ht="11.25" customHeight="1" x14ac:dyDescent="0.3">
      <c r="G161" s="459">
        <f t="shared" si="17"/>
        <v>13</v>
      </c>
      <c r="H161" s="459">
        <v>154</v>
      </c>
      <c r="I161" s="444">
        <f t="shared" ca="1" si="5"/>
        <v>4192949.4198938287</v>
      </c>
      <c r="J161" s="444">
        <f t="array" ref="J161">IFERROR(INDEX('Retirement Calculator'!K:K,MATCH('Lorri 401b'!N161,'Retirement Calculator'!A:A,0),0),0)</f>
        <v>20367.195264578786</v>
      </c>
      <c r="K161" s="444">
        <f t="shared" ca="1" si="2"/>
        <v>17385.759269288545</v>
      </c>
      <c r="L161" s="444">
        <f t="shared" ca="1" si="3"/>
        <v>4189967.9838985386</v>
      </c>
      <c r="M161" s="460">
        <f t="shared" si="6"/>
        <v>0.05</v>
      </c>
      <c r="N161" s="464">
        <f t="shared" si="7"/>
        <v>55944</v>
      </c>
    </row>
    <row r="162" spans="7:14" ht="11.25" customHeight="1" x14ac:dyDescent="0.3">
      <c r="G162" s="459">
        <f t="shared" si="17"/>
        <v>13</v>
      </c>
      <c r="H162" s="459">
        <v>155</v>
      </c>
      <c r="I162" s="444">
        <f t="shared" ca="1" si="5"/>
        <v>4189967.9838985386</v>
      </c>
      <c r="J162" s="444">
        <f t="array" ref="J162">IFERROR(INDEX('Retirement Calculator'!K:K,MATCH('Lorri 401b'!N162,'Retirement Calculator'!A:A,0),0),0)</f>
        <v>20367.195264578786</v>
      </c>
      <c r="K162" s="444">
        <f t="shared" ca="1" si="2"/>
        <v>17373.336619308167</v>
      </c>
      <c r="L162" s="444">
        <f t="shared" ca="1" si="3"/>
        <v>4186974.1252532681</v>
      </c>
      <c r="M162" s="460">
        <f t="shared" si="6"/>
        <v>0.05</v>
      </c>
      <c r="N162" s="464">
        <f t="shared" si="7"/>
        <v>55975</v>
      </c>
    </row>
    <row r="163" spans="7:14" ht="11.25" customHeight="1" x14ac:dyDescent="0.3">
      <c r="G163" s="459">
        <f t="shared" si="17"/>
        <v>13</v>
      </c>
      <c r="H163" s="459">
        <v>156</v>
      </c>
      <c r="I163" s="444">
        <f t="shared" ca="1" si="5"/>
        <v>4186974.1252532681</v>
      </c>
      <c r="J163" s="444">
        <f t="array" ref="J163">IFERROR(INDEX('Retirement Calculator'!K:K,MATCH('Lorri 401b'!N163,'Retirement Calculator'!A:A,0),0),0)</f>
        <v>20367.195264578786</v>
      </c>
      <c r="K163" s="444">
        <f t="shared" ca="1" si="2"/>
        <v>17360.862208286206</v>
      </c>
      <c r="L163" s="444">
        <f t="shared" ca="1" si="3"/>
        <v>4183967.7921969756</v>
      </c>
      <c r="M163" s="460">
        <f t="shared" si="6"/>
        <v>0.05</v>
      </c>
      <c r="N163" s="464">
        <f t="shared" si="7"/>
        <v>56005</v>
      </c>
    </row>
    <row r="164" spans="7:14" ht="11.25" customHeight="1" x14ac:dyDescent="0.3">
      <c r="G164" s="459">
        <f>G163+1</f>
        <v>14</v>
      </c>
      <c r="H164" s="459">
        <v>157</v>
      </c>
      <c r="I164" s="444">
        <f t="shared" ca="1" si="5"/>
        <v>4183967.7921969756</v>
      </c>
      <c r="J164" s="444">
        <f t="array" ref="J164">IFERROR(INDEX('Retirement Calculator'!K:K,MATCH('Lorri 401b'!N164,'Retirement Calculator'!A:A,0),0),0)</f>
        <v>20367.195264578786</v>
      </c>
      <c r="K164" s="444">
        <f t="shared" ca="1" si="2"/>
        <v>17348.335820551652</v>
      </c>
      <c r="L164" s="444">
        <f t="shared" ca="1" si="3"/>
        <v>4180948.9327529483</v>
      </c>
      <c r="M164" s="460">
        <f t="shared" si="6"/>
        <v>0.05</v>
      </c>
      <c r="N164" s="464">
        <f t="shared" si="7"/>
        <v>56036</v>
      </c>
    </row>
    <row r="165" spans="7:14" ht="11.25" customHeight="1" x14ac:dyDescent="0.3">
      <c r="G165" s="459">
        <f t="shared" ref="G165:G175" si="18">G164</f>
        <v>14</v>
      </c>
      <c r="H165" s="459">
        <v>158</v>
      </c>
      <c r="I165" s="444">
        <f t="shared" ca="1" si="5"/>
        <v>4180948.9327529483</v>
      </c>
      <c r="J165" s="444">
        <f t="array" ref="J165">IFERROR(INDEX('Retirement Calculator'!K:K,MATCH('Lorri 401b'!N165,'Retirement Calculator'!A:A,0),0),0)</f>
        <v>20367.195264578786</v>
      </c>
      <c r="K165" s="444">
        <f t="shared" ca="1" si="2"/>
        <v>17335.757239534869</v>
      </c>
      <c r="L165" s="444">
        <f t="shared" ca="1" si="3"/>
        <v>4177917.4947279044</v>
      </c>
      <c r="M165" s="460">
        <f t="shared" si="6"/>
        <v>0.05</v>
      </c>
      <c r="N165" s="464">
        <f t="shared" si="7"/>
        <v>56066</v>
      </c>
    </row>
    <row r="166" spans="7:14" ht="11.25" customHeight="1" x14ac:dyDescent="0.3">
      <c r="G166" s="459">
        <f t="shared" si="18"/>
        <v>14</v>
      </c>
      <c r="H166" s="459">
        <v>159</v>
      </c>
      <c r="I166" s="444">
        <f t="shared" ca="1" si="5"/>
        <v>4177917.4947279044</v>
      </c>
      <c r="J166" s="444">
        <f t="array" ref="J166">IFERROR(INDEX('Retirement Calculator'!K:K,MATCH('Lorri 401b'!N166,'Retirement Calculator'!A:A,0),0),0)</f>
        <v>20367.195264578786</v>
      </c>
      <c r="K166" s="444">
        <f t="shared" ca="1" si="2"/>
        <v>17323.126247763856</v>
      </c>
      <c r="L166" s="444">
        <f t="shared" ca="1" si="3"/>
        <v>4174873.4257110893</v>
      </c>
      <c r="M166" s="460">
        <f t="shared" si="6"/>
        <v>0.05</v>
      </c>
      <c r="N166" s="464">
        <f t="shared" si="7"/>
        <v>56097</v>
      </c>
    </row>
    <row r="167" spans="7:14" ht="11.25" customHeight="1" x14ac:dyDescent="0.3">
      <c r="G167" s="459">
        <f t="shared" si="18"/>
        <v>14</v>
      </c>
      <c r="H167" s="459">
        <v>160</v>
      </c>
      <c r="I167" s="444">
        <f t="shared" ca="1" si="5"/>
        <v>4174873.4257110893</v>
      </c>
      <c r="J167" s="444">
        <f t="array" ref="J167">IFERROR(INDEX('Retirement Calculator'!K:K,MATCH('Lorri 401b'!N167,'Retirement Calculator'!A:A,0),0),0)</f>
        <v>20367.195264578786</v>
      </c>
      <c r="K167" s="444">
        <f t="shared" ca="1" si="2"/>
        <v>17310.442626860458</v>
      </c>
      <c r="L167" s="444">
        <f t="shared" ca="1" si="3"/>
        <v>4171816.6730733709</v>
      </c>
      <c r="M167" s="460">
        <f t="shared" si="6"/>
        <v>0.05</v>
      </c>
      <c r="N167" s="464">
        <f t="shared" si="7"/>
        <v>56128</v>
      </c>
    </row>
    <row r="168" spans="7:14" ht="11.25" customHeight="1" x14ac:dyDescent="0.3">
      <c r="G168" s="459">
        <f t="shared" si="18"/>
        <v>14</v>
      </c>
      <c r="H168" s="459">
        <v>161</v>
      </c>
      <c r="I168" s="444">
        <f t="shared" ca="1" si="5"/>
        <v>4171816.6730733709</v>
      </c>
      <c r="J168" s="444">
        <f t="array" ref="J168">IFERROR(INDEX('Retirement Calculator'!K:K,MATCH('Lorri 401b'!N168,'Retirement Calculator'!A:A,0),0),0)</f>
        <v>20367.195264578786</v>
      </c>
      <c r="K168" s="444">
        <f t="shared" ca="1" si="2"/>
        <v>17297.706157536635</v>
      </c>
      <c r="L168" s="444">
        <f t="shared" ca="1" si="3"/>
        <v>4168747.1839663289</v>
      </c>
      <c r="M168" s="460">
        <f t="shared" si="6"/>
        <v>0.05</v>
      </c>
      <c r="N168" s="464">
        <f t="shared" si="7"/>
        <v>56158</v>
      </c>
    </row>
    <row r="169" spans="7:14" ht="11.25" customHeight="1" x14ac:dyDescent="0.3">
      <c r="G169" s="459">
        <f t="shared" si="18"/>
        <v>14</v>
      </c>
      <c r="H169" s="459">
        <v>162</v>
      </c>
      <c r="I169" s="444">
        <f t="shared" ca="1" si="5"/>
        <v>4168747.1839663289</v>
      </c>
      <c r="J169" s="444">
        <f t="array" ref="J169">IFERROR(INDEX('Retirement Calculator'!K:K,MATCH('Lorri 401b'!N169,'Retirement Calculator'!A:A,0),0),0)</f>
        <v>20367.195264578786</v>
      </c>
      <c r="K169" s="444">
        <f t="shared" ca="1" si="2"/>
        <v>17284.916619590625</v>
      </c>
      <c r="L169" s="444">
        <f t="shared" ca="1" si="3"/>
        <v>4165664.9053213405</v>
      </c>
      <c r="M169" s="460">
        <f t="shared" si="6"/>
        <v>0.05</v>
      </c>
      <c r="N169" s="464">
        <f t="shared" si="7"/>
        <v>56189</v>
      </c>
    </row>
    <row r="170" spans="7:14" ht="11.25" customHeight="1" x14ac:dyDescent="0.3">
      <c r="G170" s="459">
        <f t="shared" si="18"/>
        <v>14</v>
      </c>
      <c r="H170" s="459">
        <v>163</v>
      </c>
      <c r="I170" s="444">
        <f t="shared" ca="1" si="5"/>
        <v>4165664.9053213405</v>
      </c>
      <c r="J170" s="444">
        <f t="array" ref="J170">IFERROR(INDEX('Retirement Calculator'!K:K,MATCH('Lorri 401b'!N170,'Retirement Calculator'!A:A,0),0),0)</f>
        <v>20367.195264578786</v>
      </c>
      <c r="K170" s="444">
        <f t="shared" ca="1" si="2"/>
        <v>17272.073791903174</v>
      </c>
      <c r="L170" s="444">
        <f t="shared" ca="1" si="3"/>
        <v>4162569.7838486647</v>
      </c>
      <c r="M170" s="460">
        <f t="shared" si="6"/>
        <v>0.05</v>
      </c>
      <c r="N170" s="464">
        <f t="shared" si="7"/>
        <v>56219</v>
      </c>
    </row>
    <row r="171" spans="7:14" ht="11.25" customHeight="1" x14ac:dyDescent="0.3">
      <c r="G171" s="459">
        <f t="shared" si="18"/>
        <v>14</v>
      </c>
      <c r="H171" s="459">
        <v>164</v>
      </c>
      <c r="I171" s="444">
        <f t="shared" ca="1" si="5"/>
        <v>4162569.7838486647</v>
      </c>
      <c r="J171" s="444">
        <f t="array" ref="J171">IFERROR(INDEX('Retirement Calculator'!K:K,MATCH('Lorri 401b'!N171,'Retirement Calculator'!A:A,0),0),0)</f>
        <v>20367.195264578786</v>
      </c>
      <c r="K171" s="444">
        <f t="shared" ca="1" si="2"/>
        <v>17259.177452433691</v>
      </c>
      <c r="L171" s="444">
        <f t="shared" ca="1" si="3"/>
        <v>4159461.7660365198</v>
      </c>
      <c r="M171" s="460">
        <f t="shared" si="6"/>
        <v>0.05</v>
      </c>
      <c r="N171" s="464">
        <f t="shared" si="7"/>
        <v>56250</v>
      </c>
    </row>
    <row r="172" spans="7:14" ht="11.25" customHeight="1" x14ac:dyDescent="0.3">
      <c r="G172" s="459">
        <f t="shared" si="18"/>
        <v>14</v>
      </c>
      <c r="H172" s="459">
        <v>165</v>
      </c>
      <c r="I172" s="444">
        <f t="shared" ca="1" si="5"/>
        <v>4159461.7660365198</v>
      </c>
      <c r="J172" s="444">
        <f t="array" ref="J172">IFERROR(INDEX('Retirement Calculator'!K:K,MATCH('Lorri 401b'!N172,'Retirement Calculator'!A:A,0),0),0)</f>
        <v>20367.195264578786</v>
      </c>
      <c r="K172" s="444">
        <f t="shared" ca="1" si="2"/>
        <v>17246.227378216419</v>
      </c>
      <c r="L172" s="444">
        <f t="shared" ca="1" si="3"/>
        <v>4156340.7981501576</v>
      </c>
      <c r="M172" s="460">
        <f t="shared" si="6"/>
        <v>0.05</v>
      </c>
      <c r="N172" s="464">
        <f t="shared" si="7"/>
        <v>56281</v>
      </c>
    </row>
    <row r="173" spans="7:14" ht="11.25" customHeight="1" x14ac:dyDescent="0.3">
      <c r="G173" s="459">
        <f t="shared" si="18"/>
        <v>14</v>
      </c>
      <c r="H173" s="459">
        <v>166</v>
      </c>
      <c r="I173" s="444">
        <f t="shared" ca="1" si="5"/>
        <v>4156340.7981501576</v>
      </c>
      <c r="J173" s="444">
        <f t="array" ref="J173">IFERROR(INDEX('Retirement Calculator'!K:K,MATCH('Lorri 401b'!N173,'Retirement Calculator'!A:A,0),0),0)</f>
        <v>20367.195264578786</v>
      </c>
      <c r="K173" s="444">
        <f t="shared" ca="1" si="2"/>
        <v>17233.223345356579</v>
      </c>
      <c r="L173" s="444">
        <f t="shared" ca="1" si="3"/>
        <v>4153206.8262309353</v>
      </c>
      <c r="M173" s="460">
        <f t="shared" si="6"/>
        <v>0.05</v>
      </c>
      <c r="N173" s="464">
        <f t="shared" si="7"/>
        <v>56309</v>
      </c>
    </row>
    <row r="174" spans="7:14" ht="11.25" customHeight="1" x14ac:dyDescent="0.3">
      <c r="G174" s="459">
        <f t="shared" si="18"/>
        <v>14</v>
      </c>
      <c r="H174" s="459">
        <v>167</v>
      </c>
      <c r="I174" s="444">
        <f t="shared" ca="1" si="5"/>
        <v>4153206.8262309353</v>
      </c>
      <c r="J174" s="444">
        <f t="array" ref="J174">IFERROR(INDEX('Retirement Calculator'!K:K,MATCH('Lorri 401b'!N174,'Retirement Calculator'!A:A,0),0),0)</f>
        <v>20367.195264578786</v>
      </c>
      <c r="K174" s="444">
        <f t="shared" ca="1" si="2"/>
        <v>17220.165129026482</v>
      </c>
      <c r="L174" s="444">
        <f t="shared" ca="1" si="3"/>
        <v>4150059.7960953829</v>
      </c>
      <c r="M174" s="460">
        <f t="shared" si="6"/>
        <v>0.05</v>
      </c>
      <c r="N174" s="464">
        <f t="shared" si="7"/>
        <v>56340</v>
      </c>
    </row>
    <row r="175" spans="7:14" ht="11.25" customHeight="1" x14ac:dyDescent="0.3">
      <c r="G175" s="459">
        <f t="shared" si="18"/>
        <v>14</v>
      </c>
      <c r="H175" s="459">
        <v>168</v>
      </c>
      <c r="I175" s="444">
        <f t="shared" ca="1" si="5"/>
        <v>4150059.7960953829</v>
      </c>
      <c r="J175" s="444">
        <f t="array" ref="J175">IFERROR(INDEX('Retirement Calculator'!K:K,MATCH('Lorri 401b'!N175,'Retirement Calculator'!A:A,0),0),0)</f>
        <v>20367.195264578786</v>
      </c>
      <c r="K175" s="444">
        <f t="shared" ca="1" si="2"/>
        <v>17207.052503461684</v>
      </c>
      <c r="L175" s="444">
        <f t="shared" ca="1" si="3"/>
        <v>4146899.6533342656</v>
      </c>
      <c r="M175" s="460">
        <f t="shared" si="6"/>
        <v>0.05</v>
      </c>
      <c r="N175" s="464">
        <f t="shared" si="7"/>
        <v>56370</v>
      </c>
    </row>
    <row r="176" spans="7:14" ht="11.25" customHeight="1" x14ac:dyDescent="0.3">
      <c r="G176" s="459">
        <f>G175+1</f>
        <v>15</v>
      </c>
      <c r="H176" s="459">
        <v>169</v>
      </c>
      <c r="I176" s="444">
        <f t="shared" ca="1" si="5"/>
        <v>4146899.6533342656</v>
      </c>
      <c r="J176" s="444">
        <f t="array" ref="J176">IFERROR(INDEX('Retirement Calculator'!K:K,MATCH('Lorri 401b'!N176,'Retirement Calculator'!A:A,0),0),0)</f>
        <v>20367.195264578786</v>
      </c>
      <c r="K176" s="444">
        <f t="shared" ca="1" si="2"/>
        <v>17193.885241957028</v>
      </c>
      <c r="L176" s="444">
        <f t="shared" ca="1" si="3"/>
        <v>4143726.3433116437</v>
      </c>
      <c r="M176" s="460">
        <f t="shared" si="6"/>
        <v>0.05</v>
      </c>
      <c r="N176" s="464">
        <f t="shared" si="7"/>
        <v>56401</v>
      </c>
    </row>
    <row r="177" spans="7:14" ht="11.25" customHeight="1" x14ac:dyDescent="0.3">
      <c r="G177" s="459">
        <f t="shared" ref="G177:G187" si="19">G176</f>
        <v>15</v>
      </c>
      <c r="H177" s="459">
        <v>170</v>
      </c>
      <c r="I177" s="444">
        <f t="shared" ca="1" si="5"/>
        <v>4143726.3433116437</v>
      </c>
      <c r="J177" s="444">
        <f t="array" ref="J177">IFERROR(INDEX('Retirement Calculator'!K:K,MATCH('Lorri 401b'!N177,'Retirement Calculator'!A:A,0),0),0)</f>
        <v>20367.195264578786</v>
      </c>
      <c r="K177" s="444">
        <f t="shared" ca="1" si="2"/>
        <v>17180.663116862772</v>
      </c>
      <c r="L177" s="444">
        <f t="shared" ca="1" si="3"/>
        <v>4140539.8111639279</v>
      </c>
      <c r="M177" s="460">
        <f t="shared" si="6"/>
        <v>0.05</v>
      </c>
      <c r="N177" s="464">
        <f t="shared" si="7"/>
        <v>56431</v>
      </c>
    </row>
    <row r="178" spans="7:14" ht="11.25" customHeight="1" x14ac:dyDescent="0.3">
      <c r="G178" s="459">
        <f t="shared" si="19"/>
        <v>15</v>
      </c>
      <c r="H178" s="459">
        <v>171</v>
      </c>
      <c r="I178" s="444">
        <f t="shared" ca="1" si="5"/>
        <v>4140539.8111639279</v>
      </c>
      <c r="J178" s="444">
        <f t="array" ref="J178">IFERROR(INDEX('Retirement Calculator'!K:K,MATCH('Lorri 401b'!N178,'Retirement Calculator'!A:A,0),0),0)</f>
        <v>20367.195264578786</v>
      </c>
      <c r="K178" s="444">
        <f t="shared" ca="1" si="2"/>
        <v>17167.385899580622</v>
      </c>
      <c r="L178" s="444">
        <f t="shared" ca="1" si="3"/>
        <v>4137340.0017989296</v>
      </c>
      <c r="M178" s="460">
        <f t="shared" si="6"/>
        <v>0.05</v>
      </c>
      <c r="N178" s="464">
        <f t="shared" si="7"/>
        <v>56462</v>
      </c>
    </row>
    <row r="179" spans="7:14" ht="11.25" customHeight="1" x14ac:dyDescent="0.3">
      <c r="G179" s="459">
        <f t="shared" si="19"/>
        <v>15</v>
      </c>
      <c r="H179" s="459">
        <v>172</v>
      </c>
      <c r="I179" s="444">
        <f t="shared" ca="1" si="5"/>
        <v>4137340.0017989296</v>
      </c>
      <c r="J179" s="444">
        <f t="array" ref="J179">IFERROR(INDEX('Retirement Calculator'!K:K,MATCH('Lorri 401b'!N179,'Retirement Calculator'!A:A,0),0),0)</f>
        <v>20367.195264578786</v>
      </c>
      <c r="K179" s="444">
        <f t="shared" ca="1" si="2"/>
        <v>17154.053360559796</v>
      </c>
      <c r="L179" s="444">
        <f t="shared" ca="1" si="3"/>
        <v>4134126.8598949108</v>
      </c>
      <c r="M179" s="460">
        <f t="shared" si="6"/>
        <v>0.05</v>
      </c>
      <c r="N179" s="464">
        <f t="shared" si="7"/>
        <v>56493</v>
      </c>
    </row>
    <row r="180" spans="7:14" ht="11.25" customHeight="1" x14ac:dyDescent="0.3">
      <c r="G180" s="459">
        <f t="shared" si="19"/>
        <v>15</v>
      </c>
      <c r="H180" s="459">
        <v>173</v>
      </c>
      <c r="I180" s="444">
        <f t="shared" ca="1" si="5"/>
        <v>4134126.8598949108</v>
      </c>
      <c r="J180" s="444">
        <f t="array" ref="J180">IFERROR(INDEX('Retirement Calculator'!K:K,MATCH('Lorri 401b'!N180,'Retirement Calculator'!A:A,0),0),0)</f>
        <v>20367.195264578786</v>
      </c>
      <c r="K180" s="444">
        <f t="shared" ca="1" si="2"/>
        <v>17140.665269293047</v>
      </c>
      <c r="L180" s="444">
        <f t="shared" ca="1" si="3"/>
        <v>4130900.3298996249</v>
      </c>
      <c r="M180" s="460">
        <f t="shared" si="6"/>
        <v>0.05</v>
      </c>
      <c r="N180" s="464">
        <f t="shared" si="7"/>
        <v>56523</v>
      </c>
    </row>
    <row r="181" spans="7:14" ht="11.25" customHeight="1" x14ac:dyDescent="0.3">
      <c r="G181" s="459">
        <f t="shared" si="19"/>
        <v>15</v>
      </c>
      <c r="H181" s="459">
        <v>174</v>
      </c>
      <c r="I181" s="444">
        <f t="shared" ca="1" si="5"/>
        <v>4130900.3298996249</v>
      </c>
      <c r="J181" s="444">
        <f t="array" ref="J181">IFERROR(INDEX('Retirement Calculator'!K:K,MATCH('Lorri 401b'!N181,'Retirement Calculator'!A:A,0),0),0)</f>
        <v>20367.195264578786</v>
      </c>
      <c r="K181" s="444">
        <f t="shared" ca="1" si="2"/>
        <v>17127.221394312692</v>
      </c>
      <c r="L181" s="444">
        <f t="shared" ca="1" si="3"/>
        <v>4127660.3560293587</v>
      </c>
      <c r="M181" s="460">
        <f t="shared" si="6"/>
        <v>0.05</v>
      </c>
      <c r="N181" s="464">
        <f t="shared" si="7"/>
        <v>56554</v>
      </c>
    </row>
    <row r="182" spans="7:14" ht="11.25" customHeight="1" x14ac:dyDescent="0.3">
      <c r="G182" s="459">
        <f t="shared" si="19"/>
        <v>15</v>
      </c>
      <c r="H182" s="459">
        <v>175</v>
      </c>
      <c r="I182" s="444">
        <f t="shared" ca="1" si="5"/>
        <v>4127660.3560293587</v>
      </c>
      <c r="J182" s="444">
        <f t="array" ref="J182">IFERROR(INDEX('Retirement Calculator'!K:K,MATCH('Lorri 401b'!N182,'Retirement Calculator'!A:A,0),0),0)</f>
        <v>20367.195264578786</v>
      </c>
      <c r="K182" s="444">
        <f t="shared" ca="1" si="2"/>
        <v>17113.721503186582</v>
      </c>
      <c r="L182" s="444">
        <f t="shared" ca="1" si="3"/>
        <v>4124406.8822679664</v>
      </c>
      <c r="M182" s="460">
        <f t="shared" si="6"/>
        <v>0.05</v>
      </c>
      <c r="N182" s="464">
        <f t="shared" si="7"/>
        <v>56584</v>
      </c>
    </row>
    <row r="183" spans="7:14" ht="11.25" customHeight="1" x14ac:dyDescent="0.3">
      <c r="G183" s="459">
        <f t="shared" si="19"/>
        <v>15</v>
      </c>
      <c r="H183" s="459">
        <v>176</v>
      </c>
      <c r="I183" s="444">
        <f t="shared" ca="1" si="5"/>
        <v>4124406.8822679664</v>
      </c>
      <c r="J183" s="444">
        <f t="array" ref="J183">IFERROR(INDEX('Retirement Calculator'!K:K,MATCH('Lorri 401b'!N183,'Retirement Calculator'!A:A,0),0),0)</f>
        <v>20367.195264578786</v>
      </c>
      <c r="K183" s="444">
        <f t="shared" ca="1" si="2"/>
        <v>17100.165362514115</v>
      </c>
      <c r="L183" s="444">
        <f t="shared" ca="1" si="3"/>
        <v>4121139.8523659017</v>
      </c>
      <c r="M183" s="460">
        <f t="shared" si="6"/>
        <v>0.05</v>
      </c>
      <c r="N183" s="464">
        <f t="shared" si="7"/>
        <v>56615</v>
      </c>
    </row>
    <row r="184" spans="7:14" ht="11.25" customHeight="1" x14ac:dyDescent="0.3">
      <c r="G184" s="459">
        <f t="shared" si="19"/>
        <v>15</v>
      </c>
      <c r="H184" s="459">
        <v>177</v>
      </c>
      <c r="I184" s="444">
        <f t="shared" ca="1" si="5"/>
        <v>4121139.8523659017</v>
      </c>
      <c r="J184" s="444">
        <f t="array" ref="J184">IFERROR(INDEX('Retirement Calculator'!K:K,MATCH('Lorri 401b'!N184,'Retirement Calculator'!A:A,0),0),0)</f>
        <v>20367.195264578786</v>
      </c>
      <c r="K184" s="444">
        <f t="shared" ca="1" si="2"/>
        <v>17086.552737922178</v>
      </c>
      <c r="L184" s="444">
        <f t="shared" ca="1" si="3"/>
        <v>4117859.2098392453</v>
      </c>
      <c r="M184" s="460">
        <f t="shared" si="6"/>
        <v>0.05</v>
      </c>
      <c r="N184" s="464">
        <f t="shared" si="7"/>
        <v>56646</v>
      </c>
    </row>
    <row r="185" spans="7:14" ht="11.25" customHeight="1" x14ac:dyDescent="0.3">
      <c r="G185" s="459">
        <f t="shared" si="19"/>
        <v>15</v>
      </c>
      <c r="H185" s="459">
        <v>178</v>
      </c>
      <c r="I185" s="444">
        <f t="shared" ca="1" si="5"/>
        <v>4117859.2098392453</v>
      </c>
      <c r="J185" s="444">
        <f t="array" ref="J185">IFERROR(INDEX('Retirement Calculator'!K:K,MATCH('Lorri 401b'!N185,'Retirement Calculator'!A:A,0),0),0)</f>
        <v>20367.195264578786</v>
      </c>
      <c r="K185" s="444">
        <f t="shared" ca="1" si="2"/>
        <v>17072.883394061111</v>
      </c>
      <c r="L185" s="444">
        <f t="shared" ca="1" si="3"/>
        <v>4114564.8979687276</v>
      </c>
      <c r="M185" s="460">
        <f t="shared" si="6"/>
        <v>0.05</v>
      </c>
      <c r="N185" s="464">
        <f t="shared" si="7"/>
        <v>56674</v>
      </c>
    </row>
    <row r="186" spans="7:14" ht="11.25" customHeight="1" x14ac:dyDescent="0.3">
      <c r="G186" s="459">
        <f t="shared" si="19"/>
        <v>15</v>
      </c>
      <c r="H186" s="459">
        <v>179</v>
      </c>
      <c r="I186" s="444">
        <f t="shared" ca="1" si="5"/>
        <v>4114564.8979687276</v>
      </c>
      <c r="J186" s="444">
        <f t="array" ref="J186">IFERROR(INDEX('Retirement Calculator'!K:K,MATCH('Lorri 401b'!N186,'Retirement Calculator'!A:A,0),0),0)</f>
        <v>20367.195264578786</v>
      </c>
      <c r="K186" s="444">
        <f t="shared" ca="1" si="2"/>
        <v>17059.157094600621</v>
      </c>
      <c r="L186" s="444">
        <f t="shared" ca="1" si="3"/>
        <v>4111256.8597987494</v>
      </c>
      <c r="M186" s="460">
        <f t="shared" si="6"/>
        <v>0.05</v>
      </c>
      <c r="N186" s="464">
        <f t="shared" si="7"/>
        <v>56705</v>
      </c>
    </row>
    <row r="187" spans="7:14" ht="11.25" customHeight="1" x14ac:dyDescent="0.3">
      <c r="G187" s="459">
        <f t="shared" si="19"/>
        <v>15</v>
      </c>
      <c r="H187" s="459">
        <v>180</v>
      </c>
      <c r="I187" s="444">
        <f t="shared" ca="1" si="5"/>
        <v>4111256.8597987494</v>
      </c>
      <c r="J187" s="444">
        <f t="array" ref="J187">IFERROR(INDEX('Retirement Calculator'!K:K,MATCH('Lorri 401b'!N187,'Retirement Calculator'!A:A,0),0),0)</f>
        <v>20367.195264578786</v>
      </c>
      <c r="K187" s="444">
        <f t="shared" ca="1" si="2"/>
        <v>17045.373602225711</v>
      </c>
      <c r="L187" s="444">
        <f t="shared" ca="1" si="3"/>
        <v>4107935.0381363966</v>
      </c>
      <c r="M187" s="460">
        <f t="shared" si="6"/>
        <v>0.05</v>
      </c>
      <c r="N187" s="464">
        <f t="shared" si="7"/>
        <v>56735</v>
      </c>
    </row>
    <row r="188" spans="7:14" ht="11.25" customHeight="1" x14ac:dyDescent="0.3">
      <c r="G188" s="459">
        <f>G187+1</f>
        <v>16</v>
      </c>
      <c r="H188" s="459">
        <v>181</v>
      </c>
      <c r="I188" s="444">
        <f t="shared" ca="1" si="5"/>
        <v>4107935.0381363966</v>
      </c>
      <c r="J188" s="444">
        <f t="array" ref="J188">IFERROR(INDEX('Retirement Calculator'!K:K,MATCH('Lorri 401b'!N188,'Retirement Calculator'!A:A,0),0),0)</f>
        <v>20367.195264578786</v>
      </c>
      <c r="K188" s="444">
        <f t="shared" ca="1" si="2"/>
        <v>17031.532678632575</v>
      </c>
      <c r="L188" s="444">
        <f t="shared" ca="1" si="3"/>
        <v>4104599.3755504503</v>
      </c>
      <c r="M188" s="460">
        <f t="shared" si="6"/>
        <v>0.05</v>
      </c>
      <c r="N188" s="464">
        <f t="shared" si="7"/>
        <v>56766</v>
      </c>
    </row>
    <row r="189" spans="7:14" ht="11.25" customHeight="1" x14ac:dyDescent="0.3">
      <c r="G189" s="459">
        <f t="shared" ref="G189:G199" si="20">G188</f>
        <v>16</v>
      </c>
      <c r="H189" s="459">
        <v>182</v>
      </c>
      <c r="I189" s="444">
        <f t="shared" ca="1" si="5"/>
        <v>4104599.3755504503</v>
      </c>
      <c r="J189" s="444">
        <f t="array" ref="J189">IFERROR(INDEX('Retirement Calculator'!K:K,MATCH('Lorri 401b'!N189,'Retirement Calculator'!A:A,0),0),0)</f>
        <v>20367.195264578786</v>
      </c>
      <c r="K189" s="444">
        <f t="shared" ca="1" si="2"/>
        <v>17017.634084524467</v>
      </c>
      <c r="L189" s="444">
        <f t="shared" ca="1" si="3"/>
        <v>4101249.8143703961</v>
      </c>
      <c r="M189" s="460">
        <f t="shared" si="6"/>
        <v>0.05</v>
      </c>
      <c r="N189" s="464">
        <f t="shared" si="7"/>
        <v>56796</v>
      </c>
    </row>
    <row r="190" spans="7:14" ht="11.25" customHeight="1" x14ac:dyDescent="0.3">
      <c r="G190" s="459">
        <f t="shared" si="20"/>
        <v>16</v>
      </c>
      <c r="H190" s="459">
        <v>183</v>
      </c>
      <c r="I190" s="444">
        <f t="shared" ca="1" si="5"/>
        <v>4101249.8143703961</v>
      </c>
      <c r="J190" s="444">
        <f t="array" ref="J190">IFERROR(INDEX('Retirement Calculator'!K:K,MATCH('Lorri 401b'!N190,'Retirement Calculator'!A:A,0),0),0)</f>
        <v>20367.195264578786</v>
      </c>
      <c r="K190" s="444">
        <f t="shared" ca="1" si="2"/>
        <v>17003.677579607571</v>
      </c>
      <c r="L190" s="444">
        <f t="shared" ca="1" si="3"/>
        <v>4097886.2966854246</v>
      </c>
      <c r="M190" s="460">
        <f t="shared" si="6"/>
        <v>0.05</v>
      </c>
      <c r="N190" s="464">
        <f t="shared" si="7"/>
        <v>56827</v>
      </c>
    </row>
    <row r="191" spans="7:14" ht="11.25" customHeight="1" x14ac:dyDescent="0.3">
      <c r="G191" s="459">
        <f t="shared" si="20"/>
        <v>16</v>
      </c>
      <c r="H191" s="459">
        <v>184</v>
      </c>
      <c r="I191" s="444">
        <f t="shared" ca="1" si="5"/>
        <v>4097886.2966854246</v>
      </c>
      <c r="J191" s="444">
        <f t="array" ref="J191">IFERROR(INDEX('Retirement Calculator'!K:K,MATCH('Lorri 401b'!N191,'Retirement Calculator'!A:A,0),0),0)</f>
        <v>20367.195264578786</v>
      </c>
      <c r="K191" s="444">
        <f t="shared" ca="1" si="2"/>
        <v>16989.66292258686</v>
      </c>
      <c r="L191" s="444">
        <f t="shared" ca="1" si="3"/>
        <v>4094508.7643434326</v>
      </c>
      <c r="M191" s="460">
        <f t="shared" si="6"/>
        <v>0.05</v>
      </c>
      <c r="N191" s="464">
        <f t="shared" si="7"/>
        <v>56858</v>
      </c>
    </row>
    <row r="192" spans="7:14" ht="11.25" customHeight="1" x14ac:dyDescent="0.3">
      <c r="G192" s="459">
        <f t="shared" si="20"/>
        <v>16</v>
      </c>
      <c r="H192" s="459">
        <v>185</v>
      </c>
      <c r="I192" s="444">
        <f t="shared" ca="1" si="5"/>
        <v>4094508.7643434326</v>
      </c>
      <c r="J192" s="444">
        <f t="array" ref="J192">IFERROR(INDEX('Retirement Calculator'!K:K,MATCH('Lorri 401b'!N192,'Retirement Calculator'!A:A,0),0),0)</f>
        <v>20367.195264578786</v>
      </c>
      <c r="K192" s="444">
        <f t="shared" ca="1" si="2"/>
        <v>16975.589871161894</v>
      </c>
      <c r="L192" s="444">
        <f t="shared" ca="1" si="3"/>
        <v>4091117.1589500159</v>
      </c>
      <c r="M192" s="460">
        <f t="shared" si="6"/>
        <v>0.05</v>
      </c>
      <c r="N192" s="464">
        <f t="shared" si="7"/>
        <v>56888</v>
      </c>
    </row>
    <row r="193" spans="7:14" ht="11.25" customHeight="1" x14ac:dyDescent="0.3">
      <c r="G193" s="459">
        <f t="shared" si="20"/>
        <v>16</v>
      </c>
      <c r="H193" s="459">
        <v>186</v>
      </c>
      <c r="I193" s="444">
        <f t="shared" ca="1" si="5"/>
        <v>4091117.1589500159</v>
      </c>
      <c r="J193" s="444">
        <f t="array" ref="J193">IFERROR(INDEX('Retirement Calculator'!K:K,MATCH('Lorri 401b'!N193,'Retirement Calculator'!A:A,0),0),0)</f>
        <v>20367.195264578786</v>
      </c>
      <c r="K193" s="444">
        <f t="shared" ca="1" si="2"/>
        <v>16961.458182022656</v>
      </c>
      <c r="L193" s="444">
        <f t="shared" ca="1" si="3"/>
        <v>4087711.4218674595</v>
      </c>
      <c r="M193" s="460">
        <f t="shared" si="6"/>
        <v>0.05</v>
      </c>
      <c r="N193" s="464">
        <f t="shared" si="7"/>
        <v>56919</v>
      </c>
    </row>
    <row r="194" spans="7:14" ht="11.25" customHeight="1" x14ac:dyDescent="0.3">
      <c r="G194" s="459">
        <f t="shared" si="20"/>
        <v>16</v>
      </c>
      <c r="H194" s="459">
        <v>187</v>
      </c>
      <c r="I194" s="444">
        <f t="shared" ca="1" si="5"/>
        <v>4087711.4218674595</v>
      </c>
      <c r="J194" s="444">
        <f t="array" ref="J194">IFERROR(INDEX('Retirement Calculator'!K:K,MATCH('Lorri 401b'!N194,'Retirement Calculator'!A:A,0),0),0)</f>
        <v>20367.195264578786</v>
      </c>
      <c r="K194" s="444">
        <f t="shared" ca="1" si="2"/>
        <v>16947.267610845338</v>
      </c>
      <c r="L194" s="444">
        <f t="shared" ca="1" si="3"/>
        <v>4084291.4942137259</v>
      </c>
      <c r="M194" s="460">
        <f t="shared" si="6"/>
        <v>0.05</v>
      </c>
      <c r="N194" s="464">
        <f t="shared" si="7"/>
        <v>56949</v>
      </c>
    </row>
    <row r="195" spans="7:14" ht="11.25" customHeight="1" x14ac:dyDescent="0.3">
      <c r="G195" s="459">
        <f t="shared" si="20"/>
        <v>16</v>
      </c>
      <c r="H195" s="459">
        <v>188</v>
      </c>
      <c r="I195" s="444">
        <f t="shared" ca="1" si="5"/>
        <v>4084291.4942137259</v>
      </c>
      <c r="J195" s="444">
        <f t="array" ref="J195">IFERROR(INDEX('Retirement Calculator'!K:K,MATCH('Lorri 401b'!N195,'Retirement Calculator'!A:A,0),0),0)</f>
        <v>20367.195264578786</v>
      </c>
      <c r="K195" s="444">
        <f t="shared" ca="1" si="2"/>
        <v>16933.017912288113</v>
      </c>
      <c r="L195" s="444">
        <f t="shared" ca="1" si="3"/>
        <v>4080857.3168614353</v>
      </c>
      <c r="M195" s="460">
        <f t="shared" si="6"/>
        <v>0.05</v>
      </c>
      <c r="N195" s="464">
        <f t="shared" si="7"/>
        <v>56980</v>
      </c>
    </row>
    <row r="196" spans="7:14" ht="11.25" customHeight="1" x14ac:dyDescent="0.3">
      <c r="G196" s="459">
        <f t="shared" si="20"/>
        <v>16</v>
      </c>
      <c r="H196" s="459">
        <v>189</v>
      </c>
      <c r="I196" s="444">
        <f t="shared" ca="1" si="5"/>
        <v>4080857.3168614353</v>
      </c>
      <c r="J196" s="444">
        <f t="array" ref="J196">IFERROR(INDEX('Retirement Calculator'!K:K,MATCH('Lorri 401b'!N196,'Retirement Calculator'!A:A,0),0),0)</f>
        <v>20367.195264578786</v>
      </c>
      <c r="K196" s="444">
        <f t="shared" ca="1" si="2"/>
        <v>16918.708839986899</v>
      </c>
      <c r="L196" s="444">
        <f t="shared" ca="1" si="3"/>
        <v>4077408.8304368434</v>
      </c>
      <c r="M196" s="460">
        <f t="shared" si="6"/>
        <v>0.05</v>
      </c>
      <c r="N196" s="464">
        <f t="shared" si="7"/>
        <v>57011</v>
      </c>
    </row>
    <row r="197" spans="7:14" ht="11.25" customHeight="1" x14ac:dyDescent="0.3">
      <c r="G197" s="459">
        <f t="shared" si="20"/>
        <v>16</v>
      </c>
      <c r="H197" s="459">
        <v>190</v>
      </c>
      <c r="I197" s="444">
        <f t="shared" ca="1" si="5"/>
        <v>4077408.8304368434</v>
      </c>
      <c r="J197" s="444">
        <f t="array" ref="J197">IFERROR(INDEX('Retirement Calculator'!K:K,MATCH('Lorri 401b'!N197,'Retirement Calculator'!A:A,0),0),0)</f>
        <v>20367.195264578786</v>
      </c>
      <c r="K197" s="444">
        <f t="shared" ca="1" si="2"/>
        <v>16904.340146551101</v>
      </c>
      <c r="L197" s="444">
        <f t="shared" ca="1" si="3"/>
        <v>4073945.9753188156</v>
      </c>
      <c r="M197" s="460">
        <f t="shared" si="6"/>
        <v>0.05</v>
      </c>
      <c r="N197" s="464">
        <f t="shared" si="7"/>
        <v>57040</v>
      </c>
    </row>
    <row r="198" spans="7:14" ht="11.25" customHeight="1" x14ac:dyDescent="0.3">
      <c r="G198" s="459">
        <f t="shared" si="20"/>
        <v>16</v>
      </c>
      <c r="H198" s="459">
        <v>191</v>
      </c>
      <c r="I198" s="444">
        <f t="shared" ca="1" si="5"/>
        <v>4073945.9753188156</v>
      </c>
      <c r="J198" s="444">
        <f t="array" ref="J198">IFERROR(INDEX('Retirement Calculator'!K:K,MATCH('Lorri 401b'!N198,'Retirement Calculator'!A:A,0),0),0)</f>
        <v>20367.195264578786</v>
      </c>
      <c r="K198" s="444">
        <f t="shared" ca="1" si="2"/>
        <v>16889.911583559322</v>
      </c>
      <c r="L198" s="444">
        <f t="shared" ca="1" si="3"/>
        <v>4070468.6916377959</v>
      </c>
      <c r="M198" s="460">
        <f t="shared" si="6"/>
        <v>0.05</v>
      </c>
      <c r="N198" s="464">
        <f t="shared" si="7"/>
        <v>57071</v>
      </c>
    </row>
    <row r="199" spans="7:14" ht="11.25" customHeight="1" x14ac:dyDescent="0.3">
      <c r="G199" s="459">
        <f t="shared" si="20"/>
        <v>16</v>
      </c>
      <c r="H199" s="459">
        <v>192</v>
      </c>
      <c r="I199" s="444">
        <f t="shared" ca="1" si="5"/>
        <v>4070468.6916377959</v>
      </c>
      <c r="J199" s="444">
        <f t="array" ref="J199">IFERROR(INDEX('Retirement Calculator'!K:K,MATCH('Lorri 401b'!N199,'Retirement Calculator'!A:A,0),0),0)</f>
        <v>20367.195264578786</v>
      </c>
      <c r="K199" s="444">
        <f t="shared" ca="1" si="2"/>
        <v>16875.42290155507</v>
      </c>
      <c r="L199" s="444">
        <f t="shared" ca="1" si="3"/>
        <v>4066976.9192747721</v>
      </c>
      <c r="M199" s="460">
        <f t="shared" si="6"/>
        <v>0.05</v>
      </c>
      <c r="N199" s="464">
        <f t="shared" si="7"/>
        <v>57101</v>
      </c>
    </row>
    <row r="200" spans="7:14" ht="11.25" customHeight="1" x14ac:dyDescent="0.3">
      <c r="G200" s="459">
        <f>G199+1</f>
        <v>17</v>
      </c>
      <c r="H200" s="459">
        <v>193</v>
      </c>
      <c r="I200" s="444">
        <f t="shared" ca="1" si="5"/>
        <v>4066976.9192747721</v>
      </c>
      <c r="J200" s="444">
        <f t="array" ref="J200">IFERROR(INDEX('Retirement Calculator'!K:K,MATCH('Lorri 401b'!N200,'Retirement Calculator'!A:A,0),0),0)</f>
        <v>20367.195264578786</v>
      </c>
      <c r="K200" s="444">
        <f t="shared" ca="1" si="2"/>
        <v>16860.873850042473</v>
      </c>
      <c r="L200" s="444">
        <f t="shared" ca="1" si="3"/>
        <v>4063470.5978602357</v>
      </c>
      <c r="M200" s="460">
        <f t="shared" si="6"/>
        <v>0.05</v>
      </c>
      <c r="N200" s="464">
        <f t="shared" si="7"/>
        <v>57132</v>
      </c>
    </row>
    <row r="201" spans="7:14" ht="11.25" customHeight="1" x14ac:dyDescent="0.3">
      <c r="G201" s="459">
        <f t="shared" ref="G201:G211" si="21">G200</f>
        <v>17</v>
      </c>
      <c r="H201" s="459">
        <v>194</v>
      </c>
      <c r="I201" s="444">
        <f t="shared" ca="1" si="5"/>
        <v>4063470.5978602357</v>
      </c>
      <c r="J201" s="444">
        <f t="array" ref="J201">IFERROR(INDEX('Retirement Calculator'!K:K,MATCH('Lorri 401b'!N201,'Retirement Calculator'!A:A,0),0),0)</f>
        <v>20367.195264578786</v>
      </c>
      <c r="K201" s="444">
        <f t="shared" ca="1" si="2"/>
        <v>16846.264177481902</v>
      </c>
      <c r="L201" s="444">
        <f t="shared" ca="1" si="3"/>
        <v>4059949.666773139</v>
      </c>
      <c r="M201" s="460">
        <f t="shared" si="6"/>
        <v>0.05</v>
      </c>
      <c r="N201" s="464">
        <f t="shared" si="7"/>
        <v>57162</v>
      </c>
    </row>
    <row r="202" spans="7:14" ht="11.25" customHeight="1" x14ac:dyDescent="0.3">
      <c r="G202" s="459">
        <f t="shared" si="21"/>
        <v>17</v>
      </c>
      <c r="H202" s="459">
        <v>195</v>
      </c>
      <c r="I202" s="444">
        <f t="shared" ca="1" si="5"/>
        <v>4059949.666773139</v>
      </c>
      <c r="J202" s="444">
        <f t="array" ref="J202">IFERROR(INDEX('Retirement Calculator'!K:K,MATCH('Lorri 401b'!N202,'Retirement Calculator'!A:A,0),0),0)</f>
        <v>20367.195264578786</v>
      </c>
      <c r="K202" s="444">
        <f t="shared" ca="1" si="2"/>
        <v>16831.593631285668</v>
      </c>
      <c r="L202" s="444">
        <f t="shared" ca="1" si="3"/>
        <v>4056414.0651398459</v>
      </c>
      <c r="M202" s="460">
        <f t="shared" si="6"/>
        <v>0.05</v>
      </c>
      <c r="N202" s="464">
        <f t="shared" si="7"/>
        <v>57193</v>
      </c>
    </row>
    <row r="203" spans="7:14" ht="11.25" customHeight="1" x14ac:dyDescent="0.3">
      <c r="G203" s="459">
        <f t="shared" si="21"/>
        <v>17</v>
      </c>
      <c r="H203" s="459">
        <v>196</v>
      </c>
      <c r="I203" s="444">
        <f t="shared" ca="1" si="5"/>
        <v>4056414.0651398459</v>
      </c>
      <c r="J203" s="444">
        <f t="array" ref="J203">IFERROR(INDEX('Retirement Calculator'!K:K,MATCH('Lorri 401b'!N203,'Retirement Calculator'!A:A,0),0),0)</f>
        <v>20367.195264578786</v>
      </c>
      <c r="K203" s="444">
        <f t="shared" ca="1" si="2"/>
        <v>16816.861957813613</v>
      </c>
      <c r="L203" s="444">
        <f t="shared" ca="1" si="3"/>
        <v>4052863.7318330808</v>
      </c>
      <c r="M203" s="460">
        <f t="shared" si="6"/>
        <v>0.05</v>
      </c>
      <c r="N203" s="464">
        <f t="shared" si="7"/>
        <v>57224</v>
      </c>
    </row>
    <row r="204" spans="7:14" ht="11.25" customHeight="1" x14ac:dyDescent="0.3">
      <c r="G204" s="459">
        <f t="shared" si="21"/>
        <v>17</v>
      </c>
      <c r="H204" s="459">
        <v>197</v>
      </c>
      <c r="I204" s="444">
        <f t="shared" ca="1" si="5"/>
        <v>4052863.7318330808</v>
      </c>
      <c r="J204" s="444">
        <f t="array" ref="J204">IFERROR(INDEX('Retirement Calculator'!K:K,MATCH('Lorri 401b'!N204,'Retirement Calculator'!A:A,0),0),0)</f>
        <v>20367.195264578786</v>
      </c>
      <c r="K204" s="444">
        <f t="shared" ca="1" si="2"/>
        <v>16802.068902368759</v>
      </c>
      <c r="L204" s="444">
        <f t="shared" ca="1" si="3"/>
        <v>4049298.6054708706</v>
      </c>
      <c r="M204" s="460">
        <f t="shared" si="6"/>
        <v>0.05</v>
      </c>
      <c r="N204" s="464">
        <f t="shared" si="7"/>
        <v>57254</v>
      </c>
    </row>
    <row r="205" spans="7:14" ht="11.25" customHeight="1" x14ac:dyDescent="0.3">
      <c r="G205" s="459">
        <f t="shared" si="21"/>
        <v>17</v>
      </c>
      <c r="H205" s="459">
        <v>198</v>
      </c>
      <c r="I205" s="444">
        <f t="shared" ca="1" si="5"/>
        <v>4049298.6054708706</v>
      </c>
      <c r="J205" s="444">
        <f t="array" ref="J205">IFERROR(INDEX('Retirement Calculator'!K:K,MATCH('Lorri 401b'!N205,'Retirement Calculator'!A:A,0),0),0)</f>
        <v>20367.195264578786</v>
      </c>
      <c r="K205" s="444">
        <f t="shared" ca="1" si="2"/>
        <v>16787.214209192884</v>
      </c>
      <c r="L205" s="444">
        <f t="shared" ca="1" si="3"/>
        <v>4045718.6244154847</v>
      </c>
      <c r="M205" s="460">
        <f t="shared" si="6"/>
        <v>0.05</v>
      </c>
      <c r="N205" s="464">
        <f t="shared" si="7"/>
        <v>57285</v>
      </c>
    </row>
    <row r="206" spans="7:14" ht="11.25" customHeight="1" x14ac:dyDescent="0.3">
      <c r="G206" s="459">
        <f t="shared" si="21"/>
        <v>17</v>
      </c>
      <c r="H206" s="459">
        <v>199</v>
      </c>
      <c r="I206" s="444">
        <f t="shared" ca="1" si="5"/>
        <v>4045718.6244154847</v>
      </c>
      <c r="J206" s="444">
        <f t="array" ref="J206">IFERROR(INDEX('Retirement Calculator'!K:K,MATCH('Lorri 401b'!N206,'Retirement Calculator'!A:A,0),0),0)</f>
        <v>20367.195264578786</v>
      </c>
      <c r="K206" s="444">
        <f t="shared" ca="1" si="2"/>
        <v>16772.297621462105</v>
      </c>
      <c r="L206" s="444">
        <f t="shared" ca="1" si="3"/>
        <v>4042123.726772368</v>
      </c>
      <c r="M206" s="460">
        <f t="shared" si="6"/>
        <v>0.05</v>
      </c>
      <c r="N206" s="464">
        <f t="shared" si="7"/>
        <v>57315</v>
      </c>
    </row>
    <row r="207" spans="7:14" ht="11.25" customHeight="1" x14ac:dyDescent="0.3">
      <c r="G207" s="459">
        <f t="shared" si="21"/>
        <v>17</v>
      </c>
      <c r="H207" s="459">
        <v>200</v>
      </c>
      <c r="I207" s="444">
        <f t="shared" ca="1" si="5"/>
        <v>4042123.726772368</v>
      </c>
      <c r="J207" s="444">
        <f t="array" ref="J207">IFERROR(INDEX('Retirement Calculator'!K:K,MATCH('Lorri 401b'!N207,'Retirement Calculator'!A:A,0),0),0)</f>
        <v>20367.195264578786</v>
      </c>
      <c r="K207" s="444">
        <f t="shared" ca="1" si="2"/>
        <v>16757.318881282456</v>
      </c>
      <c r="L207" s="444">
        <f t="shared" ca="1" si="3"/>
        <v>4038513.8503890717</v>
      </c>
      <c r="M207" s="460">
        <f t="shared" si="6"/>
        <v>0.05</v>
      </c>
      <c r="N207" s="464">
        <f t="shared" si="7"/>
        <v>57346</v>
      </c>
    </row>
    <row r="208" spans="7:14" ht="11.25" customHeight="1" x14ac:dyDescent="0.3">
      <c r="G208" s="459">
        <f t="shared" si="21"/>
        <v>17</v>
      </c>
      <c r="H208" s="459">
        <v>201</v>
      </c>
      <c r="I208" s="444">
        <f t="shared" ca="1" si="5"/>
        <v>4038513.8503890717</v>
      </c>
      <c r="J208" s="444">
        <f t="array" ref="J208">IFERROR(INDEX('Retirement Calculator'!K:K,MATCH('Lorri 401b'!N208,'Retirement Calculator'!A:A,0),0),0)</f>
        <v>20367.195264578786</v>
      </c>
      <c r="K208" s="444">
        <f t="shared" ca="1" si="2"/>
        <v>16742.277729685386</v>
      </c>
      <c r="L208" s="444">
        <f t="shared" ca="1" si="3"/>
        <v>4034888.9328541784</v>
      </c>
      <c r="M208" s="460">
        <f t="shared" si="6"/>
        <v>0.05</v>
      </c>
      <c r="N208" s="464">
        <f t="shared" si="7"/>
        <v>57377</v>
      </c>
    </row>
    <row r="209" spans="7:14" ht="11.25" customHeight="1" x14ac:dyDescent="0.3">
      <c r="G209" s="459">
        <f t="shared" si="21"/>
        <v>17</v>
      </c>
      <c r="H209" s="459">
        <v>202</v>
      </c>
      <c r="I209" s="444">
        <f t="shared" ca="1" si="5"/>
        <v>4034888.9328541784</v>
      </c>
      <c r="J209" s="444">
        <f t="array" ref="J209">IFERROR(INDEX('Retirement Calculator'!K:K,MATCH('Lorri 401b'!N209,'Retirement Calculator'!A:A,0),0),0)</f>
        <v>20367.195264578786</v>
      </c>
      <c r="K209" s="444">
        <f t="shared" ca="1" si="2"/>
        <v>16727.173906623335</v>
      </c>
      <c r="L209" s="444">
        <f t="shared" ca="1" si="3"/>
        <v>4031248.911496223</v>
      </c>
      <c r="M209" s="460">
        <f t="shared" si="6"/>
        <v>0.05</v>
      </c>
      <c r="N209" s="464">
        <f t="shared" si="7"/>
        <v>57405</v>
      </c>
    </row>
    <row r="210" spans="7:14" ht="11.25" customHeight="1" x14ac:dyDescent="0.3">
      <c r="G210" s="459">
        <f t="shared" si="21"/>
        <v>17</v>
      </c>
      <c r="H210" s="459">
        <v>203</v>
      </c>
      <c r="I210" s="444">
        <f t="shared" ca="1" si="5"/>
        <v>4031248.911496223</v>
      </c>
      <c r="J210" s="444">
        <f t="array" ref="J210">IFERROR(INDEX('Retirement Calculator'!K:K,MATCH('Lorri 401b'!N210,'Retirement Calculator'!A:A,0),0),0)</f>
        <v>20367.195264578786</v>
      </c>
      <c r="K210" s="444">
        <f t="shared" ca="1" si="2"/>
        <v>16712.007150965186</v>
      </c>
      <c r="L210" s="444">
        <f t="shared" ca="1" si="3"/>
        <v>4027593.7233826094</v>
      </c>
      <c r="M210" s="460">
        <f t="shared" si="6"/>
        <v>0.05</v>
      </c>
      <c r="N210" s="464">
        <f t="shared" si="7"/>
        <v>57436</v>
      </c>
    </row>
    <row r="211" spans="7:14" ht="11.25" customHeight="1" x14ac:dyDescent="0.3">
      <c r="G211" s="459">
        <f t="shared" si="21"/>
        <v>17</v>
      </c>
      <c r="H211" s="459">
        <v>204</v>
      </c>
      <c r="I211" s="444">
        <f t="shared" ca="1" si="5"/>
        <v>4027593.7233826094</v>
      </c>
      <c r="J211" s="444">
        <f t="array" ref="J211">IFERROR(INDEX('Retirement Calculator'!K:K,MATCH('Lorri 401b'!N211,'Retirement Calculator'!A:A,0),0),0)</f>
        <v>20367.195264578786</v>
      </c>
      <c r="K211" s="444">
        <f t="shared" ca="1" si="2"/>
        <v>16696.777200491797</v>
      </c>
      <c r="L211" s="444">
        <f t="shared" ca="1" si="3"/>
        <v>4023923.3053185223</v>
      </c>
      <c r="M211" s="460">
        <f t="shared" si="6"/>
        <v>0.05</v>
      </c>
      <c r="N211" s="464">
        <f t="shared" si="7"/>
        <v>57466</v>
      </c>
    </row>
    <row r="212" spans="7:14" ht="11.25" customHeight="1" x14ac:dyDescent="0.3">
      <c r="G212" s="459">
        <f>G211+1</f>
        <v>18</v>
      </c>
      <c r="H212" s="459">
        <v>205</v>
      </c>
      <c r="I212" s="444">
        <f t="shared" ca="1" si="5"/>
        <v>4023923.3053185223</v>
      </c>
      <c r="J212" s="444">
        <f t="array" ref="J212">IFERROR(INDEX('Retirement Calculator'!K:K,MATCH('Lorri 401b'!N212,'Retirement Calculator'!A:A,0),0),0)</f>
        <v>20367.195264578786</v>
      </c>
      <c r="K212" s="444">
        <f t="shared" ca="1" si="2"/>
        <v>16681.483791891431</v>
      </c>
      <c r="L212" s="444">
        <f t="shared" ca="1" si="3"/>
        <v>4020237.593845835</v>
      </c>
      <c r="M212" s="460">
        <f t="shared" si="6"/>
        <v>0.05</v>
      </c>
      <c r="N212" s="464">
        <f t="shared" si="7"/>
        <v>57497</v>
      </c>
    </row>
    <row r="213" spans="7:14" ht="11.25" customHeight="1" x14ac:dyDescent="0.3">
      <c r="G213" s="459">
        <f t="shared" ref="G213:G223" si="22">G212</f>
        <v>18</v>
      </c>
      <c r="H213" s="459">
        <v>206</v>
      </c>
      <c r="I213" s="444">
        <f t="shared" ca="1" si="5"/>
        <v>4020237.593845835</v>
      </c>
      <c r="J213" s="444">
        <f t="array" ref="J213">IFERROR(INDEX('Retirement Calculator'!K:K,MATCH('Lorri 401b'!N213,'Retirement Calculator'!A:A,0),0),0)</f>
        <v>20367.195264578786</v>
      </c>
      <c r="K213" s="444">
        <f t="shared" ca="1" si="2"/>
        <v>16666.126660755232</v>
      </c>
      <c r="L213" s="444">
        <f t="shared" ca="1" si="3"/>
        <v>4016536.5252420115</v>
      </c>
      <c r="M213" s="460">
        <f t="shared" si="6"/>
        <v>0.05</v>
      </c>
      <c r="N213" s="464">
        <f t="shared" si="7"/>
        <v>57527</v>
      </c>
    </row>
    <row r="214" spans="7:14" ht="11.25" customHeight="1" x14ac:dyDescent="0.3">
      <c r="G214" s="459">
        <f t="shared" si="22"/>
        <v>18</v>
      </c>
      <c r="H214" s="459">
        <v>207</v>
      </c>
      <c r="I214" s="444">
        <f t="shared" ca="1" si="5"/>
        <v>4016536.5252420115</v>
      </c>
      <c r="J214" s="444">
        <f t="array" ref="J214">IFERROR(INDEX('Retirement Calculator'!K:K,MATCH('Lorri 401b'!N214,'Retirement Calculator'!A:A,0),0),0)</f>
        <v>20367.195264578786</v>
      </c>
      <c r="K214" s="444">
        <f t="shared" ca="1" si="2"/>
        <v>16650.705541572635</v>
      </c>
      <c r="L214" s="444">
        <f t="shared" ca="1" si="3"/>
        <v>4012820.0355190053</v>
      </c>
      <c r="M214" s="460">
        <f t="shared" si="6"/>
        <v>0.05</v>
      </c>
      <c r="N214" s="464">
        <f t="shared" si="7"/>
        <v>57558</v>
      </c>
    </row>
    <row r="215" spans="7:14" ht="11.25" customHeight="1" x14ac:dyDescent="0.3">
      <c r="G215" s="459">
        <f t="shared" si="22"/>
        <v>18</v>
      </c>
      <c r="H215" s="459">
        <v>208</v>
      </c>
      <c r="I215" s="444">
        <f t="shared" ca="1" si="5"/>
        <v>4012820.0355190053</v>
      </c>
      <c r="J215" s="444">
        <f t="array" ref="J215">IFERROR(INDEX('Retirement Calculator'!K:K,MATCH('Lorri 401b'!N215,'Retirement Calculator'!A:A,0),0),0)</f>
        <v>20367.195264578786</v>
      </c>
      <c r="K215" s="444">
        <f t="shared" ca="1" si="2"/>
        <v>16635.220167726777</v>
      </c>
      <c r="L215" s="444">
        <f t="shared" ca="1" si="3"/>
        <v>4009088.0604221532</v>
      </c>
      <c r="M215" s="460">
        <f t="shared" si="6"/>
        <v>0.05</v>
      </c>
      <c r="N215" s="464">
        <f t="shared" si="7"/>
        <v>57589</v>
      </c>
    </row>
    <row r="216" spans="7:14" ht="11.25" customHeight="1" x14ac:dyDescent="0.3">
      <c r="G216" s="459">
        <f t="shared" si="22"/>
        <v>18</v>
      </c>
      <c r="H216" s="459">
        <v>209</v>
      </c>
      <c r="I216" s="444">
        <f t="shared" ca="1" si="5"/>
        <v>4009088.0604221532</v>
      </c>
      <c r="J216" s="444">
        <f t="array" ref="J216">IFERROR(INDEX('Retirement Calculator'!K:K,MATCH('Lorri 401b'!N216,'Retirement Calculator'!A:A,0),0),0)</f>
        <v>20367.195264578786</v>
      </c>
      <c r="K216" s="444">
        <f t="shared" ca="1" si="2"/>
        <v>16619.670271489893</v>
      </c>
      <c r="L216" s="444">
        <f t="shared" ca="1" si="3"/>
        <v>4005340.5354290642</v>
      </c>
      <c r="M216" s="460">
        <f t="shared" si="6"/>
        <v>0.05</v>
      </c>
      <c r="N216" s="464">
        <f t="shared" si="7"/>
        <v>57619</v>
      </c>
    </row>
    <row r="217" spans="7:14" ht="11.25" customHeight="1" x14ac:dyDescent="0.3">
      <c r="G217" s="459">
        <f t="shared" si="22"/>
        <v>18</v>
      </c>
      <c r="H217" s="459">
        <v>210</v>
      </c>
      <c r="I217" s="444">
        <f t="shared" ca="1" si="5"/>
        <v>4005340.5354290642</v>
      </c>
      <c r="J217" s="444">
        <f t="array" ref="J217">IFERROR(INDEX('Retirement Calculator'!K:K,MATCH('Lorri 401b'!N217,'Retirement Calculator'!A:A,0),0),0)</f>
        <v>20367.195264578786</v>
      </c>
      <c r="K217" s="444">
        <f t="shared" ca="1" si="2"/>
        <v>16604.05558401869</v>
      </c>
      <c r="L217" s="444">
        <f t="shared" ca="1" si="3"/>
        <v>4001577.395748504</v>
      </c>
      <c r="M217" s="460">
        <f t="shared" si="6"/>
        <v>0.05</v>
      </c>
      <c r="N217" s="464">
        <f t="shared" si="7"/>
        <v>57650</v>
      </c>
    </row>
    <row r="218" spans="7:14" ht="11.25" customHeight="1" x14ac:dyDescent="0.3">
      <c r="G218" s="459">
        <f t="shared" si="22"/>
        <v>18</v>
      </c>
      <c r="H218" s="459">
        <v>211</v>
      </c>
      <c r="I218" s="444">
        <f t="shared" ca="1" si="5"/>
        <v>4001577.395748504</v>
      </c>
      <c r="J218" s="444">
        <f t="array" ref="J218">IFERROR(INDEX('Retirement Calculator'!K:K,MATCH('Lorri 401b'!N218,'Retirement Calculator'!A:A,0),0),0)</f>
        <v>20367.195264578786</v>
      </c>
      <c r="K218" s="444">
        <f t="shared" ca="1" si="2"/>
        <v>16588.375835349689</v>
      </c>
      <c r="L218" s="444">
        <f t="shared" ca="1" si="3"/>
        <v>3997798.576319275</v>
      </c>
      <c r="M218" s="460">
        <f t="shared" si="6"/>
        <v>0.05</v>
      </c>
      <c r="N218" s="464">
        <f t="shared" si="7"/>
        <v>57680</v>
      </c>
    </row>
    <row r="219" spans="7:14" ht="11.25" customHeight="1" x14ac:dyDescent="0.3">
      <c r="G219" s="459">
        <f t="shared" si="22"/>
        <v>18</v>
      </c>
      <c r="H219" s="459">
        <v>212</v>
      </c>
      <c r="I219" s="444">
        <f t="shared" ca="1" si="5"/>
        <v>3997798.576319275</v>
      </c>
      <c r="J219" s="444">
        <f t="array" ref="J219">IFERROR(INDEX('Retirement Calculator'!K:K,MATCH('Lorri 401b'!N219,'Retirement Calculator'!A:A,0),0),0)</f>
        <v>20367.195264578786</v>
      </c>
      <c r="K219" s="444">
        <f t="shared" ca="1" si="2"/>
        <v>16572.630754394566</v>
      </c>
      <c r="L219" s="444">
        <f t="shared" ca="1" si="3"/>
        <v>3994004.0118090906</v>
      </c>
      <c r="M219" s="460">
        <f t="shared" si="6"/>
        <v>0.05</v>
      </c>
      <c r="N219" s="464">
        <f t="shared" si="7"/>
        <v>57711</v>
      </c>
    </row>
    <row r="220" spans="7:14" ht="11.25" customHeight="1" x14ac:dyDescent="0.3">
      <c r="G220" s="459">
        <f t="shared" si="22"/>
        <v>18</v>
      </c>
      <c r="H220" s="459">
        <v>213</v>
      </c>
      <c r="I220" s="444">
        <f t="shared" ca="1" si="5"/>
        <v>3994004.0118090906</v>
      </c>
      <c r="J220" s="444">
        <f t="array" ref="J220">IFERROR(INDEX('Retirement Calculator'!K:K,MATCH('Lorri 401b'!N220,'Retirement Calculator'!A:A,0),0),0)</f>
        <v>20367.195264578786</v>
      </c>
      <c r="K220" s="444">
        <f t="shared" ca="1" si="2"/>
        <v>16556.820068935467</v>
      </c>
      <c r="L220" s="444">
        <f t="shared" ca="1" si="3"/>
        <v>3990193.6366134472</v>
      </c>
      <c r="M220" s="460">
        <f t="shared" si="6"/>
        <v>0.05</v>
      </c>
      <c r="N220" s="464">
        <f t="shared" si="7"/>
        <v>57742</v>
      </c>
    </row>
    <row r="221" spans="7:14" ht="11.25" customHeight="1" x14ac:dyDescent="0.3">
      <c r="G221" s="459">
        <f t="shared" si="22"/>
        <v>18</v>
      </c>
      <c r="H221" s="459">
        <v>214</v>
      </c>
      <c r="I221" s="444">
        <f t="shared" ca="1" si="5"/>
        <v>3990193.6366134472</v>
      </c>
      <c r="J221" s="444">
        <f t="array" ref="J221">IFERROR(INDEX('Retirement Calculator'!K:K,MATCH('Lorri 401b'!N221,'Retirement Calculator'!A:A,0),0),0)</f>
        <v>20367.195264578786</v>
      </c>
      <c r="K221" s="444">
        <f t="shared" ca="1" si="2"/>
        <v>16540.943505620282</v>
      </c>
      <c r="L221" s="444">
        <f t="shared" ca="1" si="3"/>
        <v>3986367.3848544885</v>
      </c>
      <c r="M221" s="460">
        <f t="shared" si="6"/>
        <v>0.05</v>
      </c>
      <c r="N221" s="464">
        <f t="shared" si="7"/>
        <v>57770</v>
      </c>
    </row>
    <row r="222" spans="7:14" ht="11.25" customHeight="1" x14ac:dyDescent="0.3">
      <c r="G222" s="459">
        <f t="shared" si="22"/>
        <v>18</v>
      </c>
      <c r="H222" s="459">
        <v>215</v>
      </c>
      <c r="I222" s="444">
        <f t="shared" ca="1" si="5"/>
        <v>3986367.3848544885</v>
      </c>
      <c r="J222" s="444">
        <f t="array" ref="J222">IFERROR(INDEX('Retirement Calculator'!K:K,MATCH('Lorri 401b'!N222,'Retirement Calculator'!A:A,0),0),0)</f>
        <v>20367.195264578786</v>
      </c>
      <c r="K222" s="444">
        <f t="shared" ca="1" si="2"/>
        <v>16525.000789957954</v>
      </c>
      <c r="L222" s="444">
        <f t="shared" ca="1" si="3"/>
        <v>3982525.1903798678</v>
      </c>
      <c r="M222" s="460">
        <f t="shared" si="6"/>
        <v>0.05</v>
      </c>
      <c r="N222" s="464">
        <f t="shared" si="7"/>
        <v>57801</v>
      </c>
    </row>
    <row r="223" spans="7:14" ht="11.25" customHeight="1" x14ac:dyDescent="0.3">
      <c r="G223" s="459">
        <f t="shared" si="22"/>
        <v>18</v>
      </c>
      <c r="H223" s="459">
        <v>216</v>
      </c>
      <c r="I223" s="444">
        <f t="shared" ca="1" si="5"/>
        <v>3982525.1903798678</v>
      </c>
      <c r="J223" s="444">
        <f t="array" ref="J223">IFERROR(INDEX('Retirement Calculator'!K:K,MATCH('Lorri 401b'!N223,'Retirement Calculator'!A:A,0),0),0)</f>
        <v>20367.195264578786</v>
      </c>
      <c r="K223" s="444">
        <f t="shared" ca="1" si="2"/>
        <v>16508.991646313705</v>
      </c>
      <c r="L223" s="444">
        <f t="shared" ca="1" si="3"/>
        <v>3978666.9867616026</v>
      </c>
      <c r="M223" s="460">
        <f t="shared" si="6"/>
        <v>0.05</v>
      </c>
      <c r="N223" s="464">
        <f t="shared" si="7"/>
        <v>57831</v>
      </c>
    </row>
    <row r="224" spans="7:14" ht="11.25" customHeight="1" x14ac:dyDescent="0.3">
      <c r="G224" s="459">
        <f>G223+1</f>
        <v>19</v>
      </c>
      <c r="H224" s="459">
        <v>217</v>
      </c>
      <c r="I224" s="444">
        <f t="shared" ca="1" si="5"/>
        <v>3978666.9867616026</v>
      </c>
      <c r="J224" s="444">
        <f t="array" ref="J224">IFERROR(INDEX('Retirement Calculator'!K:K,MATCH('Lorri 401b'!N224,'Retirement Calculator'!A:A,0),0),0)</f>
        <v>20367.195264578786</v>
      </c>
      <c r="K224" s="444">
        <f t="shared" ca="1" si="2"/>
        <v>16492.915797904268</v>
      </c>
      <c r="L224" s="444">
        <f t="shared" ca="1" si="3"/>
        <v>3974792.7072949279</v>
      </c>
      <c r="M224" s="460">
        <f t="shared" si="6"/>
        <v>0.05</v>
      </c>
      <c r="N224" s="464">
        <f t="shared" si="7"/>
        <v>57862</v>
      </c>
    </row>
    <row r="225" spans="7:14" ht="11.25" customHeight="1" x14ac:dyDescent="0.3">
      <c r="G225" s="459">
        <f t="shared" ref="G225:G235" si="23">G224</f>
        <v>19</v>
      </c>
      <c r="H225" s="459">
        <v>218</v>
      </c>
      <c r="I225" s="444">
        <f t="shared" ca="1" si="5"/>
        <v>3974792.7072949279</v>
      </c>
      <c r="J225" s="444">
        <f t="array" ref="J225">IFERROR(INDEX('Retirement Calculator'!K:K,MATCH('Lorri 401b'!N225,'Retirement Calculator'!A:A,0),0),0)</f>
        <v>20367.195264578786</v>
      </c>
      <c r="K225" s="444">
        <f t="shared" ca="1" si="2"/>
        <v>16476.772966793123</v>
      </c>
      <c r="L225" s="444">
        <f t="shared" ca="1" si="3"/>
        <v>3970902.2849971424</v>
      </c>
      <c r="M225" s="460">
        <f t="shared" si="6"/>
        <v>0.05</v>
      </c>
      <c r="N225" s="464">
        <f t="shared" si="7"/>
        <v>57892</v>
      </c>
    </row>
    <row r="226" spans="7:14" ht="11.25" customHeight="1" x14ac:dyDescent="0.3">
      <c r="G226" s="459">
        <f t="shared" si="23"/>
        <v>19</v>
      </c>
      <c r="H226" s="459">
        <v>219</v>
      </c>
      <c r="I226" s="444">
        <f t="shared" ca="1" si="5"/>
        <v>3970902.2849971424</v>
      </c>
      <c r="J226" s="444">
        <f t="array" ref="J226">IFERROR(INDEX('Retirement Calculator'!K:K,MATCH('Lorri 401b'!N226,'Retirement Calculator'!A:A,0),0),0)</f>
        <v>20367.195264578786</v>
      </c>
      <c r="K226" s="444">
        <f t="shared" ca="1" si="2"/>
        <v>16460.562873885683</v>
      </c>
      <c r="L226" s="444">
        <f t="shared" ca="1" si="3"/>
        <v>3966995.6526064491</v>
      </c>
      <c r="M226" s="460">
        <f t="shared" si="6"/>
        <v>0.05</v>
      </c>
      <c r="N226" s="464">
        <f t="shared" si="7"/>
        <v>57923</v>
      </c>
    </row>
    <row r="227" spans="7:14" ht="11.25" customHeight="1" x14ac:dyDescent="0.3">
      <c r="G227" s="459">
        <f t="shared" si="23"/>
        <v>19</v>
      </c>
      <c r="H227" s="459">
        <v>220</v>
      </c>
      <c r="I227" s="444">
        <f t="shared" ca="1" si="5"/>
        <v>3966995.6526064491</v>
      </c>
      <c r="J227" s="444">
        <f t="array" ref="J227">IFERROR(INDEX('Retirement Calculator'!K:K,MATCH('Lorri 401b'!N227,'Retirement Calculator'!A:A,0),0),0)</f>
        <v>20367.195264578786</v>
      </c>
      <c r="K227" s="444">
        <f t="shared" ca="1" si="2"/>
        <v>16444.285238924462</v>
      </c>
      <c r="L227" s="444">
        <f t="shared" ca="1" si="3"/>
        <v>3963072.7425807947</v>
      </c>
      <c r="M227" s="460">
        <f t="shared" si="6"/>
        <v>0.05</v>
      </c>
      <c r="N227" s="464">
        <f t="shared" si="7"/>
        <v>57954</v>
      </c>
    </row>
    <row r="228" spans="7:14" ht="11.25" customHeight="1" x14ac:dyDescent="0.3">
      <c r="G228" s="459">
        <f t="shared" si="23"/>
        <v>19</v>
      </c>
      <c r="H228" s="459">
        <v>221</v>
      </c>
      <c r="I228" s="444">
        <f t="shared" ca="1" si="5"/>
        <v>3963072.7425807947</v>
      </c>
      <c r="J228" s="444">
        <f t="array" ref="J228">IFERROR(INDEX('Retirement Calculator'!K:K,MATCH('Lorri 401b'!N228,'Retirement Calculator'!A:A,0),0),0)</f>
        <v>20367.195264578786</v>
      </c>
      <c r="K228" s="444">
        <f t="shared" ca="1" si="2"/>
        <v>16427.939780484234</v>
      </c>
      <c r="L228" s="444">
        <f t="shared" ca="1" si="3"/>
        <v>3959133.4870967004</v>
      </c>
      <c r="M228" s="460">
        <f t="shared" si="6"/>
        <v>0.05</v>
      </c>
      <c r="N228" s="464">
        <f t="shared" si="7"/>
        <v>57984</v>
      </c>
    </row>
    <row r="229" spans="7:14" ht="11.25" customHeight="1" x14ac:dyDescent="0.3">
      <c r="G229" s="459">
        <f t="shared" si="23"/>
        <v>19</v>
      </c>
      <c r="H229" s="459">
        <v>222</v>
      </c>
      <c r="I229" s="444">
        <f t="shared" ca="1" si="5"/>
        <v>3959133.4870967004</v>
      </c>
      <c r="J229" s="444">
        <f t="array" ref="J229">IFERROR(INDEX('Retirement Calculator'!K:K,MATCH('Lorri 401b'!N229,'Retirement Calculator'!A:A,0),0),0)</f>
        <v>20367.195264578786</v>
      </c>
      <c r="K229" s="444">
        <f t="shared" ca="1" si="2"/>
        <v>16411.526215967169</v>
      </c>
      <c r="L229" s="444">
        <f t="shared" ca="1" si="3"/>
        <v>3955177.8180480888</v>
      </c>
      <c r="M229" s="460">
        <f t="shared" si="6"/>
        <v>0.05</v>
      </c>
      <c r="N229" s="464">
        <f t="shared" si="7"/>
        <v>58015</v>
      </c>
    </row>
    <row r="230" spans="7:14" ht="11.25" customHeight="1" x14ac:dyDescent="0.3">
      <c r="G230" s="459">
        <f t="shared" si="23"/>
        <v>19</v>
      </c>
      <c r="H230" s="459">
        <v>223</v>
      </c>
      <c r="I230" s="444">
        <f t="shared" ca="1" si="5"/>
        <v>3955177.8180480888</v>
      </c>
      <c r="J230" s="444">
        <f t="array" ref="J230">IFERROR(INDEX('Retirement Calculator'!K:K,MATCH('Lorri 401b'!N230,'Retirement Calculator'!A:A,0),0),0)</f>
        <v>20367.195264578786</v>
      </c>
      <c r="K230" s="444">
        <f t="shared" ca="1" si="2"/>
        <v>16395.044261597959</v>
      </c>
      <c r="L230" s="444">
        <f t="shared" ca="1" si="3"/>
        <v>3951205.667045108</v>
      </c>
      <c r="M230" s="460">
        <f t="shared" si="6"/>
        <v>0.05</v>
      </c>
      <c r="N230" s="464">
        <f t="shared" si="7"/>
        <v>58045</v>
      </c>
    </row>
    <row r="231" spans="7:14" ht="11.25" customHeight="1" x14ac:dyDescent="0.3">
      <c r="G231" s="459">
        <f t="shared" si="23"/>
        <v>19</v>
      </c>
      <c r="H231" s="459">
        <v>224</v>
      </c>
      <c r="I231" s="444">
        <f t="shared" ca="1" si="5"/>
        <v>3951205.667045108</v>
      </c>
      <c r="J231" s="444">
        <f t="array" ref="J231">IFERROR(INDEX('Retirement Calculator'!K:K,MATCH('Lorri 401b'!N231,'Retirement Calculator'!A:A,0),0),0)</f>
        <v>20367.195264578786</v>
      </c>
      <c r="K231" s="444">
        <f t="shared" ca="1" si="2"/>
        <v>16378.493632418871</v>
      </c>
      <c r="L231" s="444">
        <f t="shared" ca="1" si="3"/>
        <v>3947216.9654129483</v>
      </c>
      <c r="M231" s="460">
        <f t="shared" si="6"/>
        <v>0.05</v>
      </c>
      <c r="N231" s="464">
        <f t="shared" si="7"/>
        <v>58076</v>
      </c>
    </row>
    <row r="232" spans="7:14" ht="11.25" customHeight="1" x14ac:dyDescent="0.3">
      <c r="G232" s="459">
        <f t="shared" si="23"/>
        <v>19</v>
      </c>
      <c r="H232" s="459">
        <v>225</v>
      </c>
      <c r="I232" s="444">
        <f t="shared" ca="1" si="5"/>
        <v>3947216.9654129483</v>
      </c>
      <c r="J232" s="444">
        <f t="array" ref="J232">IFERROR(INDEX('Retirement Calculator'!K:K,MATCH('Lorri 401b'!N232,'Retirement Calculator'!A:A,0),0),0)</f>
        <v>20367.195264578786</v>
      </c>
      <c r="K232" s="444">
        <f t="shared" ca="1" si="2"/>
        <v>16361.874042284873</v>
      </c>
      <c r="L232" s="444">
        <f t="shared" ca="1" si="3"/>
        <v>3943211.6441906542</v>
      </c>
      <c r="M232" s="460">
        <f t="shared" si="6"/>
        <v>0.05</v>
      </c>
      <c r="N232" s="464">
        <f t="shared" si="7"/>
        <v>58107</v>
      </c>
    </row>
    <row r="233" spans="7:14" ht="11.25" customHeight="1" x14ac:dyDescent="0.3">
      <c r="G233" s="459">
        <f t="shared" si="23"/>
        <v>19</v>
      </c>
      <c r="H233" s="459">
        <v>226</v>
      </c>
      <c r="I233" s="444">
        <f t="shared" ca="1" si="5"/>
        <v>3943211.6441906542</v>
      </c>
      <c r="J233" s="444">
        <f t="array" ref="J233">IFERROR(INDEX('Retirement Calculator'!K:K,MATCH('Lorri 401b'!N233,'Retirement Calculator'!A:A,0),0),0)</f>
        <v>20367.195264578786</v>
      </c>
      <c r="K233" s="444">
        <f t="shared" ca="1" si="2"/>
        <v>16345.185203858648</v>
      </c>
      <c r="L233" s="444">
        <f t="shared" ca="1" si="3"/>
        <v>3939189.634129934</v>
      </c>
      <c r="M233" s="460">
        <f t="shared" si="6"/>
        <v>0.05</v>
      </c>
      <c r="N233" s="464">
        <f t="shared" si="7"/>
        <v>58135</v>
      </c>
    </row>
    <row r="234" spans="7:14" ht="11.25" customHeight="1" x14ac:dyDescent="0.3">
      <c r="G234" s="459">
        <f t="shared" si="23"/>
        <v>19</v>
      </c>
      <c r="H234" s="459">
        <v>227</v>
      </c>
      <c r="I234" s="444">
        <f t="shared" ca="1" si="5"/>
        <v>3939189.634129934</v>
      </c>
      <c r="J234" s="444">
        <f t="array" ref="J234">IFERROR(INDEX('Retirement Calculator'!K:K,MATCH('Lorri 401b'!N234,'Retirement Calculator'!A:A,0),0),0)</f>
        <v>20367.195264578786</v>
      </c>
      <c r="K234" s="444">
        <f t="shared" ca="1" si="2"/>
        <v>16328.426828605647</v>
      </c>
      <c r="L234" s="444">
        <f t="shared" ca="1" si="3"/>
        <v>3935150.8656939608</v>
      </c>
      <c r="M234" s="460">
        <f t="shared" si="6"/>
        <v>0.05</v>
      </c>
      <c r="N234" s="464">
        <f t="shared" si="7"/>
        <v>58166</v>
      </c>
    </row>
    <row r="235" spans="7:14" ht="11.25" customHeight="1" x14ac:dyDescent="0.3">
      <c r="G235" s="459">
        <f t="shared" si="23"/>
        <v>19</v>
      </c>
      <c r="H235" s="459">
        <v>228</v>
      </c>
      <c r="I235" s="444">
        <f t="shared" ca="1" si="5"/>
        <v>3935150.8656939608</v>
      </c>
      <c r="J235" s="444">
        <f t="array" ref="J235">IFERROR(INDEX('Retirement Calculator'!K:K,MATCH('Lorri 401b'!N235,'Retirement Calculator'!A:A,0),0),0)</f>
        <v>20367.195264578786</v>
      </c>
      <c r="K235" s="444">
        <f t="shared" ca="1" si="2"/>
        <v>16311.598626789091</v>
      </c>
      <c r="L235" s="444">
        <f t="shared" ca="1" si="3"/>
        <v>3931095.2690561712</v>
      </c>
      <c r="M235" s="460">
        <f t="shared" si="6"/>
        <v>0.05</v>
      </c>
      <c r="N235" s="464">
        <f t="shared" si="7"/>
        <v>58196</v>
      </c>
    </row>
    <row r="236" spans="7:14" ht="11.25" customHeight="1" x14ac:dyDescent="0.3">
      <c r="G236" s="459">
        <f>G235+1</f>
        <v>20</v>
      </c>
      <c r="H236" s="459">
        <v>229</v>
      </c>
      <c r="I236" s="444">
        <f t="shared" ca="1" si="5"/>
        <v>3931095.2690561712</v>
      </c>
      <c r="J236" s="444">
        <f t="array" ref="J236">IFERROR(INDEX('Retirement Calculator'!K:K,MATCH('Lorri 401b'!N236,'Retirement Calculator'!A:A,0),0),0)</f>
        <v>20367.195264578786</v>
      </c>
      <c r="K236" s="444">
        <f t="shared" ca="1" si="2"/>
        <v>16294.700307464967</v>
      </c>
      <c r="L236" s="444">
        <f t="shared" ca="1" si="3"/>
        <v>3927022.7740990575</v>
      </c>
      <c r="M236" s="460">
        <f t="shared" si="6"/>
        <v>0.05</v>
      </c>
      <c r="N236" s="464">
        <f t="shared" si="7"/>
        <v>58227</v>
      </c>
    </row>
    <row r="237" spans="7:14" ht="11.25" customHeight="1" x14ac:dyDescent="0.3">
      <c r="G237" s="459">
        <f t="shared" ref="G237:G247" si="24">G236</f>
        <v>20</v>
      </c>
      <c r="H237" s="459">
        <v>230</v>
      </c>
      <c r="I237" s="444">
        <f t="shared" ca="1" si="5"/>
        <v>3927022.7740990575</v>
      </c>
      <c r="J237" s="444">
        <f t="array" ref="J237">IFERROR(INDEX('Retirement Calculator'!K:K,MATCH('Lorri 401b'!N237,'Retirement Calculator'!A:A,0),0),0)</f>
        <v>20367.195264578786</v>
      </c>
      <c r="K237" s="444">
        <f t="shared" ca="1" si="2"/>
        <v>16277.731578476996</v>
      </c>
      <c r="L237" s="444">
        <f t="shared" ca="1" si="3"/>
        <v>3922933.3104129559</v>
      </c>
      <c r="M237" s="460">
        <f t="shared" si="6"/>
        <v>0.05</v>
      </c>
      <c r="N237" s="464">
        <f t="shared" si="7"/>
        <v>58257</v>
      </c>
    </row>
    <row r="238" spans="7:14" ht="11.25" customHeight="1" x14ac:dyDescent="0.3">
      <c r="G238" s="459">
        <f t="shared" si="24"/>
        <v>20</v>
      </c>
      <c r="H238" s="459">
        <v>231</v>
      </c>
      <c r="I238" s="444">
        <f t="shared" ca="1" si="5"/>
        <v>3922933.3104129559</v>
      </c>
      <c r="J238" s="444">
        <f t="array" ref="J238">IFERROR(INDEX('Retirement Calculator'!K:K,MATCH('Lorri 401b'!N238,'Retirement Calculator'!A:A,0),0),0)</f>
        <v>20367.195264578786</v>
      </c>
      <c r="K238" s="444">
        <f t="shared" ca="1" si="2"/>
        <v>16260.692146451571</v>
      </c>
      <c r="L238" s="444">
        <f t="shared" ca="1" si="3"/>
        <v>3918826.8072948288</v>
      </c>
      <c r="M238" s="460">
        <f t="shared" si="6"/>
        <v>0.05</v>
      </c>
      <c r="N238" s="464">
        <f t="shared" si="7"/>
        <v>58288</v>
      </c>
    </row>
    <row r="239" spans="7:14" ht="11.25" customHeight="1" x14ac:dyDescent="0.3">
      <c r="G239" s="459">
        <f t="shared" si="24"/>
        <v>20</v>
      </c>
      <c r="H239" s="459">
        <v>232</v>
      </c>
      <c r="I239" s="444">
        <f t="shared" ca="1" si="5"/>
        <v>3918826.8072948288</v>
      </c>
      <c r="J239" s="444">
        <f t="array" ref="J239">IFERROR(INDEX('Retirement Calculator'!K:K,MATCH('Lorri 401b'!N239,'Retirement Calculator'!A:A,0),0),0)</f>
        <v>20367.195264578786</v>
      </c>
      <c r="K239" s="444">
        <f t="shared" ca="1" si="2"/>
        <v>16243.581716792707</v>
      </c>
      <c r="L239" s="444">
        <f t="shared" ca="1" si="3"/>
        <v>3914703.1937470427</v>
      </c>
      <c r="M239" s="460">
        <f t="shared" si="6"/>
        <v>0.05</v>
      </c>
      <c r="N239" s="464">
        <f t="shared" si="7"/>
        <v>58319</v>
      </c>
    </row>
    <row r="240" spans="7:14" ht="11.25" customHeight="1" x14ac:dyDescent="0.3">
      <c r="G240" s="459">
        <f t="shared" si="24"/>
        <v>20</v>
      </c>
      <c r="H240" s="459">
        <v>233</v>
      </c>
      <c r="I240" s="444">
        <f t="shared" ca="1" si="5"/>
        <v>3914703.1937470427</v>
      </c>
      <c r="J240" s="444">
        <f t="array" ref="J240">IFERROR(INDEX('Retirement Calculator'!K:K,MATCH('Lorri 401b'!N240,'Retirement Calculator'!A:A,0),0),0)</f>
        <v>20367.195264578786</v>
      </c>
      <c r="K240" s="444">
        <f t="shared" ca="1" si="2"/>
        <v>16226.399993676932</v>
      </c>
      <c r="L240" s="444">
        <f t="shared" ca="1" si="3"/>
        <v>3910562.398476141</v>
      </c>
      <c r="M240" s="460">
        <f t="shared" si="6"/>
        <v>0.05</v>
      </c>
      <c r="N240" s="464">
        <f t="shared" si="7"/>
        <v>58349</v>
      </c>
    </row>
    <row r="241" spans="7:14" ht="11.25" customHeight="1" x14ac:dyDescent="0.3">
      <c r="G241" s="459">
        <f t="shared" si="24"/>
        <v>20</v>
      </c>
      <c r="H241" s="459">
        <v>234</v>
      </c>
      <c r="I241" s="444">
        <f t="shared" ca="1" si="5"/>
        <v>3910562.398476141</v>
      </c>
      <c r="J241" s="444">
        <f t="array" ref="J241">IFERROR(INDEX('Retirement Calculator'!K:K,MATCH('Lorri 401b'!N241,'Retirement Calculator'!A:A,0),0),0)</f>
        <v>20367.195264578786</v>
      </c>
      <c r="K241" s="444">
        <f t="shared" ca="1" si="2"/>
        <v>16209.146680048178</v>
      </c>
      <c r="L241" s="444">
        <f t="shared" ca="1" si="3"/>
        <v>3906404.3498916104</v>
      </c>
      <c r="M241" s="460">
        <f t="shared" si="6"/>
        <v>0.05</v>
      </c>
      <c r="N241" s="464">
        <f t="shared" si="7"/>
        <v>58380</v>
      </c>
    </row>
    <row r="242" spans="7:14" ht="11.25" customHeight="1" x14ac:dyDescent="0.3">
      <c r="G242" s="459">
        <f t="shared" si="24"/>
        <v>20</v>
      </c>
      <c r="H242" s="459">
        <v>235</v>
      </c>
      <c r="I242" s="444">
        <f t="shared" ca="1" si="5"/>
        <v>3906404.3498916104</v>
      </c>
      <c r="J242" s="444">
        <f t="array" ref="J242">IFERROR(INDEX('Retirement Calculator'!K:K,MATCH('Lorri 401b'!N242,'Retirement Calculator'!A:A,0),0),0)</f>
        <v>20367.195264578786</v>
      </c>
      <c r="K242" s="444">
        <f t="shared" ca="1" si="2"/>
        <v>16191.821477612631</v>
      </c>
      <c r="L242" s="444">
        <f t="shared" ca="1" si="3"/>
        <v>3902228.9761046441</v>
      </c>
      <c r="M242" s="460">
        <f t="shared" si="6"/>
        <v>0.05</v>
      </c>
      <c r="N242" s="464">
        <f t="shared" si="7"/>
        <v>58410</v>
      </c>
    </row>
    <row r="243" spans="7:14" ht="11.25" customHeight="1" x14ac:dyDescent="0.3">
      <c r="G243" s="459">
        <f t="shared" si="24"/>
        <v>20</v>
      </c>
      <c r="H243" s="459">
        <v>236</v>
      </c>
      <c r="I243" s="444">
        <f t="shared" ca="1" si="5"/>
        <v>3902228.9761046441</v>
      </c>
      <c r="J243" s="444">
        <f t="array" ref="J243">IFERROR(INDEX('Retirement Calculator'!K:K,MATCH('Lorri 401b'!N243,'Retirement Calculator'!A:A,0),0),0)</f>
        <v>20367.195264578786</v>
      </c>
      <c r="K243" s="444">
        <f t="shared" ca="1" si="2"/>
        <v>16174.424086833606</v>
      </c>
      <c r="L243" s="444">
        <f t="shared" ca="1" si="3"/>
        <v>3898036.2049268987</v>
      </c>
      <c r="M243" s="460">
        <f t="shared" si="6"/>
        <v>0.05</v>
      </c>
      <c r="N243" s="464">
        <f t="shared" si="7"/>
        <v>58441</v>
      </c>
    </row>
    <row r="244" spans="7:14" ht="11.25" customHeight="1" x14ac:dyDescent="0.3">
      <c r="G244" s="459">
        <f t="shared" si="24"/>
        <v>20</v>
      </c>
      <c r="H244" s="459">
        <v>237</v>
      </c>
      <c r="I244" s="444">
        <f t="shared" ca="1" si="5"/>
        <v>3898036.2049268987</v>
      </c>
      <c r="J244" s="444">
        <f t="array" ref="J244">IFERROR(INDEX('Retirement Calculator'!K:K,MATCH('Lorri 401b'!N244,'Retirement Calculator'!A:A,0),0),0)</f>
        <v>20367.195264578786</v>
      </c>
      <c r="K244" s="444">
        <f t="shared" ca="1" si="2"/>
        <v>16156.954206926335</v>
      </c>
      <c r="L244" s="444">
        <f t="shared" ca="1" si="3"/>
        <v>3893825.9638692462</v>
      </c>
      <c r="M244" s="460">
        <f t="shared" si="6"/>
        <v>0.05</v>
      </c>
      <c r="N244" s="464">
        <f t="shared" si="7"/>
        <v>58472</v>
      </c>
    </row>
    <row r="245" spans="7:14" ht="11.25" customHeight="1" x14ac:dyDescent="0.3">
      <c r="G245" s="459">
        <f t="shared" si="24"/>
        <v>20</v>
      </c>
      <c r="H245" s="459">
        <v>238</v>
      </c>
      <c r="I245" s="444">
        <f t="shared" ca="1" si="5"/>
        <v>3893825.9638692462</v>
      </c>
      <c r="J245" s="444">
        <f t="array" ref="J245">IFERROR(INDEX('Retirement Calculator'!K:K,MATCH('Lorri 401b'!N245,'Retirement Calculator'!A:A,0),0),0)</f>
        <v>20367.195264578786</v>
      </c>
      <c r="K245" s="444">
        <f t="shared" ca="1" si="2"/>
        <v>16139.41153585278</v>
      </c>
      <c r="L245" s="444">
        <f t="shared" ca="1" si="3"/>
        <v>3889598.18014052</v>
      </c>
      <c r="M245" s="460">
        <f t="shared" si="6"/>
        <v>0.05</v>
      </c>
      <c r="N245" s="464">
        <f t="shared" si="7"/>
        <v>58501</v>
      </c>
    </row>
    <row r="246" spans="7:14" ht="11.25" customHeight="1" x14ac:dyDescent="0.3">
      <c r="G246" s="459">
        <f t="shared" si="24"/>
        <v>20</v>
      </c>
      <c r="H246" s="459">
        <v>239</v>
      </c>
      <c r="I246" s="444">
        <f t="shared" ca="1" si="5"/>
        <v>3889598.18014052</v>
      </c>
      <c r="J246" s="444">
        <f t="array" ref="J246">IFERROR(INDEX('Retirement Calculator'!K:K,MATCH('Lorri 401b'!N246,'Retirement Calculator'!A:A,0),0),0)</f>
        <v>20367.195264578786</v>
      </c>
      <c r="K246" s="444">
        <f t="shared" ca="1" si="2"/>
        <v>16121.795770316423</v>
      </c>
      <c r="L246" s="444">
        <f t="shared" ca="1" si="3"/>
        <v>3885352.7806462576</v>
      </c>
      <c r="M246" s="460">
        <f t="shared" si="6"/>
        <v>0.05</v>
      </c>
      <c r="N246" s="464">
        <f t="shared" si="7"/>
        <v>58532</v>
      </c>
    </row>
    <row r="247" spans="7:14" ht="11.25" customHeight="1" x14ac:dyDescent="0.3">
      <c r="G247" s="459">
        <f t="shared" si="24"/>
        <v>20</v>
      </c>
      <c r="H247" s="459">
        <v>240</v>
      </c>
      <c r="I247" s="444">
        <f t="shared" ca="1" si="5"/>
        <v>3885352.7806462576</v>
      </c>
      <c r="J247" s="444">
        <f t="array" ref="J247">IFERROR(INDEX('Retirement Calculator'!K:K,MATCH('Lorri 401b'!N247,'Retirement Calculator'!A:A,0),0),0)</f>
        <v>20367.195264578786</v>
      </c>
      <c r="K247" s="444">
        <f t="shared" ca="1" si="2"/>
        <v>16104.106605756993</v>
      </c>
      <c r="L247" s="444">
        <f t="shared" ca="1" si="3"/>
        <v>3881089.6919874358</v>
      </c>
      <c r="M247" s="460">
        <f t="shared" si="6"/>
        <v>0.05</v>
      </c>
      <c r="N247" s="464">
        <f t="shared" si="7"/>
        <v>58562</v>
      </c>
    </row>
    <row r="248" spans="7:14" ht="11.25" customHeight="1" x14ac:dyDescent="0.3">
      <c r="G248" s="459">
        <f>G247+1</f>
        <v>21</v>
      </c>
      <c r="H248" s="459">
        <v>241</v>
      </c>
      <c r="I248" s="444">
        <f t="shared" ca="1" si="5"/>
        <v>3881089.6919874358</v>
      </c>
      <c r="J248" s="444">
        <f t="array" ref="J248">IFERROR(INDEX('Retirement Calculator'!K:K,MATCH('Lorri 401b'!N248,'Retirement Calculator'!A:A,0),0),0)</f>
        <v>20367.195264578786</v>
      </c>
      <c r="K248" s="444">
        <f t="shared" ca="1" si="2"/>
        <v>16086.343736345236</v>
      </c>
      <c r="L248" s="444">
        <f t="shared" ca="1" si="3"/>
        <v>3876808.8404592024</v>
      </c>
      <c r="M248" s="460">
        <f t="shared" si="6"/>
        <v>0.05</v>
      </c>
      <c r="N248" s="464">
        <f t="shared" si="7"/>
        <v>58593</v>
      </c>
    </row>
    <row r="249" spans="7:14" ht="11.25" customHeight="1" x14ac:dyDescent="0.3">
      <c r="G249" s="459">
        <f t="shared" ref="G249:G259" si="25">G248</f>
        <v>21</v>
      </c>
      <c r="H249" s="459">
        <v>242</v>
      </c>
      <c r="I249" s="444">
        <f t="shared" ca="1" si="5"/>
        <v>3876808.8404592024</v>
      </c>
      <c r="J249" s="444">
        <f t="array" ref="J249">IFERROR(INDEX('Retirement Calculator'!K:K,MATCH('Lorri 401b'!N249,'Retirement Calculator'!A:A,0),0),0)</f>
        <v>20367.195264578786</v>
      </c>
      <c r="K249" s="444">
        <f t="shared" ca="1" si="2"/>
        <v>16068.506854977599</v>
      </c>
      <c r="L249" s="444">
        <f t="shared" ca="1" si="3"/>
        <v>3872510.1520496011</v>
      </c>
      <c r="M249" s="460">
        <f t="shared" si="6"/>
        <v>0.05</v>
      </c>
      <c r="N249" s="464">
        <f t="shared" si="7"/>
        <v>58623</v>
      </c>
    </row>
    <row r="250" spans="7:14" ht="11.25" customHeight="1" x14ac:dyDescent="0.3">
      <c r="G250" s="459">
        <f t="shared" si="25"/>
        <v>21</v>
      </c>
      <c r="H250" s="459">
        <v>243</v>
      </c>
      <c r="I250" s="444">
        <f t="shared" ca="1" si="5"/>
        <v>3872510.1520496011</v>
      </c>
      <c r="J250" s="444">
        <f t="array" ref="J250">IFERROR(INDEX('Retirement Calculator'!K:K,MATCH('Lorri 401b'!N250,'Retirement Calculator'!A:A,0),0),0)</f>
        <v>20367.195264578786</v>
      </c>
      <c r="K250" s="444">
        <f t="shared" ca="1" si="2"/>
        <v>16050.595653270928</v>
      </c>
      <c r="L250" s="444">
        <f t="shared" ca="1" si="3"/>
        <v>3868193.5524382931</v>
      </c>
      <c r="M250" s="460">
        <f t="shared" si="6"/>
        <v>0.05</v>
      </c>
      <c r="N250" s="464">
        <f t="shared" si="7"/>
        <v>58654</v>
      </c>
    </row>
    <row r="251" spans="7:14" ht="11.25" customHeight="1" x14ac:dyDescent="0.3">
      <c r="G251" s="459">
        <f t="shared" si="25"/>
        <v>21</v>
      </c>
      <c r="H251" s="459">
        <v>244</v>
      </c>
      <c r="I251" s="444">
        <f t="shared" ca="1" si="5"/>
        <v>3868193.5524382931</v>
      </c>
      <c r="J251" s="444">
        <f t="array" ref="J251">IFERROR(INDEX('Retirement Calculator'!K:K,MATCH('Lorri 401b'!N251,'Retirement Calculator'!A:A,0),0),0)</f>
        <v>20367.195264578786</v>
      </c>
      <c r="K251" s="444">
        <f t="shared" ca="1" si="2"/>
        <v>16032.609821557142</v>
      </c>
      <c r="L251" s="444">
        <f t="shared" ca="1" si="3"/>
        <v>3863858.9669952714</v>
      </c>
      <c r="M251" s="460">
        <f t="shared" si="6"/>
        <v>0.05</v>
      </c>
      <c r="N251" s="464">
        <f t="shared" si="7"/>
        <v>58685</v>
      </c>
    </row>
    <row r="252" spans="7:14" ht="11.25" customHeight="1" x14ac:dyDescent="0.3">
      <c r="G252" s="459">
        <f t="shared" si="25"/>
        <v>21</v>
      </c>
      <c r="H252" s="459">
        <v>245</v>
      </c>
      <c r="I252" s="444">
        <f t="shared" ca="1" si="5"/>
        <v>3863858.9669952714</v>
      </c>
      <c r="J252" s="444">
        <f t="array" ref="J252">IFERROR(INDEX('Retirement Calculator'!K:K,MATCH('Lorri 401b'!N252,'Retirement Calculator'!A:A,0),0),0)</f>
        <v>20367.195264578786</v>
      </c>
      <c r="K252" s="444">
        <f t="shared" ca="1" si="2"/>
        <v>16014.549048877887</v>
      </c>
      <c r="L252" s="444">
        <f t="shared" ca="1" si="3"/>
        <v>3859506.3207795704</v>
      </c>
      <c r="M252" s="460">
        <f t="shared" si="6"/>
        <v>0.05</v>
      </c>
      <c r="N252" s="464">
        <f t="shared" si="7"/>
        <v>58715</v>
      </c>
    </row>
    <row r="253" spans="7:14" ht="11.25" customHeight="1" x14ac:dyDescent="0.3">
      <c r="G253" s="459">
        <f t="shared" si="25"/>
        <v>21</v>
      </c>
      <c r="H253" s="459">
        <v>246</v>
      </c>
      <c r="I253" s="444">
        <f t="shared" ca="1" si="5"/>
        <v>3859506.3207795704</v>
      </c>
      <c r="J253" s="444">
        <f t="array" ref="J253">IFERROR(INDEX('Retirement Calculator'!K:K,MATCH('Lorri 401b'!N253,'Retirement Calculator'!A:A,0),0),0)</f>
        <v>20367.195264578786</v>
      </c>
      <c r="K253" s="444">
        <f t="shared" ca="1" si="2"/>
        <v>15996.413022979132</v>
      </c>
      <c r="L253" s="444">
        <f t="shared" ca="1" si="3"/>
        <v>3855135.5385379707</v>
      </c>
      <c r="M253" s="460">
        <f t="shared" si="6"/>
        <v>0.05</v>
      </c>
      <c r="N253" s="464">
        <f t="shared" si="7"/>
        <v>58746</v>
      </c>
    </row>
    <row r="254" spans="7:14" ht="11.25" customHeight="1" x14ac:dyDescent="0.3">
      <c r="G254" s="459">
        <f t="shared" si="25"/>
        <v>21</v>
      </c>
      <c r="H254" s="459">
        <v>247</v>
      </c>
      <c r="I254" s="444">
        <f t="shared" ca="1" si="5"/>
        <v>3855135.5385379707</v>
      </c>
      <c r="J254" s="444">
        <f t="array" ref="J254">IFERROR(INDEX('Retirement Calculator'!K:K,MATCH('Lorri 401b'!N254,'Retirement Calculator'!A:A,0),0),0)</f>
        <v>20367.195264578786</v>
      </c>
      <c r="K254" s="444">
        <f t="shared" ca="1" si="2"/>
        <v>15978.2014303058</v>
      </c>
      <c r="L254" s="444">
        <f t="shared" ca="1" si="3"/>
        <v>3850746.5447036978</v>
      </c>
      <c r="M254" s="460">
        <f t="shared" si="6"/>
        <v>0.05</v>
      </c>
      <c r="N254" s="464">
        <f t="shared" si="7"/>
        <v>58776</v>
      </c>
    </row>
    <row r="255" spans="7:14" ht="11.25" customHeight="1" x14ac:dyDescent="0.3">
      <c r="G255" s="459">
        <f t="shared" si="25"/>
        <v>21</v>
      </c>
      <c r="H255" s="459">
        <v>248</v>
      </c>
      <c r="I255" s="444">
        <f t="shared" ca="1" si="5"/>
        <v>3850746.5447036978</v>
      </c>
      <c r="J255" s="444">
        <f t="array" ref="J255">IFERROR(INDEX('Retirement Calculator'!K:K,MATCH('Lorri 401b'!N255,'Retirement Calculator'!A:A,0),0),0)</f>
        <v>20367.195264578786</v>
      </c>
      <c r="K255" s="444">
        <f t="shared" ca="1" si="2"/>
        <v>15959.91395599633</v>
      </c>
      <c r="L255" s="444">
        <f t="shared" ca="1" si="3"/>
        <v>3846339.2633951153</v>
      </c>
      <c r="M255" s="460">
        <f t="shared" si="6"/>
        <v>0.05</v>
      </c>
      <c r="N255" s="464">
        <f t="shared" si="7"/>
        <v>58807</v>
      </c>
    </row>
    <row r="256" spans="7:14" ht="11.25" customHeight="1" x14ac:dyDescent="0.3">
      <c r="G256" s="459">
        <f t="shared" si="25"/>
        <v>21</v>
      </c>
      <c r="H256" s="459">
        <v>249</v>
      </c>
      <c r="I256" s="444">
        <f t="shared" ca="1" si="5"/>
        <v>3846339.2633951153</v>
      </c>
      <c r="J256" s="444">
        <f t="array" ref="J256">IFERROR(INDEX('Retirement Calculator'!K:K,MATCH('Lorri 401b'!N256,'Retirement Calculator'!A:A,0),0),0)</f>
        <v>20367.195264578786</v>
      </c>
      <c r="K256" s="444">
        <f t="shared" ca="1" si="2"/>
        <v>15941.550283877235</v>
      </c>
      <c r="L256" s="444">
        <f t="shared" ca="1" si="3"/>
        <v>3841913.6184144136</v>
      </c>
      <c r="M256" s="460">
        <f t="shared" si="6"/>
        <v>0.05</v>
      </c>
      <c r="N256" s="464">
        <f t="shared" si="7"/>
        <v>58838</v>
      </c>
    </row>
    <row r="257" spans="7:14" ht="11.25" customHeight="1" x14ac:dyDescent="0.3">
      <c r="G257" s="459">
        <f t="shared" si="25"/>
        <v>21</v>
      </c>
      <c r="H257" s="459">
        <v>250</v>
      </c>
      <c r="I257" s="444">
        <f t="shared" ca="1" si="5"/>
        <v>3841913.6184144136</v>
      </c>
      <c r="J257" s="444">
        <f t="array" ref="J257">IFERROR(INDEX('Retirement Calculator'!K:K,MATCH('Lorri 401b'!N257,'Retirement Calculator'!A:A,0),0),0)</f>
        <v>20367.195264578786</v>
      </c>
      <c r="K257" s="444">
        <f t="shared" ca="1" si="2"/>
        <v>15923.110096457645</v>
      </c>
      <c r="L257" s="444">
        <f t="shared" ca="1" si="3"/>
        <v>3837469.5332462923</v>
      </c>
      <c r="M257" s="460">
        <f t="shared" si="6"/>
        <v>0.05</v>
      </c>
      <c r="N257" s="464">
        <f t="shared" si="7"/>
        <v>58866</v>
      </c>
    </row>
    <row r="258" spans="7:14" ht="11.25" customHeight="1" x14ac:dyDescent="0.3">
      <c r="G258" s="459">
        <f t="shared" si="25"/>
        <v>21</v>
      </c>
      <c r="H258" s="459">
        <v>251</v>
      </c>
      <c r="I258" s="444">
        <f t="shared" ca="1" si="5"/>
        <v>3837469.5332462923</v>
      </c>
      <c r="J258" s="444">
        <f t="array" ref="J258">IFERROR(INDEX('Retirement Calculator'!K:K,MATCH('Lorri 401b'!N258,'Retirement Calculator'!A:A,0),0),0)</f>
        <v>20367.195264578786</v>
      </c>
      <c r="K258" s="444">
        <f t="shared" ca="1" si="2"/>
        <v>15904.593074923805</v>
      </c>
      <c r="L258" s="444">
        <f t="shared" ca="1" si="3"/>
        <v>3833006.9310566373</v>
      </c>
      <c r="M258" s="460">
        <f t="shared" si="6"/>
        <v>0.05</v>
      </c>
      <c r="N258" s="464">
        <f t="shared" si="7"/>
        <v>58897</v>
      </c>
    </row>
    <row r="259" spans="7:14" ht="11.25" customHeight="1" x14ac:dyDescent="0.3">
      <c r="G259" s="459">
        <f t="shared" si="25"/>
        <v>21</v>
      </c>
      <c r="H259" s="459">
        <v>252</v>
      </c>
      <c r="I259" s="444">
        <f t="shared" ca="1" si="5"/>
        <v>3833006.9310566373</v>
      </c>
      <c r="J259" s="444">
        <f t="array" ref="J259">IFERROR(INDEX('Retirement Calculator'!K:K,MATCH('Lorri 401b'!N259,'Retirement Calculator'!A:A,0),0),0)</f>
        <v>20367.195264578786</v>
      </c>
      <c r="K259" s="444">
        <f t="shared" ca="1" si="2"/>
        <v>15885.998899133578</v>
      </c>
      <c r="L259" s="444">
        <f t="shared" ca="1" si="3"/>
        <v>3828525.7346911919</v>
      </c>
      <c r="M259" s="460">
        <f t="shared" si="6"/>
        <v>0.05</v>
      </c>
      <c r="N259" s="464">
        <f t="shared" si="7"/>
        <v>58927</v>
      </c>
    </row>
    <row r="260" spans="7:14" ht="11.25" customHeight="1" x14ac:dyDescent="0.3">
      <c r="G260" s="459">
        <f>G259+1</f>
        <v>22</v>
      </c>
      <c r="H260" s="459">
        <v>253</v>
      </c>
      <c r="I260" s="444">
        <f t="shared" ca="1" si="5"/>
        <v>3828525.7346911919</v>
      </c>
      <c r="J260" s="444">
        <f t="array" ref="J260">IFERROR(INDEX('Retirement Calculator'!K:K,MATCH('Lorri 401b'!N260,'Retirement Calculator'!A:A,0),0),0)</f>
        <v>20367.195264578786</v>
      </c>
      <c r="K260" s="444">
        <f t="shared" ca="1" si="2"/>
        <v>15867.327247610889</v>
      </c>
      <c r="L260" s="444">
        <f t="shared" ca="1" si="3"/>
        <v>3824025.8666742239</v>
      </c>
      <c r="M260" s="460">
        <f t="shared" si="6"/>
        <v>0.05</v>
      </c>
      <c r="N260" s="464">
        <f t="shared" si="7"/>
        <v>58958</v>
      </c>
    </row>
    <row r="261" spans="7:14" ht="11.25" customHeight="1" x14ac:dyDescent="0.3">
      <c r="G261" s="459">
        <f t="shared" ref="G261:G271" si="26">G260</f>
        <v>22</v>
      </c>
      <c r="H261" s="459">
        <v>254</v>
      </c>
      <c r="I261" s="444">
        <f t="shared" ca="1" si="5"/>
        <v>3824025.8666742239</v>
      </c>
      <c r="J261" s="444">
        <f t="array" ref="J261">IFERROR(INDEX('Retirement Calculator'!K:K,MATCH('Lorri 401b'!N261,'Retirement Calculator'!A:A,0),0),0)</f>
        <v>20367.195264578786</v>
      </c>
      <c r="K261" s="444">
        <f t="shared" ca="1" si="2"/>
        <v>15848.577797540187</v>
      </c>
      <c r="L261" s="444">
        <f t="shared" ca="1" si="3"/>
        <v>3819507.2492071851</v>
      </c>
      <c r="M261" s="460">
        <f t="shared" si="6"/>
        <v>0.05</v>
      </c>
      <c r="N261" s="464">
        <f t="shared" si="7"/>
        <v>58988</v>
      </c>
    </row>
    <row r="262" spans="7:14" ht="11.25" customHeight="1" x14ac:dyDescent="0.3">
      <c r="G262" s="459">
        <f t="shared" si="26"/>
        <v>22</v>
      </c>
      <c r="H262" s="459">
        <v>255</v>
      </c>
      <c r="I262" s="444">
        <f t="shared" ca="1" si="5"/>
        <v>3819507.2492071851</v>
      </c>
      <c r="J262" s="444">
        <f t="array" ref="J262">IFERROR(INDEX('Retirement Calculator'!K:K,MATCH('Lorri 401b'!N262,'Retirement Calculator'!A:A,0),0),0)</f>
        <v>20367.195264578786</v>
      </c>
      <c r="K262" s="444">
        <f t="shared" ca="1" si="2"/>
        <v>15829.750224760857</v>
      </c>
      <c r="L262" s="444">
        <f t="shared" ca="1" si="3"/>
        <v>3814969.8041673671</v>
      </c>
      <c r="M262" s="460">
        <f t="shared" si="6"/>
        <v>0.05</v>
      </c>
      <c r="N262" s="464">
        <f t="shared" si="7"/>
        <v>59019</v>
      </c>
    </row>
    <row r="263" spans="7:14" ht="11.25" customHeight="1" x14ac:dyDescent="0.3">
      <c r="G263" s="459">
        <f t="shared" si="26"/>
        <v>22</v>
      </c>
      <c r="H263" s="459">
        <v>256</v>
      </c>
      <c r="I263" s="444">
        <f t="shared" ca="1" si="5"/>
        <v>3814969.8041673671</v>
      </c>
      <c r="J263" s="444">
        <f t="array" ref="J263">IFERROR(INDEX('Retirement Calculator'!K:K,MATCH('Lorri 401b'!N263,'Retirement Calculator'!A:A,0),0),0)</f>
        <v>20367.195264578786</v>
      </c>
      <c r="K263" s="444">
        <f t="shared" ref="K263:K517" ca="1" si="27">IPMT(M263/12,1,12,-I263+J263,,0)</f>
        <v>15810.844203761617</v>
      </c>
      <c r="L263" s="444">
        <f t="shared" ref="L263:L517" ca="1" si="28">I263-J263+K263</f>
        <v>3810413.45310655</v>
      </c>
      <c r="M263" s="460">
        <f t="shared" si="6"/>
        <v>0.05</v>
      </c>
      <c r="N263" s="464">
        <f t="shared" si="7"/>
        <v>59050</v>
      </c>
    </row>
    <row r="264" spans="7:14" ht="11.25" customHeight="1" x14ac:dyDescent="0.3">
      <c r="G264" s="459">
        <f t="shared" si="26"/>
        <v>22</v>
      </c>
      <c r="H264" s="459">
        <v>257</v>
      </c>
      <c r="I264" s="444">
        <f t="shared" ref="I264:I518" ca="1" si="29">L263</f>
        <v>3810413.45310655</v>
      </c>
      <c r="J264" s="444">
        <f t="array" ref="J264">IFERROR(INDEX('Retirement Calculator'!K:K,MATCH('Lorri 401b'!N264,'Retirement Calculator'!A:A,0),0),0)</f>
        <v>20367.195264578786</v>
      </c>
      <c r="K264" s="444">
        <f t="shared" ca="1" si="27"/>
        <v>15791.859407674878</v>
      </c>
      <c r="L264" s="444">
        <f t="shared" ca="1" si="28"/>
        <v>3805838.1172496462</v>
      </c>
      <c r="M264" s="460">
        <f t="shared" ref="M264:M518" si="30">M263</f>
        <v>0.05</v>
      </c>
      <c r="N264" s="464">
        <f t="shared" ref="N264:N518" si="31">EDATE(N263,1)</f>
        <v>59080</v>
      </c>
    </row>
    <row r="265" spans="7:14" ht="11.25" customHeight="1" x14ac:dyDescent="0.3">
      <c r="G265" s="459">
        <f t="shared" si="26"/>
        <v>22</v>
      </c>
      <c r="H265" s="459">
        <v>258</v>
      </c>
      <c r="I265" s="444">
        <f t="shared" ca="1" si="29"/>
        <v>3805838.1172496462</v>
      </c>
      <c r="J265" s="444">
        <f t="array" ref="J265">IFERROR(INDEX('Retirement Calculator'!K:K,MATCH('Lorri 401b'!N265,'Retirement Calculator'!A:A,0),0),0)</f>
        <v>20367.195264578786</v>
      </c>
      <c r="K265" s="444">
        <f t="shared" ca="1" si="27"/>
        <v>15772.795508271114</v>
      </c>
      <c r="L265" s="444">
        <f t="shared" ca="1" si="28"/>
        <v>3801243.7174933385</v>
      </c>
      <c r="M265" s="460">
        <f t="shared" si="30"/>
        <v>0.05</v>
      </c>
      <c r="N265" s="464">
        <f t="shared" si="31"/>
        <v>59111</v>
      </c>
    </row>
    <row r="266" spans="7:14" ht="11.25" customHeight="1" x14ac:dyDescent="0.3">
      <c r="G266" s="459">
        <f t="shared" si="26"/>
        <v>22</v>
      </c>
      <c r="H266" s="459">
        <v>259</v>
      </c>
      <c r="I266" s="444">
        <f t="shared" ca="1" si="29"/>
        <v>3801243.7174933385</v>
      </c>
      <c r="J266" s="444">
        <f t="array" ref="J266">IFERROR(INDEX('Retirement Calculator'!K:K,MATCH('Lorri 401b'!N266,'Retirement Calculator'!A:A,0),0),0)</f>
        <v>20367.195264578786</v>
      </c>
      <c r="K266" s="444">
        <f t="shared" ca="1" si="27"/>
        <v>15753.652175953166</v>
      </c>
      <c r="L266" s="444">
        <f t="shared" ca="1" si="28"/>
        <v>3796630.1744047129</v>
      </c>
      <c r="M266" s="460">
        <f t="shared" si="30"/>
        <v>0.05</v>
      </c>
      <c r="N266" s="464">
        <f t="shared" si="31"/>
        <v>59141</v>
      </c>
    </row>
    <row r="267" spans="7:14" ht="11.25" customHeight="1" x14ac:dyDescent="0.3">
      <c r="G267" s="459">
        <f t="shared" si="26"/>
        <v>22</v>
      </c>
      <c r="H267" s="459">
        <v>260</v>
      </c>
      <c r="I267" s="444">
        <f t="shared" ca="1" si="29"/>
        <v>3796630.1744047129</v>
      </c>
      <c r="J267" s="444">
        <f t="array" ref="J267">IFERROR(INDEX('Retirement Calculator'!K:K,MATCH('Lorri 401b'!N267,'Retirement Calculator'!A:A,0),0),0)</f>
        <v>20367.195264578786</v>
      </c>
      <c r="K267" s="444">
        <f t="shared" ca="1" si="27"/>
        <v>15734.429079750558</v>
      </c>
      <c r="L267" s="444">
        <f t="shared" ca="1" si="28"/>
        <v>3791997.4082198846</v>
      </c>
      <c r="M267" s="460">
        <f t="shared" si="30"/>
        <v>0.05</v>
      </c>
      <c r="N267" s="464">
        <f t="shared" si="31"/>
        <v>59172</v>
      </c>
    </row>
    <row r="268" spans="7:14" ht="11.25" customHeight="1" x14ac:dyDescent="0.3">
      <c r="G268" s="459">
        <f t="shared" si="26"/>
        <v>22</v>
      </c>
      <c r="H268" s="459">
        <v>261</v>
      </c>
      <c r="I268" s="444">
        <f t="shared" ca="1" si="29"/>
        <v>3791997.4082198846</v>
      </c>
      <c r="J268" s="444">
        <f t="array" ref="J268">IFERROR(INDEX('Retirement Calculator'!K:K,MATCH('Lorri 401b'!N268,'Retirement Calculator'!A:A,0),0),0)</f>
        <v>20367.195264578786</v>
      </c>
      <c r="K268" s="444">
        <f t="shared" ca="1" si="27"/>
        <v>15715.125887313776</v>
      </c>
      <c r="L268" s="444">
        <f t="shared" ca="1" si="28"/>
        <v>3787345.3388426197</v>
      </c>
      <c r="M268" s="460">
        <f t="shared" si="30"/>
        <v>0.05</v>
      </c>
      <c r="N268" s="464">
        <f t="shared" si="31"/>
        <v>59203</v>
      </c>
    </row>
    <row r="269" spans="7:14" ht="11.25" customHeight="1" x14ac:dyDescent="0.3">
      <c r="G269" s="459">
        <f t="shared" si="26"/>
        <v>22</v>
      </c>
      <c r="H269" s="459">
        <v>262</v>
      </c>
      <c r="I269" s="444">
        <f t="shared" ca="1" si="29"/>
        <v>3787345.3388426197</v>
      </c>
      <c r="J269" s="444">
        <f t="array" ref="J269">IFERROR(INDEX('Retirement Calculator'!K:K,MATCH('Lorri 401b'!N269,'Retirement Calculator'!A:A,0),0),0)</f>
        <v>20367.195264578786</v>
      </c>
      <c r="K269" s="444">
        <f t="shared" ca="1" si="27"/>
        <v>15695.742264908502</v>
      </c>
      <c r="L269" s="444">
        <f t="shared" ca="1" si="28"/>
        <v>3782673.8858429492</v>
      </c>
      <c r="M269" s="460">
        <f t="shared" si="30"/>
        <v>0.05</v>
      </c>
      <c r="N269" s="464">
        <f t="shared" si="31"/>
        <v>59231</v>
      </c>
    </row>
    <row r="270" spans="7:14" ht="11.25" customHeight="1" x14ac:dyDescent="0.3">
      <c r="G270" s="459">
        <f t="shared" si="26"/>
        <v>22</v>
      </c>
      <c r="H270" s="459">
        <v>263</v>
      </c>
      <c r="I270" s="444">
        <f t="shared" ca="1" si="29"/>
        <v>3782673.8858429492</v>
      </c>
      <c r="J270" s="444">
        <f t="array" ref="J270">IFERROR(INDEX('Retirement Calculator'!K:K,MATCH('Lorri 401b'!N270,'Retirement Calculator'!A:A,0),0),0)</f>
        <v>20367.195264578786</v>
      </c>
      <c r="K270" s="444">
        <f t="shared" ca="1" si="27"/>
        <v>15676.277877409877</v>
      </c>
      <c r="L270" s="444">
        <f t="shared" ca="1" si="28"/>
        <v>3777982.9684557803</v>
      </c>
      <c r="M270" s="460">
        <f t="shared" si="30"/>
        <v>0.05</v>
      </c>
      <c r="N270" s="464">
        <f t="shared" si="31"/>
        <v>59262</v>
      </c>
    </row>
    <row r="271" spans="7:14" ht="11.25" customHeight="1" x14ac:dyDescent="0.3">
      <c r="G271" s="459">
        <f t="shared" si="26"/>
        <v>22</v>
      </c>
      <c r="H271" s="459">
        <v>264</v>
      </c>
      <c r="I271" s="444">
        <f t="shared" ca="1" si="29"/>
        <v>3777982.9684557803</v>
      </c>
      <c r="J271" s="444">
        <f t="array" ref="J271">IFERROR(INDEX('Retirement Calculator'!K:K,MATCH('Lorri 401b'!N271,'Retirement Calculator'!A:A,0),0),0)</f>
        <v>20367.195264578786</v>
      </c>
      <c r="K271" s="444">
        <f t="shared" ca="1" si="27"/>
        <v>15656.73238829667</v>
      </c>
      <c r="L271" s="444">
        <f t="shared" ca="1" si="28"/>
        <v>3773272.5055794981</v>
      </c>
      <c r="M271" s="460">
        <f t="shared" si="30"/>
        <v>0.05</v>
      </c>
      <c r="N271" s="464">
        <f t="shared" si="31"/>
        <v>59292</v>
      </c>
    </row>
    <row r="272" spans="7:14" ht="11.25" customHeight="1" x14ac:dyDescent="0.3">
      <c r="G272" s="459">
        <f>G271+1</f>
        <v>23</v>
      </c>
      <c r="H272" s="459">
        <v>265</v>
      </c>
      <c r="I272" s="444">
        <f t="shared" ca="1" si="29"/>
        <v>3773272.5055794981</v>
      </c>
      <c r="J272" s="444">
        <f t="array" ref="J272">IFERROR(INDEX('Retirement Calculator'!K:K,MATCH('Lorri 401b'!N272,'Retirement Calculator'!A:A,0),0),0)</f>
        <v>20367.195264578786</v>
      </c>
      <c r="K272" s="444">
        <f t="shared" ca="1" si="27"/>
        <v>15637.105459645498</v>
      </c>
      <c r="L272" s="444">
        <f t="shared" ca="1" si="28"/>
        <v>3768542.4157745647</v>
      </c>
      <c r="M272" s="460">
        <f t="shared" si="30"/>
        <v>0.05</v>
      </c>
      <c r="N272" s="464">
        <f t="shared" si="31"/>
        <v>59323</v>
      </c>
    </row>
    <row r="273" spans="7:14" ht="11.25" customHeight="1" x14ac:dyDescent="0.3">
      <c r="G273" s="459">
        <f t="shared" ref="G273:G283" si="32">G272</f>
        <v>23</v>
      </c>
      <c r="H273" s="459">
        <v>266</v>
      </c>
      <c r="I273" s="444">
        <f t="shared" ca="1" si="29"/>
        <v>3768542.4157745647</v>
      </c>
      <c r="J273" s="444">
        <f t="array" ref="J273">IFERROR(INDEX('Retirement Calculator'!K:K,MATCH('Lorri 401b'!N273,'Retirement Calculator'!A:A,0),0),0)</f>
        <v>20367.195264578786</v>
      </c>
      <c r="K273" s="444">
        <f t="shared" ca="1" si="27"/>
        <v>15617.39675212494</v>
      </c>
      <c r="L273" s="444">
        <f t="shared" ca="1" si="28"/>
        <v>3763792.617262111</v>
      </c>
      <c r="M273" s="460">
        <f t="shared" si="30"/>
        <v>0.05</v>
      </c>
      <c r="N273" s="464">
        <f t="shared" si="31"/>
        <v>59353</v>
      </c>
    </row>
    <row r="274" spans="7:14" ht="11.25" customHeight="1" x14ac:dyDescent="0.3">
      <c r="G274" s="459">
        <f t="shared" si="32"/>
        <v>23</v>
      </c>
      <c r="H274" s="459">
        <v>267</v>
      </c>
      <c r="I274" s="444">
        <f t="shared" ca="1" si="29"/>
        <v>3763792.617262111</v>
      </c>
      <c r="J274" s="444">
        <f t="array" ref="J274">IFERROR(INDEX('Retirement Calculator'!K:K,MATCH('Lorri 401b'!N274,'Retirement Calculator'!A:A,0),0),0)</f>
        <v>20367.195264578786</v>
      </c>
      <c r="K274" s="444">
        <f t="shared" ca="1" si="27"/>
        <v>15597.605924989715</v>
      </c>
      <c r="L274" s="444">
        <f t="shared" ca="1" si="28"/>
        <v>3759023.0279225218</v>
      </c>
      <c r="M274" s="460">
        <f t="shared" si="30"/>
        <v>0.05</v>
      </c>
      <c r="N274" s="464">
        <f t="shared" si="31"/>
        <v>59384</v>
      </c>
    </row>
    <row r="275" spans="7:14" ht="11.25" customHeight="1" x14ac:dyDescent="0.3">
      <c r="G275" s="459">
        <f t="shared" si="32"/>
        <v>23</v>
      </c>
      <c r="H275" s="459">
        <v>268</v>
      </c>
      <c r="I275" s="444">
        <f t="shared" ca="1" si="29"/>
        <v>3759023.0279225218</v>
      </c>
      <c r="J275" s="444">
        <f t="array" ref="J275">IFERROR(INDEX('Retirement Calculator'!K:K,MATCH('Lorri 401b'!N275,'Retirement Calculator'!A:A,0),0),0)</f>
        <v>20367.195264578786</v>
      </c>
      <c r="K275" s="444">
        <f t="shared" ca="1" si="27"/>
        <v>15577.732636074763</v>
      </c>
      <c r="L275" s="444">
        <f t="shared" ca="1" si="28"/>
        <v>3754233.5652940175</v>
      </c>
      <c r="M275" s="460">
        <f t="shared" si="30"/>
        <v>0.05</v>
      </c>
      <c r="N275" s="464">
        <f t="shared" si="31"/>
        <v>59415</v>
      </c>
    </row>
    <row r="276" spans="7:14" ht="11.25" customHeight="1" x14ac:dyDescent="0.3">
      <c r="G276" s="459">
        <f t="shared" si="32"/>
        <v>23</v>
      </c>
      <c r="H276" s="459">
        <v>269</v>
      </c>
      <c r="I276" s="444">
        <f t="shared" ca="1" si="29"/>
        <v>3754233.5652940175</v>
      </c>
      <c r="J276" s="444">
        <f t="array" ref="J276">IFERROR(INDEX('Retirement Calculator'!K:K,MATCH('Lorri 401b'!N276,'Retirement Calculator'!A:A,0),0),0)</f>
        <v>20367.195264578786</v>
      </c>
      <c r="K276" s="444">
        <f t="shared" ca="1" si="27"/>
        <v>15557.776541789328</v>
      </c>
      <c r="L276" s="444">
        <f t="shared" ca="1" si="28"/>
        <v>3749424.1465712283</v>
      </c>
      <c r="M276" s="460">
        <f t="shared" si="30"/>
        <v>0.05</v>
      </c>
      <c r="N276" s="464">
        <f t="shared" si="31"/>
        <v>59445</v>
      </c>
    </row>
    <row r="277" spans="7:14" ht="11.25" customHeight="1" x14ac:dyDescent="0.3">
      <c r="G277" s="459">
        <f t="shared" si="32"/>
        <v>23</v>
      </c>
      <c r="H277" s="459">
        <v>270</v>
      </c>
      <c r="I277" s="444">
        <f t="shared" ca="1" si="29"/>
        <v>3749424.1465712283</v>
      </c>
      <c r="J277" s="444">
        <f t="array" ref="J277">IFERROR(INDEX('Retirement Calculator'!K:K,MATCH('Lorri 401b'!N277,'Retirement Calculator'!A:A,0),0),0)</f>
        <v>20367.195264578786</v>
      </c>
      <c r="K277" s="444">
        <f t="shared" ca="1" si="27"/>
        <v>15537.73729711104</v>
      </c>
      <c r="L277" s="444">
        <f t="shared" ca="1" si="28"/>
        <v>3744594.6886037607</v>
      </c>
      <c r="M277" s="460">
        <f t="shared" si="30"/>
        <v>0.05</v>
      </c>
      <c r="N277" s="464">
        <f t="shared" si="31"/>
        <v>59476</v>
      </c>
    </row>
    <row r="278" spans="7:14" ht="11.25" customHeight="1" x14ac:dyDescent="0.3">
      <c r="G278" s="459">
        <f t="shared" si="32"/>
        <v>23</v>
      </c>
      <c r="H278" s="459">
        <v>271</v>
      </c>
      <c r="I278" s="444">
        <f t="shared" ca="1" si="29"/>
        <v>3744594.6886037607</v>
      </c>
      <c r="J278" s="444">
        <f t="array" ref="J278">IFERROR(INDEX('Retirement Calculator'!K:K,MATCH('Lorri 401b'!N278,'Retirement Calculator'!A:A,0),0),0)</f>
        <v>20367.195264578786</v>
      </c>
      <c r="K278" s="444">
        <f t="shared" ca="1" si="27"/>
        <v>15517.614555579925</v>
      </c>
      <c r="L278" s="444">
        <f t="shared" ca="1" si="28"/>
        <v>3739745.107894762</v>
      </c>
      <c r="M278" s="460">
        <f t="shared" si="30"/>
        <v>0.05</v>
      </c>
      <c r="N278" s="464">
        <f t="shared" si="31"/>
        <v>59506</v>
      </c>
    </row>
    <row r="279" spans="7:14" ht="11.25" customHeight="1" x14ac:dyDescent="0.3">
      <c r="G279" s="459">
        <f t="shared" si="32"/>
        <v>23</v>
      </c>
      <c r="H279" s="459">
        <v>272</v>
      </c>
      <c r="I279" s="444">
        <f t="shared" ca="1" si="29"/>
        <v>3739745.107894762</v>
      </c>
      <c r="J279" s="444">
        <f t="array" ref="J279">IFERROR(INDEX('Retirement Calculator'!K:K,MATCH('Lorri 401b'!N279,'Retirement Calculator'!A:A,0),0),0)</f>
        <v>20367.195264578786</v>
      </c>
      <c r="K279" s="444">
        <f t="shared" ca="1" si="27"/>
        <v>15497.40796929243</v>
      </c>
      <c r="L279" s="444">
        <f t="shared" ca="1" si="28"/>
        <v>3734875.3205994754</v>
      </c>
      <c r="M279" s="460">
        <f t="shared" si="30"/>
        <v>0.05</v>
      </c>
      <c r="N279" s="464">
        <f t="shared" si="31"/>
        <v>59537</v>
      </c>
    </row>
    <row r="280" spans="7:14" ht="11.25" customHeight="1" x14ac:dyDescent="0.3">
      <c r="G280" s="459">
        <f t="shared" si="32"/>
        <v>23</v>
      </c>
      <c r="H280" s="459">
        <v>273</v>
      </c>
      <c r="I280" s="444">
        <f t="shared" ca="1" si="29"/>
        <v>3734875.3205994754</v>
      </c>
      <c r="J280" s="444">
        <f t="array" ref="J280">IFERROR(INDEX('Retirement Calculator'!K:K,MATCH('Lorri 401b'!N280,'Retirement Calculator'!A:A,0),0),0)</f>
        <v>20367.195264578786</v>
      </c>
      <c r="K280" s="444">
        <f t="shared" ca="1" si="27"/>
        <v>15477.117188895403</v>
      </c>
      <c r="L280" s="444">
        <f t="shared" ca="1" si="28"/>
        <v>3729985.2425237922</v>
      </c>
      <c r="M280" s="460">
        <f t="shared" si="30"/>
        <v>0.05</v>
      </c>
      <c r="N280" s="464">
        <f t="shared" si="31"/>
        <v>59568</v>
      </c>
    </row>
    <row r="281" spans="7:14" ht="11.25" customHeight="1" x14ac:dyDescent="0.3">
      <c r="G281" s="459">
        <f t="shared" si="32"/>
        <v>23</v>
      </c>
      <c r="H281" s="459">
        <v>274</v>
      </c>
      <c r="I281" s="444">
        <f t="shared" ca="1" si="29"/>
        <v>3729985.2425237922</v>
      </c>
      <c r="J281" s="444">
        <f t="array" ref="J281">IFERROR(INDEX('Retirement Calculator'!K:K,MATCH('Lorri 401b'!N281,'Retirement Calculator'!A:A,0),0),0)</f>
        <v>20367.195264578786</v>
      </c>
      <c r="K281" s="444">
        <f t="shared" ca="1" si="27"/>
        <v>15456.741863580053</v>
      </c>
      <c r="L281" s="444">
        <f t="shared" ca="1" si="28"/>
        <v>3725074.7891227934</v>
      </c>
      <c r="M281" s="460">
        <f t="shared" si="30"/>
        <v>0.05</v>
      </c>
      <c r="N281" s="464">
        <f t="shared" si="31"/>
        <v>59596</v>
      </c>
    </row>
    <row r="282" spans="7:14" ht="11.25" customHeight="1" x14ac:dyDescent="0.3">
      <c r="G282" s="459">
        <f t="shared" si="32"/>
        <v>23</v>
      </c>
      <c r="H282" s="459">
        <v>275</v>
      </c>
      <c r="I282" s="444">
        <f t="shared" ca="1" si="29"/>
        <v>3725074.7891227934</v>
      </c>
      <c r="J282" s="444">
        <f t="array" ref="J282">IFERROR(INDEX('Retirement Calculator'!K:K,MATCH('Lorri 401b'!N282,'Retirement Calculator'!A:A,0),0),0)</f>
        <v>20367.195264578786</v>
      </c>
      <c r="K282" s="444">
        <f t="shared" ca="1" si="27"/>
        <v>15436.281641075891</v>
      </c>
      <c r="L282" s="444">
        <f t="shared" ca="1" si="28"/>
        <v>3720143.8754992904</v>
      </c>
      <c r="M282" s="460">
        <f t="shared" si="30"/>
        <v>0.05</v>
      </c>
      <c r="N282" s="464">
        <f t="shared" si="31"/>
        <v>59627</v>
      </c>
    </row>
    <row r="283" spans="7:14" ht="11.25" customHeight="1" x14ac:dyDescent="0.3">
      <c r="G283" s="459">
        <f t="shared" si="32"/>
        <v>23</v>
      </c>
      <c r="H283" s="459">
        <v>276</v>
      </c>
      <c r="I283" s="444">
        <f t="shared" ca="1" si="29"/>
        <v>3720143.8754992904</v>
      </c>
      <c r="J283" s="444">
        <f t="array" ref="J283">IFERROR(INDEX('Retirement Calculator'!K:K,MATCH('Lorri 401b'!N283,'Retirement Calculator'!A:A,0),0),0)</f>
        <v>20367.195264578786</v>
      </c>
      <c r="K283" s="444">
        <f t="shared" ca="1" si="27"/>
        <v>15415.736167644631</v>
      </c>
      <c r="L283" s="444">
        <f t="shared" ca="1" si="28"/>
        <v>3715192.4164023562</v>
      </c>
      <c r="M283" s="460">
        <f t="shared" si="30"/>
        <v>0.05</v>
      </c>
      <c r="N283" s="464">
        <f t="shared" si="31"/>
        <v>59657</v>
      </c>
    </row>
    <row r="284" spans="7:14" ht="11.25" customHeight="1" x14ac:dyDescent="0.3">
      <c r="G284" s="459">
        <f>G283+1</f>
        <v>24</v>
      </c>
      <c r="H284" s="459">
        <v>277</v>
      </c>
      <c r="I284" s="444">
        <f t="shared" ca="1" si="29"/>
        <v>3715192.4164023562</v>
      </c>
      <c r="J284" s="444">
        <f t="array" ref="J284">IFERROR(INDEX('Retirement Calculator'!K:K,MATCH('Lorri 401b'!N284,'Retirement Calculator'!A:A,0),0),0)</f>
        <v>20367.195264578786</v>
      </c>
      <c r="K284" s="444">
        <f t="shared" ca="1" si="27"/>
        <v>15395.105088074073</v>
      </c>
      <c r="L284" s="444">
        <f t="shared" ca="1" si="28"/>
        <v>3710220.3262258517</v>
      </c>
      <c r="M284" s="460">
        <f t="shared" si="30"/>
        <v>0.05</v>
      </c>
      <c r="N284" s="464">
        <f t="shared" si="31"/>
        <v>59688</v>
      </c>
    </row>
    <row r="285" spans="7:14" ht="11.25" customHeight="1" x14ac:dyDescent="0.3">
      <c r="G285" s="459">
        <f t="shared" ref="G285:G295" si="33">G284</f>
        <v>24</v>
      </c>
      <c r="H285" s="459">
        <v>278</v>
      </c>
      <c r="I285" s="444">
        <f t="shared" ca="1" si="29"/>
        <v>3710220.3262258517</v>
      </c>
      <c r="J285" s="444">
        <f t="array" ref="J285">IFERROR(INDEX('Retirement Calculator'!K:K,MATCH('Lorri 401b'!N285,'Retirement Calculator'!A:A,0),0),0)</f>
        <v>20367.195264578786</v>
      </c>
      <c r="K285" s="444">
        <f t="shared" ca="1" si="27"/>
        <v>15374.388045671971</v>
      </c>
      <c r="L285" s="444">
        <f t="shared" ca="1" si="28"/>
        <v>3705227.5190069447</v>
      </c>
      <c r="M285" s="460">
        <f t="shared" si="30"/>
        <v>0.05</v>
      </c>
      <c r="N285" s="464">
        <f t="shared" si="31"/>
        <v>59718</v>
      </c>
    </row>
    <row r="286" spans="7:14" ht="11.25" customHeight="1" x14ac:dyDescent="0.3">
      <c r="G286" s="459">
        <f t="shared" si="33"/>
        <v>24</v>
      </c>
      <c r="H286" s="459">
        <v>279</v>
      </c>
      <c r="I286" s="444">
        <f t="shared" ca="1" si="29"/>
        <v>3705227.5190069447</v>
      </c>
      <c r="J286" s="444">
        <f t="array" ref="J286">IFERROR(INDEX('Retirement Calculator'!K:K,MATCH('Lorri 401b'!N286,'Retirement Calculator'!A:A,0),0),0)</f>
        <v>20367.195264578786</v>
      </c>
      <c r="K286" s="444">
        <f t="shared" ca="1" si="27"/>
        <v>15353.584682259858</v>
      </c>
      <c r="L286" s="444">
        <f t="shared" ca="1" si="28"/>
        <v>3700213.9084246256</v>
      </c>
      <c r="M286" s="460">
        <f t="shared" si="30"/>
        <v>0.05</v>
      </c>
      <c r="N286" s="464">
        <f t="shared" si="31"/>
        <v>59749</v>
      </c>
    </row>
    <row r="287" spans="7:14" ht="11.25" customHeight="1" x14ac:dyDescent="0.3">
      <c r="G287" s="459">
        <f t="shared" si="33"/>
        <v>24</v>
      </c>
      <c r="H287" s="459">
        <v>280</v>
      </c>
      <c r="I287" s="444">
        <f t="shared" ca="1" si="29"/>
        <v>3700213.9084246256</v>
      </c>
      <c r="J287" s="444">
        <f t="array" ref="J287">IFERROR(INDEX('Retirement Calculator'!K:K,MATCH('Lorri 401b'!N287,'Retirement Calculator'!A:A,0),0),0)</f>
        <v>20367.195264578786</v>
      </c>
      <c r="K287" s="444">
        <f t="shared" ca="1" si="27"/>
        <v>15332.69463816686</v>
      </c>
      <c r="L287" s="444">
        <f t="shared" ca="1" si="28"/>
        <v>3695179.4077982139</v>
      </c>
      <c r="M287" s="460">
        <f t="shared" si="30"/>
        <v>0.05</v>
      </c>
      <c r="N287" s="464">
        <f t="shared" si="31"/>
        <v>59780</v>
      </c>
    </row>
    <row r="288" spans="7:14" ht="11.25" customHeight="1" x14ac:dyDescent="0.3">
      <c r="G288" s="459">
        <f t="shared" si="33"/>
        <v>24</v>
      </c>
      <c r="H288" s="459">
        <v>281</v>
      </c>
      <c r="I288" s="444">
        <f t="shared" ca="1" si="29"/>
        <v>3695179.4077982139</v>
      </c>
      <c r="J288" s="444">
        <f t="array" ref="J288">IFERROR(INDEX('Retirement Calculator'!K:K,MATCH('Lorri 401b'!N288,'Retirement Calculator'!A:A,0),0),0)</f>
        <v>20367.195264578786</v>
      </c>
      <c r="K288" s="444">
        <f t="shared" ca="1" si="27"/>
        <v>15311.717552223477</v>
      </c>
      <c r="L288" s="444">
        <f t="shared" ca="1" si="28"/>
        <v>3690123.9300858588</v>
      </c>
      <c r="M288" s="460">
        <f t="shared" si="30"/>
        <v>0.05</v>
      </c>
      <c r="N288" s="464">
        <f t="shared" si="31"/>
        <v>59810</v>
      </c>
    </row>
    <row r="289" spans="7:14" ht="11.25" customHeight="1" x14ac:dyDescent="0.3">
      <c r="G289" s="459">
        <f t="shared" si="33"/>
        <v>24</v>
      </c>
      <c r="H289" s="459">
        <v>282</v>
      </c>
      <c r="I289" s="444">
        <f t="shared" ca="1" si="29"/>
        <v>3690123.9300858588</v>
      </c>
      <c r="J289" s="444">
        <f t="array" ref="J289">IFERROR(INDEX('Retirement Calculator'!K:K,MATCH('Lorri 401b'!N289,'Retirement Calculator'!A:A,0),0),0)</f>
        <v>20367.195264578786</v>
      </c>
      <c r="K289" s="444">
        <f t="shared" ca="1" si="27"/>
        <v>15290.653061755333</v>
      </c>
      <c r="L289" s="444">
        <f t="shared" ca="1" si="28"/>
        <v>3685047.3878830355</v>
      </c>
      <c r="M289" s="460">
        <f t="shared" si="30"/>
        <v>0.05</v>
      </c>
      <c r="N289" s="464">
        <f t="shared" si="31"/>
        <v>59841</v>
      </c>
    </row>
    <row r="290" spans="7:14" ht="11.25" customHeight="1" x14ac:dyDescent="0.3">
      <c r="G290" s="459">
        <f t="shared" si="33"/>
        <v>24</v>
      </c>
      <c r="H290" s="459">
        <v>283</v>
      </c>
      <c r="I290" s="444">
        <f t="shared" ca="1" si="29"/>
        <v>3685047.3878830355</v>
      </c>
      <c r="J290" s="444">
        <f t="array" ref="J290">IFERROR(INDEX('Retirement Calculator'!K:K,MATCH('Lorri 401b'!N290,'Retirement Calculator'!A:A,0),0),0)</f>
        <v>20367.195264578786</v>
      </c>
      <c r="K290" s="444">
        <f t="shared" ca="1" si="27"/>
        <v>15269.500802576902</v>
      </c>
      <c r="L290" s="444">
        <f t="shared" ca="1" si="28"/>
        <v>3679949.6934210337</v>
      </c>
      <c r="M290" s="460">
        <f t="shared" si="30"/>
        <v>0.05</v>
      </c>
      <c r="N290" s="464">
        <f t="shared" si="31"/>
        <v>59871</v>
      </c>
    </row>
    <row r="291" spans="7:14" ht="11.25" customHeight="1" x14ac:dyDescent="0.3">
      <c r="G291" s="459">
        <f t="shared" si="33"/>
        <v>24</v>
      </c>
      <c r="H291" s="459">
        <v>284</v>
      </c>
      <c r="I291" s="444">
        <f t="shared" ca="1" si="29"/>
        <v>3679949.6934210337</v>
      </c>
      <c r="J291" s="444">
        <f t="array" ref="J291">IFERROR(INDEX('Retirement Calculator'!K:K,MATCH('Lorri 401b'!N291,'Retirement Calculator'!A:A,0),0),0)</f>
        <v>20367.195264578786</v>
      </c>
      <c r="K291" s="444">
        <f t="shared" ca="1" si="27"/>
        <v>15248.260408985227</v>
      </c>
      <c r="L291" s="444">
        <f t="shared" ca="1" si="28"/>
        <v>3674830.7585654403</v>
      </c>
      <c r="M291" s="460">
        <f t="shared" si="30"/>
        <v>0.05</v>
      </c>
      <c r="N291" s="464">
        <f t="shared" si="31"/>
        <v>59902</v>
      </c>
    </row>
    <row r="292" spans="7:14" ht="11.25" customHeight="1" x14ac:dyDescent="0.3">
      <c r="G292" s="459">
        <f t="shared" si="33"/>
        <v>24</v>
      </c>
      <c r="H292" s="459">
        <v>285</v>
      </c>
      <c r="I292" s="444">
        <f t="shared" ca="1" si="29"/>
        <v>3674830.7585654403</v>
      </c>
      <c r="J292" s="444">
        <f t="array" ref="J292">IFERROR(INDEX('Retirement Calculator'!K:K,MATCH('Lorri 401b'!N292,'Retirement Calculator'!A:A,0),0),0)</f>
        <v>20367.195264578786</v>
      </c>
      <c r="K292" s="444">
        <f t="shared" ca="1" si="27"/>
        <v>15226.931513753589</v>
      </c>
      <c r="L292" s="444">
        <f t="shared" ca="1" si="28"/>
        <v>3669690.4948146152</v>
      </c>
      <c r="M292" s="460">
        <f t="shared" si="30"/>
        <v>0.05</v>
      </c>
      <c r="N292" s="464">
        <f t="shared" si="31"/>
        <v>59933</v>
      </c>
    </row>
    <row r="293" spans="7:14" ht="11.25" customHeight="1" x14ac:dyDescent="0.3">
      <c r="G293" s="459">
        <f t="shared" si="33"/>
        <v>24</v>
      </c>
      <c r="H293" s="459">
        <v>286</v>
      </c>
      <c r="I293" s="444">
        <f t="shared" ca="1" si="29"/>
        <v>3669690.4948146152</v>
      </c>
      <c r="J293" s="444">
        <f t="array" ref="J293">IFERROR(INDEX('Retirement Calculator'!K:K,MATCH('Lorri 401b'!N293,'Retirement Calculator'!A:A,0),0),0)</f>
        <v>20367.195264578786</v>
      </c>
      <c r="K293" s="444">
        <f t="shared" ca="1" si="27"/>
        <v>15205.513748125151</v>
      </c>
      <c r="L293" s="444">
        <f t="shared" ca="1" si="28"/>
        <v>3664528.8132981616</v>
      </c>
      <c r="M293" s="460">
        <f t="shared" si="30"/>
        <v>0.05</v>
      </c>
      <c r="N293" s="464">
        <f t="shared" si="31"/>
        <v>59962</v>
      </c>
    </row>
    <row r="294" spans="7:14" ht="11.25" customHeight="1" x14ac:dyDescent="0.3">
      <c r="G294" s="459">
        <f t="shared" si="33"/>
        <v>24</v>
      </c>
      <c r="H294" s="459">
        <v>287</v>
      </c>
      <c r="I294" s="444">
        <f t="shared" ca="1" si="29"/>
        <v>3664528.8132981616</v>
      </c>
      <c r="J294" s="444">
        <f t="array" ref="J294">IFERROR(INDEX('Retirement Calculator'!K:K,MATCH('Lorri 401b'!N294,'Retirement Calculator'!A:A,0),0),0)</f>
        <v>20367.195264578786</v>
      </c>
      <c r="K294" s="444">
        <f t="shared" ca="1" si="27"/>
        <v>15184.006741806596</v>
      </c>
      <c r="L294" s="444">
        <f t="shared" ca="1" si="28"/>
        <v>3659345.6247753892</v>
      </c>
      <c r="M294" s="460">
        <f t="shared" si="30"/>
        <v>0.05</v>
      </c>
      <c r="N294" s="464">
        <f t="shared" si="31"/>
        <v>59993</v>
      </c>
    </row>
    <row r="295" spans="7:14" ht="11.25" customHeight="1" x14ac:dyDescent="0.3">
      <c r="G295" s="459">
        <f t="shared" si="33"/>
        <v>24</v>
      </c>
      <c r="H295" s="459">
        <v>288</v>
      </c>
      <c r="I295" s="444">
        <f t="shared" ca="1" si="29"/>
        <v>3659345.6247753892</v>
      </c>
      <c r="J295" s="444">
        <f t="array" ref="J295">IFERROR(INDEX('Retirement Calculator'!K:K,MATCH('Lorri 401b'!N295,'Retirement Calculator'!A:A,0),0),0)</f>
        <v>20367.195264578786</v>
      </c>
      <c r="K295" s="444">
        <f t="shared" ca="1" si="27"/>
        <v>15162.41012296171</v>
      </c>
      <c r="L295" s="444">
        <f t="shared" ca="1" si="28"/>
        <v>3654140.8396337721</v>
      </c>
      <c r="M295" s="460">
        <f t="shared" si="30"/>
        <v>0.05</v>
      </c>
      <c r="N295" s="464">
        <f t="shared" si="31"/>
        <v>60023</v>
      </c>
    </row>
    <row r="296" spans="7:14" ht="11.25" customHeight="1" x14ac:dyDescent="0.3">
      <c r="G296" s="459">
        <f>G295+1</f>
        <v>25</v>
      </c>
      <c r="H296" s="459">
        <v>289</v>
      </c>
      <c r="I296" s="444">
        <f t="shared" ca="1" si="29"/>
        <v>3654140.8396337721</v>
      </c>
      <c r="J296" s="444">
        <f t="array" ref="J296">IFERROR(INDEX('Retirement Calculator'!K:K,MATCH('Lorri 401b'!N296,'Retirement Calculator'!A:A,0),0),0)</f>
        <v>20367.195264578786</v>
      </c>
      <c r="K296" s="444">
        <f t="shared" ca="1" si="27"/>
        <v>15140.723518204972</v>
      </c>
      <c r="L296" s="444">
        <f t="shared" ca="1" si="28"/>
        <v>3648914.3678873982</v>
      </c>
      <c r="M296" s="460">
        <f t="shared" si="30"/>
        <v>0.05</v>
      </c>
      <c r="N296" s="464">
        <f t="shared" si="31"/>
        <v>60054</v>
      </c>
    </row>
    <row r="297" spans="7:14" ht="11.25" customHeight="1" x14ac:dyDescent="0.3">
      <c r="G297" s="459">
        <f t="shared" ref="G297:G307" si="34">G296</f>
        <v>25</v>
      </c>
      <c r="H297" s="459">
        <v>290</v>
      </c>
      <c r="I297" s="444">
        <f t="shared" ca="1" si="29"/>
        <v>3648914.3678873982</v>
      </c>
      <c r="J297" s="444">
        <f t="array" ref="J297">IFERROR(INDEX('Retirement Calculator'!K:K,MATCH('Lorri 401b'!N297,'Retirement Calculator'!A:A,0),0),0)</f>
        <v>20367.195264578786</v>
      </c>
      <c r="K297" s="444">
        <f t="shared" ca="1" si="27"/>
        <v>15118.94655259508</v>
      </c>
      <c r="L297" s="444">
        <f t="shared" ca="1" si="28"/>
        <v>3643666.1191754146</v>
      </c>
      <c r="M297" s="460">
        <f t="shared" si="30"/>
        <v>0.05</v>
      </c>
      <c r="N297" s="464">
        <f t="shared" si="31"/>
        <v>60084</v>
      </c>
    </row>
    <row r="298" spans="7:14" ht="11.25" customHeight="1" x14ac:dyDescent="0.3">
      <c r="G298" s="459">
        <f t="shared" si="34"/>
        <v>25</v>
      </c>
      <c r="H298" s="459">
        <v>291</v>
      </c>
      <c r="I298" s="444">
        <f t="shared" ca="1" si="29"/>
        <v>3643666.1191754146</v>
      </c>
      <c r="J298" s="444">
        <f t="array" ref="J298">IFERROR(INDEX('Retirement Calculator'!K:K,MATCH('Lorri 401b'!N298,'Retirement Calculator'!A:A,0),0),0)</f>
        <v>20367.195264578786</v>
      </c>
      <c r="K298" s="444">
        <f t="shared" ca="1" si="27"/>
        <v>15097.078849628482</v>
      </c>
      <c r="L298" s="444">
        <f t="shared" ca="1" si="28"/>
        <v>3638396.0027604643</v>
      </c>
      <c r="M298" s="460">
        <f t="shared" si="30"/>
        <v>0.05</v>
      </c>
      <c r="N298" s="464">
        <f t="shared" si="31"/>
        <v>60115</v>
      </c>
    </row>
    <row r="299" spans="7:14" ht="11.25" customHeight="1" x14ac:dyDescent="0.3">
      <c r="G299" s="459">
        <f t="shared" si="34"/>
        <v>25</v>
      </c>
      <c r="H299" s="459">
        <v>292</v>
      </c>
      <c r="I299" s="444">
        <f t="shared" ca="1" si="29"/>
        <v>3638396.0027604643</v>
      </c>
      <c r="J299" s="444">
        <f t="array" ref="J299">IFERROR(INDEX('Retirement Calculator'!K:K,MATCH('Lorri 401b'!N299,'Retirement Calculator'!A:A,0),0),0)</f>
        <v>20367.195264578786</v>
      </c>
      <c r="K299" s="444">
        <f t="shared" ca="1" si="27"/>
        <v>15075.120031232856</v>
      </c>
      <c r="L299" s="444">
        <f t="shared" ca="1" si="28"/>
        <v>3633103.9275271185</v>
      </c>
      <c r="M299" s="460">
        <f t="shared" si="30"/>
        <v>0.05</v>
      </c>
      <c r="N299" s="464">
        <f t="shared" si="31"/>
        <v>60146</v>
      </c>
    </row>
    <row r="300" spans="7:14" ht="11.25" customHeight="1" x14ac:dyDescent="0.3">
      <c r="G300" s="459">
        <f t="shared" si="34"/>
        <v>25</v>
      </c>
      <c r="H300" s="459">
        <v>293</v>
      </c>
      <c r="I300" s="444">
        <f t="shared" ca="1" si="29"/>
        <v>3633103.9275271185</v>
      </c>
      <c r="J300" s="444">
        <f t="array" ref="J300">IFERROR(INDEX('Retirement Calculator'!K:K,MATCH('Lorri 401b'!N300,'Retirement Calculator'!A:A,0),0),0)</f>
        <v>20367.195264578786</v>
      </c>
      <c r="K300" s="444">
        <f t="shared" ca="1" si="27"/>
        <v>15053.069717760582</v>
      </c>
      <c r="L300" s="444">
        <f t="shared" ca="1" si="28"/>
        <v>3627789.8019803003</v>
      </c>
      <c r="M300" s="460">
        <f t="shared" si="30"/>
        <v>0.05</v>
      </c>
      <c r="N300" s="464">
        <f t="shared" si="31"/>
        <v>60176</v>
      </c>
    </row>
    <row r="301" spans="7:14" ht="11.25" customHeight="1" x14ac:dyDescent="0.3">
      <c r="G301" s="459">
        <f t="shared" si="34"/>
        <v>25</v>
      </c>
      <c r="H301" s="459">
        <v>294</v>
      </c>
      <c r="I301" s="444">
        <f t="shared" ca="1" si="29"/>
        <v>3627789.8019803003</v>
      </c>
      <c r="J301" s="444">
        <f t="array" ref="J301">IFERROR(INDEX('Retirement Calculator'!K:K,MATCH('Lorri 401b'!N301,'Retirement Calculator'!A:A,0),0),0)</f>
        <v>20367.195264578786</v>
      </c>
      <c r="K301" s="444">
        <f t="shared" ca="1" si="27"/>
        <v>15030.927527982174</v>
      </c>
      <c r="L301" s="444">
        <f t="shared" ca="1" si="28"/>
        <v>3622453.5342437038</v>
      </c>
      <c r="M301" s="460">
        <f t="shared" si="30"/>
        <v>0.05</v>
      </c>
      <c r="N301" s="464">
        <f t="shared" si="31"/>
        <v>60207</v>
      </c>
    </row>
    <row r="302" spans="7:14" ht="11.25" customHeight="1" x14ac:dyDescent="0.3">
      <c r="G302" s="459">
        <f t="shared" si="34"/>
        <v>25</v>
      </c>
      <c r="H302" s="459">
        <v>295</v>
      </c>
      <c r="I302" s="444">
        <f t="shared" ca="1" si="29"/>
        <v>3622453.5342437038</v>
      </c>
      <c r="J302" s="444">
        <f t="array" ref="J302">IFERROR(INDEX('Retirement Calculator'!K:K,MATCH('Lorri 401b'!N302,'Retirement Calculator'!A:A,0),0),0)</f>
        <v>20367.195264578786</v>
      </c>
      <c r="K302" s="444">
        <f t="shared" ca="1" si="27"/>
        <v>15008.693079079687</v>
      </c>
      <c r="L302" s="444">
        <f t="shared" ca="1" si="28"/>
        <v>3617095.0320582045</v>
      </c>
      <c r="M302" s="460">
        <f t="shared" si="30"/>
        <v>0.05</v>
      </c>
      <c r="N302" s="464">
        <f t="shared" si="31"/>
        <v>60237</v>
      </c>
    </row>
    <row r="303" spans="7:14" ht="11.25" customHeight="1" x14ac:dyDescent="0.3">
      <c r="G303" s="459">
        <f t="shared" si="34"/>
        <v>25</v>
      </c>
      <c r="H303" s="459">
        <v>296</v>
      </c>
      <c r="I303" s="444">
        <f t="shared" ca="1" si="29"/>
        <v>3617095.0320582045</v>
      </c>
      <c r="J303" s="444">
        <f t="array" ref="J303">IFERROR(INDEX('Retirement Calculator'!K:K,MATCH('Lorri 401b'!N303,'Retirement Calculator'!A:A,0),0),0)</f>
        <v>20367.195264578786</v>
      </c>
      <c r="K303" s="444">
        <f t="shared" ca="1" si="27"/>
        <v>14986.365986640105</v>
      </c>
      <c r="L303" s="444">
        <f t="shared" ca="1" si="28"/>
        <v>3611714.2027802658</v>
      </c>
      <c r="M303" s="460">
        <f t="shared" si="30"/>
        <v>0.05</v>
      </c>
      <c r="N303" s="464">
        <f t="shared" si="31"/>
        <v>60268</v>
      </c>
    </row>
    <row r="304" spans="7:14" ht="11.25" customHeight="1" x14ac:dyDescent="0.3">
      <c r="G304" s="459">
        <f t="shared" si="34"/>
        <v>25</v>
      </c>
      <c r="H304" s="459">
        <v>297</v>
      </c>
      <c r="I304" s="444">
        <f t="shared" ca="1" si="29"/>
        <v>3611714.2027802658</v>
      </c>
      <c r="J304" s="444">
        <f t="array" ref="J304">IFERROR(INDEX('Retirement Calculator'!K:K,MATCH('Lorri 401b'!N304,'Retirement Calculator'!A:A,0),0),0)</f>
        <v>20367.195264578786</v>
      </c>
      <c r="K304" s="444">
        <f t="shared" ca="1" si="27"/>
        <v>14963.945864648696</v>
      </c>
      <c r="L304" s="444">
        <f t="shared" ca="1" si="28"/>
        <v>3606310.9533803356</v>
      </c>
      <c r="M304" s="460">
        <f t="shared" si="30"/>
        <v>0.05</v>
      </c>
      <c r="N304" s="464">
        <f t="shared" si="31"/>
        <v>60299</v>
      </c>
    </row>
    <row r="305" spans="7:14" ht="11.25" customHeight="1" x14ac:dyDescent="0.3">
      <c r="G305" s="459">
        <f t="shared" si="34"/>
        <v>25</v>
      </c>
      <c r="H305" s="459">
        <v>298</v>
      </c>
      <c r="I305" s="444">
        <f t="shared" ca="1" si="29"/>
        <v>3606310.9533803356</v>
      </c>
      <c r="J305" s="444">
        <f t="array" ref="J305">IFERROR(INDEX('Retirement Calculator'!K:K,MATCH('Lorri 401b'!N305,'Retirement Calculator'!A:A,0),0),0)</f>
        <v>20367.195264578786</v>
      </c>
      <c r="K305" s="444">
        <f t="shared" ca="1" si="27"/>
        <v>14941.432325482319</v>
      </c>
      <c r="L305" s="444">
        <f t="shared" ca="1" si="28"/>
        <v>3600885.1904412392</v>
      </c>
      <c r="M305" s="460">
        <f t="shared" si="30"/>
        <v>0.05</v>
      </c>
      <c r="N305" s="464">
        <f t="shared" si="31"/>
        <v>60327</v>
      </c>
    </row>
    <row r="306" spans="7:14" ht="11.25" customHeight="1" x14ac:dyDescent="0.3">
      <c r="G306" s="459">
        <f t="shared" si="34"/>
        <v>25</v>
      </c>
      <c r="H306" s="459">
        <v>299</v>
      </c>
      <c r="I306" s="444">
        <f t="shared" ca="1" si="29"/>
        <v>3600885.1904412392</v>
      </c>
      <c r="J306" s="444">
        <f t="array" ref="J306">IFERROR(INDEX('Retirement Calculator'!K:K,MATCH('Lorri 401b'!N306,'Retirement Calculator'!A:A,0),0),0)</f>
        <v>20367.195264578786</v>
      </c>
      <c r="K306" s="444">
        <f t="shared" ca="1" si="27"/>
        <v>14918.824979902751</v>
      </c>
      <c r="L306" s="444">
        <f t="shared" ca="1" si="28"/>
        <v>3595436.8201565631</v>
      </c>
      <c r="M306" s="460">
        <f t="shared" si="30"/>
        <v>0.05</v>
      </c>
      <c r="N306" s="464">
        <f t="shared" si="31"/>
        <v>60358</v>
      </c>
    </row>
    <row r="307" spans="7:14" ht="11.25" customHeight="1" x14ac:dyDescent="0.3">
      <c r="G307" s="459">
        <f t="shared" si="34"/>
        <v>25</v>
      </c>
      <c r="H307" s="459">
        <v>300</v>
      </c>
      <c r="I307" s="444">
        <f t="shared" ca="1" si="29"/>
        <v>3595436.8201565631</v>
      </c>
      <c r="J307" s="444">
        <f t="array" ref="J307">IFERROR(INDEX('Retirement Calculator'!K:K,MATCH('Lorri 401b'!N307,'Retirement Calculator'!A:A,0),0),0)</f>
        <v>20367.195264578786</v>
      </c>
      <c r="K307" s="444">
        <f t="shared" ca="1" si="27"/>
        <v>14896.123437049935</v>
      </c>
      <c r="L307" s="444">
        <f t="shared" ca="1" si="28"/>
        <v>3589965.7483290341</v>
      </c>
      <c r="M307" s="460">
        <f t="shared" si="30"/>
        <v>0.05</v>
      </c>
      <c r="N307" s="464">
        <f t="shared" si="31"/>
        <v>60388</v>
      </c>
    </row>
    <row r="308" spans="7:14" ht="11.25" customHeight="1" x14ac:dyDescent="0.3">
      <c r="G308" s="459">
        <f>G307+1</f>
        <v>26</v>
      </c>
      <c r="H308" s="459">
        <v>301</v>
      </c>
      <c r="I308" s="444">
        <f t="shared" ca="1" si="29"/>
        <v>3589965.7483290341</v>
      </c>
      <c r="J308" s="444">
        <f t="array" ref="J308">IFERROR(INDEX('Retirement Calculator'!K:K,MATCH('Lorri 401b'!N308,'Retirement Calculator'!A:A,0),0),0)</f>
        <v>20367.195264578786</v>
      </c>
      <c r="K308" s="444">
        <f t="shared" ca="1" si="27"/>
        <v>14873.32730443523</v>
      </c>
      <c r="L308" s="444">
        <f t="shared" ca="1" si="28"/>
        <v>3584471.8803688907</v>
      </c>
      <c r="M308" s="460">
        <f t="shared" si="30"/>
        <v>0.05</v>
      </c>
      <c r="N308" s="464">
        <f t="shared" si="31"/>
        <v>60419</v>
      </c>
    </row>
    <row r="309" spans="7:14" ht="11.25" customHeight="1" x14ac:dyDescent="0.3">
      <c r="G309" s="459">
        <f t="shared" ref="G309:G319" si="35">G308</f>
        <v>26</v>
      </c>
      <c r="H309" s="459">
        <v>302</v>
      </c>
      <c r="I309" s="444">
        <f t="shared" ca="1" si="29"/>
        <v>3584471.8803688907</v>
      </c>
      <c r="J309" s="444">
        <f t="array" ref="J309">IFERROR(INDEX('Retirement Calculator'!K:K,MATCH('Lorri 401b'!N309,'Retirement Calculator'!A:A,0),0),0)</f>
        <v>20367.195264578786</v>
      </c>
      <c r="K309" s="444">
        <f t="shared" ca="1" si="27"/>
        <v>14850.436187934632</v>
      </c>
      <c r="L309" s="444">
        <f t="shared" ca="1" si="28"/>
        <v>3578955.1212922465</v>
      </c>
      <c r="M309" s="460">
        <f t="shared" si="30"/>
        <v>0.05</v>
      </c>
      <c r="N309" s="464">
        <f t="shared" si="31"/>
        <v>60449</v>
      </c>
    </row>
    <row r="310" spans="7:14" ht="11.25" customHeight="1" x14ac:dyDescent="0.3">
      <c r="G310" s="459">
        <f t="shared" si="35"/>
        <v>26</v>
      </c>
      <c r="H310" s="459">
        <v>303</v>
      </c>
      <c r="I310" s="444">
        <f t="shared" ca="1" si="29"/>
        <v>3578955.1212922465</v>
      </c>
      <c r="J310" s="444">
        <f t="array" ref="J310">IFERROR(INDEX('Retirement Calculator'!K:K,MATCH('Lorri 401b'!N310,'Retirement Calculator'!A:A,0),0),0)</f>
        <v>20367.195264578786</v>
      </c>
      <c r="K310" s="444">
        <f t="shared" ca="1" si="27"/>
        <v>14827.449691781949</v>
      </c>
      <c r="L310" s="444">
        <f t="shared" ca="1" si="28"/>
        <v>3573415.3757194495</v>
      </c>
      <c r="M310" s="460">
        <f t="shared" si="30"/>
        <v>0.05</v>
      </c>
      <c r="N310" s="464">
        <f t="shared" si="31"/>
        <v>60480</v>
      </c>
    </row>
    <row r="311" spans="7:14" ht="11.25" customHeight="1" x14ac:dyDescent="0.3">
      <c r="G311" s="459">
        <f t="shared" si="35"/>
        <v>26</v>
      </c>
      <c r="H311" s="459">
        <v>304</v>
      </c>
      <c r="I311" s="444">
        <f t="shared" ca="1" si="29"/>
        <v>3573415.3757194495</v>
      </c>
      <c r="J311" s="444">
        <f t="array" ref="J311">IFERROR(INDEX('Retirement Calculator'!K:K,MATCH('Lorri 401b'!N311,'Retirement Calculator'!A:A,0),0),0)</f>
        <v>20367.195264578786</v>
      </c>
      <c r="K311" s="444">
        <f t="shared" ca="1" si="27"/>
        <v>14804.36741856196</v>
      </c>
      <c r="L311" s="444">
        <f t="shared" ca="1" si="28"/>
        <v>3567852.5478734327</v>
      </c>
      <c r="M311" s="460">
        <f t="shared" si="30"/>
        <v>0.05</v>
      </c>
      <c r="N311" s="464">
        <f t="shared" si="31"/>
        <v>60511</v>
      </c>
    </row>
    <row r="312" spans="7:14" ht="11.25" customHeight="1" x14ac:dyDescent="0.3">
      <c r="G312" s="459">
        <f t="shared" si="35"/>
        <v>26</v>
      </c>
      <c r="H312" s="459">
        <v>305</v>
      </c>
      <c r="I312" s="444">
        <f t="shared" ca="1" si="29"/>
        <v>3567852.5478734327</v>
      </c>
      <c r="J312" s="444">
        <f t="array" ref="J312">IFERROR(INDEX('Retirement Calculator'!K:K,MATCH('Lorri 401b'!N312,'Retirement Calculator'!A:A,0),0),0)</f>
        <v>20367.195264578786</v>
      </c>
      <c r="K312" s="444">
        <f t="shared" ca="1" si="27"/>
        <v>14781.188969203558</v>
      </c>
      <c r="L312" s="444">
        <f t="shared" ca="1" si="28"/>
        <v>3562266.5415780577</v>
      </c>
      <c r="M312" s="460">
        <f t="shared" si="30"/>
        <v>0.05</v>
      </c>
      <c r="N312" s="464">
        <f t="shared" si="31"/>
        <v>60541</v>
      </c>
    </row>
    <row r="313" spans="7:14" ht="11.25" customHeight="1" x14ac:dyDescent="0.3">
      <c r="G313" s="459">
        <f t="shared" si="35"/>
        <v>26</v>
      </c>
      <c r="H313" s="459">
        <v>306</v>
      </c>
      <c r="I313" s="444">
        <f t="shared" ca="1" si="29"/>
        <v>3562266.5415780577</v>
      </c>
      <c r="J313" s="444">
        <f t="array" ref="J313">IFERROR(INDEX('Retirement Calculator'!K:K,MATCH('Lorri 401b'!N313,'Retirement Calculator'!A:A,0),0),0)</f>
        <v>20367.195264578786</v>
      </c>
      <c r="K313" s="444">
        <f t="shared" ca="1" si="27"/>
        <v>14757.913942972831</v>
      </c>
      <c r="L313" s="444">
        <f t="shared" ca="1" si="28"/>
        <v>3556657.2602564516</v>
      </c>
      <c r="M313" s="460">
        <f t="shared" si="30"/>
        <v>0.05</v>
      </c>
      <c r="N313" s="464">
        <f t="shared" si="31"/>
        <v>60572</v>
      </c>
    </row>
    <row r="314" spans="7:14" ht="11.25" customHeight="1" x14ac:dyDescent="0.3">
      <c r="G314" s="459">
        <f t="shared" si="35"/>
        <v>26</v>
      </c>
      <c r="H314" s="459">
        <v>307</v>
      </c>
      <c r="I314" s="444">
        <f t="shared" ca="1" si="29"/>
        <v>3556657.2602564516</v>
      </c>
      <c r="J314" s="444">
        <f t="array" ref="J314">IFERROR(INDEX('Retirement Calculator'!K:K,MATCH('Lorri 401b'!N314,'Retirement Calculator'!A:A,0),0),0)</f>
        <v>20367.195264578786</v>
      </c>
      <c r="K314" s="444">
        <f t="shared" ca="1" si="27"/>
        <v>14734.541937466136</v>
      </c>
      <c r="L314" s="444">
        <f t="shared" ca="1" si="28"/>
        <v>3551024.606929339</v>
      </c>
      <c r="M314" s="460">
        <f t="shared" si="30"/>
        <v>0.05</v>
      </c>
      <c r="N314" s="464">
        <f t="shared" si="31"/>
        <v>60602</v>
      </c>
    </row>
    <row r="315" spans="7:14" ht="11.25" customHeight="1" x14ac:dyDescent="0.3">
      <c r="G315" s="459">
        <f t="shared" si="35"/>
        <v>26</v>
      </c>
      <c r="H315" s="459">
        <v>308</v>
      </c>
      <c r="I315" s="444">
        <f t="shared" ca="1" si="29"/>
        <v>3551024.606929339</v>
      </c>
      <c r="J315" s="444">
        <f t="array" ref="J315">IFERROR(INDEX('Retirement Calculator'!K:K,MATCH('Lorri 401b'!N315,'Retirement Calculator'!A:A,0),0),0)</f>
        <v>20367.195264578786</v>
      </c>
      <c r="K315" s="444">
        <f t="shared" ca="1" si="27"/>
        <v>14711.072548603168</v>
      </c>
      <c r="L315" s="444">
        <f t="shared" ca="1" si="28"/>
        <v>3545368.4842133634</v>
      </c>
      <c r="M315" s="460">
        <f t="shared" si="30"/>
        <v>0.05</v>
      </c>
      <c r="N315" s="464">
        <f t="shared" si="31"/>
        <v>60633</v>
      </c>
    </row>
    <row r="316" spans="7:14" ht="11.25" customHeight="1" x14ac:dyDescent="0.3">
      <c r="G316" s="459">
        <f t="shared" si="35"/>
        <v>26</v>
      </c>
      <c r="H316" s="459">
        <v>309</v>
      </c>
      <c r="I316" s="444">
        <f t="shared" ca="1" si="29"/>
        <v>3545368.4842133634</v>
      </c>
      <c r="J316" s="444">
        <f t="array" ref="J316">IFERROR(INDEX('Retirement Calculator'!K:K,MATCH('Lorri 401b'!N316,'Retirement Calculator'!A:A,0),0),0)</f>
        <v>20367.195264578786</v>
      </c>
      <c r="K316" s="444">
        <f t="shared" ca="1" si="27"/>
        <v>14687.505370619936</v>
      </c>
      <c r="L316" s="444">
        <f t="shared" ca="1" si="28"/>
        <v>3539688.7943194043</v>
      </c>
      <c r="M316" s="460">
        <f t="shared" si="30"/>
        <v>0.05</v>
      </c>
      <c r="N316" s="464">
        <f t="shared" si="31"/>
        <v>60664</v>
      </c>
    </row>
    <row r="317" spans="7:14" ht="11.25" customHeight="1" x14ac:dyDescent="0.3">
      <c r="G317" s="459">
        <f t="shared" si="35"/>
        <v>26</v>
      </c>
      <c r="H317" s="459">
        <v>310</v>
      </c>
      <c r="I317" s="444">
        <f t="shared" ca="1" si="29"/>
        <v>3539688.7943194043</v>
      </c>
      <c r="J317" s="444">
        <f t="array" ref="J317">IFERROR(INDEX('Retirement Calculator'!K:K,MATCH('Lorri 401b'!N317,'Retirement Calculator'!A:A,0),0),0)</f>
        <v>20367.195264578786</v>
      </c>
      <c r="K317" s="444">
        <f t="shared" ca="1" si="27"/>
        <v>14663.839996061775</v>
      </c>
      <c r="L317" s="444">
        <f t="shared" ca="1" si="28"/>
        <v>3533985.4390508872</v>
      </c>
      <c r="M317" s="460">
        <f t="shared" si="30"/>
        <v>0.05</v>
      </c>
      <c r="N317" s="464">
        <f t="shared" si="31"/>
        <v>60692</v>
      </c>
    </row>
    <row r="318" spans="7:14" ht="11.25" customHeight="1" x14ac:dyDescent="0.3">
      <c r="G318" s="459">
        <f t="shared" si="35"/>
        <v>26</v>
      </c>
      <c r="H318" s="459">
        <v>311</v>
      </c>
      <c r="I318" s="444">
        <f t="shared" ca="1" si="29"/>
        <v>3533985.4390508872</v>
      </c>
      <c r="J318" s="444">
        <f t="array" ref="J318">IFERROR(INDEX('Retirement Calculator'!K:K,MATCH('Lorri 401b'!N318,'Retirement Calculator'!A:A,0),0),0)</f>
        <v>20367.195264578786</v>
      </c>
      <c r="K318" s="444">
        <f t="shared" ca="1" si="27"/>
        <v>14640.076015776285</v>
      </c>
      <c r="L318" s="444">
        <f t="shared" ca="1" si="28"/>
        <v>3528258.3198020849</v>
      </c>
      <c r="M318" s="460">
        <f t="shared" si="30"/>
        <v>0.05</v>
      </c>
      <c r="N318" s="464">
        <f t="shared" si="31"/>
        <v>60723</v>
      </c>
    </row>
    <row r="319" spans="7:14" ht="11.25" customHeight="1" x14ac:dyDescent="0.3">
      <c r="G319" s="459">
        <f t="shared" si="35"/>
        <v>26</v>
      </c>
      <c r="H319" s="459">
        <v>312</v>
      </c>
      <c r="I319" s="444">
        <f t="shared" ca="1" si="29"/>
        <v>3528258.3198020849</v>
      </c>
      <c r="J319" s="444">
        <f t="array" ref="J319">IFERROR(INDEX('Retirement Calculator'!K:K,MATCH('Lorri 401b'!N319,'Retirement Calculator'!A:A,0),0),0)</f>
        <v>20367.195264578786</v>
      </c>
      <c r="K319" s="444">
        <f t="shared" ca="1" si="27"/>
        <v>14616.213018906274</v>
      </c>
      <c r="L319" s="444">
        <f t="shared" ca="1" si="28"/>
        <v>3522507.3375564124</v>
      </c>
      <c r="M319" s="460">
        <f t="shared" si="30"/>
        <v>0.05</v>
      </c>
      <c r="N319" s="464">
        <f t="shared" si="31"/>
        <v>60753</v>
      </c>
    </row>
    <row r="320" spans="7:14" ht="11.25" customHeight="1" x14ac:dyDescent="0.3">
      <c r="G320" s="459">
        <f>G319+1</f>
        <v>27</v>
      </c>
      <c r="H320" s="459">
        <v>313</v>
      </c>
      <c r="I320" s="444">
        <f t="shared" ca="1" si="29"/>
        <v>3522507.3375564124</v>
      </c>
      <c r="J320" s="444">
        <f t="array" ref="J320">IFERROR(INDEX('Retirement Calculator'!K:K,MATCH('Lorri 401b'!N320,'Retirement Calculator'!A:A,0),0),0)</f>
        <v>20367.195264578786</v>
      </c>
      <c r="K320" s="444">
        <f t="shared" ca="1" si="27"/>
        <v>14592.250592882638</v>
      </c>
      <c r="L320" s="444">
        <f t="shared" ca="1" si="28"/>
        <v>3516732.3928847164</v>
      </c>
      <c r="M320" s="460">
        <f t="shared" si="30"/>
        <v>0.05</v>
      </c>
      <c r="N320" s="464">
        <f t="shared" si="31"/>
        <v>60784</v>
      </c>
    </row>
    <row r="321" spans="7:14" ht="11.25" customHeight="1" x14ac:dyDescent="0.3">
      <c r="G321" s="459">
        <f t="shared" ref="G321:G331" si="36">G320</f>
        <v>27</v>
      </c>
      <c r="H321" s="459">
        <v>314</v>
      </c>
      <c r="I321" s="444">
        <f t="shared" ca="1" si="29"/>
        <v>3516732.3928847164</v>
      </c>
      <c r="J321" s="444">
        <f t="array" ref="J321">IFERROR(INDEX('Retirement Calculator'!K:K,MATCH('Lorri 401b'!N321,'Retirement Calculator'!A:A,0),0),0)</f>
        <v>20367.195264578786</v>
      </c>
      <c r="K321" s="444">
        <f t="shared" ca="1" si="27"/>
        <v>14568.18832341724</v>
      </c>
      <c r="L321" s="444">
        <f t="shared" ca="1" si="28"/>
        <v>3510933.3859435548</v>
      </c>
      <c r="M321" s="460">
        <f t="shared" si="30"/>
        <v>0.05</v>
      </c>
      <c r="N321" s="464">
        <f t="shared" si="31"/>
        <v>60814</v>
      </c>
    </row>
    <row r="322" spans="7:14" ht="11.25" customHeight="1" x14ac:dyDescent="0.3">
      <c r="G322" s="459">
        <f t="shared" si="36"/>
        <v>27</v>
      </c>
      <c r="H322" s="459">
        <v>315</v>
      </c>
      <c r="I322" s="444">
        <f t="shared" ca="1" si="29"/>
        <v>3510933.3859435548</v>
      </c>
      <c r="J322" s="444">
        <f t="array" ref="J322">IFERROR(INDEX('Retirement Calculator'!K:K,MATCH('Lorri 401b'!N322,'Retirement Calculator'!A:A,0),0),0)</f>
        <v>20367.195264578786</v>
      </c>
      <c r="K322" s="444">
        <f t="shared" ca="1" si="27"/>
        <v>14544.025794495734</v>
      </c>
      <c r="L322" s="444">
        <f t="shared" ca="1" si="28"/>
        <v>3505110.2164734718</v>
      </c>
      <c r="M322" s="460">
        <f t="shared" si="30"/>
        <v>0.05</v>
      </c>
      <c r="N322" s="464">
        <f t="shared" si="31"/>
        <v>60845</v>
      </c>
    </row>
    <row r="323" spans="7:14" ht="11.25" customHeight="1" x14ac:dyDescent="0.3">
      <c r="G323" s="459">
        <f t="shared" si="36"/>
        <v>27</v>
      </c>
      <c r="H323" s="459">
        <v>316</v>
      </c>
      <c r="I323" s="444">
        <f t="shared" ca="1" si="29"/>
        <v>3505110.2164734718</v>
      </c>
      <c r="J323" s="444">
        <f t="array" ref="J323">IFERROR(INDEX('Retirement Calculator'!K:K,MATCH('Lorri 401b'!N323,'Retirement Calculator'!A:A,0),0),0)</f>
        <v>20367.195264578786</v>
      </c>
      <c r="K323" s="444">
        <f t="shared" ca="1" si="27"/>
        <v>14519.762588370386</v>
      </c>
      <c r="L323" s="444">
        <f t="shared" ca="1" si="28"/>
        <v>3499262.7837972636</v>
      </c>
      <c r="M323" s="460">
        <f t="shared" si="30"/>
        <v>0.05</v>
      </c>
      <c r="N323" s="464">
        <f t="shared" si="31"/>
        <v>60876</v>
      </c>
    </row>
    <row r="324" spans="7:14" ht="11.25" customHeight="1" x14ac:dyDescent="0.3">
      <c r="G324" s="459">
        <f t="shared" si="36"/>
        <v>27</v>
      </c>
      <c r="H324" s="459">
        <v>317</v>
      </c>
      <c r="I324" s="444">
        <f t="shared" ca="1" si="29"/>
        <v>3499262.7837972636</v>
      </c>
      <c r="J324" s="444">
        <f t="array" ref="J324">IFERROR(INDEX('Retirement Calculator'!K:K,MATCH('Lorri 401b'!N324,'Retirement Calculator'!A:A,0),0),0)</f>
        <v>20367.195264578786</v>
      </c>
      <c r="K324" s="444">
        <f t="shared" ca="1" si="27"/>
        <v>14495.398285552856</v>
      </c>
      <c r="L324" s="444">
        <f t="shared" ca="1" si="28"/>
        <v>3493390.9868182377</v>
      </c>
      <c r="M324" s="460">
        <f t="shared" si="30"/>
        <v>0.05</v>
      </c>
      <c r="N324" s="464">
        <f t="shared" si="31"/>
        <v>60906</v>
      </c>
    </row>
    <row r="325" spans="7:14" ht="11.25" customHeight="1" x14ac:dyDescent="0.3">
      <c r="G325" s="459">
        <f t="shared" si="36"/>
        <v>27</v>
      </c>
      <c r="H325" s="459">
        <v>318</v>
      </c>
      <c r="I325" s="444">
        <f t="shared" ca="1" si="29"/>
        <v>3493390.9868182377</v>
      </c>
      <c r="J325" s="444">
        <f t="array" ref="J325">IFERROR(INDEX('Retirement Calculator'!K:K,MATCH('Lorri 401b'!N325,'Retirement Calculator'!A:A,0),0),0)</f>
        <v>20367.195264578786</v>
      </c>
      <c r="K325" s="444">
        <f t="shared" ca="1" si="27"/>
        <v>14470.932464806912</v>
      </c>
      <c r="L325" s="444">
        <f t="shared" ca="1" si="28"/>
        <v>3487494.7240184657</v>
      </c>
      <c r="M325" s="460">
        <f t="shared" si="30"/>
        <v>0.05</v>
      </c>
      <c r="N325" s="464">
        <f t="shared" si="31"/>
        <v>60937</v>
      </c>
    </row>
    <row r="326" spans="7:14" ht="11.25" customHeight="1" x14ac:dyDescent="0.3">
      <c r="G326" s="459">
        <f t="shared" si="36"/>
        <v>27</v>
      </c>
      <c r="H326" s="459">
        <v>319</v>
      </c>
      <c r="I326" s="444">
        <f t="shared" ca="1" si="29"/>
        <v>3487494.7240184657</v>
      </c>
      <c r="J326" s="444">
        <f t="array" ref="J326">IFERROR(INDEX('Retirement Calculator'!K:K,MATCH('Lorri 401b'!N326,'Retirement Calculator'!A:A,0),0),0)</f>
        <v>20367.195264578786</v>
      </c>
      <c r="K326" s="444">
        <f t="shared" ca="1" si="27"/>
        <v>14446.364703141193</v>
      </c>
      <c r="L326" s="444">
        <f t="shared" ca="1" si="28"/>
        <v>3481573.8934570281</v>
      </c>
      <c r="M326" s="460">
        <f t="shared" si="30"/>
        <v>0.05</v>
      </c>
      <c r="N326" s="464">
        <f t="shared" si="31"/>
        <v>60967</v>
      </c>
    </row>
    <row r="327" spans="7:14" ht="11.25" customHeight="1" x14ac:dyDescent="0.3">
      <c r="G327" s="459">
        <f t="shared" si="36"/>
        <v>27</v>
      </c>
      <c r="H327" s="459">
        <v>320</v>
      </c>
      <c r="I327" s="444">
        <f t="shared" ca="1" si="29"/>
        <v>3481573.8934570281</v>
      </c>
      <c r="J327" s="444">
        <f t="array" ref="J327">IFERROR(INDEX('Retirement Calculator'!K:K,MATCH('Lorri 401b'!N327,'Retirement Calculator'!A:A,0),0),0)</f>
        <v>20367.195264578786</v>
      </c>
      <c r="K327" s="444">
        <f t="shared" ca="1" si="27"/>
        <v>14421.694575801872</v>
      </c>
      <c r="L327" s="444">
        <f t="shared" ca="1" si="28"/>
        <v>3475628.3927682512</v>
      </c>
      <c r="M327" s="460">
        <f t="shared" si="30"/>
        <v>0.05</v>
      </c>
      <c r="N327" s="464">
        <f t="shared" si="31"/>
        <v>60998</v>
      </c>
    </row>
    <row r="328" spans="7:14" ht="11.25" customHeight="1" x14ac:dyDescent="0.3">
      <c r="G328" s="459">
        <f t="shared" si="36"/>
        <v>27</v>
      </c>
      <c r="H328" s="459">
        <v>321</v>
      </c>
      <c r="I328" s="444">
        <f t="shared" ca="1" si="29"/>
        <v>3475628.3927682512</v>
      </c>
      <c r="J328" s="444">
        <f t="array" ref="J328">IFERROR(INDEX('Retirement Calculator'!K:K,MATCH('Lorri 401b'!N328,'Retirement Calculator'!A:A,0),0),0)</f>
        <v>20367.195264578786</v>
      </c>
      <c r="K328" s="444">
        <f t="shared" ca="1" si="27"/>
        <v>14396.921656265302</v>
      </c>
      <c r="L328" s="444">
        <f t="shared" ca="1" si="28"/>
        <v>3469658.1191599378</v>
      </c>
      <c r="M328" s="460">
        <f t="shared" si="30"/>
        <v>0.05</v>
      </c>
      <c r="N328" s="464">
        <f t="shared" si="31"/>
        <v>61029</v>
      </c>
    </row>
    <row r="329" spans="7:14" ht="11.25" customHeight="1" x14ac:dyDescent="0.3">
      <c r="G329" s="459">
        <f t="shared" si="36"/>
        <v>27</v>
      </c>
      <c r="H329" s="459">
        <v>322</v>
      </c>
      <c r="I329" s="444">
        <f t="shared" ca="1" si="29"/>
        <v>3469658.1191599378</v>
      </c>
      <c r="J329" s="444">
        <f t="array" ref="J329">IFERROR(INDEX('Retirement Calculator'!K:K,MATCH('Lorri 401b'!N329,'Retirement Calculator'!A:A,0),0),0)</f>
        <v>20367.195264578786</v>
      </c>
      <c r="K329" s="444">
        <f t="shared" ca="1" si="27"/>
        <v>14372.045516230661</v>
      </c>
      <c r="L329" s="444">
        <f t="shared" ca="1" si="28"/>
        <v>3463662.9694115897</v>
      </c>
      <c r="M329" s="460">
        <f t="shared" si="30"/>
        <v>0.05</v>
      </c>
      <c r="N329" s="464">
        <f t="shared" si="31"/>
        <v>61057</v>
      </c>
    </row>
    <row r="330" spans="7:14" ht="11.25" customHeight="1" x14ac:dyDescent="0.3">
      <c r="G330" s="459">
        <f t="shared" si="36"/>
        <v>27</v>
      </c>
      <c r="H330" s="459">
        <v>323</v>
      </c>
      <c r="I330" s="444">
        <f t="shared" ca="1" si="29"/>
        <v>3463662.9694115897</v>
      </c>
      <c r="J330" s="444">
        <f t="array" ref="J330">IFERROR(INDEX('Retirement Calculator'!K:K,MATCH('Lorri 401b'!N330,'Retirement Calculator'!A:A,0),0),0)</f>
        <v>20367.195264578786</v>
      </c>
      <c r="K330" s="444">
        <f t="shared" ca="1" si="27"/>
        <v>14347.065725612545</v>
      </c>
      <c r="L330" s="444">
        <f t="shared" ca="1" si="28"/>
        <v>3457642.8398726233</v>
      </c>
      <c r="M330" s="460">
        <f t="shared" si="30"/>
        <v>0.05</v>
      </c>
      <c r="N330" s="464">
        <f t="shared" si="31"/>
        <v>61088</v>
      </c>
    </row>
    <row r="331" spans="7:14" ht="11.25" customHeight="1" x14ac:dyDescent="0.3">
      <c r="G331" s="459">
        <f t="shared" si="36"/>
        <v>27</v>
      </c>
      <c r="H331" s="459">
        <v>324</v>
      </c>
      <c r="I331" s="444">
        <f t="shared" ca="1" si="29"/>
        <v>3457642.8398726233</v>
      </c>
      <c r="J331" s="444">
        <f t="array" ref="J331">IFERROR(INDEX('Retirement Calculator'!K:K,MATCH('Lorri 401b'!N331,'Retirement Calculator'!A:A,0),0),0)</f>
        <v>20367.195264578786</v>
      </c>
      <c r="K331" s="444">
        <f t="shared" ca="1" si="27"/>
        <v>14321.981852533521</v>
      </c>
      <c r="L331" s="444">
        <f t="shared" ca="1" si="28"/>
        <v>3451597.6264605778</v>
      </c>
      <c r="M331" s="460">
        <f t="shared" si="30"/>
        <v>0.05</v>
      </c>
      <c r="N331" s="464">
        <f t="shared" si="31"/>
        <v>61118</v>
      </c>
    </row>
    <row r="332" spans="7:14" ht="11.25" customHeight="1" x14ac:dyDescent="0.3">
      <c r="G332" s="459">
        <f>G331+1</f>
        <v>28</v>
      </c>
      <c r="H332" s="459">
        <v>325</v>
      </c>
      <c r="I332" s="444">
        <f t="shared" ca="1" si="29"/>
        <v>3451597.6264605778</v>
      </c>
      <c r="J332" s="444">
        <f t="array" ref="J332">IFERROR(INDEX('Retirement Calculator'!K:K,MATCH('Lorri 401b'!N332,'Retirement Calculator'!A:A,0),0),0)</f>
        <v>20367.195264578786</v>
      </c>
      <c r="K332" s="444">
        <f t="shared" ca="1" si="27"/>
        <v>14296.793463316662</v>
      </c>
      <c r="L332" s="444">
        <f t="shared" ca="1" si="28"/>
        <v>3445527.2246593158</v>
      </c>
      <c r="M332" s="460">
        <f t="shared" si="30"/>
        <v>0.05</v>
      </c>
      <c r="N332" s="464">
        <f t="shared" si="31"/>
        <v>61149</v>
      </c>
    </row>
    <row r="333" spans="7:14" ht="11.25" customHeight="1" x14ac:dyDescent="0.3">
      <c r="G333" s="459">
        <f t="shared" ref="G333:G343" si="37">G332</f>
        <v>28</v>
      </c>
      <c r="H333" s="459">
        <v>326</v>
      </c>
      <c r="I333" s="444">
        <f t="shared" ca="1" si="29"/>
        <v>3445527.2246593158</v>
      </c>
      <c r="J333" s="444">
        <f t="array" ref="J333">IFERROR(INDEX('Retirement Calculator'!K:K,MATCH('Lorri 401b'!N333,'Retirement Calculator'!A:A,0),0),0)</f>
        <v>20367.195264578786</v>
      </c>
      <c r="K333" s="444">
        <f t="shared" ca="1" si="27"/>
        <v>14271.50012247807</v>
      </c>
      <c r="L333" s="444">
        <f t="shared" ca="1" si="28"/>
        <v>3439431.5295172152</v>
      </c>
      <c r="M333" s="460">
        <f t="shared" si="30"/>
        <v>0.05</v>
      </c>
      <c r="N333" s="464">
        <f t="shared" si="31"/>
        <v>61179</v>
      </c>
    </row>
    <row r="334" spans="7:14" ht="11.25" customHeight="1" x14ac:dyDescent="0.3">
      <c r="G334" s="459">
        <f t="shared" si="37"/>
        <v>28</v>
      </c>
      <c r="H334" s="459">
        <v>327</v>
      </c>
      <c r="I334" s="444">
        <f t="shared" ca="1" si="29"/>
        <v>3439431.5295172152</v>
      </c>
      <c r="J334" s="444">
        <f t="array" ref="J334">IFERROR(INDEX('Retirement Calculator'!K:K,MATCH('Lorri 401b'!N334,'Retirement Calculator'!A:A,0),0),0)</f>
        <v>20367.195264578786</v>
      </c>
      <c r="K334" s="444">
        <f t="shared" ca="1" si="27"/>
        <v>14246.101392719318</v>
      </c>
      <c r="L334" s="444">
        <f t="shared" ca="1" si="28"/>
        <v>3433310.4356453558</v>
      </c>
      <c r="M334" s="460">
        <f t="shared" si="30"/>
        <v>0.05</v>
      </c>
      <c r="N334" s="464">
        <f t="shared" si="31"/>
        <v>61210</v>
      </c>
    </row>
    <row r="335" spans="7:14" ht="11.25" customHeight="1" x14ac:dyDescent="0.3">
      <c r="G335" s="459">
        <f t="shared" si="37"/>
        <v>28</v>
      </c>
      <c r="H335" s="459">
        <v>328</v>
      </c>
      <c r="I335" s="444">
        <f t="shared" ca="1" si="29"/>
        <v>3433310.4356453558</v>
      </c>
      <c r="J335" s="444">
        <f t="array" ref="J335">IFERROR(INDEX('Retirement Calculator'!K:K,MATCH('Lorri 401b'!N335,'Retirement Calculator'!A:A,0),0),0)</f>
        <v>20367.195264578786</v>
      </c>
      <c r="K335" s="444">
        <f t="shared" ca="1" si="27"/>
        <v>14220.596834919907</v>
      </c>
      <c r="L335" s="444">
        <f t="shared" ca="1" si="28"/>
        <v>3427163.8372156969</v>
      </c>
      <c r="M335" s="460">
        <f t="shared" si="30"/>
        <v>0.05</v>
      </c>
      <c r="N335" s="464">
        <f t="shared" si="31"/>
        <v>61241</v>
      </c>
    </row>
    <row r="336" spans="7:14" ht="11.25" customHeight="1" x14ac:dyDescent="0.3">
      <c r="G336" s="459">
        <f t="shared" si="37"/>
        <v>28</v>
      </c>
      <c r="H336" s="459">
        <v>329</v>
      </c>
      <c r="I336" s="444">
        <f t="shared" ca="1" si="29"/>
        <v>3427163.8372156969</v>
      </c>
      <c r="J336" s="444">
        <f t="array" ref="J336">IFERROR(INDEX('Retirement Calculator'!K:K,MATCH('Lorri 401b'!N336,'Retirement Calculator'!A:A,0),0),0)</f>
        <v>20367.195264578786</v>
      </c>
      <c r="K336" s="444">
        <f t="shared" ca="1" si="27"/>
        <v>14194.986008129659</v>
      </c>
      <c r="L336" s="444">
        <f t="shared" ca="1" si="28"/>
        <v>3420991.6279592477</v>
      </c>
      <c r="M336" s="460">
        <f t="shared" si="30"/>
        <v>0.05</v>
      </c>
      <c r="N336" s="464">
        <f t="shared" si="31"/>
        <v>61271</v>
      </c>
    </row>
    <row r="337" spans="7:14" ht="11.25" customHeight="1" x14ac:dyDescent="0.3">
      <c r="G337" s="459">
        <f t="shared" si="37"/>
        <v>28</v>
      </c>
      <c r="H337" s="459">
        <v>330</v>
      </c>
      <c r="I337" s="444">
        <f t="shared" ca="1" si="29"/>
        <v>3420991.6279592477</v>
      </c>
      <c r="J337" s="444">
        <f t="array" ref="J337">IFERROR(INDEX('Retirement Calculator'!K:K,MATCH('Lorri 401b'!N337,'Retirement Calculator'!A:A,0),0),0)</f>
        <v>20367.195264578786</v>
      </c>
      <c r="K337" s="444">
        <f t="shared" ca="1" si="27"/>
        <v>14169.268469561119</v>
      </c>
      <c r="L337" s="444">
        <f t="shared" ca="1" si="28"/>
        <v>3414793.7011642298</v>
      </c>
      <c r="M337" s="460">
        <f t="shared" si="30"/>
        <v>0.05</v>
      </c>
      <c r="N337" s="464">
        <f t="shared" si="31"/>
        <v>61302</v>
      </c>
    </row>
    <row r="338" spans="7:14" ht="11.25" customHeight="1" x14ac:dyDescent="0.3">
      <c r="G338" s="459">
        <f t="shared" si="37"/>
        <v>28</v>
      </c>
      <c r="H338" s="459">
        <v>331</v>
      </c>
      <c r="I338" s="444">
        <f t="shared" ca="1" si="29"/>
        <v>3414793.7011642298</v>
      </c>
      <c r="J338" s="444">
        <f t="array" ref="J338">IFERROR(INDEX('Retirement Calculator'!K:K,MATCH('Lorri 401b'!N338,'Retirement Calculator'!A:A,0),0),0)</f>
        <v>20367.195264578786</v>
      </c>
      <c r="K338" s="444">
        <f t="shared" ca="1" si="27"/>
        <v>14143.44377458188</v>
      </c>
      <c r="L338" s="444">
        <f t="shared" ca="1" si="28"/>
        <v>3408569.9496742329</v>
      </c>
      <c r="M338" s="460">
        <f t="shared" si="30"/>
        <v>0.05</v>
      </c>
      <c r="N338" s="464">
        <f t="shared" si="31"/>
        <v>61332</v>
      </c>
    </row>
    <row r="339" spans="7:14" ht="11.25" customHeight="1" x14ac:dyDescent="0.3">
      <c r="G339" s="459">
        <f t="shared" si="37"/>
        <v>28</v>
      </c>
      <c r="H339" s="459">
        <v>332</v>
      </c>
      <c r="I339" s="444">
        <f t="shared" ca="1" si="29"/>
        <v>3408569.9496742329</v>
      </c>
      <c r="J339" s="444">
        <f t="array" ref="J339">IFERROR(INDEX('Retirement Calculator'!K:K,MATCH('Lorri 401b'!N339,'Retirement Calculator'!A:A,0),0),0)</f>
        <v>20367.195264578786</v>
      </c>
      <c r="K339" s="444">
        <f t="shared" ca="1" si="27"/>
        <v>14117.511476706892</v>
      </c>
      <c r="L339" s="444">
        <f t="shared" ca="1" si="28"/>
        <v>3402320.2658863608</v>
      </c>
      <c r="M339" s="460">
        <f t="shared" si="30"/>
        <v>0.05</v>
      </c>
      <c r="N339" s="464">
        <f t="shared" si="31"/>
        <v>61363</v>
      </c>
    </row>
    <row r="340" spans="7:14" ht="11.25" customHeight="1" x14ac:dyDescent="0.3">
      <c r="G340" s="459">
        <f t="shared" si="37"/>
        <v>28</v>
      </c>
      <c r="H340" s="459">
        <v>333</v>
      </c>
      <c r="I340" s="444">
        <f t="shared" ca="1" si="29"/>
        <v>3402320.2658863608</v>
      </c>
      <c r="J340" s="444">
        <f t="array" ref="J340">IFERROR(INDEX('Retirement Calculator'!K:K,MATCH('Lorri 401b'!N340,'Retirement Calculator'!A:A,0),0),0)</f>
        <v>20367.195264578786</v>
      </c>
      <c r="K340" s="444">
        <f t="shared" ca="1" si="27"/>
        <v>14091.471127590758</v>
      </c>
      <c r="L340" s="444">
        <f t="shared" ca="1" si="28"/>
        <v>3396044.5417493726</v>
      </c>
      <c r="M340" s="460">
        <f t="shared" si="30"/>
        <v>0.05</v>
      </c>
      <c r="N340" s="464">
        <f t="shared" si="31"/>
        <v>61394</v>
      </c>
    </row>
    <row r="341" spans="7:14" ht="11.25" customHeight="1" x14ac:dyDescent="0.3">
      <c r="G341" s="459">
        <f t="shared" si="37"/>
        <v>28</v>
      </c>
      <c r="H341" s="459">
        <v>334</v>
      </c>
      <c r="I341" s="444">
        <f t="shared" ca="1" si="29"/>
        <v>3396044.5417493726</v>
      </c>
      <c r="J341" s="444">
        <f t="array" ref="J341">IFERROR(INDEX('Retirement Calculator'!K:K,MATCH('Lorri 401b'!N341,'Retirement Calculator'!A:A,0),0),0)</f>
        <v>20367.195264578786</v>
      </c>
      <c r="K341" s="444">
        <f t="shared" ca="1" si="27"/>
        <v>14065.322277019975</v>
      </c>
      <c r="L341" s="444">
        <f t="shared" ca="1" si="28"/>
        <v>3389742.668761814</v>
      </c>
      <c r="M341" s="460">
        <f t="shared" si="30"/>
        <v>0.05</v>
      </c>
      <c r="N341" s="464">
        <f t="shared" si="31"/>
        <v>61423</v>
      </c>
    </row>
    <row r="342" spans="7:14" ht="11.25" customHeight="1" x14ac:dyDescent="0.3">
      <c r="G342" s="459">
        <f t="shared" si="37"/>
        <v>28</v>
      </c>
      <c r="H342" s="459">
        <v>335</v>
      </c>
      <c r="I342" s="444">
        <f t="shared" ca="1" si="29"/>
        <v>3389742.668761814</v>
      </c>
      <c r="J342" s="444">
        <f t="array" ref="J342">IFERROR(INDEX('Retirement Calculator'!K:K,MATCH('Lorri 401b'!N342,'Retirement Calculator'!A:A,0),0),0)</f>
        <v>20367.195264578786</v>
      </c>
      <c r="K342" s="444">
        <f t="shared" ca="1" si="27"/>
        <v>14039.064472905147</v>
      </c>
      <c r="L342" s="444">
        <f t="shared" ca="1" si="28"/>
        <v>3383414.5379701406</v>
      </c>
      <c r="M342" s="460">
        <f t="shared" si="30"/>
        <v>0.05</v>
      </c>
      <c r="N342" s="464">
        <f t="shared" si="31"/>
        <v>61454</v>
      </c>
    </row>
    <row r="343" spans="7:14" ht="11.25" customHeight="1" x14ac:dyDescent="0.3">
      <c r="G343" s="459">
        <f t="shared" si="37"/>
        <v>28</v>
      </c>
      <c r="H343" s="459">
        <v>336</v>
      </c>
      <c r="I343" s="444">
        <f t="shared" ca="1" si="29"/>
        <v>3383414.5379701406</v>
      </c>
      <c r="J343" s="444">
        <f t="array" ref="J343">IFERROR(INDEX('Retirement Calculator'!K:K,MATCH('Lorri 401b'!N343,'Retirement Calculator'!A:A,0),0),0)</f>
        <v>20367.195264578786</v>
      </c>
      <c r="K343" s="444">
        <f t="shared" ca="1" si="27"/>
        <v>14012.697261273173</v>
      </c>
      <c r="L343" s="444">
        <f t="shared" ca="1" si="28"/>
        <v>3377060.0399668352</v>
      </c>
      <c r="M343" s="460">
        <f t="shared" si="30"/>
        <v>0.05</v>
      </c>
      <c r="N343" s="464">
        <f t="shared" si="31"/>
        <v>61484</v>
      </c>
    </row>
    <row r="344" spans="7:14" ht="11.25" customHeight="1" x14ac:dyDescent="0.3">
      <c r="G344" s="459">
        <f>G343+1</f>
        <v>29</v>
      </c>
      <c r="H344" s="459">
        <v>337</v>
      </c>
      <c r="I344" s="444">
        <f t="shared" ca="1" si="29"/>
        <v>3377060.0399668352</v>
      </c>
      <c r="J344" s="444">
        <f t="array" ref="J344">IFERROR(INDEX('Retirement Calculator'!K:K,MATCH('Lorri 401b'!N344,'Retirement Calculator'!A:A,0),0),0)</f>
        <v>20367.195264578786</v>
      </c>
      <c r="K344" s="444">
        <f t="shared" ca="1" si="27"/>
        <v>13986.220186259399</v>
      </c>
      <c r="L344" s="444">
        <f t="shared" ca="1" si="28"/>
        <v>3370679.064888516</v>
      </c>
      <c r="M344" s="460">
        <f t="shared" si="30"/>
        <v>0.05</v>
      </c>
      <c r="N344" s="464">
        <f t="shared" si="31"/>
        <v>61515</v>
      </c>
    </row>
    <row r="345" spans="7:14" ht="11.25" customHeight="1" x14ac:dyDescent="0.3">
      <c r="G345" s="459">
        <f t="shared" ref="G345:G355" si="38">G344</f>
        <v>29</v>
      </c>
      <c r="H345" s="459">
        <v>338</v>
      </c>
      <c r="I345" s="444">
        <f t="shared" ca="1" si="29"/>
        <v>3370679.064888516</v>
      </c>
      <c r="J345" s="444">
        <f t="array" ref="J345">IFERROR(INDEX('Retirement Calculator'!K:K,MATCH('Lorri 401b'!N345,'Retirement Calculator'!A:A,0),0),0)</f>
        <v>20367.195264578786</v>
      </c>
      <c r="K345" s="444">
        <f t="shared" ca="1" si="27"/>
        <v>13959.632790099738</v>
      </c>
      <c r="L345" s="444">
        <f t="shared" ca="1" si="28"/>
        <v>3364271.502414037</v>
      </c>
      <c r="M345" s="460">
        <f t="shared" si="30"/>
        <v>0.05</v>
      </c>
      <c r="N345" s="464">
        <f t="shared" si="31"/>
        <v>61545</v>
      </c>
    </row>
    <row r="346" spans="7:14" ht="11.25" customHeight="1" x14ac:dyDescent="0.3">
      <c r="G346" s="459">
        <f t="shared" si="38"/>
        <v>29</v>
      </c>
      <c r="H346" s="459">
        <v>339</v>
      </c>
      <c r="I346" s="444">
        <f t="shared" ca="1" si="29"/>
        <v>3364271.502414037</v>
      </c>
      <c r="J346" s="444">
        <f t="array" ref="J346">IFERROR(INDEX('Retirement Calculator'!K:K,MATCH('Lorri 401b'!N346,'Retirement Calculator'!A:A,0),0),0)</f>
        <v>20367.195264578786</v>
      </c>
      <c r="K346" s="444">
        <f t="shared" ca="1" si="27"/>
        <v>13932.934613122745</v>
      </c>
      <c r="L346" s="444">
        <f t="shared" ca="1" si="28"/>
        <v>3357837.2417625808</v>
      </c>
      <c r="M346" s="460">
        <f t="shared" si="30"/>
        <v>0.05</v>
      </c>
      <c r="N346" s="464">
        <f t="shared" si="31"/>
        <v>61576</v>
      </c>
    </row>
    <row r="347" spans="7:14" ht="11.25" customHeight="1" x14ac:dyDescent="0.3">
      <c r="G347" s="459">
        <f t="shared" si="38"/>
        <v>29</v>
      </c>
      <c r="H347" s="459">
        <v>340</v>
      </c>
      <c r="I347" s="444">
        <f t="shared" ca="1" si="29"/>
        <v>3357837.2417625808</v>
      </c>
      <c r="J347" s="444">
        <f t="array" ref="J347">IFERROR(INDEX('Retirement Calculator'!K:K,MATCH('Lorri 401b'!N347,'Retirement Calculator'!A:A,0),0),0)</f>
        <v>20367.195264578786</v>
      </c>
      <c r="K347" s="444">
        <f t="shared" ca="1" si="27"/>
        <v>13906.125193741675</v>
      </c>
      <c r="L347" s="444">
        <f t="shared" ca="1" si="28"/>
        <v>3351376.1716917437</v>
      </c>
      <c r="M347" s="460">
        <f t="shared" si="30"/>
        <v>0.05</v>
      </c>
      <c r="N347" s="464">
        <f t="shared" si="31"/>
        <v>61607</v>
      </c>
    </row>
    <row r="348" spans="7:14" ht="11.25" customHeight="1" x14ac:dyDescent="0.3">
      <c r="G348" s="459">
        <f t="shared" si="38"/>
        <v>29</v>
      </c>
      <c r="H348" s="459">
        <v>341</v>
      </c>
      <c r="I348" s="444">
        <f t="shared" ca="1" si="29"/>
        <v>3351376.1716917437</v>
      </c>
      <c r="J348" s="444">
        <f t="array" ref="J348">IFERROR(INDEX('Retirement Calculator'!K:K,MATCH('Lorri 401b'!N348,'Retirement Calculator'!A:A,0),0),0)</f>
        <v>20367.195264578786</v>
      </c>
      <c r="K348" s="444">
        <f t="shared" ca="1" si="27"/>
        <v>13879.204068446519</v>
      </c>
      <c r="L348" s="444">
        <f t="shared" ca="1" si="28"/>
        <v>3344888.1804956114</v>
      </c>
      <c r="M348" s="460">
        <f t="shared" si="30"/>
        <v>0.05</v>
      </c>
      <c r="N348" s="464">
        <f t="shared" si="31"/>
        <v>61637</v>
      </c>
    </row>
    <row r="349" spans="7:14" ht="11.25" customHeight="1" x14ac:dyDescent="0.3">
      <c r="G349" s="459">
        <f t="shared" si="38"/>
        <v>29</v>
      </c>
      <c r="H349" s="459">
        <v>342</v>
      </c>
      <c r="I349" s="444">
        <f t="shared" ca="1" si="29"/>
        <v>3344888.1804956114</v>
      </c>
      <c r="J349" s="444">
        <f t="array" ref="J349">IFERROR(INDEX('Retirement Calculator'!K:K,MATCH('Lorri 401b'!N349,'Retirement Calculator'!A:A,0),0),0)</f>
        <v>20367.195264578786</v>
      </c>
      <c r="K349" s="444">
        <f t="shared" ca="1" si="27"/>
        <v>13852.170771795969</v>
      </c>
      <c r="L349" s="444">
        <f t="shared" ca="1" si="28"/>
        <v>3338373.1560028284</v>
      </c>
      <c r="M349" s="460">
        <f t="shared" si="30"/>
        <v>0.05</v>
      </c>
      <c r="N349" s="464">
        <f t="shared" si="31"/>
        <v>61668</v>
      </c>
    </row>
    <row r="350" spans="7:14" ht="11.25" customHeight="1" x14ac:dyDescent="0.3">
      <c r="G350" s="459">
        <f t="shared" si="38"/>
        <v>29</v>
      </c>
      <c r="H350" s="459">
        <v>343</v>
      </c>
      <c r="I350" s="444">
        <f t="shared" ca="1" si="29"/>
        <v>3338373.1560028284</v>
      </c>
      <c r="J350" s="444">
        <f t="array" ref="J350">IFERROR(INDEX('Retirement Calculator'!K:K,MATCH('Lorri 401b'!N350,'Retirement Calculator'!A:A,0),0),0)</f>
        <v>20367.195264578786</v>
      </c>
      <c r="K350" s="444">
        <f t="shared" ca="1" si="27"/>
        <v>13825.024836409373</v>
      </c>
      <c r="L350" s="444">
        <f t="shared" ca="1" si="28"/>
        <v>3331830.985574659</v>
      </c>
      <c r="M350" s="460">
        <f t="shared" si="30"/>
        <v>0.05</v>
      </c>
      <c r="N350" s="464">
        <f t="shared" si="31"/>
        <v>61698</v>
      </c>
    </row>
    <row r="351" spans="7:14" ht="11.25" customHeight="1" x14ac:dyDescent="0.3">
      <c r="G351" s="459">
        <f t="shared" si="38"/>
        <v>29</v>
      </c>
      <c r="H351" s="459">
        <v>344</v>
      </c>
      <c r="I351" s="444">
        <f t="shared" ca="1" si="29"/>
        <v>3331830.985574659</v>
      </c>
      <c r="J351" s="444">
        <f t="array" ref="J351">IFERROR(INDEX('Retirement Calculator'!K:K,MATCH('Lorri 401b'!N351,'Retirement Calculator'!A:A,0),0),0)</f>
        <v>20367.195264578786</v>
      </c>
      <c r="K351" s="444">
        <f t="shared" ca="1" si="27"/>
        <v>13797.765792958668</v>
      </c>
      <c r="L351" s="444">
        <f t="shared" ca="1" si="28"/>
        <v>3325261.5561030386</v>
      </c>
      <c r="M351" s="460">
        <f t="shared" si="30"/>
        <v>0.05</v>
      </c>
      <c r="N351" s="464">
        <f t="shared" si="31"/>
        <v>61729</v>
      </c>
    </row>
    <row r="352" spans="7:14" ht="11.25" customHeight="1" x14ac:dyDescent="0.3">
      <c r="G352" s="459">
        <f t="shared" si="38"/>
        <v>29</v>
      </c>
      <c r="H352" s="459">
        <v>345</v>
      </c>
      <c r="I352" s="444">
        <f t="shared" ca="1" si="29"/>
        <v>3325261.5561030386</v>
      </c>
      <c r="J352" s="444">
        <f t="array" ref="J352">IFERROR(INDEX('Retirement Calculator'!K:K,MATCH('Lorri 401b'!N352,'Retirement Calculator'!A:A,0),0),0)</f>
        <v>20367.195264578786</v>
      </c>
      <c r="K352" s="444">
        <f t="shared" ca="1" si="27"/>
        <v>13770.393170160249</v>
      </c>
      <c r="L352" s="444">
        <f t="shared" ca="1" si="28"/>
        <v>3318664.75400862</v>
      </c>
      <c r="M352" s="460">
        <f t="shared" si="30"/>
        <v>0.05</v>
      </c>
      <c r="N352" s="464">
        <f t="shared" si="31"/>
        <v>61760</v>
      </c>
    </row>
    <row r="353" spans="7:14" ht="11.25" customHeight="1" x14ac:dyDescent="0.3">
      <c r="G353" s="459">
        <f t="shared" si="38"/>
        <v>29</v>
      </c>
      <c r="H353" s="459">
        <v>346</v>
      </c>
      <c r="I353" s="444">
        <f t="shared" ca="1" si="29"/>
        <v>3318664.75400862</v>
      </c>
      <c r="J353" s="444">
        <f t="array" ref="J353">IFERROR(INDEX('Retirement Calculator'!K:K,MATCH('Lorri 401b'!N353,'Retirement Calculator'!A:A,0),0),0)</f>
        <v>20367.195264578786</v>
      </c>
      <c r="K353" s="444">
        <f t="shared" ca="1" si="27"/>
        <v>13742.906494766838</v>
      </c>
      <c r="L353" s="444">
        <f t="shared" ca="1" si="28"/>
        <v>3312040.4652388082</v>
      </c>
      <c r="M353" s="460">
        <f t="shared" si="30"/>
        <v>0.05</v>
      </c>
      <c r="N353" s="464">
        <f t="shared" si="31"/>
        <v>61788</v>
      </c>
    </row>
    <row r="354" spans="7:14" ht="11.25" customHeight="1" x14ac:dyDescent="0.3">
      <c r="G354" s="459">
        <f t="shared" si="38"/>
        <v>29</v>
      </c>
      <c r="H354" s="459">
        <v>347</v>
      </c>
      <c r="I354" s="444">
        <f t="shared" ca="1" si="29"/>
        <v>3312040.4652388082</v>
      </c>
      <c r="J354" s="444">
        <f t="array" ref="J354">IFERROR(INDEX('Retirement Calculator'!K:K,MATCH('Lorri 401b'!N354,'Retirement Calculator'!A:A,0),0),0)</f>
        <v>20367.195264578786</v>
      </c>
      <c r="K354" s="444">
        <f t="shared" ca="1" si="27"/>
        <v>13715.305291559287</v>
      </c>
      <c r="L354" s="444">
        <f t="shared" ca="1" si="28"/>
        <v>3305388.5752657885</v>
      </c>
      <c r="M354" s="460">
        <f t="shared" si="30"/>
        <v>0.05</v>
      </c>
      <c r="N354" s="464">
        <f t="shared" si="31"/>
        <v>61819</v>
      </c>
    </row>
    <row r="355" spans="7:14" ht="11.25" customHeight="1" x14ac:dyDescent="0.3">
      <c r="G355" s="459">
        <f t="shared" si="38"/>
        <v>29</v>
      </c>
      <c r="H355" s="459">
        <v>348</v>
      </c>
      <c r="I355" s="444">
        <f t="shared" ca="1" si="29"/>
        <v>3305388.5752657885</v>
      </c>
      <c r="J355" s="444">
        <f t="array" ref="J355">IFERROR(INDEX('Retirement Calculator'!K:K,MATCH('Lorri 401b'!N355,'Retirement Calculator'!A:A,0),0),0)</f>
        <v>20367.195264578786</v>
      </c>
      <c r="K355" s="444">
        <f t="shared" ca="1" si="27"/>
        <v>13687.589083338375</v>
      </c>
      <c r="L355" s="444">
        <f t="shared" ca="1" si="28"/>
        <v>3298708.9690845478</v>
      </c>
      <c r="M355" s="460">
        <f t="shared" si="30"/>
        <v>0.05</v>
      </c>
      <c r="N355" s="464">
        <f t="shared" si="31"/>
        <v>61849</v>
      </c>
    </row>
    <row r="356" spans="7:14" ht="11.25" customHeight="1" x14ac:dyDescent="0.3">
      <c r="G356" s="459">
        <f>G355+1</f>
        <v>30</v>
      </c>
      <c r="H356" s="459">
        <v>349</v>
      </c>
      <c r="I356" s="444">
        <f t="shared" ca="1" si="29"/>
        <v>3298708.9690845478</v>
      </c>
      <c r="J356" s="444">
        <f t="array" ref="J356">IFERROR(INDEX('Retirement Calculator'!K:K,MATCH('Lorri 401b'!N356,'Retirement Calculator'!A:A,0),0),0)</f>
        <v>20367.195264578786</v>
      </c>
      <c r="K356" s="444">
        <f t="shared" ca="1" si="27"/>
        <v>13659.757390916538</v>
      </c>
      <c r="L356" s="444">
        <f t="shared" ca="1" si="28"/>
        <v>3292001.5312108854</v>
      </c>
      <c r="M356" s="460">
        <f t="shared" si="30"/>
        <v>0.05</v>
      </c>
      <c r="N356" s="464">
        <f t="shared" si="31"/>
        <v>61880</v>
      </c>
    </row>
    <row r="357" spans="7:14" ht="11.25" customHeight="1" x14ac:dyDescent="0.3">
      <c r="G357" s="459">
        <f t="shared" ref="G357:G367" si="39">G356</f>
        <v>30</v>
      </c>
      <c r="H357" s="459">
        <v>350</v>
      </c>
      <c r="I357" s="444">
        <f t="shared" ca="1" si="29"/>
        <v>3292001.5312108854</v>
      </c>
      <c r="J357" s="444">
        <f t="array" ref="J357">IFERROR(INDEX('Retirement Calculator'!K:K,MATCH('Lorri 401b'!N357,'Retirement Calculator'!A:A,0),0),0)</f>
        <v>20367.195264578786</v>
      </c>
      <c r="K357" s="444">
        <f t="shared" ca="1" si="27"/>
        <v>13631.809733109612</v>
      </c>
      <c r="L357" s="444">
        <f t="shared" ca="1" si="28"/>
        <v>3285266.1456794161</v>
      </c>
      <c r="M357" s="460">
        <f t="shared" si="30"/>
        <v>0.05</v>
      </c>
      <c r="N357" s="464">
        <f t="shared" si="31"/>
        <v>61910</v>
      </c>
    </row>
    <row r="358" spans="7:14" ht="11.25" customHeight="1" x14ac:dyDescent="0.3">
      <c r="G358" s="459">
        <f t="shared" si="39"/>
        <v>30</v>
      </c>
      <c r="H358" s="459">
        <v>351</v>
      </c>
      <c r="I358" s="444">
        <f t="shared" ca="1" si="29"/>
        <v>3285266.1456794161</v>
      </c>
      <c r="J358" s="444">
        <f t="array" ref="J358">IFERROR(INDEX('Retirement Calculator'!K:K,MATCH('Lorri 401b'!N358,'Retirement Calculator'!A:A,0),0),0)</f>
        <v>20367.195264578786</v>
      </c>
      <c r="K358" s="444">
        <f t="shared" ca="1" si="27"/>
        <v>13603.745626728489</v>
      </c>
      <c r="L358" s="444">
        <f t="shared" ca="1" si="28"/>
        <v>3278502.6960415659</v>
      </c>
      <c r="M358" s="460">
        <f t="shared" si="30"/>
        <v>0.05</v>
      </c>
      <c r="N358" s="464">
        <f t="shared" si="31"/>
        <v>61941</v>
      </c>
    </row>
    <row r="359" spans="7:14" ht="11.25" customHeight="1" x14ac:dyDescent="0.3">
      <c r="G359" s="459">
        <f t="shared" si="39"/>
        <v>30</v>
      </c>
      <c r="H359" s="459">
        <v>352</v>
      </c>
      <c r="I359" s="444">
        <f t="shared" ca="1" si="29"/>
        <v>3278502.6960415659</v>
      </c>
      <c r="J359" s="444">
        <f t="array" ref="J359">IFERROR(INDEX('Retirement Calculator'!K:K,MATCH('Lorri 401b'!N359,'Retirement Calculator'!A:A,0),0),0)</f>
        <v>20367.195264578786</v>
      </c>
      <c r="K359" s="444">
        <f t="shared" ca="1" si="27"/>
        <v>13575.564586570779</v>
      </c>
      <c r="L359" s="444">
        <f t="shared" ca="1" si="28"/>
        <v>3271711.065363558</v>
      </c>
      <c r="M359" s="460">
        <f t="shared" si="30"/>
        <v>0.05</v>
      </c>
      <c r="N359" s="464">
        <f t="shared" si="31"/>
        <v>61972</v>
      </c>
    </row>
    <row r="360" spans="7:14" ht="11.25" customHeight="1" x14ac:dyDescent="0.3">
      <c r="G360" s="459">
        <f t="shared" si="39"/>
        <v>30</v>
      </c>
      <c r="H360" s="459">
        <v>353</v>
      </c>
      <c r="I360" s="444">
        <f t="shared" ca="1" si="29"/>
        <v>3271711.065363558</v>
      </c>
      <c r="J360" s="444">
        <f t="array" ref="J360">IFERROR(INDEX('Retirement Calculator'!K:K,MATCH('Lorri 401b'!N360,'Retirement Calculator'!A:A,0),0),0)</f>
        <v>20367.195264578786</v>
      </c>
      <c r="K360" s="444">
        <f t="shared" ca="1" si="27"/>
        <v>13547.266125412412</v>
      </c>
      <c r="L360" s="444">
        <f t="shared" ca="1" si="28"/>
        <v>3264891.1362243914</v>
      </c>
      <c r="M360" s="460">
        <f t="shared" si="30"/>
        <v>0.05</v>
      </c>
      <c r="N360" s="464">
        <f t="shared" si="31"/>
        <v>62002</v>
      </c>
    </row>
    <row r="361" spans="7:14" ht="11.25" customHeight="1" x14ac:dyDescent="0.3">
      <c r="G361" s="459">
        <f t="shared" si="39"/>
        <v>30</v>
      </c>
      <c r="H361" s="459">
        <v>354</v>
      </c>
      <c r="I361" s="444">
        <f t="shared" ca="1" si="29"/>
        <v>3264891.1362243914</v>
      </c>
      <c r="J361" s="444">
        <f t="array" ref="J361">IFERROR(INDEX('Retirement Calculator'!K:K,MATCH('Lorri 401b'!N361,'Retirement Calculator'!A:A,0),0),0)</f>
        <v>20367.195264578786</v>
      </c>
      <c r="K361" s="444">
        <f t="shared" ca="1" si="27"/>
        <v>13518.849753999219</v>
      </c>
      <c r="L361" s="444">
        <f t="shared" ca="1" si="28"/>
        <v>3258042.7907138118</v>
      </c>
      <c r="M361" s="460">
        <f t="shared" si="30"/>
        <v>0.05</v>
      </c>
      <c r="N361" s="464">
        <f t="shared" si="31"/>
        <v>62033</v>
      </c>
    </row>
    <row r="362" spans="7:14" ht="11.25" customHeight="1" x14ac:dyDescent="0.3">
      <c r="G362" s="459">
        <f t="shared" si="39"/>
        <v>30</v>
      </c>
      <c r="H362" s="459">
        <v>355</v>
      </c>
      <c r="I362" s="444">
        <f t="shared" ca="1" si="29"/>
        <v>3258042.7907138118</v>
      </c>
      <c r="J362" s="444">
        <f t="array" ref="J362">IFERROR(INDEX('Retirement Calculator'!K:K,MATCH('Lorri 401b'!N362,'Retirement Calculator'!A:A,0),0),0)</f>
        <v>20367.195264578786</v>
      </c>
      <c r="K362" s="444">
        <f t="shared" ca="1" si="27"/>
        <v>13490.314981038471</v>
      </c>
      <c r="L362" s="444">
        <f t="shared" ca="1" si="28"/>
        <v>3251165.9104302716</v>
      </c>
      <c r="M362" s="460">
        <f t="shared" si="30"/>
        <v>0.05</v>
      </c>
      <c r="N362" s="464">
        <f t="shared" si="31"/>
        <v>62063</v>
      </c>
    </row>
    <row r="363" spans="7:14" ht="11.25" customHeight="1" x14ac:dyDescent="0.3">
      <c r="G363" s="459">
        <f t="shared" si="39"/>
        <v>30</v>
      </c>
      <c r="H363" s="459">
        <v>356</v>
      </c>
      <c r="I363" s="444">
        <f t="shared" ca="1" si="29"/>
        <v>3251165.9104302716</v>
      </c>
      <c r="J363" s="444">
        <f t="array" ref="J363">IFERROR(INDEX('Retirement Calculator'!K:K,MATCH('Lorri 401b'!N363,'Retirement Calculator'!A:A,0),0),0)</f>
        <v>20367.195264578786</v>
      </c>
      <c r="K363" s="444">
        <f t="shared" ca="1" si="27"/>
        <v>13461.661313190387</v>
      </c>
      <c r="L363" s="444">
        <f t="shared" ca="1" si="28"/>
        <v>3244260.3764788834</v>
      </c>
      <c r="M363" s="460">
        <f t="shared" si="30"/>
        <v>0.05</v>
      </c>
      <c r="N363" s="464">
        <f t="shared" si="31"/>
        <v>62094</v>
      </c>
    </row>
    <row r="364" spans="7:14" ht="11.25" customHeight="1" x14ac:dyDescent="0.3">
      <c r="G364" s="459">
        <f t="shared" si="39"/>
        <v>30</v>
      </c>
      <c r="H364" s="459">
        <v>357</v>
      </c>
      <c r="I364" s="444">
        <f t="shared" ca="1" si="29"/>
        <v>3244260.3764788834</v>
      </c>
      <c r="J364" s="444">
        <f t="array" ref="J364">IFERROR(INDEX('Retirement Calculator'!K:K,MATCH('Lorri 401b'!N364,'Retirement Calculator'!A:A,0),0),0)</f>
        <v>20367.195264578786</v>
      </c>
      <c r="K364" s="444">
        <f t="shared" ca="1" si="27"/>
        <v>13432.888255059603</v>
      </c>
      <c r="L364" s="444">
        <f t="shared" ca="1" si="28"/>
        <v>3237326.0694693644</v>
      </c>
      <c r="M364" s="460">
        <f t="shared" si="30"/>
        <v>0.05</v>
      </c>
      <c r="N364" s="464">
        <f t="shared" si="31"/>
        <v>62125</v>
      </c>
    </row>
    <row r="365" spans="7:14" ht="11.25" customHeight="1" x14ac:dyDescent="0.3">
      <c r="G365" s="459">
        <f t="shared" si="39"/>
        <v>30</v>
      </c>
      <c r="H365" s="459">
        <v>358</v>
      </c>
      <c r="I365" s="444">
        <f t="shared" ca="1" si="29"/>
        <v>3237326.0694693644</v>
      </c>
      <c r="J365" s="444">
        <f t="array" ref="J365">IFERROR(INDEX('Retirement Calculator'!K:K,MATCH('Lorri 401b'!N365,'Retirement Calculator'!A:A,0),0),0)</f>
        <v>20367.195264578786</v>
      </c>
      <c r="K365" s="444">
        <f t="shared" ca="1" si="27"/>
        <v>13403.995309186606</v>
      </c>
      <c r="L365" s="444">
        <f t="shared" ca="1" si="28"/>
        <v>3230362.8695139722</v>
      </c>
      <c r="M365" s="460">
        <f t="shared" si="30"/>
        <v>0.05</v>
      </c>
      <c r="N365" s="464">
        <f t="shared" si="31"/>
        <v>62153</v>
      </c>
    </row>
    <row r="366" spans="7:14" ht="11.25" customHeight="1" x14ac:dyDescent="0.3">
      <c r="G366" s="459">
        <f t="shared" si="39"/>
        <v>30</v>
      </c>
      <c r="H366" s="459">
        <v>359</v>
      </c>
      <c r="I366" s="444">
        <f t="shared" ca="1" si="29"/>
        <v>3230362.8695139722</v>
      </c>
      <c r="J366" s="444">
        <f t="array" ref="J366">IFERROR(INDEX('Retirement Calculator'!K:K,MATCH('Lorri 401b'!N366,'Retirement Calculator'!A:A,0),0),0)</f>
        <v>20367.195264578786</v>
      </c>
      <c r="K366" s="444">
        <f t="shared" ca="1" si="27"/>
        <v>13374.981976039138</v>
      </c>
      <c r="L366" s="444">
        <f t="shared" ca="1" si="28"/>
        <v>3223370.6562254326</v>
      </c>
      <c r="M366" s="460">
        <f t="shared" si="30"/>
        <v>0.05</v>
      </c>
      <c r="N366" s="464">
        <f t="shared" si="31"/>
        <v>62184</v>
      </c>
    </row>
    <row r="367" spans="7:14" ht="11.25" customHeight="1" x14ac:dyDescent="0.3">
      <c r="G367" s="459">
        <f t="shared" si="39"/>
        <v>30</v>
      </c>
      <c r="H367" s="459">
        <v>360</v>
      </c>
      <c r="I367" s="444">
        <f t="shared" ca="1" si="29"/>
        <v>3223370.6562254326</v>
      </c>
      <c r="J367" s="444">
        <f t="array" ref="J367">IFERROR(INDEX('Retirement Calculator'!K:K,MATCH('Lorri 401b'!N367,'Retirement Calculator'!A:A,0),0),0)</f>
        <v>20367.195264578786</v>
      </c>
      <c r="K367" s="444">
        <f t="shared" ca="1" si="27"/>
        <v>13345.847754003558</v>
      </c>
      <c r="L367" s="444">
        <f t="shared" ca="1" si="28"/>
        <v>3216349.3087148573</v>
      </c>
      <c r="M367" s="460">
        <f t="shared" si="30"/>
        <v>0.05</v>
      </c>
      <c r="N367" s="464">
        <f t="shared" si="31"/>
        <v>62214</v>
      </c>
    </row>
    <row r="368" spans="7:14" ht="11.25" customHeight="1" x14ac:dyDescent="0.3">
      <c r="G368" s="459">
        <f>G367+1</f>
        <v>31</v>
      </c>
      <c r="H368" s="459">
        <v>361</v>
      </c>
      <c r="I368" s="444">
        <f t="shared" ca="1" si="29"/>
        <v>3216349.3087148573</v>
      </c>
      <c r="J368" s="444">
        <f t="array" ref="J368">IFERROR(INDEX('Retirement Calculator'!K:K,MATCH('Lorri 401b'!N368,'Retirement Calculator'!A:A,0),0),0)</f>
        <v>20367.195264578786</v>
      </c>
      <c r="K368" s="444">
        <f t="shared" ca="1" si="27"/>
        <v>13316.59213937616</v>
      </c>
      <c r="L368" s="444">
        <f t="shared" ca="1" si="28"/>
        <v>3209298.7055896549</v>
      </c>
      <c r="M368" s="460">
        <f t="shared" si="30"/>
        <v>0.05</v>
      </c>
      <c r="N368" s="464">
        <f t="shared" si="31"/>
        <v>62245</v>
      </c>
    </row>
    <row r="369" spans="7:14" ht="11.25" customHeight="1" x14ac:dyDescent="0.3">
      <c r="G369" s="459">
        <f t="shared" ref="G369:G379" si="40">G368</f>
        <v>31</v>
      </c>
      <c r="H369" s="459">
        <v>362</v>
      </c>
      <c r="I369" s="444">
        <f t="shared" ca="1" si="29"/>
        <v>3209298.7055896549</v>
      </c>
      <c r="J369" s="444">
        <f t="array" ref="J369">IFERROR(INDEX('Retirement Calculator'!K:K,MATCH('Lorri 401b'!N369,'Retirement Calculator'!A:A,0),0),0)</f>
        <v>20367.195264578786</v>
      </c>
      <c r="K369" s="444">
        <f t="shared" ca="1" si="27"/>
        <v>13287.214626354484</v>
      </c>
      <c r="L369" s="444">
        <f t="shared" ca="1" si="28"/>
        <v>3202218.7249514307</v>
      </c>
      <c r="M369" s="460">
        <f t="shared" si="30"/>
        <v>0.05</v>
      </c>
      <c r="N369" s="464">
        <f t="shared" si="31"/>
        <v>62275</v>
      </c>
    </row>
    <row r="370" spans="7:14" ht="11.25" customHeight="1" x14ac:dyDescent="0.3">
      <c r="G370" s="459">
        <f t="shared" si="40"/>
        <v>31</v>
      </c>
      <c r="H370" s="459">
        <v>363</v>
      </c>
      <c r="I370" s="444">
        <f t="shared" ca="1" si="29"/>
        <v>3202218.7249514307</v>
      </c>
      <c r="J370" s="444">
        <f t="array" ref="J370">IFERROR(INDEX('Retirement Calculator'!K:K,MATCH('Lorri 401b'!N370,'Retirement Calculator'!A:A,0),0),0)</f>
        <v>20367.195264578786</v>
      </c>
      <c r="K370" s="444">
        <f t="shared" ca="1" si="27"/>
        <v>13257.71470702855</v>
      </c>
      <c r="L370" s="444">
        <f t="shared" ca="1" si="28"/>
        <v>3195109.2443938805</v>
      </c>
      <c r="M370" s="460">
        <f t="shared" si="30"/>
        <v>0.05</v>
      </c>
      <c r="N370" s="464">
        <f t="shared" si="31"/>
        <v>62306</v>
      </c>
    </row>
    <row r="371" spans="7:14" ht="11.25" customHeight="1" x14ac:dyDescent="0.3">
      <c r="G371" s="459">
        <f t="shared" si="40"/>
        <v>31</v>
      </c>
      <c r="H371" s="459">
        <v>364</v>
      </c>
      <c r="I371" s="444">
        <f t="shared" ca="1" si="29"/>
        <v>3195109.2443938805</v>
      </c>
      <c r="J371" s="444">
        <f t="array" ref="J371">IFERROR(INDEX('Retirement Calculator'!K:K,MATCH('Lorri 401b'!N371,'Retirement Calculator'!A:A,0),0),0)</f>
        <v>20367.195264578786</v>
      </c>
      <c r="K371" s="444">
        <f t="shared" ca="1" si="27"/>
        <v>13228.091871372089</v>
      </c>
      <c r="L371" s="444">
        <f t="shared" ca="1" si="28"/>
        <v>3187970.1410006736</v>
      </c>
      <c r="M371" s="460">
        <f t="shared" si="30"/>
        <v>0.05</v>
      </c>
      <c r="N371" s="464">
        <f t="shared" si="31"/>
        <v>62337</v>
      </c>
    </row>
    <row r="372" spans="7:14" ht="11.25" customHeight="1" x14ac:dyDescent="0.3">
      <c r="G372" s="459">
        <f t="shared" si="40"/>
        <v>31</v>
      </c>
      <c r="H372" s="459">
        <v>365</v>
      </c>
      <c r="I372" s="444">
        <f t="shared" ca="1" si="29"/>
        <v>3187970.1410006736</v>
      </c>
      <c r="J372" s="444">
        <f t="array" ref="J372">IFERROR(INDEX('Retirement Calculator'!K:K,MATCH('Lorri 401b'!N372,'Retirement Calculator'!A:A,0),0),0)</f>
        <v>20367.195264578786</v>
      </c>
      <c r="K372" s="444">
        <f t="shared" ca="1" si="27"/>
        <v>13198.345607233729</v>
      </c>
      <c r="L372" s="444">
        <f t="shared" ca="1" si="28"/>
        <v>3180801.2913433285</v>
      </c>
      <c r="M372" s="460">
        <f t="shared" si="30"/>
        <v>0.05</v>
      </c>
      <c r="N372" s="464">
        <f t="shared" si="31"/>
        <v>62367</v>
      </c>
    </row>
    <row r="373" spans="7:14" ht="11.25" customHeight="1" x14ac:dyDescent="0.3">
      <c r="G373" s="459">
        <f t="shared" si="40"/>
        <v>31</v>
      </c>
      <c r="H373" s="459">
        <v>366</v>
      </c>
      <c r="I373" s="444">
        <f t="shared" ca="1" si="29"/>
        <v>3180801.2913433285</v>
      </c>
      <c r="J373" s="444">
        <f t="array" ref="J373">IFERROR(INDEX('Retirement Calculator'!K:K,MATCH('Lorri 401b'!N373,'Retirement Calculator'!A:A,0),0),0)</f>
        <v>20367.195264578786</v>
      </c>
      <c r="K373" s="444">
        <f t="shared" ca="1" si="27"/>
        <v>13168.475400328123</v>
      </c>
      <c r="L373" s="444">
        <f t="shared" ca="1" si="28"/>
        <v>3173602.5714790779</v>
      </c>
      <c r="M373" s="460">
        <f t="shared" si="30"/>
        <v>0.05</v>
      </c>
      <c r="N373" s="464">
        <f t="shared" si="31"/>
        <v>62398</v>
      </c>
    </row>
    <row r="374" spans="7:14" ht="11.25" customHeight="1" x14ac:dyDescent="0.3">
      <c r="G374" s="459">
        <f t="shared" si="40"/>
        <v>31</v>
      </c>
      <c r="H374" s="459">
        <v>367</v>
      </c>
      <c r="I374" s="444">
        <f t="shared" ca="1" si="29"/>
        <v>3173602.5714790779</v>
      </c>
      <c r="J374" s="444">
        <f t="array" ref="J374">IFERROR(INDEX('Retirement Calculator'!K:K,MATCH('Lorri 401b'!N374,'Retirement Calculator'!A:A,0),0),0)</f>
        <v>20367.195264578786</v>
      </c>
      <c r="K374" s="444">
        <f t="shared" ca="1" si="27"/>
        <v>13138.48073422708</v>
      </c>
      <c r="L374" s="444">
        <f t="shared" ca="1" si="28"/>
        <v>3166373.8569487263</v>
      </c>
      <c r="M374" s="460">
        <f t="shared" si="30"/>
        <v>0.05</v>
      </c>
      <c r="N374" s="464">
        <f t="shared" si="31"/>
        <v>62428</v>
      </c>
    </row>
    <row r="375" spans="7:14" ht="11.25" customHeight="1" x14ac:dyDescent="0.3">
      <c r="G375" s="459">
        <f t="shared" si="40"/>
        <v>31</v>
      </c>
      <c r="H375" s="459">
        <v>368</v>
      </c>
      <c r="I375" s="444">
        <f t="shared" ca="1" si="29"/>
        <v>3166373.8569487263</v>
      </c>
      <c r="J375" s="444">
        <f t="array" ref="J375">IFERROR(INDEX('Retirement Calculator'!K:K,MATCH('Lorri 401b'!N375,'Retirement Calculator'!A:A,0),0),0)</f>
        <v>20367.195264578786</v>
      </c>
      <c r="K375" s="444">
        <f t="shared" ca="1" si="27"/>
        <v>13108.361090350614</v>
      </c>
      <c r="L375" s="444">
        <f t="shared" ca="1" si="28"/>
        <v>3159115.022774498</v>
      </c>
      <c r="M375" s="460">
        <f t="shared" si="30"/>
        <v>0.05</v>
      </c>
      <c r="N375" s="464">
        <f t="shared" si="31"/>
        <v>62459</v>
      </c>
    </row>
    <row r="376" spans="7:14" ht="11.25" customHeight="1" x14ac:dyDescent="0.3">
      <c r="G376" s="459">
        <f t="shared" si="40"/>
        <v>31</v>
      </c>
      <c r="H376" s="459">
        <v>369</v>
      </c>
      <c r="I376" s="444">
        <f t="shared" ca="1" si="29"/>
        <v>3159115.022774498</v>
      </c>
      <c r="J376" s="444">
        <f t="array" ref="J376">IFERROR(INDEX('Retirement Calculator'!K:K,MATCH('Lorri 401b'!N376,'Retirement Calculator'!A:A,0),0),0)</f>
        <v>20367.195264578786</v>
      </c>
      <c r="K376" s="444">
        <f t="shared" ca="1" si="27"/>
        <v>13078.115947957996</v>
      </c>
      <c r="L376" s="444">
        <f t="shared" ca="1" si="28"/>
        <v>3151825.9434578773</v>
      </c>
      <c r="M376" s="460">
        <f t="shared" si="30"/>
        <v>0.05</v>
      </c>
      <c r="N376" s="464">
        <f t="shared" si="31"/>
        <v>62490</v>
      </c>
    </row>
    <row r="377" spans="7:14" ht="11.25" customHeight="1" x14ac:dyDescent="0.3">
      <c r="G377" s="459">
        <f t="shared" si="40"/>
        <v>31</v>
      </c>
      <c r="H377" s="459">
        <v>370</v>
      </c>
      <c r="I377" s="444">
        <f t="shared" ca="1" si="29"/>
        <v>3151825.9434578773</v>
      </c>
      <c r="J377" s="444">
        <f t="array" ref="J377">IFERROR(INDEX('Retirement Calculator'!K:K,MATCH('Lorri 401b'!N377,'Retirement Calculator'!A:A,0),0),0)</f>
        <v>20367.195264578786</v>
      </c>
      <c r="K377" s="444">
        <f t="shared" ca="1" si="27"/>
        <v>13047.744784138744</v>
      </c>
      <c r="L377" s="444">
        <f t="shared" ca="1" si="28"/>
        <v>3144506.4929774371</v>
      </c>
      <c r="M377" s="460">
        <f t="shared" si="30"/>
        <v>0.05</v>
      </c>
      <c r="N377" s="464">
        <f t="shared" si="31"/>
        <v>62518</v>
      </c>
    </row>
    <row r="378" spans="7:14" ht="11.25" customHeight="1" x14ac:dyDescent="0.3">
      <c r="G378" s="459">
        <f t="shared" si="40"/>
        <v>31</v>
      </c>
      <c r="H378" s="459">
        <v>371</v>
      </c>
      <c r="I378" s="444">
        <f t="shared" ca="1" si="29"/>
        <v>3144506.4929774371</v>
      </c>
      <c r="J378" s="444">
        <f t="array" ref="J378">IFERROR(INDEX('Retirement Calculator'!K:K,MATCH('Lorri 401b'!N378,'Retirement Calculator'!A:A,0),0),0)</f>
        <v>20367.195264578786</v>
      </c>
      <c r="K378" s="444">
        <f t="shared" ca="1" si="27"/>
        <v>13017.247073803575</v>
      </c>
      <c r="L378" s="444">
        <f t="shared" ca="1" si="28"/>
        <v>3137156.5447866619</v>
      </c>
      <c r="M378" s="460">
        <f t="shared" si="30"/>
        <v>0.05</v>
      </c>
      <c r="N378" s="464">
        <f t="shared" si="31"/>
        <v>62549</v>
      </c>
    </row>
    <row r="379" spans="7:14" ht="11.25" customHeight="1" x14ac:dyDescent="0.3">
      <c r="G379" s="459">
        <f t="shared" si="40"/>
        <v>31</v>
      </c>
      <c r="H379" s="459">
        <v>372</v>
      </c>
      <c r="I379" s="444">
        <f t="shared" ca="1" si="29"/>
        <v>3137156.5447866619</v>
      </c>
      <c r="J379" s="444">
        <f t="array" ref="J379">IFERROR(INDEX('Retirement Calculator'!K:K,MATCH('Lorri 401b'!N379,'Retirement Calculator'!A:A,0),0),0)</f>
        <v>20367.195264578786</v>
      </c>
      <c r="K379" s="444">
        <f t="shared" ca="1" si="27"/>
        <v>12986.622289675346</v>
      </c>
      <c r="L379" s="444">
        <f t="shared" ca="1" si="28"/>
        <v>3129775.9718117584</v>
      </c>
      <c r="M379" s="460">
        <f t="shared" si="30"/>
        <v>0.05</v>
      </c>
      <c r="N379" s="464">
        <f t="shared" si="31"/>
        <v>62579</v>
      </c>
    </row>
    <row r="380" spans="7:14" ht="11.25" customHeight="1" x14ac:dyDescent="0.3">
      <c r="G380" s="459">
        <f>G379+1</f>
        <v>32</v>
      </c>
      <c r="H380" s="459">
        <v>373</v>
      </c>
      <c r="I380" s="444">
        <f t="shared" ca="1" si="29"/>
        <v>3129775.9718117584</v>
      </c>
      <c r="J380" s="444">
        <f t="array" ref="J380">IFERROR(INDEX('Retirement Calculator'!K:K,MATCH('Lorri 401b'!N380,'Retirement Calculator'!A:A,0),0),0)</f>
        <v>20367.195264578786</v>
      </c>
      <c r="K380" s="444">
        <f t="shared" ca="1" si="27"/>
        <v>12955.869902279916</v>
      </c>
      <c r="L380" s="444">
        <f t="shared" ca="1" si="28"/>
        <v>3122364.6464494593</v>
      </c>
      <c r="M380" s="460">
        <f t="shared" si="30"/>
        <v>0.05</v>
      </c>
      <c r="N380" s="464">
        <f t="shared" si="31"/>
        <v>62610</v>
      </c>
    </row>
    <row r="381" spans="7:14" ht="11.25" customHeight="1" x14ac:dyDescent="0.3">
      <c r="G381" s="459">
        <f t="shared" ref="G381:G391" si="41">G380</f>
        <v>32</v>
      </c>
      <c r="H381" s="459">
        <v>374</v>
      </c>
      <c r="I381" s="444">
        <f t="shared" ca="1" si="29"/>
        <v>3122364.6464494593</v>
      </c>
      <c r="J381" s="444">
        <f t="array" ref="J381">IFERROR(INDEX('Retirement Calculator'!K:K,MATCH('Lorri 401b'!N381,'Retirement Calculator'!A:A,0),0),0)</f>
        <v>20367.195264578786</v>
      </c>
      <c r="K381" s="444">
        <f t="shared" ca="1" si="27"/>
        <v>12924.989379937002</v>
      </c>
      <c r="L381" s="444">
        <f t="shared" ca="1" si="28"/>
        <v>3114922.4405648173</v>
      </c>
      <c r="M381" s="460">
        <f t="shared" si="30"/>
        <v>0.05</v>
      </c>
      <c r="N381" s="464">
        <f t="shared" si="31"/>
        <v>62640</v>
      </c>
    </row>
    <row r="382" spans="7:14" ht="11.25" customHeight="1" x14ac:dyDescent="0.3">
      <c r="G382" s="459">
        <f t="shared" si="41"/>
        <v>32</v>
      </c>
      <c r="H382" s="459">
        <v>375</v>
      </c>
      <c r="I382" s="444">
        <f t="shared" ca="1" si="29"/>
        <v>3114922.4405648173</v>
      </c>
      <c r="J382" s="444">
        <f t="array" ref="J382">IFERROR(INDEX('Retirement Calculator'!K:K,MATCH('Lorri 401b'!N382,'Retirement Calculator'!A:A,0),0),0)</f>
        <v>20367.195264578786</v>
      </c>
      <c r="K382" s="444">
        <f t="shared" ca="1" si="27"/>
        <v>12893.980188750993</v>
      </c>
      <c r="L382" s="444">
        <f t="shared" ca="1" si="28"/>
        <v>3107449.2254889896</v>
      </c>
      <c r="M382" s="460">
        <f t="shared" si="30"/>
        <v>0.05</v>
      </c>
      <c r="N382" s="464">
        <f t="shared" si="31"/>
        <v>62671</v>
      </c>
    </row>
    <row r="383" spans="7:14" ht="11.25" customHeight="1" x14ac:dyDescent="0.3">
      <c r="G383" s="459">
        <f t="shared" si="41"/>
        <v>32</v>
      </c>
      <c r="H383" s="459">
        <v>376</v>
      </c>
      <c r="I383" s="444">
        <f t="shared" ca="1" si="29"/>
        <v>3107449.2254889896</v>
      </c>
      <c r="J383" s="444">
        <f t="array" ref="J383">IFERROR(INDEX('Retirement Calculator'!K:K,MATCH('Lorri 401b'!N383,'Retirement Calculator'!A:A,0),0),0)</f>
        <v>20367.195264578786</v>
      </c>
      <c r="K383" s="444">
        <f t="shared" ca="1" si="27"/>
        <v>12862.841792601712</v>
      </c>
      <c r="L383" s="444">
        <f t="shared" ca="1" si="28"/>
        <v>3099944.8720170124</v>
      </c>
      <c r="M383" s="460">
        <f t="shared" si="30"/>
        <v>0.05</v>
      </c>
      <c r="N383" s="464">
        <f t="shared" si="31"/>
        <v>62702</v>
      </c>
    </row>
    <row r="384" spans="7:14" ht="11.25" customHeight="1" x14ac:dyDescent="0.3">
      <c r="G384" s="459">
        <f t="shared" si="41"/>
        <v>32</v>
      </c>
      <c r="H384" s="459">
        <v>377</v>
      </c>
      <c r="I384" s="444">
        <f t="shared" ca="1" si="29"/>
        <v>3099944.8720170124</v>
      </c>
      <c r="J384" s="444">
        <f t="array" ref="J384">IFERROR(INDEX('Retirement Calculator'!K:K,MATCH('Lorri 401b'!N384,'Retirement Calculator'!A:A,0),0),0)</f>
        <v>20367.195264578786</v>
      </c>
      <c r="K384" s="444">
        <f t="shared" ca="1" si="27"/>
        <v>12831.573653135139</v>
      </c>
      <c r="L384" s="444">
        <f t="shared" ca="1" si="28"/>
        <v>3092409.2504055686</v>
      </c>
      <c r="M384" s="460">
        <f t="shared" si="30"/>
        <v>0.05</v>
      </c>
      <c r="N384" s="464">
        <f t="shared" si="31"/>
        <v>62732</v>
      </c>
    </row>
    <row r="385" spans="7:14" ht="11.25" customHeight="1" x14ac:dyDescent="0.3">
      <c r="G385" s="459">
        <f t="shared" si="41"/>
        <v>32</v>
      </c>
      <c r="H385" s="459">
        <v>378</v>
      </c>
      <c r="I385" s="444">
        <f t="shared" ca="1" si="29"/>
        <v>3092409.2504055686</v>
      </c>
      <c r="J385" s="444">
        <f t="array" ref="J385">IFERROR(INDEX('Retirement Calculator'!K:K,MATCH('Lorri 401b'!N385,'Retirement Calculator'!A:A,0),0),0)</f>
        <v>20367.195264578786</v>
      </c>
      <c r="K385" s="444">
        <f t="shared" ca="1" si="27"/>
        <v>12800.175229754124</v>
      </c>
      <c r="L385" s="444">
        <f t="shared" ca="1" si="28"/>
        <v>3084842.2303707441</v>
      </c>
      <c r="M385" s="460">
        <f t="shared" si="30"/>
        <v>0.05</v>
      </c>
      <c r="N385" s="464">
        <f t="shared" si="31"/>
        <v>62763</v>
      </c>
    </row>
    <row r="386" spans="7:14" ht="11.25" customHeight="1" x14ac:dyDescent="0.3">
      <c r="G386" s="459">
        <f t="shared" si="41"/>
        <v>32</v>
      </c>
      <c r="H386" s="459">
        <v>379</v>
      </c>
      <c r="I386" s="444">
        <f t="shared" ca="1" si="29"/>
        <v>3084842.2303707441</v>
      </c>
      <c r="J386" s="444">
        <f t="array" ref="J386">IFERROR(INDEX('Retirement Calculator'!K:K,MATCH('Lorri 401b'!N386,'Retirement Calculator'!A:A,0),0),0)</f>
        <v>20367.195264578786</v>
      </c>
      <c r="K386" s="444">
        <f t="shared" ca="1" si="27"/>
        <v>12768.645979609022</v>
      </c>
      <c r="L386" s="444">
        <f t="shared" ca="1" si="28"/>
        <v>3077243.6810857742</v>
      </c>
      <c r="M386" s="460">
        <f t="shared" si="30"/>
        <v>0.05</v>
      </c>
      <c r="N386" s="464">
        <f t="shared" si="31"/>
        <v>62793</v>
      </c>
    </row>
    <row r="387" spans="7:14" ht="11.25" customHeight="1" x14ac:dyDescent="0.3">
      <c r="G387" s="459">
        <f t="shared" si="41"/>
        <v>32</v>
      </c>
      <c r="H387" s="459">
        <v>380</v>
      </c>
      <c r="I387" s="444">
        <f t="shared" ca="1" si="29"/>
        <v>3077243.6810857742</v>
      </c>
      <c r="J387" s="444">
        <f t="array" ref="J387">IFERROR(INDEX('Retirement Calculator'!K:K,MATCH('Lorri 401b'!N387,'Retirement Calculator'!A:A,0),0),0)</f>
        <v>20367.195264578786</v>
      </c>
      <c r="K387" s="444">
        <f t="shared" ca="1" si="27"/>
        <v>12736.985357588313</v>
      </c>
      <c r="L387" s="444">
        <f t="shared" ca="1" si="28"/>
        <v>3069613.4711787836</v>
      </c>
      <c r="M387" s="460">
        <f t="shared" si="30"/>
        <v>0.05</v>
      </c>
      <c r="N387" s="464">
        <f t="shared" si="31"/>
        <v>62824</v>
      </c>
    </row>
    <row r="388" spans="7:14" ht="11.25" customHeight="1" x14ac:dyDescent="0.3">
      <c r="G388" s="459">
        <f t="shared" si="41"/>
        <v>32</v>
      </c>
      <c r="H388" s="459">
        <v>381</v>
      </c>
      <c r="I388" s="444">
        <f t="shared" ca="1" si="29"/>
        <v>3069613.4711787836</v>
      </c>
      <c r="J388" s="444">
        <f t="array" ref="J388">IFERROR(INDEX('Retirement Calculator'!K:K,MATCH('Lorri 401b'!N388,'Retirement Calculator'!A:A,0),0),0)</f>
        <v>20367.195264578786</v>
      </c>
      <c r="K388" s="444">
        <f t="shared" ca="1" si="27"/>
        <v>12705.192816309187</v>
      </c>
      <c r="L388" s="444">
        <f t="shared" ca="1" si="28"/>
        <v>3061951.4687305139</v>
      </c>
      <c r="M388" s="460">
        <f t="shared" si="30"/>
        <v>0.05</v>
      </c>
      <c r="N388" s="464">
        <f t="shared" si="31"/>
        <v>62855</v>
      </c>
    </row>
    <row r="389" spans="7:14" ht="11.25" customHeight="1" x14ac:dyDescent="0.3">
      <c r="G389" s="459">
        <f t="shared" si="41"/>
        <v>32</v>
      </c>
      <c r="H389" s="459">
        <v>382</v>
      </c>
      <c r="I389" s="444">
        <f t="shared" ca="1" si="29"/>
        <v>3061951.4687305139</v>
      </c>
      <c r="J389" s="444">
        <f t="array" ref="J389">IFERROR(INDEX('Retirement Calculator'!K:K,MATCH('Lorri 401b'!N389,'Retirement Calculator'!A:A,0),0),0)</f>
        <v>20367.195264578786</v>
      </c>
      <c r="K389" s="444">
        <f t="shared" ca="1" si="27"/>
        <v>12673.267806108062</v>
      </c>
      <c r="L389" s="444">
        <f t="shared" ca="1" si="28"/>
        <v>3054257.5412720433</v>
      </c>
      <c r="M389" s="460">
        <f t="shared" si="30"/>
        <v>0.05</v>
      </c>
      <c r="N389" s="464">
        <f t="shared" si="31"/>
        <v>62884</v>
      </c>
    </row>
    <row r="390" spans="7:14" ht="11.25" customHeight="1" x14ac:dyDescent="0.3">
      <c r="G390" s="459">
        <f t="shared" si="41"/>
        <v>32</v>
      </c>
      <c r="H390" s="459">
        <v>383</v>
      </c>
      <c r="I390" s="444">
        <f t="shared" ca="1" si="29"/>
        <v>3054257.5412720433</v>
      </c>
      <c r="J390" s="444">
        <f t="array" ref="J390">IFERROR(INDEX('Retirement Calculator'!K:K,MATCH('Lorri 401b'!N390,'Retirement Calculator'!A:A,0),0),0)</f>
        <v>20367.195264578786</v>
      </c>
      <c r="K390" s="444">
        <f t="shared" ca="1" si="27"/>
        <v>12641.209775031102</v>
      </c>
      <c r="L390" s="444">
        <f t="shared" ca="1" si="28"/>
        <v>3046531.5557824955</v>
      </c>
      <c r="M390" s="460">
        <f t="shared" si="30"/>
        <v>0.05</v>
      </c>
      <c r="N390" s="464">
        <f t="shared" si="31"/>
        <v>62915</v>
      </c>
    </row>
    <row r="391" spans="7:14" ht="11.25" customHeight="1" x14ac:dyDescent="0.3">
      <c r="G391" s="459">
        <f t="shared" si="41"/>
        <v>32</v>
      </c>
      <c r="H391" s="459">
        <v>384</v>
      </c>
      <c r="I391" s="444">
        <f t="shared" ca="1" si="29"/>
        <v>3046531.5557824955</v>
      </c>
      <c r="J391" s="444">
        <f t="array" ref="J391">IFERROR(INDEX('Retirement Calculator'!K:K,MATCH('Lorri 401b'!N391,'Retirement Calculator'!A:A,0),0),0)</f>
        <v>20367.195264578786</v>
      </c>
      <c r="K391" s="444">
        <f t="shared" ca="1" si="27"/>
        <v>12609.018168824652</v>
      </c>
      <c r="L391" s="444">
        <f t="shared" ca="1" si="28"/>
        <v>3038773.3786867415</v>
      </c>
      <c r="M391" s="460">
        <f t="shared" si="30"/>
        <v>0.05</v>
      </c>
      <c r="N391" s="464">
        <f t="shared" si="31"/>
        <v>62945</v>
      </c>
    </row>
    <row r="392" spans="7:14" ht="11.25" customHeight="1" x14ac:dyDescent="0.3">
      <c r="G392" s="459">
        <f>G391+1</f>
        <v>33</v>
      </c>
      <c r="H392" s="459">
        <v>385</v>
      </c>
      <c r="I392" s="444">
        <f t="shared" ca="1" si="29"/>
        <v>3038773.3786867415</v>
      </c>
      <c r="J392" s="444">
        <f t="array" ref="J392">IFERROR(INDEX('Retirement Calculator'!K:K,MATCH('Lorri 401b'!N392,'Retirement Calculator'!A:A,0),0),0)</f>
        <v>20367.195264578786</v>
      </c>
      <c r="K392" s="444">
        <f t="shared" ca="1" si="27"/>
        <v>12576.692430925677</v>
      </c>
      <c r="L392" s="444">
        <f t="shared" ca="1" si="28"/>
        <v>3030982.8758530882</v>
      </c>
      <c r="M392" s="460">
        <f t="shared" si="30"/>
        <v>0.05</v>
      </c>
      <c r="N392" s="464">
        <f t="shared" si="31"/>
        <v>62976</v>
      </c>
    </row>
    <row r="393" spans="7:14" ht="11.25" customHeight="1" x14ac:dyDescent="0.3">
      <c r="G393" s="459">
        <f t="shared" ref="G393:G403" si="42">G392</f>
        <v>33</v>
      </c>
      <c r="H393" s="459">
        <v>386</v>
      </c>
      <c r="I393" s="444">
        <f t="shared" ca="1" si="29"/>
        <v>3030982.8758530882</v>
      </c>
      <c r="J393" s="444">
        <f t="array" ref="J393">IFERROR(INDEX('Retirement Calculator'!K:K,MATCH('Lorri 401b'!N393,'Retirement Calculator'!A:A,0),0),0)</f>
        <v>20367.195264578786</v>
      </c>
      <c r="K393" s="444">
        <f t="shared" ca="1" si="27"/>
        <v>12544.232002452123</v>
      </c>
      <c r="L393" s="444">
        <f t="shared" ca="1" si="28"/>
        <v>3023159.9125909614</v>
      </c>
      <c r="M393" s="460">
        <f t="shared" si="30"/>
        <v>0.05</v>
      </c>
      <c r="N393" s="464">
        <f t="shared" si="31"/>
        <v>63006</v>
      </c>
    </row>
    <row r="394" spans="7:14" ht="11.25" customHeight="1" x14ac:dyDescent="0.3">
      <c r="G394" s="459">
        <f t="shared" si="42"/>
        <v>33</v>
      </c>
      <c r="H394" s="459">
        <v>387</v>
      </c>
      <c r="I394" s="444">
        <f t="shared" ca="1" si="29"/>
        <v>3023159.9125909614</v>
      </c>
      <c r="J394" s="444">
        <f t="array" ref="J394">IFERROR(INDEX('Retirement Calculator'!K:K,MATCH('Lorri 401b'!N394,'Retirement Calculator'!A:A,0),0),0)</f>
        <v>20367.195264578786</v>
      </c>
      <c r="K394" s="444">
        <f t="shared" ca="1" si="27"/>
        <v>12511.636322193261</v>
      </c>
      <c r="L394" s="444">
        <f t="shared" ca="1" si="28"/>
        <v>3015304.353648576</v>
      </c>
      <c r="M394" s="460">
        <f t="shared" si="30"/>
        <v>0.05</v>
      </c>
      <c r="N394" s="464">
        <f t="shared" si="31"/>
        <v>63037</v>
      </c>
    </row>
    <row r="395" spans="7:14" ht="11.25" customHeight="1" x14ac:dyDescent="0.3">
      <c r="G395" s="459">
        <f t="shared" si="42"/>
        <v>33</v>
      </c>
      <c r="H395" s="459">
        <v>388</v>
      </c>
      <c r="I395" s="444">
        <f t="shared" ca="1" si="29"/>
        <v>3015304.353648576</v>
      </c>
      <c r="J395" s="444">
        <f t="array" ref="J395">IFERROR(INDEX('Retirement Calculator'!K:K,MATCH('Lorri 401b'!N395,'Retirement Calculator'!A:A,0),0),0)</f>
        <v>20367.195264578786</v>
      </c>
      <c r="K395" s="444">
        <f t="shared" ca="1" si="27"/>
        <v>12478.904826599988</v>
      </c>
      <c r="L395" s="444">
        <f t="shared" ca="1" si="28"/>
        <v>3007416.0632105973</v>
      </c>
      <c r="M395" s="460">
        <f t="shared" si="30"/>
        <v>0.05</v>
      </c>
      <c r="N395" s="464">
        <f t="shared" si="31"/>
        <v>63068</v>
      </c>
    </row>
    <row r="396" spans="7:14" ht="11.25" customHeight="1" x14ac:dyDescent="0.3">
      <c r="G396" s="459">
        <f t="shared" si="42"/>
        <v>33</v>
      </c>
      <c r="H396" s="459">
        <v>389</v>
      </c>
      <c r="I396" s="444">
        <f t="shared" ca="1" si="29"/>
        <v>3007416.0632105973</v>
      </c>
      <c r="J396" s="444">
        <f t="array" ref="J396">IFERROR(INDEX('Retirement Calculator'!K:K,MATCH('Lorri 401b'!N396,'Retirement Calculator'!A:A,0),0),0)</f>
        <v>20367.195264578786</v>
      </c>
      <c r="K396" s="444">
        <f t="shared" ca="1" si="27"/>
        <v>12446.036949775076</v>
      </c>
      <c r="L396" s="444">
        <f t="shared" ca="1" si="28"/>
        <v>2999494.9048957936</v>
      </c>
      <c r="M396" s="460">
        <f t="shared" si="30"/>
        <v>0.05</v>
      </c>
      <c r="N396" s="464">
        <f t="shared" si="31"/>
        <v>63098</v>
      </c>
    </row>
    <row r="397" spans="7:14" ht="11.25" customHeight="1" x14ac:dyDescent="0.3">
      <c r="G397" s="459">
        <f t="shared" si="42"/>
        <v>33</v>
      </c>
      <c r="H397" s="459">
        <v>390</v>
      </c>
      <c r="I397" s="444">
        <f t="shared" ca="1" si="29"/>
        <v>2999494.9048957936</v>
      </c>
      <c r="J397" s="444">
        <f t="array" ref="J397">IFERROR(INDEX('Retirement Calculator'!K:K,MATCH('Lorri 401b'!N397,'Retirement Calculator'!A:A,0),0),0)</f>
        <v>20367.195264578786</v>
      </c>
      <c r="K397" s="444">
        <f t="shared" ca="1" si="27"/>
        <v>12413.032123463396</v>
      </c>
      <c r="L397" s="444">
        <f t="shared" ca="1" si="28"/>
        <v>2991540.7417546781</v>
      </c>
      <c r="M397" s="460">
        <f t="shared" si="30"/>
        <v>0.05</v>
      </c>
      <c r="N397" s="464">
        <f t="shared" si="31"/>
        <v>63129</v>
      </c>
    </row>
    <row r="398" spans="7:14" ht="11.25" customHeight="1" x14ac:dyDescent="0.3">
      <c r="G398" s="459">
        <f t="shared" si="42"/>
        <v>33</v>
      </c>
      <c r="H398" s="459">
        <v>391</v>
      </c>
      <c r="I398" s="444">
        <f t="shared" ca="1" si="29"/>
        <v>2991540.7417546781</v>
      </c>
      <c r="J398" s="444">
        <f t="array" ref="J398">IFERROR(INDEX('Retirement Calculator'!K:K,MATCH('Lorri 401b'!N398,'Retirement Calculator'!A:A,0),0),0)</f>
        <v>20367.195264578786</v>
      </c>
      <c r="K398" s="444">
        <f t="shared" ca="1" si="27"/>
        <v>12379.889777042081</v>
      </c>
      <c r="L398" s="444">
        <f t="shared" ca="1" si="28"/>
        <v>2983553.4362671413</v>
      </c>
      <c r="M398" s="460">
        <f t="shared" si="30"/>
        <v>0.05</v>
      </c>
      <c r="N398" s="464">
        <f t="shared" si="31"/>
        <v>63159</v>
      </c>
    </row>
    <row r="399" spans="7:14" ht="11.25" customHeight="1" x14ac:dyDescent="0.3">
      <c r="G399" s="459">
        <f t="shared" si="42"/>
        <v>33</v>
      </c>
      <c r="H399" s="459">
        <v>392</v>
      </c>
      <c r="I399" s="444">
        <f t="shared" ca="1" si="29"/>
        <v>2983553.4362671413</v>
      </c>
      <c r="J399" s="444">
        <f t="array" ref="J399">IFERROR(INDEX('Retirement Calculator'!K:K,MATCH('Lorri 401b'!N399,'Retirement Calculator'!A:A,0),0),0)</f>
        <v>20367.195264578786</v>
      </c>
      <c r="K399" s="444">
        <f t="shared" ca="1" si="27"/>
        <v>12346.609337510678</v>
      </c>
      <c r="L399" s="444">
        <f t="shared" ca="1" si="28"/>
        <v>2975532.850340073</v>
      </c>
      <c r="M399" s="460">
        <f t="shared" si="30"/>
        <v>0.05</v>
      </c>
      <c r="N399" s="464">
        <f t="shared" si="31"/>
        <v>63190</v>
      </c>
    </row>
    <row r="400" spans="7:14" ht="11.25" customHeight="1" x14ac:dyDescent="0.3">
      <c r="G400" s="459">
        <f t="shared" si="42"/>
        <v>33</v>
      </c>
      <c r="H400" s="459">
        <v>393</v>
      </c>
      <c r="I400" s="444">
        <f t="shared" ca="1" si="29"/>
        <v>2975532.850340073</v>
      </c>
      <c r="J400" s="444">
        <f t="array" ref="J400">IFERROR(INDEX('Retirement Calculator'!K:K,MATCH('Lorri 401b'!N400,'Retirement Calculator'!A:A,0),0),0)</f>
        <v>20367.195264578786</v>
      </c>
      <c r="K400" s="444">
        <f t="shared" ca="1" si="27"/>
        <v>12313.190229481226</v>
      </c>
      <c r="L400" s="444">
        <f t="shared" ca="1" si="28"/>
        <v>2967478.8453049753</v>
      </c>
      <c r="M400" s="460">
        <f t="shared" si="30"/>
        <v>0.05</v>
      </c>
      <c r="N400" s="464">
        <f t="shared" si="31"/>
        <v>63221</v>
      </c>
    </row>
    <row r="401" spans="7:14" ht="11.25" customHeight="1" x14ac:dyDescent="0.3">
      <c r="G401" s="459">
        <f t="shared" si="42"/>
        <v>33</v>
      </c>
      <c r="H401" s="459">
        <v>394</v>
      </c>
      <c r="I401" s="444">
        <f t="shared" ca="1" si="29"/>
        <v>2967478.8453049753</v>
      </c>
      <c r="J401" s="444">
        <f t="array" ref="J401">IFERROR(INDEX('Retirement Calculator'!K:K,MATCH('Lorri 401b'!N401,'Retirement Calculator'!A:A,0),0),0)</f>
        <v>20367.195264578786</v>
      </c>
      <c r="K401" s="444">
        <f t="shared" ca="1" si="27"/>
        <v>12279.631875168319</v>
      </c>
      <c r="L401" s="444">
        <f t="shared" ca="1" si="28"/>
        <v>2959391.281915565</v>
      </c>
      <c r="M401" s="460">
        <f t="shared" si="30"/>
        <v>0.05</v>
      </c>
      <c r="N401" s="464">
        <f t="shared" si="31"/>
        <v>63249</v>
      </c>
    </row>
    <row r="402" spans="7:14" ht="11.25" customHeight="1" x14ac:dyDescent="0.3">
      <c r="G402" s="459">
        <f t="shared" si="42"/>
        <v>33</v>
      </c>
      <c r="H402" s="459">
        <v>395</v>
      </c>
      <c r="I402" s="444">
        <f t="shared" ca="1" si="29"/>
        <v>2959391.281915565</v>
      </c>
      <c r="J402" s="444">
        <f t="array" ref="J402">IFERROR(INDEX('Retirement Calculator'!K:K,MATCH('Lorri 401b'!N402,'Retirement Calculator'!A:A,0),0),0)</f>
        <v>20367.195264578786</v>
      </c>
      <c r="K402" s="444">
        <f t="shared" ca="1" si="27"/>
        <v>12245.93369437911</v>
      </c>
      <c r="L402" s="444">
        <f t="shared" ca="1" si="28"/>
        <v>2951270.0203453652</v>
      </c>
      <c r="M402" s="460">
        <f t="shared" si="30"/>
        <v>0.05</v>
      </c>
      <c r="N402" s="464">
        <f t="shared" si="31"/>
        <v>63280</v>
      </c>
    </row>
    <row r="403" spans="7:14" ht="11.25" customHeight="1" x14ac:dyDescent="0.3">
      <c r="G403" s="459">
        <f t="shared" si="42"/>
        <v>33</v>
      </c>
      <c r="H403" s="459">
        <v>396</v>
      </c>
      <c r="I403" s="444">
        <f t="shared" ca="1" si="29"/>
        <v>2951270.0203453652</v>
      </c>
      <c r="J403" s="444">
        <f t="array" ref="J403">IFERROR(INDEX('Retirement Calculator'!K:K,MATCH('Lorri 401b'!N403,'Retirement Calculator'!A:A,0),0),0)</f>
        <v>20367.195264578786</v>
      </c>
      <c r="K403" s="444">
        <f t="shared" ca="1" si="27"/>
        <v>12212.095104503276</v>
      </c>
      <c r="L403" s="444">
        <f t="shared" ca="1" si="28"/>
        <v>2943114.9201852898</v>
      </c>
      <c r="M403" s="460">
        <f t="shared" si="30"/>
        <v>0.05</v>
      </c>
      <c r="N403" s="464">
        <f t="shared" si="31"/>
        <v>63310</v>
      </c>
    </row>
    <row r="404" spans="7:14" ht="11.25" customHeight="1" x14ac:dyDescent="0.3">
      <c r="G404" s="459">
        <f>G403+1</f>
        <v>34</v>
      </c>
      <c r="H404" s="459">
        <v>397</v>
      </c>
      <c r="I404" s="444">
        <f t="shared" ca="1" si="29"/>
        <v>2943114.9201852898</v>
      </c>
      <c r="J404" s="444">
        <f t="array" ref="J404">IFERROR(INDEX('Retirement Calculator'!K:K,MATCH('Lorri 401b'!N404,'Retirement Calculator'!A:A,0),0),0)</f>
        <v>20367.195264578786</v>
      </c>
      <c r="K404" s="444">
        <f t="shared" ca="1" si="27"/>
        <v>12178.115520502963</v>
      </c>
      <c r="L404" s="444">
        <f t="shared" ca="1" si="28"/>
        <v>2934925.8404412139</v>
      </c>
      <c r="M404" s="460">
        <f t="shared" si="30"/>
        <v>0.05</v>
      </c>
      <c r="N404" s="464">
        <f t="shared" si="31"/>
        <v>63341</v>
      </c>
    </row>
    <row r="405" spans="7:14" ht="11.25" customHeight="1" x14ac:dyDescent="0.3">
      <c r="G405" s="459">
        <f t="shared" ref="G405:G415" si="43">G404</f>
        <v>34</v>
      </c>
      <c r="H405" s="459">
        <v>398</v>
      </c>
      <c r="I405" s="444">
        <f t="shared" ca="1" si="29"/>
        <v>2934925.8404412139</v>
      </c>
      <c r="J405" s="444">
        <f t="array" ref="J405">IFERROR(INDEX('Retirement Calculator'!K:K,MATCH('Lorri 401b'!N405,'Retirement Calculator'!A:A,0),0),0)</f>
        <v>20367.195264578786</v>
      </c>
      <c r="K405" s="444">
        <f t="shared" ca="1" si="27"/>
        <v>12143.994354902647</v>
      </c>
      <c r="L405" s="444">
        <f t="shared" ca="1" si="28"/>
        <v>2926702.6395315379</v>
      </c>
      <c r="M405" s="460">
        <f t="shared" si="30"/>
        <v>0.05</v>
      </c>
      <c r="N405" s="464">
        <f t="shared" si="31"/>
        <v>63371</v>
      </c>
    </row>
    <row r="406" spans="7:14" ht="11.25" customHeight="1" x14ac:dyDescent="0.3">
      <c r="G406" s="459">
        <f t="shared" si="43"/>
        <v>34</v>
      </c>
      <c r="H406" s="459">
        <v>399</v>
      </c>
      <c r="I406" s="444">
        <f t="shared" ca="1" si="29"/>
        <v>2926702.6395315379</v>
      </c>
      <c r="J406" s="444">
        <f t="array" ref="J406">IFERROR(INDEX('Retirement Calculator'!K:K,MATCH('Lorri 401b'!N406,'Retirement Calculator'!A:A,0),0),0)</f>
        <v>20367.195264578786</v>
      </c>
      <c r="K406" s="444">
        <f t="shared" ca="1" si="27"/>
        <v>12109.731017778997</v>
      </c>
      <c r="L406" s="444">
        <f t="shared" ca="1" si="28"/>
        <v>2918445.1752847382</v>
      </c>
      <c r="M406" s="460">
        <f t="shared" si="30"/>
        <v>0.05</v>
      </c>
      <c r="N406" s="464">
        <f t="shared" si="31"/>
        <v>63402</v>
      </c>
    </row>
    <row r="407" spans="7:14" ht="11.25" customHeight="1" x14ac:dyDescent="0.3">
      <c r="G407" s="459">
        <f t="shared" si="43"/>
        <v>34</v>
      </c>
      <c r="H407" s="459">
        <v>400</v>
      </c>
      <c r="I407" s="444">
        <f t="shared" ca="1" si="29"/>
        <v>2918445.1752847382</v>
      </c>
      <c r="J407" s="444">
        <f t="array" ref="J407">IFERROR(INDEX('Retirement Calculator'!K:K,MATCH('Lorri 401b'!N407,'Retirement Calculator'!A:A,0),0),0)</f>
        <v>20367.195264578786</v>
      </c>
      <c r="K407" s="444">
        <f t="shared" ca="1" si="27"/>
        <v>12075.324916750664</v>
      </c>
      <c r="L407" s="444">
        <f t="shared" ca="1" si="28"/>
        <v>2910153.30493691</v>
      </c>
      <c r="M407" s="460">
        <f t="shared" si="30"/>
        <v>0.05</v>
      </c>
      <c r="N407" s="464">
        <f t="shared" si="31"/>
        <v>63433</v>
      </c>
    </row>
    <row r="408" spans="7:14" ht="11.25" customHeight="1" x14ac:dyDescent="0.3">
      <c r="G408" s="459">
        <f t="shared" si="43"/>
        <v>34</v>
      </c>
      <c r="H408" s="459">
        <v>401</v>
      </c>
      <c r="I408" s="444">
        <f t="shared" ca="1" si="29"/>
        <v>2910153.30493691</v>
      </c>
      <c r="J408" s="444">
        <f t="array" ref="J408">IFERROR(INDEX('Retirement Calculator'!K:K,MATCH('Lorri 401b'!N408,'Retirement Calculator'!A:A,0),0),0)</f>
        <v>20367.195264578786</v>
      </c>
      <c r="K408" s="444">
        <f t="shared" ca="1" si="27"/>
        <v>12040.775456968047</v>
      </c>
      <c r="L408" s="444">
        <f t="shared" ca="1" si="28"/>
        <v>2901826.8851292995</v>
      </c>
      <c r="M408" s="460">
        <f t="shared" si="30"/>
        <v>0.05</v>
      </c>
      <c r="N408" s="464">
        <f t="shared" si="31"/>
        <v>63463</v>
      </c>
    </row>
    <row r="409" spans="7:14" ht="11.25" customHeight="1" x14ac:dyDescent="0.3">
      <c r="G409" s="459">
        <f t="shared" si="43"/>
        <v>34</v>
      </c>
      <c r="H409" s="459">
        <v>402</v>
      </c>
      <c r="I409" s="444">
        <f t="shared" ca="1" si="29"/>
        <v>2901826.8851292995</v>
      </c>
      <c r="J409" s="444">
        <f t="array" ref="J409">IFERROR(INDEX('Retirement Calculator'!K:K,MATCH('Lorri 401b'!N409,'Retirement Calculator'!A:A,0),0),0)</f>
        <v>20367.195264578786</v>
      </c>
      <c r="K409" s="444">
        <f t="shared" ca="1" si="27"/>
        <v>12006.082041103004</v>
      </c>
      <c r="L409" s="444">
        <f t="shared" ca="1" si="28"/>
        <v>2893465.7719058236</v>
      </c>
      <c r="M409" s="460">
        <f t="shared" si="30"/>
        <v>0.05</v>
      </c>
      <c r="N409" s="464">
        <f t="shared" si="31"/>
        <v>63494</v>
      </c>
    </row>
    <row r="410" spans="7:14" ht="11.25" customHeight="1" x14ac:dyDescent="0.3">
      <c r="G410" s="459">
        <f t="shared" si="43"/>
        <v>34</v>
      </c>
      <c r="H410" s="459">
        <v>403</v>
      </c>
      <c r="I410" s="444">
        <f t="shared" ca="1" si="29"/>
        <v>2893465.7719058236</v>
      </c>
      <c r="J410" s="444">
        <f t="array" ref="J410">IFERROR(INDEX('Retirement Calculator'!K:K,MATCH('Lorri 401b'!N410,'Retirement Calculator'!A:A,0),0),0)</f>
        <v>20367.195264578786</v>
      </c>
      <c r="K410" s="444">
        <f t="shared" ca="1" si="27"/>
        <v>11971.24406933852</v>
      </c>
      <c r="L410" s="444">
        <f t="shared" ca="1" si="28"/>
        <v>2885069.8207105831</v>
      </c>
      <c r="M410" s="460">
        <f t="shared" si="30"/>
        <v>0.05</v>
      </c>
      <c r="N410" s="464">
        <f t="shared" si="31"/>
        <v>63524</v>
      </c>
    </row>
    <row r="411" spans="7:14" ht="11.25" customHeight="1" x14ac:dyDescent="0.3">
      <c r="G411" s="459">
        <f t="shared" si="43"/>
        <v>34</v>
      </c>
      <c r="H411" s="459">
        <v>404</v>
      </c>
      <c r="I411" s="444">
        <f t="shared" ca="1" si="29"/>
        <v>2885069.8207105831</v>
      </c>
      <c r="J411" s="444">
        <f t="array" ref="J411">IFERROR(INDEX('Retirement Calculator'!K:K,MATCH('Lorri 401b'!N411,'Retirement Calculator'!A:A,0),0),0)</f>
        <v>20367.195264578786</v>
      </c>
      <c r="K411" s="444">
        <f t="shared" ca="1" si="27"/>
        <v>11936.260939358352</v>
      </c>
      <c r="L411" s="444">
        <f t="shared" ca="1" si="28"/>
        <v>2876638.8863853626</v>
      </c>
      <c r="M411" s="460">
        <f t="shared" si="30"/>
        <v>0.05</v>
      </c>
      <c r="N411" s="464">
        <f t="shared" si="31"/>
        <v>63555</v>
      </c>
    </row>
    <row r="412" spans="7:14" ht="11.25" customHeight="1" x14ac:dyDescent="0.3">
      <c r="G412" s="459">
        <f t="shared" si="43"/>
        <v>34</v>
      </c>
      <c r="H412" s="459">
        <v>405</v>
      </c>
      <c r="I412" s="444">
        <f t="shared" ca="1" si="29"/>
        <v>2876638.8863853626</v>
      </c>
      <c r="J412" s="444">
        <f t="array" ref="J412">IFERROR(INDEX('Retirement Calculator'!K:K,MATCH('Lorri 401b'!N412,'Retirement Calculator'!A:A,0),0),0)</f>
        <v>20367.195264578786</v>
      </c>
      <c r="K412" s="444">
        <f t="shared" ca="1" si="27"/>
        <v>11901.132046336599</v>
      </c>
      <c r="L412" s="444">
        <f t="shared" ca="1" si="28"/>
        <v>2868172.8231671206</v>
      </c>
      <c r="M412" s="460">
        <f t="shared" si="30"/>
        <v>0.05</v>
      </c>
      <c r="N412" s="464">
        <f t="shared" si="31"/>
        <v>63586</v>
      </c>
    </row>
    <row r="413" spans="7:14" ht="11.25" customHeight="1" x14ac:dyDescent="0.3">
      <c r="G413" s="459">
        <f t="shared" si="43"/>
        <v>34</v>
      </c>
      <c r="H413" s="459">
        <v>406</v>
      </c>
      <c r="I413" s="444">
        <f t="shared" ca="1" si="29"/>
        <v>2868172.8231671206</v>
      </c>
      <c r="J413" s="444">
        <f t="array" ref="J413">IFERROR(INDEX('Retirement Calculator'!K:K,MATCH('Lorri 401b'!N413,'Retirement Calculator'!A:A,0),0),0)</f>
        <v>20367.195264578786</v>
      </c>
      <c r="K413" s="444">
        <f t="shared" ca="1" si="27"/>
        <v>11865.856782927258</v>
      </c>
      <c r="L413" s="444">
        <f t="shared" ca="1" si="28"/>
        <v>2859671.484685469</v>
      </c>
      <c r="M413" s="460">
        <f t="shared" si="30"/>
        <v>0.05</v>
      </c>
      <c r="N413" s="464">
        <f t="shared" si="31"/>
        <v>63614</v>
      </c>
    </row>
    <row r="414" spans="7:14" ht="11.25" customHeight="1" x14ac:dyDescent="0.3">
      <c r="G414" s="459">
        <f t="shared" si="43"/>
        <v>34</v>
      </c>
      <c r="H414" s="459">
        <v>407</v>
      </c>
      <c r="I414" s="444">
        <f t="shared" ca="1" si="29"/>
        <v>2859671.484685469</v>
      </c>
      <c r="J414" s="444">
        <f t="array" ref="J414">IFERROR(INDEX('Retirement Calculator'!K:K,MATCH('Lorri 401b'!N414,'Retirement Calculator'!A:A,0),0),0)</f>
        <v>20367.195264578786</v>
      </c>
      <c r="K414" s="444">
        <f t="shared" ca="1" si="27"/>
        <v>11830.434539253709</v>
      </c>
      <c r="L414" s="444">
        <f t="shared" ca="1" si="28"/>
        <v>2851134.723960144</v>
      </c>
      <c r="M414" s="460">
        <f t="shared" si="30"/>
        <v>0.05</v>
      </c>
      <c r="N414" s="464">
        <f t="shared" si="31"/>
        <v>63645</v>
      </c>
    </row>
    <row r="415" spans="7:14" ht="11.25" customHeight="1" x14ac:dyDescent="0.3">
      <c r="G415" s="459">
        <f t="shared" si="43"/>
        <v>34</v>
      </c>
      <c r="H415" s="459">
        <v>408</v>
      </c>
      <c r="I415" s="444">
        <f t="shared" ca="1" si="29"/>
        <v>2851134.723960144</v>
      </c>
      <c r="J415" s="444">
        <f t="array" ref="J415">IFERROR(INDEX('Retirement Calculator'!K:K,MATCH('Lorri 401b'!N415,'Retirement Calculator'!A:A,0),0),0)</f>
        <v>20367.195264578786</v>
      </c>
      <c r="K415" s="444">
        <f t="shared" ca="1" si="27"/>
        <v>11794.864702898189</v>
      </c>
      <c r="L415" s="444">
        <f t="shared" ca="1" si="28"/>
        <v>2842562.3933984633</v>
      </c>
      <c r="M415" s="460">
        <f t="shared" si="30"/>
        <v>0.05</v>
      </c>
      <c r="N415" s="464">
        <f t="shared" si="31"/>
        <v>63675</v>
      </c>
    </row>
    <row r="416" spans="7:14" ht="11.25" customHeight="1" x14ac:dyDescent="0.3">
      <c r="G416" s="459">
        <f>G415+1</f>
        <v>35</v>
      </c>
      <c r="H416" s="459">
        <v>409</v>
      </c>
      <c r="I416" s="444">
        <f t="shared" ca="1" si="29"/>
        <v>2842562.3933984633</v>
      </c>
      <c r="J416" s="444">
        <f t="array" ref="J416">IFERROR(INDEX('Retirement Calculator'!K:K,MATCH('Lorri 401b'!N416,'Retirement Calculator'!A:A,0),0),0)</f>
        <v>20367.195264578786</v>
      </c>
      <c r="K416" s="444">
        <f t="shared" ca="1" si="27"/>
        <v>11759.146658891184</v>
      </c>
      <c r="L416" s="444">
        <f t="shared" ca="1" si="28"/>
        <v>2833954.3447927758</v>
      </c>
      <c r="M416" s="460">
        <f t="shared" si="30"/>
        <v>0.05</v>
      </c>
      <c r="N416" s="464">
        <f t="shared" si="31"/>
        <v>63706</v>
      </c>
    </row>
    <row r="417" spans="7:14" ht="11.25" customHeight="1" x14ac:dyDescent="0.3">
      <c r="G417" s="459">
        <f t="shared" ref="G417:G427" si="44">G416</f>
        <v>35</v>
      </c>
      <c r="H417" s="459">
        <v>410</v>
      </c>
      <c r="I417" s="444">
        <f t="shared" ca="1" si="29"/>
        <v>2833954.3447927758</v>
      </c>
      <c r="J417" s="444">
        <f t="array" ref="J417">IFERROR(INDEX('Retirement Calculator'!K:K,MATCH('Lorri 401b'!N417,'Retirement Calculator'!A:A,0),0),0)</f>
        <v>20367.195264578786</v>
      </c>
      <c r="K417" s="444">
        <f t="shared" ca="1" si="27"/>
        <v>11723.27978970082</v>
      </c>
      <c r="L417" s="444">
        <f t="shared" ca="1" si="28"/>
        <v>2825310.4293178977</v>
      </c>
      <c r="M417" s="460">
        <f t="shared" si="30"/>
        <v>0.05</v>
      </c>
      <c r="N417" s="464">
        <f t="shared" si="31"/>
        <v>63736</v>
      </c>
    </row>
    <row r="418" spans="7:14" ht="11.25" customHeight="1" x14ac:dyDescent="0.3">
      <c r="G418" s="459">
        <f t="shared" si="44"/>
        <v>35</v>
      </c>
      <c r="H418" s="459">
        <v>411</v>
      </c>
      <c r="I418" s="444">
        <f t="shared" ca="1" si="29"/>
        <v>2825310.4293178977</v>
      </c>
      <c r="J418" s="444">
        <f t="array" ref="J418">IFERROR(INDEX('Retirement Calculator'!K:K,MATCH('Lorri 401b'!N418,'Retirement Calculator'!A:A,0),0),0)</f>
        <v>20367.195264578786</v>
      </c>
      <c r="K418" s="444">
        <f t="shared" ca="1" si="27"/>
        <v>11687.263475222162</v>
      </c>
      <c r="L418" s="444">
        <f t="shared" ca="1" si="28"/>
        <v>2816630.4975285409</v>
      </c>
      <c r="M418" s="460">
        <f t="shared" si="30"/>
        <v>0.05</v>
      </c>
      <c r="N418" s="464">
        <f t="shared" si="31"/>
        <v>63767</v>
      </c>
    </row>
    <row r="419" spans="7:14" ht="11.25" customHeight="1" x14ac:dyDescent="0.3">
      <c r="G419" s="459">
        <f t="shared" si="44"/>
        <v>35</v>
      </c>
      <c r="H419" s="459">
        <v>412</v>
      </c>
      <c r="I419" s="444">
        <f t="shared" ca="1" si="29"/>
        <v>2816630.4975285409</v>
      </c>
      <c r="J419" s="444">
        <f t="array" ref="J419">IFERROR(INDEX('Retirement Calculator'!K:K,MATCH('Lorri 401b'!N419,'Retirement Calculator'!A:A,0),0),0)</f>
        <v>20367.195264578786</v>
      </c>
      <c r="K419" s="444">
        <f t="shared" ca="1" si="27"/>
        <v>11651.097092766509</v>
      </c>
      <c r="L419" s="444">
        <f t="shared" ca="1" si="28"/>
        <v>2807914.3993567284</v>
      </c>
      <c r="M419" s="460">
        <f t="shared" si="30"/>
        <v>0.05</v>
      </c>
      <c r="N419" s="464">
        <f t="shared" si="31"/>
        <v>63798</v>
      </c>
    </row>
    <row r="420" spans="7:14" ht="11.25" customHeight="1" x14ac:dyDescent="0.3">
      <c r="G420" s="459">
        <f t="shared" si="44"/>
        <v>35</v>
      </c>
      <c r="H420" s="459">
        <v>413</v>
      </c>
      <c r="I420" s="444">
        <f t="shared" ca="1" si="29"/>
        <v>2807914.3993567284</v>
      </c>
      <c r="J420" s="444">
        <f t="array" ref="J420">IFERROR(INDEX('Retirement Calculator'!K:K,MATCH('Lorri 401b'!N420,'Retirement Calculator'!A:A,0),0),0)</f>
        <v>20367.195264578786</v>
      </c>
      <c r="K420" s="444">
        <f t="shared" ca="1" si="27"/>
        <v>11614.780017050623</v>
      </c>
      <c r="L420" s="444">
        <f t="shared" ca="1" si="28"/>
        <v>2799161.9841092001</v>
      </c>
      <c r="M420" s="460">
        <f t="shared" si="30"/>
        <v>0.05</v>
      </c>
      <c r="N420" s="464">
        <f t="shared" si="31"/>
        <v>63828</v>
      </c>
    </row>
    <row r="421" spans="7:14" ht="11.25" customHeight="1" x14ac:dyDescent="0.3">
      <c r="G421" s="459">
        <f t="shared" si="44"/>
        <v>35</v>
      </c>
      <c r="H421" s="459">
        <v>414</v>
      </c>
      <c r="I421" s="444">
        <f t="shared" ca="1" si="29"/>
        <v>2799161.9841092001</v>
      </c>
      <c r="J421" s="444">
        <f t="array" ref="J421">IFERROR(INDEX('Retirement Calculator'!K:K,MATCH('Lorri 401b'!N421,'Retirement Calculator'!A:A,0),0),0)</f>
        <v>20367.195264578786</v>
      </c>
      <c r="K421" s="444">
        <f t="shared" ca="1" si="27"/>
        <v>11578.311620185921</v>
      </c>
      <c r="L421" s="444">
        <f t="shared" ca="1" si="28"/>
        <v>2790373.1004648074</v>
      </c>
      <c r="M421" s="460">
        <f t="shared" si="30"/>
        <v>0.05</v>
      </c>
      <c r="N421" s="464">
        <f t="shared" si="31"/>
        <v>63859</v>
      </c>
    </row>
    <row r="422" spans="7:14" ht="11.25" customHeight="1" x14ac:dyDescent="0.3">
      <c r="G422" s="459">
        <f t="shared" si="44"/>
        <v>35</v>
      </c>
      <c r="H422" s="459">
        <v>415</v>
      </c>
      <c r="I422" s="444">
        <f t="shared" ca="1" si="29"/>
        <v>2790373.1004648074</v>
      </c>
      <c r="J422" s="444">
        <f t="array" ref="J422">IFERROR(INDEX('Retirement Calculator'!K:K,MATCH('Lorri 401b'!N422,'Retirement Calculator'!A:A,0),0),0)</f>
        <v>20367.195264578786</v>
      </c>
      <c r="K422" s="444">
        <f t="shared" ca="1" si="27"/>
        <v>11541.69127166762</v>
      </c>
      <c r="L422" s="444">
        <f t="shared" ca="1" si="28"/>
        <v>2781547.5964718964</v>
      </c>
      <c r="M422" s="460">
        <f t="shared" si="30"/>
        <v>0.05</v>
      </c>
      <c r="N422" s="464">
        <f t="shared" si="31"/>
        <v>63889</v>
      </c>
    </row>
    <row r="423" spans="7:14" ht="11.25" customHeight="1" x14ac:dyDescent="0.3">
      <c r="G423" s="459">
        <f t="shared" si="44"/>
        <v>35</v>
      </c>
      <c r="H423" s="459">
        <v>416</v>
      </c>
      <c r="I423" s="444">
        <f t="shared" ca="1" si="29"/>
        <v>2781547.5964718964</v>
      </c>
      <c r="J423" s="444">
        <f t="array" ref="J423">IFERROR(INDEX('Retirement Calculator'!K:K,MATCH('Lorri 401b'!N423,'Retirement Calculator'!A:A,0),0),0)</f>
        <v>20367.195264578786</v>
      </c>
      <c r="K423" s="444">
        <f t="shared" ca="1" si="27"/>
        <v>11504.918338363823</v>
      </c>
      <c r="L423" s="444">
        <f t="shared" ca="1" si="28"/>
        <v>2772685.3195456816</v>
      </c>
      <c r="M423" s="460">
        <f t="shared" si="30"/>
        <v>0.05</v>
      </c>
      <c r="N423" s="464">
        <f t="shared" si="31"/>
        <v>63920</v>
      </c>
    </row>
    <row r="424" spans="7:14" ht="11.25" customHeight="1" x14ac:dyDescent="0.3">
      <c r="G424" s="459">
        <f t="shared" si="44"/>
        <v>35</v>
      </c>
      <c r="H424" s="459">
        <v>417</v>
      </c>
      <c r="I424" s="444">
        <f t="shared" ca="1" si="29"/>
        <v>2772685.3195456816</v>
      </c>
      <c r="J424" s="444">
        <f t="array" ref="J424">IFERROR(INDEX('Retirement Calculator'!K:K,MATCH('Lorri 401b'!N424,'Retirement Calculator'!A:A,0),0),0)</f>
        <v>20367.195264578786</v>
      </c>
      <c r="K424" s="444">
        <f t="shared" ca="1" si="27"/>
        <v>11467.992184504596</v>
      </c>
      <c r="L424" s="444">
        <f t="shared" ca="1" si="28"/>
        <v>2763786.1164656072</v>
      </c>
      <c r="M424" s="460">
        <f t="shared" si="30"/>
        <v>0.05</v>
      </c>
      <c r="N424" s="464">
        <f t="shared" si="31"/>
        <v>63951</v>
      </c>
    </row>
    <row r="425" spans="7:14" ht="11.25" customHeight="1" x14ac:dyDescent="0.3">
      <c r="G425" s="459">
        <f t="shared" si="44"/>
        <v>35</v>
      </c>
      <c r="H425" s="459">
        <v>418</v>
      </c>
      <c r="I425" s="444">
        <f t="shared" ca="1" si="29"/>
        <v>2763786.1164656072</v>
      </c>
      <c r="J425" s="444">
        <f t="array" ref="J425">IFERROR(INDEX('Retirement Calculator'!K:K,MATCH('Lorri 401b'!N425,'Retirement Calculator'!A:A,0),0),0)</f>
        <v>20367.195264578786</v>
      </c>
      <c r="K425" s="444">
        <f t="shared" ca="1" si="27"/>
        <v>11430.912171670952</v>
      </c>
      <c r="L425" s="444">
        <f t="shared" ca="1" si="28"/>
        <v>2754849.8333726996</v>
      </c>
      <c r="M425" s="460">
        <f t="shared" si="30"/>
        <v>0.05</v>
      </c>
      <c r="N425" s="464">
        <f t="shared" si="31"/>
        <v>63979</v>
      </c>
    </row>
    <row r="426" spans="7:14" ht="11.25" customHeight="1" x14ac:dyDescent="0.3">
      <c r="G426" s="459">
        <f t="shared" si="44"/>
        <v>35</v>
      </c>
      <c r="H426" s="459">
        <v>419</v>
      </c>
      <c r="I426" s="444">
        <f t="shared" ca="1" si="29"/>
        <v>2754849.8333726996</v>
      </c>
      <c r="J426" s="444">
        <f t="array" ref="J426">IFERROR(INDEX('Retirement Calculator'!K:K,MATCH('Lorri 401b'!N426,'Retirement Calculator'!A:A,0),0),0)</f>
        <v>20367.195264578786</v>
      </c>
      <c r="K426" s="444">
        <f t="shared" ca="1" si="27"/>
        <v>11393.677658783836</v>
      </c>
      <c r="L426" s="444">
        <f t="shared" ca="1" si="28"/>
        <v>2745876.3157669045</v>
      </c>
      <c r="M426" s="460">
        <f t="shared" si="30"/>
        <v>0.05</v>
      </c>
      <c r="N426" s="464">
        <f t="shared" si="31"/>
        <v>64010</v>
      </c>
    </row>
    <row r="427" spans="7:14" ht="11.25" customHeight="1" x14ac:dyDescent="0.3">
      <c r="G427" s="459">
        <f t="shared" si="44"/>
        <v>35</v>
      </c>
      <c r="H427" s="459">
        <v>420</v>
      </c>
      <c r="I427" s="444">
        <f t="shared" ca="1" si="29"/>
        <v>2745876.3157669045</v>
      </c>
      <c r="J427" s="444">
        <f t="array" ref="J427">IFERROR(INDEX('Retirement Calculator'!K:K,MATCH('Lorri 401b'!N427,'Retirement Calculator'!A:A,0),0),0)</f>
        <v>20367.195264578786</v>
      </c>
      <c r="K427" s="444">
        <f t="shared" ca="1" si="27"/>
        <v>11356.288002093024</v>
      </c>
      <c r="L427" s="444">
        <f t="shared" ca="1" si="28"/>
        <v>2736865.4085044186</v>
      </c>
      <c r="M427" s="460">
        <f t="shared" si="30"/>
        <v>0.05</v>
      </c>
      <c r="N427" s="464">
        <f t="shared" si="31"/>
        <v>64040</v>
      </c>
    </row>
    <row r="428" spans="7:14" ht="11.25" customHeight="1" x14ac:dyDescent="0.3">
      <c r="G428" s="459">
        <f>G427+1</f>
        <v>36</v>
      </c>
      <c r="H428" s="459">
        <v>421</v>
      </c>
      <c r="I428" s="444">
        <f t="shared" ca="1" si="29"/>
        <v>2736865.4085044186</v>
      </c>
      <c r="J428" s="444">
        <f t="array" ref="J428">IFERROR(INDEX('Retirement Calculator'!K:K,MATCH('Lorri 401b'!N428,'Retirement Calculator'!A:A,0),0),0)</f>
        <v>20367.195264578786</v>
      </c>
      <c r="K428" s="444">
        <f t="shared" ca="1" si="27"/>
        <v>11318.742555165998</v>
      </c>
      <c r="L428" s="444">
        <f t="shared" ca="1" si="28"/>
        <v>2727816.9557950059</v>
      </c>
      <c r="M428" s="460">
        <f t="shared" si="30"/>
        <v>0.05</v>
      </c>
      <c r="N428" s="464">
        <f t="shared" si="31"/>
        <v>64071</v>
      </c>
    </row>
    <row r="429" spans="7:14" ht="11.25" customHeight="1" x14ac:dyDescent="0.3">
      <c r="G429" s="459">
        <f t="shared" ref="G429:G439" si="45">G428</f>
        <v>36</v>
      </c>
      <c r="H429" s="459">
        <v>422</v>
      </c>
      <c r="I429" s="444">
        <f t="shared" ca="1" si="29"/>
        <v>2727816.9557950059</v>
      </c>
      <c r="J429" s="444">
        <f t="array" ref="J429">IFERROR(INDEX('Retirement Calculator'!K:K,MATCH('Lorri 401b'!N429,'Retirement Calculator'!A:A,0),0),0)</f>
        <v>20367.195264578786</v>
      </c>
      <c r="K429" s="444">
        <f t="shared" ca="1" si="27"/>
        <v>11281.04066887678</v>
      </c>
      <c r="L429" s="444">
        <f t="shared" ca="1" si="28"/>
        <v>2718730.8011993039</v>
      </c>
      <c r="M429" s="460">
        <f t="shared" si="30"/>
        <v>0.05</v>
      </c>
      <c r="N429" s="464">
        <f t="shared" si="31"/>
        <v>64101</v>
      </c>
    </row>
    <row r="430" spans="7:14" ht="11.25" customHeight="1" x14ac:dyDescent="0.3">
      <c r="G430" s="459">
        <f t="shared" si="45"/>
        <v>36</v>
      </c>
      <c r="H430" s="459">
        <v>423</v>
      </c>
      <c r="I430" s="444">
        <f t="shared" ca="1" si="29"/>
        <v>2718730.8011993039</v>
      </c>
      <c r="J430" s="444">
        <f t="array" ref="J430">IFERROR(INDEX('Retirement Calculator'!K:K,MATCH('Lorri 401b'!N430,'Retirement Calculator'!A:A,0),0),0)</f>
        <v>20367.195264578786</v>
      </c>
      <c r="K430" s="444">
        <f t="shared" ca="1" si="27"/>
        <v>11243.181691394688</v>
      </c>
      <c r="L430" s="444">
        <f t="shared" ca="1" si="28"/>
        <v>2709606.7876261198</v>
      </c>
      <c r="M430" s="460">
        <f t="shared" si="30"/>
        <v>0.05</v>
      </c>
      <c r="N430" s="464">
        <f t="shared" si="31"/>
        <v>64132</v>
      </c>
    </row>
    <row r="431" spans="7:14" ht="11.25" customHeight="1" x14ac:dyDescent="0.3">
      <c r="G431" s="459">
        <f t="shared" si="45"/>
        <v>36</v>
      </c>
      <c r="H431" s="459">
        <v>424</v>
      </c>
      <c r="I431" s="444">
        <f t="shared" ca="1" si="29"/>
        <v>2709606.7876261198</v>
      </c>
      <c r="J431" s="444">
        <f t="array" ref="J431">IFERROR(INDEX('Retirement Calculator'!K:K,MATCH('Lorri 401b'!N431,'Retirement Calculator'!A:A,0),0),0)</f>
        <v>20367.195264578786</v>
      </c>
      <c r="K431" s="444">
        <f t="shared" ca="1" si="27"/>
        <v>11205.164968173087</v>
      </c>
      <c r="L431" s="444">
        <f t="shared" ca="1" si="28"/>
        <v>2700444.757329714</v>
      </c>
      <c r="M431" s="460">
        <f t="shared" si="30"/>
        <v>0.05</v>
      </c>
      <c r="N431" s="464">
        <f t="shared" si="31"/>
        <v>64163</v>
      </c>
    </row>
    <row r="432" spans="7:14" ht="11.25" customHeight="1" x14ac:dyDescent="0.3">
      <c r="G432" s="459">
        <f t="shared" si="45"/>
        <v>36</v>
      </c>
      <c r="H432" s="459">
        <v>425</v>
      </c>
      <c r="I432" s="444">
        <f t="shared" ca="1" si="29"/>
        <v>2700444.757329714</v>
      </c>
      <c r="J432" s="444">
        <f t="array" ref="J432">IFERROR(INDEX('Retirement Calculator'!K:K,MATCH('Lorri 401b'!N432,'Retirement Calculator'!A:A,0),0),0)</f>
        <v>20367.195264578786</v>
      </c>
      <c r="K432" s="444">
        <f t="shared" ca="1" si="27"/>
        <v>11166.989841938062</v>
      </c>
      <c r="L432" s="444">
        <f t="shared" ca="1" si="28"/>
        <v>2691244.5519070732</v>
      </c>
      <c r="M432" s="460">
        <f t="shared" si="30"/>
        <v>0.05</v>
      </c>
      <c r="N432" s="464">
        <f t="shared" si="31"/>
        <v>64193</v>
      </c>
    </row>
    <row r="433" spans="7:14" ht="11.25" customHeight="1" x14ac:dyDescent="0.3">
      <c r="G433" s="459">
        <f t="shared" si="45"/>
        <v>36</v>
      </c>
      <c r="H433" s="459">
        <v>426</v>
      </c>
      <c r="I433" s="444">
        <f t="shared" ca="1" si="29"/>
        <v>2691244.5519070732</v>
      </c>
      <c r="J433" s="444">
        <f t="array" ref="J433">IFERROR(INDEX('Retirement Calculator'!K:K,MATCH('Lorri 401b'!N433,'Retirement Calculator'!A:A,0),0),0)</f>
        <v>20367.195264578786</v>
      </c>
      <c r="K433" s="444">
        <f t="shared" ca="1" si="27"/>
        <v>11128.65565267706</v>
      </c>
      <c r="L433" s="444">
        <f t="shared" ca="1" si="28"/>
        <v>2682006.0122951716</v>
      </c>
      <c r="M433" s="460">
        <f t="shared" si="30"/>
        <v>0.05</v>
      </c>
      <c r="N433" s="464">
        <f t="shared" si="31"/>
        <v>64224</v>
      </c>
    </row>
    <row r="434" spans="7:14" ht="11.25" customHeight="1" x14ac:dyDescent="0.3">
      <c r="G434" s="459">
        <f t="shared" si="45"/>
        <v>36</v>
      </c>
      <c r="H434" s="459">
        <v>427</v>
      </c>
      <c r="I434" s="444">
        <f t="shared" ca="1" si="29"/>
        <v>2682006.0122951716</v>
      </c>
      <c r="J434" s="444">
        <f t="array" ref="J434">IFERROR(INDEX('Retirement Calculator'!K:K,MATCH('Lorri 401b'!N434,'Retirement Calculator'!A:A,0),0),0)</f>
        <v>20367.195264578786</v>
      </c>
      <c r="K434" s="444">
        <f t="shared" ca="1" si="27"/>
        <v>11090.16173762747</v>
      </c>
      <c r="L434" s="444">
        <f t="shared" ca="1" si="28"/>
        <v>2672728.9787682202</v>
      </c>
      <c r="M434" s="460">
        <f t="shared" si="30"/>
        <v>0.05</v>
      </c>
      <c r="N434" s="464">
        <f t="shared" si="31"/>
        <v>64254</v>
      </c>
    </row>
    <row r="435" spans="7:14" ht="11.25" customHeight="1" x14ac:dyDescent="0.3">
      <c r="G435" s="459">
        <f t="shared" si="45"/>
        <v>36</v>
      </c>
      <c r="H435" s="459">
        <v>428</v>
      </c>
      <c r="I435" s="444">
        <f t="shared" ca="1" si="29"/>
        <v>2672728.9787682202</v>
      </c>
      <c r="J435" s="444">
        <f t="array" ref="J435">IFERROR(INDEX('Retirement Calculator'!K:K,MATCH('Lorri 401b'!N435,'Retirement Calculator'!A:A,0),0),0)</f>
        <v>20367.195264578786</v>
      </c>
      <c r="K435" s="444">
        <f t="shared" ca="1" si="27"/>
        <v>11051.507431265172</v>
      </c>
      <c r="L435" s="444">
        <f t="shared" ca="1" si="28"/>
        <v>2663413.2909349063</v>
      </c>
      <c r="M435" s="460">
        <f t="shared" si="30"/>
        <v>0.05</v>
      </c>
      <c r="N435" s="464">
        <f t="shared" si="31"/>
        <v>64285</v>
      </c>
    </row>
    <row r="436" spans="7:14" ht="11.25" customHeight="1" x14ac:dyDescent="0.3">
      <c r="G436" s="459">
        <f t="shared" si="45"/>
        <v>36</v>
      </c>
      <c r="H436" s="459">
        <v>429</v>
      </c>
      <c r="I436" s="444">
        <f t="shared" ca="1" si="29"/>
        <v>2663413.2909349063</v>
      </c>
      <c r="J436" s="444">
        <f t="array" ref="J436">IFERROR(INDEX('Retirement Calculator'!K:K,MATCH('Lorri 401b'!N436,'Retirement Calculator'!A:A,0),0),0)</f>
        <v>20367.195264578786</v>
      </c>
      <c r="K436" s="444">
        <f t="shared" ca="1" si="27"/>
        <v>11012.692065293031</v>
      </c>
      <c r="L436" s="444">
        <f t="shared" ca="1" si="28"/>
        <v>2654058.7877356205</v>
      </c>
      <c r="M436" s="460">
        <f t="shared" si="30"/>
        <v>0.05</v>
      </c>
      <c r="N436" s="464">
        <f t="shared" si="31"/>
        <v>64316</v>
      </c>
    </row>
    <row r="437" spans="7:14" ht="11.25" customHeight="1" x14ac:dyDescent="0.3">
      <c r="G437" s="459">
        <f t="shared" si="45"/>
        <v>36</v>
      </c>
      <c r="H437" s="459">
        <v>430</v>
      </c>
      <c r="I437" s="444">
        <f t="shared" ca="1" si="29"/>
        <v>2654058.7877356205</v>
      </c>
      <c r="J437" s="444">
        <f t="array" ref="J437">IFERROR(INDEX('Retirement Calculator'!K:K,MATCH('Lorri 401b'!N437,'Retirement Calculator'!A:A,0),0),0)</f>
        <v>20367.195264578786</v>
      </c>
      <c r="K437" s="444">
        <f t="shared" ca="1" si="27"/>
        <v>10973.71496862934</v>
      </c>
      <c r="L437" s="444">
        <f t="shared" ca="1" si="28"/>
        <v>2644665.3074396709</v>
      </c>
      <c r="M437" s="460">
        <f t="shared" si="30"/>
        <v>0.05</v>
      </c>
      <c r="N437" s="464">
        <f t="shared" si="31"/>
        <v>64345</v>
      </c>
    </row>
    <row r="438" spans="7:14" ht="11.25" customHeight="1" x14ac:dyDescent="0.3">
      <c r="G438" s="459">
        <f t="shared" si="45"/>
        <v>36</v>
      </c>
      <c r="H438" s="459">
        <v>431</v>
      </c>
      <c r="I438" s="444">
        <f t="shared" ca="1" si="29"/>
        <v>2644665.3074396709</v>
      </c>
      <c r="J438" s="444">
        <f t="array" ref="J438">IFERROR(INDEX('Retirement Calculator'!K:K,MATCH('Lorri 401b'!N438,'Retirement Calculator'!A:A,0),0),0)</f>
        <v>20367.195264578786</v>
      </c>
      <c r="K438" s="444">
        <f t="shared" ca="1" si="27"/>
        <v>10934.575467396216</v>
      </c>
      <c r="L438" s="444">
        <f t="shared" ca="1" si="28"/>
        <v>2635232.6876424882</v>
      </c>
      <c r="M438" s="460">
        <f t="shared" si="30"/>
        <v>0.05</v>
      </c>
      <c r="N438" s="464">
        <f t="shared" si="31"/>
        <v>64376</v>
      </c>
    </row>
    <row r="439" spans="7:14" ht="11.25" customHeight="1" x14ac:dyDescent="0.3">
      <c r="G439" s="459">
        <f t="shared" si="45"/>
        <v>36</v>
      </c>
      <c r="H439" s="459">
        <v>432</v>
      </c>
      <c r="I439" s="444">
        <f t="shared" ca="1" si="29"/>
        <v>2635232.6876424882</v>
      </c>
      <c r="J439" s="444">
        <f t="array" ref="J439">IFERROR(INDEX('Retirement Calculator'!K:K,MATCH('Lorri 401b'!N439,'Retirement Calculator'!A:A,0),0),0)</f>
        <v>20367.195264578786</v>
      </c>
      <c r="K439" s="444">
        <f t="shared" ca="1" si="27"/>
        <v>10895.272884907956</v>
      </c>
      <c r="L439" s="444">
        <f t="shared" ca="1" si="28"/>
        <v>2625760.7652628175</v>
      </c>
      <c r="M439" s="460">
        <f t="shared" si="30"/>
        <v>0.05</v>
      </c>
      <c r="N439" s="464">
        <f t="shared" si="31"/>
        <v>64406</v>
      </c>
    </row>
    <row r="440" spans="7:14" ht="11.25" customHeight="1" x14ac:dyDescent="0.3">
      <c r="G440" s="459">
        <f>G439+1</f>
        <v>37</v>
      </c>
      <c r="H440" s="459">
        <v>433</v>
      </c>
      <c r="I440" s="444">
        <f t="shared" ca="1" si="29"/>
        <v>2625760.7652628175</v>
      </c>
      <c r="J440" s="444">
        <f t="array" ref="J440">IFERROR(INDEX('Retirement Calculator'!K:K,MATCH('Lorri 401b'!N440,'Retirement Calculator'!A:A,0),0),0)</f>
        <v>20367.195264578786</v>
      </c>
      <c r="K440" s="444">
        <f t="shared" ca="1" si="27"/>
        <v>10855.806541659327</v>
      </c>
      <c r="L440" s="444">
        <f t="shared" ca="1" si="28"/>
        <v>2616249.3765398981</v>
      </c>
      <c r="M440" s="460">
        <f t="shared" si="30"/>
        <v>0.05</v>
      </c>
      <c r="N440" s="464">
        <f t="shared" si="31"/>
        <v>64437</v>
      </c>
    </row>
    <row r="441" spans="7:14" ht="11.25" customHeight="1" x14ac:dyDescent="0.3">
      <c r="G441" s="459">
        <f t="shared" ref="G441:G451" si="46">G440</f>
        <v>37</v>
      </c>
      <c r="H441" s="459">
        <v>434</v>
      </c>
      <c r="I441" s="444">
        <f t="shared" ca="1" si="29"/>
        <v>2616249.3765398981</v>
      </c>
      <c r="J441" s="444">
        <f t="array" ref="J441">IFERROR(INDEX('Retirement Calculator'!K:K,MATCH('Lorri 401b'!N441,'Retirement Calculator'!A:A,0),0),0)</f>
        <v>20367.195264578786</v>
      </c>
      <c r="K441" s="444">
        <f t="shared" ca="1" si="27"/>
        <v>10816.17575531383</v>
      </c>
      <c r="L441" s="444">
        <f t="shared" ca="1" si="28"/>
        <v>2606698.3570306329</v>
      </c>
      <c r="M441" s="460">
        <f t="shared" si="30"/>
        <v>0.05</v>
      </c>
      <c r="N441" s="464">
        <f t="shared" si="31"/>
        <v>64467</v>
      </c>
    </row>
    <row r="442" spans="7:14" ht="11.25" customHeight="1" x14ac:dyDescent="0.3">
      <c r="G442" s="459">
        <f t="shared" si="46"/>
        <v>37</v>
      </c>
      <c r="H442" s="459">
        <v>435</v>
      </c>
      <c r="I442" s="444">
        <f t="shared" ca="1" si="29"/>
        <v>2606698.3570306329</v>
      </c>
      <c r="J442" s="444">
        <f t="array" ref="J442">IFERROR(INDEX('Retirement Calculator'!K:K,MATCH('Lorri 401b'!N442,'Retirement Calculator'!A:A,0),0),0)</f>
        <v>20367.195264578786</v>
      </c>
      <c r="K442" s="444">
        <f t="shared" ca="1" si="27"/>
        <v>10776.379840691892</v>
      </c>
      <c r="L442" s="444">
        <f t="shared" ca="1" si="28"/>
        <v>2597107.5416067461</v>
      </c>
      <c r="M442" s="460">
        <f t="shared" si="30"/>
        <v>0.05</v>
      </c>
      <c r="N442" s="464">
        <f t="shared" si="31"/>
        <v>64498</v>
      </c>
    </row>
    <row r="443" spans="7:14" ht="11.25" customHeight="1" x14ac:dyDescent="0.3">
      <c r="G443" s="459">
        <f t="shared" si="46"/>
        <v>37</v>
      </c>
      <c r="H443" s="459">
        <v>436</v>
      </c>
      <c r="I443" s="444">
        <f t="shared" ca="1" si="29"/>
        <v>2597107.5416067461</v>
      </c>
      <c r="J443" s="444">
        <f t="array" ref="J443">IFERROR(INDEX('Retirement Calculator'!K:K,MATCH('Lorri 401b'!N443,'Retirement Calculator'!A:A,0),0),0)</f>
        <v>20367.195264578786</v>
      </c>
      <c r="K443" s="444">
        <f t="shared" ca="1" si="27"/>
        <v>10736.41810975903</v>
      </c>
      <c r="L443" s="444">
        <f t="shared" ca="1" si="28"/>
        <v>2587476.7644519266</v>
      </c>
      <c r="M443" s="460">
        <f t="shared" si="30"/>
        <v>0.05</v>
      </c>
      <c r="N443" s="464">
        <f t="shared" si="31"/>
        <v>64529</v>
      </c>
    </row>
    <row r="444" spans="7:14" ht="11.25" customHeight="1" x14ac:dyDescent="0.3">
      <c r="G444" s="459">
        <f t="shared" si="46"/>
        <v>37</v>
      </c>
      <c r="H444" s="459">
        <v>437</v>
      </c>
      <c r="I444" s="444">
        <f t="shared" ca="1" si="29"/>
        <v>2587476.7644519266</v>
      </c>
      <c r="J444" s="444">
        <f t="array" ref="J444">IFERROR(INDEX('Retirement Calculator'!K:K,MATCH('Lorri 401b'!N444,'Retirement Calculator'!A:A,0),0),0)</f>
        <v>20367.195264578786</v>
      </c>
      <c r="K444" s="444">
        <f t="shared" ca="1" si="27"/>
        <v>10696.28987161395</v>
      </c>
      <c r="L444" s="444">
        <f t="shared" ca="1" si="28"/>
        <v>2577805.8590589617</v>
      </c>
      <c r="M444" s="460">
        <f t="shared" si="30"/>
        <v>0.05</v>
      </c>
      <c r="N444" s="464">
        <f t="shared" si="31"/>
        <v>64559</v>
      </c>
    </row>
    <row r="445" spans="7:14" ht="11.25" customHeight="1" x14ac:dyDescent="0.3">
      <c r="G445" s="459">
        <f t="shared" si="46"/>
        <v>37</v>
      </c>
      <c r="H445" s="459">
        <v>438</v>
      </c>
      <c r="I445" s="444">
        <f t="shared" ca="1" si="29"/>
        <v>2577805.8590589617</v>
      </c>
      <c r="J445" s="444">
        <f t="array" ref="J445">IFERROR(INDEX('Retirement Calculator'!K:K,MATCH('Lorri 401b'!N445,'Retirement Calculator'!A:A,0),0),0)</f>
        <v>20367.195264578786</v>
      </c>
      <c r="K445" s="444">
        <f t="shared" ca="1" si="27"/>
        <v>10655.994432476595</v>
      </c>
      <c r="L445" s="444">
        <f t="shared" ca="1" si="28"/>
        <v>2568094.6582268598</v>
      </c>
      <c r="M445" s="460">
        <f t="shared" si="30"/>
        <v>0.05</v>
      </c>
      <c r="N445" s="464">
        <f t="shared" si="31"/>
        <v>64590</v>
      </c>
    </row>
    <row r="446" spans="7:14" ht="11.25" customHeight="1" x14ac:dyDescent="0.3">
      <c r="G446" s="459">
        <f t="shared" si="46"/>
        <v>37</v>
      </c>
      <c r="H446" s="459">
        <v>439</v>
      </c>
      <c r="I446" s="444">
        <f t="shared" ca="1" si="29"/>
        <v>2568094.6582268598</v>
      </c>
      <c r="J446" s="444">
        <f t="array" ref="J446">IFERROR(INDEX('Retirement Calculator'!K:K,MATCH('Lorri 401b'!N446,'Retirement Calculator'!A:A,0),0),0)</f>
        <v>20367.195264578786</v>
      </c>
      <c r="K446" s="444">
        <f t="shared" ca="1" si="27"/>
        <v>10615.531095676171</v>
      </c>
      <c r="L446" s="444">
        <f t="shared" ca="1" si="28"/>
        <v>2558342.9940579571</v>
      </c>
      <c r="M446" s="460">
        <f t="shared" si="30"/>
        <v>0.05</v>
      </c>
      <c r="N446" s="464">
        <f t="shared" si="31"/>
        <v>64620</v>
      </c>
    </row>
    <row r="447" spans="7:14" ht="11.25" customHeight="1" x14ac:dyDescent="0.3">
      <c r="G447" s="459">
        <f t="shared" si="46"/>
        <v>37</v>
      </c>
      <c r="H447" s="459">
        <v>440</v>
      </c>
      <c r="I447" s="444">
        <f t="shared" ca="1" si="29"/>
        <v>2558342.9940579571</v>
      </c>
      <c r="J447" s="444">
        <f t="array" ref="J447">IFERROR(INDEX('Retirement Calculator'!K:K,MATCH('Lorri 401b'!N447,'Retirement Calculator'!A:A,0),0),0)</f>
        <v>20367.195264578786</v>
      </c>
      <c r="K447" s="444">
        <f t="shared" ca="1" si="27"/>
        <v>10574.899161639076</v>
      </c>
      <c r="L447" s="444">
        <f t="shared" ca="1" si="28"/>
        <v>2548550.6979550174</v>
      </c>
      <c r="M447" s="460">
        <f t="shared" si="30"/>
        <v>0.05</v>
      </c>
      <c r="N447" s="464">
        <f t="shared" si="31"/>
        <v>64651</v>
      </c>
    </row>
    <row r="448" spans="7:14" ht="11.25" customHeight="1" x14ac:dyDescent="0.3">
      <c r="G448" s="459">
        <f t="shared" si="46"/>
        <v>37</v>
      </c>
      <c r="H448" s="459">
        <v>441</v>
      </c>
      <c r="I448" s="444">
        <f t="shared" ca="1" si="29"/>
        <v>2548550.6979550174</v>
      </c>
      <c r="J448" s="444">
        <f t="array" ref="J448">IFERROR(INDEX('Retirement Calculator'!K:K,MATCH('Lorri 401b'!N448,'Retirement Calculator'!A:A,0),0),0)</f>
        <v>20367.195264578786</v>
      </c>
      <c r="K448" s="444">
        <f t="shared" ca="1" si="27"/>
        <v>10534.097927876828</v>
      </c>
      <c r="L448" s="444">
        <f t="shared" ca="1" si="28"/>
        <v>2538717.6006183154</v>
      </c>
      <c r="M448" s="460">
        <f t="shared" si="30"/>
        <v>0.05</v>
      </c>
      <c r="N448" s="464">
        <f t="shared" si="31"/>
        <v>64682</v>
      </c>
    </row>
    <row r="449" spans="7:14" ht="11.25" customHeight="1" x14ac:dyDescent="0.3">
      <c r="G449" s="459">
        <f t="shared" si="46"/>
        <v>37</v>
      </c>
      <c r="H449" s="459">
        <v>442</v>
      </c>
      <c r="I449" s="444">
        <f t="shared" ca="1" si="29"/>
        <v>2538717.6006183154</v>
      </c>
      <c r="J449" s="444">
        <f t="array" ref="J449">IFERROR(INDEX('Retirement Calculator'!K:K,MATCH('Lorri 401b'!N449,'Retirement Calculator'!A:A,0),0),0)</f>
        <v>20367.195264578786</v>
      </c>
      <c r="K449" s="444">
        <f t="shared" ca="1" si="27"/>
        <v>10493.126688973902</v>
      </c>
      <c r="L449" s="444">
        <f t="shared" ca="1" si="28"/>
        <v>2528843.5320427106</v>
      </c>
      <c r="M449" s="460">
        <f t="shared" si="30"/>
        <v>0.05</v>
      </c>
      <c r="N449" s="464">
        <f t="shared" si="31"/>
        <v>64710</v>
      </c>
    </row>
    <row r="450" spans="7:14" ht="11.25" customHeight="1" x14ac:dyDescent="0.3">
      <c r="G450" s="459">
        <f t="shared" si="46"/>
        <v>37</v>
      </c>
      <c r="H450" s="459">
        <v>443</v>
      </c>
      <c r="I450" s="444">
        <f t="shared" ca="1" si="29"/>
        <v>2528843.5320427106</v>
      </c>
      <c r="J450" s="444">
        <f t="array" ref="J450">IFERROR(INDEX('Retirement Calculator'!K:K,MATCH('Lorri 401b'!N450,'Retirement Calculator'!A:A,0),0),0)</f>
        <v>20367.195264578786</v>
      </c>
      <c r="K450" s="444">
        <f t="shared" ca="1" si="27"/>
        <v>10451.984736575549</v>
      </c>
      <c r="L450" s="444">
        <f t="shared" ca="1" si="28"/>
        <v>2518928.3215147075</v>
      </c>
      <c r="M450" s="460">
        <f t="shared" si="30"/>
        <v>0.05</v>
      </c>
      <c r="N450" s="464">
        <f t="shared" si="31"/>
        <v>64741</v>
      </c>
    </row>
    <row r="451" spans="7:14" ht="11.25" customHeight="1" x14ac:dyDescent="0.3">
      <c r="G451" s="459">
        <f t="shared" si="46"/>
        <v>37</v>
      </c>
      <c r="H451" s="459">
        <v>444</v>
      </c>
      <c r="I451" s="444">
        <f t="shared" ca="1" si="29"/>
        <v>2518928.3215147075</v>
      </c>
      <c r="J451" s="444">
        <f t="array" ref="J451">IFERROR(INDEX('Retirement Calculator'!K:K,MATCH('Lorri 401b'!N451,'Retirement Calculator'!A:A,0),0),0)</f>
        <v>20367.195264578786</v>
      </c>
      <c r="K451" s="444">
        <f t="shared" ca="1" si="27"/>
        <v>10410.671359375536</v>
      </c>
      <c r="L451" s="444">
        <f t="shared" ca="1" si="28"/>
        <v>2508971.7976095043</v>
      </c>
      <c r="M451" s="460">
        <f t="shared" si="30"/>
        <v>0.05</v>
      </c>
      <c r="N451" s="464">
        <f t="shared" si="31"/>
        <v>64771</v>
      </c>
    </row>
    <row r="452" spans="7:14" ht="11.25" customHeight="1" x14ac:dyDescent="0.3">
      <c r="G452" s="459">
        <f>G451+1</f>
        <v>38</v>
      </c>
      <c r="H452" s="459">
        <v>445</v>
      </c>
      <c r="I452" s="444">
        <f t="shared" ca="1" si="29"/>
        <v>2508971.7976095043</v>
      </c>
      <c r="J452" s="444">
        <f t="array" ref="J452">IFERROR(INDEX('Retirement Calculator'!K:K,MATCH('Lorri 401b'!N452,'Retirement Calculator'!A:A,0),0),0)</f>
        <v>20367.195264578786</v>
      </c>
      <c r="K452" s="444">
        <f t="shared" ca="1" si="27"/>
        <v>10369.185843103856</v>
      </c>
      <c r="L452" s="444">
        <f t="shared" ca="1" si="28"/>
        <v>2498973.7881880295</v>
      </c>
      <c r="M452" s="460">
        <f t="shared" si="30"/>
        <v>0.05</v>
      </c>
      <c r="N452" s="464">
        <f t="shared" si="31"/>
        <v>64802</v>
      </c>
    </row>
    <row r="453" spans="7:14" ht="11.25" customHeight="1" x14ac:dyDescent="0.3">
      <c r="G453" s="459">
        <f t="shared" ref="G453:G463" si="47">G452</f>
        <v>38</v>
      </c>
      <c r="H453" s="459">
        <v>446</v>
      </c>
      <c r="I453" s="444">
        <f t="shared" ca="1" si="29"/>
        <v>2498973.7881880295</v>
      </c>
      <c r="J453" s="444">
        <f t="array" ref="J453">IFERROR(INDEX('Retirement Calculator'!K:K,MATCH('Lorri 401b'!N453,'Retirement Calculator'!A:A,0),0),0)</f>
        <v>20367.195264578786</v>
      </c>
      <c r="K453" s="444">
        <f t="shared" ca="1" si="27"/>
        <v>10327.527470514378</v>
      </c>
      <c r="L453" s="444">
        <f t="shared" ca="1" si="28"/>
        <v>2488934.1203939649</v>
      </c>
      <c r="M453" s="460">
        <f t="shared" si="30"/>
        <v>0.05</v>
      </c>
      <c r="N453" s="464">
        <f t="shared" si="31"/>
        <v>64832</v>
      </c>
    </row>
    <row r="454" spans="7:14" ht="11.25" customHeight="1" x14ac:dyDescent="0.3">
      <c r="G454" s="459">
        <f t="shared" si="47"/>
        <v>38</v>
      </c>
      <c r="H454" s="459">
        <v>447</v>
      </c>
      <c r="I454" s="444">
        <f t="shared" ca="1" si="29"/>
        <v>2488934.1203939649</v>
      </c>
      <c r="J454" s="444">
        <f t="array" ref="J454">IFERROR(INDEX('Retirement Calculator'!K:K,MATCH('Lorri 401b'!N454,'Retirement Calculator'!A:A,0),0),0)</f>
        <v>20367.195264578786</v>
      </c>
      <c r="K454" s="444">
        <f t="shared" ca="1" si="27"/>
        <v>10285.695521372441</v>
      </c>
      <c r="L454" s="444">
        <f t="shared" ca="1" si="28"/>
        <v>2478852.6206507585</v>
      </c>
      <c r="M454" s="460">
        <f t="shared" si="30"/>
        <v>0.05</v>
      </c>
      <c r="N454" s="464">
        <f t="shared" si="31"/>
        <v>64863</v>
      </c>
    </row>
    <row r="455" spans="7:14" ht="11.25" customHeight="1" x14ac:dyDescent="0.3">
      <c r="G455" s="459">
        <f t="shared" si="47"/>
        <v>38</v>
      </c>
      <c r="H455" s="459">
        <v>448</v>
      </c>
      <c r="I455" s="444">
        <f t="shared" ca="1" si="29"/>
        <v>2478852.6206507585</v>
      </c>
      <c r="J455" s="444">
        <f t="array" ref="J455">IFERROR(INDEX('Retirement Calculator'!K:K,MATCH('Lorri 401b'!N455,'Retirement Calculator'!A:A,0),0),0)</f>
        <v>20367.195264578786</v>
      </c>
      <c r="K455" s="444">
        <f t="shared" ca="1" si="27"/>
        <v>10243.689272442416</v>
      </c>
      <c r="L455" s="444">
        <f t="shared" ca="1" si="28"/>
        <v>2468729.1146586221</v>
      </c>
      <c r="M455" s="460">
        <f t="shared" si="30"/>
        <v>0.05</v>
      </c>
      <c r="N455" s="464">
        <f t="shared" si="31"/>
        <v>64894</v>
      </c>
    </row>
    <row r="456" spans="7:14" ht="11.25" customHeight="1" x14ac:dyDescent="0.3">
      <c r="G456" s="459">
        <f t="shared" si="47"/>
        <v>38</v>
      </c>
      <c r="H456" s="459">
        <v>449</v>
      </c>
      <c r="I456" s="444">
        <f t="shared" ca="1" si="29"/>
        <v>2468729.1146586221</v>
      </c>
      <c r="J456" s="444">
        <f t="array" ref="J456">IFERROR(INDEX('Retirement Calculator'!K:K,MATCH('Lorri 401b'!N456,'Retirement Calculator'!A:A,0),0),0)</f>
        <v>20367.195264578786</v>
      </c>
      <c r="K456" s="444">
        <f t="shared" ca="1" si="27"/>
        <v>10201.507997475181</v>
      </c>
      <c r="L456" s="444">
        <f t="shared" ca="1" si="28"/>
        <v>2458563.4273915184</v>
      </c>
      <c r="M456" s="460">
        <f t="shared" si="30"/>
        <v>0.05</v>
      </c>
      <c r="N456" s="464">
        <f t="shared" si="31"/>
        <v>64924</v>
      </c>
    </row>
    <row r="457" spans="7:14" ht="11.25" customHeight="1" x14ac:dyDescent="0.3">
      <c r="G457" s="459">
        <f t="shared" si="47"/>
        <v>38</v>
      </c>
      <c r="H457" s="459">
        <v>450</v>
      </c>
      <c r="I457" s="444">
        <f t="shared" ca="1" si="29"/>
        <v>2458563.4273915184</v>
      </c>
      <c r="J457" s="444">
        <f t="array" ref="J457">IFERROR(INDEX('Retirement Calculator'!K:K,MATCH('Lorri 401b'!N457,'Retirement Calculator'!A:A,0),0),0)</f>
        <v>20367.195264578786</v>
      </c>
      <c r="K457" s="444">
        <f t="shared" ca="1" si="27"/>
        <v>10159.150967195581</v>
      </c>
      <c r="L457" s="444">
        <f t="shared" ca="1" si="28"/>
        <v>2448355.3830941352</v>
      </c>
      <c r="M457" s="460">
        <f t="shared" si="30"/>
        <v>0.05</v>
      </c>
      <c r="N457" s="464">
        <f t="shared" si="31"/>
        <v>64955</v>
      </c>
    </row>
    <row r="458" spans="7:14" ht="11.25" customHeight="1" x14ac:dyDescent="0.3">
      <c r="G458" s="459">
        <f t="shared" si="47"/>
        <v>38</v>
      </c>
      <c r="H458" s="459">
        <v>451</v>
      </c>
      <c r="I458" s="444">
        <f t="shared" ca="1" si="29"/>
        <v>2448355.3830941352</v>
      </c>
      <c r="J458" s="444">
        <f t="array" ref="J458">IFERROR(INDEX('Retirement Calculator'!K:K,MATCH('Lorri 401b'!N458,'Retirement Calculator'!A:A,0),0),0)</f>
        <v>20367.195264578786</v>
      </c>
      <c r="K458" s="444">
        <f t="shared" ca="1" si="27"/>
        <v>10116.617449289819</v>
      </c>
      <c r="L458" s="444">
        <f t="shared" ca="1" si="28"/>
        <v>2438104.8052788461</v>
      </c>
      <c r="M458" s="460">
        <f t="shared" si="30"/>
        <v>0.05</v>
      </c>
      <c r="N458" s="464">
        <f t="shared" si="31"/>
        <v>64985</v>
      </c>
    </row>
    <row r="459" spans="7:14" ht="11.25" customHeight="1" x14ac:dyDescent="0.3">
      <c r="G459" s="459">
        <f t="shared" si="47"/>
        <v>38</v>
      </c>
      <c r="H459" s="459">
        <v>452</v>
      </c>
      <c r="I459" s="444">
        <f t="shared" ca="1" si="29"/>
        <v>2438104.8052788461</v>
      </c>
      <c r="J459" s="444">
        <f t="array" ref="J459">IFERROR(INDEX('Retirement Calculator'!K:K,MATCH('Lorri 401b'!N459,'Retirement Calculator'!A:A,0),0),0)</f>
        <v>20367.195264578786</v>
      </c>
      <c r="K459" s="444">
        <f t="shared" ca="1" si="27"/>
        <v>10073.90670839278</v>
      </c>
      <c r="L459" s="444">
        <f t="shared" ca="1" si="28"/>
        <v>2427811.51672266</v>
      </c>
      <c r="M459" s="460">
        <f t="shared" si="30"/>
        <v>0.05</v>
      </c>
      <c r="N459" s="464">
        <f t="shared" si="31"/>
        <v>65016</v>
      </c>
    </row>
    <row r="460" spans="7:14" ht="11.25" customHeight="1" x14ac:dyDescent="0.3">
      <c r="G460" s="459">
        <f t="shared" si="47"/>
        <v>38</v>
      </c>
      <c r="H460" s="459">
        <v>453</v>
      </c>
      <c r="I460" s="444">
        <f t="shared" ca="1" si="29"/>
        <v>2427811.51672266</v>
      </c>
      <c r="J460" s="444">
        <f t="array" ref="J460">IFERROR(INDEX('Retirement Calculator'!K:K,MATCH('Lorri 401b'!N460,'Retirement Calculator'!A:A,0),0),0)</f>
        <v>20367.195264578786</v>
      </c>
      <c r="K460" s="444">
        <f t="shared" ca="1" si="27"/>
        <v>10031.018006075339</v>
      </c>
      <c r="L460" s="444">
        <f t="shared" ca="1" si="28"/>
        <v>2417475.3394641564</v>
      </c>
      <c r="M460" s="460">
        <f t="shared" si="30"/>
        <v>0.05</v>
      </c>
      <c r="N460" s="464">
        <f t="shared" si="31"/>
        <v>65047</v>
      </c>
    </row>
    <row r="461" spans="7:14" ht="11.25" customHeight="1" x14ac:dyDescent="0.3">
      <c r="G461" s="459">
        <f t="shared" si="47"/>
        <v>38</v>
      </c>
      <c r="H461" s="459">
        <v>454</v>
      </c>
      <c r="I461" s="444">
        <f t="shared" ca="1" si="29"/>
        <v>2417475.3394641564</v>
      </c>
      <c r="J461" s="444">
        <f t="array" ref="J461">IFERROR(INDEX('Retirement Calculator'!K:K,MATCH('Lorri 401b'!N461,'Retirement Calculator'!A:A,0),0),0)</f>
        <v>20367.195264578786</v>
      </c>
      <c r="K461" s="444">
        <f t="shared" ca="1" si="27"/>
        <v>9987.950600831573</v>
      </c>
      <c r="L461" s="444">
        <f t="shared" ca="1" si="28"/>
        <v>2407096.0948004094</v>
      </c>
      <c r="M461" s="460">
        <f t="shared" si="30"/>
        <v>0.05</v>
      </c>
      <c r="N461" s="464">
        <f t="shared" si="31"/>
        <v>65075</v>
      </c>
    </row>
    <row r="462" spans="7:14" ht="11.25" customHeight="1" x14ac:dyDescent="0.3">
      <c r="G462" s="459">
        <f t="shared" si="47"/>
        <v>38</v>
      </c>
      <c r="H462" s="459">
        <v>455</v>
      </c>
      <c r="I462" s="444">
        <f t="shared" ca="1" si="29"/>
        <v>2407096.0948004094</v>
      </c>
      <c r="J462" s="444">
        <f t="array" ref="J462">IFERROR(INDEX('Retirement Calculator'!K:K,MATCH('Lorri 401b'!N462,'Retirement Calculator'!A:A,0),0),0)</f>
        <v>20367.195264578786</v>
      </c>
      <c r="K462" s="444">
        <f t="shared" ca="1" si="27"/>
        <v>9944.7037480659601</v>
      </c>
      <c r="L462" s="444">
        <f t="shared" ca="1" si="28"/>
        <v>2396673.6032838966</v>
      </c>
      <c r="M462" s="460">
        <f t="shared" si="30"/>
        <v>0.05</v>
      </c>
      <c r="N462" s="464">
        <f t="shared" si="31"/>
        <v>65106</v>
      </c>
    </row>
    <row r="463" spans="7:14" ht="11.25" customHeight="1" x14ac:dyDescent="0.3">
      <c r="G463" s="459">
        <f t="shared" si="47"/>
        <v>38</v>
      </c>
      <c r="H463" s="459">
        <v>456</v>
      </c>
      <c r="I463" s="444">
        <f t="shared" ca="1" si="29"/>
        <v>2396673.6032838966</v>
      </c>
      <c r="J463" s="444">
        <f t="array" ref="J463">IFERROR(INDEX('Retirement Calculator'!K:K,MATCH('Lorri 401b'!N463,'Retirement Calculator'!A:A,0),0),0)</f>
        <v>20367.195264578786</v>
      </c>
      <c r="K463" s="444">
        <f t="shared" ca="1" si="27"/>
        <v>9901.2767000804906</v>
      </c>
      <c r="L463" s="444">
        <f t="shared" ca="1" si="28"/>
        <v>2386207.6847193982</v>
      </c>
      <c r="M463" s="460">
        <f t="shared" si="30"/>
        <v>0.05</v>
      </c>
      <c r="N463" s="464">
        <f t="shared" si="31"/>
        <v>65136</v>
      </c>
    </row>
    <row r="464" spans="7:14" ht="11.25" customHeight="1" x14ac:dyDescent="0.3">
      <c r="G464" s="459">
        <f>G463+1</f>
        <v>39</v>
      </c>
      <c r="H464" s="459">
        <v>457</v>
      </c>
      <c r="I464" s="444">
        <f t="shared" ca="1" si="29"/>
        <v>2386207.6847193982</v>
      </c>
      <c r="J464" s="444">
        <f t="array" ref="J464">IFERROR(INDEX('Retirement Calculator'!K:K,MATCH('Lorri 401b'!N464,'Retirement Calculator'!A:A,0),0),0)</f>
        <v>20367.195264578786</v>
      </c>
      <c r="K464" s="444">
        <f t="shared" ca="1" si="27"/>
        <v>9857.6687060617478</v>
      </c>
      <c r="L464" s="444">
        <f t="shared" ca="1" si="28"/>
        <v>2375698.1581608811</v>
      </c>
      <c r="M464" s="460">
        <f t="shared" si="30"/>
        <v>0.05</v>
      </c>
      <c r="N464" s="464">
        <f t="shared" si="31"/>
        <v>65167</v>
      </c>
    </row>
    <row r="465" spans="7:14" ht="11.25" customHeight="1" x14ac:dyDescent="0.3">
      <c r="G465" s="459">
        <f t="shared" ref="G465:G475" si="48">G464</f>
        <v>39</v>
      </c>
      <c r="H465" s="459">
        <v>458</v>
      </c>
      <c r="I465" s="444">
        <f t="shared" ca="1" si="29"/>
        <v>2375698.1581608811</v>
      </c>
      <c r="J465" s="444">
        <f t="array" ref="J465">IFERROR(INDEX('Retirement Calculator'!K:K,MATCH('Lorri 401b'!N465,'Retirement Calculator'!A:A,0),0),0)</f>
        <v>20367.195264578786</v>
      </c>
      <c r="K465" s="444">
        <f t="shared" ca="1" si="27"/>
        <v>9813.8790120679259</v>
      </c>
      <c r="L465" s="444">
        <f t="shared" ca="1" si="28"/>
        <v>2365144.8419083701</v>
      </c>
      <c r="M465" s="460">
        <f t="shared" si="30"/>
        <v>0.05</v>
      </c>
      <c r="N465" s="464">
        <f t="shared" si="31"/>
        <v>65197</v>
      </c>
    </row>
    <row r="466" spans="7:14" ht="11.25" customHeight="1" x14ac:dyDescent="0.3">
      <c r="G466" s="459">
        <f t="shared" si="48"/>
        <v>39</v>
      </c>
      <c r="H466" s="459">
        <v>459</v>
      </c>
      <c r="I466" s="444">
        <f t="shared" ca="1" si="29"/>
        <v>2365144.8419083701</v>
      </c>
      <c r="J466" s="444">
        <f t="array" ref="J466">IFERROR(INDEX('Retirement Calculator'!K:K,MATCH('Lorri 401b'!N466,'Retirement Calculator'!A:A,0),0),0)</f>
        <v>20367.195264578786</v>
      </c>
      <c r="K466" s="444">
        <f t="shared" ca="1" si="27"/>
        <v>9769.9068610157974</v>
      </c>
      <c r="L466" s="444">
        <f t="shared" ca="1" si="28"/>
        <v>2354547.5535048069</v>
      </c>
      <c r="M466" s="460">
        <f t="shared" si="30"/>
        <v>0.05</v>
      </c>
      <c r="N466" s="464">
        <f t="shared" si="31"/>
        <v>65228</v>
      </c>
    </row>
    <row r="467" spans="7:14" ht="11.25" customHeight="1" x14ac:dyDescent="0.3">
      <c r="G467" s="459">
        <f t="shared" si="48"/>
        <v>39</v>
      </c>
      <c r="H467" s="459">
        <v>460</v>
      </c>
      <c r="I467" s="444">
        <f t="shared" ca="1" si="29"/>
        <v>2354547.5535048069</v>
      </c>
      <c r="J467" s="444">
        <f t="array" ref="J467">IFERROR(INDEX('Retirement Calculator'!K:K,MATCH('Lorri 401b'!N467,'Retirement Calculator'!A:A,0),0),0)</f>
        <v>20367.195264578786</v>
      </c>
      <c r="K467" s="444">
        <f t="shared" ca="1" si="27"/>
        <v>9725.7514926676176</v>
      </c>
      <c r="L467" s="444">
        <f t="shared" ca="1" si="28"/>
        <v>2343906.1097328956</v>
      </c>
      <c r="M467" s="460">
        <f t="shared" si="30"/>
        <v>0.05</v>
      </c>
      <c r="N467" s="464">
        <f t="shared" si="31"/>
        <v>65259</v>
      </c>
    </row>
    <row r="468" spans="7:14" ht="11.25" customHeight="1" x14ac:dyDescent="0.3">
      <c r="G468" s="459">
        <f t="shared" si="48"/>
        <v>39</v>
      </c>
      <c r="H468" s="459">
        <v>461</v>
      </c>
      <c r="I468" s="444">
        <f t="shared" ca="1" si="29"/>
        <v>2343906.1097328956</v>
      </c>
      <c r="J468" s="444">
        <f t="array" ref="J468">IFERROR(INDEX('Retirement Calculator'!K:K,MATCH('Lorri 401b'!N468,'Retirement Calculator'!A:A,0),0),0)</f>
        <v>20367.195264578786</v>
      </c>
      <c r="K468" s="444">
        <f t="shared" ca="1" si="27"/>
        <v>9681.4121436179867</v>
      </c>
      <c r="L468" s="444">
        <f t="shared" ca="1" si="28"/>
        <v>2333220.3266119347</v>
      </c>
      <c r="M468" s="460">
        <f t="shared" si="30"/>
        <v>0.05</v>
      </c>
      <c r="N468" s="464">
        <f t="shared" si="31"/>
        <v>65289</v>
      </c>
    </row>
    <row r="469" spans="7:14" ht="11.25" customHeight="1" x14ac:dyDescent="0.3">
      <c r="G469" s="459">
        <f t="shared" si="48"/>
        <v>39</v>
      </c>
      <c r="H469" s="459">
        <v>462</v>
      </c>
      <c r="I469" s="444">
        <f t="shared" ca="1" si="29"/>
        <v>2333220.3266119347</v>
      </c>
      <c r="J469" s="444">
        <f t="array" ref="J469">IFERROR(INDEX('Retirement Calculator'!K:K,MATCH('Lorri 401b'!N469,'Retirement Calculator'!A:A,0),0),0)</f>
        <v>20367.195264578786</v>
      </c>
      <c r="K469" s="444">
        <f t="shared" ca="1" si="27"/>
        <v>9636.8880472806486</v>
      </c>
      <c r="L469" s="444">
        <f t="shared" ca="1" si="28"/>
        <v>2322490.0193946366</v>
      </c>
      <c r="M469" s="460">
        <f t="shared" si="30"/>
        <v>0.05</v>
      </c>
      <c r="N469" s="464">
        <f t="shared" si="31"/>
        <v>65320</v>
      </c>
    </row>
    <row r="470" spans="7:14" ht="11.25" customHeight="1" x14ac:dyDescent="0.3">
      <c r="G470" s="459">
        <f t="shared" si="48"/>
        <v>39</v>
      </c>
      <c r="H470" s="459">
        <v>463</v>
      </c>
      <c r="I470" s="444">
        <f t="shared" ca="1" si="29"/>
        <v>2322490.0193946366</v>
      </c>
      <c r="J470" s="444">
        <f t="array" ref="J470">IFERROR(INDEX('Retirement Calculator'!K:K,MATCH('Lorri 401b'!N470,'Retirement Calculator'!A:A,0),0),0)</f>
        <v>20367.195264578786</v>
      </c>
      <c r="K470" s="444">
        <f t="shared" ca="1" si="27"/>
        <v>9592.1784338752404</v>
      </c>
      <c r="L470" s="444">
        <f t="shared" ca="1" si="28"/>
        <v>2311715.0025639329</v>
      </c>
      <c r="M470" s="460">
        <f t="shared" si="30"/>
        <v>0.05</v>
      </c>
      <c r="N470" s="464">
        <f t="shared" si="31"/>
        <v>65350</v>
      </c>
    </row>
    <row r="471" spans="7:14" ht="11.25" customHeight="1" x14ac:dyDescent="0.3">
      <c r="G471" s="459">
        <f t="shared" si="48"/>
        <v>39</v>
      </c>
      <c r="H471" s="459">
        <v>464</v>
      </c>
      <c r="I471" s="444">
        <f t="shared" ca="1" si="29"/>
        <v>2311715.0025639329</v>
      </c>
      <c r="J471" s="444">
        <f t="array" ref="J471">IFERROR(INDEX('Retirement Calculator'!K:K,MATCH('Lorri 401b'!N471,'Retirement Calculator'!A:A,0),0),0)</f>
        <v>20367.195264578786</v>
      </c>
      <c r="K471" s="444">
        <f t="shared" ca="1" si="27"/>
        <v>9547.2825304139751</v>
      </c>
      <c r="L471" s="444">
        <f t="shared" ca="1" si="28"/>
        <v>2300895.0898297681</v>
      </c>
      <c r="M471" s="460">
        <f t="shared" si="30"/>
        <v>0.05</v>
      </c>
      <c r="N471" s="464">
        <f t="shared" si="31"/>
        <v>65381</v>
      </c>
    </row>
    <row r="472" spans="7:14" ht="11.25" customHeight="1" x14ac:dyDescent="0.3">
      <c r="G472" s="459">
        <f t="shared" si="48"/>
        <v>39</v>
      </c>
      <c r="H472" s="459">
        <v>465</v>
      </c>
      <c r="I472" s="444">
        <f t="shared" ca="1" si="29"/>
        <v>2300895.0898297681</v>
      </c>
      <c r="J472" s="444">
        <f t="array" ref="J472">IFERROR(INDEX('Retirement Calculator'!K:K,MATCH('Lorri 401b'!N472,'Retirement Calculator'!A:A,0),0),0)</f>
        <v>20367.195264578786</v>
      </c>
      <c r="K472" s="444">
        <f t="shared" ca="1" si="27"/>
        <v>9502.1995606882883</v>
      </c>
      <c r="L472" s="444">
        <f t="shared" ca="1" si="28"/>
        <v>2290030.0941258776</v>
      </c>
      <c r="M472" s="460">
        <f t="shared" si="30"/>
        <v>0.05</v>
      </c>
      <c r="N472" s="464">
        <f t="shared" si="31"/>
        <v>65412</v>
      </c>
    </row>
    <row r="473" spans="7:14" ht="11.25" customHeight="1" x14ac:dyDescent="0.3">
      <c r="G473" s="459">
        <f t="shared" si="48"/>
        <v>39</v>
      </c>
      <c r="H473" s="459">
        <v>466</v>
      </c>
      <c r="I473" s="444">
        <f t="shared" ca="1" si="29"/>
        <v>2290030.0941258776</v>
      </c>
      <c r="J473" s="444">
        <f t="array" ref="J473">IFERROR(INDEX('Retirement Calculator'!K:K,MATCH('Lorri 401b'!N473,'Retirement Calculator'!A:A,0),0),0)</f>
        <v>20367.195264578786</v>
      </c>
      <c r="K473" s="444">
        <f t="shared" ca="1" si="27"/>
        <v>9456.9287452554108</v>
      </c>
      <c r="L473" s="444">
        <f t="shared" ca="1" si="28"/>
        <v>2279119.8276065541</v>
      </c>
      <c r="M473" s="460">
        <f t="shared" si="30"/>
        <v>0.05</v>
      </c>
      <c r="N473" s="464">
        <f t="shared" si="31"/>
        <v>65440</v>
      </c>
    </row>
    <row r="474" spans="7:14" ht="11.25" customHeight="1" x14ac:dyDescent="0.3">
      <c r="G474" s="459">
        <f t="shared" si="48"/>
        <v>39</v>
      </c>
      <c r="H474" s="459">
        <v>467</v>
      </c>
      <c r="I474" s="444">
        <f t="shared" ca="1" si="29"/>
        <v>2279119.8276065541</v>
      </c>
      <c r="J474" s="444">
        <f t="array" ref="J474">IFERROR(INDEX('Retirement Calculator'!K:K,MATCH('Lorri 401b'!N474,'Retirement Calculator'!A:A,0),0),0)</f>
        <v>20367.195264578786</v>
      </c>
      <c r="K474" s="444">
        <f t="shared" ca="1" si="27"/>
        <v>9411.4693014248969</v>
      </c>
      <c r="L474" s="444">
        <f t="shared" ca="1" si="28"/>
        <v>2268164.1016434003</v>
      </c>
      <c r="M474" s="460">
        <f t="shared" si="30"/>
        <v>0.05</v>
      </c>
      <c r="N474" s="464">
        <f t="shared" si="31"/>
        <v>65471</v>
      </c>
    </row>
    <row r="475" spans="7:14" ht="11.25" customHeight="1" x14ac:dyDescent="0.3">
      <c r="G475" s="459">
        <f t="shared" si="48"/>
        <v>39</v>
      </c>
      <c r="H475" s="459">
        <v>468</v>
      </c>
      <c r="I475" s="444">
        <f t="shared" ca="1" si="29"/>
        <v>2268164.1016434003</v>
      </c>
      <c r="J475" s="444">
        <f t="array" ref="J475">IFERROR(INDEX('Retirement Calculator'!K:K,MATCH('Lorri 401b'!N475,'Retirement Calculator'!A:A,0),0),0)</f>
        <v>20367.195264578786</v>
      </c>
      <c r="K475" s="444">
        <f t="shared" ca="1" si="27"/>
        <v>9365.8204432450893</v>
      </c>
      <c r="L475" s="444">
        <f t="shared" ca="1" si="28"/>
        <v>2257162.7268220666</v>
      </c>
      <c r="M475" s="460">
        <f t="shared" si="30"/>
        <v>0.05</v>
      </c>
      <c r="N475" s="464">
        <f t="shared" si="31"/>
        <v>65501</v>
      </c>
    </row>
    <row r="476" spans="7:14" ht="11.25" customHeight="1" x14ac:dyDescent="0.3">
      <c r="G476" s="459">
        <f>G475+1</f>
        <v>40</v>
      </c>
      <c r="H476" s="459">
        <v>469</v>
      </c>
      <c r="I476" s="444">
        <f t="shared" ca="1" si="29"/>
        <v>2257162.7268220666</v>
      </c>
      <c r="J476" s="444">
        <f t="array" ref="J476">IFERROR(INDEX('Retirement Calculator'!K:K,MATCH('Lorri 401b'!N476,'Retirement Calculator'!A:A,0),0),0)</f>
        <v>20367.195264578786</v>
      </c>
      <c r="K476" s="444">
        <f t="shared" ca="1" si="27"/>
        <v>9319.9813814895315</v>
      </c>
      <c r="L476" s="444">
        <f t="shared" ca="1" si="28"/>
        <v>2246115.5129389772</v>
      </c>
      <c r="M476" s="460">
        <f t="shared" si="30"/>
        <v>0.05</v>
      </c>
      <c r="N476" s="464">
        <f t="shared" si="31"/>
        <v>65532</v>
      </c>
    </row>
    <row r="477" spans="7:14" ht="11.25" customHeight="1" x14ac:dyDescent="0.3">
      <c r="G477" s="459">
        <f t="shared" ref="G477:G487" si="49">G476</f>
        <v>40</v>
      </c>
      <c r="H477" s="459">
        <v>470</v>
      </c>
      <c r="I477" s="444">
        <f t="shared" ca="1" si="29"/>
        <v>2246115.5129389772</v>
      </c>
      <c r="J477" s="444">
        <f t="array" ref="J477">IFERROR(INDEX('Retirement Calculator'!K:K,MATCH('Lorri 401b'!N477,'Retirement Calculator'!A:A,0),0),0)</f>
        <v>20367.195264578786</v>
      </c>
      <c r="K477" s="444">
        <f t="shared" ca="1" si="27"/>
        <v>9273.9513236433268</v>
      </c>
      <c r="L477" s="444">
        <f t="shared" ca="1" si="28"/>
        <v>2235022.2689980417</v>
      </c>
      <c r="M477" s="460">
        <f t="shared" si="30"/>
        <v>0.05</v>
      </c>
      <c r="N477" s="464">
        <f t="shared" si="31"/>
        <v>65562</v>
      </c>
    </row>
    <row r="478" spans="7:14" ht="11.25" customHeight="1" x14ac:dyDescent="0.3">
      <c r="G478" s="459">
        <f t="shared" si="49"/>
        <v>40</v>
      </c>
      <c r="H478" s="459">
        <v>471</v>
      </c>
      <c r="I478" s="444">
        <f t="shared" ca="1" si="29"/>
        <v>2235022.2689980417</v>
      </c>
      <c r="J478" s="444">
        <f t="array" ref="J478">IFERROR(INDEX('Retirement Calculator'!K:K,MATCH('Lorri 401b'!N478,'Retirement Calculator'!A:A,0),0),0)</f>
        <v>20367.195264578786</v>
      </c>
      <c r="K478" s="444">
        <f t="shared" ca="1" si="27"/>
        <v>9227.7294738894288</v>
      </c>
      <c r="L478" s="444">
        <f t="shared" ca="1" si="28"/>
        <v>2223882.8032073523</v>
      </c>
      <c r="M478" s="460">
        <f t="shared" si="30"/>
        <v>0.05</v>
      </c>
      <c r="N478" s="464">
        <f t="shared" si="31"/>
        <v>65593</v>
      </c>
    </row>
    <row r="479" spans="7:14" ht="11.25" customHeight="1" x14ac:dyDescent="0.3">
      <c r="G479" s="459">
        <f t="shared" si="49"/>
        <v>40</v>
      </c>
      <c r="H479" s="459">
        <v>472</v>
      </c>
      <c r="I479" s="444">
        <f t="shared" ca="1" si="29"/>
        <v>2223882.8032073523</v>
      </c>
      <c r="J479" s="444">
        <f t="array" ref="J479">IFERROR(INDEX('Retirement Calculator'!K:K,MATCH('Lorri 401b'!N479,'Retirement Calculator'!A:A,0),0),0)</f>
        <v>20367.195264578786</v>
      </c>
      <c r="K479" s="444">
        <f t="shared" ca="1" si="27"/>
        <v>9181.3150330948902</v>
      </c>
      <c r="L479" s="444">
        <f t="shared" ca="1" si="28"/>
        <v>2212696.9229758685</v>
      </c>
      <c r="M479" s="460">
        <f t="shared" si="30"/>
        <v>0.05</v>
      </c>
      <c r="N479" s="464">
        <f t="shared" si="31"/>
        <v>65624</v>
      </c>
    </row>
    <row r="480" spans="7:14" ht="11.25" customHeight="1" x14ac:dyDescent="0.3">
      <c r="G480" s="459">
        <f t="shared" si="49"/>
        <v>40</v>
      </c>
      <c r="H480" s="459">
        <v>473</v>
      </c>
      <c r="I480" s="444">
        <f t="shared" ca="1" si="29"/>
        <v>2212696.9229758685</v>
      </c>
      <c r="J480" s="444">
        <f t="array" ref="J480">IFERROR(INDEX('Retirement Calculator'!K:K,MATCH('Lorri 401b'!N480,'Retirement Calculator'!A:A,0),0),0)</f>
        <v>20367.195264578786</v>
      </c>
      <c r="K480" s="444">
        <f t="shared" ca="1" si="27"/>
        <v>9134.7071987970394</v>
      </c>
      <c r="L480" s="444">
        <f t="shared" ca="1" si="28"/>
        <v>2201464.4349100869</v>
      </c>
      <c r="M480" s="460">
        <f t="shared" si="30"/>
        <v>0.05</v>
      </c>
      <c r="N480" s="464">
        <f t="shared" si="31"/>
        <v>65654</v>
      </c>
    </row>
    <row r="481" spans="7:14" ht="11.25" customHeight="1" x14ac:dyDescent="0.3">
      <c r="G481" s="459">
        <f t="shared" si="49"/>
        <v>40</v>
      </c>
      <c r="H481" s="459">
        <v>474</v>
      </c>
      <c r="I481" s="444">
        <f t="shared" ca="1" si="29"/>
        <v>2201464.4349100869</v>
      </c>
      <c r="J481" s="444">
        <f t="array" ref="J481">IFERROR(INDEX('Retirement Calculator'!K:K,MATCH('Lorri 401b'!N481,'Retirement Calculator'!A:A,0),0),0)</f>
        <v>20367.195264578786</v>
      </c>
      <c r="K481" s="444">
        <f t="shared" ca="1" si="27"/>
        <v>9087.905165189617</v>
      </c>
      <c r="L481" s="444">
        <f t="shared" ca="1" si="28"/>
        <v>2190185.1448106975</v>
      </c>
      <c r="M481" s="460">
        <f t="shared" si="30"/>
        <v>0.05</v>
      </c>
      <c r="N481" s="464">
        <f t="shared" si="31"/>
        <v>65685</v>
      </c>
    </row>
    <row r="482" spans="7:14" ht="11.25" customHeight="1" x14ac:dyDescent="0.3">
      <c r="G482" s="459">
        <f t="shared" si="49"/>
        <v>40</v>
      </c>
      <c r="H482" s="459">
        <v>475</v>
      </c>
      <c r="I482" s="444">
        <f t="shared" ca="1" si="29"/>
        <v>2190185.1448106975</v>
      </c>
      <c r="J482" s="444">
        <f t="array" ref="J482">IFERROR(INDEX('Retirement Calculator'!K:K,MATCH('Lorri 401b'!N482,'Retirement Calculator'!A:A,0),0),0)</f>
        <v>20367.195264578786</v>
      </c>
      <c r="K482" s="444">
        <f t="shared" ca="1" si="27"/>
        <v>9040.9081231088276</v>
      </c>
      <c r="L482" s="444">
        <f t="shared" ca="1" si="28"/>
        <v>2178858.8576692278</v>
      </c>
      <c r="M482" s="460">
        <f t="shared" si="30"/>
        <v>0.05</v>
      </c>
      <c r="N482" s="464">
        <f t="shared" si="31"/>
        <v>65715</v>
      </c>
    </row>
    <row r="483" spans="7:14" ht="11.25" customHeight="1" x14ac:dyDescent="0.3">
      <c r="G483" s="459">
        <f t="shared" si="49"/>
        <v>40</v>
      </c>
      <c r="H483" s="459">
        <v>476</v>
      </c>
      <c r="I483" s="444">
        <f t="shared" ca="1" si="29"/>
        <v>2178858.8576692278</v>
      </c>
      <c r="J483" s="444">
        <f t="array" ref="J483">IFERROR(INDEX('Retirement Calculator'!K:K,MATCH('Lorri 401b'!N483,'Retirement Calculator'!A:A,0),0),0)</f>
        <v>20367.195264578786</v>
      </c>
      <c r="K483" s="444">
        <f t="shared" ca="1" si="27"/>
        <v>8993.7152600193713</v>
      </c>
      <c r="L483" s="444">
        <f t="shared" ca="1" si="28"/>
        <v>2167485.3776646685</v>
      </c>
      <c r="M483" s="460">
        <f t="shared" si="30"/>
        <v>0.05</v>
      </c>
      <c r="N483" s="464">
        <f t="shared" si="31"/>
        <v>65746</v>
      </c>
    </row>
    <row r="484" spans="7:14" ht="11.25" customHeight="1" x14ac:dyDescent="0.3">
      <c r="G484" s="459">
        <f t="shared" si="49"/>
        <v>40</v>
      </c>
      <c r="H484" s="459">
        <v>477</v>
      </c>
      <c r="I484" s="444">
        <f t="shared" ca="1" si="29"/>
        <v>2167485.3776646685</v>
      </c>
      <c r="J484" s="444">
        <f t="array" ref="J484">IFERROR(INDEX('Retirement Calculator'!K:K,MATCH('Lorri 401b'!N484,'Retirement Calculator'!A:A,0),0),0)</f>
        <v>20367.195264578786</v>
      </c>
      <c r="K484" s="444">
        <f t="shared" ca="1" si="27"/>
        <v>8946.3257600003744</v>
      </c>
      <c r="L484" s="444">
        <f t="shared" ca="1" si="28"/>
        <v>2156064.5081600901</v>
      </c>
      <c r="M484" s="460">
        <f t="shared" si="30"/>
        <v>0.05</v>
      </c>
      <c r="N484" s="464">
        <f t="shared" si="31"/>
        <v>65777</v>
      </c>
    </row>
    <row r="485" spans="7:14" ht="11.25" customHeight="1" x14ac:dyDescent="0.3">
      <c r="G485" s="459">
        <f t="shared" si="49"/>
        <v>40</v>
      </c>
      <c r="H485" s="459">
        <v>478</v>
      </c>
      <c r="I485" s="444">
        <f t="shared" ca="1" si="29"/>
        <v>2156064.5081600901</v>
      </c>
      <c r="J485" s="444">
        <f t="array" ref="J485">IFERROR(INDEX('Retirement Calculator'!K:K,MATCH('Lorri 401b'!N485,'Retirement Calculator'!A:A,0),0),0)</f>
        <v>20367.195264578786</v>
      </c>
      <c r="K485" s="444">
        <f t="shared" ca="1" si="27"/>
        <v>8898.7388037312976</v>
      </c>
      <c r="L485" s="444">
        <f t="shared" ca="1" si="28"/>
        <v>2144596.0516992426</v>
      </c>
      <c r="M485" s="460">
        <f t="shared" si="30"/>
        <v>0.05</v>
      </c>
      <c r="N485" s="464">
        <f t="shared" si="31"/>
        <v>65806</v>
      </c>
    </row>
    <row r="486" spans="7:14" ht="11.25" customHeight="1" x14ac:dyDescent="0.3">
      <c r="G486" s="459">
        <f t="shared" si="49"/>
        <v>40</v>
      </c>
      <c r="H486" s="459">
        <v>479</v>
      </c>
      <c r="I486" s="444">
        <f t="shared" ca="1" si="29"/>
        <v>2144596.0516992426</v>
      </c>
      <c r="J486" s="444">
        <f t="array" ref="J486">IFERROR(INDEX('Retirement Calculator'!K:K,MATCH('Lorri 401b'!N486,'Retirement Calculator'!A:A,0),0),0)</f>
        <v>20367.195264578786</v>
      </c>
      <c r="K486" s="444">
        <f t="shared" ca="1" si="27"/>
        <v>8850.9535684777657</v>
      </c>
      <c r="L486" s="444">
        <f t="shared" ca="1" si="28"/>
        <v>2133079.8100031414</v>
      </c>
      <c r="M486" s="460">
        <f t="shared" si="30"/>
        <v>0.05</v>
      </c>
      <c r="N486" s="464">
        <f t="shared" si="31"/>
        <v>65837</v>
      </c>
    </row>
    <row r="487" spans="7:14" ht="11.25" customHeight="1" x14ac:dyDescent="0.3">
      <c r="G487" s="459">
        <f t="shared" si="49"/>
        <v>40</v>
      </c>
      <c r="H487" s="459">
        <v>480</v>
      </c>
      <c r="I487" s="444">
        <f t="shared" ca="1" si="29"/>
        <v>2133079.8100031414</v>
      </c>
      <c r="J487" s="444">
        <f t="array" ref="J487">IFERROR(INDEX('Retirement Calculator'!K:K,MATCH('Lorri 401b'!N487,'Retirement Calculator'!A:A,0),0),0)</f>
        <v>20367.195264578786</v>
      </c>
      <c r="K487" s="444">
        <f t="shared" ca="1" si="27"/>
        <v>8802.9692280773434</v>
      </c>
      <c r="L487" s="444">
        <f t="shared" ca="1" si="28"/>
        <v>2121515.5839666398</v>
      </c>
      <c r="M487" s="460">
        <f t="shared" si="30"/>
        <v>0.05</v>
      </c>
      <c r="N487" s="464">
        <f t="shared" si="31"/>
        <v>65867</v>
      </c>
    </row>
    <row r="488" spans="7:14" ht="11.25" customHeight="1" x14ac:dyDescent="0.3">
      <c r="G488" s="459">
        <f>G487+1</f>
        <v>41</v>
      </c>
      <c r="H488" s="459">
        <v>481</v>
      </c>
      <c r="I488" s="444">
        <f t="shared" ca="1" si="29"/>
        <v>2121515.5839666398</v>
      </c>
      <c r="J488" s="444">
        <f t="array" ref="J488">IFERROR(INDEX('Retirement Calculator'!K:K,MATCH('Lorri 401b'!N488,'Retirement Calculator'!A:A,0),0),0)</f>
        <v>20367.195264578786</v>
      </c>
      <c r="K488" s="444">
        <f t="shared" ca="1" si="27"/>
        <v>8754.7849529252544</v>
      </c>
      <c r="L488" s="444">
        <f t="shared" ca="1" si="28"/>
        <v>2109903.1736549861</v>
      </c>
      <c r="M488" s="460">
        <f t="shared" si="30"/>
        <v>0.05</v>
      </c>
      <c r="N488" s="464">
        <f t="shared" si="31"/>
        <v>65898</v>
      </c>
    </row>
    <row r="489" spans="7:14" ht="11.25" customHeight="1" x14ac:dyDescent="0.3">
      <c r="G489" s="459">
        <f t="shared" ref="G489:G499" si="50">G488</f>
        <v>41</v>
      </c>
      <c r="H489" s="459">
        <v>482</v>
      </c>
      <c r="I489" s="444">
        <f t="shared" ca="1" si="29"/>
        <v>2109903.1736549861</v>
      </c>
      <c r="J489" s="444">
        <f t="array" ref="J489">IFERROR(INDEX('Retirement Calculator'!K:K,MATCH('Lorri 401b'!N489,'Retirement Calculator'!A:A,0),0),0)</f>
        <v>20367.195264578786</v>
      </c>
      <c r="K489" s="444">
        <f t="shared" ca="1" si="27"/>
        <v>8706.3999099600296</v>
      </c>
      <c r="L489" s="444">
        <f t="shared" ca="1" si="28"/>
        <v>2098242.3783003674</v>
      </c>
      <c r="M489" s="460">
        <f t="shared" si="30"/>
        <v>0.05</v>
      </c>
      <c r="N489" s="464">
        <f t="shared" si="31"/>
        <v>65928</v>
      </c>
    </row>
    <row r="490" spans="7:14" ht="11.25" customHeight="1" x14ac:dyDescent="0.3">
      <c r="G490" s="459">
        <f t="shared" si="50"/>
        <v>41</v>
      </c>
      <c r="H490" s="459">
        <v>483</v>
      </c>
      <c r="I490" s="444">
        <f t="shared" ca="1" si="29"/>
        <v>2098242.3783003674</v>
      </c>
      <c r="J490" s="444">
        <f t="array" ref="J490">IFERROR(INDEX('Retirement Calculator'!K:K,MATCH('Lorri 401b'!N490,'Retirement Calculator'!A:A,0),0),0)</f>
        <v>20367.195264578786</v>
      </c>
      <c r="K490" s="444">
        <f t="shared" ca="1" si="27"/>
        <v>8657.8132626491188</v>
      </c>
      <c r="L490" s="444">
        <f t="shared" ca="1" si="28"/>
        <v>2086532.9962984377</v>
      </c>
      <c r="M490" s="460">
        <f t="shared" si="30"/>
        <v>0.05</v>
      </c>
      <c r="N490" s="464">
        <f t="shared" si="31"/>
        <v>65959</v>
      </c>
    </row>
    <row r="491" spans="7:14" ht="11.25" customHeight="1" x14ac:dyDescent="0.3">
      <c r="G491" s="459">
        <f t="shared" si="50"/>
        <v>41</v>
      </c>
      <c r="H491" s="459">
        <v>484</v>
      </c>
      <c r="I491" s="444">
        <f t="shared" ca="1" si="29"/>
        <v>2086532.9962984377</v>
      </c>
      <c r="J491" s="444">
        <f t="array" ref="J491">IFERROR(INDEX('Retirement Calculator'!K:K,MATCH('Lorri 401b'!N491,'Retirement Calculator'!A:A,0),0),0)</f>
        <v>20367.195264578786</v>
      </c>
      <c r="K491" s="444">
        <f t="shared" ca="1" si="27"/>
        <v>8609.0241709744132</v>
      </c>
      <c r="L491" s="444">
        <f t="shared" ca="1" si="28"/>
        <v>2074774.8252048334</v>
      </c>
      <c r="M491" s="460">
        <f t="shared" si="30"/>
        <v>0.05</v>
      </c>
      <c r="N491" s="464">
        <f t="shared" si="31"/>
        <v>65990</v>
      </c>
    </row>
    <row r="492" spans="7:14" ht="11.25" customHeight="1" x14ac:dyDescent="0.3">
      <c r="G492" s="459">
        <f t="shared" si="50"/>
        <v>41</v>
      </c>
      <c r="H492" s="459">
        <v>485</v>
      </c>
      <c r="I492" s="444">
        <f t="shared" ca="1" si="29"/>
        <v>2074774.8252048334</v>
      </c>
      <c r="J492" s="444">
        <f t="array" ref="J492">IFERROR(INDEX('Retirement Calculator'!K:K,MATCH('Lorri 401b'!N492,'Retirement Calculator'!A:A,0),0),0)</f>
        <v>20367.195264578786</v>
      </c>
      <c r="K492" s="444">
        <f t="shared" ca="1" si="27"/>
        <v>8560.0317914177267</v>
      </c>
      <c r="L492" s="444">
        <f t="shared" ca="1" si="28"/>
        <v>2062967.6617316722</v>
      </c>
      <c r="M492" s="460">
        <f t="shared" si="30"/>
        <v>0.05</v>
      </c>
      <c r="N492" s="464">
        <f t="shared" si="31"/>
        <v>66020</v>
      </c>
    </row>
    <row r="493" spans="7:14" ht="11.25" customHeight="1" x14ac:dyDescent="0.3">
      <c r="G493" s="459">
        <f t="shared" si="50"/>
        <v>41</v>
      </c>
      <c r="H493" s="459">
        <v>486</v>
      </c>
      <c r="I493" s="444">
        <f t="shared" ca="1" si="29"/>
        <v>2062967.6617316722</v>
      </c>
      <c r="J493" s="444">
        <f t="array" ref="J493">IFERROR(INDEX('Retirement Calculator'!K:K,MATCH('Lorri 401b'!N493,'Retirement Calculator'!A:A,0),0),0)</f>
        <v>20367.195264578786</v>
      </c>
      <c r="K493" s="444">
        <f t="shared" ca="1" si="27"/>
        <v>8510.8352769462235</v>
      </c>
      <c r="L493" s="444">
        <f t="shared" ca="1" si="28"/>
        <v>2051111.3017440396</v>
      </c>
      <c r="M493" s="460">
        <f t="shared" si="30"/>
        <v>0.05</v>
      </c>
      <c r="N493" s="464">
        <f t="shared" si="31"/>
        <v>66051</v>
      </c>
    </row>
    <row r="494" spans="7:14" ht="11.25" customHeight="1" x14ac:dyDescent="0.3">
      <c r="G494" s="459">
        <f t="shared" si="50"/>
        <v>41</v>
      </c>
      <c r="H494" s="459">
        <v>487</v>
      </c>
      <c r="I494" s="444">
        <f t="shared" ca="1" si="29"/>
        <v>2051111.3017440396</v>
      </c>
      <c r="J494" s="444">
        <f t="array" ref="J494">IFERROR(INDEX('Retirement Calculator'!K:K,MATCH('Lorri 401b'!N494,'Retirement Calculator'!A:A,0),0),0)</f>
        <v>20367.195264578786</v>
      </c>
      <c r="K494" s="444">
        <f t="shared" ca="1" si="27"/>
        <v>8461.4337769977537</v>
      </c>
      <c r="L494" s="444">
        <f t="shared" ca="1" si="28"/>
        <v>2039205.5402564586</v>
      </c>
      <c r="M494" s="460">
        <f t="shared" si="30"/>
        <v>0.05</v>
      </c>
      <c r="N494" s="464">
        <f t="shared" si="31"/>
        <v>66081</v>
      </c>
    </row>
    <row r="495" spans="7:14" ht="11.25" customHeight="1" x14ac:dyDescent="0.3">
      <c r="G495" s="459">
        <f t="shared" si="50"/>
        <v>41</v>
      </c>
      <c r="H495" s="459">
        <v>488</v>
      </c>
      <c r="I495" s="444">
        <f t="shared" ca="1" si="29"/>
        <v>2039205.5402564586</v>
      </c>
      <c r="J495" s="444">
        <f t="array" ref="J495">IFERROR(INDEX('Retirement Calculator'!K:K,MATCH('Lorri 401b'!N495,'Retirement Calculator'!A:A,0),0),0)</f>
        <v>20367.195264578786</v>
      </c>
      <c r="K495" s="444">
        <f t="shared" ca="1" si="27"/>
        <v>8411.8264374661649</v>
      </c>
      <c r="L495" s="444">
        <f t="shared" ca="1" si="28"/>
        <v>2027250.1714293458</v>
      </c>
      <c r="M495" s="460">
        <f t="shared" si="30"/>
        <v>0.05</v>
      </c>
      <c r="N495" s="464">
        <f t="shared" si="31"/>
        <v>66112</v>
      </c>
    </row>
    <row r="496" spans="7:14" ht="11.25" customHeight="1" x14ac:dyDescent="0.3">
      <c r="G496" s="459">
        <f t="shared" si="50"/>
        <v>41</v>
      </c>
      <c r="H496" s="459">
        <v>489</v>
      </c>
      <c r="I496" s="444">
        <f t="shared" ca="1" si="29"/>
        <v>2027250.1714293458</v>
      </c>
      <c r="J496" s="444">
        <f t="array" ref="J496">IFERROR(INDEX('Retirement Calculator'!K:K,MATCH('Lorri 401b'!N496,'Retirement Calculator'!A:A,0),0),0)</f>
        <v>20367.195264578786</v>
      </c>
      <c r="K496" s="444">
        <f t="shared" ca="1" si="27"/>
        <v>8362.0124006865299</v>
      </c>
      <c r="L496" s="444">
        <f t="shared" ca="1" si="28"/>
        <v>2015244.9885654536</v>
      </c>
      <c r="M496" s="460">
        <f t="shared" si="30"/>
        <v>0.05</v>
      </c>
      <c r="N496" s="464">
        <f t="shared" si="31"/>
        <v>66143</v>
      </c>
    </row>
    <row r="497" spans="7:14" ht="11.25" customHeight="1" x14ac:dyDescent="0.3">
      <c r="G497" s="459">
        <f t="shared" si="50"/>
        <v>41</v>
      </c>
      <c r="H497" s="459">
        <v>490</v>
      </c>
      <c r="I497" s="444">
        <f t="shared" ca="1" si="29"/>
        <v>2015244.9885654536</v>
      </c>
      <c r="J497" s="444">
        <f t="array" ref="J497">IFERROR(INDEX('Retirement Calculator'!K:K,MATCH('Lorri 401b'!N497,'Retirement Calculator'!A:A,0),0),0)</f>
        <v>20367.195264578786</v>
      </c>
      <c r="K497" s="444">
        <f t="shared" ca="1" si="27"/>
        <v>8311.9908054203115</v>
      </c>
      <c r="L497" s="444">
        <f t="shared" ca="1" si="28"/>
        <v>2003189.7841062951</v>
      </c>
      <c r="M497" s="460">
        <f t="shared" si="30"/>
        <v>0.05</v>
      </c>
      <c r="N497" s="464">
        <f t="shared" si="31"/>
        <v>66171</v>
      </c>
    </row>
    <row r="498" spans="7:14" ht="11.25" customHeight="1" x14ac:dyDescent="0.3">
      <c r="G498" s="459">
        <f t="shared" si="50"/>
        <v>41</v>
      </c>
      <c r="H498" s="459">
        <v>491</v>
      </c>
      <c r="I498" s="444">
        <f t="shared" ca="1" si="29"/>
        <v>2003189.7841062951</v>
      </c>
      <c r="J498" s="444">
        <f t="array" ref="J498">IFERROR(INDEX('Retirement Calculator'!K:K,MATCH('Lorri 401b'!N498,'Retirement Calculator'!A:A,0),0),0)</f>
        <v>20367.195264578786</v>
      </c>
      <c r="K498" s="444">
        <f t="shared" ca="1" si="27"/>
        <v>8261.7607868404848</v>
      </c>
      <c r="L498" s="444">
        <f t="shared" ca="1" si="28"/>
        <v>1991084.3496285568</v>
      </c>
      <c r="M498" s="460">
        <f t="shared" si="30"/>
        <v>0.05</v>
      </c>
      <c r="N498" s="464">
        <f t="shared" si="31"/>
        <v>66202</v>
      </c>
    </row>
    <row r="499" spans="7:14" ht="11.25" customHeight="1" x14ac:dyDescent="0.3">
      <c r="G499" s="459">
        <f t="shared" si="50"/>
        <v>41</v>
      </c>
      <c r="H499" s="459">
        <v>492</v>
      </c>
      <c r="I499" s="444">
        <f t="shared" ca="1" si="29"/>
        <v>1991084.3496285568</v>
      </c>
      <c r="J499" s="444">
        <f t="array" ref="J499">IFERROR(INDEX('Retirement Calculator'!K:K,MATCH('Lorri 401b'!N499,'Retirement Calculator'!A:A,0),0),0)</f>
        <v>20367.195264578786</v>
      </c>
      <c r="K499" s="444">
        <f t="shared" ca="1" si="27"/>
        <v>8211.321476516574</v>
      </c>
      <c r="L499" s="444">
        <f t="shared" ca="1" si="28"/>
        <v>1978928.4758404945</v>
      </c>
      <c r="M499" s="460">
        <f t="shared" si="30"/>
        <v>0.05</v>
      </c>
      <c r="N499" s="464">
        <f t="shared" si="31"/>
        <v>66232</v>
      </c>
    </row>
    <row r="500" spans="7:14" ht="11.25" customHeight="1" x14ac:dyDescent="0.3">
      <c r="G500" s="459">
        <f>G499+1</f>
        <v>42</v>
      </c>
      <c r="H500" s="459">
        <v>493</v>
      </c>
      <c r="I500" s="444">
        <f t="shared" ca="1" si="29"/>
        <v>1978928.4758404945</v>
      </c>
      <c r="J500" s="444">
        <f t="array" ref="J500">IFERROR(INDEX('Retirement Calculator'!K:K,MATCH('Lorri 401b'!N500,'Retirement Calculator'!A:A,0),0),0)</f>
        <v>20367.195264578786</v>
      </c>
      <c r="K500" s="444">
        <f t="shared" ca="1" si="27"/>
        <v>8160.6720023996495</v>
      </c>
      <c r="L500" s="444">
        <f t="shared" ca="1" si="28"/>
        <v>1966721.9525783153</v>
      </c>
      <c r="M500" s="460">
        <f t="shared" si="30"/>
        <v>0.05</v>
      </c>
      <c r="N500" s="464">
        <f t="shared" si="31"/>
        <v>66263</v>
      </c>
    </row>
    <row r="501" spans="7:14" ht="11.25" customHeight="1" x14ac:dyDescent="0.3">
      <c r="G501" s="459">
        <f t="shared" ref="G501:G511" si="51">G500</f>
        <v>42</v>
      </c>
      <c r="H501" s="459">
        <v>494</v>
      </c>
      <c r="I501" s="444">
        <f t="shared" ca="1" si="29"/>
        <v>1966721.9525783153</v>
      </c>
      <c r="J501" s="444">
        <f t="array" ref="J501">IFERROR(INDEX('Retirement Calculator'!K:K,MATCH('Lorri 401b'!N501,'Retirement Calculator'!A:A,0),0),0)</f>
        <v>20367.195264578786</v>
      </c>
      <c r="K501" s="444">
        <f t="shared" ca="1" si="27"/>
        <v>8109.811488807235</v>
      </c>
      <c r="L501" s="444">
        <f t="shared" ca="1" si="28"/>
        <v>1954464.5688025437</v>
      </c>
      <c r="M501" s="460">
        <f t="shared" si="30"/>
        <v>0.05</v>
      </c>
      <c r="N501" s="464">
        <f t="shared" si="31"/>
        <v>66293</v>
      </c>
    </row>
    <row r="502" spans="7:14" ht="11.25" customHeight="1" x14ac:dyDescent="0.3">
      <c r="G502" s="459">
        <f t="shared" si="51"/>
        <v>42</v>
      </c>
      <c r="H502" s="459">
        <v>495</v>
      </c>
      <c r="I502" s="444">
        <f t="shared" ca="1" si="29"/>
        <v>1954464.5688025437</v>
      </c>
      <c r="J502" s="444">
        <f t="array" ref="J502">IFERROR(INDEX('Retirement Calculator'!K:K,MATCH('Lorri 401b'!N502,'Retirement Calculator'!A:A,0),0),0)</f>
        <v>20367.195264578786</v>
      </c>
      <c r="K502" s="444">
        <f t="shared" ca="1" si="27"/>
        <v>8058.739056408187</v>
      </c>
      <c r="L502" s="444">
        <f t="shared" ca="1" si="28"/>
        <v>1942156.1125943731</v>
      </c>
      <c r="M502" s="460">
        <f t="shared" si="30"/>
        <v>0.05</v>
      </c>
      <c r="N502" s="464">
        <f t="shared" si="31"/>
        <v>66324</v>
      </c>
    </row>
    <row r="503" spans="7:14" ht="11.25" customHeight="1" x14ac:dyDescent="0.3">
      <c r="G503" s="459">
        <f t="shared" si="51"/>
        <v>42</v>
      </c>
      <c r="H503" s="459">
        <v>496</v>
      </c>
      <c r="I503" s="444">
        <f t="shared" ca="1" si="29"/>
        <v>1942156.1125943731</v>
      </c>
      <c r="J503" s="444">
        <f t="array" ref="J503">IFERROR(INDEX('Retirement Calculator'!K:K,MATCH('Lorri 401b'!N503,'Retirement Calculator'!A:A,0),0),0)</f>
        <v>20367.195264578786</v>
      </c>
      <c r="K503" s="444">
        <f t="shared" ca="1" si="27"/>
        <v>8007.4538222074752</v>
      </c>
      <c r="L503" s="444">
        <f t="shared" ca="1" si="28"/>
        <v>1929796.3711520017</v>
      </c>
      <c r="M503" s="460">
        <f t="shared" si="30"/>
        <v>0.05</v>
      </c>
      <c r="N503" s="464">
        <f t="shared" si="31"/>
        <v>66355</v>
      </c>
    </row>
    <row r="504" spans="7:14" ht="11.25" customHeight="1" x14ac:dyDescent="0.3">
      <c r="G504" s="459">
        <f t="shared" si="51"/>
        <v>42</v>
      </c>
      <c r="H504" s="459">
        <v>497</v>
      </c>
      <c r="I504" s="444">
        <f t="shared" ca="1" si="29"/>
        <v>1929796.3711520017</v>
      </c>
      <c r="J504" s="444">
        <f t="array" ref="J504">IFERROR(INDEX('Retirement Calculator'!K:K,MATCH('Lorri 401b'!N504,'Retirement Calculator'!A:A,0),0),0)</f>
        <v>20367.195264578786</v>
      </c>
      <c r="K504" s="444">
        <f t="shared" ca="1" si="27"/>
        <v>7955.9548995309287</v>
      </c>
      <c r="L504" s="444">
        <f t="shared" ca="1" si="28"/>
        <v>1917385.1307869537</v>
      </c>
      <c r="M504" s="460">
        <f t="shared" si="30"/>
        <v>0.05</v>
      </c>
      <c r="N504" s="464">
        <f t="shared" si="31"/>
        <v>66385</v>
      </c>
    </row>
    <row r="505" spans="7:14" ht="11.25" customHeight="1" x14ac:dyDescent="0.3">
      <c r="G505" s="459">
        <f t="shared" si="51"/>
        <v>42</v>
      </c>
      <c r="H505" s="459">
        <v>498</v>
      </c>
      <c r="I505" s="444">
        <f t="shared" ca="1" si="29"/>
        <v>1917385.1307869537</v>
      </c>
      <c r="J505" s="444">
        <f t="array" ref="J505">IFERROR(INDEX('Retirement Calculator'!K:K,MATCH('Lorri 401b'!N505,'Retirement Calculator'!A:A,0),0),0)</f>
        <v>20367.195264578786</v>
      </c>
      <c r="K505" s="444">
        <f t="shared" ca="1" si="27"/>
        <v>7904.2413980098954</v>
      </c>
      <c r="L505" s="444">
        <f t="shared" ca="1" si="28"/>
        <v>1904922.1769203849</v>
      </c>
      <c r="M505" s="460">
        <f t="shared" si="30"/>
        <v>0.05</v>
      </c>
      <c r="N505" s="464">
        <f t="shared" si="31"/>
        <v>66416</v>
      </c>
    </row>
    <row r="506" spans="7:14" ht="11.25" customHeight="1" x14ac:dyDescent="0.3">
      <c r="G506" s="459">
        <f t="shared" si="51"/>
        <v>42</v>
      </c>
      <c r="H506" s="459">
        <v>499</v>
      </c>
      <c r="I506" s="444">
        <f t="shared" ca="1" si="29"/>
        <v>1904922.1769203849</v>
      </c>
      <c r="J506" s="444">
        <f t="array" ref="J506">IFERROR(INDEX('Retirement Calculator'!K:K,MATCH('Lorri 401b'!N506,'Retirement Calculator'!A:A,0),0),0)</f>
        <v>20367.195264578786</v>
      </c>
      <c r="K506" s="444">
        <f t="shared" ca="1" si="27"/>
        <v>7852.3124235658579</v>
      </c>
      <c r="L506" s="444">
        <f t="shared" ca="1" si="28"/>
        <v>1892407.294079372</v>
      </c>
      <c r="M506" s="460">
        <f t="shared" si="30"/>
        <v>0.05</v>
      </c>
      <c r="N506" s="464">
        <f t="shared" si="31"/>
        <v>66446</v>
      </c>
    </row>
    <row r="507" spans="7:14" ht="11.25" customHeight="1" x14ac:dyDescent="0.3">
      <c r="G507" s="459">
        <f t="shared" si="51"/>
        <v>42</v>
      </c>
      <c r="H507" s="459">
        <v>500</v>
      </c>
      <c r="I507" s="444">
        <f t="shared" ca="1" si="29"/>
        <v>1892407.294079372</v>
      </c>
      <c r="J507" s="444">
        <f t="array" ref="J507">IFERROR(INDEX('Retirement Calculator'!K:K,MATCH('Lorri 401b'!N507,'Retirement Calculator'!A:A,0),0),0)</f>
        <v>20367.195264578786</v>
      </c>
      <c r="K507" s="444">
        <f t="shared" ca="1" si="27"/>
        <v>7800.1670783949712</v>
      </c>
      <c r="L507" s="444">
        <f t="shared" ca="1" si="28"/>
        <v>1879840.2658931881</v>
      </c>
      <c r="M507" s="460">
        <f t="shared" si="30"/>
        <v>0.05</v>
      </c>
      <c r="N507" s="464">
        <f t="shared" si="31"/>
        <v>66477</v>
      </c>
    </row>
    <row r="508" spans="7:14" ht="11.25" customHeight="1" x14ac:dyDescent="0.3">
      <c r="G508" s="459">
        <f t="shared" si="51"/>
        <v>42</v>
      </c>
      <c r="H508" s="459">
        <v>501</v>
      </c>
      <c r="I508" s="444">
        <f t="shared" ca="1" si="29"/>
        <v>1879840.2658931881</v>
      </c>
      <c r="J508" s="444">
        <f t="array" ref="J508">IFERROR(INDEX('Retirement Calculator'!K:K,MATCH('Lorri 401b'!N508,'Retirement Calculator'!A:A,0),0),0)</f>
        <v>20367.195264578786</v>
      </c>
      <c r="K508" s="444">
        <f t="shared" ca="1" si="27"/>
        <v>7747.8044609525386</v>
      </c>
      <c r="L508" s="444">
        <f t="shared" ca="1" si="28"/>
        <v>1867220.8750895618</v>
      </c>
      <c r="M508" s="460">
        <f t="shared" si="30"/>
        <v>0.05</v>
      </c>
      <c r="N508" s="464">
        <f t="shared" si="31"/>
        <v>66508</v>
      </c>
    </row>
    <row r="509" spans="7:14" ht="11.25" customHeight="1" x14ac:dyDescent="0.3">
      <c r="G509" s="459">
        <f t="shared" si="51"/>
        <v>42</v>
      </c>
      <c r="H509" s="459">
        <v>502</v>
      </c>
      <c r="I509" s="444">
        <f t="shared" ca="1" si="29"/>
        <v>1867220.8750895618</v>
      </c>
      <c r="J509" s="444">
        <f t="array" ref="J509">IFERROR(INDEX('Retirement Calculator'!K:K,MATCH('Lorri 401b'!N509,'Retirement Calculator'!A:A,0),0),0)</f>
        <v>20367.195264578786</v>
      </c>
      <c r="K509" s="444">
        <f t="shared" ca="1" si="27"/>
        <v>7695.2236659374294</v>
      </c>
      <c r="L509" s="444">
        <f t="shared" ca="1" si="28"/>
        <v>1854548.9034909203</v>
      </c>
      <c r="M509" s="460">
        <f t="shared" si="30"/>
        <v>0.05</v>
      </c>
      <c r="N509" s="464">
        <f t="shared" si="31"/>
        <v>66536</v>
      </c>
    </row>
    <row r="510" spans="7:14" ht="11.25" customHeight="1" x14ac:dyDescent="0.3">
      <c r="G510" s="459">
        <f t="shared" si="51"/>
        <v>42</v>
      </c>
      <c r="H510" s="459">
        <v>503</v>
      </c>
      <c r="I510" s="444">
        <f t="shared" ca="1" si="29"/>
        <v>1854548.9034909203</v>
      </c>
      <c r="J510" s="444">
        <f t="array" ref="J510">IFERROR(INDEX('Retirement Calculator'!K:K,MATCH('Lorri 401b'!N510,'Retirement Calculator'!A:A,0),0),0)</f>
        <v>20367.195264578786</v>
      </c>
      <c r="K510" s="444">
        <f t="shared" ca="1" si="27"/>
        <v>7642.4237842764232</v>
      </c>
      <c r="L510" s="444">
        <f t="shared" ca="1" si="28"/>
        <v>1841824.132010618</v>
      </c>
      <c r="M510" s="460">
        <f t="shared" si="30"/>
        <v>0.05</v>
      </c>
      <c r="N510" s="464">
        <f t="shared" si="31"/>
        <v>66567</v>
      </c>
    </row>
    <row r="511" spans="7:14" ht="11.25" customHeight="1" x14ac:dyDescent="0.3">
      <c r="G511" s="459">
        <f t="shared" si="51"/>
        <v>42</v>
      </c>
      <c r="H511" s="459">
        <v>504</v>
      </c>
      <c r="I511" s="444">
        <f t="shared" ca="1" si="29"/>
        <v>1841824.132010618</v>
      </c>
      <c r="J511" s="444">
        <f t="array" ref="J511">IFERROR(INDEX('Retirement Calculator'!K:K,MATCH('Lorri 401b'!N511,'Retirement Calculator'!A:A,0),0),0)</f>
        <v>20367.195264578786</v>
      </c>
      <c r="K511" s="444">
        <f t="shared" ca="1" si="27"/>
        <v>7589.4039031084967</v>
      </c>
      <c r="L511" s="444">
        <f t="shared" ca="1" si="28"/>
        <v>1829046.3406491478</v>
      </c>
      <c r="M511" s="460">
        <f t="shared" si="30"/>
        <v>0.05</v>
      </c>
      <c r="N511" s="464">
        <f t="shared" si="31"/>
        <v>66597</v>
      </c>
    </row>
    <row r="512" spans="7:14" ht="11.25" customHeight="1" x14ac:dyDescent="0.3">
      <c r="G512" s="459">
        <f>G511+1</f>
        <v>43</v>
      </c>
      <c r="H512" s="459">
        <v>505</v>
      </c>
      <c r="I512" s="444">
        <f t="shared" ca="1" si="29"/>
        <v>1829046.3406491478</v>
      </c>
      <c r="J512" s="444">
        <f t="array" ref="J512">IFERROR(INDEX('Retirement Calculator'!K:K,MATCH('Lorri 401b'!N512,'Retirement Calculator'!A:A,0),0),0)</f>
        <v>20367.195264578786</v>
      </c>
      <c r="K512" s="444">
        <f t="shared" ca="1" si="27"/>
        <v>7536.1631057690374</v>
      </c>
      <c r="L512" s="444">
        <f t="shared" ca="1" si="28"/>
        <v>1816215.308490338</v>
      </c>
      <c r="M512" s="460">
        <f t="shared" si="30"/>
        <v>0.05</v>
      </c>
      <c r="N512" s="464">
        <f t="shared" si="31"/>
        <v>66628</v>
      </c>
    </row>
    <row r="513" spans="7:14" ht="11.25" customHeight="1" x14ac:dyDescent="0.3">
      <c r="G513" s="459">
        <f t="shared" ref="G513:G523" si="52">G512</f>
        <v>43</v>
      </c>
      <c r="H513" s="459">
        <v>506</v>
      </c>
      <c r="I513" s="444">
        <f t="shared" ca="1" si="29"/>
        <v>1816215.308490338</v>
      </c>
      <c r="J513" s="444">
        <f t="array" ref="J513">IFERROR(INDEX('Retirement Calculator'!K:K,MATCH('Lorri 401b'!N513,'Retirement Calculator'!A:A,0),0),0)</f>
        <v>20367.195264578786</v>
      </c>
      <c r="K513" s="444">
        <f t="shared" ca="1" si="27"/>
        <v>7482.7004717739974</v>
      </c>
      <c r="L513" s="444">
        <f t="shared" ca="1" si="28"/>
        <v>1803330.8136975332</v>
      </c>
      <c r="M513" s="460">
        <f t="shared" si="30"/>
        <v>0.05</v>
      </c>
      <c r="N513" s="464">
        <f t="shared" si="31"/>
        <v>66658</v>
      </c>
    </row>
    <row r="514" spans="7:14" ht="11.25" customHeight="1" x14ac:dyDescent="0.3">
      <c r="G514" s="459">
        <f t="shared" si="52"/>
        <v>43</v>
      </c>
      <c r="H514" s="459">
        <v>507</v>
      </c>
      <c r="I514" s="444">
        <f t="shared" ca="1" si="29"/>
        <v>1803330.8136975332</v>
      </c>
      <c r="J514" s="444">
        <f t="array" ref="J514">IFERROR(INDEX('Retirement Calculator'!K:K,MATCH('Lorri 401b'!N514,'Retirement Calculator'!A:A,0),0),0)</f>
        <v>20367.195264578786</v>
      </c>
      <c r="K514" s="444">
        <f t="shared" ca="1" si="27"/>
        <v>7429.0150768039766</v>
      </c>
      <c r="L514" s="444">
        <f t="shared" ca="1" si="28"/>
        <v>1790392.6335097584</v>
      </c>
      <c r="M514" s="460">
        <f t="shared" si="30"/>
        <v>0.05</v>
      </c>
      <c r="N514" s="464">
        <f t="shared" si="31"/>
        <v>66689</v>
      </c>
    </row>
    <row r="515" spans="7:14" ht="11.25" customHeight="1" x14ac:dyDescent="0.3">
      <c r="G515" s="459">
        <f t="shared" si="52"/>
        <v>43</v>
      </c>
      <c r="H515" s="459">
        <v>508</v>
      </c>
      <c r="I515" s="444">
        <f t="shared" ca="1" si="29"/>
        <v>1790392.6335097584</v>
      </c>
      <c r="J515" s="444">
        <f t="array" ref="J515">IFERROR(INDEX('Retirement Calculator'!K:K,MATCH('Lorri 401b'!N515,'Retirement Calculator'!A:A,0),0),0)</f>
        <v>20367.195264578786</v>
      </c>
      <c r="K515" s="444">
        <f t="shared" ca="1" si="27"/>
        <v>7375.1059926882472</v>
      </c>
      <c r="L515" s="444">
        <f t="shared" ca="1" si="28"/>
        <v>1777400.5442378679</v>
      </c>
      <c r="M515" s="460">
        <f t="shared" si="30"/>
        <v>0.05</v>
      </c>
      <c r="N515" s="464">
        <f t="shared" si="31"/>
        <v>66720</v>
      </c>
    </row>
    <row r="516" spans="7:14" ht="11.25" customHeight="1" x14ac:dyDescent="0.3">
      <c r="G516" s="459">
        <f t="shared" si="52"/>
        <v>43</v>
      </c>
      <c r="H516" s="459">
        <v>509</v>
      </c>
      <c r="I516" s="444">
        <f t="shared" ca="1" si="29"/>
        <v>1777400.5442378679</v>
      </c>
      <c r="J516" s="444">
        <f t="array" ref="J516">IFERROR(INDEX('Retirement Calculator'!K:K,MATCH('Lorri 401b'!N516,'Retirement Calculator'!A:A,0),0),0)</f>
        <v>20367.195264578786</v>
      </c>
      <c r="K516" s="444">
        <f t="shared" ca="1" si="27"/>
        <v>7320.9722873887049</v>
      </c>
      <c r="L516" s="444">
        <f t="shared" ca="1" si="28"/>
        <v>1764354.3212606779</v>
      </c>
      <c r="M516" s="460">
        <f t="shared" si="30"/>
        <v>0.05</v>
      </c>
      <c r="N516" s="464">
        <f t="shared" si="31"/>
        <v>66750</v>
      </c>
    </row>
    <row r="517" spans="7:14" ht="11.25" customHeight="1" x14ac:dyDescent="0.3">
      <c r="G517" s="459">
        <f t="shared" si="52"/>
        <v>43</v>
      </c>
      <c r="H517" s="459">
        <v>510</v>
      </c>
      <c r="I517" s="444">
        <f t="shared" ca="1" si="29"/>
        <v>1764354.3212606779</v>
      </c>
      <c r="J517" s="444">
        <f t="array" ref="J517">IFERROR(INDEX('Retirement Calculator'!K:K,MATCH('Lorri 401b'!N517,'Retirement Calculator'!A:A,0),0),0)</f>
        <v>20367.195264578786</v>
      </c>
      <c r="K517" s="444">
        <f t="shared" ca="1" si="27"/>
        <v>7266.6130249837452</v>
      </c>
      <c r="L517" s="444">
        <f t="shared" ca="1" si="28"/>
        <v>1751253.7390210829</v>
      </c>
      <c r="M517" s="460">
        <f t="shared" si="30"/>
        <v>0.05</v>
      </c>
      <c r="N517" s="464">
        <f t="shared" si="31"/>
        <v>66781</v>
      </c>
    </row>
    <row r="518" spans="7:14" ht="11.25" customHeight="1" x14ac:dyDescent="0.3">
      <c r="G518" s="459">
        <f t="shared" si="52"/>
        <v>43</v>
      </c>
      <c r="H518" s="459">
        <v>511</v>
      </c>
      <c r="I518" s="444">
        <f t="shared" ca="1" si="29"/>
        <v>1751253.7390210829</v>
      </c>
      <c r="J518" s="444">
        <f t="array" ref="J518">IFERROR(INDEX('Retirement Calculator'!K:K,MATCH('Lorri 401b'!N518,'Retirement Calculator'!A:A,0),0),0)</f>
        <v>20367.195264578786</v>
      </c>
      <c r="K518" s="444">
        <f t="shared" ref="K518:K772" ca="1" si="53">IPMT(M518/12,1,12,-I518+J518,,0)</f>
        <v>7212.0272656520992</v>
      </c>
      <c r="L518" s="444">
        <f t="shared" ref="L518:L772" ca="1" si="54">I518-J518+K518</f>
        <v>1738098.5710221562</v>
      </c>
      <c r="M518" s="460">
        <f t="shared" si="30"/>
        <v>0.05</v>
      </c>
      <c r="N518" s="464">
        <f t="shared" si="31"/>
        <v>66811</v>
      </c>
    </row>
    <row r="519" spans="7:14" ht="11.25" customHeight="1" x14ac:dyDescent="0.3">
      <c r="G519" s="459">
        <f t="shared" si="52"/>
        <v>43</v>
      </c>
      <c r="H519" s="459">
        <v>512</v>
      </c>
      <c r="I519" s="444">
        <f t="shared" ref="I519:I773" ca="1" si="55">L518</f>
        <v>1738098.5710221562</v>
      </c>
      <c r="J519" s="444">
        <f t="array" ref="J519">IFERROR(INDEX('Retirement Calculator'!K:K,MATCH('Lorri 401b'!N519,'Retirement Calculator'!A:A,0),0),0)</f>
        <v>20367.195264578786</v>
      </c>
      <c r="K519" s="444">
        <f t="shared" ca="1" si="53"/>
        <v>7157.2140656565734</v>
      </c>
      <c r="L519" s="444">
        <f t="shared" ca="1" si="54"/>
        <v>1724888.5898232339</v>
      </c>
      <c r="M519" s="460">
        <f t="shared" ref="M519:M773" si="56">M518</f>
        <v>0.05</v>
      </c>
      <c r="N519" s="464">
        <f t="shared" ref="N519:N773" si="57">EDATE(N518,1)</f>
        <v>66842</v>
      </c>
    </row>
    <row r="520" spans="7:14" ht="11.25" customHeight="1" x14ac:dyDescent="0.3">
      <c r="G520" s="459">
        <f t="shared" si="52"/>
        <v>43</v>
      </c>
      <c r="H520" s="459">
        <v>513</v>
      </c>
      <c r="I520" s="444">
        <f t="shared" ca="1" si="55"/>
        <v>1724888.5898232339</v>
      </c>
      <c r="J520" s="444">
        <f t="array" ref="J520">IFERROR(INDEX('Retirement Calculator'!K:K,MATCH('Lorri 401b'!N520,'Retirement Calculator'!A:A,0),0),0)</f>
        <v>20367.195264578786</v>
      </c>
      <c r="K520" s="444">
        <f t="shared" ca="1" si="53"/>
        <v>7102.1724773277292</v>
      </c>
      <c r="L520" s="444">
        <f t="shared" ca="1" si="54"/>
        <v>1711623.5670359829</v>
      </c>
      <c r="M520" s="460">
        <f t="shared" si="56"/>
        <v>0.05</v>
      </c>
      <c r="N520" s="464">
        <f t="shared" si="57"/>
        <v>66873</v>
      </c>
    </row>
    <row r="521" spans="7:14" ht="11.25" customHeight="1" x14ac:dyDescent="0.3">
      <c r="G521" s="459">
        <f t="shared" si="52"/>
        <v>43</v>
      </c>
      <c r="H521" s="459">
        <v>514</v>
      </c>
      <c r="I521" s="444">
        <f t="shared" ca="1" si="55"/>
        <v>1711623.5670359829</v>
      </c>
      <c r="J521" s="444">
        <f t="array" ref="J521">IFERROR(INDEX('Retirement Calculator'!K:K,MATCH('Lorri 401b'!N521,'Retirement Calculator'!A:A,0),0),0)</f>
        <v>20367.195264578786</v>
      </c>
      <c r="K521" s="444">
        <f t="shared" ca="1" si="53"/>
        <v>7046.9015490475158</v>
      </c>
      <c r="L521" s="444">
        <f t="shared" ca="1" si="54"/>
        <v>1698303.2733204516</v>
      </c>
      <c r="M521" s="460">
        <f t="shared" si="56"/>
        <v>0.05</v>
      </c>
      <c r="N521" s="464">
        <f t="shared" si="57"/>
        <v>66901</v>
      </c>
    </row>
    <row r="522" spans="7:14" ht="11.25" customHeight="1" x14ac:dyDescent="0.3">
      <c r="G522" s="459">
        <f t="shared" si="52"/>
        <v>43</v>
      </c>
      <c r="H522" s="459">
        <v>515</v>
      </c>
      <c r="I522" s="444">
        <f t="shared" ca="1" si="55"/>
        <v>1698303.2733204516</v>
      </c>
      <c r="J522" s="444">
        <f t="array" ref="J522">IFERROR(INDEX('Retirement Calculator'!K:K,MATCH('Lorri 401b'!N522,'Retirement Calculator'!A:A,0),0),0)</f>
        <v>20367.195264578786</v>
      </c>
      <c r="K522" s="444">
        <f t="shared" ca="1" si="53"/>
        <v>6991.400325232803</v>
      </c>
      <c r="L522" s="444">
        <f t="shared" ca="1" si="54"/>
        <v>1684927.4783811057</v>
      </c>
      <c r="M522" s="460">
        <f t="shared" si="56"/>
        <v>0.05</v>
      </c>
      <c r="N522" s="464">
        <f t="shared" si="57"/>
        <v>66932</v>
      </c>
    </row>
    <row r="523" spans="7:14" ht="11.25" customHeight="1" x14ac:dyDescent="0.3">
      <c r="G523" s="459">
        <f t="shared" si="52"/>
        <v>43</v>
      </c>
      <c r="H523" s="459">
        <v>516</v>
      </c>
      <c r="I523" s="444">
        <f t="shared" ca="1" si="55"/>
        <v>1684927.4783811057</v>
      </c>
      <c r="J523" s="444">
        <f t="array" ref="J523">IFERROR(INDEX('Retirement Calculator'!K:K,MATCH('Lorri 401b'!N523,'Retirement Calculator'!A:A,0),0),0)</f>
        <v>20367.195264578786</v>
      </c>
      <c r="K523" s="444">
        <f t="shared" ca="1" si="53"/>
        <v>6935.6678463188618</v>
      </c>
      <c r="L523" s="444">
        <f t="shared" ca="1" si="54"/>
        <v>1671495.9509628457</v>
      </c>
      <c r="M523" s="460">
        <f t="shared" si="56"/>
        <v>0.05</v>
      </c>
      <c r="N523" s="464">
        <f t="shared" si="57"/>
        <v>66962</v>
      </c>
    </row>
    <row r="524" spans="7:14" ht="11.25" customHeight="1" x14ac:dyDescent="0.3">
      <c r="G524" s="459">
        <f>G523+1</f>
        <v>44</v>
      </c>
      <c r="H524" s="459">
        <v>517</v>
      </c>
      <c r="I524" s="444">
        <f t="shared" ca="1" si="55"/>
        <v>1671495.9509628457</v>
      </c>
      <c r="J524" s="444">
        <f t="array" ref="J524">IFERROR(INDEX('Retirement Calculator'!K:K,MATCH('Lorri 401b'!N524,'Retirement Calculator'!A:A,0),0),0)</f>
        <v>20367.195264578786</v>
      </c>
      <c r="K524" s="444">
        <f t="shared" ca="1" si="53"/>
        <v>6879.7031487427785</v>
      </c>
      <c r="L524" s="444">
        <f t="shared" ca="1" si="54"/>
        <v>1658008.4588470096</v>
      </c>
      <c r="M524" s="460">
        <f t="shared" si="56"/>
        <v>0.05</v>
      </c>
      <c r="N524" s="464">
        <f t="shared" si="57"/>
        <v>66993</v>
      </c>
    </row>
    <row r="525" spans="7:14" ht="11.25" customHeight="1" x14ac:dyDescent="0.3">
      <c r="G525" s="459">
        <f t="shared" ref="G525:G535" si="58">G524</f>
        <v>44</v>
      </c>
      <c r="H525" s="459">
        <v>518</v>
      </c>
      <c r="I525" s="444">
        <f t="shared" ca="1" si="55"/>
        <v>1658008.4588470096</v>
      </c>
      <c r="J525" s="444">
        <f t="array" ref="J525">IFERROR(INDEX('Retirement Calculator'!K:K,MATCH('Lorri 401b'!N525,'Retirement Calculator'!A:A,0),0),0)</f>
        <v>20367.195264578786</v>
      </c>
      <c r="K525" s="444">
        <f t="shared" ca="1" si="53"/>
        <v>6823.5052649267955</v>
      </c>
      <c r="L525" s="444">
        <f t="shared" ca="1" si="54"/>
        <v>1644464.7688473575</v>
      </c>
      <c r="M525" s="460">
        <f t="shared" si="56"/>
        <v>0.05</v>
      </c>
      <c r="N525" s="464">
        <f t="shared" si="57"/>
        <v>67023</v>
      </c>
    </row>
    <row r="526" spans="7:14" ht="11.25" customHeight="1" x14ac:dyDescent="0.3">
      <c r="G526" s="459">
        <f t="shared" si="58"/>
        <v>44</v>
      </c>
      <c r="H526" s="459">
        <v>519</v>
      </c>
      <c r="I526" s="444">
        <f t="shared" ca="1" si="55"/>
        <v>1644464.7688473575</v>
      </c>
      <c r="J526" s="444">
        <f t="array" ref="J526">IFERROR(INDEX('Retirement Calculator'!K:K,MATCH('Lorri 401b'!N526,'Retirement Calculator'!A:A,0),0),0)</f>
        <v>20367.195264578786</v>
      </c>
      <c r="K526" s="444">
        <f t="shared" ca="1" si="53"/>
        <v>6767.0732232615774</v>
      </c>
      <c r="L526" s="444">
        <f t="shared" ca="1" si="54"/>
        <v>1630864.6468060403</v>
      </c>
      <c r="M526" s="460">
        <f t="shared" si="56"/>
        <v>0.05</v>
      </c>
      <c r="N526" s="464">
        <f t="shared" si="57"/>
        <v>67054</v>
      </c>
    </row>
    <row r="527" spans="7:14" ht="11.25" customHeight="1" x14ac:dyDescent="0.3">
      <c r="G527" s="459">
        <f t="shared" si="58"/>
        <v>44</v>
      </c>
      <c r="H527" s="459">
        <v>520</v>
      </c>
      <c r="I527" s="444">
        <f t="shared" ca="1" si="55"/>
        <v>1630864.6468060403</v>
      </c>
      <c r="J527" s="444">
        <f t="array" ref="J527">IFERROR(INDEX('Retirement Calculator'!K:K,MATCH('Lorri 401b'!N527,'Retirement Calculator'!A:A,0),0),0)</f>
        <v>20367.195264578786</v>
      </c>
      <c r="K527" s="444">
        <f t="shared" ca="1" si="53"/>
        <v>6710.4060480894232</v>
      </c>
      <c r="L527" s="444">
        <f t="shared" ca="1" si="54"/>
        <v>1617207.857589551</v>
      </c>
      <c r="M527" s="460">
        <f t="shared" si="56"/>
        <v>0.05</v>
      </c>
      <c r="N527" s="464">
        <f t="shared" si="57"/>
        <v>67085</v>
      </c>
    </row>
    <row r="528" spans="7:14" ht="11.25" customHeight="1" x14ac:dyDescent="0.3">
      <c r="G528" s="459">
        <f t="shared" si="58"/>
        <v>44</v>
      </c>
      <c r="H528" s="459">
        <v>521</v>
      </c>
      <c r="I528" s="444">
        <f t="shared" ca="1" si="55"/>
        <v>1617207.857589551</v>
      </c>
      <c r="J528" s="444">
        <f t="array" ref="J528">IFERROR(INDEX('Retirement Calculator'!K:K,MATCH('Lorri 401b'!N528,'Retirement Calculator'!A:A,0),0),0)</f>
        <v>20367.195264578786</v>
      </c>
      <c r="K528" s="444">
        <f t="shared" ca="1" si="53"/>
        <v>6653.5027596873842</v>
      </c>
      <c r="L528" s="444">
        <f t="shared" ca="1" si="54"/>
        <v>1603494.1650846596</v>
      </c>
      <c r="M528" s="460">
        <f t="shared" si="56"/>
        <v>0.05</v>
      </c>
      <c r="N528" s="464">
        <f t="shared" si="57"/>
        <v>67115</v>
      </c>
    </row>
    <row r="529" spans="7:14" ht="11.25" customHeight="1" x14ac:dyDescent="0.3">
      <c r="G529" s="459">
        <f t="shared" si="58"/>
        <v>44</v>
      </c>
      <c r="H529" s="459">
        <v>522</v>
      </c>
      <c r="I529" s="444">
        <f t="shared" ca="1" si="55"/>
        <v>1603494.1650846596</v>
      </c>
      <c r="J529" s="444">
        <f t="array" ref="J529">IFERROR(INDEX('Retirement Calculator'!K:K,MATCH('Lorri 401b'!N529,'Retirement Calculator'!A:A,0),0),0)</f>
        <v>20367.195264578786</v>
      </c>
      <c r="K529" s="444">
        <f t="shared" ca="1" si="53"/>
        <v>6596.3623742503369</v>
      </c>
      <c r="L529" s="444">
        <f t="shared" ca="1" si="54"/>
        <v>1589723.3321943311</v>
      </c>
      <c r="M529" s="460">
        <f t="shared" si="56"/>
        <v>0.05</v>
      </c>
      <c r="N529" s="464">
        <f t="shared" si="57"/>
        <v>67146</v>
      </c>
    </row>
    <row r="530" spans="7:14" ht="11.25" customHeight="1" x14ac:dyDescent="0.3">
      <c r="G530" s="459">
        <f t="shared" si="58"/>
        <v>44</v>
      </c>
      <c r="H530" s="459">
        <v>523</v>
      </c>
      <c r="I530" s="444">
        <f t="shared" ca="1" si="55"/>
        <v>1589723.3321943311</v>
      </c>
      <c r="J530" s="444">
        <f t="array" ref="J530">IFERROR(INDEX('Retirement Calculator'!K:K,MATCH('Lorri 401b'!N530,'Retirement Calculator'!A:A,0),0),0)</f>
        <v>20367.195264578786</v>
      </c>
      <c r="K530" s="444">
        <f t="shared" ca="1" si="53"/>
        <v>6538.9839038739683</v>
      </c>
      <c r="L530" s="444">
        <f t="shared" ca="1" si="54"/>
        <v>1575895.1208336262</v>
      </c>
      <c r="M530" s="460">
        <f t="shared" si="56"/>
        <v>0.05</v>
      </c>
      <c r="N530" s="464">
        <f t="shared" si="57"/>
        <v>67176</v>
      </c>
    </row>
    <row r="531" spans="7:14" ht="11.25" customHeight="1" x14ac:dyDescent="0.3">
      <c r="G531" s="459">
        <f t="shared" si="58"/>
        <v>44</v>
      </c>
      <c r="H531" s="459">
        <v>524</v>
      </c>
      <c r="I531" s="444">
        <f t="shared" ca="1" si="55"/>
        <v>1575895.1208336262</v>
      </c>
      <c r="J531" s="444">
        <f t="array" ref="J531">IFERROR(INDEX('Retirement Calculator'!K:K,MATCH('Lorri 401b'!N531,'Retirement Calculator'!A:A,0),0),0)</f>
        <v>20367.195264578786</v>
      </c>
      <c r="K531" s="444">
        <f t="shared" ca="1" si="53"/>
        <v>6481.3663565376974</v>
      </c>
      <c r="L531" s="444">
        <f t="shared" ca="1" si="54"/>
        <v>1562009.2919255851</v>
      </c>
      <c r="M531" s="460">
        <f t="shared" si="56"/>
        <v>0.05</v>
      </c>
      <c r="N531" s="464">
        <f t="shared" si="57"/>
        <v>67207</v>
      </c>
    </row>
    <row r="532" spans="7:14" ht="11.25" customHeight="1" x14ac:dyDescent="0.3">
      <c r="G532" s="459">
        <f t="shared" si="58"/>
        <v>44</v>
      </c>
      <c r="H532" s="459">
        <v>525</v>
      </c>
      <c r="I532" s="444">
        <f t="shared" ca="1" si="55"/>
        <v>1562009.2919255851</v>
      </c>
      <c r="J532" s="444">
        <f t="array" ref="J532">IFERROR(INDEX('Retirement Calculator'!K:K,MATCH('Lorri 401b'!N532,'Retirement Calculator'!A:A,0),0),0)</f>
        <v>20367.195264578786</v>
      </c>
      <c r="K532" s="444">
        <f t="shared" ca="1" si="53"/>
        <v>6423.5087360875259</v>
      </c>
      <c r="L532" s="444">
        <f t="shared" ca="1" si="54"/>
        <v>1548065.6053970938</v>
      </c>
      <c r="M532" s="460">
        <f t="shared" si="56"/>
        <v>0.05</v>
      </c>
      <c r="N532" s="464">
        <f t="shared" si="57"/>
        <v>67238</v>
      </c>
    </row>
    <row r="533" spans="7:14" ht="11.25" customHeight="1" x14ac:dyDescent="0.3">
      <c r="G533" s="459">
        <f t="shared" si="58"/>
        <v>44</v>
      </c>
      <c r="H533" s="459">
        <v>526</v>
      </c>
      <c r="I533" s="444">
        <f t="shared" ca="1" si="55"/>
        <v>1548065.6053970938</v>
      </c>
      <c r="J533" s="444">
        <f t="array" ref="J533">IFERROR(INDEX('Retirement Calculator'!K:K,MATCH('Lorri 401b'!N533,'Retirement Calculator'!A:A,0),0),0)</f>
        <v>20367.195264578786</v>
      </c>
      <c r="K533" s="444">
        <f t="shared" ca="1" si="53"/>
        <v>6365.4100422188121</v>
      </c>
      <c r="L533" s="444">
        <f t="shared" ca="1" si="54"/>
        <v>1534063.8201747339</v>
      </c>
      <c r="M533" s="460">
        <f t="shared" si="56"/>
        <v>0.05</v>
      </c>
      <c r="N533" s="464">
        <f t="shared" si="57"/>
        <v>67267</v>
      </c>
    </row>
    <row r="534" spans="7:14" ht="11.25" customHeight="1" x14ac:dyDescent="0.3">
      <c r="G534" s="459">
        <f t="shared" si="58"/>
        <v>44</v>
      </c>
      <c r="H534" s="459">
        <v>527</v>
      </c>
      <c r="I534" s="444">
        <f t="shared" ca="1" si="55"/>
        <v>1534063.8201747339</v>
      </c>
      <c r="J534" s="444">
        <f t="array" ref="J534">IFERROR(INDEX('Retirement Calculator'!K:K,MATCH('Lorri 401b'!N534,'Retirement Calculator'!A:A,0),0),0)</f>
        <v>20367.195264578786</v>
      </c>
      <c r="K534" s="444">
        <f t="shared" ca="1" si="53"/>
        <v>6307.0692704589792</v>
      </c>
      <c r="L534" s="444">
        <f t="shared" ca="1" si="54"/>
        <v>1520003.6941806141</v>
      </c>
      <c r="M534" s="460">
        <f t="shared" si="56"/>
        <v>0.05</v>
      </c>
      <c r="N534" s="464">
        <f t="shared" si="57"/>
        <v>67298</v>
      </c>
    </row>
    <row r="535" spans="7:14" ht="11.25" customHeight="1" x14ac:dyDescent="0.3">
      <c r="G535" s="459">
        <f t="shared" si="58"/>
        <v>44</v>
      </c>
      <c r="H535" s="459">
        <v>528</v>
      </c>
      <c r="I535" s="444">
        <f t="shared" ca="1" si="55"/>
        <v>1520003.6941806141</v>
      </c>
      <c r="J535" s="444">
        <f t="array" ref="J535">IFERROR(INDEX('Retirement Calculator'!K:K,MATCH('Lorri 401b'!N535,'Retirement Calculator'!A:A,0),0),0)</f>
        <v>20367.195264578786</v>
      </c>
      <c r="K535" s="444">
        <f t="shared" ca="1" si="53"/>
        <v>6248.4854121501467</v>
      </c>
      <c r="L535" s="444">
        <f t="shared" ca="1" si="54"/>
        <v>1505884.9843281854</v>
      </c>
      <c r="M535" s="460">
        <f t="shared" si="56"/>
        <v>0.05</v>
      </c>
      <c r="N535" s="464">
        <f t="shared" si="57"/>
        <v>67328</v>
      </c>
    </row>
    <row r="536" spans="7:14" ht="11.25" customHeight="1" x14ac:dyDescent="0.3">
      <c r="G536" s="459">
        <f>G535+1</f>
        <v>45</v>
      </c>
      <c r="H536" s="459">
        <v>529</v>
      </c>
      <c r="I536" s="444">
        <f t="shared" ca="1" si="55"/>
        <v>1505884.9843281854</v>
      </c>
      <c r="J536" s="444">
        <f t="array" ref="J536">IFERROR(INDEX('Retirement Calculator'!K:K,MATCH('Lorri 401b'!N536,'Retirement Calculator'!A:A,0),0),0)</f>
        <v>20367.195264578786</v>
      </c>
      <c r="K536" s="444">
        <f t="shared" ca="1" si="53"/>
        <v>6189.6574544316945</v>
      </c>
      <c r="L536" s="444">
        <f t="shared" ca="1" si="54"/>
        <v>1491707.4465180384</v>
      </c>
      <c r="M536" s="460">
        <f t="shared" si="56"/>
        <v>0.05</v>
      </c>
      <c r="N536" s="464">
        <f t="shared" si="57"/>
        <v>67359</v>
      </c>
    </row>
    <row r="537" spans="7:14" ht="11.25" customHeight="1" x14ac:dyDescent="0.3">
      <c r="G537" s="459">
        <f t="shared" ref="G537:G547" si="59">G536</f>
        <v>45</v>
      </c>
      <c r="H537" s="459">
        <v>530</v>
      </c>
      <c r="I537" s="444">
        <f t="shared" ca="1" si="55"/>
        <v>1491707.4465180384</v>
      </c>
      <c r="J537" s="444">
        <f t="array" ref="J537">IFERROR(INDEX('Retirement Calculator'!K:K,MATCH('Lorri 401b'!N537,'Retirement Calculator'!A:A,0),0),0)</f>
        <v>20367.195264578786</v>
      </c>
      <c r="K537" s="444">
        <f t="shared" ca="1" si="53"/>
        <v>6130.5843802227482</v>
      </c>
      <c r="L537" s="444">
        <f t="shared" ca="1" si="54"/>
        <v>1477470.8356336823</v>
      </c>
      <c r="M537" s="460">
        <f t="shared" si="56"/>
        <v>0.05</v>
      </c>
      <c r="N537" s="464">
        <f t="shared" si="57"/>
        <v>67389</v>
      </c>
    </row>
    <row r="538" spans="7:14" ht="11.25" customHeight="1" x14ac:dyDescent="0.3">
      <c r="G538" s="459">
        <f t="shared" si="59"/>
        <v>45</v>
      </c>
      <c r="H538" s="459">
        <v>531</v>
      </c>
      <c r="I538" s="444">
        <f t="shared" ca="1" si="55"/>
        <v>1477470.8356336823</v>
      </c>
      <c r="J538" s="444">
        <f t="array" ref="J538">IFERROR(INDEX('Retirement Calculator'!K:K,MATCH('Lorri 401b'!N538,'Retirement Calculator'!A:A,0),0),0)</f>
        <v>20367.195264578786</v>
      </c>
      <c r="K538" s="444">
        <f t="shared" ca="1" si="53"/>
        <v>6071.265168204598</v>
      </c>
      <c r="L538" s="444">
        <f t="shared" ca="1" si="54"/>
        <v>1463174.9055373082</v>
      </c>
      <c r="M538" s="460">
        <f t="shared" si="56"/>
        <v>0.05</v>
      </c>
      <c r="N538" s="464">
        <f t="shared" si="57"/>
        <v>67420</v>
      </c>
    </row>
    <row r="539" spans="7:14" ht="11.25" customHeight="1" x14ac:dyDescent="0.3">
      <c r="G539" s="459">
        <f t="shared" si="59"/>
        <v>45</v>
      </c>
      <c r="H539" s="459">
        <v>532</v>
      </c>
      <c r="I539" s="444">
        <f t="shared" ca="1" si="55"/>
        <v>1463174.9055373082</v>
      </c>
      <c r="J539" s="444">
        <f t="array" ref="J539">IFERROR(INDEX('Retirement Calculator'!K:K,MATCH('Lorri 401b'!N539,'Retirement Calculator'!A:A,0),0),0)</f>
        <v>20367.195264578786</v>
      </c>
      <c r="K539" s="444">
        <f t="shared" ca="1" si="53"/>
        <v>6011.6987928030394</v>
      </c>
      <c r="L539" s="444">
        <f t="shared" ca="1" si="54"/>
        <v>1448819.4090655325</v>
      </c>
      <c r="M539" s="460">
        <f t="shared" si="56"/>
        <v>0.05</v>
      </c>
      <c r="N539" s="464">
        <f t="shared" si="57"/>
        <v>67451</v>
      </c>
    </row>
    <row r="540" spans="7:14" ht="11.25" customHeight="1" x14ac:dyDescent="0.3">
      <c r="G540" s="459">
        <f t="shared" si="59"/>
        <v>45</v>
      </c>
      <c r="H540" s="459">
        <v>533</v>
      </c>
      <c r="I540" s="444">
        <f t="shared" ca="1" si="55"/>
        <v>1448819.4090655325</v>
      </c>
      <c r="J540" s="444">
        <f t="array" ref="J540">IFERROR(INDEX('Retirement Calculator'!K:K,MATCH('Lorri 401b'!N540,'Retirement Calculator'!A:A,0),0),0)</f>
        <v>20367.195264578786</v>
      </c>
      <c r="K540" s="444">
        <f t="shared" ca="1" si="53"/>
        <v>5951.8842241706407</v>
      </c>
      <c r="L540" s="444">
        <f t="shared" ca="1" si="54"/>
        <v>1434404.0980251243</v>
      </c>
      <c r="M540" s="460">
        <f t="shared" si="56"/>
        <v>0.05</v>
      </c>
      <c r="N540" s="464">
        <f t="shared" si="57"/>
        <v>67481</v>
      </c>
    </row>
    <row r="541" spans="7:14" ht="11.25" customHeight="1" x14ac:dyDescent="0.3">
      <c r="G541" s="459">
        <f t="shared" si="59"/>
        <v>45</v>
      </c>
      <c r="H541" s="459">
        <v>534</v>
      </c>
      <c r="I541" s="444">
        <f t="shared" ca="1" si="55"/>
        <v>1434404.0980251243</v>
      </c>
      <c r="J541" s="444">
        <f t="array" ref="J541">IFERROR(INDEX('Retirement Calculator'!K:K,MATCH('Lorri 401b'!N541,'Retirement Calculator'!A:A,0),0),0)</f>
        <v>20367.195264578786</v>
      </c>
      <c r="K541" s="444">
        <f t="shared" ca="1" si="53"/>
        <v>5891.8204281689395</v>
      </c>
      <c r="L541" s="444">
        <f t="shared" ca="1" si="54"/>
        <v>1419928.7231887144</v>
      </c>
      <c r="M541" s="460">
        <f t="shared" si="56"/>
        <v>0.05</v>
      </c>
      <c r="N541" s="464">
        <f t="shared" si="57"/>
        <v>67512</v>
      </c>
    </row>
    <row r="542" spans="7:14" ht="11.25" customHeight="1" x14ac:dyDescent="0.3">
      <c r="G542" s="459">
        <f t="shared" si="59"/>
        <v>45</v>
      </c>
      <c r="H542" s="459">
        <v>535</v>
      </c>
      <c r="I542" s="444">
        <f t="shared" ca="1" si="55"/>
        <v>1419928.7231887144</v>
      </c>
      <c r="J542" s="444">
        <f t="array" ref="J542">IFERROR(INDEX('Retirement Calculator'!K:K,MATCH('Lorri 401b'!N542,'Retirement Calculator'!A:A,0),0),0)</f>
        <v>20367.195264578786</v>
      </c>
      <c r="K542" s="444">
        <f t="shared" ca="1" si="53"/>
        <v>5831.5063663505643</v>
      </c>
      <c r="L542" s="444">
        <f t="shared" ca="1" si="54"/>
        <v>1405393.034290486</v>
      </c>
      <c r="M542" s="460">
        <f t="shared" si="56"/>
        <v>0.05</v>
      </c>
      <c r="N542" s="464">
        <f t="shared" si="57"/>
        <v>67542</v>
      </c>
    </row>
    <row r="543" spans="7:14" ht="11.25" customHeight="1" x14ac:dyDescent="0.3">
      <c r="G543" s="459">
        <f t="shared" si="59"/>
        <v>45</v>
      </c>
      <c r="H543" s="459">
        <v>536</v>
      </c>
      <c r="I543" s="444">
        <f t="shared" ca="1" si="55"/>
        <v>1405393.034290486</v>
      </c>
      <c r="J543" s="444">
        <f t="array" ref="J543">IFERROR(INDEX('Retirement Calculator'!K:K,MATCH('Lorri 401b'!N543,'Retirement Calculator'!A:A,0),0),0)</f>
        <v>20367.195264578786</v>
      </c>
      <c r="K543" s="444">
        <f t="shared" ca="1" si="53"/>
        <v>5770.9409959412797</v>
      </c>
      <c r="L543" s="444">
        <f t="shared" ca="1" si="54"/>
        <v>1390796.7800218484</v>
      </c>
      <c r="M543" s="460">
        <f t="shared" si="56"/>
        <v>0.05</v>
      </c>
      <c r="N543" s="464">
        <f t="shared" si="57"/>
        <v>67573</v>
      </c>
    </row>
    <row r="544" spans="7:14" ht="11.25" customHeight="1" x14ac:dyDescent="0.3">
      <c r="G544" s="459">
        <f t="shared" si="59"/>
        <v>45</v>
      </c>
      <c r="H544" s="459">
        <v>537</v>
      </c>
      <c r="I544" s="444">
        <f t="shared" ca="1" si="55"/>
        <v>1390796.7800218484</v>
      </c>
      <c r="J544" s="444">
        <f t="array" ref="J544">IFERROR(INDEX('Retirement Calculator'!K:K,MATCH('Lorri 401b'!N544,'Retirement Calculator'!A:A,0),0),0)</f>
        <v>20367.195264578786</v>
      </c>
      <c r="K544" s="444">
        <f t="shared" ca="1" si="53"/>
        <v>5710.1232698219565</v>
      </c>
      <c r="L544" s="444">
        <f t="shared" ca="1" si="54"/>
        <v>1376139.7080270916</v>
      </c>
      <c r="M544" s="460">
        <f t="shared" si="56"/>
        <v>0.05</v>
      </c>
      <c r="N544" s="464">
        <f t="shared" si="57"/>
        <v>67604</v>
      </c>
    </row>
    <row r="545" spans="7:14" ht="11.25" customHeight="1" x14ac:dyDescent="0.3">
      <c r="G545" s="459">
        <f t="shared" si="59"/>
        <v>45</v>
      </c>
      <c r="H545" s="459">
        <v>538</v>
      </c>
      <c r="I545" s="444">
        <f t="shared" ca="1" si="55"/>
        <v>1376139.7080270916</v>
      </c>
      <c r="J545" s="444">
        <f t="array" ref="J545">IFERROR(INDEX('Retirement Calculator'!K:K,MATCH('Lorri 401b'!N545,'Retirement Calculator'!A:A,0),0),0)</f>
        <v>20367.195264578786</v>
      </c>
      <c r="K545" s="444">
        <f t="shared" ca="1" si="53"/>
        <v>5649.0521365104696</v>
      </c>
      <c r="L545" s="444">
        <f t="shared" ca="1" si="54"/>
        <v>1361421.5648990232</v>
      </c>
      <c r="M545" s="460">
        <f t="shared" si="56"/>
        <v>0.05</v>
      </c>
      <c r="N545" s="464">
        <f t="shared" si="57"/>
        <v>67632</v>
      </c>
    </row>
    <row r="546" spans="7:14" ht="11.25" customHeight="1" x14ac:dyDescent="0.3">
      <c r="G546" s="459">
        <f t="shared" si="59"/>
        <v>45</v>
      </c>
      <c r="H546" s="459">
        <v>539</v>
      </c>
      <c r="I546" s="444">
        <f t="shared" ca="1" si="55"/>
        <v>1361421.5648990232</v>
      </c>
      <c r="J546" s="444">
        <f t="array" ref="J546">IFERROR(INDEX('Retirement Calculator'!K:K,MATCH('Lorri 401b'!N546,'Retirement Calculator'!A:A,0),0),0)</f>
        <v>20367.195264578786</v>
      </c>
      <c r="K546" s="444">
        <f t="shared" ca="1" si="53"/>
        <v>5587.7265401435179</v>
      </c>
      <c r="L546" s="444">
        <f t="shared" ca="1" si="54"/>
        <v>1346642.096174588</v>
      </c>
      <c r="M546" s="460">
        <f t="shared" si="56"/>
        <v>0.05</v>
      </c>
      <c r="N546" s="464">
        <f t="shared" si="57"/>
        <v>67663</v>
      </c>
    </row>
    <row r="547" spans="7:14" ht="11.25" customHeight="1" x14ac:dyDescent="0.3">
      <c r="G547" s="459">
        <f t="shared" si="59"/>
        <v>45</v>
      </c>
      <c r="H547" s="459">
        <v>540</v>
      </c>
      <c r="I547" s="444">
        <f t="shared" ca="1" si="55"/>
        <v>1346642.096174588</v>
      </c>
      <c r="J547" s="444">
        <f t="array" ref="J547">IFERROR(INDEX('Retirement Calculator'!K:K,MATCH('Lorri 401b'!N547,'Retirement Calculator'!A:A,0),0),0)</f>
        <v>20367.195264578786</v>
      </c>
      <c r="K547" s="444">
        <f t="shared" ca="1" si="53"/>
        <v>5526.1454204583715</v>
      </c>
      <c r="L547" s="444">
        <f t="shared" ca="1" si="54"/>
        <v>1331801.0463304676</v>
      </c>
      <c r="M547" s="460">
        <f t="shared" si="56"/>
        <v>0.05</v>
      </c>
      <c r="N547" s="464">
        <f t="shared" si="57"/>
        <v>67693</v>
      </c>
    </row>
    <row r="548" spans="7:14" ht="11.25" customHeight="1" x14ac:dyDescent="0.3">
      <c r="G548" s="459">
        <f>G547+1</f>
        <v>46</v>
      </c>
      <c r="H548" s="459">
        <v>541</v>
      </c>
      <c r="I548" s="444">
        <f t="shared" ca="1" si="55"/>
        <v>1331801.0463304676</v>
      </c>
      <c r="J548" s="444">
        <f t="array" ref="J548">IFERROR(INDEX('Retirement Calculator'!K:K,MATCH('Lorri 401b'!N548,'Retirement Calculator'!A:A,0),0),0)</f>
        <v>20367.195264578786</v>
      </c>
      <c r="K548" s="444">
        <f t="shared" ca="1" si="53"/>
        <v>5464.3077127745364</v>
      </c>
      <c r="L548" s="444">
        <f t="shared" ca="1" si="54"/>
        <v>1316898.1587786633</v>
      </c>
      <c r="M548" s="460">
        <f t="shared" si="56"/>
        <v>0.05</v>
      </c>
      <c r="N548" s="464">
        <f t="shared" si="57"/>
        <v>67724</v>
      </c>
    </row>
    <row r="549" spans="7:14" ht="11.25" customHeight="1" x14ac:dyDescent="0.3">
      <c r="G549" s="459">
        <f t="shared" ref="G549:G559" si="60">G548</f>
        <v>46</v>
      </c>
      <c r="H549" s="459">
        <v>542</v>
      </c>
      <c r="I549" s="444">
        <f t="shared" ca="1" si="55"/>
        <v>1316898.1587786633</v>
      </c>
      <c r="J549" s="444">
        <f t="array" ref="J549">IFERROR(INDEX('Retirement Calculator'!K:K,MATCH('Lorri 401b'!N549,'Retirement Calculator'!A:A,0),0),0)</f>
        <v>20367.195264578786</v>
      </c>
      <c r="K549" s="444">
        <f t="shared" ca="1" si="53"/>
        <v>5402.2123479753518</v>
      </c>
      <c r="L549" s="444">
        <f t="shared" ca="1" si="54"/>
        <v>1301933.1758620599</v>
      </c>
      <c r="M549" s="460">
        <f t="shared" si="56"/>
        <v>0.05</v>
      </c>
      <c r="N549" s="464">
        <f t="shared" si="57"/>
        <v>67754</v>
      </c>
    </row>
    <row r="550" spans="7:14" ht="11.25" customHeight="1" x14ac:dyDescent="0.3">
      <c r="G550" s="459">
        <f t="shared" si="60"/>
        <v>46</v>
      </c>
      <c r="H550" s="459">
        <v>543</v>
      </c>
      <c r="I550" s="444">
        <f t="shared" ca="1" si="55"/>
        <v>1301933.1758620599</v>
      </c>
      <c r="J550" s="444">
        <f t="array" ref="J550">IFERROR(INDEX('Retirement Calculator'!K:K,MATCH('Lorri 401b'!N550,'Retirement Calculator'!A:A,0),0),0)</f>
        <v>20367.195264578786</v>
      </c>
      <c r="K550" s="444">
        <f t="shared" ca="1" si="53"/>
        <v>5339.8582524895046</v>
      </c>
      <c r="L550" s="444">
        <f t="shared" ca="1" si="54"/>
        <v>1286905.8388499706</v>
      </c>
      <c r="M550" s="460">
        <f t="shared" si="56"/>
        <v>0.05</v>
      </c>
      <c r="N550" s="464">
        <f t="shared" si="57"/>
        <v>67785</v>
      </c>
    </row>
    <row r="551" spans="7:14" ht="11.25" customHeight="1" x14ac:dyDescent="0.3">
      <c r="G551" s="459">
        <f t="shared" si="60"/>
        <v>46</v>
      </c>
      <c r="H551" s="459">
        <v>544</v>
      </c>
      <c r="I551" s="444">
        <f t="shared" ca="1" si="55"/>
        <v>1286905.8388499706</v>
      </c>
      <c r="J551" s="444">
        <f t="array" ref="J551">IFERROR(INDEX('Retirement Calculator'!K:K,MATCH('Lorri 401b'!N551,'Retirement Calculator'!A:A,0),0),0)</f>
        <v>20367.195264578786</v>
      </c>
      <c r="K551" s="444">
        <f t="shared" ca="1" si="53"/>
        <v>5277.2443482724657</v>
      </c>
      <c r="L551" s="444">
        <f t="shared" ca="1" si="54"/>
        <v>1271815.8879336643</v>
      </c>
      <c r="M551" s="460">
        <f t="shared" si="56"/>
        <v>0.05</v>
      </c>
      <c r="N551" s="464">
        <f t="shared" si="57"/>
        <v>67816</v>
      </c>
    </row>
    <row r="552" spans="7:14" ht="11.25" customHeight="1" x14ac:dyDescent="0.3">
      <c r="G552" s="459">
        <f t="shared" si="60"/>
        <v>46</v>
      </c>
      <c r="H552" s="459">
        <v>545</v>
      </c>
      <c r="I552" s="444">
        <f t="shared" ca="1" si="55"/>
        <v>1271815.8879336643</v>
      </c>
      <c r="J552" s="444">
        <f t="array" ref="J552">IFERROR(INDEX('Retirement Calculator'!K:K,MATCH('Lorri 401b'!N552,'Retirement Calculator'!A:A,0),0),0)</f>
        <v>20367.195264578786</v>
      </c>
      <c r="K552" s="444">
        <f t="shared" ca="1" si="53"/>
        <v>5214.3695527878563</v>
      </c>
      <c r="L552" s="444">
        <f t="shared" ca="1" si="54"/>
        <v>1256663.0622218733</v>
      </c>
      <c r="M552" s="460">
        <f t="shared" si="56"/>
        <v>0.05</v>
      </c>
      <c r="N552" s="464">
        <f t="shared" si="57"/>
        <v>67846</v>
      </c>
    </row>
    <row r="553" spans="7:14" ht="11.25" customHeight="1" x14ac:dyDescent="0.3">
      <c r="G553" s="459">
        <f t="shared" si="60"/>
        <v>46</v>
      </c>
      <c r="H553" s="459">
        <v>546</v>
      </c>
      <c r="I553" s="444">
        <f t="shared" ca="1" si="55"/>
        <v>1256663.0622218733</v>
      </c>
      <c r="J553" s="444">
        <f t="array" ref="J553">IFERROR(INDEX('Retirement Calculator'!K:K,MATCH('Lorri 401b'!N553,'Retirement Calculator'!A:A,0),0),0)</f>
        <v>20367.195264578786</v>
      </c>
      <c r="K553" s="444">
        <f t="shared" ca="1" si="53"/>
        <v>5151.2327789887267</v>
      </c>
      <c r="L553" s="444">
        <f t="shared" ca="1" si="54"/>
        <v>1241447.0997362833</v>
      </c>
      <c r="M553" s="460">
        <f t="shared" si="56"/>
        <v>0.05</v>
      </c>
      <c r="N553" s="464">
        <f t="shared" si="57"/>
        <v>67877</v>
      </c>
    </row>
    <row r="554" spans="7:14" ht="11.25" customHeight="1" x14ac:dyDescent="0.3">
      <c r="G554" s="459">
        <f t="shared" si="60"/>
        <v>46</v>
      </c>
      <c r="H554" s="459">
        <v>547</v>
      </c>
      <c r="I554" s="444">
        <f t="shared" ca="1" si="55"/>
        <v>1241447.0997362833</v>
      </c>
      <c r="J554" s="444">
        <f t="array" ref="J554">IFERROR(INDEX('Retirement Calculator'!K:K,MATCH('Lorri 401b'!N554,'Retirement Calculator'!A:A,0),0),0)</f>
        <v>20367.195264578786</v>
      </c>
      <c r="K554" s="444">
        <f t="shared" ca="1" si="53"/>
        <v>5087.8329352987685</v>
      </c>
      <c r="L554" s="444">
        <f t="shared" ca="1" si="54"/>
        <v>1226167.7374070033</v>
      </c>
      <c r="M554" s="460">
        <f t="shared" si="56"/>
        <v>0.05</v>
      </c>
      <c r="N554" s="464">
        <f t="shared" si="57"/>
        <v>67907</v>
      </c>
    </row>
    <row r="555" spans="7:14" ht="11.25" customHeight="1" x14ac:dyDescent="0.3">
      <c r="G555" s="459">
        <f t="shared" si="60"/>
        <v>46</v>
      </c>
      <c r="H555" s="459">
        <v>548</v>
      </c>
      <c r="I555" s="444">
        <f t="shared" ca="1" si="55"/>
        <v>1226167.7374070033</v>
      </c>
      <c r="J555" s="444">
        <f t="array" ref="J555">IFERROR(INDEX('Retirement Calculator'!K:K,MATCH('Lorri 401b'!N555,'Retirement Calculator'!A:A,0),0),0)</f>
        <v>20367.195264578786</v>
      </c>
      <c r="K555" s="444">
        <f t="shared" ca="1" si="53"/>
        <v>5024.1689255934352</v>
      </c>
      <c r="L555" s="444">
        <f t="shared" ca="1" si="54"/>
        <v>1210824.7110680179</v>
      </c>
      <c r="M555" s="460">
        <f t="shared" si="56"/>
        <v>0.05</v>
      </c>
      <c r="N555" s="464">
        <f t="shared" si="57"/>
        <v>67938</v>
      </c>
    </row>
    <row r="556" spans="7:14" ht="11.25" customHeight="1" x14ac:dyDescent="0.3">
      <c r="G556" s="459">
        <f t="shared" si="60"/>
        <v>46</v>
      </c>
      <c r="H556" s="459">
        <v>549</v>
      </c>
      <c r="I556" s="444">
        <f t="shared" ca="1" si="55"/>
        <v>1210824.7110680179</v>
      </c>
      <c r="J556" s="444">
        <f t="array" ref="J556">IFERROR(INDEX('Retirement Calculator'!K:K,MATCH('Lorri 401b'!N556,'Retirement Calculator'!A:A,0),0),0)</f>
        <v>20367.195264578786</v>
      </c>
      <c r="K556" s="444">
        <f t="shared" ca="1" si="53"/>
        <v>4960.2396491809959</v>
      </c>
      <c r="L556" s="444">
        <f t="shared" ca="1" si="54"/>
        <v>1195417.7554526201</v>
      </c>
      <c r="M556" s="460">
        <f t="shared" si="56"/>
        <v>0.05</v>
      </c>
      <c r="N556" s="464">
        <f t="shared" si="57"/>
        <v>67969</v>
      </c>
    </row>
    <row r="557" spans="7:14" ht="11.25" customHeight="1" x14ac:dyDescent="0.3">
      <c r="G557" s="459">
        <f t="shared" si="60"/>
        <v>46</v>
      </c>
      <c r="H557" s="459">
        <v>550</v>
      </c>
      <c r="I557" s="444">
        <f t="shared" ca="1" si="55"/>
        <v>1195417.7554526201</v>
      </c>
      <c r="J557" s="444">
        <f t="array" ref="J557">IFERROR(INDEX('Retirement Calculator'!K:K,MATCH('Lorri 401b'!N557,'Retirement Calculator'!A:A,0),0),0)</f>
        <v>20367.195264578786</v>
      </c>
      <c r="K557" s="444">
        <f t="shared" ca="1" si="53"/>
        <v>4896.044000783505</v>
      </c>
      <c r="L557" s="444">
        <f t="shared" ca="1" si="54"/>
        <v>1179946.6041888248</v>
      </c>
      <c r="M557" s="460">
        <f t="shared" si="56"/>
        <v>0.05</v>
      </c>
      <c r="N557" s="464">
        <f t="shared" si="57"/>
        <v>67997</v>
      </c>
    </row>
    <row r="558" spans="7:14" ht="11.25" customHeight="1" x14ac:dyDescent="0.3">
      <c r="G558" s="459">
        <f t="shared" si="60"/>
        <v>46</v>
      </c>
      <c r="H558" s="459">
        <v>551</v>
      </c>
      <c r="I558" s="444">
        <f t="shared" ca="1" si="55"/>
        <v>1179946.6041888248</v>
      </c>
      <c r="J558" s="444">
        <f t="array" ref="J558">IFERROR(INDEX('Retirement Calculator'!K:K,MATCH('Lorri 401b'!N558,'Retirement Calculator'!A:A,0),0),0)</f>
        <v>20367.195264578786</v>
      </c>
      <c r="K558" s="444">
        <f t="shared" ca="1" si="53"/>
        <v>4831.5808705176914</v>
      </c>
      <c r="L558" s="444">
        <f t="shared" ca="1" si="54"/>
        <v>1164410.9897947637</v>
      </c>
      <c r="M558" s="460">
        <f t="shared" si="56"/>
        <v>0.05</v>
      </c>
      <c r="N558" s="464">
        <f t="shared" si="57"/>
        <v>68028</v>
      </c>
    </row>
    <row r="559" spans="7:14" ht="11.25" customHeight="1" x14ac:dyDescent="0.3">
      <c r="G559" s="459">
        <f t="shared" si="60"/>
        <v>46</v>
      </c>
      <c r="H559" s="459">
        <v>552</v>
      </c>
      <c r="I559" s="444">
        <f t="shared" ca="1" si="55"/>
        <v>1164410.9897947637</v>
      </c>
      <c r="J559" s="444">
        <f t="array" ref="J559">IFERROR(INDEX('Retirement Calculator'!K:K,MATCH('Lorri 401b'!N559,'Retirement Calculator'!A:A,0),0),0)</f>
        <v>20367.195264578786</v>
      </c>
      <c r="K559" s="444">
        <f t="shared" ca="1" si="53"/>
        <v>4766.8491438757701</v>
      </c>
      <c r="L559" s="444">
        <f t="shared" ca="1" si="54"/>
        <v>1148810.6436740607</v>
      </c>
      <c r="M559" s="460">
        <f t="shared" si="56"/>
        <v>0.05</v>
      </c>
      <c r="N559" s="464">
        <f t="shared" si="57"/>
        <v>68058</v>
      </c>
    </row>
    <row r="560" spans="7:14" ht="11.25" customHeight="1" x14ac:dyDescent="0.3">
      <c r="G560" s="459">
        <f>G559+1</f>
        <v>47</v>
      </c>
      <c r="H560" s="459">
        <v>553</v>
      </c>
      <c r="I560" s="444">
        <f t="shared" ca="1" si="55"/>
        <v>1148810.6436740607</v>
      </c>
      <c r="J560" s="444">
        <f t="array" ref="J560">IFERROR(INDEX('Retirement Calculator'!K:K,MATCH('Lorri 401b'!N560,'Retirement Calculator'!A:A,0),0),0)</f>
        <v>20367.195264578786</v>
      </c>
      <c r="K560" s="444">
        <f t="shared" ca="1" si="53"/>
        <v>4701.8477017061741</v>
      </c>
      <c r="L560" s="444">
        <f t="shared" ca="1" si="54"/>
        <v>1133145.2961111881</v>
      </c>
      <c r="M560" s="460">
        <f t="shared" si="56"/>
        <v>0.05</v>
      </c>
      <c r="N560" s="464">
        <f t="shared" si="57"/>
        <v>68089</v>
      </c>
    </row>
    <row r="561" spans="7:14" ht="11.25" customHeight="1" x14ac:dyDescent="0.3">
      <c r="G561" s="459">
        <f t="shared" ref="G561:G571" si="61">G560</f>
        <v>47</v>
      </c>
      <c r="H561" s="459">
        <v>554</v>
      </c>
      <c r="I561" s="444">
        <f t="shared" ca="1" si="55"/>
        <v>1133145.2961111881</v>
      </c>
      <c r="J561" s="444">
        <f t="array" ref="J561">IFERROR(INDEX('Retirement Calculator'!K:K,MATCH('Lorri 401b'!N561,'Retirement Calculator'!A:A,0),0),0)</f>
        <v>20367.195264578786</v>
      </c>
      <c r="K561" s="444">
        <f t="shared" ca="1" si="53"/>
        <v>4636.5754201942054</v>
      </c>
      <c r="L561" s="444">
        <f t="shared" ca="1" si="54"/>
        <v>1117414.6762668036</v>
      </c>
      <c r="M561" s="460">
        <f t="shared" si="56"/>
        <v>0.05</v>
      </c>
      <c r="N561" s="464">
        <f t="shared" si="57"/>
        <v>68119</v>
      </c>
    </row>
    <row r="562" spans="7:14" ht="11.25" customHeight="1" x14ac:dyDescent="0.3">
      <c r="G562" s="459">
        <f t="shared" si="61"/>
        <v>47</v>
      </c>
      <c r="H562" s="459">
        <v>555</v>
      </c>
      <c r="I562" s="444">
        <f t="shared" ca="1" si="55"/>
        <v>1117414.6762668036</v>
      </c>
      <c r="J562" s="444">
        <f t="array" ref="J562">IFERROR(INDEX('Retirement Calculator'!K:K,MATCH('Lorri 401b'!N562,'Retirement Calculator'!A:A,0),0),0)</f>
        <v>20367.195264578786</v>
      </c>
      <c r="K562" s="444">
        <f t="shared" ca="1" si="53"/>
        <v>4571.0311708426034</v>
      </c>
      <c r="L562" s="444">
        <f t="shared" ca="1" si="54"/>
        <v>1101618.5121730675</v>
      </c>
      <c r="M562" s="460">
        <f t="shared" si="56"/>
        <v>0.05</v>
      </c>
      <c r="N562" s="464">
        <f t="shared" si="57"/>
        <v>68150</v>
      </c>
    </row>
    <row r="563" spans="7:14" ht="11.25" customHeight="1" x14ac:dyDescent="0.3">
      <c r="G563" s="459">
        <f t="shared" si="61"/>
        <v>47</v>
      </c>
      <c r="H563" s="459">
        <v>556</v>
      </c>
      <c r="I563" s="444">
        <f t="shared" ca="1" si="55"/>
        <v>1101618.5121730675</v>
      </c>
      <c r="J563" s="444">
        <f t="array" ref="J563">IFERROR(INDEX('Retirement Calculator'!K:K,MATCH('Lorri 401b'!N563,'Retirement Calculator'!A:A,0),0),0)</f>
        <v>20367.195264578786</v>
      </c>
      <c r="K563" s="444">
        <f t="shared" ca="1" si="53"/>
        <v>4505.2138204520361</v>
      </c>
      <c r="L563" s="444">
        <f t="shared" ca="1" si="54"/>
        <v>1085756.5307289409</v>
      </c>
      <c r="M563" s="460">
        <f t="shared" si="56"/>
        <v>0.05</v>
      </c>
      <c r="N563" s="464">
        <f t="shared" si="57"/>
        <v>68181</v>
      </c>
    </row>
    <row r="564" spans="7:14" ht="11.25" customHeight="1" x14ac:dyDescent="0.3">
      <c r="G564" s="459">
        <f t="shared" si="61"/>
        <v>47</v>
      </c>
      <c r="H564" s="459">
        <v>557</v>
      </c>
      <c r="I564" s="444">
        <f t="shared" ca="1" si="55"/>
        <v>1085756.5307289409</v>
      </c>
      <c r="J564" s="444">
        <f t="array" ref="J564">IFERROR(INDEX('Retirement Calculator'!K:K,MATCH('Lorri 401b'!N564,'Retirement Calculator'!A:A,0),0),0)</f>
        <v>20367.195264578786</v>
      </c>
      <c r="K564" s="444">
        <f t="shared" ca="1" si="53"/>
        <v>4439.1222311015081</v>
      </c>
      <c r="L564" s="444">
        <f t="shared" ca="1" si="54"/>
        <v>1069828.4576954637</v>
      </c>
      <c r="M564" s="460">
        <f t="shared" si="56"/>
        <v>0.05</v>
      </c>
      <c r="N564" s="464">
        <f t="shared" si="57"/>
        <v>68211</v>
      </c>
    </row>
    <row r="565" spans="7:14" ht="11.25" customHeight="1" x14ac:dyDescent="0.3">
      <c r="G565" s="459">
        <f t="shared" si="61"/>
        <v>47</v>
      </c>
      <c r="H565" s="459">
        <v>558</v>
      </c>
      <c r="I565" s="444">
        <f t="shared" ca="1" si="55"/>
        <v>1069828.4576954637</v>
      </c>
      <c r="J565" s="444">
        <f t="array" ref="J565">IFERROR(INDEX('Retirement Calculator'!K:K,MATCH('Lorri 401b'!N565,'Retirement Calculator'!A:A,0),0),0)</f>
        <v>20367.195264578786</v>
      </c>
      <c r="K565" s="444">
        <f t="shared" ca="1" si="53"/>
        <v>4372.755260128687</v>
      </c>
      <c r="L565" s="444">
        <f t="shared" ca="1" si="54"/>
        <v>1053834.0176910136</v>
      </c>
      <c r="M565" s="460">
        <f t="shared" si="56"/>
        <v>0.05</v>
      </c>
      <c r="N565" s="464">
        <f t="shared" si="57"/>
        <v>68242</v>
      </c>
    </row>
    <row r="566" spans="7:14" ht="11.25" customHeight="1" x14ac:dyDescent="0.3">
      <c r="G566" s="459">
        <f t="shared" si="61"/>
        <v>47</v>
      </c>
      <c r="H566" s="459">
        <v>559</v>
      </c>
      <c r="I566" s="444">
        <f t="shared" ca="1" si="55"/>
        <v>1053834.0176910136</v>
      </c>
      <c r="J566" s="444">
        <f t="array" ref="J566">IFERROR(INDEX('Retirement Calculator'!K:K,MATCH('Lorri 401b'!N566,'Retirement Calculator'!A:A,0),0),0)</f>
        <v>20367.195264578786</v>
      </c>
      <c r="K566" s="444">
        <f t="shared" ca="1" si="53"/>
        <v>4306.111760110145</v>
      </c>
      <c r="L566" s="444">
        <f t="shared" ca="1" si="54"/>
        <v>1037772.934186545</v>
      </c>
      <c r="M566" s="460">
        <f t="shared" si="56"/>
        <v>0.05</v>
      </c>
      <c r="N566" s="464">
        <f t="shared" si="57"/>
        <v>68272</v>
      </c>
    </row>
    <row r="567" spans="7:14" ht="11.25" customHeight="1" x14ac:dyDescent="0.3">
      <c r="G567" s="459">
        <f t="shared" si="61"/>
        <v>47</v>
      </c>
      <c r="H567" s="459">
        <v>560</v>
      </c>
      <c r="I567" s="444">
        <f t="shared" ca="1" si="55"/>
        <v>1037772.934186545</v>
      </c>
      <c r="J567" s="444">
        <f t="array" ref="J567">IFERROR(INDEX('Retirement Calculator'!K:K,MATCH('Lorri 401b'!N567,'Retirement Calculator'!A:A,0),0),0)</f>
        <v>20367.195264578786</v>
      </c>
      <c r="K567" s="444">
        <f t="shared" ca="1" si="53"/>
        <v>4239.1905788415252</v>
      </c>
      <c r="L567" s="444">
        <f t="shared" ca="1" si="54"/>
        <v>1021644.9295008077</v>
      </c>
      <c r="M567" s="460">
        <f t="shared" si="56"/>
        <v>0.05</v>
      </c>
      <c r="N567" s="464">
        <f t="shared" si="57"/>
        <v>68303</v>
      </c>
    </row>
    <row r="568" spans="7:14" ht="11.25" customHeight="1" x14ac:dyDescent="0.3">
      <c r="G568" s="459">
        <f t="shared" si="61"/>
        <v>47</v>
      </c>
      <c r="H568" s="459">
        <v>561</v>
      </c>
      <c r="I568" s="444">
        <f t="shared" ca="1" si="55"/>
        <v>1021644.9295008077</v>
      </c>
      <c r="J568" s="444">
        <f t="array" ref="J568">IFERROR(INDEX('Retirement Calculator'!K:K,MATCH('Lorri 401b'!N568,'Retirement Calculator'!A:A,0),0),0)</f>
        <v>20367.195264578786</v>
      </c>
      <c r="K568" s="444">
        <f t="shared" ca="1" si="53"/>
        <v>4171.99055931762</v>
      </c>
      <c r="L568" s="444">
        <f t="shared" ca="1" si="54"/>
        <v>1005449.7247955465</v>
      </c>
      <c r="M568" s="460">
        <f t="shared" si="56"/>
        <v>0.05</v>
      </c>
      <c r="N568" s="464">
        <f t="shared" si="57"/>
        <v>68334</v>
      </c>
    </row>
    <row r="569" spans="7:14" ht="11.25" customHeight="1" x14ac:dyDescent="0.3">
      <c r="G569" s="459">
        <f t="shared" si="61"/>
        <v>47</v>
      </c>
      <c r="H569" s="459">
        <v>562</v>
      </c>
      <c r="I569" s="444">
        <f t="shared" ca="1" si="55"/>
        <v>1005449.7247955465</v>
      </c>
      <c r="J569" s="444">
        <f t="array" ref="J569">IFERROR(INDEX('Retirement Calculator'!K:K,MATCH('Lorri 401b'!N569,'Retirement Calculator'!A:A,0),0),0)</f>
        <v>20367.195264578786</v>
      </c>
      <c r="K569" s="444">
        <f t="shared" ca="1" si="53"/>
        <v>4104.5105397123652</v>
      </c>
      <c r="L569" s="444">
        <f t="shared" ca="1" si="54"/>
        <v>989187.04007068009</v>
      </c>
      <c r="M569" s="460">
        <f t="shared" si="56"/>
        <v>0.05</v>
      </c>
      <c r="N569" s="464">
        <f t="shared" si="57"/>
        <v>68362</v>
      </c>
    </row>
    <row r="570" spans="7:14" ht="11.25" customHeight="1" x14ac:dyDescent="0.3">
      <c r="G570" s="459">
        <f t="shared" si="61"/>
        <v>47</v>
      </c>
      <c r="H570" s="459">
        <v>563</v>
      </c>
      <c r="I570" s="444">
        <f t="shared" ca="1" si="55"/>
        <v>989187.04007068009</v>
      </c>
      <c r="J570" s="444">
        <f t="array" ref="J570">IFERROR(INDEX('Retirement Calculator'!K:K,MATCH('Lorri 401b'!N570,'Retirement Calculator'!A:A,0),0),0)</f>
        <v>20367.195264578786</v>
      </c>
      <c r="K570" s="444">
        <f t="shared" ca="1" si="53"/>
        <v>4036.7493533587553</v>
      </c>
      <c r="L570" s="444">
        <f t="shared" ca="1" si="54"/>
        <v>972856.59415946004</v>
      </c>
      <c r="M570" s="460">
        <f t="shared" si="56"/>
        <v>0.05</v>
      </c>
      <c r="N570" s="464">
        <f t="shared" si="57"/>
        <v>68393</v>
      </c>
    </row>
    <row r="571" spans="7:14" ht="11.25" customHeight="1" x14ac:dyDescent="0.3">
      <c r="G571" s="459">
        <f t="shared" si="61"/>
        <v>47</v>
      </c>
      <c r="H571" s="459">
        <v>564</v>
      </c>
      <c r="I571" s="444">
        <f t="shared" ca="1" si="55"/>
        <v>972856.59415946004</v>
      </c>
      <c r="J571" s="444">
        <f t="array" ref="J571">IFERROR(INDEX('Retirement Calculator'!K:K,MATCH('Lorri 401b'!N571,'Retirement Calculator'!A:A,0),0),0)</f>
        <v>20367.195264578786</v>
      </c>
      <c r="K571" s="444">
        <f t="shared" ca="1" si="53"/>
        <v>3968.7058287286718</v>
      </c>
      <c r="L571" s="444">
        <f t="shared" ca="1" si="54"/>
        <v>956458.10472360987</v>
      </c>
      <c r="M571" s="460">
        <f t="shared" si="56"/>
        <v>0.05</v>
      </c>
      <c r="N571" s="464">
        <f t="shared" si="57"/>
        <v>68423</v>
      </c>
    </row>
    <row r="572" spans="7:14" ht="11.25" customHeight="1" x14ac:dyDescent="0.3">
      <c r="G572" s="459">
        <f>G571+1</f>
        <v>48</v>
      </c>
      <c r="H572" s="459">
        <v>565</v>
      </c>
      <c r="I572" s="444">
        <f t="shared" ca="1" si="55"/>
        <v>956458.10472360987</v>
      </c>
      <c r="J572" s="444">
        <f t="array" ref="J572">IFERROR(INDEX('Retirement Calculator'!K:K,MATCH('Lorri 401b'!N572,'Retirement Calculator'!A:A,0),0),0)</f>
        <v>20367.195264578786</v>
      </c>
      <c r="K572" s="444">
        <f t="shared" ca="1" si="53"/>
        <v>3900.3787894126294</v>
      </c>
      <c r="L572" s="444">
        <f t="shared" ca="1" si="54"/>
        <v>939991.28824844374</v>
      </c>
      <c r="M572" s="460">
        <f t="shared" si="56"/>
        <v>0.05</v>
      </c>
      <c r="N572" s="464">
        <f t="shared" si="57"/>
        <v>68454</v>
      </c>
    </row>
    <row r="573" spans="7:14" ht="11.25" customHeight="1" x14ac:dyDescent="0.3">
      <c r="G573" s="459">
        <f t="shared" ref="G573:G583" si="62">G572</f>
        <v>48</v>
      </c>
      <c r="H573" s="459">
        <v>566</v>
      </c>
      <c r="I573" s="444">
        <f t="shared" ca="1" si="55"/>
        <v>939991.28824844374</v>
      </c>
      <c r="J573" s="444">
        <f t="array" ref="J573">IFERROR(INDEX('Retirement Calculator'!K:K,MATCH('Lorri 401b'!N573,'Retirement Calculator'!A:A,0),0),0)</f>
        <v>20367.195264578786</v>
      </c>
      <c r="K573" s="444">
        <f t="shared" ca="1" si="53"/>
        <v>3831.7670540994372</v>
      </c>
      <c r="L573" s="444">
        <f t="shared" ca="1" si="54"/>
        <v>923455.86003796442</v>
      </c>
      <c r="M573" s="460">
        <f t="shared" si="56"/>
        <v>0.05</v>
      </c>
      <c r="N573" s="464">
        <f t="shared" si="57"/>
        <v>68484</v>
      </c>
    </row>
    <row r="574" spans="7:14" ht="11.25" customHeight="1" x14ac:dyDescent="0.3">
      <c r="G574" s="459">
        <f t="shared" si="62"/>
        <v>48</v>
      </c>
      <c r="H574" s="459">
        <v>567</v>
      </c>
      <c r="I574" s="444">
        <f t="shared" ca="1" si="55"/>
        <v>923455.86003796442</v>
      </c>
      <c r="J574" s="444">
        <f t="array" ref="J574">IFERROR(INDEX('Retirement Calculator'!K:K,MATCH('Lorri 401b'!N574,'Retirement Calculator'!A:A,0),0),0)</f>
        <v>20367.195264578786</v>
      </c>
      <c r="K574" s="444">
        <f t="shared" ca="1" si="53"/>
        <v>3762.8694365557731</v>
      </c>
      <c r="L574" s="444">
        <f t="shared" ca="1" si="54"/>
        <v>906851.5342099414</v>
      </c>
      <c r="M574" s="460">
        <f t="shared" si="56"/>
        <v>0.05</v>
      </c>
      <c r="N574" s="464">
        <f t="shared" si="57"/>
        <v>68515</v>
      </c>
    </row>
    <row r="575" spans="7:14" ht="11.25" customHeight="1" x14ac:dyDescent="0.3">
      <c r="G575" s="459">
        <f t="shared" si="62"/>
        <v>48</v>
      </c>
      <c r="H575" s="459">
        <v>568</v>
      </c>
      <c r="I575" s="444">
        <f t="shared" ca="1" si="55"/>
        <v>906851.5342099414</v>
      </c>
      <c r="J575" s="444">
        <f t="array" ref="J575">IFERROR(INDEX('Retirement Calculator'!K:K,MATCH('Lorri 401b'!N575,'Retirement Calculator'!A:A,0),0),0)</f>
        <v>20367.195264578786</v>
      </c>
      <c r="K575" s="444">
        <f t="shared" ca="1" si="53"/>
        <v>3693.684745605678</v>
      </c>
      <c r="L575" s="444">
        <f t="shared" ca="1" si="54"/>
        <v>890178.02369096829</v>
      </c>
      <c r="M575" s="460">
        <f t="shared" si="56"/>
        <v>0.05</v>
      </c>
      <c r="N575" s="464">
        <f t="shared" si="57"/>
        <v>68546</v>
      </c>
    </row>
    <row r="576" spans="7:14" ht="11.25" customHeight="1" x14ac:dyDescent="0.3">
      <c r="G576" s="459">
        <f t="shared" si="62"/>
        <v>48</v>
      </c>
      <c r="H576" s="459">
        <v>569</v>
      </c>
      <c r="I576" s="444">
        <f t="shared" ca="1" si="55"/>
        <v>890178.02369096829</v>
      </c>
      <c r="J576" s="444">
        <f t="array" ref="J576">IFERROR(INDEX('Retirement Calculator'!K:K,MATCH('Lorri 401b'!N576,'Retirement Calculator'!A:A,0),0),0)</f>
        <v>20367.195264578786</v>
      </c>
      <c r="K576" s="444">
        <f t="shared" ca="1" si="53"/>
        <v>3624.2117851099561</v>
      </c>
      <c r="L576" s="444">
        <f t="shared" ca="1" si="54"/>
        <v>873435.04021149944</v>
      </c>
      <c r="M576" s="460">
        <f t="shared" si="56"/>
        <v>0.05</v>
      </c>
      <c r="N576" s="464">
        <f t="shared" si="57"/>
        <v>68576</v>
      </c>
    </row>
    <row r="577" spans="7:14" ht="11.25" customHeight="1" x14ac:dyDescent="0.3">
      <c r="G577" s="459">
        <f t="shared" si="62"/>
        <v>48</v>
      </c>
      <c r="H577" s="459">
        <v>570</v>
      </c>
      <c r="I577" s="444">
        <f t="shared" ca="1" si="55"/>
        <v>873435.04021149944</v>
      </c>
      <c r="J577" s="444">
        <f t="array" ref="J577">IFERROR(INDEX('Retirement Calculator'!K:K,MATCH('Lorri 401b'!N577,'Retirement Calculator'!A:A,0),0),0)</f>
        <v>20367.195264578786</v>
      </c>
      <c r="K577" s="444">
        <f t="shared" ca="1" si="53"/>
        <v>3554.4493539455025</v>
      </c>
      <c r="L577" s="444">
        <f t="shared" ca="1" si="54"/>
        <v>856622.2943008662</v>
      </c>
      <c r="M577" s="460">
        <f t="shared" si="56"/>
        <v>0.05</v>
      </c>
      <c r="N577" s="464">
        <f t="shared" si="57"/>
        <v>68607</v>
      </c>
    </row>
    <row r="578" spans="7:14" ht="11.25" customHeight="1" x14ac:dyDescent="0.3">
      <c r="G578" s="459">
        <f t="shared" si="62"/>
        <v>48</v>
      </c>
      <c r="H578" s="459">
        <v>571</v>
      </c>
      <c r="I578" s="444">
        <f t="shared" ca="1" si="55"/>
        <v>856622.2943008662</v>
      </c>
      <c r="J578" s="444">
        <f t="array" ref="J578">IFERROR(INDEX('Retirement Calculator'!K:K,MATCH('Lorri 401b'!N578,'Retirement Calculator'!A:A,0),0),0)</f>
        <v>20367.195264578786</v>
      </c>
      <c r="K578" s="444">
        <f t="shared" ca="1" si="53"/>
        <v>3484.3962459845307</v>
      </c>
      <c r="L578" s="444">
        <f t="shared" ca="1" si="54"/>
        <v>839739.49528227188</v>
      </c>
      <c r="M578" s="460">
        <f t="shared" si="56"/>
        <v>0.05</v>
      </c>
      <c r="N578" s="464">
        <f t="shared" si="57"/>
        <v>68637</v>
      </c>
    </row>
    <row r="579" spans="7:14" ht="11.25" customHeight="1" x14ac:dyDescent="0.3">
      <c r="G579" s="459">
        <f t="shared" si="62"/>
        <v>48</v>
      </c>
      <c r="H579" s="459">
        <v>572</v>
      </c>
      <c r="I579" s="444">
        <f t="shared" ca="1" si="55"/>
        <v>839739.49528227188</v>
      </c>
      <c r="J579" s="444">
        <f t="array" ref="J579">IFERROR(INDEX('Retirement Calculator'!K:K,MATCH('Lorri 401b'!N579,'Retirement Calculator'!A:A,0),0),0)</f>
        <v>20367.195264578786</v>
      </c>
      <c r="K579" s="444">
        <f t="shared" ca="1" si="53"/>
        <v>3414.0512500737218</v>
      </c>
      <c r="L579" s="444">
        <f t="shared" ca="1" si="54"/>
        <v>822786.35126776679</v>
      </c>
      <c r="M579" s="460">
        <f t="shared" si="56"/>
        <v>0.05</v>
      </c>
      <c r="N579" s="464">
        <f t="shared" si="57"/>
        <v>68668</v>
      </c>
    </row>
    <row r="580" spans="7:14" ht="11.25" customHeight="1" x14ac:dyDescent="0.3">
      <c r="G580" s="459">
        <f t="shared" si="62"/>
        <v>48</v>
      </c>
      <c r="H580" s="459">
        <v>573</v>
      </c>
      <c r="I580" s="444">
        <f t="shared" ca="1" si="55"/>
        <v>822786.35126776679</v>
      </c>
      <c r="J580" s="444">
        <f t="array" ref="J580">IFERROR(INDEX('Retirement Calculator'!K:K,MATCH('Lorri 401b'!N580,'Retirement Calculator'!A:A,0),0),0)</f>
        <v>20367.195264578786</v>
      </c>
      <c r="K580" s="444">
        <f t="shared" ca="1" si="53"/>
        <v>3343.413150013283</v>
      </c>
      <c r="L580" s="444">
        <f t="shared" ca="1" si="54"/>
        <v>805762.5691532013</v>
      </c>
      <c r="M580" s="460">
        <f t="shared" si="56"/>
        <v>0.05</v>
      </c>
      <c r="N580" s="464">
        <f t="shared" si="57"/>
        <v>68699</v>
      </c>
    </row>
    <row r="581" spans="7:14" ht="11.25" customHeight="1" x14ac:dyDescent="0.3">
      <c r="G581" s="459">
        <f t="shared" si="62"/>
        <v>48</v>
      </c>
      <c r="H581" s="459">
        <v>574</v>
      </c>
      <c r="I581" s="444">
        <f t="shared" ca="1" si="55"/>
        <v>805762.5691532013</v>
      </c>
      <c r="J581" s="444">
        <f t="array" ref="J581">IFERROR(INDEX('Retirement Calculator'!K:K,MATCH('Lorri 401b'!N581,'Retirement Calculator'!A:A,0),0),0)</f>
        <v>20367.195264578786</v>
      </c>
      <c r="K581" s="444">
        <f t="shared" ca="1" si="53"/>
        <v>3272.480724535927</v>
      </c>
      <c r="L581" s="444">
        <f t="shared" ca="1" si="54"/>
        <v>788667.85461315839</v>
      </c>
      <c r="M581" s="460">
        <f t="shared" si="56"/>
        <v>0.05</v>
      </c>
      <c r="N581" s="464">
        <f t="shared" si="57"/>
        <v>68728</v>
      </c>
    </row>
    <row r="582" spans="7:14" ht="11.25" customHeight="1" x14ac:dyDescent="0.3">
      <c r="G582" s="459">
        <f t="shared" si="62"/>
        <v>48</v>
      </c>
      <c r="H582" s="459">
        <v>575</v>
      </c>
      <c r="I582" s="444">
        <f t="shared" ca="1" si="55"/>
        <v>788667.85461315839</v>
      </c>
      <c r="J582" s="444">
        <f t="array" ref="J582">IFERROR(INDEX('Retirement Calculator'!K:K,MATCH('Lorri 401b'!N582,'Retirement Calculator'!A:A,0),0),0)</f>
        <v>20367.195264578786</v>
      </c>
      <c r="K582" s="444">
        <f t="shared" ca="1" si="53"/>
        <v>3201.2527472857482</v>
      </c>
      <c r="L582" s="444">
        <f t="shared" ca="1" si="54"/>
        <v>771501.91209586535</v>
      </c>
      <c r="M582" s="460">
        <f t="shared" si="56"/>
        <v>0.05</v>
      </c>
      <c r="N582" s="464">
        <f t="shared" si="57"/>
        <v>68759</v>
      </c>
    </row>
    <row r="583" spans="7:14" ht="11.25" customHeight="1" x14ac:dyDescent="0.3">
      <c r="G583" s="459">
        <f t="shared" si="62"/>
        <v>48</v>
      </c>
      <c r="H583" s="459">
        <v>576</v>
      </c>
      <c r="I583" s="444">
        <f t="shared" ca="1" si="55"/>
        <v>771501.91209586535</v>
      </c>
      <c r="J583" s="444">
        <f t="array" ref="J583">IFERROR(INDEX('Retirement Calculator'!K:K,MATCH('Lorri 401b'!N583,'Retirement Calculator'!A:A,0),0),0)</f>
        <v>20367.195264578786</v>
      </c>
      <c r="K583" s="444">
        <f t="shared" ca="1" si="53"/>
        <v>3129.7279867970274</v>
      </c>
      <c r="L583" s="444">
        <f t="shared" ca="1" si="54"/>
        <v>754264.44481808355</v>
      </c>
      <c r="M583" s="460">
        <f t="shared" si="56"/>
        <v>0.05</v>
      </c>
      <c r="N583" s="464">
        <f t="shared" si="57"/>
        <v>68789</v>
      </c>
    </row>
    <row r="584" spans="7:14" ht="11.25" customHeight="1" x14ac:dyDescent="0.3">
      <c r="G584" s="459">
        <f>G583+1</f>
        <v>49</v>
      </c>
      <c r="H584" s="459">
        <v>577</v>
      </c>
      <c r="I584" s="444">
        <f t="shared" ca="1" si="55"/>
        <v>754264.44481808355</v>
      </c>
      <c r="J584" s="444">
        <f t="array" ref="J584">IFERROR(INDEX('Retirement Calculator'!K:K,MATCH('Lorri 401b'!N584,'Retirement Calculator'!A:A,0),0),0)</f>
        <v>20367.195264578786</v>
      </c>
      <c r="K584" s="444">
        <f t="shared" ca="1" si="53"/>
        <v>3057.9052064729362</v>
      </c>
      <c r="L584" s="444">
        <f t="shared" ca="1" si="54"/>
        <v>736955.15475997771</v>
      </c>
      <c r="M584" s="460">
        <f t="shared" si="56"/>
        <v>0.05</v>
      </c>
      <c r="N584" s="464">
        <f t="shared" si="57"/>
        <v>68820</v>
      </c>
    </row>
    <row r="585" spans="7:14" ht="11.25" customHeight="1" x14ac:dyDescent="0.3">
      <c r="G585" s="459">
        <f t="shared" ref="G585:G595" si="63">G584</f>
        <v>49</v>
      </c>
      <c r="H585" s="459">
        <v>578</v>
      </c>
      <c r="I585" s="444">
        <f t="shared" ca="1" si="55"/>
        <v>736955.15475997771</v>
      </c>
      <c r="J585" s="444">
        <f t="array" ref="J585">IFERROR(INDEX('Retirement Calculator'!K:K,MATCH('Lorri 401b'!N585,'Retirement Calculator'!A:A,0),0),0)</f>
        <v>20367.195264578786</v>
      </c>
      <c r="K585" s="444">
        <f t="shared" ca="1" si="53"/>
        <v>2985.7831645641622</v>
      </c>
      <c r="L585" s="444">
        <f t="shared" ca="1" si="54"/>
        <v>719573.74265996309</v>
      </c>
      <c r="M585" s="460">
        <f t="shared" si="56"/>
        <v>0.05</v>
      </c>
      <c r="N585" s="464">
        <f t="shared" si="57"/>
        <v>68850</v>
      </c>
    </row>
    <row r="586" spans="7:14" ht="11.25" customHeight="1" x14ac:dyDescent="0.3">
      <c r="G586" s="459">
        <f t="shared" si="63"/>
        <v>49</v>
      </c>
      <c r="H586" s="459">
        <v>579</v>
      </c>
      <c r="I586" s="444">
        <f t="shared" ca="1" si="55"/>
        <v>719573.74265996309</v>
      </c>
      <c r="J586" s="444">
        <f t="array" ref="J586">IFERROR(INDEX('Retirement Calculator'!K:K,MATCH('Lorri 401b'!N586,'Retirement Calculator'!A:A,0),0),0)</f>
        <v>20367.195264578786</v>
      </c>
      <c r="K586" s="444">
        <f t="shared" ca="1" si="53"/>
        <v>2913.3606141474347</v>
      </c>
      <c r="L586" s="444">
        <f t="shared" ca="1" si="54"/>
        <v>702119.90800953167</v>
      </c>
      <c r="M586" s="460">
        <f t="shared" si="56"/>
        <v>0.05</v>
      </c>
      <c r="N586" s="464">
        <f t="shared" si="57"/>
        <v>68881</v>
      </c>
    </row>
    <row r="587" spans="7:14" ht="11.25" customHeight="1" x14ac:dyDescent="0.3">
      <c r="G587" s="459">
        <f t="shared" si="63"/>
        <v>49</v>
      </c>
      <c r="H587" s="459">
        <v>580</v>
      </c>
      <c r="I587" s="444">
        <f t="shared" ca="1" si="55"/>
        <v>702119.90800953167</v>
      </c>
      <c r="J587" s="444">
        <f t="array" ref="J587">IFERROR(INDEX('Retirement Calculator'!K:K,MATCH('Lorri 401b'!N587,'Retirement Calculator'!A:A,0),0),0)</f>
        <v>20367.195264578786</v>
      </c>
      <c r="K587" s="444">
        <f t="shared" ca="1" si="53"/>
        <v>2840.6363031039705</v>
      </c>
      <c r="L587" s="444">
        <f t="shared" ca="1" si="54"/>
        <v>684593.34904805687</v>
      </c>
      <c r="M587" s="460">
        <f t="shared" si="56"/>
        <v>0.05</v>
      </c>
      <c r="N587" s="464">
        <f t="shared" si="57"/>
        <v>68912</v>
      </c>
    </row>
    <row r="588" spans="7:14" ht="11.25" customHeight="1" x14ac:dyDescent="0.3">
      <c r="G588" s="459">
        <f t="shared" si="63"/>
        <v>49</v>
      </c>
      <c r="H588" s="459">
        <v>581</v>
      </c>
      <c r="I588" s="444">
        <f t="shared" ca="1" si="55"/>
        <v>684593.34904805687</v>
      </c>
      <c r="J588" s="444">
        <f t="array" ref="J588">IFERROR(INDEX('Retirement Calculator'!K:K,MATCH('Lorri 401b'!N588,'Retirement Calculator'!A:A,0),0),0)</f>
        <v>20367.195264578786</v>
      </c>
      <c r="K588" s="444">
        <f t="shared" ca="1" si="53"/>
        <v>2767.6089740978255</v>
      </c>
      <c r="L588" s="444">
        <f t="shared" ca="1" si="54"/>
        <v>666993.76275757595</v>
      </c>
      <c r="M588" s="460">
        <f t="shared" si="56"/>
        <v>0.05</v>
      </c>
      <c r="N588" s="464">
        <f t="shared" si="57"/>
        <v>68942</v>
      </c>
    </row>
    <row r="589" spans="7:14" ht="11.25" customHeight="1" x14ac:dyDescent="0.3">
      <c r="G589" s="459">
        <f t="shared" si="63"/>
        <v>49</v>
      </c>
      <c r="H589" s="459">
        <v>582</v>
      </c>
      <c r="I589" s="444">
        <f t="shared" ca="1" si="55"/>
        <v>666993.76275757595</v>
      </c>
      <c r="J589" s="444">
        <f t="array" ref="J589">IFERROR(INDEX('Retirement Calculator'!K:K,MATCH('Lorri 401b'!N589,'Retirement Calculator'!A:A,0),0),0)</f>
        <v>20367.195264578786</v>
      </c>
      <c r="K589" s="444">
        <f t="shared" ca="1" si="53"/>
        <v>2694.2773645541547</v>
      </c>
      <c r="L589" s="444">
        <f t="shared" ca="1" si="54"/>
        <v>649320.84485755127</v>
      </c>
      <c r="M589" s="460">
        <f t="shared" si="56"/>
        <v>0.05</v>
      </c>
      <c r="N589" s="464">
        <f t="shared" si="57"/>
        <v>68973</v>
      </c>
    </row>
    <row r="590" spans="7:14" ht="11.25" customHeight="1" x14ac:dyDescent="0.3">
      <c r="G590" s="459">
        <f t="shared" si="63"/>
        <v>49</v>
      </c>
      <c r="H590" s="459">
        <v>583</v>
      </c>
      <c r="I590" s="444">
        <f t="shared" ca="1" si="55"/>
        <v>649320.84485755127</v>
      </c>
      <c r="J590" s="444">
        <f t="array" ref="J590">IFERROR(INDEX('Retirement Calculator'!K:K,MATCH('Lorri 401b'!N590,'Retirement Calculator'!A:A,0),0),0)</f>
        <v>20367.195264578786</v>
      </c>
      <c r="K590" s="444">
        <f t="shared" ca="1" si="53"/>
        <v>2620.6402066373853</v>
      </c>
      <c r="L590" s="444">
        <f t="shared" ca="1" si="54"/>
        <v>631574.28979960992</v>
      </c>
      <c r="M590" s="460">
        <f t="shared" si="56"/>
        <v>0.05</v>
      </c>
      <c r="N590" s="464">
        <f t="shared" si="57"/>
        <v>69003</v>
      </c>
    </row>
    <row r="591" spans="7:14" ht="11.25" customHeight="1" x14ac:dyDescent="0.3">
      <c r="G591" s="459">
        <f t="shared" si="63"/>
        <v>49</v>
      </c>
      <c r="H591" s="459">
        <v>584</v>
      </c>
      <c r="I591" s="444">
        <f t="shared" ca="1" si="55"/>
        <v>631574.28979960992</v>
      </c>
      <c r="J591" s="444">
        <f t="array" ref="J591">IFERROR(INDEX('Retirement Calculator'!K:K,MATCH('Lorri 401b'!N591,'Retirement Calculator'!A:A,0),0),0)</f>
        <v>20367.195264578786</v>
      </c>
      <c r="K591" s="444">
        <f t="shared" ca="1" si="53"/>
        <v>2546.6962272292963</v>
      </c>
      <c r="L591" s="444">
        <f t="shared" ca="1" si="54"/>
        <v>613753.79076226044</v>
      </c>
      <c r="M591" s="460">
        <f t="shared" si="56"/>
        <v>0.05</v>
      </c>
      <c r="N591" s="464">
        <f t="shared" si="57"/>
        <v>69034</v>
      </c>
    </row>
    <row r="592" spans="7:14" ht="11.25" customHeight="1" x14ac:dyDescent="0.3">
      <c r="G592" s="459">
        <f t="shared" si="63"/>
        <v>49</v>
      </c>
      <c r="H592" s="459">
        <v>585</v>
      </c>
      <c r="I592" s="444">
        <f t="shared" ca="1" si="55"/>
        <v>613753.79076226044</v>
      </c>
      <c r="J592" s="444">
        <f t="array" ref="J592">IFERROR(INDEX('Retirement Calculator'!K:K,MATCH('Lorri 401b'!N592,'Retirement Calculator'!A:A,0),0),0)</f>
        <v>20367.195264578786</v>
      </c>
      <c r="K592" s="444">
        <f t="shared" ca="1" si="53"/>
        <v>2472.4441479070069</v>
      </c>
      <c r="L592" s="444">
        <f t="shared" ca="1" si="54"/>
        <v>595859.03964558861</v>
      </c>
      <c r="M592" s="460">
        <f t="shared" si="56"/>
        <v>0.05</v>
      </c>
      <c r="N592" s="464">
        <f t="shared" si="57"/>
        <v>69065</v>
      </c>
    </row>
    <row r="593" spans="7:14" ht="11.25" customHeight="1" x14ac:dyDescent="0.3">
      <c r="G593" s="459">
        <f t="shared" si="63"/>
        <v>49</v>
      </c>
      <c r="H593" s="459">
        <v>586</v>
      </c>
      <c r="I593" s="444">
        <f t="shared" ca="1" si="55"/>
        <v>595859.03964558861</v>
      </c>
      <c r="J593" s="444">
        <f t="array" ref="J593">IFERROR(INDEX('Retirement Calculator'!K:K,MATCH('Lorri 401b'!N593,'Retirement Calculator'!A:A,0),0),0)</f>
        <v>20367.195264578786</v>
      </c>
      <c r="K593" s="444">
        <f t="shared" ca="1" si="53"/>
        <v>2397.882684920874</v>
      </c>
      <c r="L593" s="444">
        <f t="shared" ca="1" si="54"/>
        <v>577889.72706593073</v>
      </c>
      <c r="M593" s="460">
        <f t="shared" si="56"/>
        <v>0.05</v>
      </c>
      <c r="N593" s="464">
        <f t="shared" si="57"/>
        <v>69093</v>
      </c>
    </row>
    <row r="594" spans="7:14" ht="11.25" customHeight="1" x14ac:dyDescent="0.3">
      <c r="G594" s="459">
        <f t="shared" si="63"/>
        <v>49</v>
      </c>
      <c r="H594" s="459">
        <v>587</v>
      </c>
      <c r="I594" s="444">
        <f t="shared" ca="1" si="55"/>
        <v>577889.72706593073</v>
      </c>
      <c r="J594" s="444">
        <f t="array" ref="J594">IFERROR(INDEX('Retirement Calculator'!K:K,MATCH('Lorri 401b'!N594,'Retirement Calculator'!A:A,0),0),0)</f>
        <v>20367.195264578786</v>
      </c>
      <c r="K594" s="444">
        <f t="shared" ca="1" si="53"/>
        <v>2323.0105491722998</v>
      </c>
      <c r="L594" s="444">
        <f t="shared" ca="1" si="54"/>
        <v>559845.54235052422</v>
      </c>
      <c r="M594" s="460">
        <f t="shared" si="56"/>
        <v>0.05</v>
      </c>
      <c r="N594" s="464">
        <f t="shared" si="57"/>
        <v>69124</v>
      </c>
    </row>
    <row r="595" spans="7:14" ht="11.25" customHeight="1" x14ac:dyDescent="0.3">
      <c r="G595" s="459">
        <f t="shared" si="63"/>
        <v>49</v>
      </c>
      <c r="H595" s="459">
        <v>588</v>
      </c>
      <c r="I595" s="444">
        <f t="shared" ca="1" si="55"/>
        <v>559845.54235052422</v>
      </c>
      <c r="J595" s="444">
        <f t="array" ref="J595">IFERROR(INDEX('Retirement Calculator'!K:K,MATCH('Lorri 401b'!N595,'Retirement Calculator'!A:A,0),0),0)</f>
        <v>20367.195264578786</v>
      </c>
      <c r="K595" s="444">
        <f t="shared" ca="1" si="53"/>
        <v>2247.8264461914391</v>
      </c>
      <c r="L595" s="444">
        <f t="shared" ca="1" si="54"/>
        <v>541726.17353213683</v>
      </c>
      <c r="M595" s="460">
        <f t="shared" si="56"/>
        <v>0.05</v>
      </c>
      <c r="N595" s="464">
        <f t="shared" si="57"/>
        <v>69154</v>
      </c>
    </row>
    <row r="596" spans="7:14" ht="11.25" customHeight="1" x14ac:dyDescent="0.3">
      <c r="G596" s="459">
        <f>G595+1</f>
        <v>50</v>
      </c>
      <c r="H596" s="459">
        <v>589</v>
      </c>
      <c r="I596" s="444">
        <f t="shared" ca="1" si="55"/>
        <v>541726.17353213683</v>
      </c>
      <c r="J596" s="444">
        <f t="array" ref="J596">IFERROR(INDEX('Retirement Calculator'!K:K,MATCH('Lorri 401b'!N596,'Retirement Calculator'!A:A,0),0),0)</f>
        <v>20367.195264578786</v>
      </c>
      <c r="K596" s="444">
        <f t="shared" ca="1" si="53"/>
        <v>2172.3290761148251</v>
      </c>
      <c r="L596" s="444">
        <f t="shared" ca="1" si="54"/>
        <v>523531.30734367284</v>
      </c>
      <c r="M596" s="460">
        <f t="shared" si="56"/>
        <v>0.05</v>
      </c>
      <c r="N596" s="464">
        <f t="shared" si="57"/>
        <v>69185</v>
      </c>
    </row>
    <row r="597" spans="7:14" ht="11.25" customHeight="1" x14ac:dyDescent="0.3">
      <c r="G597" s="459">
        <f t="shared" ref="G597:G607" si="64">G596</f>
        <v>50</v>
      </c>
      <c r="H597" s="459">
        <v>590</v>
      </c>
      <c r="I597" s="444">
        <f t="shared" ca="1" si="55"/>
        <v>523531.30734367284</v>
      </c>
      <c r="J597" s="444">
        <f t="array" ref="J597">IFERROR(INDEX('Retirement Calculator'!K:K,MATCH('Lorri 401b'!N597,'Retirement Calculator'!A:A,0),0),0)</f>
        <v>20367.195264578786</v>
      </c>
      <c r="K597" s="444">
        <f t="shared" ca="1" si="53"/>
        <v>2096.5171336628919</v>
      </c>
      <c r="L597" s="444">
        <f t="shared" ca="1" si="54"/>
        <v>505260.62921275693</v>
      </c>
      <c r="M597" s="460">
        <f t="shared" si="56"/>
        <v>0.05</v>
      </c>
      <c r="N597" s="464">
        <f t="shared" si="57"/>
        <v>69215</v>
      </c>
    </row>
    <row r="598" spans="7:14" ht="11.25" customHeight="1" x14ac:dyDescent="0.3">
      <c r="G598" s="459">
        <f t="shared" si="64"/>
        <v>50</v>
      </c>
      <c r="H598" s="459">
        <v>591</v>
      </c>
      <c r="I598" s="444">
        <f t="shared" ca="1" si="55"/>
        <v>505260.62921275693</v>
      </c>
      <c r="J598" s="444">
        <f t="array" ref="J598">IFERROR(INDEX('Retirement Calculator'!K:K,MATCH('Lorri 401b'!N598,'Retirement Calculator'!A:A,0),0),0)</f>
        <v>20367.195264578786</v>
      </c>
      <c r="K598" s="444">
        <f t="shared" ca="1" si="53"/>
        <v>2020.389308117409</v>
      </c>
      <c r="L598" s="444">
        <f t="shared" ca="1" si="54"/>
        <v>486913.82325629552</v>
      </c>
      <c r="M598" s="460">
        <f t="shared" si="56"/>
        <v>0.05</v>
      </c>
      <c r="N598" s="464">
        <f t="shared" si="57"/>
        <v>69246</v>
      </c>
    </row>
    <row r="599" spans="7:14" ht="11.25" customHeight="1" x14ac:dyDescent="0.3">
      <c r="G599" s="459">
        <f t="shared" si="64"/>
        <v>50</v>
      </c>
      <c r="H599" s="459">
        <v>592</v>
      </c>
      <c r="I599" s="444">
        <f t="shared" ca="1" si="55"/>
        <v>486913.82325629552</v>
      </c>
      <c r="J599" s="444">
        <f t="array" ref="J599">IFERROR(INDEX('Retirement Calculator'!K:K,MATCH('Lorri 401b'!N599,'Retirement Calculator'!A:A,0),0),0)</f>
        <v>20367.195264578786</v>
      </c>
      <c r="K599" s="444">
        <f t="shared" ca="1" si="53"/>
        <v>1943.9442832988198</v>
      </c>
      <c r="L599" s="444">
        <f t="shared" ca="1" si="54"/>
        <v>468490.57227501553</v>
      </c>
      <c r="M599" s="460">
        <f t="shared" si="56"/>
        <v>0.05</v>
      </c>
      <c r="N599" s="464">
        <f t="shared" si="57"/>
        <v>69277</v>
      </c>
    </row>
    <row r="600" spans="7:14" ht="11.25" customHeight="1" x14ac:dyDescent="0.3">
      <c r="G600" s="459">
        <f t="shared" si="64"/>
        <v>50</v>
      </c>
      <c r="H600" s="459">
        <v>593</v>
      </c>
      <c r="I600" s="444">
        <f t="shared" ca="1" si="55"/>
        <v>468490.57227501553</v>
      </c>
      <c r="J600" s="444">
        <f t="array" ref="J600">IFERROR(INDEX('Retirement Calculator'!K:K,MATCH('Lorri 401b'!N600,'Retirement Calculator'!A:A,0),0),0)</f>
        <v>20367.195264578786</v>
      </c>
      <c r="K600" s="444">
        <f t="shared" ca="1" si="53"/>
        <v>1867.1807375434864</v>
      </c>
      <c r="L600" s="444">
        <f t="shared" ca="1" si="54"/>
        <v>449990.55774798023</v>
      </c>
      <c r="M600" s="460">
        <f t="shared" si="56"/>
        <v>0.05</v>
      </c>
      <c r="N600" s="464">
        <f t="shared" si="57"/>
        <v>69307</v>
      </c>
    </row>
    <row r="601" spans="7:14" ht="11.25" customHeight="1" x14ac:dyDescent="0.3">
      <c r="G601" s="459">
        <f t="shared" si="64"/>
        <v>50</v>
      </c>
      <c r="H601" s="459">
        <v>594</v>
      </c>
      <c r="I601" s="444">
        <f t="shared" ca="1" si="55"/>
        <v>449990.55774798023</v>
      </c>
      <c r="J601" s="444">
        <f t="array" ref="J601">IFERROR(INDEX('Retirement Calculator'!K:K,MATCH('Lorri 401b'!N601,'Retirement Calculator'!A:A,0),0),0)</f>
        <v>20367.195264578786</v>
      </c>
      <c r="K601" s="444">
        <f t="shared" ca="1" si="53"/>
        <v>1790.097343680839</v>
      </c>
      <c r="L601" s="444">
        <f t="shared" ca="1" si="54"/>
        <v>431413.45982708229</v>
      </c>
      <c r="M601" s="460">
        <f t="shared" si="56"/>
        <v>0.05</v>
      </c>
      <c r="N601" s="464">
        <f t="shared" si="57"/>
        <v>69338</v>
      </c>
    </row>
    <row r="602" spans="7:14" ht="11.25" customHeight="1" x14ac:dyDescent="0.3">
      <c r="G602" s="459">
        <f t="shared" si="64"/>
        <v>50</v>
      </c>
      <c r="H602" s="459">
        <v>595</v>
      </c>
      <c r="I602" s="444">
        <f t="shared" ca="1" si="55"/>
        <v>431413.45982708229</v>
      </c>
      <c r="J602" s="444">
        <f t="array" ref="J602">IFERROR(INDEX('Retirement Calculator'!K:K,MATCH('Lorri 401b'!N602,'Retirement Calculator'!A:A,0),0),0)</f>
        <v>20367.195264578786</v>
      </c>
      <c r="K602" s="444">
        <f t="shared" ca="1" si="53"/>
        <v>1712.692769010431</v>
      </c>
      <c r="L602" s="444">
        <f t="shared" ca="1" si="54"/>
        <v>412758.95733151393</v>
      </c>
      <c r="M602" s="460">
        <f t="shared" si="56"/>
        <v>0.05</v>
      </c>
      <c r="N602" s="464">
        <f t="shared" si="57"/>
        <v>69368</v>
      </c>
    </row>
    <row r="603" spans="7:14" ht="11.25" customHeight="1" x14ac:dyDescent="0.3">
      <c r="G603" s="459">
        <f t="shared" si="64"/>
        <v>50</v>
      </c>
      <c r="H603" s="459">
        <v>596</v>
      </c>
      <c r="I603" s="444">
        <f t="shared" ca="1" si="55"/>
        <v>412758.95733151393</v>
      </c>
      <c r="J603" s="444">
        <f t="array" ref="J603">IFERROR(INDEX('Retirement Calculator'!K:K,MATCH('Lorri 401b'!N603,'Retirement Calculator'!A:A,0),0),0)</f>
        <v>20367.195264578786</v>
      </c>
      <c r="K603" s="444">
        <f t="shared" ca="1" si="53"/>
        <v>1634.9656752788965</v>
      </c>
      <c r="L603" s="444">
        <f t="shared" ca="1" si="54"/>
        <v>394026.72774221405</v>
      </c>
      <c r="M603" s="460">
        <f t="shared" si="56"/>
        <v>0.05</v>
      </c>
      <c r="N603" s="464">
        <f t="shared" si="57"/>
        <v>69399</v>
      </c>
    </row>
    <row r="604" spans="7:14" ht="11.25" customHeight="1" x14ac:dyDescent="0.3">
      <c r="G604" s="459">
        <f t="shared" si="64"/>
        <v>50</v>
      </c>
      <c r="H604" s="459">
        <v>597</v>
      </c>
      <c r="I604" s="444">
        <f t="shared" ca="1" si="55"/>
        <v>394026.72774221405</v>
      </c>
      <c r="J604" s="444">
        <f t="array" ref="J604">IFERROR(INDEX('Retirement Calculator'!K:K,MATCH('Lorri 401b'!N604,'Retirement Calculator'!A:A,0),0),0)</f>
        <v>20367.195264578786</v>
      </c>
      <c r="K604" s="444">
        <f t="shared" ca="1" si="53"/>
        <v>1556.9147186568134</v>
      </c>
      <c r="L604" s="444">
        <f t="shared" ca="1" si="54"/>
        <v>375216.44719629205</v>
      </c>
      <c r="M604" s="460">
        <f t="shared" si="56"/>
        <v>0.05</v>
      </c>
      <c r="N604" s="464">
        <f t="shared" si="57"/>
        <v>69430</v>
      </c>
    </row>
    <row r="605" spans="7:14" ht="11.25" customHeight="1" x14ac:dyDescent="0.3">
      <c r="G605" s="459">
        <f t="shared" si="64"/>
        <v>50</v>
      </c>
      <c r="H605" s="459">
        <v>598</v>
      </c>
      <c r="I605" s="444">
        <f t="shared" ca="1" si="55"/>
        <v>375216.44719629205</v>
      </c>
      <c r="J605" s="444">
        <f t="array" ref="J605">IFERROR(INDEX('Retirement Calculator'!K:K,MATCH('Lorri 401b'!N605,'Retirement Calculator'!A:A,0),0),0)</f>
        <v>20367.195264578786</v>
      </c>
      <c r="K605" s="444">
        <f t="shared" ca="1" si="53"/>
        <v>1478.5385497154718</v>
      </c>
      <c r="L605" s="444">
        <f t="shared" ca="1" si="54"/>
        <v>356327.79048142873</v>
      </c>
      <c r="M605" s="460">
        <f t="shared" si="56"/>
        <v>0.05</v>
      </c>
      <c r="N605" s="464">
        <f t="shared" si="57"/>
        <v>69458</v>
      </c>
    </row>
    <row r="606" spans="7:14" ht="11.25" customHeight="1" x14ac:dyDescent="0.3">
      <c r="G606" s="459">
        <f t="shared" si="64"/>
        <v>50</v>
      </c>
      <c r="H606" s="459">
        <v>599</v>
      </c>
      <c r="I606" s="444">
        <f t="shared" ca="1" si="55"/>
        <v>356327.79048142873</v>
      </c>
      <c r="J606" s="444">
        <f t="array" ref="J606">IFERROR(INDEX('Retirement Calculator'!K:K,MATCH('Lorri 401b'!N606,'Retirement Calculator'!A:A,0),0),0)</f>
        <v>20367.195264578786</v>
      </c>
      <c r="K606" s="444">
        <f t="shared" ca="1" si="53"/>
        <v>1399.8358134035414</v>
      </c>
      <c r="L606" s="444">
        <f t="shared" ca="1" si="54"/>
        <v>337360.43103025347</v>
      </c>
      <c r="M606" s="460">
        <f t="shared" si="56"/>
        <v>0.05</v>
      </c>
      <c r="N606" s="464">
        <f t="shared" si="57"/>
        <v>69489</v>
      </c>
    </row>
    <row r="607" spans="7:14" ht="11.25" customHeight="1" x14ac:dyDescent="0.3">
      <c r="G607" s="459">
        <f t="shared" si="64"/>
        <v>50</v>
      </c>
      <c r="H607" s="459">
        <v>600</v>
      </c>
      <c r="I607" s="444">
        <f t="shared" ca="1" si="55"/>
        <v>337360.43103025347</v>
      </c>
      <c r="J607" s="444">
        <f t="array" ref="J607">IFERROR(INDEX('Retirement Calculator'!K:K,MATCH('Lorri 401b'!N607,'Retirement Calculator'!A:A,0),0),0)</f>
        <v>20367.195264578786</v>
      </c>
      <c r="K607" s="444">
        <f t="shared" ca="1" si="53"/>
        <v>1320.8051490236444</v>
      </c>
      <c r="L607" s="444">
        <f t="shared" ca="1" si="54"/>
        <v>318314.04091469833</v>
      </c>
      <c r="M607" s="460">
        <f t="shared" si="56"/>
        <v>0.05</v>
      </c>
      <c r="N607" s="464">
        <f t="shared" si="57"/>
        <v>69519</v>
      </c>
    </row>
    <row r="608" spans="7:14" ht="11.25" customHeight="1" x14ac:dyDescent="0.3">
      <c r="G608" s="459">
        <f>G607+1</f>
        <v>51</v>
      </c>
      <c r="H608" s="459">
        <v>601</v>
      </c>
      <c r="I608" s="444">
        <f t="shared" ca="1" si="55"/>
        <v>318314.04091469833</v>
      </c>
      <c r="J608" s="444">
        <f t="array" ref="J608">IFERROR(INDEX('Retirement Calculator'!K:K,MATCH('Lorri 401b'!N608,'Retirement Calculator'!A:A,0),0),0)</f>
        <v>20367.195264578786</v>
      </c>
      <c r="K608" s="444">
        <f t="shared" ca="1" si="53"/>
        <v>1241.4451902088313</v>
      </c>
      <c r="L608" s="444">
        <f t="shared" ca="1" si="54"/>
        <v>299188.29084032838</v>
      </c>
      <c r="M608" s="460">
        <f t="shared" si="56"/>
        <v>0.05</v>
      </c>
      <c r="N608" s="464">
        <f t="shared" si="57"/>
        <v>69550</v>
      </c>
    </row>
    <row r="609" spans="7:14" ht="11.25" customHeight="1" x14ac:dyDescent="0.3">
      <c r="G609" s="459">
        <f t="shared" ref="G609:G619" si="65">G608</f>
        <v>51</v>
      </c>
      <c r="H609" s="459">
        <v>602</v>
      </c>
      <c r="I609" s="444">
        <f t="shared" ca="1" si="55"/>
        <v>299188.29084032838</v>
      </c>
      <c r="J609" s="444">
        <f t="array" ref="J609">IFERROR(INDEX('Retirement Calculator'!K:K,MATCH('Lorri 401b'!N609,'Retirement Calculator'!A:A,0),0),0)</f>
        <v>20367.195264578786</v>
      </c>
      <c r="K609" s="444">
        <f t="shared" ca="1" si="53"/>
        <v>1161.7545648989567</v>
      </c>
      <c r="L609" s="444">
        <f t="shared" ca="1" si="54"/>
        <v>279982.85014064854</v>
      </c>
      <c r="M609" s="460">
        <f t="shared" si="56"/>
        <v>0.05</v>
      </c>
      <c r="N609" s="464">
        <f t="shared" si="57"/>
        <v>69580</v>
      </c>
    </row>
    <row r="610" spans="7:14" ht="11.25" customHeight="1" x14ac:dyDescent="0.3">
      <c r="G610" s="459">
        <f t="shared" si="65"/>
        <v>51</v>
      </c>
      <c r="H610" s="459">
        <v>603</v>
      </c>
      <c r="I610" s="444">
        <f t="shared" ca="1" si="55"/>
        <v>279982.85014064854</v>
      </c>
      <c r="J610" s="444">
        <f t="array" ref="J610">IFERROR(INDEX('Retirement Calculator'!K:K,MATCH('Lorri 401b'!N610,'Retirement Calculator'!A:A,0),0),0)</f>
        <v>20367.195264578786</v>
      </c>
      <c r="K610" s="444">
        <f t="shared" ca="1" si="53"/>
        <v>1081.7318953169572</v>
      </c>
      <c r="L610" s="444">
        <f t="shared" ca="1" si="54"/>
        <v>260697.38677138669</v>
      </c>
      <c r="M610" s="460">
        <f t="shared" si="56"/>
        <v>0.05</v>
      </c>
      <c r="N610" s="464">
        <f t="shared" si="57"/>
        <v>69611</v>
      </c>
    </row>
    <row r="611" spans="7:14" ht="11.25" customHeight="1" x14ac:dyDescent="0.3">
      <c r="G611" s="459">
        <f t="shared" si="65"/>
        <v>51</v>
      </c>
      <c r="H611" s="459">
        <v>604</v>
      </c>
      <c r="I611" s="444">
        <f t="shared" ca="1" si="55"/>
        <v>260697.38677138669</v>
      </c>
      <c r="J611" s="444">
        <f t="array" ref="J611">IFERROR(INDEX('Retirement Calculator'!K:K,MATCH('Lorri 401b'!N611,'Retirement Calculator'!A:A,0),0),0)</f>
        <v>20367.195264578786</v>
      </c>
      <c r="K611" s="444">
        <f t="shared" ca="1" si="53"/>
        <v>1001.3757979450329</v>
      </c>
      <c r="L611" s="444">
        <f t="shared" ca="1" si="54"/>
        <v>241331.56730475294</v>
      </c>
      <c r="M611" s="460">
        <f t="shared" si="56"/>
        <v>0.05</v>
      </c>
      <c r="N611" s="464">
        <f t="shared" si="57"/>
        <v>69642</v>
      </c>
    </row>
    <row r="612" spans="7:14" ht="11.25" customHeight="1" x14ac:dyDescent="0.3">
      <c r="G612" s="459">
        <f t="shared" si="65"/>
        <v>51</v>
      </c>
      <c r="H612" s="459">
        <v>605</v>
      </c>
      <c r="I612" s="444">
        <f t="shared" ca="1" si="55"/>
        <v>241331.56730475294</v>
      </c>
      <c r="J612" s="444">
        <f t="array" ref="J612">IFERROR(INDEX('Retirement Calculator'!K:K,MATCH('Lorri 401b'!N612,'Retirement Calculator'!A:A,0),0),0)</f>
        <v>20367.195264578786</v>
      </c>
      <c r="K612" s="444">
        <f t="shared" ca="1" si="53"/>
        <v>920.68488350072562</v>
      </c>
      <c r="L612" s="444">
        <f t="shared" ca="1" si="54"/>
        <v>221885.05692367486</v>
      </c>
      <c r="M612" s="460">
        <f t="shared" si="56"/>
        <v>0.05</v>
      </c>
      <c r="N612" s="464">
        <f t="shared" si="57"/>
        <v>69672</v>
      </c>
    </row>
    <row r="613" spans="7:14" ht="11.25" customHeight="1" x14ac:dyDescent="0.3">
      <c r="G613" s="459">
        <f t="shared" si="65"/>
        <v>51</v>
      </c>
      <c r="H613" s="459">
        <v>606</v>
      </c>
      <c r="I613" s="444">
        <f t="shared" ca="1" si="55"/>
        <v>221885.05692367486</v>
      </c>
      <c r="J613" s="444">
        <f t="array" ref="J613">IFERROR(INDEX('Retirement Calculator'!K:K,MATCH('Lorri 401b'!N613,'Retirement Calculator'!A:A,0),0),0)</f>
        <v>20367.195264578786</v>
      </c>
      <c r="K613" s="444">
        <f t="shared" ca="1" si="53"/>
        <v>839.65775691290025</v>
      </c>
      <c r="L613" s="444">
        <f t="shared" ca="1" si="54"/>
        <v>202357.51941600896</v>
      </c>
      <c r="M613" s="460">
        <f t="shared" si="56"/>
        <v>0.05</v>
      </c>
      <c r="N613" s="464">
        <f t="shared" si="57"/>
        <v>69703</v>
      </c>
    </row>
    <row r="614" spans="7:14" ht="11.25" customHeight="1" x14ac:dyDescent="0.3">
      <c r="G614" s="459">
        <f t="shared" si="65"/>
        <v>51</v>
      </c>
      <c r="H614" s="459">
        <v>607</v>
      </c>
      <c r="I614" s="444">
        <f t="shared" ca="1" si="55"/>
        <v>202357.51941600896</v>
      </c>
      <c r="J614" s="444">
        <f t="array" ref="J614">IFERROR(INDEX('Retirement Calculator'!K:K,MATCH('Lorri 401b'!N614,'Retirement Calculator'!A:A,0),0),0)</f>
        <v>20367.195264578786</v>
      </c>
      <c r="K614" s="444">
        <f t="shared" ca="1" si="53"/>
        <v>758.29301729762562</v>
      </c>
      <c r="L614" s="444">
        <f t="shared" ca="1" si="54"/>
        <v>182748.6171687278</v>
      </c>
      <c r="M614" s="460">
        <f t="shared" si="56"/>
        <v>0.05</v>
      </c>
      <c r="N614" s="464">
        <f t="shared" si="57"/>
        <v>69733</v>
      </c>
    </row>
    <row r="615" spans="7:14" ht="11.25" customHeight="1" x14ac:dyDescent="0.3">
      <c r="G615" s="459">
        <f t="shared" si="65"/>
        <v>51</v>
      </c>
      <c r="H615" s="459">
        <v>608</v>
      </c>
      <c r="I615" s="444">
        <f t="shared" ca="1" si="55"/>
        <v>182748.6171687278</v>
      </c>
      <c r="J615" s="444">
        <f t="array" ref="J615">IFERROR(INDEX('Retirement Calculator'!K:K,MATCH('Lorri 401b'!N615,'Retirement Calculator'!A:A,0),0),0)</f>
        <v>20367.195264578786</v>
      </c>
      <c r="K615" s="444">
        <f t="shared" ca="1" si="53"/>
        <v>676.58925793395417</v>
      </c>
      <c r="L615" s="444">
        <f t="shared" ca="1" si="54"/>
        <v>163058.01116208296</v>
      </c>
      <c r="M615" s="460">
        <f t="shared" si="56"/>
        <v>0.05</v>
      </c>
      <c r="N615" s="464">
        <f t="shared" si="57"/>
        <v>69764</v>
      </c>
    </row>
    <row r="616" spans="7:14" ht="11.25" customHeight="1" x14ac:dyDescent="0.3">
      <c r="G616" s="459">
        <f t="shared" si="65"/>
        <v>51</v>
      </c>
      <c r="H616" s="459">
        <v>609</v>
      </c>
      <c r="I616" s="444">
        <f t="shared" ca="1" si="55"/>
        <v>163058.01116208296</v>
      </c>
      <c r="J616" s="444">
        <f t="array" ref="J616">IFERROR(INDEX('Retirement Calculator'!K:K,MATCH('Lorri 401b'!N616,'Retirement Calculator'!A:A,0),0),0)</f>
        <v>20367.195264578786</v>
      </c>
      <c r="K616" s="444">
        <f t="shared" ca="1" si="53"/>
        <v>594.5450662396006</v>
      </c>
      <c r="L616" s="444">
        <f t="shared" ca="1" si="54"/>
        <v>143285.36096374376</v>
      </c>
      <c r="M616" s="460">
        <f t="shared" si="56"/>
        <v>0.05</v>
      </c>
      <c r="N616" s="464">
        <f t="shared" si="57"/>
        <v>69795</v>
      </c>
    </row>
    <row r="617" spans="7:14" ht="11.25" customHeight="1" x14ac:dyDescent="0.3">
      <c r="G617" s="459">
        <f t="shared" si="65"/>
        <v>51</v>
      </c>
      <c r="H617" s="459">
        <v>610</v>
      </c>
      <c r="I617" s="444">
        <f t="shared" ca="1" si="55"/>
        <v>143285.36096374376</v>
      </c>
      <c r="J617" s="444">
        <f t="array" ref="J617">IFERROR(INDEX('Retirement Calculator'!K:K,MATCH('Lorri 401b'!N617,'Retirement Calculator'!A:A,0),0),0)</f>
        <v>20367.195264578786</v>
      </c>
      <c r="K617" s="444">
        <f t="shared" ca="1" si="53"/>
        <v>512.15902374652069</v>
      </c>
      <c r="L617" s="444">
        <f t="shared" ca="1" si="54"/>
        <v>123430.32472291149</v>
      </c>
      <c r="M617" s="460">
        <f t="shared" si="56"/>
        <v>0.05</v>
      </c>
      <c r="N617" s="464">
        <f t="shared" si="57"/>
        <v>69823</v>
      </c>
    </row>
    <row r="618" spans="7:14" ht="11.25" customHeight="1" x14ac:dyDescent="0.3">
      <c r="G618" s="459">
        <f t="shared" si="65"/>
        <v>51</v>
      </c>
      <c r="H618" s="459">
        <v>611</v>
      </c>
      <c r="I618" s="444">
        <f t="shared" ca="1" si="55"/>
        <v>123430.32472291149</v>
      </c>
      <c r="J618" s="444">
        <f t="array" ref="J618">IFERROR(INDEX('Retirement Calculator'!K:K,MATCH('Lorri 401b'!N618,'Retirement Calculator'!A:A,0),0),0)</f>
        <v>20367.195264578786</v>
      </c>
      <c r="K618" s="444">
        <f t="shared" ca="1" si="53"/>
        <v>429.42970607638631</v>
      </c>
      <c r="L618" s="444">
        <f t="shared" ca="1" si="54"/>
        <v>103492.5591644091</v>
      </c>
      <c r="M618" s="460">
        <f t="shared" si="56"/>
        <v>0.05</v>
      </c>
      <c r="N618" s="464">
        <f t="shared" si="57"/>
        <v>69854</v>
      </c>
    </row>
    <row r="619" spans="7:14" ht="11.25" customHeight="1" x14ac:dyDescent="0.3">
      <c r="G619" s="459">
        <f t="shared" si="65"/>
        <v>51</v>
      </c>
      <c r="H619" s="459">
        <v>612</v>
      </c>
      <c r="I619" s="444">
        <f t="shared" ca="1" si="55"/>
        <v>103492.5591644091</v>
      </c>
      <c r="J619" s="444">
        <f t="array" ref="J619">IFERROR(INDEX('Retirement Calculator'!K:K,MATCH('Lorri 401b'!N619,'Retirement Calculator'!A:A,0),0),0)</f>
        <v>20367.195264578786</v>
      </c>
      <c r="K619" s="444">
        <f t="shared" ca="1" si="53"/>
        <v>346.35568291595968</v>
      </c>
      <c r="L619" s="444">
        <f t="shared" ca="1" si="54"/>
        <v>83471.719582746286</v>
      </c>
      <c r="M619" s="460">
        <f t="shared" si="56"/>
        <v>0.05</v>
      </c>
      <c r="N619" s="464">
        <f t="shared" si="57"/>
        <v>69884</v>
      </c>
    </row>
    <row r="620" spans="7:14" ht="11.25" customHeight="1" x14ac:dyDescent="0.3">
      <c r="G620" s="459">
        <f>G619+1</f>
        <v>52</v>
      </c>
      <c r="H620" s="459">
        <v>613</v>
      </c>
      <c r="I620" s="444">
        <f t="shared" ca="1" si="55"/>
        <v>83471.719582746286</v>
      </c>
      <c r="J620" s="444">
        <f t="array" ref="J620">IFERROR(INDEX('Retirement Calculator'!K:K,MATCH('Lorri 401b'!N620,'Retirement Calculator'!A:A,0),0),0)</f>
        <v>20367.195264578786</v>
      </c>
      <c r="K620" s="444">
        <f t="shared" ca="1" si="53"/>
        <v>262.93551799236462</v>
      </c>
      <c r="L620" s="444">
        <f t="shared" ca="1" si="54"/>
        <v>63367.459836159869</v>
      </c>
      <c r="M620" s="460">
        <f t="shared" si="56"/>
        <v>0.05</v>
      </c>
      <c r="N620" s="464">
        <f t="shared" si="57"/>
        <v>69915</v>
      </c>
    </row>
    <row r="621" spans="7:14" ht="11.25" customHeight="1" x14ac:dyDescent="0.3">
      <c r="G621" s="459">
        <f t="shared" ref="G621:G631" si="66">G620</f>
        <v>52</v>
      </c>
      <c r="H621" s="459">
        <v>614</v>
      </c>
      <c r="I621" s="444">
        <f t="shared" ca="1" si="55"/>
        <v>63367.459836159869</v>
      </c>
      <c r="J621" s="444">
        <f t="array" ref="J621">IFERROR(INDEX('Retirement Calculator'!K:K,MATCH('Lorri 401b'!N621,'Retirement Calculator'!A:A,0),0),0)</f>
        <v>20367.195264578786</v>
      </c>
      <c r="K621" s="444">
        <f t="shared" ca="1" si="53"/>
        <v>179.16776904825448</v>
      </c>
      <c r="L621" s="444">
        <f t="shared" ca="1" si="54"/>
        <v>43179.432340629333</v>
      </c>
      <c r="M621" s="460">
        <f t="shared" si="56"/>
        <v>0.05</v>
      </c>
      <c r="N621" s="464">
        <f t="shared" si="57"/>
        <v>69945</v>
      </c>
    </row>
    <row r="622" spans="7:14" ht="11.25" customHeight="1" x14ac:dyDescent="0.3">
      <c r="G622" s="459">
        <f t="shared" si="66"/>
        <v>52</v>
      </c>
      <c r="H622" s="459">
        <v>615</v>
      </c>
      <c r="I622" s="444">
        <f t="shared" ca="1" si="55"/>
        <v>43179.432340629333</v>
      </c>
      <c r="J622" s="444">
        <f t="array" ref="J622">IFERROR(INDEX('Retirement Calculator'!K:K,MATCH('Lorri 401b'!N622,'Retirement Calculator'!A:A,0),0),0)</f>
        <v>20367.195264578786</v>
      </c>
      <c r="K622" s="444">
        <f t="shared" ca="1" si="53"/>
        <v>95.050987816877281</v>
      </c>
      <c r="L622" s="444">
        <f t="shared" ca="1" si="54"/>
        <v>22907.288063867425</v>
      </c>
      <c r="M622" s="460">
        <f t="shared" si="56"/>
        <v>0.05</v>
      </c>
      <c r="N622" s="464">
        <f t="shared" si="57"/>
        <v>69976</v>
      </c>
    </row>
    <row r="623" spans="7:14" ht="11.25" customHeight="1" x14ac:dyDescent="0.3">
      <c r="G623" s="459">
        <f t="shared" si="66"/>
        <v>52</v>
      </c>
      <c r="H623" s="459">
        <v>616</v>
      </c>
      <c r="I623" s="444">
        <f t="shared" ca="1" si="55"/>
        <v>22907.288063867425</v>
      </c>
      <c r="J623" s="444">
        <f t="array" ref="J623">IFERROR(INDEX('Retirement Calculator'!K:K,MATCH('Lorri 401b'!N623,'Retirement Calculator'!A:A,0),0),0)</f>
        <v>20367.195264578786</v>
      </c>
      <c r="K623" s="444">
        <f t="shared" ca="1" si="53"/>
        <v>10.583719997035995</v>
      </c>
      <c r="L623" s="444">
        <f t="shared" ca="1" si="54"/>
        <v>2550.6765192856751</v>
      </c>
      <c r="M623" s="460">
        <f t="shared" si="56"/>
        <v>0.05</v>
      </c>
      <c r="N623" s="464">
        <f t="shared" si="57"/>
        <v>70007</v>
      </c>
    </row>
    <row r="624" spans="7:14" ht="11.25" customHeight="1" x14ac:dyDescent="0.3">
      <c r="G624" s="459">
        <f t="shared" si="66"/>
        <v>52</v>
      </c>
      <c r="H624" s="459">
        <v>617</v>
      </c>
      <c r="I624" s="444">
        <f t="shared" ca="1" si="55"/>
        <v>2550.6765192856751</v>
      </c>
      <c r="J624" s="444">
        <f t="array" ref="J624">IFERROR(INDEX('Retirement Calculator'!K:K,MATCH('Lorri 401b'!N624,'Retirement Calculator'!A:A,0),0),0)</f>
        <v>20367.195264578786</v>
      </c>
      <c r="K624" s="444">
        <f t="shared" ca="1" si="53"/>
        <v>-74.235494772054622</v>
      </c>
      <c r="L624" s="444">
        <f t="shared" ca="1" si="54"/>
        <v>-17890.754240065166</v>
      </c>
      <c r="M624" s="460">
        <f t="shared" si="56"/>
        <v>0.05</v>
      </c>
      <c r="N624" s="464">
        <f t="shared" si="57"/>
        <v>70037</v>
      </c>
    </row>
    <row r="625" spans="7:14" ht="11.25" customHeight="1" x14ac:dyDescent="0.3">
      <c r="G625" s="459">
        <f t="shared" si="66"/>
        <v>52</v>
      </c>
      <c r="H625" s="459">
        <v>618</v>
      </c>
      <c r="I625" s="444">
        <f t="shared" ca="1" si="55"/>
        <v>-17890.754240065166</v>
      </c>
      <c r="J625" s="444">
        <f t="array" ref="J625">IFERROR(INDEX('Retirement Calculator'!K:K,MATCH('Lorri 401b'!N625,'Retirement Calculator'!A:A,0),0),0)</f>
        <v>20367.195264578786</v>
      </c>
      <c r="K625" s="444">
        <f t="shared" ca="1" si="53"/>
        <v>-159.40812293601647</v>
      </c>
      <c r="L625" s="444">
        <f t="shared" ca="1" si="54"/>
        <v>-38417.357627579971</v>
      </c>
      <c r="M625" s="460">
        <f t="shared" si="56"/>
        <v>0.05</v>
      </c>
      <c r="N625" s="464">
        <f t="shared" si="57"/>
        <v>70068</v>
      </c>
    </row>
    <row r="626" spans="7:14" ht="11.25" customHeight="1" x14ac:dyDescent="0.3">
      <c r="G626" s="459">
        <f t="shared" si="66"/>
        <v>52</v>
      </c>
      <c r="H626" s="459">
        <v>619</v>
      </c>
      <c r="I626" s="444">
        <f t="shared" ca="1" si="55"/>
        <v>-38417.357627579971</v>
      </c>
      <c r="J626" s="444">
        <f t="array" ref="J626">IFERROR(INDEX('Retirement Calculator'!K:K,MATCH('Lorri 401b'!N626,'Retirement Calculator'!A:A,0),0),0)</f>
        <v>20367.195264578786</v>
      </c>
      <c r="K626" s="444">
        <f t="shared" ca="1" si="53"/>
        <v>-244.93563705066143</v>
      </c>
      <c r="L626" s="444">
        <f t="shared" ca="1" si="54"/>
        <v>-59029.488529209419</v>
      </c>
      <c r="M626" s="460">
        <f t="shared" si="56"/>
        <v>0.05</v>
      </c>
      <c r="N626" s="464">
        <f t="shared" si="57"/>
        <v>70098</v>
      </c>
    </row>
    <row r="627" spans="7:14" ht="11.25" customHeight="1" x14ac:dyDescent="0.3">
      <c r="G627" s="459">
        <f t="shared" si="66"/>
        <v>52</v>
      </c>
      <c r="H627" s="459">
        <v>620</v>
      </c>
      <c r="I627" s="444">
        <f t="shared" ca="1" si="55"/>
        <v>-59029.488529209419</v>
      </c>
      <c r="J627" s="444">
        <f t="array" ref="J627">IFERROR(INDEX('Retirement Calculator'!K:K,MATCH('Lorri 401b'!N627,'Retirement Calculator'!A:A,0),0),0)</f>
        <v>20367.195264578786</v>
      </c>
      <c r="K627" s="444">
        <f t="shared" ca="1" si="53"/>
        <v>-330.81951580745084</v>
      </c>
      <c r="L627" s="444">
        <f t="shared" ca="1" si="54"/>
        <v>-79727.503309595661</v>
      </c>
      <c r="M627" s="460">
        <f t="shared" si="56"/>
        <v>0.05</v>
      </c>
      <c r="N627" s="464">
        <f t="shared" si="57"/>
        <v>70129</v>
      </c>
    </row>
    <row r="628" spans="7:14" ht="11.25" customHeight="1" x14ac:dyDescent="0.3">
      <c r="G628" s="459">
        <f t="shared" si="66"/>
        <v>52</v>
      </c>
      <c r="H628" s="459">
        <v>621</v>
      </c>
      <c r="I628" s="444">
        <f t="shared" ca="1" si="55"/>
        <v>-79727.503309595661</v>
      </c>
      <c r="J628" s="444">
        <f t="array" ref="J628">IFERROR(INDEX('Retirement Calculator'!K:K,MATCH('Lorri 401b'!N628,'Retirement Calculator'!A:A,0),0),0)</f>
        <v>20367.195264578786</v>
      </c>
      <c r="K628" s="444">
        <f t="shared" ca="1" si="53"/>
        <v>-417.06124405906019</v>
      </c>
      <c r="L628" s="444">
        <f t="shared" ca="1" si="54"/>
        <v>-100511.75981823351</v>
      </c>
      <c r="M628" s="460">
        <f t="shared" si="56"/>
        <v>0.05</v>
      </c>
      <c r="N628" s="464">
        <f t="shared" si="57"/>
        <v>70160</v>
      </c>
    </row>
    <row r="629" spans="7:14" ht="11.25" customHeight="1" x14ac:dyDescent="0.3">
      <c r="G629" s="459">
        <f t="shared" si="66"/>
        <v>52</v>
      </c>
      <c r="H629" s="459">
        <v>622</v>
      </c>
      <c r="I629" s="444">
        <f t="shared" ca="1" si="55"/>
        <v>-100511.75981823351</v>
      </c>
      <c r="J629" s="444">
        <f t="array" ref="J629">IFERROR(INDEX('Retirement Calculator'!K:K,MATCH('Lorri 401b'!N629,'Retirement Calculator'!A:A,0),0),0)</f>
        <v>20367.195264578786</v>
      </c>
      <c r="K629" s="444">
        <f t="shared" ca="1" si="53"/>
        <v>-503.66231284505125</v>
      </c>
      <c r="L629" s="444">
        <f t="shared" ca="1" si="54"/>
        <v>-121382.61739565733</v>
      </c>
      <c r="M629" s="460">
        <f t="shared" si="56"/>
        <v>0.05</v>
      </c>
      <c r="N629" s="464">
        <f t="shared" si="57"/>
        <v>70189</v>
      </c>
    </row>
    <row r="630" spans="7:14" ht="11.25" customHeight="1" x14ac:dyDescent="0.3">
      <c r="G630" s="459">
        <f t="shared" si="66"/>
        <v>52</v>
      </c>
      <c r="H630" s="459">
        <v>623</v>
      </c>
      <c r="I630" s="444">
        <f t="shared" ca="1" si="55"/>
        <v>-121382.61739565733</v>
      </c>
      <c r="J630" s="444">
        <f t="array" ref="J630">IFERROR(INDEX('Retirement Calculator'!K:K,MATCH('Lorri 401b'!N630,'Retirement Calculator'!A:A,0),0),0)</f>
        <v>20367.195264578786</v>
      </c>
      <c r="K630" s="444">
        <f t="shared" ca="1" si="53"/>
        <v>-590.62421941765047</v>
      </c>
      <c r="L630" s="444">
        <f t="shared" ca="1" si="54"/>
        <v>-142340.43687965377</v>
      </c>
      <c r="M630" s="460">
        <f t="shared" si="56"/>
        <v>0.05</v>
      </c>
      <c r="N630" s="464">
        <f t="shared" si="57"/>
        <v>70220</v>
      </c>
    </row>
    <row r="631" spans="7:14" ht="11.25" customHeight="1" x14ac:dyDescent="0.3">
      <c r="G631" s="459">
        <f t="shared" si="66"/>
        <v>52</v>
      </c>
      <c r="H631" s="459">
        <v>624</v>
      </c>
      <c r="I631" s="444">
        <f t="shared" ca="1" si="55"/>
        <v>-142340.43687965377</v>
      </c>
      <c r="J631" s="444">
        <f t="array" ref="J631">IFERROR(INDEX('Retirement Calculator'!K:K,MATCH('Lorri 401b'!N631,'Retirement Calculator'!A:A,0),0),0)</f>
        <v>20367.195264578786</v>
      </c>
      <c r="K631" s="444">
        <f t="shared" ca="1" si="53"/>
        <v>-677.94846726763569</v>
      </c>
      <c r="L631" s="444">
        <f t="shared" ca="1" si="54"/>
        <v>-163385.58061150022</v>
      </c>
      <c r="M631" s="460">
        <f t="shared" si="56"/>
        <v>0.05</v>
      </c>
      <c r="N631" s="464">
        <f t="shared" si="57"/>
        <v>70250</v>
      </c>
    </row>
    <row r="632" spans="7:14" ht="11.25" customHeight="1" x14ac:dyDescent="0.3">
      <c r="G632" s="459">
        <f>G631+1</f>
        <v>53</v>
      </c>
      <c r="H632" s="459">
        <v>625</v>
      </c>
      <c r="I632" s="444">
        <f t="shared" ca="1" si="55"/>
        <v>-163385.58061150022</v>
      </c>
      <c r="J632" s="444">
        <f t="array" ref="J632">IFERROR(INDEX('Retirement Calculator'!K:K,MATCH('Lorri 401b'!N632,'Retirement Calculator'!A:A,0),0),0)</f>
        <v>20367.195264578786</v>
      </c>
      <c r="K632" s="444">
        <f t="shared" ca="1" si="53"/>
        <v>-765.63656615032926</v>
      </c>
      <c r="L632" s="444">
        <f t="shared" ca="1" si="54"/>
        <v>-184518.41244222934</v>
      </c>
      <c r="M632" s="460">
        <f t="shared" si="56"/>
        <v>0.05</v>
      </c>
      <c r="N632" s="464">
        <f t="shared" si="57"/>
        <v>70281</v>
      </c>
    </row>
    <row r="633" spans="7:14" ht="11.25" customHeight="1" x14ac:dyDescent="0.3">
      <c r="G633" s="459">
        <f t="shared" ref="G633:G643" si="67">G632</f>
        <v>53</v>
      </c>
      <c r="H633" s="459">
        <v>626</v>
      </c>
      <c r="I633" s="444">
        <f t="shared" ca="1" si="55"/>
        <v>-184518.41244222934</v>
      </c>
      <c r="J633" s="444">
        <f t="array" ref="J633">IFERROR(INDEX('Retirement Calculator'!K:K,MATCH('Lorri 401b'!N633,'Retirement Calculator'!A:A,0),0),0)</f>
        <v>20367.195264578786</v>
      </c>
      <c r="K633" s="444">
        <f t="shared" ca="1" si="53"/>
        <v>-853.69003211170059</v>
      </c>
      <c r="L633" s="444">
        <f t="shared" ca="1" si="54"/>
        <v>-205739.29773891985</v>
      </c>
      <c r="M633" s="460">
        <f t="shared" si="56"/>
        <v>0.05</v>
      </c>
      <c r="N633" s="464">
        <f t="shared" si="57"/>
        <v>70311</v>
      </c>
    </row>
    <row r="634" spans="7:14" ht="11.25" customHeight="1" x14ac:dyDescent="0.3">
      <c r="G634" s="459">
        <f t="shared" si="67"/>
        <v>53</v>
      </c>
      <c r="H634" s="459">
        <v>627</v>
      </c>
      <c r="I634" s="444">
        <f t="shared" ca="1" si="55"/>
        <v>-205739.29773891985</v>
      </c>
      <c r="J634" s="444">
        <f t="array" ref="J634">IFERROR(INDEX('Retirement Calculator'!K:K,MATCH('Lorri 401b'!N634,'Retirement Calculator'!A:A,0),0),0)</f>
        <v>20367.195264578786</v>
      </c>
      <c r="K634" s="444">
        <f t="shared" ca="1" si="53"/>
        <v>-942.11038751457772</v>
      </c>
      <c r="L634" s="444">
        <f t="shared" ca="1" si="54"/>
        <v>-227048.60339101322</v>
      </c>
      <c r="M634" s="460">
        <f t="shared" si="56"/>
        <v>0.05</v>
      </c>
      <c r="N634" s="464">
        <f t="shared" si="57"/>
        <v>70342</v>
      </c>
    </row>
    <row r="635" spans="7:14" ht="11.25" customHeight="1" x14ac:dyDescent="0.3">
      <c r="G635" s="459">
        <f t="shared" si="67"/>
        <v>53</v>
      </c>
      <c r="H635" s="459">
        <v>628</v>
      </c>
      <c r="I635" s="444">
        <f t="shared" ca="1" si="55"/>
        <v>-227048.60339101322</v>
      </c>
      <c r="J635" s="444">
        <f t="array" ref="J635">IFERROR(INDEX('Retirement Calculator'!K:K,MATCH('Lorri 401b'!N635,'Retirement Calculator'!A:A,0),0),0)</f>
        <v>20367.195264578786</v>
      </c>
      <c r="K635" s="444">
        <f t="shared" ca="1" si="53"/>
        <v>-1030.8991610649666</v>
      </c>
      <c r="L635" s="444">
        <f t="shared" ca="1" si="54"/>
        <v>-248446.69781665699</v>
      </c>
      <c r="M635" s="460">
        <f t="shared" si="56"/>
        <v>0.05</v>
      </c>
      <c r="N635" s="464">
        <f t="shared" si="57"/>
        <v>70373</v>
      </c>
    </row>
    <row r="636" spans="7:14" ht="11.25" customHeight="1" x14ac:dyDescent="0.3">
      <c r="G636" s="459">
        <f t="shared" si="67"/>
        <v>53</v>
      </c>
      <c r="H636" s="459">
        <v>629</v>
      </c>
      <c r="I636" s="444">
        <f t="shared" ca="1" si="55"/>
        <v>-248446.69781665699</v>
      </c>
      <c r="J636" s="444">
        <f t="array" ref="J636">IFERROR(INDEX('Retirement Calculator'!K:K,MATCH('Lorri 401b'!N636,'Retirement Calculator'!A:A,0),0),0)</f>
        <v>20367.195264578786</v>
      </c>
      <c r="K636" s="444">
        <f t="shared" ca="1" si="53"/>
        <v>-1120.0578878384822</v>
      </c>
      <c r="L636" s="444">
        <f t="shared" ca="1" si="54"/>
        <v>-269933.95096907421</v>
      </c>
      <c r="M636" s="460">
        <f t="shared" si="56"/>
        <v>0.05</v>
      </c>
      <c r="N636" s="464">
        <f t="shared" si="57"/>
        <v>70403</v>
      </c>
    </row>
    <row r="637" spans="7:14" ht="11.25" customHeight="1" x14ac:dyDescent="0.3">
      <c r="G637" s="459">
        <f t="shared" si="67"/>
        <v>53</v>
      </c>
      <c r="H637" s="459">
        <v>630</v>
      </c>
      <c r="I637" s="444">
        <f t="shared" ca="1" si="55"/>
        <v>-269933.95096907421</v>
      </c>
      <c r="J637" s="444">
        <f t="array" ref="J637">IFERROR(INDEX('Retirement Calculator'!K:K,MATCH('Lorri 401b'!N637,'Retirement Calculator'!A:A,0),0),0)</f>
        <v>20367.195264578786</v>
      </c>
      <c r="K637" s="444">
        <f t="shared" ca="1" si="53"/>
        <v>-1209.5881093068874</v>
      </c>
      <c r="L637" s="444">
        <f t="shared" ca="1" si="54"/>
        <v>-291510.73434295988</v>
      </c>
      <c r="M637" s="460">
        <f t="shared" si="56"/>
        <v>0.05</v>
      </c>
      <c r="N637" s="464">
        <f t="shared" si="57"/>
        <v>70434</v>
      </c>
    </row>
    <row r="638" spans="7:14" ht="11.25" customHeight="1" x14ac:dyDescent="0.3">
      <c r="G638" s="459">
        <f t="shared" si="67"/>
        <v>53</v>
      </c>
      <c r="H638" s="459">
        <v>631</v>
      </c>
      <c r="I638" s="444">
        <f t="shared" ca="1" si="55"/>
        <v>-291510.73434295988</v>
      </c>
      <c r="J638" s="444">
        <f t="array" ref="J638">IFERROR(INDEX('Retirement Calculator'!K:K,MATCH('Lorri 401b'!N638,'Retirement Calculator'!A:A,0),0),0)</f>
        <v>20367.195264578786</v>
      </c>
      <c r="K638" s="444">
        <f t="shared" ca="1" si="53"/>
        <v>-1299.4913733647445</v>
      </c>
      <c r="L638" s="444">
        <f t="shared" ca="1" si="54"/>
        <v>-313177.42098090344</v>
      </c>
      <c r="M638" s="460">
        <f t="shared" si="56"/>
        <v>0.05</v>
      </c>
      <c r="N638" s="464">
        <f t="shared" si="57"/>
        <v>70464</v>
      </c>
    </row>
    <row r="639" spans="7:14" ht="11.25" customHeight="1" x14ac:dyDescent="0.3">
      <c r="G639" s="459">
        <f t="shared" si="67"/>
        <v>53</v>
      </c>
      <c r="H639" s="459">
        <v>632</v>
      </c>
      <c r="I639" s="444">
        <f t="shared" ca="1" si="55"/>
        <v>-313177.42098090344</v>
      </c>
      <c r="J639" s="444">
        <f t="array" ref="J639">IFERROR(INDEX('Retirement Calculator'!K:K,MATCH('Lorri 401b'!N639,'Retirement Calculator'!A:A,0),0),0)</f>
        <v>20367.195264578786</v>
      </c>
      <c r="K639" s="444">
        <f t="shared" ca="1" si="53"/>
        <v>-1389.769234356176</v>
      </c>
      <c r="L639" s="444">
        <f t="shared" ca="1" si="54"/>
        <v>-334934.38547983841</v>
      </c>
      <c r="M639" s="460">
        <f t="shared" si="56"/>
        <v>0.05</v>
      </c>
      <c r="N639" s="464">
        <f t="shared" si="57"/>
        <v>70495</v>
      </c>
    </row>
    <row r="640" spans="7:14" ht="11.25" customHeight="1" x14ac:dyDescent="0.3">
      <c r="G640" s="459">
        <f t="shared" si="67"/>
        <v>53</v>
      </c>
      <c r="H640" s="459">
        <v>633</v>
      </c>
      <c r="I640" s="444">
        <f t="shared" ca="1" si="55"/>
        <v>-334934.38547983841</v>
      </c>
      <c r="J640" s="444">
        <f t="array" ref="J640">IFERROR(INDEX('Retirement Calculator'!K:K,MATCH('Lorri 401b'!N640,'Retirement Calculator'!A:A,0),0),0)</f>
        <v>20367.195264578786</v>
      </c>
      <c r="K640" s="444">
        <f t="shared" ca="1" si="53"/>
        <v>-1480.4232531017383</v>
      </c>
      <c r="L640" s="444">
        <f t="shared" ca="1" si="54"/>
        <v>-356782.00399751897</v>
      </c>
      <c r="M640" s="460">
        <f t="shared" si="56"/>
        <v>0.05</v>
      </c>
      <c r="N640" s="464">
        <f t="shared" si="57"/>
        <v>70526</v>
      </c>
    </row>
    <row r="641" spans="7:14" ht="11.25" customHeight="1" x14ac:dyDescent="0.3">
      <c r="G641" s="459">
        <f t="shared" si="67"/>
        <v>53</v>
      </c>
      <c r="H641" s="459">
        <v>634</v>
      </c>
      <c r="I641" s="444">
        <f t="shared" ca="1" si="55"/>
        <v>-356782.00399751897</v>
      </c>
      <c r="J641" s="444">
        <f t="array" ref="J641">IFERROR(INDEX('Retirement Calculator'!K:K,MATCH('Lorri 401b'!N641,'Retirement Calculator'!A:A,0),0),0)</f>
        <v>20367.195264578786</v>
      </c>
      <c r="K641" s="444">
        <f t="shared" ca="1" si="53"/>
        <v>-1571.4549969254074</v>
      </c>
      <c r="L641" s="444">
        <f t="shared" ca="1" si="54"/>
        <v>-378720.6542590232</v>
      </c>
      <c r="M641" s="460">
        <f t="shared" si="56"/>
        <v>0.05</v>
      </c>
      <c r="N641" s="464">
        <f t="shared" si="57"/>
        <v>70554</v>
      </c>
    </row>
    <row r="642" spans="7:14" ht="11.25" customHeight="1" x14ac:dyDescent="0.3">
      <c r="G642" s="459">
        <f t="shared" si="67"/>
        <v>53</v>
      </c>
      <c r="H642" s="459">
        <v>635</v>
      </c>
      <c r="I642" s="444">
        <f t="shared" ca="1" si="55"/>
        <v>-378720.6542590232</v>
      </c>
      <c r="J642" s="444">
        <f t="array" ref="J642">IFERROR(INDEX('Retirement Calculator'!K:K,MATCH('Lorri 401b'!N642,'Retirement Calculator'!A:A,0),0),0)</f>
        <v>20367.195264578786</v>
      </c>
      <c r="K642" s="444">
        <f t="shared" ca="1" si="53"/>
        <v>-1662.8660396816749</v>
      </c>
      <c r="L642" s="444">
        <f t="shared" ca="1" si="54"/>
        <v>-400750.71556328365</v>
      </c>
      <c r="M642" s="460">
        <f t="shared" si="56"/>
        <v>0.05</v>
      </c>
      <c r="N642" s="464">
        <f t="shared" si="57"/>
        <v>70585</v>
      </c>
    </row>
    <row r="643" spans="7:14" ht="11.25" customHeight="1" x14ac:dyDescent="0.3">
      <c r="G643" s="459">
        <f t="shared" si="67"/>
        <v>53</v>
      </c>
      <c r="H643" s="459">
        <v>636</v>
      </c>
      <c r="I643" s="444">
        <f t="shared" ca="1" si="55"/>
        <v>-400750.71556328365</v>
      </c>
      <c r="J643" s="444">
        <f t="array" ref="J643">IFERROR(INDEX('Retirement Calculator'!K:K,MATCH('Lorri 401b'!N643,'Retirement Calculator'!A:A,0),0),0)</f>
        <v>20367.195264578786</v>
      </c>
      <c r="K643" s="444">
        <f t="shared" ca="1" si="53"/>
        <v>-1754.6579617827604</v>
      </c>
      <c r="L643" s="444">
        <f t="shared" ca="1" si="54"/>
        <v>-422872.56878964521</v>
      </c>
      <c r="M643" s="460">
        <f t="shared" si="56"/>
        <v>0.05</v>
      </c>
      <c r="N643" s="464">
        <f t="shared" si="57"/>
        <v>70615</v>
      </c>
    </row>
    <row r="644" spans="7:14" ht="11.25" customHeight="1" x14ac:dyDescent="0.3">
      <c r="G644" s="459">
        <f>G643+1</f>
        <v>54</v>
      </c>
      <c r="H644" s="459">
        <v>637</v>
      </c>
      <c r="I644" s="444">
        <f t="shared" ca="1" si="55"/>
        <v>-422872.56878964521</v>
      </c>
      <c r="J644" s="444">
        <f t="array" ref="J644">IFERROR(INDEX('Retirement Calculator'!K:K,MATCH('Lorri 401b'!N644,'Retirement Calculator'!A:A,0),0),0)</f>
        <v>20367.195264578786</v>
      </c>
      <c r="K644" s="444">
        <f t="shared" ca="1" si="53"/>
        <v>-1846.8323502259334</v>
      </c>
      <c r="L644" s="444">
        <f t="shared" ca="1" si="54"/>
        <v>-445086.59640444996</v>
      </c>
      <c r="M644" s="460">
        <f t="shared" si="56"/>
        <v>0.05</v>
      </c>
      <c r="N644" s="464">
        <f t="shared" si="57"/>
        <v>70646</v>
      </c>
    </row>
    <row r="645" spans="7:14" ht="11.25" customHeight="1" x14ac:dyDescent="0.3">
      <c r="G645" s="459">
        <f t="shared" ref="G645:G655" si="68">G644</f>
        <v>54</v>
      </c>
      <c r="H645" s="459">
        <v>638</v>
      </c>
      <c r="I645" s="444">
        <f t="shared" ca="1" si="55"/>
        <v>-445086.59640444996</v>
      </c>
      <c r="J645" s="444">
        <f t="array" ref="J645">IFERROR(INDEX('Retirement Calculator'!K:K,MATCH('Lorri 401b'!N645,'Retirement Calculator'!A:A,0),0),0)</f>
        <v>20367.195264578786</v>
      </c>
      <c r="K645" s="444">
        <f t="shared" ca="1" si="53"/>
        <v>-1939.3907986209529</v>
      </c>
      <c r="L645" s="444">
        <f t="shared" ca="1" si="54"/>
        <v>-467393.18246764969</v>
      </c>
      <c r="M645" s="460">
        <f t="shared" si="56"/>
        <v>0.05</v>
      </c>
      <c r="N645" s="464">
        <f t="shared" si="57"/>
        <v>70676</v>
      </c>
    </row>
    <row r="646" spans="7:14" ht="11.25" customHeight="1" x14ac:dyDescent="0.3">
      <c r="G646" s="459">
        <f t="shared" si="68"/>
        <v>54</v>
      </c>
      <c r="H646" s="459">
        <v>639</v>
      </c>
      <c r="I646" s="444">
        <f t="shared" ca="1" si="55"/>
        <v>-467393.18246764969</v>
      </c>
      <c r="J646" s="444">
        <f t="array" ref="J646">IFERROR(INDEX('Retirement Calculator'!K:K,MATCH('Lorri 401b'!N646,'Retirement Calculator'!A:A,0),0),0)</f>
        <v>20367.195264578786</v>
      </c>
      <c r="K646" s="444">
        <f t="shared" ca="1" si="53"/>
        <v>-2032.3349072176186</v>
      </c>
      <c r="L646" s="444">
        <f t="shared" ca="1" si="54"/>
        <v>-489792.71263944608</v>
      </c>
      <c r="M646" s="460">
        <f t="shared" si="56"/>
        <v>0.05</v>
      </c>
      <c r="N646" s="464">
        <f t="shared" si="57"/>
        <v>70707</v>
      </c>
    </row>
    <row r="647" spans="7:14" ht="11.25" customHeight="1" x14ac:dyDescent="0.3">
      <c r="G647" s="459">
        <f t="shared" si="68"/>
        <v>54</v>
      </c>
      <c r="H647" s="459">
        <v>640</v>
      </c>
      <c r="I647" s="444">
        <f t="shared" ca="1" si="55"/>
        <v>-489792.71263944608</v>
      </c>
      <c r="J647" s="444">
        <f t="array" ref="J647">IFERROR(INDEX('Retirement Calculator'!K:K,MATCH('Lorri 401b'!N647,'Retirement Calculator'!A:A,0),0),0)</f>
        <v>20367.195264578786</v>
      </c>
      <c r="K647" s="444">
        <f t="shared" ca="1" si="53"/>
        <v>-2125.6662829334368</v>
      </c>
      <c r="L647" s="444">
        <f t="shared" ca="1" si="54"/>
        <v>-512285.57418695831</v>
      </c>
      <c r="M647" s="460">
        <f t="shared" si="56"/>
        <v>0.05</v>
      </c>
      <c r="N647" s="464">
        <f t="shared" si="57"/>
        <v>70738</v>
      </c>
    </row>
    <row r="648" spans="7:14" ht="11.25" customHeight="1" x14ac:dyDescent="0.3">
      <c r="G648" s="459">
        <f t="shared" si="68"/>
        <v>54</v>
      </c>
      <c r="H648" s="459">
        <v>641</v>
      </c>
      <c r="I648" s="444">
        <f t="shared" ca="1" si="55"/>
        <v>-512285.57418695831</v>
      </c>
      <c r="J648" s="444">
        <f t="array" ref="J648">IFERROR(INDEX('Retirement Calculator'!K:K,MATCH('Lorri 401b'!N648,'Retirement Calculator'!A:A,0),0),0)</f>
        <v>20367.195264578786</v>
      </c>
      <c r="K648" s="444">
        <f t="shared" ca="1" si="53"/>
        <v>-2219.3865393814044</v>
      </c>
      <c r="L648" s="444">
        <f t="shared" ca="1" si="54"/>
        <v>-534872.1559909184</v>
      </c>
      <c r="M648" s="460">
        <f t="shared" si="56"/>
        <v>0.05</v>
      </c>
      <c r="N648" s="464">
        <f t="shared" si="57"/>
        <v>70768</v>
      </c>
    </row>
    <row r="649" spans="7:14" ht="11.25" customHeight="1" x14ac:dyDescent="0.3">
      <c r="G649" s="459">
        <f t="shared" si="68"/>
        <v>54</v>
      </c>
      <c r="H649" s="459">
        <v>642</v>
      </c>
      <c r="I649" s="444">
        <f t="shared" ca="1" si="55"/>
        <v>-534872.1559909184</v>
      </c>
      <c r="J649" s="444">
        <f t="array" ref="J649">IFERROR(INDEX('Retirement Calculator'!K:K,MATCH('Lorri 401b'!N649,'Retirement Calculator'!A:A,0),0),0)</f>
        <v>20367.195264578786</v>
      </c>
      <c r="K649" s="444">
        <f t="shared" ca="1" si="53"/>
        <v>-2313.497296897905</v>
      </c>
      <c r="L649" s="444">
        <f t="shared" ca="1" si="54"/>
        <v>-557552.84855239512</v>
      </c>
      <c r="M649" s="460">
        <f t="shared" si="56"/>
        <v>0.05</v>
      </c>
      <c r="N649" s="464">
        <f t="shared" si="57"/>
        <v>70799</v>
      </c>
    </row>
    <row r="650" spans="7:14" ht="11.25" customHeight="1" x14ac:dyDescent="0.3">
      <c r="G650" s="459">
        <f t="shared" si="68"/>
        <v>54</v>
      </c>
      <c r="H650" s="459">
        <v>643</v>
      </c>
      <c r="I650" s="444">
        <f t="shared" ca="1" si="55"/>
        <v>-557552.84855239512</v>
      </c>
      <c r="J650" s="444">
        <f t="array" ref="J650">IFERROR(INDEX('Retirement Calculator'!K:K,MATCH('Lorri 401b'!N650,'Retirement Calculator'!A:A,0),0),0)</f>
        <v>20367.195264578786</v>
      </c>
      <c r="K650" s="444">
        <f t="shared" ca="1" si="53"/>
        <v>-2408.0001825707245</v>
      </c>
      <c r="L650" s="444">
        <f t="shared" ca="1" si="54"/>
        <v>-580328.04399954469</v>
      </c>
      <c r="M650" s="460">
        <f t="shared" si="56"/>
        <v>0.05</v>
      </c>
      <c r="N650" s="464">
        <f t="shared" si="57"/>
        <v>70829</v>
      </c>
    </row>
    <row r="651" spans="7:14" ht="11.25" customHeight="1" x14ac:dyDescent="0.3">
      <c r="G651" s="459">
        <f t="shared" si="68"/>
        <v>54</v>
      </c>
      <c r="H651" s="459">
        <v>644</v>
      </c>
      <c r="I651" s="444">
        <f t="shared" ca="1" si="55"/>
        <v>-580328.04399954469</v>
      </c>
      <c r="J651" s="444">
        <f t="array" ref="J651">IFERROR(INDEX('Retirement Calculator'!K:K,MATCH('Lorri 401b'!N651,'Retirement Calculator'!A:A,0),0),0)</f>
        <v>20367.195264578786</v>
      </c>
      <c r="K651" s="444">
        <f t="shared" ca="1" si="53"/>
        <v>-2502.896830267181</v>
      </c>
      <c r="L651" s="444">
        <f t="shared" ca="1" si="54"/>
        <v>-603198.13609439065</v>
      </c>
      <c r="M651" s="460">
        <f t="shared" si="56"/>
        <v>0.05</v>
      </c>
      <c r="N651" s="464">
        <f t="shared" si="57"/>
        <v>70860</v>
      </c>
    </row>
    <row r="652" spans="7:14" ht="11.25" customHeight="1" x14ac:dyDescent="0.3">
      <c r="G652" s="459">
        <f t="shared" si="68"/>
        <v>54</v>
      </c>
      <c r="H652" s="459">
        <v>645</v>
      </c>
      <c r="I652" s="444">
        <f t="shared" ca="1" si="55"/>
        <v>-603198.13609439065</v>
      </c>
      <c r="J652" s="444">
        <f t="array" ref="J652">IFERROR(INDEX('Retirement Calculator'!K:K,MATCH('Lorri 401b'!N652,'Retirement Calculator'!A:A,0),0),0)</f>
        <v>20367.195264578786</v>
      </c>
      <c r="K652" s="444">
        <f t="shared" ca="1" si="53"/>
        <v>-2598.1888806623729</v>
      </c>
      <c r="L652" s="444">
        <f t="shared" ca="1" si="54"/>
        <v>-626163.52023963176</v>
      </c>
      <c r="M652" s="460">
        <f t="shared" si="56"/>
        <v>0.05</v>
      </c>
      <c r="N652" s="464">
        <f t="shared" si="57"/>
        <v>70891</v>
      </c>
    </row>
    <row r="653" spans="7:14" ht="11.25" customHeight="1" x14ac:dyDescent="0.3">
      <c r="G653" s="459">
        <f t="shared" si="68"/>
        <v>54</v>
      </c>
      <c r="H653" s="459">
        <v>646</v>
      </c>
      <c r="I653" s="444">
        <f t="shared" ca="1" si="55"/>
        <v>-626163.52023963176</v>
      </c>
      <c r="J653" s="444">
        <f t="array" ref="J653">IFERROR(INDEX('Retirement Calculator'!K:K,MATCH('Lorri 401b'!N653,'Retirement Calculator'!A:A,0),0),0)</f>
        <v>20367.195264578786</v>
      </c>
      <c r="K653" s="444">
        <f t="shared" ca="1" si="53"/>
        <v>-2693.8779812675439</v>
      </c>
      <c r="L653" s="444">
        <f t="shared" ca="1" si="54"/>
        <v>-649224.59348547808</v>
      </c>
      <c r="M653" s="460">
        <f t="shared" si="56"/>
        <v>0.05</v>
      </c>
      <c r="N653" s="464">
        <f t="shared" si="57"/>
        <v>70919</v>
      </c>
    </row>
    <row r="654" spans="7:14" ht="11.25" customHeight="1" x14ac:dyDescent="0.3">
      <c r="G654" s="459">
        <f t="shared" si="68"/>
        <v>54</v>
      </c>
      <c r="H654" s="459">
        <v>647</v>
      </c>
      <c r="I654" s="444">
        <f t="shared" ca="1" si="55"/>
        <v>-649224.59348547808</v>
      </c>
      <c r="J654" s="444">
        <f t="array" ref="J654">IFERROR(INDEX('Retirement Calculator'!K:K,MATCH('Lorri 401b'!N654,'Retirement Calculator'!A:A,0),0),0)</f>
        <v>20367.195264578786</v>
      </c>
      <c r="K654" s="444">
        <f t="shared" ca="1" si="53"/>
        <v>-2789.9657864585702</v>
      </c>
      <c r="L654" s="444">
        <f t="shared" ca="1" si="54"/>
        <v>-672381.75453651545</v>
      </c>
      <c r="M654" s="460">
        <f t="shared" si="56"/>
        <v>0.05</v>
      </c>
      <c r="N654" s="464">
        <f t="shared" si="57"/>
        <v>70950</v>
      </c>
    </row>
    <row r="655" spans="7:14" ht="11.25" customHeight="1" x14ac:dyDescent="0.3">
      <c r="G655" s="459">
        <f t="shared" si="68"/>
        <v>54</v>
      </c>
      <c r="H655" s="459">
        <v>648</v>
      </c>
      <c r="I655" s="444">
        <f t="shared" ca="1" si="55"/>
        <v>-672381.75453651545</v>
      </c>
      <c r="J655" s="444">
        <f t="array" ref="J655">IFERROR(INDEX('Retirement Calculator'!K:K,MATCH('Lorri 401b'!N655,'Retirement Calculator'!A:A,0),0),0)</f>
        <v>20367.195264578786</v>
      </c>
      <c r="K655" s="444">
        <f t="shared" ca="1" si="53"/>
        <v>-2886.4539575045592</v>
      </c>
      <c r="L655" s="444">
        <f t="shared" ca="1" si="54"/>
        <v>-695635.40375859884</v>
      </c>
      <c r="M655" s="460">
        <f t="shared" si="56"/>
        <v>0.05</v>
      </c>
      <c r="N655" s="464">
        <f t="shared" si="57"/>
        <v>70980</v>
      </c>
    </row>
    <row r="656" spans="7:14" ht="11.25" customHeight="1" x14ac:dyDescent="0.3">
      <c r="G656" s="459">
        <f>G655+1</f>
        <v>55</v>
      </c>
      <c r="H656" s="459">
        <v>649</v>
      </c>
      <c r="I656" s="444">
        <f t="shared" ca="1" si="55"/>
        <v>-695635.40375859884</v>
      </c>
      <c r="J656" s="444">
        <f t="array" ref="J656">IFERROR(INDEX('Retirement Calculator'!K:K,MATCH('Lorri 401b'!N656,'Retirement Calculator'!A:A,0),0),0)</f>
        <v>20367.195264578786</v>
      </c>
      <c r="K656" s="444">
        <f t="shared" ca="1" si="53"/>
        <v>-2983.3441625965734</v>
      </c>
      <c r="L656" s="444">
        <f t="shared" ca="1" si="54"/>
        <v>-718985.94318577426</v>
      </c>
      <c r="M656" s="460">
        <f t="shared" si="56"/>
        <v>0.05</v>
      </c>
      <c r="N656" s="464">
        <f t="shared" si="57"/>
        <v>71011</v>
      </c>
    </row>
    <row r="657" spans="7:14" ht="11.25" customHeight="1" x14ac:dyDescent="0.3">
      <c r="G657" s="459">
        <f t="shared" ref="G657:G667" si="69">G656</f>
        <v>55</v>
      </c>
      <c r="H657" s="459">
        <v>650</v>
      </c>
      <c r="I657" s="444">
        <f t="shared" ca="1" si="55"/>
        <v>-718985.94318577426</v>
      </c>
      <c r="J657" s="444">
        <f t="array" ref="J657">IFERROR(INDEX('Retirement Calculator'!K:K,MATCH('Lorri 401b'!N657,'Retirement Calculator'!A:A,0),0),0)</f>
        <v>20367.195264578786</v>
      </c>
      <c r="K657" s="444">
        <f t="shared" ca="1" si="53"/>
        <v>-3080.6380768764711</v>
      </c>
      <c r="L657" s="444">
        <f t="shared" ca="1" si="54"/>
        <v>-742433.77652722958</v>
      </c>
      <c r="M657" s="460">
        <f t="shared" si="56"/>
        <v>0.05</v>
      </c>
      <c r="N657" s="464">
        <f t="shared" si="57"/>
        <v>71041</v>
      </c>
    </row>
    <row r="658" spans="7:14" ht="11.25" customHeight="1" x14ac:dyDescent="0.3">
      <c r="G658" s="459">
        <f t="shared" si="69"/>
        <v>55</v>
      </c>
      <c r="H658" s="459">
        <v>651</v>
      </c>
      <c r="I658" s="444">
        <f t="shared" ca="1" si="55"/>
        <v>-742433.77652722958</v>
      </c>
      <c r="J658" s="444">
        <f t="array" ref="J658">IFERROR(INDEX('Retirement Calculator'!K:K,MATCH('Lorri 401b'!N658,'Retirement Calculator'!A:A,0),0),0)</f>
        <v>20367.195264578786</v>
      </c>
      <c r="K658" s="444">
        <f t="shared" ca="1" si="53"/>
        <v>-3178.3373824658684</v>
      </c>
      <c r="L658" s="444">
        <f t="shared" ca="1" si="54"/>
        <v>-765979.30917427421</v>
      </c>
      <c r="M658" s="460">
        <f t="shared" si="56"/>
        <v>0.05</v>
      </c>
      <c r="N658" s="464">
        <f t="shared" si="57"/>
        <v>71072</v>
      </c>
    </row>
    <row r="659" spans="7:14" ht="11.25" customHeight="1" x14ac:dyDescent="0.3">
      <c r="G659" s="459">
        <f t="shared" si="69"/>
        <v>55</v>
      </c>
      <c r="H659" s="459">
        <v>652</v>
      </c>
      <c r="I659" s="444">
        <f t="shared" ca="1" si="55"/>
        <v>-765979.30917427421</v>
      </c>
      <c r="J659" s="444">
        <f t="array" ref="J659">IFERROR(INDEX('Retirement Calculator'!K:K,MATCH('Lorri 401b'!N659,'Retirement Calculator'!A:A,0),0),0)</f>
        <v>20367.195264578786</v>
      </c>
      <c r="K659" s="444">
        <f t="shared" ca="1" si="53"/>
        <v>-3276.4437684952209</v>
      </c>
      <c r="L659" s="444">
        <f t="shared" ca="1" si="54"/>
        <v>-789622.94820734824</v>
      </c>
      <c r="M659" s="460">
        <f t="shared" si="56"/>
        <v>0.05</v>
      </c>
      <c r="N659" s="464">
        <f t="shared" si="57"/>
        <v>71103</v>
      </c>
    </row>
    <row r="660" spans="7:14" ht="11.25" customHeight="1" x14ac:dyDescent="0.3">
      <c r="G660" s="459">
        <f t="shared" si="69"/>
        <v>55</v>
      </c>
      <c r="H660" s="459">
        <v>653</v>
      </c>
      <c r="I660" s="444">
        <f t="shared" ca="1" si="55"/>
        <v>-789622.94820734824</v>
      </c>
      <c r="J660" s="444">
        <f t="array" ref="J660">IFERROR(INDEX('Retirement Calculator'!K:K,MATCH('Lorri 401b'!N660,'Retirement Calculator'!A:A,0),0),0)</f>
        <v>20367.195264578786</v>
      </c>
      <c r="K660" s="444">
        <f t="shared" ca="1" si="53"/>
        <v>-3374.9589311330292</v>
      </c>
      <c r="L660" s="444">
        <f t="shared" ca="1" si="54"/>
        <v>-813365.10240306007</v>
      </c>
      <c r="M660" s="460">
        <f t="shared" si="56"/>
        <v>0.05</v>
      </c>
      <c r="N660" s="464">
        <f t="shared" si="57"/>
        <v>71133</v>
      </c>
    </row>
    <row r="661" spans="7:14" ht="11.25" customHeight="1" x14ac:dyDescent="0.3">
      <c r="G661" s="459">
        <f t="shared" si="69"/>
        <v>55</v>
      </c>
      <c r="H661" s="459">
        <v>654</v>
      </c>
      <c r="I661" s="444">
        <f t="shared" ca="1" si="55"/>
        <v>-813365.10240306007</v>
      </c>
      <c r="J661" s="444">
        <f t="array" ref="J661">IFERROR(INDEX('Retirement Calculator'!K:K,MATCH('Lorri 401b'!N661,'Retirement Calculator'!A:A,0),0),0)</f>
        <v>20367.195264578786</v>
      </c>
      <c r="K661" s="444">
        <f t="shared" ca="1" si="53"/>
        <v>-3473.8845736151616</v>
      </c>
      <c r="L661" s="444">
        <f t="shared" ca="1" si="54"/>
        <v>-837206.18224125402</v>
      </c>
      <c r="M661" s="460">
        <f t="shared" si="56"/>
        <v>0.05</v>
      </c>
      <c r="N661" s="464">
        <f t="shared" si="57"/>
        <v>71164</v>
      </c>
    </row>
    <row r="662" spans="7:14" ht="11.25" customHeight="1" x14ac:dyDescent="0.3">
      <c r="G662" s="459">
        <f t="shared" si="69"/>
        <v>55</v>
      </c>
      <c r="H662" s="459">
        <v>655</v>
      </c>
      <c r="I662" s="444">
        <f t="shared" ca="1" si="55"/>
        <v>-837206.18224125402</v>
      </c>
      <c r="J662" s="444">
        <f t="array" ref="J662">IFERROR(INDEX('Retirement Calculator'!K:K,MATCH('Lorri 401b'!N662,'Retirement Calculator'!A:A,0),0),0)</f>
        <v>20367.195264578786</v>
      </c>
      <c r="K662" s="444">
        <f t="shared" ca="1" si="53"/>
        <v>-3573.2224062743039</v>
      </c>
      <c r="L662" s="444">
        <f t="shared" ca="1" si="54"/>
        <v>-861146.59991210711</v>
      </c>
      <c r="M662" s="460">
        <f t="shared" si="56"/>
        <v>0.05</v>
      </c>
      <c r="N662" s="464">
        <f t="shared" si="57"/>
        <v>71194</v>
      </c>
    </row>
    <row r="663" spans="7:14" ht="11.25" customHeight="1" x14ac:dyDescent="0.3">
      <c r="G663" s="459">
        <f t="shared" si="69"/>
        <v>55</v>
      </c>
      <c r="H663" s="459">
        <v>656</v>
      </c>
      <c r="I663" s="444">
        <f t="shared" ca="1" si="55"/>
        <v>-861146.59991210711</v>
      </c>
      <c r="J663" s="444">
        <f t="array" ref="J663">IFERROR(INDEX('Retirement Calculator'!K:K,MATCH('Lorri 401b'!N663,'Retirement Calculator'!A:A,0),0),0)</f>
        <v>20367.195264578786</v>
      </c>
      <c r="K663" s="444">
        <f t="shared" ca="1" si="53"/>
        <v>-3672.9741465695247</v>
      </c>
      <c r="L663" s="444">
        <f t="shared" ca="1" si="54"/>
        <v>-885186.7693232554</v>
      </c>
      <c r="M663" s="460">
        <f t="shared" si="56"/>
        <v>0.05</v>
      </c>
      <c r="N663" s="464">
        <f t="shared" si="57"/>
        <v>71225</v>
      </c>
    </row>
    <row r="664" spans="7:14" ht="11.25" customHeight="1" x14ac:dyDescent="0.3">
      <c r="G664" s="459">
        <f t="shared" si="69"/>
        <v>55</v>
      </c>
      <c r="H664" s="459">
        <v>657</v>
      </c>
      <c r="I664" s="444">
        <f t="shared" ca="1" si="55"/>
        <v>-885186.7693232554</v>
      </c>
      <c r="J664" s="444">
        <f t="array" ref="J664">IFERROR(INDEX('Retirement Calculator'!K:K,MATCH('Lorri 401b'!N664,'Retirement Calculator'!A:A,0),0),0)</f>
        <v>20367.195264578786</v>
      </c>
      <c r="K664" s="444">
        <f t="shared" ca="1" si="53"/>
        <v>-3773.1415191159758</v>
      </c>
      <c r="L664" s="444">
        <f t="shared" ca="1" si="54"/>
        <v>-909327.1061069502</v>
      </c>
      <c r="M664" s="460">
        <f t="shared" si="56"/>
        <v>0.05</v>
      </c>
      <c r="N664" s="464">
        <f t="shared" si="57"/>
        <v>71256</v>
      </c>
    </row>
    <row r="665" spans="7:14" ht="11.25" customHeight="1" x14ac:dyDescent="0.3">
      <c r="G665" s="459">
        <f t="shared" si="69"/>
        <v>55</v>
      </c>
      <c r="H665" s="459">
        <v>658</v>
      </c>
      <c r="I665" s="444">
        <f t="shared" ca="1" si="55"/>
        <v>-909327.1061069502</v>
      </c>
      <c r="J665" s="444">
        <f t="array" ref="J665">IFERROR(INDEX('Retirement Calculator'!K:K,MATCH('Lorri 401b'!N665,'Retirement Calculator'!A:A,0),0),0)</f>
        <v>20367.195264578786</v>
      </c>
      <c r="K665" s="444">
        <f t="shared" ca="1" si="53"/>
        <v>-3873.7262557147042</v>
      </c>
      <c r="L665" s="444">
        <f t="shared" ca="1" si="54"/>
        <v>-933568.02762724366</v>
      </c>
      <c r="M665" s="460">
        <f t="shared" si="56"/>
        <v>0.05</v>
      </c>
      <c r="N665" s="464">
        <f t="shared" si="57"/>
        <v>71284</v>
      </c>
    </row>
    <row r="666" spans="7:14" ht="11.25" customHeight="1" x14ac:dyDescent="0.3">
      <c r="G666" s="459">
        <f t="shared" si="69"/>
        <v>55</v>
      </c>
      <c r="H666" s="459">
        <v>659</v>
      </c>
      <c r="I666" s="444">
        <f t="shared" ca="1" si="55"/>
        <v>-933568.02762724366</v>
      </c>
      <c r="J666" s="444">
        <f t="array" ref="J666">IFERROR(INDEX('Retirement Calculator'!K:K,MATCH('Lorri 401b'!N666,'Retirement Calculator'!A:A,0),0),0)</f>
        <v>20367.195264578786</v>
      </c>
      <c r="K666" s="444">
        <f t="shared" ca="1" si="53"/>
        <v>-3974.7300953825929</v>
      </c>
      <c r="L666" s="444">
        <f t="shared" ca="1" si="54"/>
        <v>-957909.952987205</v>
      </c>
      <c r="M666" s="460">
        <f t="shared" si="56"/>
        <v>0.05</v>
      </c>
      <c r="N666" s="464">
        <f t="shared" si="57"/>
        <v>71315</v>
      </c>
    </row>
    <row r="667" spans="7:14" ht="11.25" customHeight="1" x14ac:dyDescent="0.3">
      <c r="G667" s="459">
        <f t="shared" si="69"/>
        <v>55</v>
      </c>
      <c r="H667" s="459">
        <v>660</v>
      </c>
      <c r="I667" s="444">
        <f t="shared" ca="1" si="55"/>
        <v>-957909.952987205</v>
      </c>
      <c r="J667" s="444">
        <f t="array" ref="J667">IFERROR(INDEX('Retirement Calculator'!K:K,MATCH('Lorri 401b'!N667,'Retirement Calculator'!A:A,0),0),0)</f>
        <v>20367.195264578786</v>
      </c>
      <c r="K667" s="444">
        <f t="shared" ca="1" si="53"/>
        <v>-4076.1547843824324</v>
      </c>
      <c r="L667" s="444">
        <f t="shared" ca="1" si="54"/>
        <v>-982353.30303616624</v>
      </c>
      <c r="M667" s="460">
        <f t="shared" si="56"/>
        <v>0.05</v>
      </c>
      <c r="N667" s="464">
        <f t="shared" si="57"/>
        <v>71345</v>
      </c>
    </row>
    <row r="668" spans="7:14" ht="11.25" customHeight="1" x14ac:dyDescent="0.3">
      <c r="G668" s="459">
        <f>G667+1</f>
        <v>56</v>
      </c>
      <c r="H668" s="459">
        <v>661</v>
      </c>
      <c r="I668" s="444">
        <f t="shared" ca="1" si="55"/>
        <v>-982353.30303616624</v>
      </c>
      <c r="J668" s="444">
        <f t="array" ref="J668">IFERROR(INDEX('Retirement Calculator'!K:K,MATCH('Lorri 401b'!N668,'Retirement Calculator'!A:A,0),0),0)</f>
        <v>20367.195264578786</v>
      </c>
      <c r="K668" s="444">
        <f t="shared" ca="1" si="53"/>
        <v>-4178.002076253104</v>
      </c>
      <c r="L668" s="444">
        <f t="shared" ca="1" si="54"/>
        <v>-1006898.5003769981</v>
      </c>
      <c r="M668" s="460">
        <f t="shared" si="56"/>
        <v>0.05</v>
      </c>
      <c r="N668" s="464">
        <f t="shared" si="57"/>
        <v>71376</v>
      </c>
    </row>
    <row r="669" spans="7:14" ht="11.25" customHeight="1" x14ac:dyDescent="0.3">
      <c r="G669" s="459">
        <f t="shared" ref="G669:G679" si="70">G668</f>
        <v>56</v>
      </c>
      <c r="H669" s="459">
        <v>662</v>
      </c>
      <c r="I669" s="444">
        <f t="shared" ca="1" si="55"/>
        <v>-1006898.5003769981</v>
      </c>
      <c r="J669" s="444">
        <f t="array" ref="J669">IFERROR(INDEX('Retirement Calculator'!K:K,MATCH('Lorri 401b'!N669,'Retirement Calculator'!A:A,0),0),0)</f>
        <v>20367.195264578786</v>
      </c>
      <c r="K669" s="444">
        <f t="shared" ca="1" si="53"/>
        <v>-4280.273731839904</v>
      </c>
      <c r="L669" s="444">
        <f t="shared" ca="1" si="54"/>
        <v>-1031545.9693734169</v>
      </c>
      <c r="M669" s="460">
        <f t="shared" si="56"/>
        <v>0.05</v>
      </c>
      <c r="N669" s="464">
        <f t="shared" si="57"/>
        <v>71406</v>
      </c>
    </row>
    <row r="670" spans="7:14" ht="11.25" customHeight="1" x14ac:dyDescent="0.3">
      <c r="G670" s="459">
        <f t="shared" si="70"/>
        <v>56</v>
      </c>
      <c r="H670" s="459">
        <v>663</v>
      </c>
      <c r="I670" s="444">
        <f t="shared" ca="1" si="55"/>
        <v>-1031545.9693734169</v>
      </c>
      <c r="J670" s="444">
        <f t="array" ref="J670">IFERROR(INDEX('Retirement Calculator'!K:K,MATCH('Lorri 401b'!N670,'Retirement Calculator'!A:A,0),0),0)</f>
        <v>20367.195264578786</v>
      </c>
      <c r="K670" s="444">
        <f t="shared" ca="1" si="53"/>
        <v>-4382.9715193249822</v>
      </c>
      <c r="L670" s="444">
        <f t="shared" ca="1" si="54"/>
        <v>-1056296.1361573206</v>
      </c>
      <c r="M670" s="460">
        <f t="shared" si="56"/>
        <v>0.05</v>
      </c>
      <c r="N670" s="464">
        <f t="shared" si="57"/>
        <v>71437</v>
      </c>
    </row>
    <row r="671" spans="7:14" ht="11.25" customHeight="1" x14ac:dyDescent="0.3">
      <c r="G671" s="459">
        <f t="shared" si="70"/>
        <v>56</v>
      </c>
      <c r="H671" s="459">
        <v>664</v>
      </c>
      <c r="I671" s="444">
        <f t="shared" ca="1" si="55"/>
        <v>-1056296.1361573206</v>
      </c>
      <c r="J671" s="444">
        <f t="array" ref="J671">IFERROR(INDEX('Retirement Calculator'!K:K,MATCH('Lorri 401b'!N671,'Retirement Calculator'!A:A,0),0),0)</f>
        <v>20367.195264578786</v>
      </c>
      <c r="K671" s="444">
        <f t="shared" ca="1" si="53"/>
        <v>-4486.0972142579139</v>
      </c>
      <c r="L671" s="444">
        <f t="shared" ca="1" si="54"/>
        <v>-1081149.4286361572</v>
      </c>
      <c r="M671" s="460">
        <f t="shared" si="56"/>
        <v>0.05</v>
      </c>
      <c r="N671" s="464">
        <f t="shared" si="57"/>
        <v>71468</v>
      </c>
    </row>
    <row r="672" spans="7:14" ht="11.25" customHeight="1" x14ac:dyDescent="0.3">
      <c r="G672" s="459">
        <f t="shared" si="70"/>
        <v>56</v>
      </c>
      <c r="H672" s="459">
        <v>665</v>
      </c>
      <c r="I672" s="444">
        <f t="shared" ca="1" si="55"/>
        <v>-1081149.4286361572</v>
      </c>
      <c r="J672" s="444">
        <f t="array" ref="J672">IFERROR(INDEX('Retirement Calculator'!K:K,MATCH('Lorri 401b'!N672,'Retirement Calculator'!A:A,0),0),0)</f>
        <v>20367.195264578786</v>
      </c>
      <c r="K672" s="444">
        <f t="shared" ca="1" si="53"/>
        <v>-4589.6525995863994</v>
      </c>
      <c r="L672" s="444">
        <f t="shared" ca="1" si="54"/>
        <v>-1106106.2765003224</v>
      </c>
      <c r="M672" s="460">
        <f t="shared" si="56"/>
        <v>0.05</v>
      </c>
      <c r="N672" s="464">
        <f t="shared" si="57"/>
        <v>71498</v>
      </c>
    </row>
    <row r="673" spans="7:14" ht="11.25" customHeight="1" x14ac:dyDescent="0.3">
      <c r="G673" s="459">
        <f t="shared" si="70"/>
        <v>56</v>
      </c>
      <c r="H673" s="459">
        <v>666</v>
      </c>
      <c r="I673" s="444">
        <f t="shared" ca="1" si="55"/>
        <v>-1106106.2765003224</v>
      </c>
      <c r="J673" s="444">
        <f t="array" ref="J673">IFERROR(INDEX('Retirement Calculator'!K:K,MATCH('Lorri 401b'!N673,'Retirement Calculator'!A:A,0),0),0)</f>
        <v>20367.195264578786</v>
      </c>
      <c r="K673" s="444">
        <f t="shared" ca="1" si="53"/>
        <v>-4693.639465687088</v>
      </c>
      <c r="L673" s="444">
        <f t="shared" ca="1" si="54"/>
        <v>-1131167.1112305883</v>
      </c>
      <c r="M673" s="460">
        <f t="shared" si="56"/>
        <v>0.05</v>
      </c>
      <c r="N673" s="464">
        <f t="shared" si="57"/>
        <v>71529</v>
      </c>
    </row>
    <row r="674" spans="7:14" ht="11.25" customHeight="1" x14ac:dyDescent="0.3">
      <c r="G674" s="459">
        <f t="shared" si="70"/>
        <v>56</v>
      </c>
      <c r="H674" s="459">
        <v>667</v>
      </c>
      <c r="I674" s="444">
        <f t="shared" ca="1" si="55"/>
        <v>-1131167.1112305883</v>
      </c>
      <c r="J674" s="444">
        <f t="array" ref="J674">IFERROR(INDEX('Retirement Calculator'!K:K,MATCH('Lorri 401b'!N674,'Retirement Calculator'!A:A,0),0),0)</f>
        <v>20367.195264578786</v>
      </c>
      <c r="K674" s="444">
        <f t="shared" ca="1" si="53"/>
        <v>-4798.059610396529</v>
      </c>
      <c r="L674" s="444">
        <f t="shared" ca="1" si="54"/>
        <v>-1156332.3661055637</v>
      </c>
      <c r="M674" s="460">
        <f t="shared" si="56"/>
        <v>0.05</v>
      </c>
      <c r="N674" s="464">
        <f t="shared" si="57"/>
        <v>71559</v>
      </c>
    </row>
    <row r="675" spans="7:14" ht="11.25" customHeight="1" x14ac:dyDescent="0.3">
      <c r="G675" s="459">
        <f t="shared" si="70"/>
        <v>56</v>
      </c>
      <c r="H675" s="459">
        <v>668</v>
      </c>
      <c r="I675" s="444">
        <f t="shared" ca="1" si="55"/>
        <v>-1156332.3661055637</v>
      </c>
      <c r="J675" s="444">
        <f t="array" ref="J675">IFERROR(INDEX('Retirement Calculator'!K:K,MATCH('Lorri 401b'!N675,'Retirement Calculator'!A:A,0),0),0)</f>
        <v>20367.195264578786</v>
      </c>
      <c r="K675" s="444">
        <f t="shared" ca="1" si="53"/>
        <v>-4902.9148390422606</v>
      </c>
      <c r="L675" s="444">
        <f t="shared" ca="1" si="54"/>
        <v>-1181602.4762091849</v>
      </c>
      <c r="M675" s="460">
        <f t="shared" si="56"/>
        <v>0.05</v>
      </c>
      <c r="N675" s="464">
        <f t="shared" si="57"/>
        <v>71590</v>
      </c>
    </row>
    <row r="676" spans="7:14" ht="11.25" customHeight="1" x14ac:dyDescent="0.3">
      <c r="G676" s="459">
        <f t="shared" si="70"/>
        <v>56</v>
      </c>
      <c r="H676" s="459">
        <v>669</v>
      </c>
      <c r="I676" s="444">
        <f t="shared" ca="1" si="55"/>
        <v>-1181602.4762091849</v>
      </c>
      <c r="J676" s="444">
        <f t="array" ref="J676">IFERROR(INDEX('Retirement Calculator'!K:K,MATCH('Lorri 401b'!N676,'Retirement Calculator'!A:A,0),0),0)</f>
        <v>20367.195264578786</v>
      </c>
      <c r="K676" s="444">
        <f t="shared" ca="1" si="53"/>
        <v>-5008.206964474015</v>
      </c>
      <c r="L676" s="444">
        <f t="shared" ca="1" si="54"/>
        <v>-1206977.8784382376</v>
      </c>
      <c r="M676" s="460">
        <f t="shared" si="56"/>
        <v>0.05</v>
      </c>
      <c r="N676" s="464">
        <f t="shared" si="57"/>
        <v>71621</v>
      </c>
    </row>
    <row r="677" spans="7:14" ht="11.25" customHeight="1" x14ac:dyDescent="0.3">
      <c r="G677" s="459">
        <f t="shared" si="70"/>
        <v>56</v>
      </c>
      <c r="H677" s="459">
        <v>670</v>
      </c>
      <c r="I677" s="444">
        <f t="shared" ca="1" si="55"/>
        <v>-1206977.8784382376</v>
      </c>
      <c r="J677" s="444">
        <f t="array" ref="J677">IFERROR(INDEX('Retirement Calculator'!K:K,MATCH('Lorri 401b'!N677,'Retirement Calculator'!A:A,0),0),0)</f>
        <v>20367.195264578786</v>
      </c>
      <c r="K677" s="444">
        <f t="shared" ca="1" si="53"/>
        <v>-5113.9378070950679</v>
      </c>
      <c r="L677" s="444">
        <f t="shared" ca="1" si="54"/>
        <v>-1232459.0115099114</v>
      </c>
      <c r="M677" s="460">
        <f t="shared" si="56"/>
        <v>0.05</v>
      </c>
      <c r="N677" s="464">
        <f t="shared" si="57"/>
        <v>71650</v>
      </c>
    </row>
    <row r="678" spans="7:14" ht="11.25" customHeight="1" x14ac:dyDescent="0.3">
      <c r="G678" s="459">
        <f t="shared" si="70"/>
        <v>56</v>
      </c>
      <c r="H678" s="459">
        <v>671</v>
      </c>
      <c r="I678" s="444">
        <f t="shared" ca="1" si="55"/>
        <v>-1232459.0115099114</v>
      </c>
      <c r="J678" s="444">
        <f t="array" ref="J678">IFERROR(INDEX('Retirement Calculator'!K:K,MATCH('Lorri 401b'!N678,'Retirement Calculator'!A:A,0),0),0)</f>
        <v>20367.195264578786</v>
      </c>
      <c r="K678" s="444">
        <f t="shared" ca="1" si="53"/>
        <v>-5220.1091948937092</v>
      </c>
      <c r="L678" s="444">
        <f t="shared" ca="1" si="54"/>
        <v>-1258046.3159693838</v>
      </c>
      <c r="M678" s="460">
        <f t="shared" si="56"/>
        <v>0.05</v>
      </c>
      <c r="N678" s="464">
        <f t="shared" si="57"/>
        <v>71681</v>
      </c>
    </row>
    <row r="679" spans="7:14" ht="11.25" customHeight="1" x14ac:dyDescent="0.3">
      <c r="G679" s="459">
        <f t="shared" si="70"/>
        <v>56</v>
      </c>
      <c r="H679" s="459">
        <v>672</v>
      </c>
      <c r="I679" s="444">
        <f t="shared" ca="1" si="55"/>
        <v>-1258046.3159693838</v>
      </c>
      <c r="J679" s="444">
        <f t="array" ref="J679">IFERROR(INDEX('Retirement Calculator'!K:K,MATCH('Lorri 401b'!N679,'Retirement Calculator'!A:A,0),0),0)</f>
        <v>20367.195264578786</v>
      </c>
      <c r="K679" s="444">
        <f t="shared" ca="1" si="53"/>
        <v>-5326.7229634748437</v>
      </c>
      <c r="L679" s="444">
        <f t="shared" ca="1" si="54"/>
        <v>-1283740.2341974375</v>
      </c>
      <c r="M679" s="460">
        <f t="shared" si="56"/>
        <v>0.05</v>
      </c>
      <c r="N679" s="464">
        <f t="shared" si="57"/>
        <v>71711</v>
      </c>
    </row>
    <row r="680" spans="7:14" ht="11.25" customHeight="1" x14ac:dyDescent="0.3">
      <c r="G680" s="459">
        <f>G679+1</f>
        <v>57</v>
      </c>
      <c r="H680" s="459">
        <v>673</v>
      </c>
      <c r="I680" s="444">
        <f t="shared" ca="1" si="55"/>
        <v>-1283740.2341974375</v>
      </c>
      <c r="J680" s="444">
        <f t="array" ref="J680">IFERROR(INDEX('Retirement Calculator'!K:K,MATCH('Lorri 401b'!N680,'Retirement Calculator'!A:A,0),0),0)</f>
        <v>20367.195264578786</v>
      </c>
      <c r="K680" s="444">
        <f t="shared" ca="1" si="53"/>
        <v>-5433.7809560917349</v>
      </c>
      <c r="L680" s="444">
        <f t="shared" ca="1" si="54"/>
        <v>-1309541.2104181082</v>
      </c>
      <c r="M680" s="460">
        <f t="shared" si="56"/>
        <v>0.05</v>
      </c>
      <c r="N680" s="464">
        <f t="shared" si="57"/>
        <v>71742</v>
      </c>
    </row>
    <row r="681" spans="7:14" ht="11.25" customHeight="1" x14ac:dyDescent="0.3">
      <c r="G681" s="459">
        <f t="shared" ref="G681:G691" si="71">G680</f>
        <v>57</v>
      </c>
      <c r="H681" s="459">
        <v>674</v>
      </c>
      <c r="I681" s="444">
        <f t="shared" ca="1" si="55"/>
        <v>-1309541.2104181082</v>
      </c>
      <c r="J681" s="444">
        <f t="array" ref="J681">IFERROR(INDEX('Retirement Calculator'!K:K,MATCH('Lorri 401b'!N681,'Retirement Calculator'!A:A,0),0),0)</f>
        <v>20367.195264578786</v>
      </c>
      <c r="K681" s="444">
        <f t="shared" ca="1" si="53"/>
        <v>-5541.2850236778622</v>
      </c>
      <c r="L681" s="444">
        <f t="shared" ca="1" si="54"/>
        <v>-1335449.6907063648</v>
      </c>
      <c r="M681" s="460">
        <f t="shared" si="56"/>
        <v>0.05</v>
      </c>
      <c r="N681" s="464">
        <f t="shared" si="57"/>
        <v>71772</v>
      </c>
    </row>
    <row r="682" spans="7:14" ht="11.25" customHeight="1" x14ac:dyDescent="0.3">
      <c r="G682" s="459">
        <f t="shared" si="71"/>
        <v>57</v>
      </c>
      <c r="H682" s="459">
        <v>675</v>
      </c>
      <c r="I682" s="444">
        <f t="shared" ca="1" si="55"/>
        <v>-1335449.6907063648</v>
      </c>
      <c r="J682" s="444">
        <f t="array" ref="J682">IFERROR(INDEX('Retirement Calculator'!K:K,MATCH('Lorri 401b'!N682,'Retirement Calculator'!A:A,0),0),0)</f>
        <v>20367.195264578786</v>
      </c>
      <c r="K682" s="444">
        <f t="shared" ca="1" si="53"/>
        <v>-5649.2370248789321</v>
      </c>
      <c r="L682" s="444">
        <f t="shared" ca="1" si="54"/>
        <v>-1361466.1229958225</v>
      </c>
      <c r="M682" s="460">
        <f t="shared" si="56"/>
        <v>0.05</v>
      </c>
      <c r="N682" s="464">
        <f t="shared" si="57"/>
        <v>71803</v>
      </c>
    </row>
    <row r="683" spans="7:14" ht="11.25" customHeight="1" x14ac:dyDescent="0.3">
      <c r="G683" s="459">
        <f t="shared" si="71"/>
        <v>57</v>
      </c>
      <c r="H683" s="459">
        <v>676</v>
      </c>
      <c r="I683" s="444">
        <f t="shared" ca="1" si="55"/>
        <v>-1361466.1229958225</v>
      </c>
      <c r="J683" s="444">
        <f t="array" ref="J683">IFERROR(INDEX('Retirement Calculator'!K:K,MATCH('Lorri 401b'!N683,'Retirement Calculator'!A:A,0),0),0)</f>
        <v>20367.195264578786</v>
      </c>
      <c r="K683" s="444">
        <f t="shared" ca="1" si="53"/>
        <v>-5757.6388260850053</v>
      </c>
      <c r="L683" s="444">
        <f t="shared" ca="1" si="54"/>
        <v>-1387590.9570864863</v>
      </c>
      <c r="M683" s="460">
        <f t="shared" si="56"/>
        <v>0.05</v>
      </c>
      <c r="N683" s="464">
        <f t="shared" si="57"/>
        <v>71834</v>
      </c>
    </row>
    <row r="684" spans="7:14" ht="11.25" customHeight="1" x14ac:dyDescent="0.3">
      <c r="G684" s="459">
        <f t="shared" si="71"/>
        <v>57</v>
      </c>
      <c r="H684" s="459">
        <v>677</v>
      </c>
      <c r="I684" s="444">
        <f t="shared" ca="1" si="55"/>
        <v>-1387590.9570864863</v>
      </c>
      <c r="J684" s="444">
        <f t="array" ref="J684">IFERROR(INDEX('Retirement Calculator'!K:K,MATCH('Lorri 401b'!N684,'Retirement Calculator'!A:A,0),0),0)</f>
        <v>20367.195264578786</v>
      </c>
      <c r="K684" s="444">
        <f t="shared" ca="1" si="53"/>
        <v>-5866.4923014627711</v>
      </c>
      <c r="L684" s="444">
        <f t="shared" ca="1" si="54"/>
        <v>-1413824.6446525278</v>
      </c>
      <c r="M684" s="460">
        <f t="shared" si="56"/>
        <v>0.05</v>
      </c>
      <c r="N684" s="464">
        <f t="shared" si="57"/>
        <v>71864</v>
      </c>
    </row>
    <row r="685" spans="7:14" ht="11.25" customHeight="1" x14ac:dyDescent="0.3">
      <c r="G685" s="459">
        <f t="shared" si="71"/>
        <v>57</v>
      </c>
      <c r="H685" s="459">
        <v>678</v>
      </c>
      <c r="I685" s="444">
        <f t="shared" ca="1" si="55"/>
        <v>-1413824.6446525278</v>
      </c>
      <c r="J685" s="444">
        <f t="array" ref="J685">IFERROR(INDEX('Retirement Calculator'!K:K,MATCH('Lorri 401b'!N685,'Retirement Calculator'!A:A,0),0),0)</f>
        <v>20367.195264578786</v>
      </c>
      <c r="K685" s="444">
        <f t="shared" ca="1" si="53"/>
        <v>-5975.7993329879437</v>
      </c>
      <c r="L685" s="444">
        <f t="shared" ca="1" si="54"/>
        <v>-1440167.6392500945</v>
      </c>
      <c r="M685" s="460">
        <f t="shared" si="56"/>
        <v>0.05</v>
      </c>
      <c r="N685" s="464">
        <f t="shared" si="57"/>
        <v>71895</v>
      </c>
    </row>
    <row r="686" spans="7:14" ht="11.25" customHeight="1" x14ac:dyDescent="0.3">
      <c r="G686" s="459">
        <f t="shared" si="71"/>
        <v>57</v>
      </c>
      <c r="H686" s="459">
        <v>679</v>
      </c>
      <c r="I686" s="444">
        <f t="shared" ca="1" si="55"/>
        <v>-1440167.6392500945</v>
      </c>
      <c r="J686" s="444">
        <f t="array" ref="J686">IFERROR(INDEX('Retirement Calculator'!K:K,MATCH('Lorri 401b'!N686,'Retirement Calculator'!A:A,0),0),0)</f>
        <v>20367.195264578786</v>
      </c>
      <c r="K686" s="444">
        <f t="shared" ca="1" si="53"/>
        <v>-6085.5618104778059</v>
      </c>
      <c r="L686" s="444">
        <f t="shared" ca="1" si="54"/>
        <v>-1466620.3963251512</v>
      </c>
      <c r="M686" s="460">
        <f t="shared" si="56"/>
        <v>0.05</v>
      </c>
      <c r="N686" s="464">
        <f t="shared" si="57"/>
        <v>71925</v>
      </c>
    </row>
    <row r="687" spans="7:14" ht="11.25" customHeight="1" x14ac:dyDescent="0.3">
      <c r="G687" s="459">
        <f t="shared" si="71"/>
        <v>57</v>
      </c>
      <c r="H687" s="459">
        <v>680</v>
      </c>
      <c r="I687" s="444">
        <f t="shared" ca="1" si="55"/>
        <v>-1466620.3963251512</v>
      </c>
      <c r="J687" s="444">
        <f t="array" ref="J687">IFERROR(INDEX('Retirement Calculator'!K:K,MATCH('Lorri 401b'!N687,'Retirement Calculator'!A:A,0),0),0)</f>
        <v>20367.195264578786</v>
      </c>
      <c r="K687" s="444">
        <f t="shared" ca="1" si="53"/>
        <v>-6195.781631623875</v>
      </c>
      <c r="L687" s="444">
        <f t="shared" ca="1" si="54"/>
        <v>-1493183.3732213539</v>
      </c>
      <c r="M687" s="460">
        <f t="shared" si="56"/>
        <v>0.05</v>
      </c>
      <c r="N687" s="464">
        <f t="shared" si="57"/>
        <v>71956</v>
      </c>
    </row>
    <row r="688" spans="7:14" ht="11.25" customHeight="1" x14ac:dyDescent="0.3">
      <c r="G688" s="459">
        <f t="shared" si="71"/>
        <v>57</v>
      </c>
      <c r="H688" s="459">
        <v>681</v>
      </c>
      <c r="I688" s="444">
        <f t="shared" ca="1" si="55"/>
        <v>-1493183.3732213539</v>
      </c>
      <c r="J688" s="444">
        <f t="array" ref="J688">IFERROR(INDEX('Retirement Calculator'!K:K,MATCH('Lorri 401b'!N688,'Retirement Calculator'!A:A,0),0),0)</f>
        <v>20367.195264578786</v>
      </c>
      <c r="K688" s="444">
        <f t="shared" ca="1" si="53"/>
        <v>-6306.4607020247195</v>
      </c>
      <c r="L688" s="444">
        <f t="shared" ca="1" si="54"/>
        <v>-1519857.0291879573</v>
      </c>
      <c r="M688" s="460">
        <f t="shared" si="56"/>
        <v>0.05</v>
      </c>
      <c r="N688" s="464">
        <f t="shared" si="57"/>
        <v>71987</v>
      </c>
    </row>
    <row r="689" spans="7:14" ht="11.25" customHeight="1" x14ac:dyDescent="0.3">
      <c r="G689" s="459">
        <f t="shared" si="71"/>
        <v>57</v>
      </c>
      <c r="H689" s="459">
        <v>682</v>
      </c>
      <c r="I689" s="444">
        <f t="shared" ca="1" si="55"/>
        <v>-1519857.0291879573</v>
      </c>
      <c r="J689" s="444">
        <f t="array" ref="J689">IFERROR(INDEX('Retirement Calculator'!K:K,MATCH('Lorri 401b'!N689,'Retirement Calculator'!A:A,0),0),0)</f>
        <v>20367.195264578786</v>
      </c>
      <c r="K689" s="444">
        <f t="shared" ca="1" si="53"/>
        <v>-6417.6009352189003</v>
      </c>
      <c r="L689" s="444">
        <f t="shared" ca="1" si="54"/>
        <v>-1546641.8253877549</v>
      </c>
      <c r="M689" s="460">
        <f t="shared" si="56"/>
        <v>0.05</v>
      </c>
      <c r="N689" s="464">
        <f t="shared" si="57"/>
        <v>72015</v>
      </c>
    </row>
    <row r="690" spans="7:14" ht="11.25" customHeight="1" x14ac:dyDescent="0.3">
      <c r="G690" s="459">
        <f t="shared" si="71"/>
        <v>57</v>
      </c>
      <c r="H690" s="459">
        <v>683</v>
      </c>
      <c r="I690" s="444">
        <f t="shared" ca="1" si="55"/>
        <v>-1546641.8253877549</v>
      </c>
      <c r="J690" s="444">
        <f t="array" ref="J690">IFERROR(INDEX('Retirement Calculator'!K:K,MATCH('Lorri 401b'!N690,'Retirement Calculator'!A:A,0),0),0)</f>
        <v>20367.195264578786</v>
      </c>
      <c r="K690" s="444">
        <f t="shared" ca="1" si="53"/>
        <v>-6529.2042527180574</v>
      </c>
      <c r="L690" s="444">
        <f t="shared" ca="1" si="54"/>
        <v>-1573538.2249050518</v>
      </c>
      <c r="M690" s="460">
        <f t="shared" si="56"/>
        <v>0.05</v>
      </c>
      <c r="N690" s="464">
        <f t="shared" si="57"/>
        <v>72046</v>
      </c>
    </row>
    <row r="691" spans="7:14" ht="11.25" customHeight="1" x14ac:dyDescent="0.3">
      <c r="G691" s="459">
        <f t="shared" si="71"/>
        <v>57</v>
      </c>
      <c r="H691" s="459">
        <v>684</v>
      </c>
      <c r="I691" s="444">
        <f t="shared" ca="1" si="55"/>
        <v>-1573538.2249050518</v>
      </c>
      <c r="J691" s="444">
        <f t="array" ref="J691">IFERROR(INDEX('Retirement Calculator'!K:K,MATCH('Lorri 401b'!N691,'Retirement Calculator'!A:A,0),0),0)</f>
        <v>20367.195264578786</v>
      </c>
      <c r="K691" s="444">
        <f t="shared" ca="1" si="53"/>
        <v>-6641.2725840401272</v>
      </c>
      <c r="L691" s="444">
        <f t="shared" ca="1" si="54"/>
        <v>-1600546.6927536707</v>
      </c>
      <c r="M691" s="460">
        <f t="shared" si="56"/>
        <v>0.05</v>
      </c>
      <c r="N691" s="464">
        <f t="shared" si="57"/>
        <v>72076</v>
      </c>
    </row>
    <row r="692" spans="7:14" ht="11.25" customHeight="1" x14ac:dyDescent="0.3">
      <c r="G692" s="459">
        <f>G691+1</f>
        <v>58</v>
      </c>
      <c r="H692" s="459">
        <v>685</v>
      </c>
      <c r="I692" s="444">
        <f t="shared" ca="1" si="55"/>
        <v>-1600546.6927536707</v>
      </c>
      <c r="J692" s="444">
        <f t="array" ref="J692">IFERROR(INDEX('Retirement Calculator'!K:K,MATCH('Lorri 401b'!N692,'Retirement Calculator'!A:A,0),0),0)</f>
        <v>20367.195264578786</v>
      </c>
      <c r="K692" s="444">
        <f t="shared" ca="1" si="53"/>
        <v>-6753.8078667427062</v>
      </c>
      <c r="L692" s="444">
        <f t="shared" ca="1" si="54"/>
        <v>-1627667.6958849921</v>
      </c>
      <c r="M692" s="460">
        <f t="shared" si="56"/>
        <v>0.05</v>
      </c>
      <c r="N692" s="464">
        <f t="shared" si="57"/>
        <v>72107</v>
      </c>
    </row>
    <row r="693" spans="7:14" ht="11.25" customHeight="1" x14ac:dyDescent="0.3">
      <c r="G693" s="459">
        <f t="shared" ref="G693:G703" si="72">G692</f>
        <v>58</v>
      </c>
      <c r="H693" s="459">
        <v>686</v>
      </c>
      <c r="I693" s="444">
        <f t="shared" ca="1" si="55"/>
        <v>-1627667.6958849921</v>
      </c>
      <c r="J693" s="444">
        <f t="array" ref="J693">IFERROR(INDEX('Retirement Calculator'!K:K,MATCH('Lorri 401b'!N693,'Retirement Calculator'!A:A,0),0),0)</f>
        <v>20367.195264578786</v>
      </c>
      <c r="K693" s="444">
        <f t="shared" ca="1" si="53"/>
        <v>-6866.8120464565445</v>
      </c>
      <c r="L693" s="444">
        <f t="shared" ca="1" si="54"/>
        <v>-1654901.7031960275</v>
      </c>
      <c r="M693" s="460">
        <f t="shared" si="56"/>
        <v>0.05</v>
      </c>
      <c r="N693" s="464">
        <f t="shared" si="57"/>
        <v>72137</v>
      </c>
    </row>
    <row r="694" spans="7:14" ht="11.25" customHeight="1" x14ac:dyDescent="0.3">
      <c r="G694" s="459">
        <f t="shared" si="72"/>
        <v>58</v>
      </c>
      <c r="H694" s="459">
        <v>687</v>
      </c>
      <c r="I694" s="444">
        <f t="shared" ca="1" si="55"/>
        <v>-1654901.7031960275</v>
      </c>
      <c r="J694" s="444">
        <f t="array" ref="J694">IFERROR(INDEX('Retirement Calculator'!K:K,MATCH('Lorri 401b'!N694,'Retirement Calculator'!A:A,0),0),0)</f>
        <v>20367.195264578786</v>
      </c>
      <c r="K694" s="444">
        <f t="shared" ca="1" si="53"/>
        <v>-6980.2870769191932</v>
      </c>
      <c r="L694" s="444">
        <f t="shared" ca="1" si="54"/>
        <v>-1682249.1855375255</v>
      </c>
      <c r="M694" s="460">
        <f t="shared" si="56"/>
        <v>0.05</v>
      </c>
      <c r="N694" s="464">
        <f t="shared" si="57"/>
        <v>72168</v>
      </c>
    </row>
    <row r="695" spans="7:14" ht="11.25" customHeight="1" x14ac:dyDescent="0.3">
      <c r="G695" s="459">
        <f t="shared" si="72"/>
        <v>58</v>
      </c>
      <c r="H695" s="459">
        <v>688</v>
      </c>
      <c r="I695" s="444">
        <f t="shared" ca="1" si="55"/>
        <v>-1682249.1855375255</v>
      </c>
      <c r="J695" s="444">
        <f t="array" ref="J695">IFERROR(INDEX('Retirement Calculator'!K:K,MATCH('Lorri 401b'!N695,'Retirement Calculator'!A:A,0),0),0)</f>
        <v>20367.195264578786</v>
      </c>
      <c r="K695" s="444">
        <f t="shared" ca="1" si="53"/>
        <v>-7094.2349200087674</v>
      </c>
      <c r="L695" s="444">
        <f t="shared" ca="1" si="54"/>
        <v>-1709710.6157221131</v>
      </c>
      <c r="M695" s="460">
        <f t="shared" si="56"/>
        <v>0.05</v>
      </c>
      <c r="N695" s="464">
        <f t="shared" si="57"/>
        <v>72199</v>
      </c>
    </row>
    <row r="696" spans="7:14" ht="11.25" customHeight="1" x14ac:dyDescent="0.3">
      <c r="G696" s="459">
        <f t="shared" si="72"/>
        <v>58</v>
      </c>
      <c r="H696" s="459">
        <v>689</v>
      </c>
      <c r="I696" s="444">
        <f t="shared" ca="1" si="55"/>
        <v>-1709710.6157221131</v>
      </c>
      <c r="J696" s="444">
        <f t="array" ref="J696">IFERROR(INDEX('Retirement Calculator'!K:K,MATCH('Lorri 401b'!N696,'Retirement Calculator'!A:A,0),0),0)</f>
        <v>20367.195264578786</v>
      </c>
      <c r="K696" s="444">
        <f t="shared" ca="1" si="53"/>
        <v>-7208.6575457778827</v>
      </c>
      <c r="L696" s="444">
        <f t="shared" ca="1" si="54"/>
        <v>-1737286.4685324698</v>
      </c>
      <c r="M696" s="460">
        <f t="shared" si="56"/>
        <v>0.05</v>
      </c>
      <c r="N696" s="464">
        <f t="shared" si="57"/>
        <v>72229</v>
      </c>
    </row>
    <row r="697" spans="7:14" ht="11.25" customHeight="1" x14ac:dyDescent="0.3">
      <c r="G697" s="459">
        <f t="shared" si="72"/>
        <v>58</v>
      </c>
      <c r="H697" s="459">
        <v>690</v>
      </c>
      <c r="I697" s="444">
        <f t="shared" ca="1" si="55"/>
        <v>-1737286.4685324698</v>
      </c>
      <c r="J697" s="444">
        <f t="array" ref="J697">IFERROR(INDEX('Retirement Calculator'!K:K,MATCH('Lorri 401b'!N697,'Retirement Calculator'!A:A,0),0),0)</f>
        <v>20367.195264578786</v>
      </c>
      <c r="K697" s="444">
        <f t="shared" ca="1" si="53"/>
        <v>-7323.5569324877024</v>
      </c>
      <c r="L697" s="444">
        <f t="shared" ca="1" si="54"/>
        <v>-1764977.2207295364</v>
      </c>
      <c r="M697" s="460">
        <f t="shared" si="56"/>
        <v>0.05</v>
      </c>
      <c r="N697" s="464">
        <f t="shared" si="57"/>
        <v>72260</v>
      </c>
    </row>
    <row r="698" spans="7:14" ht="11.25" customHeight="1" x14ac:dyDescent="0.3">
      <c r="G698" s="459">
        <f t="shared" si="72"/>
        <v>58</v>
      </c>
      <c r="H698" s="459">
        <v>691</v>
      </c>
      <c r="I698" s="444">
        <f t="shared" ca="1" si="55"/>
        <v>-1764977.2207295364</v>
      </c>
      <c r="J698" s="444">
        <f t="array" ref="J698">IFERROR(INDEX('Retirement Calculator'!K:K,MATCH('Lorri 401b'!N698,'Retirement Calculator'!A:A,0),0),0)</f>
        <v>20367.195264578786</v>
      </c>
      <c r="K698" s="444">
        <f t="shared" ca="1" si="53"/>
        <v>-7438.9350666421478</v>
      </c>
      <c r="L698" s="444">
        <f t="shared" ca="1" si="54"/>
        <v>-1792783.3510607574</v>
      </c>
      <c r="M698" s="460">
        <f t="shared" si="56"/>
        <v>0.05</v>
      </c>
      <c r="N698" s="464">
        <f t="shared" si="57"/>
        <v>72290</v>
      </c>
    </row>
    <row r="699" spans="7:14" ht="11.25" customHeight="1" x14ac:dyDescent="0.3">
      <c r="G699" s="459">
        <f t="shared" si="72"/>
        <v>58</v>
      </c>
      <c r="H699" s="459">
        <v>692</v>
      </c>
      <c r="I699" s="444">
        <f t="shared" ca="1" si="55"/>
        <v>-1792783.3510607574</v>
      </c>
      <c r="J699" s="444">
        <f t="array" ref="J699">IFERROR(INDEX('Retirement Calculator'!K:K,MATCH('Lorri 401b'!N699,'Retirement Calculator'!A:A,0),0),0)</f>
        <v>20367.195264578786</v>
      </c>
      <c r="K699" s="444">
        <f t="shared" ca="1" si="53"/>
        <v>-7554.7939430222341</v>
      </c>
      <c r="L699" s="444">
        <f t="shared" ca="1" si="54"/>
        <v>-1820705.3402683584</v>
      </c>
      <c r="M699" s="460">
        <f t="shared" si="56"/>
        <v>0.05</v>
      </c>
      <c r="N699" s="464">
        <f t="shared" si="57"/>
        <v>72321</v>
      </c>
    </row>
    <row r="700" spans="7:14" ht="11.25" customHeight="1" x14ac:dyDescent="0.3">
      <c r="G700" s="459">
        <f t="shared" si="72"/>
        <v>58</v>
      </c>
      <c r="H700" s="459">
        <v>693</v>
      </c>
      <c r="I700" s="444">
        <f t="shared" ca="1" si="55"/>
        <v>-1820705.3402683584</v>
      </c>
      <c r="J700" s="444">
        <f t="array" ref="J700">IFERROR(INDEX('Retirement Calculator'!K:K,MATCH('Lorri 401b'!N700,'Retirement Calculator'!A:A,0),0),0)</f>
        <v>20367.195264578786</v>
      </c>
      <c r="K700" s="444">
        <f t="shared" ca="1" si="53"/>
        <v>-7671.135564720571</v>
      </c>
      <c r="L700" s="444">
        <f t="shared" ca="1" si="54"/>
        <v>-1848743.6710976576</v>
      </c>
      <c r="M700" s="460">
        <f t="shared" si="56"/>
        <v>0.05</v>
      </c>
      <c r="N700" s="464">
        <f t="shared" si="57"/>
        <v>72352</v>
      </c>
    </row>
    <row r="701" spans="7:14" ht="11.25" customHeight="1" x14ac:dyDescent="0.3">
      <c r="G701" s="459">
        <f t="shared" si="72"/>
        <v>58</v>
      </c>
      <c r="H701" s="459">
        <v>694</v>
      </c>
      <c r="I701" s="444">
        <f t="shared" ca="1" si="55"/>
        <v>-1848743.6710976576</v>
      </c>
      <c r="J701" s="444">
        <f t="array" ref="J701">IFERROR(INDEX('Retirement Calculator'!K:K,MATCH('Lorri 401b'!N701,'Retirement Calculator'!A:A,0),0),0)</f>
        <v>20367.195264578786</v>
      </c>
      <c r="K701" s="444">
        <f t="shared" ca="1" si="53"/>
        <v>-7787.9619431759847</v>
      </c>
      <c r="L701" s="444">
        <f t="shared" ca="1" si="54"/>
        <v>-1876898.8283054123</v>
      </c>
      <c r="M701" s="460">
        <f t="shared" si="56"/>
        <v>0.05</v>
      </c>
      <c r="N701" s="464">
        <f t="shared" si="57"/>
        <v>72380</v>
      </c>
    </row>
    <row r="702" spans="7:14" ht="11.25" customHeight="1" x14ac:dyDescent="0.3">
      <c r="G702" s="459">
        <f t="shared" si="72"/>
        <v>58</v>
      </c>
      <c r="H702" s="459">
        <v>695</v>
      </c>
      <c r="I702" s="444">
        <f t="shared" ca="1" si="55"/>
        <v>-1876898.8283054123</v>
      </c>
      <c r="J702" s="444">
        <f t="array" ref="J702">IFERROR(INDEX('Retirement Calculator'!K:K,MATCH('Lorri 401b'!N702,'Retirement Calculator'!A:A,0),0),0)</f>
        <v>20367.195264578786</v>
      </c>
      <c r="K702" s="444">
        <f t="shared" ca="1" si="53"/>
        <v>-7905.2750982082962</v>
      </c>
      <c r="L702" s="444">
        <f t="shared" ca="1" si="54"/>
        <v>-1905171.2986681995</v>
      </c>
      <c r="M702" s="460">
        <f t="shared" si="56"/>
        <v>0.05</v>
      </c>
      <c r="N702" s="464">
        <f t="shared" si="57"/>
        <v>72411</v>
      </c>
    </row>
    <row r="703" spans="7:14" ht="11.25" customHeight="1" x14ac:dyDescent="0.3">
      <c r="G703" s="459">
        <f t="shared" si="72"/>
        <v>58</v>
      </c>
      <c r="H703" s="459">
        <v>696</v>
      </c>
      <c r="I703" s="444">
        <f t="shared" ca="1" si="55"/>
        <v>-1905171.2986681995</v>
      </c>
      <c r="J703" s="444">
        <f t="array" ref="J703">IFERROR(INDEX('Retirement Calculator'!K:K,MATCH('Lorri 401b'!N703,'Retirement Calculator'!A:A,0),0),0)</f>
        <v>20367.195264578786</v>
      </c>
      <c r="K703" s="444">
        <f t="shared" ca="1" si="53"/>
        <v>-8023.0770580532426</v>
      </c>
      <c r="L703" s="444">
        <f t="shared" ca="1" si="54"/>
        <v>-1933561.5709908316</v>
      </c>
      <c r="M703" s="460">
        <f t="shared" si="56"/>
        <v>0.05</v>
      </c>
      <c r="N703" s="464">
        <f t="shared" si="57"/>
        <v>72441</v>
      </c>
    </row>
    <row r="704" spans="7:14" ht="11.25" customHeight="1" x14ac:dyDescent="0.3">
      <c r="G704" s="459">
        <f>G703+1</f>
        <v>59</v>
      </c>
      <c r="H704" s="459">
        <v>697</v>
      </c>
      <c r="I704" s="444">
        <f t="shared" ca="1" si="55"/>
        <v>-1933561.5709908316</v>
      </c>
      <c r="J704" s="444">
        <f t="array" ref="J704">IFERROR(INDEX('Retirement Calculator'!K:K,MATCH('Lorri 401b'!N704,'Retirement Calculator'!A:A,0),0),0)</f>
        <v>20367.195264578786</v>
      </c>
      <c r="K704" s="444">
        <f t="shared" ca="1" si="53"/>
        <v>-8141.3698593975432</v>
      </c>
      <c r="L704" s="444">
        <f t="shared" ca="1" si="54"/>
        <v>-1962070.136114808</v>
      </c>
      <c r="M704" s="460">
        <f t="shared" si="56"/>
        <v>0.05</v>
      </c>
      <c r="N704" s="464">
        <f t="shared" si="57"/>
        <v>72472</v>
      </c>
    </row>
    <row r="705" spans="7:14" ht="11.25" customHeight="1" x14ac:dyDescent="0.3">
      <c r="G705" s="459">
        <f t="shared" ref="G705:G715" si="73">G704</f>
        <v>59</v>
      </c>
      <c r="H705" s="459">
        <v>698</v>
      </c>
      <c r="I705" s="444">
        <f t="shared" ca="1" si="55"/>
        <v>-1962070.136114808</v>
      </c>
      <c r="J705" s="444">
        <f t="array" ref="J705">IFERROR(INDEX('Retirement Calculator'!K:K,MATCH('Lorri 401b'!N705,'Retirement Calculator'!A:A,0),0),0)</f>
        <v>20367.195264578786</v>
      </c>
      <c r="K705" s="444">
        <f t="shared" ca="1" si="53"/>
        <v>-8260.1555474141132</v>
      </c>
      <c r="L705" s="444">
        <f t="shared" ca="1" si="54"/>
        <v>-1990697.486926801</v>
      </c>
      <c r="M705" s="460">
        <f t="shared" si="56"/>
        <v>0.05</v>
      </c>
      <c r="N705" s="464">
        <f t="shared" si="57"/>
        <v>72502</v>
      </c>
    </row>
    <row r="706" spans="7:14" ht="11.25" customHeight="1" x14ac:dyDescent="0.3">
      <c r="G706" s="459">
        <f t="shared" si="73"/>
        <v>59</v>
      </c>
      <c r="H706" s="459">
        <v>699</v>
      </c>
      <c r="I706" s="444">
        <f t="shared" ca="1" si="55"/>
        <v>-1990697.486926801</v>
      </c>
      <c r="J706" s="444">
        <f t="array" ref="J706">IFERROR(INDEX('Retirement Calculator'!K:K,MATCH('Lorri 401b'!N706,'Retirement Calculator'!A:A,0),0),0)</f>
        <v>20367.195264578786</v>
      </c>
      <c r="K706" s="444">
        <f t="shared" ca="1" si="53"/>
        <v>-8379.4361757974166</v>
      </c>
      <c r="L706" s="444">
        <f t="shared" ca="1" si="54"/>
        <v>-2019444.1183671772</v>
      </c>
      <c r="M706" s="460">
        <f t="shared" si="56"/>
        <v>0.05</v>
      </c>
      <c r="N706" s="464">
        <f t="shared" si="57"/>
        <v>72533</v>
      </c>
    </row>
    <row r="707" spans="7:14" ht="11.25" customHeight="1" x14ac:dyDescent="0.3">
      <c r="G707" s="459">
        <f t="shared" si="73"/>
        <v>59</v>
      </c>
      <c r="H707" s="459">
        <v>700</v>
      </c>
      <c r="I707" s="444">
        <f t="shared" ca="1" si="55"/>
        <v>-2019444.1183671772</v>
      </c>
      <c r="J707" s="444">
        <f t="array" ref="J707">IFERROR(INDEX('Retirement Calculator'!K:K,MATCH('Lorri 401b'!N707,'Retirement Calculator'!A:A,0),0),0)</f>
        <v>20367.195264578786</v>
      </c>
      <c r="K707" s="444">
        <f t="shared" ca="1" si="53"/>
        <v>-8499.2138067989836</v>
      </c>
      <c r="L707" s="444">
        <f t="shared" ca="1" si="54"/>
        <v>-2048310.5274385549</v>
      </c>
      <c r="M707" s="460">
        <f t="shared" si="56"/>
        <v>0.05</v>
      </c>
      <c r="N707" s="464">
        <f t="shared" si="57"/>
        <v>72564</v>
      </c>
    </row>
    <row r="708" spans="7:14" ht="11.25" customHeight="1" x14ac:dyDescent="0.3">
      <c r="G708" s="459">
        <f t="shared" si="73"/>
        <v>59</v>
      </c>
      <c r="H708" s="459">
        <v>701</v>
      </c>
      <c r="I708" s="444">
        <f t="shared" ca="1" si="55"/>
        <v>-2048310.5274385549</v>
      </c>
      <c r="J708" s="444">
        <f t="array" ref="J708">IFERROR(INDEX('Retirement Calculator'!K:K,MATCH('Lorri 401b'!N708,'Retirement Calculator'!A:A,0),0),0)</f>
        <v>20367.195264578786</v>
      </c>
      <c r="K708" s="444">
        <f t="shared" ca="1" si="53"/>
        <v>-8619.4905112630568</v>
      </c>
      <c r="L708" s="444">
        <f t="shared" ca="1" si="54"/>
        <v>-2077297.2132143967</v>
      </c>
      <c r="M708" s="460">
        <f t="shared" si="56"/>
        <v>0.05</v>
      </c>
      <c r="N708" s="464">
        <f t="shared" si="57"/>
        <v>72594</v>
      </c>
    </row>
    <row r="709" spans="7:14" ht="11.25" customHeight="1" x14ac:dyDescent="0.3">
      <c r="G709" s="459">
        <f t="shared" si="73"/>
        <v>59</v>
      </c>
      <c r="H709" s="459">
        <v>702</v>
      </c>
      <c r="I709" s="444">
        <f t="shared" ca="1" si="55"/>
        <v>-2077297.2132143967</v>
      </c>
      <c r="J709" s="444">
        <f t="array" ref="J709">IFERROR(INDEX('Retirement Calculator'!K:K,MATCH('Lorri 401b'!N709,'Retirement Calculator'!A:A,0),0),0)</f>
        <v>20367.195264578786</v>
      </c>
      <c r="K709" s="444">
        <f t="shared" ca="1" si="53"/>
        <v>-8740.2683686623968</v>
      </c>
      <c r="L709" s="444">
        <f t="shared" ca="1" si="54"/>
        <v>-2106404.6768476376</v>
      </c>
      <c r="M709" s="460">
        <f t="shared" si="56"/>
        <v>0.05</v>
      </c>
      <c r="N709" s="464">
        <f t="shared" si="57"/>
        <v>72625</v>
      </c>
    </row>
    <row r="710" spans="7:14" ht="11.25" customHeight="1" x14ac:dyDescent="0.3">
      <c r="G710" s="459">
        <f t="shared" si="73"/>
        <v>59</v>
      </c>
      <c r="H710" s="459">
        <v>703</v>
      </c>
      <c r="I710" s="444">
        <f t="shared" ca="1" si="55"/>
        <v>-2106404.6768476376</v>
      </c>
      <c r="J710" s="444">
        <f t="array" ref="J710">IFERROR(INDEX('Retirement Calculator'!K:K,MATCH('Lorri 401b'!N710,'Retirement Calculator'!A:A,0),0),0)</f>
        <v>20367.195264578786</v>
      </c>
      <c r="K710" s="444">
        <f t="shared" ca="1" si="53"/>
        <v>-8861.5494671342349</v>
      </c>
      <c r="L710" s="444">
        <f t="shared" ca="1" si="54"/>
        <v>-2135633.4215793507</v>
      </c>
      <c r="M710" s="460">
        <f t="shared" si="56"/>
        <v>0.05</v>
      </c>
      <c r="N710" s="464">
        <f t="shared" si="57"/>
        <v>72655</v>
      </c>
    </row>
    <row r="711" spans="7:14" ht="11.25" customHeight="1" x14ac:dyDescent="0.3">
      <c r="G711" s="459">
        <f t="shared" si="73"/>
        <v>59</v>
      </c>
      <c r="H711" s="459">
        <v>704</v>
      </c>
      <c r="I711" s="444">
        <f t="shared" ca="1" si="55"/>
        <v>-2135633.4215793507</v>
      </c>
      <c r="J711" s="444">
        <f t="array" ref="J711">IFERROR(INDEX('Retirement Calculator'!K:K,MATCH('Lorri 401b'!N711,'Retirement Calculator'!A:A,0),0),0)</f>
        <v>20367.195264578786</v>
      </c>
      <c r="K711" s="444">
        <f t="shared" ca="1" si="53"/>
        <v>-8983.3359035163721</v>
      </c>
      <c r="L711" s="444">
        <f t="shared" ca="1" si="54"/>
        <v>-2164983.952747446</v>
      </c>
      <c r="M711" s="460">
        <f t="shared" si="56"/>
        <v>0.05</v>
      </c>
      <c r="N711" s="464">
        <f t="shared" si="57"/>
        <v>72686</v>
      </c>
    </row>
    <row r="712" spans="7:14" ht="11.25" customHeight="1" x14ac:dyDescent="0.3">
      <c r="G712" s="459">
        <f t="shared" si="73"/>
        <v>59</v>
      </c>
      <c r="H712" s="459">
        <v>705</v>
      </c>
      <c r="I712" s="444">
        <f t="shared" ca="1" si="55"/>
        <v>-2164983.952747446</v>
      </c>
      <c r="J712" s="444">
        <f t="array" ref="J712">IFERROR(INDEX('Retirement Calculator'!K:K,MATCH('Lorri 401b'!N712,'Retirement Calculator'!A:A,0),0),0)</f>
        <v>20367.195264578786</v>
      </c>
      <c r="K712" s="444">
        <f t="shared" ca="1" si="53"/>
        <v>-9105.629783383436</v>
      </c>
      <c r="L712" s="444">
        <f t="shared" ca="1" si="54"/>
        <v>-2194456.7777954084</v>
      </c>
      <c r="M712" s="460">
        <f t="shared" si="56"/>
        <v>0.05</v>
      </c>
      <c r="N712" s="464">
        <f t="shared" si="57"/>
        <v>72717</v>
      </c>
    </row>
    <row r="713" spans="7:14" ht="11.25" customHeight="1" x14ac:dyDescent="0.3">
      <c r="G713" s="459">
        <f t="shared" si="73"/>
        <v>59</v>
      </c>
      <c r="H713" s="459">
        <v>706</v>
      </c>
      <c r="I713" s="444">
        <f t="shared" ca="1" si="55"/>
        <v>-2194456.7777954084</v>
      </c>
      <c r="J713" s="444">
        <f t="array" ref="J713">IFERROR(INDEX('Retirement Calculator'!K:K,MATCH('Lorri 401b'!N713,'Retirement Calculator'!A:A,0),0),0)</f>
        <v>20367.195264578786</v>
      </c>
      <c r="K713" s="444">
        <f t="shared" ca="1" si="53"/>
        <v>-9228.4332210832799</v>
      </c>
      <c r="L713" s="444">
        <f t="shared" ca="1" si="54"/>
        <v>-2224052.4062810703</v>
      </c>
      <c r="M713" s="460">
        <f t="shared" si="56"/>
        <v>0.05</v>
      </c>
      <c r="N713" s="464">
        <f t="shared" si="57"/>
        <v>72745</v>
      </c>
    </row>
    <row r="714" spans="7:14" ht="11.25" customHeight="1" x14ac:dyDescent="0.3">
      <c r="G714" s="459">
        <f t="shared" si="73"/>
        <v>59</v>
      </c>
      <c r="H714" s="459">
        <v>707</v>
      </c>
      <c r="I714" s="444">
        <f t="shared" ca="1" si="55"/>
        <v>-2224052.4062810703</v>
      </c>
      <c r="J714" s="444">
        <f t="array" ref="J714">IFERROR(INDEX('Retirement Calculator'!K:K,MATCH('Lorri 401b'!N714,'Retirement Calculator'!A:A,0),0),0)</f>
        <v>20367.195264578786</v>
      </c>
      <c r="K714" s="444">
        <f t="shared" ca="1" si="53"/>
        <v>-9351.7483397735377</v>
      </c>
      <c r="L714" s="444">
        <f t="shared" ca="1" si="54"/>
        <v>-2253771.3498854227</v>
      </c>
      <c r="M714" s="460">
        <f t="shared" si="56"/>
        <v>0.05</v>
      </c>
      <c r="N714" s="464">
        <f t="shared" si="57"/>
        <v>72776</v>
      </c>
    </row>
    <row r="715" spans="7:14" ht="11.25" customHeight="1" x14ac:dyDescent="0.3">
      <c r="G715" s="459">
        <f t="shared" si="73"/>
        <v>59</v>
      </c>
      <c r="H715" s="459">
        <v>708</v>
      </c>
      <c r="I715" s="444">
        <f t="shared" ca="1" si="55"/>
        <v>-2253771.3498854227</v>
      </c>
      <c r="J715" s="444">
        <f t="array" ref="J715">IFERROR(INDEX('Retirement Calculator'!K:K,MATCH('Lorri 401b'!N715,'Retirement Calculator'!A:A,0),0),0)</f>
        <v>20367.195264578786</v>
      </c>
      <c r="K715" s="444">
        <f t="shared" ca="1" si="53"/>
        <v>-9475.57727145834</v>
      </c>
      <c r="L715" s="444">
        <f t="shared" ca="1" si="54"/>
        <v>-2283614.1224214598</v>
      </c>
      <c r="M715" s="460">
        <f t="shared" si="56"/>
        <v>0.05</v>
      </c>
      <c r="N715" s="464">
        <f t="shared" si="57"/>
        <v>72806</v>
      </c>
    </row>
    <row r="716" spans="7:14" ht="11.25" customHeight="1" x14ac:dyDescent="0.3">
      <c r="G716" s="459">
        <f>G715+1</f>
        <v>60</v>
      </c>
      <c r="H716" s="459">
        <v>709</v>
      </c>
      <c r="I716" s="444">
        <f t="shared" ca="1" si="55"/>
        <v>-2283614.1224214598</v>
      </c>
      <c r="J716" s="444">
        <f t="array" ref="J716">IFERROR(INDEX('Retirement Calculator'!K:K,MATCH('Lorri 401b'!N716,'Retirement Calculator'!A:A,0),0),0)</f>
        <v>20367.195264578786</v>
      </c>
      <c r="K716" s="444">
        <f t="shared" ca="1" si="53"/>
        <v>-9599.9221570251611</v>
      </c>
      <c r="L716" s="444">
        <f t="shared" ca="1" si="54"/>
        <v>-2313581.2398430635</v>
      </c>
      <c r="M716" s="460">
        <f t="shared" si="56"/>
        <v>0.05</v>
      </c>
      <c r="N716" s="464">
        <f t="shared" si="57"/>
        <v>72837</v>
      </c>
    </row>
    <row r="717" spans="7:14" ht="11.25" customHeight="1" x14ac:dyDescent="0.3">
      <c r="G717" s="459">
        <f t="shared" ref="G717:G727" si="74">G716</f>
        <v>60</v>
      </c>
      <c r="H717" s="459">
        <v>710</v>
      </c>
      <c r="I717" s="444">
        <f t="shared" ca="1" si="55"/>
        <v>-2313581.2398430635</v>
      </c>
      <c r="J717" s="444">
        <f t="array" ref="J717">IFERROR(INDEX('Retirement Calculator'!K:K,MATCH('Lorri 401b'!N717,'Retirement Calculator'!A:A,0),0),0)</f>
        <v>20367.195264578786</v>
      </c>
      <c r="K717" s="444">
        <f t="shared" ca="1" si="53"/>
        <v>-9724.7851462818435</v>
      </c>
      <c r="L717" s="444">
        <f t="shared" ca="1" si="54"/>
        <v>-2343673.2202539244</v>
      </c>
      <c r="M717" s="460">
        <f t="shared" si="56"/>
        <v>0.05</v>
      </c>
      <c r="N717" s="464">
        <f t="shared" si="57"/>
        <v>72867</v>
      </c>
    </row>
    <row r="718" spans="7:14" ht="11.25" customHeight="1" x14ac:dyDescent="0.3">
      <c r="G718" s="459">
        <f t="shared" si="74"/>
        <v>60</v>
      </c>
      <c r="H718" s="459">
        <v>711</v>
      </c>
      <c r="I718" s="444">
        <f t="shared" ca="1" si="55"/>
        <v>-2343673.2202539244</v>
      </c>
      <c r="J718" s="444">
        <f t="array" ref="J718">IFERROR(INDEX('Retirement Calculator'!K:K,MATCH('Lorri 401b'!N718,'Retirement Calculator'!A:A,0),0),0)</f>
        <v>20367.195264578786</v>
      </c>
      <c r="K718" s="444">
        <f t="shared" ca="1" si="53"/>
        <v>-9850.1683979937625</v>
      </c>
      <c r="L718" s="444">
        <f t="shared" ca="1" si="54"/>
        <v>-2373890.583916497</v>
      </c>
      <c r="M718" s="460">
        <f t="shared" si="56"/>
        <v>0.05</v>
      </c>
      <c r="N718" s="464">
        <f t="shared" si="57"/>
        <v>72898</v>
      </c>
    </row>
    <row r="719" spans="7:14" ht="11.25" customHeight="1" x14ac:dyDescent="0.3">
      <c r="G719" s="459">
        <f t="shared" si="74"/>
        <v>60</v>
      </c>
      <c r="H719" s="459">
        <v>712</v>
      </c>
      <c r="I719" s="444">
        <f t="shared" ca="1" si="55"/>
        <v>-2373890.583916497</v>
      </c>
      <c r="J719" s="444">
        <f t="array" ref="J719">IFERROR(INDEX('Retirement Calculator'!K:K,MATCH('Lorri 401b'!N719,'Retirement Calculator'!A:A,0),0),0)</f>
        <v>20367.195264578786</v>
      </c>
      <c r="K719" s="444">
        <f t="shared" ca="1" si="53"/>
        <v>-9976.074079921149</v>
      </c>
      <c r="L719" s="444">
        <f t="shared" ca="1" si="54"/>
        <v>-2404233.8532609968</v>
      </c>
      <c r="M719" s="460">
        <f t="shared" si="56"/>
        <v>0.05</v>
      </c>
      <c r="N719" s="464">
        <f t="shared" si="57"/>
        <v>72929</v>
      </c>
    </row>
    <row r="720" spans="7:14" ht="11.25" customHeight="1" x14ac:dyDescent="0.3">
      <c r="G720" s="459">
        <f t="shared" si="74"/>
        <v>60</v>
      </c>
      <c r="H720" s="459">
        <v>713</v>
      </c>
      <c r="I720" s="444">
        <f t="shared" ca="1" si="55"/>
        <v>-2404233.8532609968</v>
      </c>
      <c r="J720" s="444">
        <f t="array" ref="J720">IFERROR(INDEX('Retirement Calculator'!K:K,MATCH('Lorri 401b'!N720,'Retirement Calculator'!A:A,0),0),0)</f>
        <v>20367.195264578786</v>
      </c>
      <c r="K720" s="444">
        <f t="shared" ca="1" si="53"/>
        <v>-10102.504368856564</v>
      </c>
      <c r="L720" s="444">
        <f t="shared" ca="1" si="54"/>
        <v>-2434703.5528944321</v>
      </c>
      <c r="M720" s="460">
        <f t="shared" si="56"/>
        <v>0.05</v>
      </c>
      <c r="N720" s="464">
        <f t="shared" si="57"/>
        <v>72959</v>
      </c>
    </row>
    <row r="721" spans="7:14" ht="11.25" customHeight="1" x14ac:dyDescent="0.3">
      <c r="G721" s="459">
        <f t="shared" si="74"/>
        <v>60</v>
      </c>
      <c r="H721" s="459">
        <v>714</v>
      </c>
      <c r="I721" s="444">
        <f t="shared" ca="1" si="55"/>
        <v>-2434703.5528944321</v>
      </c>
      <c r="J721" s="444">
        <f t="array" ref="J721">IFERROR(INDEX('Retirement Calculator'!K:K,MATCH('Lorri 401b'!N721,'Retirement Calculator'!A:A,0),0),0)</f>
        <v>20367.195264578786</v>
      </c>
      <c r="K721" s="444">
        <f t="shared" ca="1" si="53"/>
        <v>-10229.461450662546</v>
      </c>
      <c r="L721" s="444">
        <f t="shared" ca="1" si="54"/>
        <v>-2465300.2096096734</v>
      </c>
      <c r="M721" s="460">
        <f t="shared" si="56"/>
        <v>0.05</v>
      </c>
      <c r="N721" s="464">
        <f t="shared" si="57"/>
        <v>72990</v>
      </c>
    </row>
    <row r="722" spans="7:14" ht="11.25" customHeight="1" x14ac:dyDescent="0.3">
      <c r="G722" s="459">
        <f t="shared" si="74"/>
        <v>60</v>
      </c>
      <c r="H722" s="459">
        <v>715</v>
      </c>
      <c r="I722" s="444">
        <f t="shared" ca="1" si="55"/>
        <v>-2465300.2096096734</v>
      </c>
      <c r="J722" s="444">
        <f t="array" ref="J722">IFERROR(INDEX('Retirement Calculator'!K:K,MATCH('Lorri 401b'!N722,'Retirement Calculator'!A:A,0),0),0)</f>
        <v>20367.195264578786</v>
      </c>
      <c r="K722" s="444">
        <f t="shared" ca="1" si="53"/>
        <v>-10356.947520309384</v>
      </c>
      <c r="L722" s="444">
        <f t="shared" ca="1" si="54"/>
        <v>-2496024.3523945617</v>
      </c>
      <c r="M722" s="460">
        <f t="shared" si="56"/>
        <v>0.05</v>
      </c>
      <c r="N722" s="464">
        <f t="shared" si="57"/>
        <v>73020</v>
      </c>
    </row>
    <row r="723" spans="7:14" ht="11.25" customHeight="1" x14ac:dyDescent="0.3">
      <c r="G723" s="459">
        <f t="shared" si="74"/>
        <v>60</v>
      </c>
      <c r="H723" s="459">
        <v>716</v>
      </c>
      <c r="I723" s="444">
        <f t="shared" ca="1" si="55"/>
        <v>-2496024.3523945617</v>
      </c>
      <c r="J723" s="444">
        <f t="array" ref="J723">IFERROR(INDEX('Retirement Calculator'!K:K,MATCH('Lorri 401b'!N723,'Retirement Calculator'!A:A,0),0),0)</f>
        <v>20367.195264578786</v>
      </c>
      <c r="K723" s="444">
        <f t="shared" ca="1" si="53"/>
        <v>-10484.964781913086</v>
      </c>
      <c r="L723" s="444">
        <f t="shared" ca="1" si="54"/>
        <v>-2526876.5124410535</v>
      </c>
      <c r="M723" s="460">
        <f t="shared" si="56"/>
        <v>0.05</v>
      </c>
      <c r="N723" s="464">
        <f t="shared" si="57"/>
        <v>73051</v>
      </c>
    </row>
    <row r="724" spans="7:14" ht="11.25" customHeight="1" x14ac:dyDescent="0.3">
      <c r="G724" s="459">
        <f t="shared" si="74"/>
        <v>60</v>
      </c>
      <c r="H724" s="459">
        <v>717</v>
      </c>
      <c r="I724" s="444">
        <f t="shared" ca="1" si="55"/>
        <v>-2526876.5124410535</v>
      </c>
      <c r="J724" s="444">
        <f t="array" ref="J724">IFERROR(INDEX('Retirement Calculator'!K:K,MATCH('Lorri 401b'!N724,'Retirement Calculator'!A:A,0),0),0)</f>
        <v>20367.195264578786</v>
      </c>
      <c r="K724" s="444">
        <f t="shared" ca="1" si="53"/>
        <v>-10613.515448773467</v>
      </c>
      <c r="L724" s="444">
        <f t="shared" ca="1" si="54"/>
        <v>-2557857.2231544056</v>
      </c>
      <c r="M724" s="460">
        <f t="shared" si="56"/>
        <v>0.05</v>
      </c>
      <c r="N724" s="464">
        <f t="shared" si="57"/>
        <v>73082</v>
      </c>
    </row>
    <row r="725" spans="7:14" ht="11.25" customHeight="1" x14ac:dyDescent="0.3">
      <c r="G725" s="459">
        <f t="shared" si="74"/>
        <v>60</v>
      </c>
      <c r="H725" s="459">
        <v>718</v>
      </c>
      <c r="I725" s="444">
        <f t="shared" ca="1" si="55"/>
        <v>-2557857.2231544056</v>
      </c>
      <c r="J725" s="444">
        <f t="array" ref="J725">IFERROR(INDEX('Retirement Calculator'!K:K,MATCH('Lorri 401b'!N725,'Retirement Calculator'!A:A,0),0),0)</f>
        <v>20367.195264578786</v>
      </c>
      <c r="K725" s="444">
        <f t="shared" ca="1" si="53"/>
        <v>-10742.601743412435</v>
      </c>
      <c r="L725" s="444">
        <f t="shared" ca="1" si="54"/>
        <v>-2588967.0201623966</v>
      </c>
      <c r="M725" s="460">
        <f t="shared" si="56"/>
        <v>0.05</v>
      </c>
      <c r="N725" s="464">
        <f t="shared" si="57"/>
        <v>73110</v>
      </c>
    </row>
    <row r="726" spans="7:14" ht="11.25" customHeight="1" x14ac:dyDescent="0.3">
      <c r="G726" s="459">
        <f t="shared" si="74"/>
        <v>60</v>
      </c>
      <c r="H726" s="459">
        <v>719</v>
      </c>
      <c r="I726" s="444">
        <f t="shared" ca="1" si="55"/>
        <v>-2588967.0201623966</v>
      </c>
      <c r="J726" s="444">
        <f t="array" ref="J726">IFERROR(INDEX('Retirement Calculator'!K:K,MATCH('Lorri 401b'!N726,'Retirement Calculator'!A:A,0),0),0)</f>
        <v>20367.195264578786</v>
      </c>
      <c r="K726" s="444">
        <f t="shared" ca="1" si="53"/>
        <v>-10872.225897612398</v>
      </c>
      <c r="L726" s="444">
        <f t="shared" ca="1" si="54"/>
        <v>-2620206.4413245879</v>
      </c>
      <c r="M726" s="460">
        <f t="shared" si="56"/>
        <v>0.05</v>
      </c>
      <c r="N726" s="464">
        <f t="shared" si="57"/>
        <v>73141</v>
      </c>
    </row>
    <row r="727" spans="7:14" ht="11.25" customHeight="1" x14ac:dyDescent="0.3">
      <c r="G727" s="459">
        <f t="shared" si="74"/>
        <v>60</v>
      </c>
      <c r="H727" s="459">
        <v>720</v>
      </c>
      <c r="I727" s="444">
        <f t="shared" ca="1" si="55"/>
        <v>-2620206.4413245879</v>
      </c>
      <c r="J727" s="444">
        <f t="array" ref="J727">IFERROR(INDEX('Retirement Calculator'!K:K,MATCH('Lorri 401b'!N727,'Retirement Calculator'!A:A,0),0),0)</f>
        <v>20367.195264578786</v>
      </c>
      <c r="K727" s="444">
        <f t="shared" ca="1" si="53"/>
        <v>-11002.390152454862</v>
      </c>
      <c r="L727" s="444">
        <f t="shared" ca="1" si="54"/>
        <v>-2651576.0267416216</v>
      </c>
      <c r="M727" s="460">
        <f t="shared" si="56"/>
        <v>0.05</v>
      </c>
      <c r="N727" s="464">
        <f t="shared" si="57"/>
        <v>73171</v>
      </c>
    </row>
    <row r="728" spans="7:14" ht="11.25" customHeight="1" x14ac:dyDescent="0.3">
      <c r="G728" s="459">
        <f>G727+1</f>
        <v>61</v>
      </c>
      <c r="H728" s="459">
        <v>721</v>
      </c>
      <c r="I728" s="444">
        <f t="shared" ca="1" si="55"/>
        <v>-2651576.0267416216</v>
      </c>
      <c r="J728" s="444">
        <f t="array" ref="J728">IFERROR(INDEX('Retirement Calculator'!K:K,MATCH('Lorri 401b'!N728,'Retirement Calculator'!A:A,0),0),0)</f>
        <v>20367.195264578786</v>
      </c>
      <c r="K728" s="444">
        <f t="shared" ca="1" si="53"/>
        <v>-11133.096758359168</v>
      </c>
      <c r="L728" s="444">
        <f t="shared" ca="1" si="54"/>
        <v>-2683076.3187645595</v>
      </c>
      <c r="M728" s="460">
        <f t="shared" si="56"/>
        <v>0.05</v>
      </c>
      <c r="N728" s="464">
        <f t="shared" si="57"/>
        <v>73202</v>
      </c>
    </row>
    <row r="729" spans="7:14" ht="11.25" customHeight="1" x14ac:dyDescent="0.3">
      <c r="G729" s="459">
        <f t="shared" ref="G729:G739" si="75">G728</f>
        <v>61</v>
      </c>
      <c r="H729" s="459">
        <v>722</v>
      </c>
      <c r="I729" s="444">
        <f t="shared" ca="1" si="55"/>
        <v>-2683076.3187645595</v>
      </c>
      <c r="J729" s="444">
        <f t="array" ref="J729">IFERROR(INDEX('Retirement Calculator'!K:K,MATCH('Lorri 401b'!N729,'Retirement Calculator'!A:A,0),0),0)</f>
        <v>20367.195264578786</v>
      </c>
      <c r="K729" s="444">
        <f t="shared" ca="1" si="53"/>
        <v>-11264.347975121409</v>
      </c>
      <c r="L729" s="444">
        <f t="shared" ca="1" si="54"/>
        <v>-2714707.8620042596</v>
      </c>
      <c r="M729" s="460">
        <f t="shared" si="56"/>
        <v>0.05</v>
      </c>
      <c r="N729" s="464">
        <f t="shared" si="57"/>
        <v>73232</v>
      </c>
    </row>
    <row r="730" spans="7:14" ht="11.25" customHeight="1" x14ac:dyDescent="0.3">
      <c r="G730" s="459">
        <f t="shared" si="75"/>
        <v>61</v>
      </c>
      <c r="H730" s="459">
        <v>723</v>
      </c>
      <c r="I730" s="444">
        <f t="shared" ca="1" si="55"/>
        <v>-2714707.8620042596</v>
      </c>
      <c r="J730" s="444">
        <f t="array" ref="J730">IFERROR(INDEX('Retirement Calculator'!K:K,MATCH('Lorri 401b'!N730,'Retirement Calculator'!A:A,0),0),0)</f>
        <v>20367.195264578786</v>
      </c>
      <c r="K730" s="444">
        <f t="shared" ca="1" si="53"/>
        <v>-11396.146071953493</v>
      </c>
      <c r="L730" s="444">
        <f t="shared" ca="1" si="54"/>
        <v>-2746471.2033407921</v>
      </c>
      <c r="M730" s="460">
        <f t="shared" si="56"/>
        <v>0.05</v>
      </c>
      <c r="N730" s="464">
        <f t="shared" si="57"/>
        <v>73263</v>
      </c>
    </row>
    <row r="731" spans="7:14" ht="11.25" customHeight="1" x14ac:dyDescent="0.3">
      <c r="G731" s="459">
        <f t="shared" si="75"/>
        <v>61</v>
      </c>
      <c r="H731" s="459">
        <v>724</v>
      </c>
      <c r="I731" s="444">
        <f t="shared" ca="1" si="55"/>
        <v>-2746471.2033407921</v>
      </c>
      <c r="J731" s="444">
        <f t="array" ref="J731">IFERROR(INDEX('Retirement Calculator'!K:K,MATCH('Lorri 401b'!N731,'Retirement Calculator'!A:A,0),0),0)</f>
        <v>20367.195264578786</v>
      </c>
      <c r="K731" s="444">
        <f t="shared" ca="1" si="53"/>
        <v>-11528.493327522379</v>
      </c>
      <c r="L731" s="444">
        <f t="shared" ca="1" si="54"/>
        <v>-2778366.8919328931</v>
      </c>
      <c r="M731" s="460">
        <f t="shared" si="56"/>
        <v>0.05</v>
      </c>
      <c r="N731" s="464">
        <f t="shared" si="57"/>
        <v>73294</v>
      </c>
    </row>
    <row r="732" spans="7:14" ht="11.25" customHeight="1" x14ac:dyDescent="0.3">
      <c r="G732" s="459">
        <f t="shared" si="75"/>
        <v>61</v>
      </c>
      <c r="H732" s="459">
        <v>725</v>
      </c>
      <c r="I732" s="444">
        <f t="shared" ca="1" si="55"/>
        <v>-2778366.8919328931</v>
      </c>
      <c r="J732" s="444">
        <f t="array" ref="J732">IFERROR(INDEX('Retirement Calculator'!K:K,MATCH('Lorri 401b'!N732,'Retirement Calculator'!A:A,0),0),0)</f>
        <v>20367.195264578786</v>
      </c>
      <c r="K732" s="444">
        <f t="shared" ca="1" si="53"/>
        <v>-11661.392029989465</v>
      </c>
      <c r="L732" s="444">
        <f t="shared" ca="1" si="54"/>
        <v>-2810395.4792274614</v>
      </c>
      <c r="M732" s="460">
        <f t="shared" si="56"/>
        <v>0.05</v>
      </c>
      <c r="N732" s="464">
        <f t="shared" si="57"/>
        <v>73324</v>
      </c>
    </row>
    <row r="733" spans="7:14" ht="11.25" customHeight="1" x14ac:dyDescent="0.3">
      <c r="G733" s="459">
        <f t="shared" si="75"/>
        <v>61</v>
      </c>
      <c r="H733" s="459">
        <v>726</v>
      </c>
      <c r="I733" s="444">
        <f t="shared" ca="1" si="55"/>
        <v>-2810395.4792274614</v>
      </c>
      <c r="J733" s="444">
        <f t="array" ref="J733">IFERROR(INDEX('Retirement Calculator'!K:K,MATCH('Lorri 401b'!N733,'Retirement Calculator'!A:A,0),0),0)</f>
        <v>20367.195264578786</v>
      </c>
      <c r="K733" s="444">
        <f t="shared" ca="1" si="53"/>
        <v>-11794.844477050166</v>
      </c>
      <c r="L733" s="444">
        <f t="shared" ca="1" si="54"/>
        <v>-2842557.5189690902</v>
      </c>
      <c r="M733" s="460">
        <f t="shared" si="56"/>
        <v>0.05</v>
      </c>
      <c r="N733" s="464">
        <f t="shared" si="57"/>
        <v>73355</v>
      </c>
    </row>
    <row r="734" spans="7:14" ht="11.25" customHeight="1" x14ac:dyDescent="0.3">
      <c r="G734" s="459">
        <f t="shared" si="75"/>
        <v>61</v>
      </c>
      <c r="H734" s="459">
        <v>727</v>
      </c>
      <c r="I734" s="444">
        <f t="shared" ca="1" si="55"/>
        <v>-2842557.5189690902</v>
      </c>
      <c r="J734" s="444">
        <f t="array" ref="J734">IFERROR(INDEX('Retirement Calculator'!K:K,MATCH('Lorri 401b'!N734,'Retirement Calculator'!A:A,0),0),0)</f>
        <v>20367.195264578786</v>
      </c>
      <c r="K734" s="444">
        <f t="shared" ca="1" si="53"/>
        <v>-11928.852975973621</v>
      </c>
      <c r="L734" s="444">
        <f t="shared" ca="1" si="54"/>
        <v>-2874853.5672096424</v>
      </c>
      <c r="M734" s="460">
        <f t="shared" si="56"/>
        <v>0.05</v>
      </c>
      <c r="N734" s="464">
        <f t="shared" si="57"/>
        <v>73385</v>
      </c>
    </row>
    <row r="735" spans="7:14" ht="11.25" customHeight="1" x14ac:dyDescent="0.3">
      <c r="G735" s="459">
        <f t="shared" si="75"/>
        <v>61</v>
      </c>
      <c r="H735" s="459">
        <v>728</v>
      </c>
      <c r="I735" s="444">
        <f t="shared" ca="1" si="55"/>
        <v>-2874853.5672096424</v>
      </c>
      <c r="J735" s="444">
        <f t="array" ref="J735">IFERROR(INDEX('Retirement Calculator'!K:K,MATCH('Lorri 401b'!N735,'Retirement Calculator'!A:A,0),0),0)</f>
        <v>20367.195264578786</v>
      </c>
      <c r="K735" s="444">
        <f t="shared" ca="1" si="53"/>
        <v>-12063.419843642589</v>
      </c>
      <c r="L735" s="444">
        <f t="shared" ca="1" si="54"/>
        <v>-2907284.1823178637</v>
      </c>
      <c r="M735" s="460">
        <f t="shared" si="56"/>
        <v>0.05</v>
      </c>
      <c r="N735" s="464">
        <f t="shared" si="57"/>
        <v>73416</v>
      </c>
    </row>
    <row r="736" spans="7:14" ht="11.25" customHeight="1" x14ac:dyDescent="0.3">
      <c r="G736" s="459">
        <f t="shared" si="75"/>
        <v>61</v>
      </c>
      <c r="H736" s="459">
        <v>729</v>
      </c>
      <c r="I736" s="444">
        <f t="shared" ca="1" si="55"/>
        <v>-2907284.1823178637</v>
      </c>
      <c r="J736" s="444">
        <f t="array" ref="J736">IFERROR(INDEX('Retirement Calculator'!K:K,MATCH('Lorri 401b'!N736,'Retirement Calculator'!A:A,0),0),0)</f>
        <v>20367.195264578786</v>
      </c>
      <c r="K736" s="444">
        <f t="shared" ca="1" si="53"/>
        <v>-12198.54740659351</v>
      </c>
      <c r="L736" s="444">
        <f t="shared" ca="1" si="54"/>
        <v>-2939849.9249890358</v>
      </c>
      <c r="M736" s="460">
        <f t="shared" si="56"/>
        <v>0.05</v>
      </c>
      <c r="N736" s="464">
        <f t="shared" si="57"/>
        <v>73447</v>
      </c>
    </row>
    <row r="737" spans="7:14" ht="11.25" customHeight="1" x14ac:dyDescent="0.3">
      <c r="G737" s="459">
        <f t="shared" si="75"/>
        <v>61</v>
      </c>
      <c r="H737" s="459">
        <v>730</v>
      </c>
      <c r="I737" s="444">
        <f t="shared" ca="1" si="55"/>
        <v>-2939849.9249890358</v>
      </c>
      <c r="J737" s="444">
        <f t="array" ref="J737">IFERROR(INDEX('Retirement Calculator'!K:K,MATCH('Lorri 401b'!N737,'Retirement Calculator'!A:A,0),0),0)</f>
        <v>20367.195264578786</v>
      </c>
      <c r="K737" s="444">
        <f t="shared" ca="1" si="53"/>
        <v>-12334.238001056727</v>
      </c>
      <c r="L737" s="444">
        <f t="shared" ca="1" si="54"/>
        <v>-2972551.3582546716</v>
      </c>
      <c r="M737" s="460">
        <f t="shared" si="56"/>
        <v>0.05</v>
      </c>
      <c r="N737" s="464">
        <f t="shared" si="57"/>
        <v>73475</v>
      </c>
    </row>
    <row r="738" spans="7:14" ht="11.25" customHeight="1" x14ac:dyDescent="0.3">
      <c r="G738" s="459">
        <f t="shared" si="75"/>
        <v>61</v>
      </c>
      <c r="H738" s="459">
        <v>731</v>
      </c>
      <c r="I738" s="444">
        <f t="shared" ca="1" si="55"/>
        <v>-2972551.3582546716</v>
      </c>
      <c r="J738" s="444">
        <f t="array" ref="J738">IFERROR(INDEX('Retirement Calculator'!K:K,MATCH('Lorri 401b'!N738,'Retirement Calculator'!A:A,0),0),0)</f>
        <v>20367.195264578786</v>
      </c>
      <c r="K738" s="444">
        <f t="shared" ca="1" si="53"/>
        <v>-12470.493972996876</v>
      </c>
      <c r="L738" s="444">
        <f t="shared" ca="1" si="54"/>
        <v>-3005389.0474922471</v>
      </c>
      <c r="M738" s="460">
        <f t="shared" si="56"/>
        <v>0.05</v>
      </c>
      <c r="N738" s="464">
        <f t="shared" si="57"/>
        <v>73506</v>
      </c>
    </row>
    <row r="739" spans="7:14" ht="11.25" customHeight="1" x14ac:dyDescent="0.3">
      <c r="G739" s="459">
        <f t="shared" si="75"/>
        <v>61</v>
      </c>
      <c r="H739" s="459">
        <v>732</v>
      </c>
      <c r="I739" s="444">
        <f t="shared" ca="1" si="55"/>
        <v>-3005389.0474922471</v>
      </c>
      <c r="J739" s="444">
        <f t="array" ref="J739">IFERROR(INDEX('Retirement Calculator'!K:K,MATCH('Lorri 401b'!N739,'Retirement Calculator'!A:A,0),0),0)</f>
        <v>20367.195264578786</v>
      </c>
      <c r="K739" s="444">
        <f t="shared" ca="1" si="53"/>
        <v>-12607.31767815344</v>
      </c>
      <c r="L739" s="444">
        <f t="shared" ca="1" si="54"/>
        <v>-3038363.5604349794</v>
      </c>
      <c r="M739" s="460">
        <f t="shared" si="56"/>
        <v>0.05</v>
      </c>
      <c r="N739" s="464">
        <f t="shared" si="57"/>
        <v>73536</v>
      </c>
    </row>
    <row r="740" spans="7:14" ht="11.25" customHeight="1" x14ac:dyDescent="0.3">
      <c r="G740" s="459">
        <f>G739+1</f>
        <v>62</v>
      </c>
      <c r="H740" s="459">
        <v>733</v>
      </c>
      <c r="I740" s="444">
        <f t="shared" ca="1" si="55"/>
        <v>-3038363.5604349794</v>
      </c>
      <c r="J740" s="444">
        <f t="array" ref="J740">IFERROR(INDEX('Retirement Calculator'!K:K,MATCH('Lorri 401b'!N740,'Retirement Calculator'!A:A,0),0),0)</f>
        <v>20367.195264578786</v>
      </c>
      <c r="K740" s="444">
        <f t="shared" ca="1" si="53"/>
        <v>-12744.711482081493</v>
      </c>
      <c r="L740" s="444">
        <f t="shared" ca="1" si="54"/>
        <v>-3071475.4671816397</v>
      </c>
      <c r="M740" s="460">
        <f t="shared" si="56"/>
        <v>0.05</v>
      </c>
      <c r="N740" s="464">
        <f t="shared" si="57"/>
        <v>73567</v>
      </c>
    </row>
    <row r="741" spans="7:14" ht="11.25" customHeight="1" x14ac:dyDescent="0.3">
      <c r="G741" s="459">
        <f t="shared" ref="G741:G751" si="76">G740</f>
        <v>62</v>
      </c>
      <c r="H741" s="459">
        <v>734</v>
      </c>
      <c r="I741" s="444">
        <f t="shared" ca="1" si="55"/>
        <v>-3071475.4671816397</v>
      </c>
      <c r="J741" s="444">
        <f t="array" ref="J741">IFERROR(INDEX('Retirement Calculator'!K:K,MATCH('Lorri 401b'!N741,'Retirement Calculator'!A:A,0),0),0)</f>
        <v>20367.195264578786</v>
      </c>
      <c r="K741" s="444">
        <f t="shared" ca="1" si="53"/>
        <v>-12882.677760192577</v>
      </c>
      <c r="L741" s="444">
        <f t="shared" ca="1" si="54"/>
        <v>-3104725.3402064112</v>
      </c>
      <c r="M741" s="460">
        <f t="shared" si="56"/>
        <v>0.05</v>
      </c>
      <c r="N741" s="464">
        <f t="shared" si="57"/>
        <v>73597</v>
      </c>
    </row>
    <row r="742" spans="7:14" ht="11.25" customHeight="1" x14ac:dyDescent="0.3">
      <c r="G742" s="459">
        <f t="shared" si="76"/>
        <v>62</v>
      </c>
      <c r="H742" s="459">
        <v>735</v>
      </c>
      <c r="I742" s="444">
        <f t="shared" ca="1" si="55"/>
        <v>-3104725.3402064112</v>
      </c>
      <c r="J742" s="444">
        <f t="array" ref="J742">IFERROR(INDEX('Retirement Calculator'!K:K,MATCH('Lorri 401b'!N742,'Retirement Calculator'!A:A,0),0),0)</f>
        <v>20367.195264578786</v>
      </c>
      <c r="K742" s="444">
        <f t="shared" ca="1" si="53"/>
        <v>-13021.218897795792</v>
      </c>
      <c r="L742" s="444">
        <f t="shared" ca="1" si="54"/>
        <v>-3138113.7543687858</v>
      </c>
      <c r="M742" s="460">
        <f t="shared" si="56"/>
        <v>0.05</v>
      </c>
      <c r="N742" s="464">
        <f t="shared" si="57"/>
        <v>73628</v>
      </c>
    </row>
    <row r="743" spans="7:14" ht="11.25" customHeight="1" x14ac:dyDescent="0.3">
      <c r="G743" s="459">
        <f t="shared" si="76"/>
        <v>62</v>
      </c>
      <c r="H743" s="459">
        <v>736</v>
      </c>
      <c r="I743" s="444">
        <f t="shared" ca="1" si="55"/>
        <v>-3138113.7543687858</v>
      </c>
      <c r="J743" s="444">
        <f t="array" ref="J743">IFERROR(INDEX('Retirement Calculator'!K:K,MATCH('Lorri 401b'!N743,'Retirement Calculator'!A:A,0),0),0)</f>
        <v>20367.195264578786</v>
      </c>
      <c r="K743" s="444">
        <f t="shared" ca="1" si="53"/>
        <v>-13160.337290139019</v>
      </c>
      <c r="L743" s="444">
        <f t="shared" ca="1" si="54"/>
        <v>-3171641.2869235035</v>
      </c>
      <c r="M743" s="460">
        <f t="shared" si="56"/>
        <v>0.05</v>
      </c>
      <c r="N743" s="464">
        <f t="shared" si="57"/>
        <v>73659</v>
      </c>
    </row>
    <row r="744" spans="7:14" ht="11.25" customHeight="1" x14ac:dyDescent="0.3">
      <c r="G744" s="459">
        <f t="shared" si="76"/>
        <v>62</v>
      </c>
      <c r="H744" s="459">
        <v>737</v>
      </c>
      <c r="I744" s="444">
        <f t="shared" ca="1" si="55"/>
        <v>-3171641.2869235035</v>
      </c>
      <c r="J744" s="444">
        <f t="array" ref="J744">IFERROR(INDEX('Retirement Calculator'!K:K,MATCH('Lorri 401b'!N744,'Retirement Calculator'!A:A,0),0),0)</f>
        <v>20367.195264578786</v>
      </c>
      <c r="K744" s="444">
        <f t="shared" ca="1" si="53"/>
        <v>-13300.035342450343</v>
      </c>
      <c r="L744" s="444">
        <f t="shared" ca="1" si="54"/>
        <v>-3205308.5175305326</v>
      </c>
      <c r="M744" s="460">
        <f t="shared" si="56"/>
        <v>0.05</v>
      </c>
      <c r="N744" s="464">
        <f t="shared" si="57"/>
        <v>73689</v>
      </c>
    </row>
    <row r="745" spans="7:14" ht="11.25" customHeight="1" x14ac:dyDescent="0.3">
      <c r="G745" s="459">
        <f t="shared" si="76"/>
        <v>62</v>
      </c>
      <c r="H745" s="459">
        <v>738</v>
      </c>
      <c r="I745" s="444">
        <f t="shared" ca="1" si="55"/>
        <v>-3205308.5175305326</v>
      </c>
      <c r="J745" s="444">
        <f t="array" ref="J745">IFERROR(INDEX('Retirement Calculator'!K:K,MATCH('Lorri 401b'!N745,'Retirement Calculator'!A:A,0),0),0)</f>
        <v>20367.195264578786</v>
      </c>
      <c r="K745" s="444">
        <f t="shared" ca="1" si="53"/>
        <v>-13440.315469979631</v>
      </c>
      <c r="L745" s="444">
        <f t="shared" ca="1" si="54"/>
        <v>-3239116.0282650911</v>
      </c>
      <c r="M745" s="460">
        <f t="shared" si="56"/>
        <v>0.05</v>
      </c>
      <c r="N745" s="464">
        <f t="shared" si="57"/>
        <v>73720</v>
      </c>
    </row>
    <row r="746" spans="7:14" ht="11.25" customHeight="1" x14ac:dyDescent="0.3">
      <c r="G746" s="459">
        <f t="shared" si="76"/>
        <v>62</v>
      </c>
      <c r="H746" s="459">
        <v>739</v>
      </c>
      <c r="I746" s="444">
        <f t="shared" ca="1" si="55"/>
        <v>-3239116.0282650911</v>
      </c>
      <c r="J746" s="444">
        <f t="array" ref="J746">IFERROR(INDEX('Retirement Calculator'!K:K,MATCH('Lorri 401b'!N746,'Retirement Calculator'!A:A,0),0),0)</f>
        <v>20367.195264578786</v>
      </c>
      <c r="K746" s="444">
        <f t="shared" ca="1" si="53"/>
        <v>-13581.180098040291</v>
      </c>
      <c r="L746" s="444">
        <f t="shared" ca="1" si="54"/>
        <v>-3273064.4036277104</v>
      </c>
      <c r="M746" s="460">
        <f t="shared" si="56"/>
        <v>0.05</v>
      </c>
      <c r="N746" s="464">
        <f t="shared" si="57"/>
        <v>73750</v>
      </c>
    </row>
    <row r="747" spans="7:14" ht="11.25" customHeight="1" x14ac:dyDescent="0.3">
      <c r="G747" s="459">
        <f t="shared" si="76"/>
        <v>62</v>
      </c>
      <c r="H747" s="459">
        <v>740</v>
      </c>
      <c r="I747" s="444">
        <f t="shared" ca="1" si="55"/>
        <v>-3273064.4036277104</v>
      </c>
      <c r="J747" s="444">
        <f t="array" ref="J747">IFERROR(INDEX('Retirement Calculator'!K:K,MATCH('Lorri 401b'!N747,'Retirement Calculator'!A:A,0),0),0)</f>
        <v>20367.195264578786</v>
      </c>
      <c r="K747" s="444">
        <f t="shared" ca="1" si="53"/>
        <v>-13722.631662051204</v>
      </c>
      <c r="L747" s="444">
        <f t="shared" ca="1" si="54"/>
        <v>-3307154.2305543404</v>
      </c>
      <c r="M747" s="460">
        <f t="shared" si="56"/>
        <v>0.05</v>
      </c>
      <c r="N747" s="464">
        <f t="shared" si="57"/>
        <v>73781</v>
      </c>
    </row>
    <row r="748" spans="7:14" ht="11.25" customHeight="1" x14ac:dyDescent="0.3">
      <c r="G748" s="459">
        <f t="shared" si="76"/>
        <v>62</v>
      </c>
      <c r="H748" s="459">
        <v>741</v>
      </c>
      <c r="I748" s="444">
        <f t="shared" ca="1" si="55"/>
        <v>-3307154.2305543404</v>
      </c>
      <c r="J748" s="444">
        <f t="array" ref="J748">IFERROR(INDEX('Retirement Calculator'!K:K,MATCH('Lorri 401b'!N748,'Retirement Calculator'!A:A,0),0),0)</f>
        <v>20367.195264578786</v>
      </c>
      <c r="K748" s="444">
        <f t="shared" ca="1" si="53"/>
        <v>-13864.67260757883</v>
      </c>
      <c r="L748" s="444">
        <f t="shared" ca="1" si="54"/>
        <v>-3341386.098426498</v>
      </c>
      <c r="M748" s="460">
        <f t="shared" si="56"/>
        <v>0.05</v>
      </c>
      <c r="N748" s="464">
        <f t="shared" si="57"/>
        <v>73812</v>
      </c>
    </row>
    <row r="749" spans="7:14" ht="11.25" customHeight="1" x14ac:dyDescent="0.3">
      <c r="G749" s="459">
        <f t="shared" si="76"/>
        <v>62</v>
      </c>
      <c r="H749" s="459">
        <v>742</v>
      </c>
      <c r="I749" s="444">
        <f t="shared" ca="1" si="55"/>
        <v>-3341386.098426498</v>
      </c>
      <c r="J749" s="444">
        <f t="array" ref="J749">IFERROR(INDEX('Retirement Calculator'!K:K,MATCH('Lorri 401b'!N749,'Retirement Calculator'!A:A,0),0),0)</f>
        <v>20367.195264578786</v>
      </c>
      <c r="K749" s="444">
        <f t="shared" ca="1" si="53"/>
        <v>-14007.305390379486</v>
      </c>
      <c r="L749" s="444">
        <f t="shared" ca="1" si="54"/>
        <v>-3375760.5990814562</v>
      </c>
      <c r="M749" s="460">
        <f t="shared" si="56"/>
        <v>0.05</v>
      </c>
      <c r="N749" s="464">
        <f t="shared" si="57"/>
        <v>73840</v>
      </c>
    </row>
    <row r="750" spans="7:14" ht="11.25" customHeight="1" x14ac:dyDescent="0.3">
      <c r="G750" s="459">
        <f t="shared" si="76"/>
        <v>62</v>
      </c>
      <c r="H750" s="459">
        <v>743</v>
      </c>
      <c r="I750" s="444">
        <f t="shared" ca="1" si="55"/>
        <v>-3375760.5990814562</v>
      </c>
      <c r="J750" s="444">
        <f t="array" ref="J750">IFERROR(INDEX('Retirement Calculator'!K:K,MATCH('Lorri 401b'!N750,'Retirement Calculator'!A:A,0),0),0)</f>
        <v>20367.195264578786</v>
      </c>
      <c r="K750" s="444">
        <f t="shared" ca="1" si="53"/>
        <v>-14150.532476441813</v>
      </c>
      <c r="L750" s="444">
        <f t="shared" ca="1" si="54"/>
        <v>-3410278.3268224769</v>
      </c>
      <c r="M750" s="460">
        <f t="shared" si="56"/>
        <v>0.05</v>
      </c>
      <c r="N750" s="464">
        <f t="shared" si="57"/>
        <v>73871</v>
      </c>
    </row>
    <row r="751" spans="7:14" ht="11.25" customHeight="1" x14ac:dyDescent="0.3">
      <c r="G751" s="459">
        <f t="shared" si="76"/>
        <v>62</v>
      </c>
      <c r="H751" s="459">
        <v>744</v>
      </c>
      <c r="I751" s="444">
        <f t="shared" ca="1" si="55"/>
        <v>-3410278.3268224769</v>
      </c>
      <c r="J751" s="444">
        <f t="array" ref="J751">IFERROR(INDEX('Retirement Calculator'!K:K,MATCH('Lorri 401b'!N751,'Retirement Calculator'!A:A,0),0),0)</f>
        <v>20367.195264578786</v>
      </c>
      <c r="K751" s="444">
        <f t="shared" ca="1" si="53"/>
        <v>-14294.356342029396</v>
      </c>
      <c r="L751" s="444">
        <f t="shared" ca="1" si="54"/>
        <v>-3444939.878429085</v>
      </c>
      <c r="M751" s="460">
        <f t="shared" si="56"/>
        <v>0.05</v>
      </c>
      <c r="N751" s="464">
        <f t="shared" si="57"/>
        <v>73901</v>
      </c>
    </row>
    <row r="752" spans="7:14" ht="11.25" customHeight="1" x14ac:dyDescent="0.3">
      <c r="G752" s="459">
        <f>G751+1</f>
        <v>63</v>
      </c>
      <c r="H752" s="459">
        <v>745</v>
      </c>
      <c r="I752" s="444">
        <f t="shared" ca="1" si="55"/>
        <v>-3444939.878429085</v>
      </c>
      <c r="J752" s="444">
        <f t="array" ref="J752">IFERROR(INDEX('Retirement Calculator'!K:K,MATCH('Lorri 401b'!N752,'Retirement Calculator'!A:A,0),0),0)</f>
        <v>20367.195264578786</v>
      </c>
      <c r="K752" s="444">
        <f t="shared" ca="1" si="53"/>
        <v>-14438.779473723598</v>
      </c>
      <c r="L752" s="444">
        <f t="shared" ca="1" si="54"/>
        <v>-3479745.8531673872</v>
      </c>
      <c r="M752" s="460">
        <f t="shared" si="56"/>
        <v>0.05</v>
      </c>
      <c r="N752" s="464">
        <f t="shared" si="57"/>
        <v>73932</v>
      </c>
    </row>
    <row r="753" spans="7:14" ht="11.25" customHeight="1" x14ac:dyDescent="0.3">
      <c r="G753" s="459">
        <f t="shared" ref="G753:G763" si="77">G752</f>
        <v>63</v>
      </c>
      <c r="H753" s="459">
        <v>746</v>
      </c>
      <c r="I753" s="444">
        <f t="shared" ca="1" si="55"/>
        <v>-3479745.8531673872</v>
      </c>
      <c r="J753" s="444">
        <f t="array" ref="J753">IFERROR(INDEX('Retirement Calculator'!K:K,MATCH('Lorri 401b'!N753,'Retirement Calculator'!A:A,0),0),0)</f>
        <v>20367.195264578786</v>
      </c>
      <c r="K753" s="444">
        <f t="shared" ca="1" si="53"/>
        <v>-14583.804368466526</v>
      </c>
      <c r="L753" s="444">
        <f t="shared" ca="1" si="54"/>
        <v>-3514696.8528004326</v>
      </c>
      <c r="M753" s="460">
        <f t="shared" si="56"/>
        <v>0.05</v>
      </c>
      <c r="N753" s="464">
        <f t="shared" si="57"/>
        <v>73962</v>
      </c>
    </row>
    <row r="754" spans="7:14" ht="11.25" customHeight="1" x14ac:dyDescent="0.3">
      <c r="G754" s="459">
        <f t="shared" si="77"/>
        <v>63</v>
      </c>
      <c r="H754" s="459">
        <v>747</v>
      </c>
      <c r="I754" s="444">
        <f t="shared" ca="1" si="55"/>
        <v>-3514696.8528004326</v>
      </c>
      <c r="J754" s="444">
        <f t="array" ref="J754">IFERROR(INDEX('Retirement Calculator'!K:K,MATCH('Lorri 401b'!N754,'Retirement Calculator'!A:A,0),0),0)</f>
        <v>20367.195264578786</v>
      </c>
      <c r="K754" s="444">
        <f t="shared" ca="1" si="53"/>
        <v>-14729.433533604213</v>
      </c>
      <c r="L754" s="444">
        <f t="shared" ca="1" si="54"/>
        <v>-3549793.4815986156</v>
      </c>
      <c r="M754" s="460">
        <f t="shared" si="56"/>
        <v>0.05</v>
      </c>
      <c r="N754" s="464">
        <f t="shared" si="57"/>
        <v>73993</v>
      </c>
    </row>
    <row r="755" spans="7:14" ht="11.25" customHeight="1" x14ac:dyDescent="0.3">
      <c r="G755" s="459">
        <f t="shared" si="77"/>
        <v>63</v>
      </c>
      <c r="H755" s="459">
        <v>748</v>
      </c>
      <c r="I755" s="444">
        <f t="shared" ca="1" si="55"/>
        <v>-3549793.4815986156</v>
      </c>
      <c r="J755" s="444">
        <f t="array" ref="J755">IFERROR(INDEX('Retirement Calculator'!K:K,MATCH('Lorri 401b'!N755,'Retirement Calculator'!A:A,0),0),0)</f>
        <v>20367.195264578786</v>
      </c>
      <c r="K755" s="444">
        <f t="shared" ca="1" si="53"/>
        <v>-14875.669486929975</v>
      </c>
      <c r="L755" s="444">
        <f t="shared" ca="1" si="54"/>
        <v>-3585036.3463501246</v>
      </c>
      <c r="M755" s="460">
        <f t="shared" si="56"/>
        <v>0.05</v>
      </c>
      <c r="N755" s="464">
        <f t="shared" si="57"/>
        <v>74024</v>
      </c>
    </row>
    <row r="756" spans="7:14" ht="11.25" customHeight="1" x14ac:dyDescent="0.3">
      <c r="G756" s="459">
        <f t="shared" si="77"/>
        <v>63</v>
      </c>
      <c r="H756" s="459">
        <v>749</v>
      </c>
      <c r="I756" s="444">
        <f t="shared" ca="1" si="55"/>
        <v>-3585036.3463501246</v>
      </c>
      <c r="J756" s="444">
        <f t="array" ref="J756">IFERROR(INDEX('Retirement Calculator'!K:K,MATCH('Lorri 401b'!N756,'Retirement Calculator'!A:A,0),0),0)</f>
        <v>20367.195264578786</v>
      </c>
      <c r="K756" s="444">
        <f t="shared" ca="1" si="53"/>
        <v>-15022.514756727933</v>
      </c>
      <c r="L756" s="444">
        <f t="shared" ca="1" si="54"/>
        <v>-3620426.0563714313</v>
      </c>
      <c r="M756" s="460">
        <f t="shared" si="56"/>
        <v>0.05</v>
      </c>
      <c r="N756" s="464">
        <f t="shared" si="57"/>
        <v>74054</v>
      </c>
    </row>
    <row r="757" spans="7:14" ht="11.25" customHeight="1" x14ac:dyDescent="0.3">
      <c r="G757" s="459">
        <f t="shared" si="77"/>
        <v>63</v>
      </c>
      <c r="H757" s="459">
        <v>750</v>
      </c>
      <c r="I757" s="444">
        <f t="shared" ca="1" si="55"/>
        <v>-3620426.0563714313</v>
      </c>
      <c r="J757" s="444">
        <f t="array" ref="J757">IFERROR(INDEX('Retirement Calculator'!K:K,MATCH('Lorri 401b'!N757,'Retirement Calculator'!A:A,0),0),0)</f>
        <v>20367.195264578786</v>
      </c>
      <c r="K757" s="444">
        <f t="shared" ca="1" si="53"/>
        <v>-15169.971881816709</v>
      </c>
      <c r="L757" s="444">
        <f t="shared" ca="1" si="54"/>
        <v>-3655963.2235178268</v>
      </c>
      <c r="M757" s="460">
        <f t="shared" si="56"/>
        <v>0.05</v>
      </c>
      <c r="N757" s="464">
        <f t="shared" si="57"/>
        <v>74085</v>
      </c>
    </row>
    <row r="758" spans="7:14" ht="11.25" customHeight="1" x14ac:dyDescent="0.3">
      <c r="G758" s="459">
        <f t="shared" si="77"/>
        <v>63</v>
      </c>
      <c r="H758" s="459">
        <v>751</v>
      </c>
      <c r="I758" s="444">
        <f t="shared" ca="1" si="55"/>
        <v>-3655963.2235178268</v>
      </c>
      <c r="J758" s="444">
        <f t="array" ref="J758">IFERROR(INDEX('Retirement Calculator'!K:K,MATCH('Lorri 401b'!N758,'Retirement Calculator'!A:A,0),0),0)</f>
        <v>20367.195264578786</v>
      </c>
      <c r="K758" s="444">
        <f t="shared" ca="1" si="53"/>
        <v>-15318.043411593357</v>
      </c>
      <c r="L758" s="444">
        <f t="shared" ca="1" si="54"/>
        <v>-3691648.462193999</v>
      </c>
      <c r="M758" s="460">
        <f t="shared" si="56"/>
        <v>0.05</v>
      </c>
      <c r="N758" s="464">
        <f t="shared" si="57"/>
        <v>74115</v>
      </c>
    </row>
    <row r="759" spans="7:14" ht="11.25" customHeight="1" x14ac:dyDescent="0.3">
      <c r="G759" s="459">
        <f t="shared" si="77"/>
        <v>63</v>
      </c>
      <c r="H759" s="459">
        <v>752</v>
      </c>
      <c r="I759" s="444">
        <f t="shared" ca="1" si="55"/>
        <v>-3691648.462193999</v>
      </c>
      <c r="J759" s="444">
        <f t="array" ref="J759">IFERROR(INDEX('Retirement Calculator'!K:K,MATCH('Lorri 401b'!N759,'Retirement Calculator'!A:A,0),0),0)</f>
        <v>20367.195264578786</v>
      </c>
      <c r="K759" s="444">
        <f t="shared" ca="1" si="53"/>
        <v>-15466.731906077404</v>
      </c>
      <c r="L759" s="444">
        <f t="shared" ca="1" si="54"/>
        <v>-3727482.3893646551</v>
      </c>
      <c r="M759" s="460">
        <f t="shared" si="56"/>
        <v>0.05</v>
      </c>
      <c r="N759" s="464">
        <f t="shared" si="57"/>
        <v>74146</v>
      </c>
    </row>
    <row r="760" spans="7:14" ht="11.25" customHeight="1" x14ac:dyDescent="0.3">
      <c r="G760" s="459">
        <f t="shared" si="77"/>
        <v>63</v>
      </c>
      <c r="H760" s="459">
        <v>753</v>
      </c>
      <c r="I760" s="444">
        <f t="shared" ca="1" si="55"/>
        <v>-3727482.3893646551</v>
      </c>
      <c r="J760" s="444">
        <f t="array" ref="J760">IFERROR(INDEX('Retirement Calculator'!K:K,MATCH('Lorri 401b'!N760,'Retirement Calculator'!A:A,0),0),0)</f>
        <v>20367.195264578786</v>
      </c>
      <c r="K760" s="444">
        <f t="shared" ca="1" si="53"/>
        <v>-15616.039935955143</v>
      </c>
      <c r="L760" s="444">
        <f t="shared" ca="1" si="54"/>
        <v>-3763465.6245651892</v>
      </c>
      <c r="M760" s="460">
        <f t="shared" si="56"/>
        <v>0.05</v>
      </c>
      <c r="N760" s="464">
        <f t="shared" si="57"/>
        <v>74177</v>
      </c>
    </row>
    <row r="761" spans="7:14" ht="11.25" customHeight="1" x14ac:dyDescent="0.3">
      <c r="G761" s="459">
        <f t="shared" si="77"/>
        <v>63</v>
      </c>
      <c r="H761" s="459">
        <v>754</v>
      </c>
      <c r="I761" s="444">
        <f t="shared" ca="1" si="55"/>
        <v>-3763465.6245651892</v>
      </c>
      <c r="J761" s="444">
        <f t="array" ref="J761">IFERROR(INDEX('Retirement Calculator'!K:K,MATCH('Lorri 401b'!N761,'Retirement Calculator'!A:A,0),0),0)</f>
        <v>20367.195264578786</v>
      </c>
      <c r="K761" s="444">
        <f t="shared" ca="1" si="53"/>
        <v>-15765.970082624035</v>
      </c>
      <c r="L761" s="444">
        <f t="shared" ca="1" si="54"/>
        <v>-3799598.7899123919</v>
      </c>
      <c r="M761" s="460">
        <f t="shared" si="56"/>
        <v>0.05</v>
      </c>
      <c r="N761" s="464">
        <f t="shared" si="57"/>
        <v>74205</v>
      </c>
    </row>
    <row r="762" spans="7:14" ht="11.25" customHeight="1" x14ac:dyDescent="0.3">
      <c r="G762" s="459">
        <f t="shared" si="77"/>
        <v>63</v>
      </c>
      <c r="H762" s="459">
        <v>755</v>
      </c>
      <c r="I762" s="444">
        <f t="shared" ca="1" si="55"/>
        <v>-3799598.7899123919</v>
      </c>
      <c r="J762" s="444">
        <f t="array" ref="J762">IFERROR(INDEX('Retirement Calculator'!K:K,MATCH('Lorri 401b'!N762,'Retirement Calculator'!A:A,0),0),0)</f>
        <v>20367.195264578786</v>
      </c>
      <c r="K762" s="444">
        <f t="shared" ca="1" si="53"/>
        <v>-15916.524938237379</v>
      </c>
      <c r="L762" s="444">
        <f t="shared" ca="1" si="54"/>
        <v>-3835882.5101152081</v>
      </c>
      <c r="M762" s="460">
        <f t="shared" si="56"/>
        <v>0.05</v>
      </c>
      <c r="N762" s="464">
        <f t="shared" si="57"/>
        <v>74236</v>
      </c>
    </row>
    <row r="763" spans="7:14" ht="11.25" customHeight="1" x14ac:dyDescent="0.3">
      <c r="G763" s="459">
        <f t="shared" si="77"/>
        <v>63</v>
      </c>
      <c r="H763" s="459">
        <v>756</v>
      </c>
      <c r="I763" s="444">
        <f t="shared" ca="1" si="55"/>
        <v>-3835882.5101152081</v>
      </c>
      <c r="J763" s="444">
        <f t="array" ref="J763">IFERROR(INDEX('Retirement Calculator'!K:K,MATCH('Lorri 401b'!N763,'Retirement Calculator'!A:A,0),0),0)</f>
        <v>20367.195264578786</v>
      </c>
      <c r="K763" s="444">
        <f t="shared" ca="1" si="53"/>
        <v>-16067.707105749114</v>
      </c>
      <c r="L763" s="444">
        <f t="shared" ca="1" si="54"/>
        <v>-3872317.4124855362</v>
      </c>
      <c r="M763" s="460">
        <f t="shared" si="56"/>
        <v>0.05</v>
      </c>
      <c r="N763" s="464">
        <f t="shared" si="57"/>
        <v>74266</v>
      </c>
    </row>
    <row r="764" spans="7:14" ht="11.25" customHeight="1" x14ac:dyDescent="0.3">
      <c r="G764" s="459">
        <f>G763+1</f>
        <v>64</v>
      </c>
      <c r="H764" s="459">
        <v>757</v>
      </c>
      <c r="I764" s="444">
        <f t="shared" ca="1" si="55"/>
        <v>-3872317.4124855362</v>
      </c>
      <c r="J764" s="444">
        <f t="array" ref="J764">IFERROR(INDEX('Retirement Calculator'!K:K,MATCH('Lorri 401b'!N764,'Retirement Calculator'!A:A,0),0),0)</f>
        <v>20367.195264578786</v>
      </c>
      <c r="K764" s="444">
        <f t="shared" ca="1" si="53"/>
        <v>-16219.519198958811</v>
      </c>
      <c r="L764" s="444">
        <f t="shared" ca="1" si="54"/>
        <v>-3908904.1269490737</v>
      </c>
      <c r="M764" s="460">
        <f t="shared" si="56"/>
        <v>0.05</v>
      </c>
      <c r="N764" s="464">
        <f t="shared" si="57"/>
        <v>74297</v>
      </c>
    </row>
    <row r="765" spans="7:14" ht="11.25" customHeight="1" x14ac:dyDescent="0.3">
      <c r="G765" s="459">
        <f t="shared" ref="G765:G775" si="78">G764</f>
        <v>64</v>
      </c>
      <c r="H765" s="459">
        <v>758</v>
      </c>
      <c r="I765" s="444">
        <f t="shared" ca="1" si="55"/>
        <v>-3908904.1269490737</v>
      </c>
      <c r="J765" s="444">
        <f t="array" ref="J765">IFERROR(INDEX('Retirement Calculator'!K:K,MATCH('Lorri 401b'!N765,'Retirement Calculator'!A:A,0),0),0)</f>
        <v>20367.195264578786</v>
      </c>
      <c r="K765" s="444">
        <f t="shared" ca="1" si="53"/>
        <v>-16371.963842556883</v>
      </c>
      <c r="L765" s="444">
        <f t="shared" ca="1" si="54"/>
        <v>-3945643.2860562094</v>
      </c>
      <c r="M765" s="460">
        <f t="shared" si="56"/>
        <v>0.05</v>
      </c>
      <c r="N765" s="464">
        <f t="shared" si="57"/>
        <v>74327</v>
      </c>
    </row>
    <row r="766" spans="7:14" ht="11.25" customHeight="1" x14ac:dyDescent="0.3">
      <c r="G766" s="459">
        <f t="shared" si="78"/>
        <v>64</v>
      </c>
      <c r="H766" s="459">
        <v>759</v>
      </c>
      <c r="I766" s="444">
        <f t="shared" ca="1" si="55"/>
        <v>-3945643.2860562094</v>
      </c>
      <c r="J766" s="444">
        <f t="array" ref="J766">IFERROR(INDEX('Retirement Calculator'!K:K,MATCH('Lorri 401b'!N766,'Retirement Calculator'!A:A,0),0),0)</f>
        <v>20367.195264578786</v>
      </c>
      <c r="K766" s="444">
        <f t="shared" ca="1" si="53"/>
        <v>-16525.043672169952</v>
      </c>
      <c r="L766" s="444">
        <f t="shared" ca="1" si="54"/>
        <v>-3982535.5249929582</v>
      </c>
      <c r="M766" s="460">
        <f t="shared" si="56"/>
        <v>0.05</v>
      </c>
      <c r="N766" s="464">
        <f t="shared" si="57"/>
        <v>74358</v>
      </c>
    </row>
    <row r="767" spans="7:14" ht="11.25" customHeight="1" x14ac:dyDescent="0.3">
      <c r="G767" s="459">
        <f t="shared" si="78"/>
        <v>64</v>
      </c>
      <c r="H767" s="459">
        <v>760</v>
      </c>
      <c r="I767" s="444">
        <f t="shared" ca="1" si="55"/>
        <v>-3982535.5249929582</v>
      </c>
      <c r="J767" s="444">
        <f t="array" ref="J767">IFERROR(INDEX('Retirement Calculator'!K:K,MATCH('Lorri 401b'!N767,'Retirement Calculator'!A:A,0),0),0)</f>
        <v>20367.195264578786</v>
      </c>
      <c r="K767" s="444">
        <f t="shared" ca="1" si="53"/>
        <v>-16678.761334406405</v>
      </c>
      <c r="L767" s="444">
        <f t="shared" ca="1" si="54"/>
        <v>-4019581.4815919432</v>
      </c>
      <c r="M767" s="460">
        <f t="shared" si="56"/>
        <v>0.05</v>
      </c>
      <c r="N767" s="464">
        <f t="shared" si="57"/>
        <v>74389</v>
      </c>
    </row>
    <row r="768" spans="7:14" ht="11.25" customHeight="1" x14ac:dyDescent="0.3">
      <c r="G768" s="459">
        <f t="shared" si="78"/>
        <v>64</v>
      </c>
      <c r="H768" s="459">
        <v>761</v>
      </c>
      <c r="I768" s="444">
        <f t="shared" ca="1" si="55"/>
        <v>-4019581.4815919432</v>
      </c>
      <c r="J768" s="444">
        <f t="array" ref="J768">IFERROR(INDEX('Retirement Calculator'!K:K,MATCH('Lorri 401b'!N768,'Retirement Calculator'!A:A,0),0),0)</f>
        <v>20367.195264578786</v>
      </c>
      <c r="K768" s="444">
        <f t="shared" ca="1" si="53"/>
        <v>-16833.119486902175</v>
      </c>
      <c r="L768" s="444">
        <f t="shared" ca="1" si="54"/>
        <v>-4056781.7963434244</v>
      </c>
      <c r="M768" s="460">
        <f t="shared" si="56"/>
        <v>0.05</v>
      </c>
      <c r="N768" s="464">
        <f t="shared" si="57"/>
        <v>74419</v>
      </c>
    </row>
    <row r="769" spans="7:14" ht="11.25" customHeight="1" x14ac:dyDescent="0.3">
      <c r="G769" s="459">
        <f t="shared" si="78"/>
        <v>64</v>
      </c>
      <c r="H769" s="459">
        <v>762</v>
      </c>
      <c r="I769" s="444">
        <f t="shared" ca="1" si="55"/>
        <v>-4056781.7963434244</v>
      </c>
      <c r="J769" s="444">
        <f t="array" ref="J769">IFERROR(INDEX('Retirement Calculator'!K:K,MATCH('Lorri 401b'!N769,'Retirement Calculator'!A:A,0),0),0)</f>
        <v>20367.195264578786</v>
      </c>
      <c r="K769" s="444">
        <f t="shared" ca="1" si="53"/>
        <v>-16988.120798366683</v>
      </c>
      <c r="L769" s="444">
        <f t="shared" ca="1" si="54"/>
        <v>-4094137.1124063698</v>
      </c>
      <c r="M769" s="460">
        <f t="shared" si="56"/>
        <v>0.05</v>
      </c>
      <c r="N769" s="464">
        <f t="shared" si="57"/>
        <v>74450</v>
      </c>
    </row>
    <row r="770" spans="7:14" ht="11.25" customHeight="1" x14ac:dyDescent="0.3">
      <c r="G770" s="459">
        <f t="shared" si="78"/>
        <v>64</v>
      </c>
      <c r="H770" s="459">
        <v>763</v>
      </c>
      <c r="I770" s="444">
        <f t="shared" ca="1" si="55"/>
        <v>-4094137.1124063698</v>
      </c>
      <c r="J770" s="444">
        <f t="array" ref="J770">IFERROR(INDEX('Retirement Calculator'!K:K,MATCH('Lorri 401b'!N770,'Retirement Calculator'!A:A,0),0),0)</f>
        <v>20367.195264578786</v>
      </c>
      <c r="K770" s="444">
        <f t="shared" ca="1" si="53"/>
        <v>-17143.767948628953</v>
      </c>
      <c r="L770" s="444">
        <f t="shared" ca="1" si="54"/>
        <v>-4131648.0756195774</v>
      </c>
      <c r="M770" s="460">
        <f t="shared" si="56"/>
        <v>0.05</v>
      </c>
      <c r="N770" s="464">
        <f t="shared" si="57"/>
        <v>74480</v>
      </c>
    </row>
    <row r="771" spans="7:14" ht="11.25" customHeight="1" x14ac:dyDescent="0.3">
      <c r="G771" s="459">
        <f t="shared" si="78"/>
        <v>64</v>
      </c>
      <c r="H771" s="459">
        <v>764</v>
      </c>
      <c r="I771" s="444">
        <f t="shared" ca="1" si="55"/>
        <v>-4131648.0756195774</v>
      </c>
      <c r="J771" s="444">
        <f t="array" ref="J771">IFERROR(INDEX('Retirement Calculator'!K:K,MATCH('Lorri 401b'!N771,'Retirement Calculator'!A:A,0),0),0)</f>
        <v>20367.195264578786</v>
      </c>
      <c r="K771" s="444">
        <f t="shared" ca="1" si="53"/>
        <v>-17300.063628683984</v>
      </c>
      <c r="L771" s="444">
        <f t="shared" ca="1" si="54"/>
        <v>-4169315.33451284</v>
      </c>
      <c r="M771" s="460">
        <f t="shared" si="56"/>
        <v>0.05</v>
      </c>
      <c r="N771" s="464">
        <f t="shared" si="57"/>
        <v>74511</v>
      </c>
    </row>
    <row r="772" spans="7:14" ht="11.25" customHeight="1" x14ac:dyDescent="0.3">
      <c r="G772" s="459">
        <f t="shared" si="78"/>
        <v>64</v>
      </c>
      <c r="H772" s="459">
        <v>765</v>
      </c>
      <c r="I772" s="444">
        <f t="shared" ca="1" si="55"/>
        <v>-4169315.33451284</v>
      </c>
      <c r="J772" s="444">
        <f t="array" ref="J772">IFERROR(INDEX('Retirement Calculator'!K:K,MATCH('Lorri 401b'!N772,'Retirement Calculator'!A:A,0),0),0)</f>
        <v>20367.195264578786</v>
      </c>
      <c r="K772" s="444">
        <f t="shared" ca="1" si="53"/>
        <v>-17457.010540739244</v>
      </c>
      <c r="L772" s="444">
        <f t="shared" ca="1" si="54"/>
        <v>-4207139.5403181585</v>
      </c>
      <c r="M772" s="460">
        <f t="shared" si="56"/>
        <v>0.05</v>
      </c>
      <c r="N772" s="464">
        <f t="shared" si="57"/>
        <v>74542</v>
      </c>
    </row>
    <row r="773" spans="7:14" ht="11.25" customHeight="1" x14ac:dyDescent="0.3">
      <c r="G773" s="459">
        <f t="shared" si="78"/>
        <v>64</v>
      </c>
      <c r="H773" s="459">
        <v>766</v>
      </c>
      <c r="I773" s="444">
        <f t="shared" ca="1" si="55"/>
        <v>-4207139.5403181585</v>
      </c>
      <c r="J773" s="444">
        <f t="array" ref="J773">IFERROR(INDEX('Retirement Calculator'!K:K,MATCH('Lorri 401b'!N773,'Retirement Calculator'!A:A,0),0),0)</f>
        <v>20367.195264578786</v>
      </c>
      <c r="K773" s="444">
        <f t="shared" ref="K773:K1027" ca="1" si="79">IPMT(M773/12,1,12,-I773+J773,,0)</f>
        <v>-17614.611398261404</v>
      </c>
      <c r="L773" s="444">
        <f t="shared" ref="L773:L1027" ca="1" si="80">I773-J773+K773</f>
        <v>-4245121.3469809983</v>
      </c>
      <c r="M773" s="460">
        <f t="shared" si="56"/>
        <v>0.05</v>
      </c>
      <c r="N773" s="464">
        <f t="shared" si="57"/>
        <v>74571</v>
      </c>
    </row>
    <row r="774" spans="7:14" ht="11.25" customHeight="1" x14ac:dyDescent="0.3">
      <c r="G774" s="459">
        <f t="shared" si="78"/>
        <v>64</v>
      </c>
      <c r="H774" s="459">
        <v>767</v>
      </c>
      <c r="I774" s="444">
        <f t="shared" ref="I774:I1028" ca="1" si="81">L773</f>
        <v>-4245121.3469809983</v>
      </c>
      <c r="J774" s="444">
        <f t="array" ref="J774">IFERROR(INDEX('Retirement Calculator'!K:K,MATCH('Lorri 401b'!N774,'Retirement Calculator'!A:A,0),0),0)</f>
        <v>20367.195264578786</v>
      </c>
      <c r="K774" s="444">
        <f t="shared" ca="1" si="79"/>
        <v>-17772.868926023239</v>
      </c>
      <c r="L774" s="444">
        <f t="shared" ca="1" si="80"/>
        <v>-4283261.4111716002</v>
      </c>
      <c r="M774" s="460">
        <f t="shared" ref="M774:M1028" si="82">M773</f>
        <v>0.05</v>
      </c>
      <c r="N774" s="464">
        <f t="shared" ref="N774:N1028" si="83">EDATE(N773,1)</f>
        <v>74602</v>
      </c>
    </row>
    <row r="775" spans="7:14" ht="11.25" customHeight="1" x14ac:dyDescent="0.3">
      <c r="G775" s="459">
        <f t="shared" si="78"/>
        <v>64</v>
      </c>
      <c r="H775" s="459">
        <v>768</v>
      </c>
      <c r="I775" s="444">
        <f t="shared" ca="1" si="81"/>
        <v>-4283261.4111716002</v>
      </c>
      <c r="J775" s="444">
        <f t="array" ref="J775">IFERROR(INDEX('Retirement Calculator'!K:K,MATCH('Lorri 401b'!N775,'Retirement Calculator'!A:A,0),0),0)</f>
        <v>20367.195264578786</v>
      </c>
      <c r="K775" s="444">
        <f t="shared" ca="1" si="79"/>
        <v>-17931.785860150747</v>
      </c>
      <c r="L775" s="444">
        <f t="shared" ca="1" si="80"/>
        <v>-4321560.3922963301</v>
      </c>
      <c r="M775" s="460">
        <f t="shared" si="82"/>
        <v>0.05</v>
      </c>
      <c r="N775" s="464">
        <f t="shared" si="83"/>
        <v>74632</v>
      </c>
    </row>
    <row r="776" spans="7:14" ht="11.25" customHeight="1" x14ac:dyDescent="0.3">
      <c r="G776" s="459">
        <f>G775+1</f>
        <v>65</v>
      </c>
      <c r="H776" s="459">
        <v>769</v>
      </c>
      <c r="I776" s="444">
        <f t="shared" ca="1" si="81"/>
        <v>-4321560.3922963301</v>
      </c>
      <c r="J776" s="444">
        <f t="array" ref="J776">IFERROR(INDEX('Retirement Calculator'!K:K,MATCH('Lorri 401b'!N776,'Retirement Calculator'!A:A,0),0),0)</f>
        <v>20367.195264578786</v>
      </c>
      <c r="K776" s="444">
        <f t="shared" ca="1" si="79"/>
        <v>-18091.364948170452</v>
      </c>
      <c r="L776" s="444">
        <f t="shared" ca="1" si="80"/>
        <v>-4360018.9525090791</v>
      </c>
      <c r="M776" s="460">
        <f t="shared" si="82"/>
        <v>0.05</v>
      </c>
      <c r="N776" s="464">
        <f t="shared" si="83"/>
        <v>74663</v>
      </c>
    </row>
    <row r="777" spans="7:14" ht="11.25" customHeight="1" x14ac:dyDescent="0.3">
      <c r="G777" s="459">
        <f t="shared" ref="G777:G787" si="84">G776</f>
        <v>65</v>
      </c>
      <c r="H777" s="459">
        <v>770</v>
      </c>
      <c r="I777" s="444">
        <f t="shared" ca="1" si="81"/>
        <v>-4360018.9525090791</v>
      </c>
      <c r="J777" s="444">
        <f t="array" ref="J777">IFERROR(INDEX('Retirement Calculator'!K:K,MATCH('Lorri 401b'!N777,'Retirement Calculator'!A:A,0),0),0)</f>
        <v>20367.195264578786</v>
      </c>
      <c r="K777" s="444">
        <f t="shared" ca="1" si="79"/>
        <v>-18251.608949056907</v>
      </c>
      <c r="L777" s="444">
        <f t="shared" ca="1" si="80"/>
        <v>-4398637.7567227148</v>
      </c>
      <c r="M777" s="460">
        <f t="shared" si="82"/>
        <v>0.05</v>
      </c>
      <c r="N777" s="464">
        <f t="shared" si="83"/>
        <v>74693</v>
      </c>
    </row>
    <row r="778" spans="7:14" ht="11.25" customHeight="1" x14ac:dyDescent="0.3">
      <c r="G778" s="459">
        <f t="shared" si="84"/>
        <v>65</v>
      </c>
      <c r="H778" s="459">
        <v>771</v>
      </c>
      <c r="I778" s="444">
        <f t="shared" ca="1" si="81"/>
        <v>-4398637.7567227148</v>
      </c>
      <c r="J778" s="444">
        <f t="array" ref="J778">IFERROR(INDEX('Retirement Calculator'!K:K,MATCH('Lorri 401b'!N778,'Retirement Calculator'!A:A,0),0),0)</f>
        <v>20367.195264578786</v>
      </c>
      <c r="K778" s="444">
        <f t="shared" ca="1" si="79"/>
        <v>-18412.52063328039</v>
      </c>
      <c r="L778" s="444">
        <f t="shared" ca="1" si="80"/>
        <v>-4437417.4726205738</v>
      </c>
      <c r="M778" s="460">
        <f t="shared" si="82"/>
        <v>0.05</v>
      </c>
      <c r="N778" s="464">
        <f t="shared" si="83"/>
        <v>74724</v>
      </c>
    </row>
    <row r="779" spans="7:14" ht="11.25" customHeight="1" x14ac:dyDescent="0.3">
      <c r="G779" s="459">
        <f t="shared" si="84"/>
        <v>65</v>
      </c>
      <c r="H779" s="459">
        <v>772</v>
      </c>
      <c r="I779" s="444">
        <f t="shared" ca="1" si="81"/>
        <v>-4437417.4726205738</v>
      </c>
      <c r="J779" s="444">
        <f t="array" ref="J779">IFERROR(INDEX('Retirement Calculator'!K:K,MATCH('Lorri 401b'!N779,'Retirement Calculator'!A:A,0),0),0)</f>
        <v>20367.195264578786</v>
      </c>
      <c r="K779" s="444">
        <f t="shared" ca="1" si="79"/>
        <v>-18574.102782854803</v>
      </c>
      <c r="L779" s="444">
        <f t="shared" ca="1" si="80"/>
        <v>-4476358.7706680074</v>
      </c>
      <c r="M779" s="460">
        <f t="shared" si="82"/>
        <v>0.05</v>
      </c>
      <c r="N779" s="464">
        <f t="shared" si="83"/>
        <v>74755</v>
      </c>
    </row>
    <row r="780" spans="7:14" ht="11.25" customHeight="1" x14ac:dyDescent="0.3">
      <c r="G780" s="459">
        <f t="shared" si="84"/>
        <v>65</v>
      </c>
      <c r="H780" s="459">
        <v>773</v>
      </c>
      <c r="I780" s="444">
        <f t="shared" ca="1" si="81"/>
        <v>-4476358.7706680074</v>
      </c>
      <c r="J780" s="444">
        <f t="array" ref="J780">IFERROR(INDEX('Retirement Calculator'!K:K,MATCH('Lorri 401b'!N780,'Retirement Calculator'!A:A,0),0),0)</f>
        <v>20367.195264578786</v>
      </c>
      <c r="K780" s="444">
        <f t="shared" ca="1" si="79"/>
        <v>-18736.358191385774</v>
      </c>
      <c r="L780" s="444">
        <f t="shared" ca="1" si="80"/>
        <v>-4515462.3241239721</v>
      </c>
      <c r="M780" s="460">
        <f t="shared" si="82"/>
        <v>0.05</v>
      </c>
      <c r="N780" s="464">
        <f t="shared" si="83"/>
        <v>74785</v>
      </c>
    </row>
    <row r="781" spans="7:14" ht="11.25" customHeight="1" x14ac:dyDescent="0.3">
      <c r="G781" s="459">
        <f t="shared" si="84"/>
        <v>65</v>
      </c>
      <c r="H781" s="459">
        <v>774</v>
      </c>
      <c r="I781" s="444">
        <f t="shared" ca="1" si="81"/>
        <v>-4515462.3241239721</v>
      </c>
      <c r="J781" s="444">
        <f t="array" ref="J781">IFERROR(INDEX('Retirement Calculator'!K:K,MATCH('Lorri 401b'!N781,'Retirement Calculator'!A:A,0),0),0)</f>
        <v>20367.195264578786</v>
      </c>
      <c r="K781" s="444">
        <f t="shared" ca="1" si="79"/>
        <v>-18899.289664118962</v>
      </c>
      <c r="L781" s="444">
        <f t="shared" ca="1" si="80"/>
        <v>-4554728.8090526694</v>
      </c>
      <c r="M781" s="460">
        <f t="shared" si="82"/>
        <v>0.05</v>
      </c>
      <c r="N781" s="464">
        <f t="shared" si="83"/>
        <v>74816</v>
      </c>
    </row>
    <row r="782" spans="7:14" ht="11.25" customHeight="1" x14ac:dyDescent="0.3">
      <c r="G782" s="459">
        <f t="shared" si="84"/>
        <v>65</v>
      </c>
      <c r="H782" s="459">
        <v>775</v>
      </c>
      <c r="I782" s="444">
        <f t="shared" ca="1" si="81"/>
        <v>-4554728.8090526694</v>
      </c>
      <c r="J782" s="444">
        <f t="array" ref="J782">IFERROR(INDEX('Retirement Calculator'!K:K,MATCH('Lorri 401b'!N782,'Retirement Calculator'!A:A,0),0),0)</f>
        <v>20367.195264578786</v>
      </c>
      <c r="K782" s="444">
        <f t="shared" ca="1" si="79"/>
        <v>-19062.900017988533</v>
      </c>
      <c r="L782" s="444">
        <f t="shared" ca="1" si="80"/>
        <v>-4594158.9043352371</v>
      </c>
      <c r="M782" s="460">
        <f t="shared" si="82"/>
        <v>0.05</v>
      </c>
      <c r="N782" s="464">
        <f t="shared" si="83"/>
        <v>74846</v>
      </c>
    </row>
    <row r="783" spans="7:14" ht="11.25" customHeight="1" x14ac:dyDescent="0.3">
      <c r="G783" s="459">
        <f t="shared" si="84"/>
        <v>65</v>
      </c>
      <c r="H783" s="459">
        <v>776</v>
      </c>
      <c r="I783" s="444">
        <f t="shared" ca="1" si="81"/>
        <v>-4594158.9043352371</v>
      </c>
      <c r="J783" s="444">
        <f t="array" ref="J783">IFERROR(INDEX('Retirement Calculator'!K:K,MATCH('Lorri 401b'!N783,'Retirement Calculator'!A:A,0),0),0)</f>
        <v>20367.195264578786</v>
      </c>
      <c r="K783" s="444">
        <f t="shared" ca="1" si="79"/>
        <v>-19227.1920816659</v>
      </c>
      <c r="L783" s="444">
        <f t="shared" ca="1" si="80"/>
        <v>-4633753.2916814815</v>
      </c>
      <c r="M783" s="460">
        <f t="shared" si="82"/>
        <v>0.05</v>
      </c>
      <c r="N783" s="464">
        <f t="shared" si="83"/>
        <v>74877</v>
      </c>
    </row>
    <row r="784" spans="7:14" ht="11.25" customHeight="1" x14ac:dyDescent="0.3">
      <c r="G784" s="459">
        <f t="shared" si="84"/>
        <v>65</v>
      </c>
      <c r="H784" s="459">
        <v>777</v>
      </c>
      <c r="I784" s="444">
        <f t="shared" ca="1" si="81"/>
        <v>-4633753.2916814815</v>
      </c>
      <c r="J784" s="444">
        <f t="array" ref="J784">IFERROR(INDEX('Retirement Calculator'!K:K,MATCH('Lorri 401b'!N784,'Retirement Calculator'!A:A,0),0),0)</f>
        <v>20367.195264578786</v>
      </c>
      <c r="K784" s="444">
        <f t="shared" ca="1" si="79"/>
        <v>-19392.168695608583</v>
      </c>
      <c r="L784" s="444">
        <f t="shared" ca="1" si="80"/>
        <v>-4673512.6556416685</v>
      </c>
      <c r="M784" s="460">
        <f t="shared" si="82"/>
        <v>0.05</v>
      </c>
      <c r="N784" s="464">
        <f t="shared" si="83"/>
        <v>74908</v>
      </c>
    </row>
    <row r="785" spans="7:14" ht="11.25" customHeight="1" x14ac:dyDescent="0.3">
      <c r="G785" s="459">
        <f t="shared" si="84"/>
        <v>65</v>
      </c>
      <c r="H785" s="459">
        <v>778</v>
      </c>
      <c r="I785" s="444">
        <f t="shared" ca="1" si="81"/>
        <v>-4673512.6556416685</v>
      </c>
      <c r="J785" s="444">
        <f t="array" ref="J785">IFERROR(INDEX('Retirement Calculator'!K:K,MATCH('Lorri 401b'!N785,'Retirement Calculator'!A:A,0),0),0)</f>
        <v>20367.195264578786</v>
      </c>
      <c r="K785" s="444">
        <f t="shared" ca="1" si="79"/>
        <v>-19557.832712109364</v>
      </c>
      <c r="L785" s="444">
        <f t="shared" ca="1" si="80"/>
        <v>-4713437.6836183565</v>
      </c>
      <c r="M785" s="460">
        <f t="shared" si="82"/>
        <v>0.05</v>
      </c>
      <c r="N785" s="464">
        <f t="shared" si="83"/>
        <v>74936</v>
      </c>
    </row>
    <row r="786" spans="7:14" ht="11.25" customHeight="1" x14ac:dyDescent="0.3">
      <c r="G786" s="459">
        <f t="shared" si="84"/>
        <v>65</v>
      </c>
      <c r="H786" s="459">
        <v>779</v>
      </c>
      <c r="I786" s="444">
        <f t="shared" ca="1" si="81"/>
        <v>-4713437.6836183565</v>
      </c>
      <c r="J786" s="444">
        <f t="array" ref="J786">IFERROR(INDEX('Retirement Calculator'!K:K,MATCH('Lorri 401b'!N786,'Retirement Calculator'!A:A,0),0),0)</f>
        <v>20367.195264578786</v>
      </c>
      <c r="K786" s="444">
        <f t="shared" ca="1" si="79"/>
        <v>-19724.186995345564</v>
      </c>
      <c r="L786" s="444">
        <f t="shared" ca="1" si="80"/>
        <v>-4753529.0658782804</v>
      </c>
      <c r="M786" s="460">
        <f t="shared" si="82"/>
        <v>0.05</v>
      </c>
      <c r="N786" s="464">
        <f t="shared" si="83"/>
        <v>74967</v>
      </c>
    </row>
    <row r="787" spans="7:14" ht="11.25" customHeight="1" x14ac:dyDescent="0.3">
      <c r="G787" s="459">
        <f t="shared" si="84"/>
        <v>65</v>
      </c>
      <c r="H787" s="459">
        <v>780</v>
      </c>
      <c r="I787" s="444">
        <f t="shared" ca="1" si="81"/>
        <v>-4753529.0658782804</v>
      </c>
      <c r="J787" s="444">
        <f t="array" ref="J787">IFERROR(INDEX('Retirement Calculator'!K:K,MATCH('Lorri 401b'!N787,'Retirement Calculator'!A:A,0),0),0)</f>
        <v>20367.195264578786</v>
      </c>
      <c r="K787" s="444">
        <f t="shared" ca="1" si="79"/>
        <v>-19891.23442142858</v>
      </c>
      <c r="L787" s="444">
        <f t="shared" ca="1" si="80"/>
        <v>-4793787.4955642875</v>
      </c>
      <c r="M787" s="460">
        <f t="shared" si="82"/>
        <v>0.05</v>
      </c>
      <c r="N787" s="464">
        <f t="shared" si="83"/>
        <v>74997</v>
      </c>
    </row>
    <row r="788" spans="7:14" ht="11.25" customHeight="1" x14ac:dyDescent="0.3">
      <c r="G788" s="459">
        <f>G787+1</f>
        <v>66</v>
      </c>
      <c r="H788" s="459">
        <v>781</v>
      </c>
      <c r="I788" s="444">
        <f t="shared" ca="1" si="81"/>
        <v>-4793787.4955642875</v>
      </c>
      <c r="J788" s="444">
        <f t="array" ref="J788">IFERROR(INDEX('Retirement Calculator'!K:K,MATCH('Lorri 401b'!N788,'Retirement Calculator'!A:A,0),0),0)</f>
        <v>20367.195264578786</v>
      </c>
      <c r="K788" s="444">
        <f t="shared" ca="1" si="79"/>
        <v>-20058.97787845361</v>
      </c>
      <c r="L788" s="444">
        <f t="shared" ca="1" si="80"/>
        <v>-4834213.6687073195</v>
      </c>
      <c r="M788" s="460">
        <f t="shared" si="82"/>
        <v>0.05</v>
      </c>
      <c r="N788" s="464">
        <f t="shared" si="83"/>
        <v>75028</v>
      </c>
    </row>
    <row r="789" spans="7:14" ht="11.25" customHeight="1" x14ac:dyDescent="0.3">
      <c r="G789" s="459">
        <f t="shared" ref="G789:G799" si="85">G788</f>
        <v>66</v>
      </c>
      <c r="H789" s="459">
        <v>782</v>
      </c>
      <c r="I789" s="444">
        <f t="shared" ca="1" si="81"/>
        <v>-4834213.6687073195</v>
      </c>
      <c r="J789" s="444">
        <f t="array" ref="J789">IFERROR(INDEX('Retirement Calculator'!K:K,MATCH('Lorri 401b'!N789,'Retirement Calculator'!A:A,0),0),0)</f>
        <v>20367.195264578786</v>
      </c>
      <c r="K789" s="444">
        <f t="shared" ca="1" si="79"/>
        <v>-20227.420266549576</v>
      </c>
      <c r="L789" s="444">
        <f t="shared" ca="1" si="80"/>
        <v>-4874808.2842384484</v>
      </c>
      <c r="M789" s="460">
        <f t="shared" si="82"/>
        <v>0.05</v>
      </c>
      <c r="N789" s="464">
        <f t="shared" si="83"/>
        <v>75058</v>
      </c>
    </row>
    <row r="790" spans="7:14" ht="11.25" customHeight="1" x14ac:dyDescent="0.3">
      <c r="G790" s="459">
        <f t="shared" si="85"/>
        <v>66</v>
      </c>
      <c r="H790" s="459">
        <v>783</v>
      </c>
      <c r="I790" s="444">
        <f t="shared" ca="1" si="81"/>
        <v>-4874808.2842384484</v>
      </c>
      <c r="J790" s="444">
        <f t="array" ref="J790">IFERROR(INDEX('Retirement Calculator'!K:K,MATCH('Lorri 401b'!N790,'Retirement Calculator'!A:A,0),0),0)</f>
        <v>20367.195264578786</v>
      </c>
      <c r="K790" s="444">
        <f t="shared" ca="1" si="79"/>
        <v>-20396.564497929281</v>
      </c>
      <c r="L790" s="444">
        <f t="shared" ca="1" si="80"/>
        <v>-4915572.0440009562</v>
      </c>
      <c r="M790" s="460">
        <f t="shared" si="82"/>
        <v>0.05</v>
      </c>
      <c r="N790" s="464">
        <f t="shared" si="83"/>
        <v>75089</v>
      </c>
    </row>
    <row r="791" spans="7:14" ht="11.25" customHeight="1" x14ac:dyDescent="0.3">
      <c r="G791" s="459">
        <f t="shared" si="85"/>
        <v>66</v>
      </c>
      <c r="H791" s="459">
        <v>784</v>
      </c>
      <c r="I791" s="444">
        <f t="shared" ca="1" si="81"/>
        <v>-4915572.0440009562</v>
      </c>
      <c r="J791" s="444">
        <f t="array" ref="J791">IFERROR(INDEX('Retirement Calculator'!K:K,MATCH('Lorri 401b'!N791,'Retirement Calculator'!A:A,0),0),0)</f>
        <v>20367.195264578786</v>
      </c>
      <c r="K791" s="444">
        <f t="shared" ca="1" si="79"/>
        <v>-20566.413496939727</v>
      </c>
      <c r="L791" s="444">
        <f t="shared" ca="1" si="80"/>
        <v>-4956505.6527624745</v>
      </c>
      <c r="M791" s="460">
        <f t="shared" si="82"/>
        <v>0.05</v>
      </c>
      <c r="N791" s="464">
        <f t="shared" si="83"/>
        <v>75120</v>
      </c>
    </row>
    <row r="792" spans="7:14" ht="11.25" customHeight="1" x14ac:dyDescent="0.3">
      <c r="G792" s="459">
        <f t="shared" si="85"/>
        <v>66</v>
      </c>
      <c r="H792" s="459">
        <v>785</v>
      </c>
      <c r="I792" s="444">
        <f t="shared" ca="1" si="81"/>
        <v>-4956505.6527624745</v>
      </c>
      <c r="J792" s="444">
        <f t="array" ref="J792">IFERROR(INDEX('Retirement Calculator'!K:K,MATCH('Lorri 401b'!N792,'Retirement Calculator'!A:A,0),0),0)</f>
        <v>20367.195264578786</v>
      </c>
      <c r="K792" s="444">
        <f t="shared" ca="1" si="79"/>
        <v>-20736.970200112723</v>
      </c>
      <c r="L792" s="444">
        <f t="shared" ca="1" si="80"/>
        <v>-4997609.8182271663</v>
      </c>
      <c r="M792" s="460">
        <f t="shared" si="82"/>
        <v>0.05</v>
      </c>
      <c r="N792" s="464">
        <f t="shared" si="83"/>
        <v>75150</v>
      </c>
    </row>
    <row r="793" spans="7:14" ht="11.25" customHeight="1" x14ac:dyDescent="0.3">
      <c r="G793" s="459">
        <f t="shared" si="85"/>
        <v>66</v>
      </c>
      <c r="H793" s="459">
        <v>786</v>
      </c>
      <c r="I793" s="444">
        <f t="shared" ca="1" si="81"/>
        <v>-4997609.8182271663</v>
      </c>
      <c r="J793" s="444">
        <f t="array" ref="J793">IFERROR(INDEX('Retirement Calculator'!K:K,MATCH('Lorri 401b'!N793,'Retirement Calculator'!A:A,0),0),0)</f>
        <v>20367.195264578786</v>
      </c>
      <c r="K793" s="444">
        <f t="shared" ca="1" si="79"/>
        <v>-20908.237556215605</v>
      </c>
      <c r="L793" s="444">
        <f t="shared" ca="1" si="80"/>
        <v>-5038885.2510479605</v>
      </c>
      <c r="M793" s="460">
        <f t="shared" si="82"/>
        <v>0.05</v>
      </c>
      <c r="N793" s="464">
        <f t="shared" si="83"/>
        <v>75181</v>
      </c>
    </row>
    <row r="794" spans="7:14" ht="11.25" customHeight="1" x14ac:dyDescent="0.3">
      <c r="G794" s="459">
        <f t="shared" si="85"/>
        <v>66</v>
      </c>
      <c r="H794" s="459">
        <v>787</v>
      </c>
      <c r="I794" s="444">
        <f t="shared" ca="1" si="81"/>
        <v>-5038885.2510479605</v>
      </c>
      <c r="J794" s="444">
        <f t="array" ref="J794">IFERROR(INDEX('Retirement Calculator'!K:K,MATCH('Lorri 401b'!N794,'Retirement Calculator'!A:A,0),0),0)</f>
        <v>20367.195264578786</v>
      </c>
      <c r="K794" s="444">
        <f t="shared" ca="1" si="79"/>
        <v>-21080.218526302247</v>
      </c>
      <c r="L794" s="444">
        <f t="shared" ca="1" si="80"/>
        <v>-5080332.6648388412</v>
      </c>
      <c r="M794" s="460">
        <f t="shared" si="82"/>
        <v>0.05</v>
      </c>
      <c r="N794" s="464">
        <f t="shared" si="83"/>
        <v>75211</v>
      </c>
    </row>
    <row r="795" spans="7:14" ht="11.25" customHeight="1" x14ac:dyDescent="0.3">
      <c r="G795" s="459">
        <f t="shared" si="85"/>
        <v>66</v>
      </c>
      <c r="H795" s="459">
        <v>788</v>
      </c>
      <c r="I795" s="444">
        <f t="shared" ca="1" si="81"/>
        <v>-5080332.6648388412</v>
      </c>
      <c r="J795" s="444">
        <f t="array" ref="J795">IFERROR(INDEX('Retirement Calculator'!K:K,MATCH('Lorri 401b'!N795,'Retirement Calculator'!A:A,0),0),0)</f>
        <v>20367.195264578786</v>
      </c>
      <c r="K795" s="444">
        <f t="shared" ca="1" si="79"/>
        <v>-21252.916083764248</v>
      </c>
      <c r="L795" s="444">
        <f t="shared" ca="1" si="80"/>
        <v>-5121952.7761871843</v>
      </c>
      <c r="M795" s="460">
        <f t="shared" si="82"/>
        <v>0.05</v>
      </c>
      <c r="N795" s="464">
        <f t="shared" si="83"/>
        <v>75242</v>
      </c>
    </row>
    <row r="796" spans="7:14" ht="11.25" customHeight="1" x14ac:dyDescent="0.3">
      <c r="G796" s="459">
        <f t="shared" si="85"/>
        <v>66</v>
      </c>
      <c r="H796" s="459">
        <v>789</v>
      </c>
      <c r="I796" s="444">
        <f t="shared" ca="1" si="81"/>
        <v>-5121952.7761871843</v>
      </c>
      <c r="J796" s="444">
        <f t="array" ref="J796">IFERROR(INDEX('Retirement Calculator'!K:K,MATCH('Lorri 401b'!N796,'Retirement Calculator'!A:A,0),0),0)</f>
        <v>20367.195264578786</v>
      </c>
      <c r="K796" s="444">
        <f t="shared" ca="1" si="79"/>
        <v>-21426.333214382346</v>
      </c>
      <c r="L796" s="444">
        <f t="shared" ca="1" si="80"/>
        <v>-5163746.3046661457</v>
      </c>
      <c r="M796" s="460">
        <f t="shared" si="82"/>
        <v>0.05</v>
      </c>
      <c r="N796" s="464">
        <f t="shared" si="83"/>
        <v>75273</v>
      </c>
    </row>
    <row r="797" spans="7:14" ht="11.25" customHeight="1" x14ac:dyDescent="0.3">
      <c r="G797" s="459">
        <f t="shared" si="85"/>
        <v>66</v>
      </c>
      <c r="H797" s="459">
        <v>790</v>
      </c>
      <c r="I797" s="444">
        <f t="shared" ca="1" si="81"/>
        <v>-5163746.3046661457</v>
      </c>
      <c r="J797" s="444">
        <f t="array" ref="J797">IFERROR(INDEX('Retirement Calculator'!K:K,MATCH('Lorri 401b'!N797,'Retirement Calculator'!A:A,0),0),0)</f>
        <v>20367.195264578786</v>
      </c>
      <c r="K797" s="444">
        <f t="shared" ca="1" si="79"/>
        <v>-21600.472916378018</v>
      </c>
      <c r="L797" s="444">
        <f t="shared" ca="1" si="80"/>
        <v>-5205713.9728471022</v>
      </c>
      <c r="M797" s="460">
        <f t="shared" si="82"/>
        <v>0.05</v>
      </c>
      <c r="N797" s="464">
        <f t="shared" si="83"/>
        <v>75301</v>
      </c>
    </row>
    <row r="798" spans="7:14" ht="11.25" customHeight="1" x14ac:dyDescent="0.3">
      <c r="G798" s="459">
        <f t="shared" si="85"/>
        <v>66</v>
      </c>
      <c r="H798" s="459">
        <v>791</v>
      </c>
      <c r="I798" s="444">
        <f t="shared" ca="1" si="81"/>
        <v>-5205713.9728471022</v>
      </c>
      <c r="J798" s="444">
        <f t="array" ref="J798">IFERROR(INDEX('Retirement Calculator'!K:K,MATCH('Lorri 401b'!N798,'Retirement Calculator'!A:A,0),0),0)</f>
        <v>20367.195264578786</v>
      </c>
      <c r="K798" s="444">
        <f t="shared" ca="1" si="79"/>
        <v>-21775.338200465336</v>
      </c>
      <c r="L798" s="444">
        <f t="shared" ca="1" si="80"/>
        <v>-5247856.5063121468</v>
      </c>
      <c r="M798" s="460">
        <f t="shared" si="82"/>
        <v>0.05</v>
      </c>
      <c r="N798" s="464">
        <f t="shared" si="83"/>
        <v>75332</v>
      </c>
    </row>
    <row r="799" spans="7:14" ht="11.25" customHeight="1" x14ac:dyDescent="0.3">
      <c r="G799" s="459">
        <f t="shared" si="85"/>
        <v>66</v>
      </c>
      <c r="H799" s="459">
        <v>792</v>
      </c>
      <c r="I799" s="444">
        <f t="shared" ca="1" si="81"/>
        <v>-5247856.5063121468</v>
      </c>
      <c r="J799" s="444">
        <f t="array" ref="J799">IFERROR(INDEX('Retirement Calculator'!K:K,MATCH('Lorri 401b'!N799,'Retirement Calculator'!A:A,0),0),0)</f>
        <v>20367.195264578786</v>
      </c>
      <c r="K799" s="444">
        <f t="shared" ca="1" si="79"/>
        <v>-21950.932089903024</v>
      </c>
      <c r="L799" s="444">
        <f t="shared" ca="1" si="80"/>
        <v>-5290174.633666629</v>
      </c>
      <c r="M799" s="460">
        <f t="shared" si="82"/>
        <v>0.05</v>
      </c>
      <c r="N799" s="464">
        <f t="shared" si="83"/>
        <v>75362</v>
      </c>
    </row>
    <row r="800" spans="7:14" ht="11.25" customHeight="1" x14ac:dyDescent="0.3">
      <c r="G800" s="459">
        <f>G799+1</f>
        <v>67</v>
      </c>
      <c r="H800" s="459">
        <v>793</v>
      </c>
      <c r="I800" s="444">
        <f t="shared" ca="1" si="81"/>
        <v>-5290174.633666629</v>
      </c>
      <c r="J800" s="444">
        <f t="array" ref="J800">IFERROR(INDEX('Retirement Calculator'!K:K,MATCH('Lorri 401b'!N800,'Retirement Calculator'!A:A,0),0),0)</f>
        <v>20367.195264578786</v>
      </c>
      <c r="K800" s="444">
        <f t="shared" ca="1" si="79"/>
        <v>-22127.257620546698</v>
      </c>
      <c r="L800" s="444">
        <f t="shared" ca="1" si="80"/>
        <v>-5332669.0865517547</v>
      </c>
      <c r="M800" s="460">
        <f t="shared" si="82"/>
        <v>0.05</v>
      </c>
      <c r="N800" s="464">
        <f t="shared" si="83"/>
        <v>75393</v>
      </c>
    </row>
    <row r="801" spans="7:14" ht="11.25" customHeight="1" x14ac:dyDescent="0.3">
      <c r="G801" s="459">
        <f t="shared" ref="G801:G811" si="86">G800</f>
        <v>67</v>
      </c>
      <c r="H801" s="459">
        <v>794</v>
      </c>
      <c r="I801" s="444">
        <f t="shared" ca="1" si="81"/>
        <v>-5332669.0865517547</v>
      </c>
      <c r="J801" s="444">
        <f t="array" ref="J801">IFERROR(INDEX('Retirement Calculator'!K:K,MATCH('Lorri 401b'!N801,'Retirement Calculator'!A:A,0),0),0)</f>
        <v>20367.195264578786</v>
      </c>
      <c r="K801" s="444">
        <f t="shared" ca="1" si="79"/>
        <v>-22304.317840901389</v>
      </c>
      <c r="L801" s="444">
        <f t="shared" ca="1" si="80"/>
        <v>-5375340.5996572347</v>
      </c>
      <c r="M801" s="460">
        <f t="shared" si="82"/>
        <v>0.05</v>
      </c>
      <c r="N801" s="464">
        <f t="shared" si="83"/>
        <v>75423</v>
      </c>
    </row>
    <row r="802" spans="7:14" ht="11.25" customHeight="1" x14ac:dyDescent="0.3">
      <c r="G802" s="459">
        <f t="shared" si="86"/>
        <v>67</v>
      </c>
      <c r="H802" s="459">
        <v>795</v>
      </c>
      <c r="I802" s="444">
        <f t="shared" ca="1" si="81"/>
        <v>-5375340.5996572347</v>
      </c>
      <c r="J802" s="444">
        <f t="array" ref="J802">IFERROR(INDEX('Retirement Calculator'!K:K,MATCH('Lorri 401b'!N802,'Retirement Calculator'!A:A,0),0),0)</f>
        <v>20367.195264578786</v>
      </c>
      <c r="K802" s="444">
        <f t="shared" ca="1" si="79"/>
        <v>-22482.115812174223</v>
      </c>
      <c r="L802" s="444">
        <f t="shared" ca="1" si="80"/>
        <v>-5418189.9107339876</v>
      </c>
      <c r="M802" s="460">
        <f t="shared" si="82"/>
        <v>0.05</v>
      </c>
      <c r="N802" s="464">
        <f t="shared" si="83"/>
        <v>75454</v>
      </c>
    </row>
    <row r="803" spans="7:14" ht="11.25" customHeight="1" x14ac:dyDescent="0.3">
      <c r="G803" s="459">
        <f t="shared" si="86"/>
        <v>67</v>
      </c>
      <c r="H803" s="459">
        <v>796</v>
      </c>
      <c r="I803" s="444">
        <f t="shared" ca="1" si="81"/>
        <v>-5418189.9107339876</v>
      </c>
      <c r="J803" s="444">
        <f t="array" ref="J803">IFERROR(INDEX('Retirement Calculator'!K:K,MATCH('Lorri 401b'!N803,'Retirement Calculator'!A:A,0),0),0)</f>
        <v>20367.195264578786</v>
      </c>
      <c r="K803" s="444">
        <f t="shared" ca="1" si="79"/>
        <v>-22660.654608327361</v>
      </c>
      <c r="L803" s="444">
        <f t="shared" ca="1" si="80"/>
        <v>-5461217.7606068933</v>
      </c>
      <c r="M803" s="460">
        <f t="shared" si="82"/>
        <v>0.05</v>
      </c>
      <c r="N803" s="464">
        <f t="shared" si="83"/>
        <v>75485</v>
      </c>
    </row>
    <row r="804" spans="7:14" ht="11.25" customHeight="1" x14ac:dyDescent="0.3">
      <c r="G804" s="459">
        <f t="shared" si="86"/>
        <v>67</v>
      </c>
      <c r="H804" s="459">
        <v>797</v>
      </c>
      <c r="I804" s="444">
        <f t="shared" ca="1" si="81"/>
        <v>-5461217.7606068933</v>
      </c>
      <c r="J804" s="444">
        <f t="array" ref="J804">IFERROR(INDEX('Retirement Calculator'!K:K,MATCH('Lorri 401b'!N804,'Retirement Calculator'!A:A,0),0),0)</f>
        <v>20367.195264578786</v>
      </c>
      <c r="K804" s="444">
        <f t="shared" ca="1" si="79"/>
        <v>-22839.937316131134</v>
      </c>
      <c r="L804" s="444">
        <f t="shared" ca="1" si="80"/>
        <v>-5504424.893187603</v>
      </c>
      <c r="M804" s="460">
        <f t="shared" si="82"/>
        <v>0.05</v>
      </c>
      <c r="N804" s="464">
        <f t="shared" si="83"/>
        <v>75515</v>
      </c>
    </row>
    <row r="805" spans="7:14" ht="11.25" customHeight="1" x14ac:dyDescent="0.3">
      <c r="G805" s="459">
        <f t="shared" si="86"/>
        <v>67</v>
      </c>
      <c r="H805" s="459">
        <v>798</v>
      </c>
      <c r="I805" s="444">
        <f t="shared" ca="1" si="81"/>
        <v>-5504424.893187603</v>
      </c>
      <c r="J805" s="444">
        <f t="array" ref="J805">IFERROR(INDEX('Retirement Calculator'!K:K,MATCH('Lorri 401b'!N805,'Retirement Calculator'!A:A,0),0),0)</f>
        <v>20367.195264578786</v>
      </c>
      <c r="K805" s="444">
        <f t="shared" ca="1" si="79"/>
        <v>-23019.967035217425</v>
      </c>
      <c r="L805" s="444">
        <f t="shared" ca="1" si="80"/>
        <v>-5547812.055487399</v>
      </c>
      <c r="M805" s="460">
        <f t="shared" si="82"/>
        <v>0.05</v>
      </c>
      <c r="N805" s="464">
        <f t="shared" si="83"/>
        <v>75546</v>
      </c>
    </row>
    <row r="806" spans="7:14" ht="11.25" customHeight="1" x14ac:dyDescent="0.3">
      <c r="G806" s="459">
        <f t="shared" si="86"/>
        <v>67</v>
      </c>
      <c r="H806" s="459">
        <v>799</v>
      </c>
      <c r="I806" s="444">
        <f t="shared" ca="1" si="81"/>
        <v>-5547812.055487399</v>
      </c>
      <c r="J806" s="444">
        <f t="array" ref="J806">IFERROR(INDEX('Retirement Calculator'!K:K,MATCH('Lorri 401b'!N806,'Retirement Calculator'!A:A,0),0),0)</f>
        <v>20367.195264578786</v>
      </c>
      <c r="K806" s="444">
        <f t="shared" ca="1" si="79"/>
        <v>-23200.746878133239</v>
      </c>
      <c r="L806" s="444">
        <f t="shared" ca="1" si="80"/>
        <v>-5591379.9976301109</v>
      </c>
      <c r="M806" s="460">
        <f t="shared" si="82"/>
        <v>0.05</v>
      </c>
      <c r="N806" s="464">
        <f t="shared" si="83"/>
        <v>75576</v>
      </c>
    </row>
    <row r="807" spans="7:14" ht="11.25" customHeight="1" x14ac:dyDescent="0.3">
      <c r="G807" s="459">
        <f t="shared" si="86"/>
        <v>67</v>
      </c>
      <c r="H807" s="459">
        <v>800</v>
      </c>
      <c r="I807" s="444">
        <f t="shared" ca="1" si="81"/>
        <v>-5591379.9976301109</v>
      </c>
      <c r="J807" s="444">
        <f t="array" ref="J807">IFERROR(INDEX('Retirement Calculator'!K:K,MATCH('Lorri 401b'!N807,'Retirement Calculator'!A:A,0),0),0)</f>
        <v>20367.195264578786</v>
      </c>
      <c r="K807" s="444">
        <f t="shared" ca="1" si="79"/>
        <v>-23382.279970394542</v>
      </c>
      <c r="L807" s="444">
        <f t="shared" ca="1" si="80"/>
        <v>-5635129.4728650842</v>
      </c>
      <c r="M807" s="460">
        <f t="shared" si="82"/>
        <v>0.05</v>
      </c>
      <c r="N807" s="464">
        <f t="shared" si="83"/>
        <v>75607</v>
      </c>
    </row>
    <row r="808" spans="7:14" ht="11.25" customHeight="1" x14ac:dyDescent="0.3">
      <c r="G808" s="459">
        <f t="shared" si="86"/>
        <v>67</v>
      </c>
      <c r="H808" s="459">
        <v>801</v>
      </c>
      <c r="I808" s="444">
        <f t="shared" ca="1" si="81"/>
        <v>-5635129.4728650842</v>
      </c>
      <c r="J808" s="444">
        <f t="array" ref="J808">IFERROR(INDEX('Retirement Calculator'!K:K,MATCH('Lorri 401b'!N808,'Retirement Calculator'!A:A,0),0),0)</f>
        <v>20367.195264578786</v>
      </c>
      <c r="K808" s="444">
        <f t="shared" ca="1" si="79"/>
        <v>-23564.569450540261</v>
      </c>
      <c r="L808" s="444">
        <f t="shared" ca="1" si="80"/>
        <v>-5679061.2375802035</v>
      </c>
      <c r="M808" s="460">
        <f t="shared" si="82"/>
        <v>0.05</v>
      </c>
      <c r="N808" s="464">
        <f t="shared" si="83"/>
        <v>75638</v>
      </c>
    </row>
    <row r="809" spans="7:14" ht="11.25" customHeight="1" x14ac:dyDescent="0.3">
      <c r="G809" s="459">
        <f t="shared" si="86"/>
        <v>67</v>
      </c>
      <c r="H809" s="459">
        <v>802</v>
      </c>
      <c r="I809" s="444">
        <f t="shared" ca="1" si="81"/>
        <v>-5679061.2375802035</v>
      </c>
      <c r="J809" s="444">
        <f t="array" ref="J809">IFERROR(INDEX('Retirement Calculator'!K:K,MATCH('Lorri 401b'!N809,'Retirement Calculator'!A:A,0),0),0)</f>
        <v>20367.195264578786</v>
      </c>
      <c r="K809" s="444">
        <f t="shared" ca="1" si="79"/>
        <v>-23747.618470186593</v>
      </c>
      <c r="L809" s="444">
        <f t="shared" ca="1" si="80"/>
        <v>-5723176.0513149686</v>
      </c>
      <c r="M809" s="460">
        <f t="shared" si="82"/>
        <v>0.05</v>
      </c>
      <c r="N809" s="464">
        <f t="shared" si="83"/>
        <v>75666</v>
      </c>
    </row>
    <row r="810" spans="7:14" ht="11.25" customHeight="1" x14ac:dyDescent="0.3">
      <c r="G810" s="459">
        <f t="shared" si="86"/>
        <v>67</v>
      </c>
      <c r="H810" s="459">
        <v>803</v>
      </c>
      <c r="I810" s="444">
        <f t="shared" ca="1" si="81"/>
        <v>-5723176.0513149686</v>
      </c>
      <c r="J810" s="444">
        <f t="array" ref="J810">IFERROR(INDEX('Retirement Calculator'!K:K,MATCH('Lorri 401b'!N810,'Retirement Calculator'!A:A,0),0),0)</f>
        <v>20367.195264578786</v>
      </c>
      <c r="K810" s="444">
        <f t="shared" ca="1" si="79"/>
        <v>-23931.430194081448</v>
      </c>
      <c r="L810" s="444">
        <f t="shared" ca="1" si="80"/>
        <v>-5767474.6767736292</v>
      </c>
      <c r="M810" s="460">
        <f t="shared" si="82"/>
        <v>0.05</v>
      </c>
      <c r="N810" s="464">
        <f t="shared" si="83"/>
        <v>75697</v>
      </c>
    </row>
    <row r="811" spans="7:14" ht="11.25" customHeight="1" x14ac:dyDescent="0.3">
      <c r="G811" s="459">
        <f t="shared" si="86"/>
        <v>67</v>
      </c>
      <c r="H811" s="459">
        <v>804</v>
      </c>
      <c r="I811" s="444">
        <f t="shared" ca="1" si="81"/>
        <v>-5767474.6767736292</v>
      </c>
      <c r="J811" s="444">
        <f t="array" ref="J811">IFERROR(INDEX('Retirement Calculator'!K:K,MATCH('Lorri 401b'!N811,'Retirement Calculator'!A:A,0),0),0)</f>
        <v>20367.195264578786</v>
      </c>
      <c r="K811" s="444">
        <f t="shared" ca="1" si="79"/>
        <v>-24116.007800159201</v>
      </c>
      <c r="L811" s="444">
        <f t="shared" ca="1" si="80"/>
        <v>-5811957.879838367</v>
      </c>
      <c r="M811" s="460">
        <f t="shared" si="82"/>
        <v>0.05</v>
      </c>
      <c r="N811" s="464">
        <f t="shared" si="83"/>
        <v>75727</v>
      </c>
    </row>
    <row r="812" spans="7:14" ht="11.25" customHeight="1" x14ac:dyDescent="0.3">
      <c r="G812" s="459">
        <f>G811+1</f>
        <v>68</v>
      </c>
      <c r="H812" s="459">
        <v>805</v>
      </c>
      <c r="I812" s="444">
        <f t="shared" ca="1" si="81"/>
        <v>-5811957.879838367</v>
      </c>
      <c r="J812" s="444">
        <f t="array" ref="J812">IFERROR(INDEX('Retirement Calculator'!K:K,MATCH('Lorri 401b'!N812,'Retirement Calculator'!A:A,0),0),0)</f>
        <v>20367.195264578786</v>
      </c>
      <c r="K812" s="444">
        <f t="shared" ca="1" si="79"/>
        <v>-24301.354479595608</v>
      </c>
      <c r="L812" s="444">
        <f t="shared" ca="1" si="80"/>
        <v>-5856626.4295825418</v>
      </c>
      <c r="M812" s="460">
        <f t="shared" si="82"/>
        <v>0.05</v>
      </c>
      <c r="N812" s="464">
        <f t="shared" si="83"/>
        <v>75758</v>
      </c>
    </row>
    <row r="813" spans="7:14" ht="11.25" customHeight="1" x14ac:dyDescent="0.3">
      <c r="G813" s="459">
        <f t="shared" ref="G813:G823" si="87">G812</f>
        <v>68</v>
      </c>
      <c r="H813" s="459">
        <v>806</v>
      </c>
      <c r="I813" s="444">
        <f t="shared" ca="1" si="81"/>
        <v>-5856626.4295825418</v>
      </c>
      <c r="J813" s="444">
        <f t="array" ref="J813">IFERROR(INDEX('Retirement Calculator'!K:K,MATCH('Lorri 401b'!N813,'Retirement Calculator'!A:A,0),0),0)</f>
        <v>20367.195264578786</v>
      </c>
      <c r="K813" s="444">
        <f t="shared" ca="1" si="79"/>
        <v>-24487.473436863002</v>
      </c>
      <c r="L813" s="444">
        <f t="shared" ca="1" si="80"/>
        <v>-5901481.0982839838</v>
      </c>
      <c r="M813" s="460">
        <f t="shared" si="82"/>
        <v>0.05</v>
      </c>
      <c r="N813" s="464">
        <f t="shared" si="83"/>
        <v>75788</v>
      </c>
    </row>
    <row r="814" spans="7:14" ht="11.25" customHeight="1" x14ac:dyDescent="0.3">
      <c r="G814" s="459">
        <f t="shared" si="87"/>
        <v>68</v>
      </c>
      <c r="H814" s="459">
        <v>807</v>
      </c>
      <c r="I814" s="444">
        <f t="shared" ca="1" si="81"/>
        <v>-5901481.0982839838</v>
      </c>
      <c r="J814" s="444">
        <f t="array" ref="J814">IFERROR(INDEX('Retirement Calculator'!K:K,MATCH('Lorri 401b'!N814,'Retirement Calculator'!A:A,0),0),0)</f>
        <v>20367.195264578786</v>
      </c>
      <c r="K814" s="444">
        <f t="shared" ca="1" si="79"/>
        <v>-24674.367889785677</v>
      </c>
      <c r="L814" s="444">
        <f t="shared" ca="1" si="80"/>
        <v>-5946522.6614383487</v>
      </c>
      <c r="M814" s="460">
        <f t="shared" si="82"/>
        <v>0.05</v>
      </c>
      <c r="N814" s="464">
        <f t="shared" si="83"/>
        <v>75819</v>
      </c>
    </row>
    <row r="815" spans="7:14" ht="11.25" customHeight="1" x14ac:dyDescent="0.3">
      <c r="G815" s="459">
        <f t="shared" si="87"/>
        <v>68</v>
      </c>
      <c r="H815" s="459">
        <v>808</v>
      </c>
      <c r="I815" s="444">
        <f t="shared" ca="1" si="81"/>
        <v>-5946522.6614383487</v>
      </c>
      <c r="J815" s="444">
        <f t="array" ref="J815">IFERROR(INDEX('Retirement Calculator'!K:K,MATCH('Lorri 401b'!N815,'Retirement Calculator'!A:A,0),0),0)</f>
        <v>20367.195264578786</v>
      </c>
      <c r="K815" s="444">
        <f t="shared" ca="1" si="79"/>
        <v>-24862.041069595532</v>
      </c>
      <c r="L815" s="444">
        <f t="shared" ca="1" si="80"/>
        <v>-5991751.8977725226</v>
      </c>
      <c r="M815" s="460">
        <f t="shared" si="82"/>
        <v>0.05</v>
      </c>
      <c r="N815" s="464">
        <f t="shared" si="83"/>
        <v>75850</v>
      </c>
    </row>
    <row r="816" spans="7:14" ht="11.25" customHeight="1" x14ac:dyDescent="0.3">
      <c r="G816" s="459">
        <f t="shared" si="87"/>
        <v>68</v>
      </c>
      <c r="H816" s="459">
        <v>809</v>
      </c>
      <c r="I816" s="444">
        <f t="shared" ca="1" si="81"/>
        <v>-5991751.8977725226</v>
      </c>
      <c r="J816" s="444">
        <f t="array" ref="J816">IFERROR(INDEX('Retirement Calculator'!K:K,MATCH('Lorri 401b'!N816,'Retirement Calculator'!A:A,0),0),0)</f>
        <v>20367.195264578786</v>
      </c>
      <c r="K816" s="444">
        <f t="shared" ca="1" si="79"/>
        <v>-25050.496220987923</v>
      </c>
      <c r="L816" s="444">
        <f t="shared" ca="1" si="80"/>
        <v>-6037169.5892580897</v>
      </c>
      <c r="M816" s="460">
        <f t="shared" si="82"/>
        <v>0.05</v>
      </c>
      <c r="N816" s="464">
        <f t="shared" si="83"/>
        <v>75880</v>
      </c>
    </row>
    <row r="817" spans="7:14" ht="11.25" customHeight="1" x14ac:dyDescent="0.3">
      <c r="G817" s="459">
        <f t="shared" si="87"/>
        <v>68</v>
      </c>
      <c r="H817" s="459">
        <v>810</v>
      </c>
      <c r="I817" s="444">
        <f t="shared" ca="1" si="81"/>
        <v>-6037169.5892580897</v>
      </c>
      <c r="J817" s="444">
        <f t="array" ref="J817">IFERROR(INDEX('Retirement Calculator'!K:K,MATCH('Lorri 401b'!N817,'Retirement Calculator'!A:A,0),0),0)</f>
        <v>20367.195264578786</v>
      </c>
      <c r="K817" s="444">
        <f t="shared" ca="1" si="79"/>
        <v>-25239.736602177785</v>
      </c>
      <c r="L817" s="444">
        <f t="shared" ca="1" si="80"/>
        <v>-6082776.5211248463</v>
      </c>
      <c r="M817" s="460">
        <f t="shared" si="82"/>
        <v>0.05</v>
      </c>
      <c r="N817" s="464">
        <f t="shared" si="83"/>
        <v>75911</v>
      </c>
    </row>
    <row r="818" spans="7:14" ht="11.25" customHeight="1" x14ac:dyDescent="0.3">
      <c r="G818" s="459">
        <f t="shared" si="87"/>
        <v>68</v>
      </c>
      <c r="H818" s="459">
        <v>811</v>
      </c>
      <c r="I818" s="444">
        <f t="shared" ca="1" si="81"/>
        <v>-6082776.5211248463</v>
      </c>
      <c r="J818" s="444">
        <f t="array" ref="J818">IFERROR(INDEX('Retirement Calculator'!K:K,MATCH('Lorri 401b'!N818,'Retirement Calculator'!A:A,0),0),0)</f>
        <v>20367.195264578786</v>
      </c>
      <c r="K818" s="444">
        <f t="shared" ca="1" si="79"/>
        <v>-25429.765484955937</v>
      </c>
      <c r="L818" s="444">
        <f t="shared" ca="1" si="80"/>
        <v>-6128573.4818743812</v>
      </c>
      <c r="M818" s="460">
        <f t="shared" si="82"/>
        <v>0.05</v>
      </c>
      <c r="N818" s="464">
        <f t="shared" si="83"/>
        <v>75941</v>
      </c>
    </row>
    <row r="819" spans="7:14" ht="11.25" customHeight="1" x14ac:dyDescent="0.3">
      <c r="G819" s="459">
        <f t="shared" si="87"/>
        <v>68</v>
      </c>
      <c r="H819" s="459">
        <v>812</v>
      </c>
      <c r="I819" s="444">
        <f t="shared" ca="1" si="81"/>
        <v>-6128573.4818743812</v>
      </c>
      <c r="J819" s="444">
        <f t="array" ref="J819">IFERROR(INDEX('Retirement Calculator'!K:K,MATCH('Lorri 401b'!N819,'Retirement Calculator'!A:A,0),0),0)</f>
        <v>20367.195264578786</v>
      </c>
      <c r="K819" s="444">
        <f t="shared" ca="1" si="79"/>
        <v>-25620.586154745666</v>
      </c>
      <c r="L819" s="444">
        <f t="shared" ca="1" si="80"/>
        <v>-6174561.2632937059</v>
      </c>
      <c r="M819" s="460">
        <f t="shared" si="82"/>
        <v>0.05</v>
      </c>
      <c r="N819" s="464">
        <f t="shared" si="83"/>
        <v>75972</v>
      </c>
    </row>
    <row r="820" spans="7:14" ht="11.25" customHeight="1" x14ac:dyDescent="0.3">
      <c r="G820" s="459">
        <f t="shared" si="87"/>
        <v>68</v>
      </c>
      <c r="H820" s="459">
        <v>813</v>
      </c>
      <c r="I820" s="444">
        <f t="shared" ca="1" si="81"/>
        <v>-6174561.2632937059</v>
      </c>
      <c r="J820" s="444">
        <f t="array" ref="J820">IFERROR(INDEX('Retirement Calculator'!K:K,MATCH('Lorri 401b'!N820,'Retirement Calculator'!A:A,0),0),0)</f>
        <v>20367.195264578786</v>
      </c>
      <c r="K820" s="444">
        <f t="shared" ca="1" si="79"/>
        <v>-25812.201910659518</v>
      </c>
      <c r="L820" s="444">
        <f t="shared" ca="1" si="80"/>
        <v>-6220740.6604689443</v>
      </c>
      <c r="M820" s="460">
        <f t="shared" si="82"/>
        <v>0.05</v>
      </c>
      <c r="N820" s="464">
        <f t="shared" si="83"/>
        <v>76003</v>
      </c>
    </row>
    <row r="821" spans="7:14" ht="11.25" customHeight="1" x14ac:dyDescent="0.3">
      <c r="G821" s="459">
        <f t="shared" si="87"/>
        <v>68</v>
      </c>
      <c r="H821" s="459">
        <v>814</v>
      </c>
      <c r="I821" s="444">
        <f t="shared" ca="1" si="81"/>
        <v>-6220740.6604689443</v>
      </c>
      <c r="J821" s="444">
        <f t="array" ref="J821">IFERROR(INDEX('Retirement Calculator'!K:K,MATCH('Lorri 401b'!N821,'Retirement Calculator'!A:A,0),0),0)</f>
        <v>20367.195264578786</v>
      </c>
      <c r="K821" s="444">
        <f t="shared" ca="1" si="79"/>
        <v>-26004.616065556347</v>
      </c>
      <c r="L821" s="444">
        <f t="shared" ca="1" si="80"/>
        <v>-6267112.4717990793</v>
      </c>
      <c r="M821" s="460">
        <f t="shared" si="82"/>
        <v>0.05</v>
      </c>
      <c r="N821" s="464">
        <f t="shared" si="83"/>
        <v>76032</v>
      </c>
    </row>
    <row r="822" spans="7:14" ht="11.25" customHeight="1" x14ac:dyDescent="0.3">
      <c r="G822" s="459">
        <f t="shared" si="87"/>
        <v>68</v>
      </c>
      <c r="H822" s="459">
        <v>815</v>
      </c>
      <c r="I822" s="444">
        <f t="shared" ca="1" si="81"/>
        <v>-6267112.4717990793</v>
      </c>
      <c r="J822" s="444">
        <f t="array" ref="J822">IFERROR(INDEX('Retirement Calculator'!K:K,MATCH('Lorri 401b'!N822,'Retirement Calculator'!A:A,0),0),0)</f>
        <v>20367.195264578786</v>
      </c>
      <c r="K822" s="444">
        <f t="shared" ca="1" si="79"/>
        <v>-26197.831946098577</v>
      </c>
      <c r="L822" s="444">
        <f t="shared" ca="1" si="80"/>
        <v>-6313677.4990097564</v>
      </c>
      <c r="M822" s="460">
        <f t="shared" si="82"/>
        <v>0.05</v>
      </c>
      <c r="N822" s="464">
        <f t="shared" si="83"/>
        <v>76063</v>
      </c>
    </row>
    <row r="823" spans="7:14" ht="11.25" customHeight="1" x14ac:dyDescent="0.3">
      <c r="G823" s="459">
        <f t="shared" si="87"/>
        <v>68</v>
      </c>
      <c r="H823" s="459">
        <v>816</v>
      </c>
      <c r="I823" s="444">
        <f t="shared" ca="1" si="81"/>
        <v>-6313677.4990097564</v>
      </c>
      <c r="J823" s="444">
        <f t="array" ref="J823">IFERROR(INDEX('Retirement Calculator'!K:K,MATCH('Lorri 401b'!N823,'Retirement Calculator'!A:A,0),0),0)</f>
        <v>20367.195264578786</v>
      </c>
      <c r="K823" s="444">
        <f t="shared" ca="1" si="79"/>
        <v>-26391.852892809729</v>
      </c>
      <c r="L823" s="444">
        <f t="shared" ca="1" si="80"/>
        <v>-6360436.5471671447</v>
      </c>
      <c r="M823" s="460">
        <f t="shared" si="82"/>
        <v>0.05</v>
      </c>
      <c r="N823" s="464">
        <f t="shared" si="83"/>
        <v>76093</v>
      </c>
    </row>
    <row r="824" spans="7:14" ht="11.25" customHeight="1" x14ac:dyDescent="0.3">
      <c r="G824" s="459">
        <f>G823+1</f>
        <v>69</v>
      </c>
      <c r="H824" s="459">
        <v>817</v>
      </c>
      <c r="I824" s="444">
        <f t="shared" ca="1" si="81"/>
        <v>-6360436.5471671447</v>
      </c>
      <c r="J824" s="444">
        <f t="array" ref="J824">IFERROR(INDEX('Retirement Calculator'!K:K,MATCH('Lorri 401b'!N824,'Retirement Calculator'!A:A,0),0),0)</f>
        <v>20367.195264578786</v>
      </c>
      <c r="K824" s="444">
        <f t="shared" ca="1" si="79"/>
        <v>-26586.68226013218</v>
      </c>
      <c r="L824" s="444">
        <f t="shared" ca="1" si="80"/>
        <v>-6407390.4246918559</v>
      </c>
      <c r="M824" s="460">
        <f t="shared" si="82"/>
        <v>0.05</v>
      </c>
      <c r="N824" s="464">
        <f t="shared" si="83"/>
        <v>76124</v>
      </c>
    </row>
    <row r="825" spans="7:14" ht="11.25" customHeight="1" x14ac:dyDescent="0.3">
      <c r="G825" s="459">
        <f t="shared" ref="G825:G835" si="88">G824</f>
        <v>69</v>
      </c>
      <c r="H825" s="459">
        <v>818</v>
      </c>
      <c r="I825" s="444">
        <f t="shared" ca="1" si="81"/>
        <v>-6407390.4246918559</v>
      </c>
      <c r="J825" s="444">
        <f t="array" ref="J825">IFERROR(INDEX('Retirement Calculator'!K:K,MATCH('Lorri 401b'!N825,'Retirement Calculator'!A:A,0),0),0)</f>
        <v>20367.195264578786</v>
      </c>
      <c r="K825" s="444">
        <f t="shared" ca="1" si="79"/>
        <v>-26782.323416485146</v>
      </c>
      <c r="L825" s="444">
        <f t="shared" ca="1" si="80"/>
        <v>-6454539.9433729202</v>
      </c>
      <c r="M825" s="460">
        <f t="shared" si="82"/>
        <v>0.05</v>
      </c>
      <c r="N825" s="464">
        <f t="shared" si="83"/>
        <v>76154</v>
      </c>
    </row>
    <row r="826" spans="7:14" ht="11.25" customHeight="1" x14ac:dyDescent="0.3">
      <c r="G826" s="459">
        <f t="shared" si="88"/>
        <v>69</v>
      </c>
      <c r="H826" s="459">
        <v>819</v>
      </c>
      <c r="I826" s="444">
        <f t="shared" ca="1" si="81"/>
        <v>-6454539.9433729202</v>
      </c>
      <c r="J826" s="444">
        <f t="array" ref="J826">IFERROR(INDEX('Retirement Calculator'!K:K,MATCH('Lorri 401b'!N826,'Retirement Calculator'!A:A,0),0),0)</f>
        <v>20367.195264578786</v>
      </c>
      <c r="K826" s="444">
        <f t="shared" ca="1" si="79"/>
        <v>-26978.77974432291</v>
      </c>
      <c r="L826" s="444">
        <f t="shared" ca="1" si="80"/>
        <v>-6501885.9183818223</v>
      </c>
      <c r="M826" s="460">
        <f t="shared" si="82"/>
        <v>0.05</v>
      </c>
      <c r="N826" s="464">
        <f t="shared" si="83"/>
        <v>76185</v>
      </c>
    </row>
    <row r="827" spans="7:14" ht="11.25" customHeight="1" x14ac:dyDescent="0.3">
      <c r="G827" s="459">
        <f t="shared" si="88"/>
        <v>69</v>
      </c>
      <c r="H827" s="459">
        <v>820</v>
      </c>
      <c r="I827" s="444">
        <f t="shared" ca="1" si="81"/>
        <v>-6501885.9183818223</v>
      </c>
      <c r="J827" s="444">
        <f t="array" ref="J827">IFERROR(INDEX('Retirement Calculator'!K:K,MATCH('Lorri 401b'!N827,'Retirement Calculator'!A:A,0),0),0)</f>
        <v>20367.195264578786</v>
      </c>
      <c r="K827" s="444">
        <f t="shared" ca="1" si="79"/>
        <v>-27176.054640193339</v>
      </c>
      <c r="L827" s="444">
        <f t="shared" ca="1" si="80"/>
        <v>-6549429.1682865946</v>
      </c>
      <c r="M827" s="460">
        <f t="shared" si="82"/>
        <v>0.05</v>
      </c>
      <c r="N827" s="464">
        <f t="shared" si="83"/>
        <v>76216</v>
      </c>
    </row>
    <row r="828" spans="7:14" ht="11.25" customHeight="1" x14ac:dyDescent="0.3">
      <c r="G828" s="459">
        <f t="shared" si="88"/>
        <v>69</v>
      </c>
      <c r="H828" s="459">
        <v>821</v>
      </c>
      <c r="I828" s="444">
        <f t="shared" ca="1" si="81"/>
        <v>-6549429.1682865946</v>
      </c>
      <c r="J828" s="444">
        <f t="array" ref="J828">IFERROR(INDEX('Retirement Calculator'!K:K,MATCH('Lorri 401b'!N828,'Retirement Calculator'!A:A,0),0),0)</f>
        <v>20367.195264578786</v>
      </c>
      <c r="K828" s="444">
        <f t="shared" ca="1" si="79"/>
        <v>-27374.151514796555</v>
      </c>
      <c r="L828" s="444">
        <f t="shared" ca="1" si="80"/>
        <v>-6597170.5150659699</v>
      </c>
      <c r="M828" s="460">
        <f t="shared" si="82"/>
        <v>0.05</v>
      </c>
      <c r="N828" s="464">
        <f t="shared" si="83"/>
        <v>76246</v>
      </c>
    </row>
    <row r="829" spans="7:14" ht="11.25" customHeight="1" x14ac:dyDescent="0.3">
      <c r="G829" s="459">
        <f t="shared" si="88"/>
        <v>69</v>
      </c>
      <c r="H829" s="459">
        <v>822</v>
      </c>
      <c r="I829" s="444">
        <f t="shared" ca="1" si="81"/>
        <v>-6597170.5150659699</v>
      </c>
      <c r="J829" s="444">
        <f t="array" ref="J829">IFERROR(INDEX('Retirement Calculator'!K:K,MATCH('Lorri 401b'!N829,'Retirement Calculator'!A:A,0),0),0)</f>
        <v>20367.195264578786</v>
      </c>
      <c r="K829" s="444">
        <f t="shared" ca="1" si="79"/>
        <v>-27573.073793043954</v>
      </c>
      <c r="L829" s="444">
        <f t="shared" ca="1" si="80"/>
        <v>-6645110.784123593</v>
      </c>
      <c r="M829" s="460">
        <f t="shared" si="82"/>
        <v>0.05</v>
      </c>
      <c r="N829" s="464">
        <f t="shared" si="83"/>
        <v>76277</v>
      </c>
    </row>
    <row r="830" spans="7:14" ht="11.25" customHeight="1" x14ac:dyDescent="0.3">
      <c r="G830" s="459">
        <f t="shared" si="88"/>
        <v>69</v>
      </c>
      <c r="H830" s="459">
        <v>823</v>
      </c>
      <c r="I830" s="444">
        <f t="shared" ca="1" si="81"/>
        <v>-6645110.784123593</v>
      </c>
      <c r="J830" s="444">
        <f t="array" ref="J830">IFERROR(INDEX('Retirement Calculator'!K:K,MATCH('Lorri 401b'!N830,'Retirement Calculator'!A:A,0),0),0)</f>
        <v>20367.195264578786</v>
      </c>
      <c r="K830" s="444">
        <f t="shared" ca="1" si="79"/>
        <v>-27772.824914117384</v>
      </c>
      <c r="L830" s="444">
        <f t="shared" ca="1" si="80"/>
        <v>-6693250.8043022892</v>
      </c>
      <c r="M830" s="460">
        <f t="shared" si="82"/>
        <v>0.05</v>
      </c>
      <c r="N830" s="464">
        <f t="shared" si="83"/>
        <v>76307</v>
      </c>
    </row>
    <row r="831" spans="7:14" ht="11.25" customHeight="1" x14ac:dyDescent="0.3">
      <c r="G831" s="459">
        <f t="shared" si="88"/>
        <v>69</v>
      </c>
      <c r="H831" s="459">
        <v>824</v>
      </c>
      <c r="I831" s="444">
        <f t="shared" ca="1" si="81"/>
        <v>-6693250.8043022892</v>
      </c>
      <c r="J831" s="444">
        <f t="array" ref="J831">IFERROR(INDEX('Retirement Calculator'!K:K,MATCH('Lorri 401b'!N831,'Retirement Calculator'!A:A,0),0),0)</f>
        <v>20367.195264578786</v>
      </c>
      <c r="K831" s="444">
        <f t="shared" ca="1" si="79"/>
        <v>-27973.408331528615</v>
      </c>
      <c r="L831" s="444">
        <f t="shared" ca="1" si="80"/>
        <v>-6741591.4078983963</v>
      </c>
      <c r="M831" s="460">
        <f t="shared" si="82"/>
        <v>0.05</v>
      </c>
      <c r="N831" s="464">
        <f t="shared" si="83"/>
        <v>76338</v>
      </c>
    </row>
    <row r="832" spans="7:14" ht="11.25" customHeight="1" x14ac:dyDescent="0.3">
      <c r="G832" s="459">
        <f t="shared" si="88"/>
        <v>69</v>
      </c>
      <c r="H832" s="459">
        <v>825</v>
      </c>
      <c r="I832" s="444">
        <f t="shared" ca="1" si="81"/>
        <v>-6741591.4078983963</v>
      </c>
      <c r="J832" s="444">
        <f t="array" ref="J832">IFERROR(INDEX('Retirement Calculator'!K:K,MATCH('Lorri 401b'!N832,'Retirement Calculator'!A:A,0),0),0)</f>
        <v>20367.195264578786</v>
      </c>
      <c r="K832" s="444">
        <f t="shared" ca="1" si="79"/>
        <v>-28174.827513179061</v>
      </c>
      <c r="L832" s="444">
        <f t="shared" ca="1" si="80"/>
        <v>-6790133.4306761539</v>
      </c>
      <c r="M832" s="460">
        <f t="shared" si="82"/>
        <v>0.05</v>
      </c>
      <c r="N832" s="464">
        <f t="shared" si="83"/>
        <v>76369</v>
      </c>
    </row>
    <row r="833" spans="7:14" ht="11.25" customHeight="1" x14ac:dyDescent="0.3">
      <c r="G833" s="459">
        <f t="shared" si="88"/>
        <v>69</v>
      </c>
      <c r="H833" s="459">
        <v>826</v>
      </c>
      <c r="I833" s="444">
        <f t="shared" ca="1" si="81"/>
        <v>-6790133.4306761539</v>
      </c>
      <c r="J833" s="444">
        <f t="array" ref="J833">IFERROR(INDEX('Retirement Calculator'!K:K,MATCH('Lorri 401b'!N833,'Retirement Calculator'!A:A,0),0),0)</f>
        <v>20367.195264578786</v>
      </c>
      <c r="K833" s="444">
        <f t="shared" ca="1" si="79"/>
        <v>-28377.085941419718</v>
      </c>
      <c r="L833" s="444">
        <f t="shared" ca="1" si="80"/>
        <v>-6838877.7118821526</v>
      </c>
      <c r="M833" s="460">
        <f t="shared" si="82"/>
        <v>0.05</v>
      </c>
      <c r="N833" s="464">
        <f t="shared" si="83"/>
        <v>76397</v>
      </c>
    </row>
    <row r="834" spans="7:14" ht="11.25" customHeight="1" x14ac:dyDescent="0.3">
      <c r="G834" s="459">
        <f t="shared" si="88"/>
        <v>69</v>
      </c>
      <c r="H834" s="459">
        <v>827</v>
      </c>
      <c r="I834" s="444">
        <f t="shared" ca="1" si="81"/>
        <v>-6838877.7118821526</v>
      </c>
      <c r="J834" s="444">
        <f t="array" ref="J834">IFERROR(INDEX('Retirement Calculator'!K:K,MATCH('Lorri 401b'!N834,'Retirement Calculator'!A:A,0),0),0)</f>
        <v>20367.195264578786</v>
      </c>
      <c r="K834" s="444">
        <f t="shared" ca="1" si="79"/>
        <v>-28580.18711311138</v>
      </c>
      <c r="L834" s="444">
        <f t="shared" ca="1" si="80"/>
        <v>-6887825.0942598432</v>
      </c>
      <c r="M834" s="460">
        <f t="shared" si="82"/>
        <v>0.05</v>
      </c>
      <c r="N834" s="464">
        <f t="shared" si="83"/>
        <v>76428</v>
      </c>
    </row>
    <row r="835" spans="7:14" ht="11.25" customHeight="1" x14ac:dyDescent="0.3">
      <c r="G835" s="459">
        <f t="shared" si="88"/>
        <v>69</v>
      </c>
      <c r="H835" s="459">
        <v>828</v>
      </c>
      <c r="I835" s="444">
        <f t="shared" ca="1" si="81"/>
        <v>-6887825.0942598432</v>
      </c>
      <c r="J835" s="444">
        <f t="array" ref="J835">IFERROR(INDEX('Retirement Calculator'!K:K,MATCH('Lorri 401b'!N835,'Retirement Calculator'!A:A,0),0),0)</f>
        <v>20367.195264578786</v>
      </c>
      <c r="K835" s="444">
        <f t="shared" ca="1" si="79"/>
        <v>-28784.134539685096</v>
      </c>
      <c r="L835" s="444">
        <f t="shared" ca="1" si="80"/>
        <v>-6936976.4240641072</v>
      </c>
      <c r="M835" s="460">
        <f t="shared" si="82"/>
        <v>0.05</v>
      </c>
      <c r="N835" s="464">
        <f t="shared" si="83"/>
        <v>76458</v>
      </c>
    </row>
    <row r="836" spans="7:14" ht="11.25" customHeight="1" x14ac:dyDescent="0.3">
      <c r="G836" s="459">
        <f>G835+1</f>
        <v>70</v>
      </c>
      <c r="H836" s="459">
        <v>829</v>
      </c>
      <c r="I836" s="444">
        <f t="shared" ca="1" si="81"/>
        <v>-6936976.4240641072</v>
      </c>
      <c r="J836" s="444">
        <f t="array" ref="J836">IFERROR(INDEX('Retirement Calculator'!K:K,MATCH('Lorri 401b'!N836,'Retirement Calculator'!A:A,0),0),0)</f>
        <v>20367.195264578786</v>
      </c>
      <c r="K836" s="444">
        <f t="shared" ca="1" si="79"/>
        <v>-28988.93174720286</v>
      </c>
      <c r="L836" s="444">
        <f t="shared" ca="1" si="80"/>
        <v>-6986332.5510758888</v>
      </c>
      <c r="M836" s="460">
        <f t="shared" si="82"/>
        <v>0.05</v>
      </c>
      <c r="N836" s="464">
        <f t="shared" si="83"/>
        <v>76489</v>
      </c>
    </row>
    <row r="837" spans="7:14" ht="11.25" customHeight="1" x14ac:dyDescent="0.3">
      <c r="G837" s="459">
        <f t="shared" ref="G837:G847" si="89">G836</f>
        <v>70</v>
      </c>
      <c r="H837" s="459">
        <v>830</v>
      </c>
      <c r="I837" s="444">
        <f t="shared" ca="1" si="81"/>
        <v>-6986332.5510758888</v>
      </c>
      <c r="J837" s="444">
        <f t="array" ref="J837">IFERROR(INDEX('Retirement Calculator'!K:K,MATCH('Lorri 401b'!N837,'Retirement Calculator'!A:A,0),0),0)</f>
        <v>20367.195264578786</v>
      </c>
      <c r="K837" s="444">
        <f t="shared" ca="1" si="79"/>
        <v>-29194.582276418616</v>
      </c>
      <c r="L837" s="444">
        <f t="shared" ca="1" si="80"/>
        <v>-7035894.3286168864</v>
      </c>
      <c r="M837" s="460">
        <f t="shared" si="82"/>
        <v>0.05</v>
      </c>
      <c r="N837" s="464">
        <f t="shared" si="83"/>
        <v>76519</v>
      </c>
    </row>
    <row r="838" spans="7:14" ht="11.25" customHeight="1" x14ac:dyDescent="0.3">
      <c r="G838" s="459">
        <f t="shared" si="89"/>
        <v>70</v>
      </c>
      <c r="H838" s="459">
        <v>831</v>
      </c>
      <c r="I838" s="444">
        <f t="shared" ca="1" si="81"/>
        <v>-7035894.3286168864</v>
      </c>
      <c r="J838" s="444">
        <f t="array" ref="J838">IFERROR(INDEX('Retirement Calculator'!K:K,MATCH('Lorri 401b'!N838,'Retirement Calculator'!A:A,0),0),0)</f>
        <v>20367.195264578786</v>
      </c>
      <c r="K838" s="444">
        <f t="shared" ca="1" si="79"/>
        <v>-29401.089682839436</v>
      </c>
      <c r="L838" s="444">
        <f t="shared" ca="1" si="80"/>
        <v>-7085662.613564305</v>
      </c>
      <c r="M838" s="460">
        <f t="shared" si="82"/>
        <v>0.05</v>
      </c>
      <c r="N838" s="464">
        <f t="shared" si="83"/>
        <v>76550</v>
      </c>
    </row>
    <row r="839" spans="7:14" ht="11.25" customHeight="1" x14ac:dyDescent="0.3">
      <c r="G839" s="459">
        <f t="shared" si="89"/>
        <v>70</v>
      </c>
      <c r="H839" s="459">
        <v>832</v>
      </c>
      <c r="I839" s="444">
        <f t="shared" ca="1" si="81"/>
        <v>-7085662.613564305</v>
      </c>
      <c r="J839" s="444">
        <f t="array" ref="J839">IFERROR(INDEX('Retirement Calculator'!K:K,MATCH('Lorri 401b'!N839,'Retirement Calculator'!A:A,0),0),0)</f>
        <v>20367.195264578786</v>
      </c>
      <c r="K839" s="444">
        <f t="shared" ca="1" si="79"/>
        <v>-29608.457536787017</v>
      </c>
      <c r="L839" s="444">
        <f t="shared" ca="1" si="80"/>
        <v>-7135638.2663656706</v>
      </c>
      <c r="M839" s="460">
        <f t="shared" si="82"/>
        <v>0.05</v>
      </c>
      <c r="N839" s="464">
        <f t="shared" si="83"/>
        <v>76581</v>
      </c>
    </row>
    <row r="840" spans="7:14" ht="11.25" customHeight="1" x14ac:dyDescent="0.3">
      <c r="G840" s="459">
        <f t="shared" si="89"/>
        <v>70</v>
      </c>
      <c r="H840" s="459">
        <v>833</v>
      </c>
      <c r="I840" s="444">
        <f t="shared" ca="1" si="81"/>
        <v>-7135638.2663656706</v>
      </c>
      <c r="J840" s="444">
        <f t="array" ref="J840">IFERROR(INDEX('Retirement Calculator'!K:K,MATCH('Lorri 401b'!N840,'Retirement Calculator'!A:A,0),0),0)</f>
        <v>20367.195264578786</v>
      </c>
      <c r="K840" s="444">
        <f t="shared" ca="1" si="79"/>
        <v>-29816.689423459371</v>
      </c>
      <c r="L840" s="444">
        <f t="shared" ca="1" si="80"/>
        <v>-7185822.151053709</v>
      </c>
      <c r="M840" s="460">
        <f t="shared" si="82"/>
        <v>0.05</v>
      </c>
      <c r="N840" s="464">
        <f t="shared" si="83"/>
        <v>76611</v>
      </c>
    </row>
    <row r="841" spans="7:14" ht="11.25" customHeight="1" x14ac:dyDescent="0.3">
      <c r="G841" s="459">
        <f t="shared" si="89"/>
        <v>70</v>
      </c>
      <c r="H841" s="459">
        <v>834</v>
      </c>
      <c r="I841" s="444">
        <f t="shared" ca="1" si="81"/>
        <v>-7185822.151053709</v>
      </c>
      <c r="J841" s="444">
        <f t="array" ref="J841">IFERROR(INDEX('Retirement Calculator'!K:K,MATCH('Lorri 401b'!N841,'Retirement Calculator'!A:A,0),0),0)</f>
        <v>20367.195264578786</v>
      </c>
      <c r="K841" s="444">
        <f t="shared" ca="1" si="79"/>
        <v>-30025.788942992869</v>
      </c>
      <c r="L841" s="444">
        <f t="shared" ca="1" si="80"/>
        <v>-7236215.1352612805</v>
      </c>
      <c r="M841" s="460">
        <f t="shared" si="82"/>
        <v>0.05</v>
      </c>
      <c r="N841" s="464">
        <f t="shared" si="83"/>
        <v>76642</v>
      </c>
    </row>
    <row r="842" spans="7:14" ht="11.25" customHeight="1" x14ac:dyDescent="0.3">
      <c r="G842" s="459">
        <f t="shared" si="89"/>
        <v>70</v>
      </c>
      <c r="H842" s="459">
        <v>835</v>
      </c>
      <c r="I842" s="444">
        <f t="shared" ca="1" si="81"/>
        <v>-7236215.1352612805</v>
      </c>
      <c r="J842" s="444">
        <f t="array" ref="J842">IFERROR(INDEX('Retirement Calculator'!K:K,MATCH('Lorri 401b'!N842,'Retirement Calculator'!A:A,0),0),0)</f>
        <v>20367.195264578786</v>
      </c>
      <c r="K842" s="444">
        <f t="shared" ca="1" si="79"/>
        <v>-30235.759710524417</v>
      </c>
      <c r="L842" s="444">
        <f t="shared" ca="1" si="80"/>
        <v>-7286818.0902363835</v>
      </c>
      <c r="M842" s="460">
        <f t="shared" si="82"/>
        <v>0.05</v>
      </c>
      <c r="N842" s="464">
        <f t="shared" si="83"/>
        <v>76672</v>
      </c>
    </row>
    <row r="843" spans="7:14" ht="11.25" customHeight="1" x14ac:dyDescent="0.3">
      <c r="G843" s="459">
        <f t="shared" si="89"/>
        <v>70</v>
      </c>
      <c r="H843" s="459">
        <v>836</v>
      </c>
      <c r="I843" s="444">
        <f t="shared" ca="1" si="81"/>
        <v>-7286818.0902363835</v>
      </c>
      <c r="J843" s="444">
        <f t="array" ref="J843">IFERROR(INDEX('Retirement Calculator'!K:K,MATCH('Lorri 401b'!N843,'Retirement Calculator'!A:A,0),0),0)</f>
        <v>20367.195264578786</v>
      </c>
      <c r="K843" s="444">
        <f t="shared" ca="1" si="79"/>
        <v>-30446.605356254004</v>
      </c>
      <c r="L843" s="444">
        <f t="shared" ca="1" si="80"/>
        <v>-7337631.890857216</v>
      </c>
      <c r="M843" s="460">
        <f t="shared" si="82"/>
        <v>0.05</v>
      </c>
      <c r="N843" s="464">
        <f t="shared" si="83"/>
        <v>76703</v>
      </c>
    </row>
    <row r="844" spans="7:14" ht="11.25" customHeight="1" x14ac:dyDescent="0.3">
      <c r="G844" s="459">
        <f t="shared" si="89"/>
        <v>70</v>
      </c>
      <c r="H844" s="459">
        <v>837</v>
      </c>
      <c r="I844" s="444">
        <f t="shared" ca="1" si="81"/>
        <v>-7337631.890857216</v>
      </c>
      <c r="J844" s="444">
        <f t="array" ref="J844">IFERROR(INDEX('Retirement Calculator'!K:K,MATCH('Lorri 401b'!N844,'Retirement Calculator'!A:A,0),0),0)</f>
        <v>20367.195264578786</v>
      </c>
      <c r="K844" s="444">
        <f t="shared" ca="1" si="79"/>
        <v>-30658.329525507477</v>
      </c>
      <c r="L844" s="444">
        <f t="shared" ca="1" si="80"/>
        <v>-7388657.4156473018</v>
      </c>
      <c r="M844" s="460">
        <f t="shared" si="82"/>
        <v>0.05</v>
      </c>
      <c r="N844" s="464">
        <f t="shared" si="83"/>
        <v>76734</v>
      </c>
    </row>
    <row r="845" spans="7:14" ht="11.25" customHeight="1" x14ac:dyDescent="0.3">
      <c r="G845" s="459">
        <f t="shared" si="89"/>
        <v>70</v>
      </c>
      <c r="H845" s="459">
        <v>838</v>
      </c>
      <c r="I845" s="444">
        <f t="shared" ca="1" si="81"/>
        <v>-7388657.4156473018</v>
      </c>
      <c r="J845" s="444">
        <f t="array" ref="J845">IFERROR(INDEX('Retirement Calculator'!K:K,MATCH('Lorri 401b'!N845,'Retirement Calculator'!A:A,0),0),0)</f>
        <v>20367.195264578786</v>
      </c>
      <c r="K845" s="444">
        <f t="shared" ca="1" si="79"/>
        <v>-30870.935878799501</v>
      </c>
      <c r="L845" s="444">
        <f t="shared" ca="1" si="80"/>
        <v>-7439895.5467906799</v>
      </c>
      <c r="M845" s="460">
        <f t="shared" si="82"/>
        <v>0.05</v>
      </c>
      <c r="N845" s="464">
        <f t="shared" si="83"/>
        <v>76762</v>
      </c>
    </row>
    <row r="846" spans="7:14" ht="11.25" customHeight="1" x14ac:dyDescent="0.3">
      <c r="G846" s="459">
        <f t="shared" si="89"/>
        <v>70</v>
      </c>
      <c r="H846" s="459">
        <v>839</v>
      </c>
      <c r="I846" s="444">
        <f t="shared" ca="1" si="81"/>
        <v>-7439895.5467906799</v>
      </c>
      <c r="J846" s="444">
        <f t="array" ref="J846">IFERROR(INDEX('Retirement Calculator'!K:K,MATCH('Lorri 401b'!N846,'Retirement Calculator'!A:A,0),0),0)</f>
        <v>20367.195264578786</v>
      </c>
      <c r="K846" s="444">
        <f t="shared" ca="1" si="79"/>
        <v>-31084.428091896913</v>
      </c>
      <c r="L846" s="444">
        <f t="shared" ca="1" si="80"/>
        <v>-7491347.1701471554</v>
      </c>
      <c r="M846" s="460">
        <f t="shared" si="82"/>
        <v>0.05</v>
      </c>
      <c r="N846" s="464">
        <f t="shared" si="83"/>
        <v>76793</v>
      </c>
    </row>
    <row r="847" spans="7:14" ht="11.25" customHeight="1" x14ac:dyDescent="0.3">
      <c r="G847" s="459">
        <f t="shared" si="89"/>
        <v>70</v>
      </c>
      <c r="H847" s="459">
        <v>840</v>
      </c>
      <c r="I847" s="444">
        <f t="shared" ca="1" si="81"/>
        <v>-7491347.1701471554</v>
      </c>
      <c r="J847" s="444">
        <f t="array" ref="J847">IFERROR(INDEX('Retirement Calculator'!K:K,MATCH('Lorri 401b'!N847,'Retirement Calculator'!A:A,0),0),0)</f>
        <v>20367.195264578786</v>
      </c>
      <c r="K847" s="444">
        <f t="shared" ca="1" si="79"/>
        <v>-31298.809855882228</v>
      </c>
      <c r="L847" s="444">
        <f t="shared" ca="1" si="80"/>
        <v>-7543013.1752676163</v>
      </c>
      <c r="M847" s="460">
        <f t="shared" si="82"/>
        <v>0.05</v>
      </c>
      <c r="N847" s="464">
        <f t="shared" si="83"/>
        <v>76823</v>
      </c>
    </row>
    <row r="848" spans="7:14" ht="11.25" customHeight="1" x14ac:dyDescent="0.3">
      <c r="G848" s="459">
        <f>G847+1</f>
        <v>71</v>
      </c>
      <c r="H848" s="459">
        <v>841</v>
      </c>
      <c r="I848" s="444">
        <f t="shared" ca="1" si="81"/>
        <v>-7543013.1752676163</v>
      </c>
      <c r="J848" s="444">
        <f t="array" ref="J848">IFERROR(INDEX('Retirement Calculator'!K:K,MATCH('Lorri 401b'!N848,'Retirement Calculator'!A:A,0),0),0)</f>
        <v>20367.195264578786</v>
      </c>
      <c r="K848" s="444">
        <f t="shared" ca="1" si="79"/>
        <v>-31514.08487721748</v>
      </c>
      <c r="L848" s="444">
        <f t="shared" ca="1" si="80"/>
        <v>-7594894.4554094123</v>
      </c>
      <c r="M848" s="460">
        <f t="shared" si="82"/>
        <v>0.05</v>
      </c>
      <c r="N848" s="464">
        <f t="shared" si="83"/>
        <v>76854</v>
      </c>
    </row>
    <row r="849" spans="7:14" ht="11.25" customHeight="1" x14ac:dyDescent="0.3">
      <c r="G849" s="459">
        <f t="shared" ref="G849:G859" si="90">G848</f>
        <v>71</v>
      </c>
      <c r="H849" s="459">
        <v>842</v>
      </c>
      <c r="I849" s="444">
        <f t="shared" ca="1" si="81"/>
        <v>-7594894.4554094123</v>
      </c>
      <c r="J849" s="444">
        <f t="array" ref="J849">IFERROR(INDEX('Retirement Calculator'!K:K,MATCH('Lorri 401b'!N849,'Retirement Calculator'!A:A,0),0),0)</f>
        <v>20367.195264578786</v>
      </c>
      <c r="K849" s="444">
        <f t="shared" ca="1" si="79"/>
        <v>-31730.256877808297</v>
      </c>
      <c r="L849" s="444">
        <f t="shared" ca="1" si="80"/>
        <v>-7646991.907551799</v>
      </c>
      <c r="M849" s="460">
        <f t="shared" si="82"/>
        <v>0.05</v>
      </c>
      <c r="N849" s="464">
        <f t="shared" si="83"/>
        <v>76884</v>
      </c>
    </row>
    <row r="850" spans="7:14" ht="11.25" customHeight="1" x14ac:dyDescent="0.3">
      <c r="G850" s="459">
        <f t="shared" si="90"/>
        <v>71</v>
      </c>
      <c r="H850" s="459">
        <v>843</v>
      </c>
      <c r="I850" s="444">
        <f t="shared" ca="1" si="81"/>
        <v>-7646991.907551799</v>
      </c>
      <c r="J850" s="444">
        <f t="array" ref="J850">IFERROR(INDEX('Retirement Calculator'!K:K,MATCH('Lorri 401b'!N850,'Retirement Calculator'!A:A,0),0),0)</f>
        <v>20367.195264578786</v>
      </c>
      <c r="K850" s="444">
        <f t="shared" ca="1" si="79"/>
        <v>-31947.329595068237</v>
      </c>
      <c r="L850" s="444">
        <f t="shared" ca="1" si="80"/>
        <v>-7699306.4324114462</v>
      </c>
      <c r="M850" s="460">
        <f t="shared" si="82"/>
        <v>0.05</v>
      </c>
      <c r="N850" s="464">
        <f t="shared" si="83"/>
        <v>76915</v>
      </c>
    </row>
    <row r="851" spans="7:14" ht="11.25" customHeight="1" x14ac:dyDescent="0.3">
      <c r="G851" s="459">
        <f t="shared" si="90"/>
        <v>71</v>
      </c>
      <c r="H851" s="459">
        <v>844</v>
      </c>
      <c r="I851" s="444">
        <f t="shared" ca="1" si="81"/>
        <v>-7699306.4324114462</v>
      </c>
      <c r="J851" s="444">
        <f t="array" ref="J851">IFERROR(INDEX('Retirement Calculator'!K:K,MATCH('Lorri 401b'!N851,'Retirement Calculator'!A:A,0),0),0)</f>
        <v>20367.195264578786</v>
      </c>
      <c r="K851" s="444">
        <f t="shared" ca="1" si="79"/>
        <v>-32165.30678198344</v>
      </c>
      <c r="L851" s="444">
        <f t="shared" ca="1" si="80"/>
        <v>-7751838.934458008</v>
      </c>
      <c r="M851" s="460">
        <f t="shared" si="82"/>
        <v>0.05</v>
      </c>
      <c r="N851" s="464">
        <f t="shared" si="83"/>
        <v>76946</v>
      </c>
    </row>
    <row r="852" spans="7:14" ht="11.25" customHeight="1" x14ac:dyDescent="0.3">
      <c r="G852" s="459">
        <f t="shared" si="90"/>
        <v>71</v>
      </c>
      <c r="H852" s="459">
        <v>845</v>
      </c>
      <c r="I852" s="444">
        <f t="shared" ca="1" si="81"/>
        <v>-7751838.934458008</v>
      </c>
      <c r="J852" s="444">
        <f t="array" ref="J852">IFERROR(INDEX('Retirement Calculator'!K:K,MATCH('Lorri 401b'!N852,'Retirement Calculator'!A:A,0),0),0)</f>
        <v>20367.195264578786</v>
      </c>
      <c r="K852" s="444">
        <f t="shared" ca="1" si="79"/>
        <v>-32384.192207177446</v>
      </c>
      <c r="L852" s="444">
        <f t="shared" ca="1" si="80"/>
        <v>-7804590.321929764</v>
      </c>
      <c r="M852" s="460">
        <f t="shared" si="82"/>
        <v>0.05</v>
      </c>
      <c r="N852" s="464">
        <f t="shared" si="83"/>
        <v>76976</v>
      </c>
    </row>
    <row r="853" spans="7:14" ht="11.25" customHeight="1" x14ac:dyDescent="0.3">
      <c r="G853" s="459">
        <f t="shared" si="90"/>
        <v>71</v>
      </c>
      <c r="H853" s="459">
        <v>846</v>
      </c>
      <c r="I853" s="444">
        <f t="shared" ca="1" si="81"/>
        <v>-7804590.321929764</v>
      </c>
      <c r="J853" s="444">
        <f t="array" ref="J853">IFERROR(INDEX('Retirement Calculator'!K:K,MATCH('Lorri 401b'!N853,'Retirement Calculator'!A:A,0),0),0)</f>
        <v>20367.195264578786</v>
      </c>
      <c r="K853" s="444">
        <f t="shared" ca="1" si="79"/>
        <v>-32603.989654976431</v>
      </c>
      <c r="L853" s="444">
        <f t="shared" ca="1" si="80"/>
        <v>-7857561.5068493197</v>
      </c>
      <c r="M853" s="460">
        <f t="shared" si="82"/>
        <v>0.05</v>
      </c>
      <c r="N853" s="464">
        <f t="shared" si="83"/>
        <v>77007</v>
      </c>
    </row>
    <row r="854" spans="7:14" ht="11.25" customHeight="1" x14ac:dyDescent="0.3">
      <c r="G854" s="459">
        <f t="shared" si="90"/>
        <v>71</v>
      </c>
      <c r="H854" s="459">
        <v>847</v>
      </c>
      <c r="I854" s="444">
        <f t="shared" ca="1" si="81"/>
        <v>-7857561.5068493197</v>
      </c>
      <c r="J854" s="444">
        <f t="array" ref="J854">IFERROR(INDEX('Retirement Calculator'!K:K,MATCH('Lorri 401b'!N854,'Retirement Calculator'!A:A,0),0),0)</f>
        <v>20367.195264578786</v>
      </c>
      <c r="K854" s="444">
        <f t="shared" ca="1" si="79"/>
        <v>-32824.702925474579</v>
      </c>
      <c r="L854" s="444">
        <f t="shared" ca="1" si="80"/>
        <v>-7910753.4050393729</v>
      </c>
      <c r="M854" s="460">
        <f t="shared" si="82"/>
        <v>0.05</v>
      </c>
      <c r="N854" s="464">
        <f t="shared" si="83"/>
        <v>77037</v>
      </c>
    </row>
    <row r="855" spans="7:14" ht="11.25" customHeight="1" x14ac:dyDescent="0.3">
      <c r="G855" s="459">
        <f t="shared" si="90"/>
        <v>71</v>
      </c>
      <c r="H855" s="459">
        <v>848</v>
      </c>
      <c r="I855" s="444">
        <f t="shared" ca="1" si="81"/>
        <v>-7910753.4050393729</v>
      </c>
      <c r="J855" s="444">
        <f t="array" ref="J855">IFERROR(INDEX('Retirement Calculator'!K:K,MATCH('Lorri 401b'!N855,'Retirement Calculator'!A:A,0),0),0)</f>
        <v>20367.195264578786</v>
      </c>
      <c r="K855" s="444">
        <f t="shared" ca="1" si="79"/>
        <v>-33046.335834599799</v>
      </c>
      <c r="L855" s="444">
        <f t="shared" ca="1" si="80"/>
        <v>-7964166.9361385517</v>
      </c>
      <c r="M855" s="460">
        <f t="shared" si="82"/>
        <v>0.05</v>
      </c>
      <c r="N855" s="464">
        <f t="shared" si="83"/>
        <v>77068</v>
      </c>
    </row>
    <row r="856" spans="7:14" ht="11.25" customHeight="1" x14ac:dyDescent="0.3">
      <c r="G856" s="459">
        <f t="shared" si="90"/>
        <v>71</v>
      </c>
      <c r="H856" s="459">
        <v>849</v>
      </c>
      <c r="I856" s="444">
        <f t="shared" ca="1" si="81"/>
        <v>-7964166.9361385517</v>
      </c>
      <c r="J856" s="444">
        <f t="array" ref="J856">IFERROR(INDEX('Retirement Calculator'!K:K,MATCH('Lorri 401b'!N856,'Retirement Calculator'!A:A,0),0),0)</f>
        <v>20367.195264578786</v>
      </c>
      <c r="K856" s="444">
        <f t="shared" ca="1" si="79"/>
        <v>-33268.892214179708</v>
      </c>
      <c r="L856" s="444">
        <f t="shared" ca="1" si="80"/>
        <v>-8017803.0236173104</v>
      </c>
      <c r="M856" s="460">
        <f t="shared" si="82"/>
        <v>0.05</v>
      </c>
      <c r="N856" s="464">
        <f t="shared" si="83"/>
        <v>77099</v>
      </c>
    </row>
    <row r="857" spans="7:14" ht="11.25" customHeight="1" x14ac:dyDescent="0.3">
      <c r="G857" s="459">
        <f t="shared" si="90"/>
        <v>71</v>
      </c>
      <c r="H857" s="459">
        <v>850</v>
      </c>
      <c r="I857" s="444">
        <f t="shared" ca="1" si="81"/>
        <v>-8017803.0236173104</v>
      </c>
      <c r="J857" s="444">
        <f t="array" ref="J857">IFERROR(INDEX('Retirement Calculator'!K:K,MATCH('Lorri 401b'!N857,'Retirement Calculator'!A:A,0),0),0)</f>
        <v>20367.195264578786</v>
      </c>
      <c r="K857" s="444">
        <f t="shared" ca="1" si="79"/>
        <v>-33492.375912007868</v>
      </c>
      <c r="L857" s="444">
        <f t="shared" ca="1" si="80"/>
        <v>-8071662.5947938971</v>
      </c>
      <c r="M857" s="460">
        <f t="shared" si="82"/>
        <v>0.05</v>
      </c>
      <c r="N857" s="464">
        <f t="shared" si="83"/>
        <v>77127</v>
      </c>
    </row>
    <row r="858" spans="7:14" ht="11.25" customHeight="1" x14ac:dyDescent="0.3">
      <c r="G858" s="459">
        <f t="shared" si="90"/>
        <v>71</v>
      </c>
      <c r="H858" s="459">
        <v>851</v>
      </c>
      <c r="I858" s="444">
        <f t="shared" ca="1" si="81"/>
        <v>-8071662.5947938971</v>
      </c>
      <c r="J858" s="444">
        <f t="array" ref="J858">IFERROR(INDEX('Retirement Calculator'!K:K,MATCH('Lorri 401b'!N858,'Retirement Calculator'!A:A,0),0),0)</f>
        <v>20367.195264578786</v>
      </c>
      <c r="K858" s="444">
        <f t="shared" ca="1" si="79"/>
        <v>-33716.790791910316</v>
      </c>
      <c r="L858" s="444">
        <f t="shared" ca="1" si="80"/>
        <v>-8125746.5808503861</v>
      </c>
      <c r="M858" s="460">
        <f t="shared" si="82"/>
        <v>0.05</v>
      </c>
      <c r="N858" s="464">
        <f t="shared" si="83"/>
        <v>77158</v>
      </c>
    </row>
    <row r="859" spans="7:14" ht="11.25" customHeight="1" x14ac:dyDescent="0.3">
      <c r="G859" s="459">
        <f t="shared" si="90"/>
        <v>71</v>
      </c>
      <c r="H859" s="459">
        <v>852</v>
      </c>
      <c r="I859" s="444">
        <f t="shared" ca="1" si="81"/>
        <v>-8125746.5808503861</v>
      </c>
      <c r="J859" s="444">
        <f t="array" ref="J859">IFERROR(INDEX('Retirement Calculator'!K:K,MATCH('Lorri 401b'!N859,'Retirement Calculator'!A:A,0),0),0)</f>
        <v>20367.195264578786</v>
      </c>
      <c r="K859" s="444">
        <f t="shared" ca="1" si="79"/>
        <v>-33942.140733812354</v>
      </c>
      <c r="L859" s="444">
        <f t="shared" ca="1" si="80"/>
        <v>-8180055.9168487769</v>
      </c>
      <c r="M859" s="460">
        <f t="shared" si="82"/>
        <v>0.05</v>
      </c>
      <c r="N859" s="464">
        <f t="shared" si="83"/>
        <v>77188</v>
      </c>
    </row>
    <row r="860" spans="7:14" ht="11.25" customHeight="1" x14ac:dyDescent="0.3">
      <c r="G860" s="459">
        <f>G859+1</f>
        <v>72</v>
      </c>
      <c r="H860" s="459">
        <v>853</v>
      </c>
      <c r="I860" s="444">
        <f t="shared" ca="1" si="81"/>
        <v>-8180055.9168487769</v>
      </c>
      <c r="J860" s="444">
        <f t="array" ref="J860">IFERROR(INDEX('Retirement Calculator'!K:K,MATCH('Lorri 401b'!N860,'Retirement Calculator'!A:A,0),0),0)</f>
        <v>20367.195264578786</v>
      </c>
      <c r="K860" s="444">
        <f t="shared" ca="1" si="79"/>
        <v>-34168.429633805645</v>
      </c>
      <c r="L860" s="444">
        <f t="shared" ca="1" si="80"/>
        <v>-8234591.5417471612</v>
      </c>
      <c r="M860" s="460">
        <f t="shared" si="82"/>
        <v>0.05</v>
      </c>
      <c r="N860" s="464">
        <f t="shared" si="83"/>
        <v>77219</v>
      </c>
    </row>
    <row r="861" spans="7:14" ht="11.25" customHeight="1" x14ac:dyDescent="0.3">
      <c r="G861" s="459">
        <f t="shared" ref="G861:G871" si="91">G860</f>
        <v>72</v>
      </c>
      <c r="H861" s="459">
        <v>854</v>
      </c>
      <c r="I861" s="444">
        <f t="shared" ca="1" si="81"/>
        <v>-8234591.5417471612</v>
      </c>
      <c r="J861" s="444">
        <f t="array" ref="J861">IFERROR(INDEX('Retirement Calculator'!K:K,MATCH('Lorri 401b'!N861,'Retirement Calculator'!A:A,0),0),0)</f>
        <v>20367.195264578786</v>
      </c>
      <c r="K861" s="444">
        <f t="shared" ca="1" si="79"/>
        <v>-34395.661404215585</v>
      </c>
      <c r="L861" s="444">
        <f t="shared" ca="1" si="80"/>
        <v>-8289354.3984159557</v>
      </c>
      <c r="M861" s="460">
        <f t="shared" si="82"/>
        <v>0.05</v>
      </c>
      <c r="N861" s="464">
        <f t="shared" si="83"/>
        <v>77249</v>
      </c>
    </row>
    <row r="862" spans="7:14" ht="11.25" customHeight="1" x14ac:dyDescent="0.3">
      <c r="G862" s="459">
        <f t="shared" si="91"/>
        <v>72</v>
      </c>
      <c r="H862" s="459">
        <v>855</v>
      </c>
      <c r="I862" s="444">
        <f t="shared" ca="1" si="81"/>
        <v>-8289354.3984159557</v>
      </c>
      <c r="J862" s="444">
        <f t="array" ref="J862">IFERROR(INDEX('Retirement Calculator'!K:K,MATCH('Lorri 401b'!N862,'Retirement Calculator'!A:A,0),0),0)</f>
        <v>20367.195264578786</v>
      </c>
      <c r="K862" s="444">
        <f t="shared" ca="1" si="79"/>
        <v>-34623.839973668895</v>
      </c>
      <c r="L862" s="444">
        <f t="shared" ca="1" si="80"/>
        <v>-8344345.4336542031</v>
      </c>
      <c r="M862" s="460">
        <f t="shared" si="82"/>
        <v>0.05</v>
      </c>
      <c r="N862" s="464">
        <f t="shared" si="83"/>
        <v>77280</v>
      </c>
    </row>
    <row r="863" spans="7:14" ht="11.25" customHeight="1" x14ac:dyDescent="0.3">
      <c r="G863" s="459">
        <f t="shared" si="91"/>
        <v>72</v>
      </c>
      <c r="H863" s="459">
        <v>856</v>
      </c>
      <c r="I863" s="444">
        <f t="shared" ca="1" si="81"/>
        <v>-8344345.4336542031</v>
      </c>
      <c r="J863" s="444">
        <f t="array" ref="J863">IFERROR(INDEX('Retirement Calculator'!K:K,MATCH('Lorri 401b'!N863,'Retirement Calculator'!A:A,0),0),0)</f>
        <v>20367.195264578786</v>
      </c>
      <c r="K863" s="444">
        <f t="shared" ca="1" si="79"/>
        <v>-34852.969287161592</v>
      </c>
      <c r="L863" s="444">
        <f t="shared" ca="1" si="80"/>
        <v>-8399565.5982059427</v>
      </c>
      <c r="M863" s="460">
        <f t="shared" si="82"/>
        <v>0.05</v>
      </c>
      <c r="N863" s="464">
        <f t="shared" si="83"/>
        <v>77311</v>
      </c>
    </row>
    <row r="864" spans="7:14" ht="11.25" customHeight="1" x14ac:dyDescent="0.3">
      <c r="G864" s="459">
        <f t="shared" si="91"/>
        <v>72</v>
      </c>
      <c r="H864" s="459">
        <v>857</v>
      </c>
      <c r="I864" s="444">
        <f t="shared" ca="1" si="81"/>
        <v>-8399565.5982059427</v>
      </c>
      <c r="J864" s="444">
        <f t="array" ref="J864">IFERROR(INDEX('Retirement Calculator'!K:K,MATCH('Lorri 401b'!N864,'Retirement Calculator'!A:A,0),0),0)</f>
        <v>20367.195264578786</v>
      </c>
      <c r="K864" s="444">
        <f t="shared" ca="1" si="79"/>
        <v>-35083.053306127171</v>
      </c>
      <c r="L864" s="444">
        <f t="shared" ca="1" si="80"/>
        <v>-8455015.8467766475</v>
      </c>
      <c r="M864" s="460">
        <f t="shared" si="82"/>
        <v>0.05</v>
      </c>
      <c r="N864" s="464">
        <f t="shared" si="83"/>
        <v>77341</v>
      </c>
    </row>
    <row r="865" spans="7:14" ht="11.25" customHeight="1" x14ac:dyDescent="0.3">
      <c r="G865" s="459">
        <f t="shared" si="91"/>
        <v>72</v>
      </c>
      <c r="H865" s="459">
        <v>858</v>
      </c>
      <c r="I865" s="444">
        <f t="shared" ca="1" si="81"/>
        <v>-8455015.8467766475</v>
      </c>
      <c r="J865" s="444">
        <f t="array" ref="J865">IFERROR(INDEX('Retirement Calculator'!K:K,MATCH('Lorri 401b'!N865,'Retirement Calculator'!A:A,0),0),0)</f>
        <v>20367.195264578786</v>
      </c>
      <c r="K865" s="444">
        <f t="shared" ca="1" si="79"/>
        <v>-35314.096008505105</v>
      </c>
      <c r="L865" s="444">
        <f t="shared" ca="1" si="80"/>
        <v>-8510697.138049731</v>
      </c>
      <c r="M865" s="460">
        <f t="shared" si="82"/>
        <v>0.05</v>
      </c>
      <c r="N865" s="464">
        <f t="shared" si="83"/>
        <v>77372</v>
      </c>
    </row>
    <row r="866" spans="7:14" ht="11.25" customHeight="1" x14ac:dyDescent="0.3">
      <c r="G866" s="459">
        <f t="shared" si="91"/>
        <v>72</v>
      </c>
      <c r="H866" s="459">
        <v>859</v>
      </c>
      <c r="I866" s="444">
        <f t="shared" ca="1" si="81"/>
        <v>-8510697.138049731</v>
      </c>
      <c r="J866" s="444">
        <f t="array" ref="J866">IFERROR(INDEX('Retirement Calculator'!K:K,MATCH('Lorri 401b'!N866,'Retirement Calculator'!A:A,0),0),0)</f>
        <v>20367.195264578786</v>
      </c>
      <c r="K866" s="444">
        <f t="shared" ca="1" si="79"/>
        <v>-35546.10138880962</v>
      </c>
      <c r="L866" s="444">
        <f t="shared" ca="1" si="80"/>
        <v>-8566610.4347031191</v>
      </c>
      <c r="M866" s="460">
        <f t="shared" si="82"/>
        <v>0.05</v>
      </c>
      <c r="N866" s="464">
        <f t="shared" si="83"/>
        <v>77402</v>
      </c>
    </row>
    <row r="867" spans="7:14" ht="11.25" customHeight="1" x14ac:dyDescent="0.3">
      <c r="G867" s="459">
        <f t="shared" si="91"/>
        <v>72</v>
      </c>
      <c r="H867" s="459">
        <v>860</v>
      </c>
      <c r="I867" s="444">
        <f t="shared" ca="1" si="81"/>
        <v>-8566610.4347031191</v>
      </c>
      <c r="J867" s="444">
        <f t="array" ref="J867">IFERROR(INDEX('Retirement Calculator'!K:K,MATCH('Lorri 401b'!N867,'Retirement Calculator'!A:A,0),0),0)</f>
        <v>20367.195264578786</v>
      </c>
      <c r="K867" s="444">
        <f t="shared" ca="1" si="79"/>
        <v>-35779.073458198734</v>
      </c>
      <c r="L867" s="444">
        <f t="shared" ca="1" si="80"/>
        <v>-8622756.7034258954</v>
      </c>
      <c r="M867" s="460">
        <f t="shared" si="82"/>
        <v>0.05</v>
      </c>
      <c r="N867" s="464">
        <f t="shared" si="83"/>
        <v>77433</v>
      </c>
    </row>
    <row r="868" spans="7:14" ht="11.25" customHeight="1" x14ac:dyDescent="0.3">
      <c r="G868" s="459">
        <f t="shared" si="91"/>
        <v>72</v>
      </c>
      <c r="H868" s="459">
        <v>861</v>
      </c>
      <c r="I868" s="444">
        <f t="shared" ca="1" si="81"/>
        <v>-8622756.7034258954</v>
      </c>
      <c r="J868" s="444">
        <f t="array" ref="J868">IFERROR(INDEX('Retirement Calculator'!K:K,MATCH('Lorri 401b'!N868,'Retirement Calculator'!A:A,0),0),0)</f>
        <v>20367.195264578786</v>
      </c>
      <c r="K868" s="444">
        <f t="shared" ca="1" si="79"/>
        <v>-36013.016244543636</v>
      </c>
      <c r="L868" s="444">
        <f t="shared" ca="1" si="80"/>
        <v>-8679136.914935017</v>
      </c>
      <c r="M868" s="460">
        <f t="shared" si="82"/>
        <v>0.05</v>
      </c>
      <c r="N868" s="464">
        <f t="shared" si="83"/>
        <v>77464</v>
      </c>
    </row>
    <row r="869" spans="7:14" ht="11.25" customHeight="1" x14ac:dyDescent="0.3">
      <c r="G869" s="459">
        <f t="shared" si="91"/>
        <v>72</v>
      </c>
      <c r="H869" s="459">
        <v>862</v>
      </c>
      <c r="I869" s="444">
        <f t="shared" ca="1" si="81"/>
        <v>-8679136.914935017</v>
      </c>
      <c r="J869" s="444">
        <f t="array" ref="J869">IFERROR(INDEX('Retirement Calculator'!K:K,MATCH('Lorri 401b'!N869,'Retirement Calculator'!A:A,0),0),0)</f>
        <v>20367.195264578786</v>
      </c>
      <c r="K869" s="444">
        <f t="shared" ca="1" si="79"/>
        <v>-36247.933792498312</v>
      </c>
      <c r="L869" s="444">
        <f t="shared" ca="1" si="80"/>
        <v>-8735752.0439920928</v>
      </c>
      <c r="M869" s="460">
        <f t="shared" si="82"/>
        <v>0.05</v>
      </c>
      <c r="N869" s="464">
        <f t="shared" si="83"/>
        <v>77493</v>
      </c>
    </row>
    <row r="870" spans="7:14" ht="11.25" customHeight="1" x14ac:dyDescent="0.3">
      <c r="G870" s="459">
        <f t="shared" si="91"/>
        <v>72</v>
      </c>
      <c r="H870" s="459">
        <v>863</v>
      </c>
      <c r="I870" s="444">
        <f t="shared" ca="1" si="81"/>
        <v>-8735752.0439920928</v>
      </c>
      <c r="J870" s="444">
        <f t="array" ref="J870">IFERROR(INDEX('Retirement Calculator'!K:K,MATCH('Lorri 401b'!N870,'Retirement Calculator'!A:A,0),0),0)</f>
        <v>20367.195264578786</v>
      </c>
      <c r="K870" s="444">
        <f t="shared" ca="1" si="79"/>
        <v>-36483.830163569459</v>
      </c>
      <c r="L870" s="444">
        <f t="shared" ca="1" si="80"/>
        <v>-8792603.0694202408</v>
      </c>
      <c r="M870" s="460">
        <f t="shared" si="82"/>
        <v>0.05</v>
      </c>
      <c r="N870" s="464">
        <f t="shared" si="83"/>
        <v>77524</v>
      </c>
    </row>
    <row r="871" spans="7:14" ht="11.25" customHeight="1" x14ac:dyDescent="0.3">
      <c r="G871" s="459">
        <f t="shared" si="91"/>
        <v>72</v>
      </c>
      <c r="H871" s="459">
        <v>864</v>
      </c>
      <c r="I871" s="444">
        <f t="shared" ca="1" si="81"/>
        <v>-8792603.0694202408</v>
      </c>
      <c r="J871" s="444">
        <f t="array" ref="J871">IFERROR(INDEX('Retirement Calculator'!K:K,MATCH('Lorri 401b'!N871,'Retirement Calculator'!A:A,0),0),0)</f>
        <v>20367.195264578786</v>
      </c>
      <c r="K871" s="444">
        <f t="shared" ca="1" si="79"/>
        <v>-36720.709436186742</v>
      </c>
      <c r="L871" s="444">
        <f t="shared" ca="1" si="80"/>
        <v>-8849690.9741210062</v>
      </c>
      <c r="M871" s="460">
        <f t="shared" si="82"/>
        <v>0.05</v>
      </c>
      <c r="N871" s="464">
        <f t="shared" si="83"/>
        <v>77554</v>
      </c>
    </row>
    <row r="872" spans="7:14" ht="11.25" customHeight="1" x14ac:dyDescent="0.3">
      <c r="G872" s="459">
        <f>G871+1</f>
        <v>73</v>
      </c>
      <c r="H872" s="459">
        <v>865</v>
      </c>
      <c r="I872" s="444">
        <f t="shared" ca="1" si="81"/>
        <v>-8849690.9741210062</v>
      </c>
      <c r="J872" s="444">
        <f t="array" ref="J872">IFERROR(INDEX('Retirement Calculator'!K:K,MATCH('Lorri 401b'!N872,'Retirement Calculator'!A:A,0),0),0)</f>
        <v>20367.195264578786</v>
      </c>
      <c r="K872" s="444">
        <f t="shared" ca="1" si="79"/>
        <v>-36958.57570577327</v>
      </c>
      <c r="L872" s="444">
        <f t="shared" ca="1" si="80"/>
        <v>-8907016.7450913582</v>
      </c>
      <c r="M872" s="460">
        <f t="shared" si="82"/>
        <v>0.05</v>
      </c>
      <c r="N872" s="464">
        <f t="shared" si="83"/>
        <v>77585</v>
      </c>
    </row>
    <row r="873" spans="7:14" ht="11.25" customHeight="1" x14ac:dyDescent="0.3">
      <c r="G873" s="459">
        <f t="shared" ref="G873:G883" si="92">G872</f>
        <v>73</v>
      </c>
      <c r="H873" s="459">
        <v>866</v>
      </c>
      <c r="I873" s="444">
        <f t="shared" ca="1" si="81"/>
        <v>-8907016.7450913582</v>
      </c>
      <c r="J873" s="444">
        <f t="array" ref="J873">IFERROR(INDEX('Retirement Calculator'!K:K,MATCH('Lorri 401b'!N873,'Retirement Calculator'!A:A,0),0),0)</f>
        <v>20367.195264578786</v>
      </c>
      <c r="K873" s="444">
        <f t="shared" ca="1" si="79"/>
        <v>-37197.433084816403</v>
      </c>
      <c r="L873" s="444">
        <f t="shared" ca="1" si="80"/>
        <v>-8964581.3734407518</v>
      </c>
      <c r="M873" s="460">
        <f t="shared" si="82"/>
        <v>0.05</v>
      </c>
      <c r="N873" s="464">
        <f t="shared" si="83"/>
        <v>77615</v>
      </c>
    </row>
    <row r="874" spans="7:14" ht="11.25" customHeight="1" x14ac:dyDescent="0.3">
      <c r="G874" s="459">
        <f t="shared" si="92"/>
        <v>73</v>
      </c>
      <c r="H874" s="459">
        <v>867</v>
      </c>
      <c r="I874" s="444">
        <f t="shared" ca="1" si="81"/>
        <v>-8964581.3734407518</v>
      </c>
      <c r="J874" s="444">
        <f t="array" ref="J874">IFERROR(INDEX('Retirement Calculator'!K:K,MATCH('Lorri 401b'!N874,'Retirement Calculator'!A:A,0),0),0)</f>
        <v>20367.195264578786</v>
      </c>
      <c r="K874" s="444">
        <f t="shared" ca="1" si="79"/>
        <v>-37437.285702938876</v>
      </c>
      <c r="L874" s="444">
        <f t="shared" ca="1" si="80"/>
        <v>-9022385.8544082679</v>
      </c>
      <c r="M874" s="460">
        <f t="shared" si="82"/>
        <v>0.05</v>
      </c>
      <c r="N874" s="464">
        <f t="shared" si="83"/>
        <v>77646</v>
      </c>
    </row>
    <row r="875" spans="7:14" ht="11.25" customHeight="1" x14ac:dyDescent="0.3">
      <c r="G875" s="459">
        <f t="shared" si="92"/>
        <v>73</v>
      </c>
      <c r="H875" s="459">
        <v>868</v>
      </c>
      <c r="I875" s="444">
        <f t="shared" ca="1" si="81"/>
        <v>-9022385.8544082679</v>
      </c>
      <c r="J875" s="444">
        <f t="array" ref="J875">IFERROR(INDEX('Retirement Calculator'!K:K,MATCH('Lorri 401b'!N875,'Retirement Calculator'!A:A,0),0),0)</f>
        <v>20367.195264578786</v>
      </c>
      <c r="K875" s="444">
        <f t="shared" ca="1" si="79"/>
        <v>-37678.137706970192</v>
      </c>
      <c r="L875" s="444">
        <f t="shared" ca="1" si="80"/>
        <v>-9080431.1873798165</v>
      </c>
      <c r="M875" s="460">
        <f t="shared" si="82"/>
        <v>0.05</v>
      </c>
      <c r="N875" s="464">
        <f t="shared" si="83"/>
        <v>77677</v>
      </c>
    </row>
    <row r="876" spans="7:14" ht="11.25" customHeight="1" x14ac:dyDescent="0.3">
      <c r="G876" s="459">
        <f t="shared" si="92"/>
        <v>73</v>
      </c>
      <c r="H876" s="459">
        <v>869</v>
      </c>
      <c r="I876" s="444">
        <f t="shared" ca="1" si="81"/>
        <v>-9080431.1873798165</v>
      </c>
      <c r="J876" s="444">
        <f t="array" ref="J876">IFERROR(INDEX('Retirement Calculator'!K:K,MATCH('Lorri 401b'!N876,'Retirement Calculator'!A:A,0),0),0)</f>
        <v>20367.195264578786</v>
      </c>
      <c r="K876" s="444">
        <f t="shared" ca="1" si="79"/>
        <v>-37919.99326101831</v>
      </c>
      <c r="L876" s="444">
        <f t="shared" ca="1" si="80"/>
        <v>-9138718.3759054132</v>
      </c>
      <c r="M876" s="460">
        <f t="shared" si="82"/>
        <v>0.05</v>
      </c>
      <c r="N876" s="464">
        <f t="shared" si="83"/>
        <v>77707</v>
      </c>
    </row>
    <row r="877" spans="7:14" ht="11.25" customHeight="1" x14ac:dyDescent="0.3">
      <c r="G877" s="459">
        <f t="shared" si="92"/>
        <v>73</v>
      </c>
      <c r="H877" s="459">
        <v>870</v>
      </c>
      <c r="I877" s="444">
        <f t="shared" ca="1" si="81"/>
        <v>-9138718.3759054132</v>
      </c>
      <c r="J877" s="444">
        <f t="array" ref="J877">IFERROR(INDEX('Retirement Calculator'!K:K,MATCH('Lorri 401b'!N877,'Retirement Calculator'!A:A,0),0),0)</f>
        <v>20367.195264578786</v>
      </c>
      <c r="K877" s="444">
        <f t="shared" ca="1" si="79"/>
        <v>-38162.856546541632</v>
      </c>
      <c r="L877" s="444">
        <f t="shared" ca="1" si="80"/>
        <v>-9197248.4277165327</v>
      </c>
      <c r="M877" s="460">
        <f t="shared" si="82"/>
        <v>0.05</v>
      </c>
      <c r="N877" s="464">
        <f t="shared" si="83"/>
        <v>77738</v>
      </c>
    </row>
    <row r="878" spans="7:14" ht="11.25" customHeight="1" x14ac:dyDescent="0.3">
      <c r="G878" s="459">
        <f t="shared" si="92"/>
        <v>73</v>
      </c>
      <c r="H878" s="459">
        <v>871</v>
      </c>
      <c r="I878" s="444">
        <f t="shared" ca="1" si="81"/>
        <v>-9197248.4277165327</v>
      </c>
      <c r="J878" s="444">
        <f t="array" ref="J878">IFERROR(INDEX('Retirement Calculator'!K:K,MATCH('Lorri 401b'!N878,'Retirement Calculator'!A:A,0),0),0)</f>
        <v>20367.195264578786</v>
      </c>
      <c r="K878" s="444">
        <f t="shared" ca="1" si="79"/>
        <v>-38406.731762421296</v>
      </c>
      <c r="L878" s="444">
        <f t="shared" ca="1" si="80"/>
        <v>-9256022.354743531</v>
      </c>
      <c r="M878" s="460">
        <f t="shared" si="82"/>
        <v>0.05</v>
      </c>
      <c r="N878" s="464">
        <f t="shared" si="83"/>
        <v>77768</v>
      </c>
    </row>
    <row r="879" spans="7:14" ht="11.25" customHeight="1" x14ac:dyDescent="0.3">
      <c r="G879" s="459">
        <f t="shared" si="92"/>
        <v>73</v>
      </c>
      <c r="H879" s="459">
        <v>872</v>
      </c>
      <c r="I879" s="444">
        <f t="shared" ca="1" si="81"/>
        <v>-9256022.354743531</v>
      </c>
      <c r="J879" s="444">
        <f t="array" ref="J879">IFERROR(INDEX('Retirement Calculator'!K:K,MATCH('Lorri 401b'!N879,'Retirement Calculator'!A:A,0),0),0)</f>
        <v>20367.195264578786</v>
      </c>
      <c r="K879" s="444">
        <f t="shared" ca="1" si="79"/>
        <v>-38651.623125033788</v>
      </c>
      <c r="L879" s="444">
        <f t="shared" ca="1" si="80"/>
        <v>-9315041.1731331423</v>
      </c>
      <c r="M879" s="460">
        <f t="shared" si="82"/>
        <v>0.05</v>
      </c>
      <c r="N879" s="464">
        <f t="shared" si="83"/>
        <v>77799</v>
      </c>
    </row>
    <row r="880" spans="7:14" ht="11.25" customHeight="1" x14ac:dyDescent="0.3">
      <c r="G880" s="459">
        <f t="shared" si="92"/>
        <v>73</v>
      </c>
      <c r="H880" s="459">
        <v>873</v>
      </c>
      <c r="I880" s="444">
        <f t="shared" ca="1" si="81"/>
        <v>-9315041.1731331423</v>
      </c>
      <c r="J880" s="444">
        <f t="array" ref="J880">IFERROR(INDEX('Retirement Calculator'!K:K,MATCH('Lorri 401b'!N880,'Retirement Calculator'!A:A,0),0),0)</f>
        <v>20367.195264578786</v>
      </c>
      <c r="K880" s="444">
        <f t="shared" ca="1" si="79"/>
        <v>-38897.534868323834</v>
      </c>
      <c r="L880" s="444">
        <f t="shared" ca="1" si="80"/>
        <v>-9374305.9032660443</v>
      </c>
      <c r="M880" s="460">
        <f t="shared" si="82"/>
        <v>0.05</v>
      </c>
      <c r="N880" s="464">
        <f t="shared" si="83"/>
        <v>77830</v>
      </c>
    </row>
    <row r="881" spans="7:14" ht="11.25" customHeight="1" x14ac:dyDescent="0.3">
      <c r="G881" s="459">
        <f t="shared" si="92"/>
        <v>73</v>
      </c>
      <c r="H881" s="459">
        <v>874</v>
      </c>
      <c r="I881" s="444">
        <f t="shared" ca="1" si="81"/>
        <v>-9374305.9032660443</v>
      </c>
      <c r="J881" s="444">
        <f t="array" ref="J881">IFERROR(INDEX('Retirement Calculator'!K:K,MATCH('Lorri 401b'!N881,'Retirement Calculator'!A:A,0),0),0)</f>
        <v>20367.195264578786</v>
      </c>
      <c r="K881" s="444">
        <f t="shared" ca="1" si="79"/>
        <v>-39144.47124387759</v>
      </c>
      <c r="L881" s="444">
        <f t="shared" ca="1" si="80"/>
        <v>-9433817.5697744992</v>
      </c>
      <c r="M881" s="460">
        <f t="shared" si="82"/>
        <v>0.05</v>
      </c>
      <c r="N881" s="464">
        <f t="shared" si="83"/>
        <v>77858</v>
      </c>
    </row>
    <row r="882" spans="7:14" ht="11.25" customHeight="1" x14ac:dyDescent="0.3">
      <c r="G882" s="459">
        <f t="shared" si="92"/>
        <v>73</v>
      </c>
      <c r="H882" s="459">
        <v>875</v>
      </c>
      <c r="I882" s="444">
        <f t="shared" ca="1" si="81"/>
        <v>-9433817.5697744992</v>
      </c>
      <c r="J882" s="444">
        <f t="array" ref="J882">IFERROR(INDEX('Retirement Calculator'!K:K,MATCH('Lorri 401b'!N882,'Retirement Calculator'!A:A,0),0),0)</f>
        <v>20367.195264578786</v>
      </c>
      <c r="K882" s="444">
        <f t="shared" ca="1" si="79"/>
        <v>-39392.436520996154</v>
      </c>
      <c r="L882" s="444">
        <f t="shared" ca="1" si="80"/>
        <v>-9493577.2015600726</v>
      </c>
      <c r="M882" s="460">
        <f t="shared" si="82"/>
        <v>0.05</v>
      </c>
      <c r="N882" s="464">
        <f t="shared" si="83"/>
        <v>77889</v>
      </c>
    </row>
    <row r="883" spans="7:14" ht="11.25" customHeight="1" x14ac:dyDescent="0.3">
      <c r="G883" s="459">
        <f t="shared" si="92"/>
        <v>73</v>
      </c>
      <c r="H883" s="459">
        <v>876</v>
      </c>
      <c r="I883" s="444">
        <f t="shared" ca="1" si="81"/>
        <v>-9493577.2015600726</v>
      </c>
      <c r="J883" s="444">
        <f t="array" ref="J883">IFERROR(INDEX('Retirement Calculator'!K:K,MATCH('Lorri 401b'!N883,'Retirement Calculator'!A:A,0),0),0)</f>
        <v>20367.195264578786</v>
      </c>
      <c r="K883" s="444">
        <f t="shared" ca="1" si="79"/>
        <v>-39641.434986769375</v>
      </c>
      <c r="L883" s="444">
        <f t="shared" ca="1" si="80"/>
        <v>-9553585.8318114206</v>
      </c>
      <c r="M883" s="460">
        <f t="shared" si="82"/>
        <v>0.05</v>
      </c>
      <c r="N883" s="464">
        <f t="shared" si="83"/>
        <v>77919</v>
      </c>
    </row>
    <row r="884" spans="7:14" ht="11.25" customHeight="1" x14ac:dyDescent="0.3">
      <c r="G884" s="459">
        <f>G883+1</f>
        <v>74</v>
      </c>
      <c r="H884" s="459">
        <v>877</v>
      </c>
      <c r="I884" s="444">
        <f t="shared" ca="1" si="81"/>
        <v>-9553585.8318114206</v>
      </c>
      <c r="J884" s="444">
        <f t="array" ref="J884">IFERROR(INDEX('Retirement Calculator'!K:K,MATCH('Lorri 401b'!N884,'Retirement Calculator'!A:A,0),0),0)</f>
        <v>20367.195264578786</v>
      </c>
      <c r="K884" s="444">
        <f t="shared" ca="1" si="79"/>
        <v>-39891.470946149995</v>
      </c>
      <c r="L884" s="444">
        <f t="shared" ca="1" si="80"/>
        <v>-9613844.4980221484</v>
      </c>
      <c r="M884" s="460">
        <f t="shared" si="82"/>
        <v>0.05</v>
      </c>
      <c r="N884" s="464">
        <f t="shared" si="83"/>
        <v>77950</v>
      </c>
    </row>
    <row r="885" spans="7:14" ht="11.25" customHeight="1" x14ac:dyDescent="0.3">
      <c r="G885" s="459">
        <f t="shared" ref="G885:G895" si="93">G884</f>
        <v>74</v>
      </c>
      <c r="H885" s="459">
        <v>878</v>
      </c>
      <c r="I885" s="444">
        <f t="shared" ca="1" si="81"/>
        <v>-9613844.4980221484</v>
      </c>
      <c r="J885" s="444">
        <f t="array" ref="J885">IFERROR(INDEX('Retirement Calculator'!K:K,MATCH('Lorri 401b'!N885,'Retirement Calculator'!A:A,0),0),0)</f>
        <v>20367.195264578786</v>
      </c>
      <c r="K885" s="444">
        <f t="shared" ca="1" si="79"/>
        <v>-40142.548722028027</v>
      </c>
      <c r="L885" s="444">
        <f t="shared" ca="1" si="80"/>
        <v>-9674354.242008755</v>
      </c>
      <c r="M885" s="460">
        <f t="shared" si="82"/>
        <v>0.05</v>
      </c>
      <c r="N885" s="464">
        <f t="shared" si="83"/>
        <v>77980</v>
      </c>
    </row>
    <row r="886" spans="7:14" ht="11.25" customHeight="1" x14ac:dyDescent="0.3">
      <c r="G886" s="459">
        <f t="shared" si="93"/>
        <v>74</v>
      </c>
      <c r="H886" s="459">
        <v>879</v>
      </c>
      <c r="I886" s="444">
        <f t="shared" ca="1" si="81"/>
        <v>-9674354.242008755</v>
      </c>
      <c r="J886" s="444">
        <f t="array" ref="J886">IFERROR(INDEX('Retirement Calculator'!K:K,MATCH('Lorri 401b'!N886,'Retirement Calculator'!A:A,0),0),0)</f>
        <v>20367.195264578786</v>
      </c>
      <c r="K886" s="444">
        <f t="shared" ca="1" si="79"/>
        <v>-40394.672655305556</v>
      </c>
      <c r="L886" s="444">
        <f t="shared" ca="1" si="80"/>
        <v>-9735116.1099286377</v>
      </c>
      <c r="M886" s="460">
        <f t="shared" si="82"/>
        <v>0.05</v>
      </c>
      <c r="N886" s="464">
        <f t="shared" si="83"/>
        <v>78011</v>
      </c>
    </row>
    <row r="887" spans="7:14" ht="11.25" customHeight="1" x14ac:dyDescent="0.3">
      <c r="G887" s="459">
        <f t="shared" si="93"/>
        <v>74</v>
      </c>
      <c r="H887" s="459">
        <v>880</v>
      </c>
      <c r="I887" s="444">
        <f t="shared" ca="1" si="81"/>
        <v>-9735116.1099286377</v>
      </c>
      <c r="J887" s="444">
        <f t="array" ref="J887">IFERROR(INDEX('Retirement Calculator'!K:K,MATCH('Lorri 401b'!N887,'Retirement Calculator'!A:A,0),0),0)</f>
        <v>20367.195264578786</v>
      </c>
      <c r="K887" s="444">
        <f t="shared" ca="1" si="79"/>
        <v>-40647.847104971734</v>
      </c>
      <c r="L887" s="444">
        <f t="shared" ca="1" si="80"/>
        <v>-9796131.1522981878</v>
      </c>
      <c r="M887" s="460">
        <f t="shared" si="82"/>
        <v>0.05</v>
      </c>
      <c r="N887" s="464">
        <f t="shared" si="83"/>
        <v>78042</v>
      </c>
    </row>
    <row r="888" spans="7:14" ht="11.25" customHeight="1" x14ac:dyDescent="0.3">
      <c r="G888" s="459">
        <f t="shared" si="93"/>
        <v>74</v>
      </c>
      <c r="H888" s="459">
        <v>881</v>
      </c>
      <c r="I888" s="444">
        <f t="shared" ca="1" si="81"/>
        <v>-9796131.1522981878</v>
      </c>
      <c r="J888" s="444">
        <f t="array" ref="J888">IFERROR(INDEX('Retirement Calculator'!K:K,MATCH('Lorri 401b'!N888,'Retirement Calculator'!A:A,0),0),0)</f>
        <v>20367.195264578786</v>
      </c>
      <c r="K888" s="444">
        <f t="shared" ca="1" si="79"/>
        <v>-40902.076448178188</v>
      </c>
      <c r="L888" s="444">
        <f t="shared" ca="1" si="80"/>
        <v>-9857400.4240109436</v>
      </c>
      <c r="M888" s="460">
        <f t="shared" si="82"/>
        <v>0.05</v>
      </c>
      <c r="N888" s="464">
        <f t="shared" si="83"/>
        <v>78072</v>
      </c>
    </row>
    <row r="889" spans="7:14" ht="11.25" customHeight="1" x14ac:dyDescent="0.3">
      <c r="G889" s="459">
        <f t="shared" si="93"/>
        <v>74</v>
      </c>
      <c r="H889" s="459">
        <v>882</v>
      </c>
      <c r="I889" s="444">
        <f t="shared" ca="1" si="81"/>
        <v>-9857400.4240109436</v>
      </c>
      <c r="J889" s="444">
        <f t="array" ref="J889">IFERROR(INDEX('Retirement Calculator'!K:K,MATCH('Lorri 401b'!N889,'Retirement Calculator'!A:A,0),0),0)</f>
        <v>20367.195264578786</v>
      </c>
      <c r="K889" s="444">
        <f t="shared" ca="1" si="79"/>
        <v>-41157.365080314674</v>
      </c>
      <c r="L889" s="444">
        <f t="shared" ca="1" si="80"/>
        <v>-9918924.9843558352</v>
      </c>
      <c r="M889" s="460">
        <f t="shared" si="82"/>
        <v>0.05</v>
      </c>
      <c r="N889" s="464">
        <f t="shared" si="83"/>
        <v>78103</v>
      </c>
    </row>
    <row r="890" spans="7:14" ht="11.25" customHeight="1" x14ac:dyDescent="0.3">
      <c r="G890" s="459">
        <f t="shared" si="93"/>
        <v>74</v>
      </c>
      <c r="H890" s="459">
        <v>883</v>
      </c>
      <c r="I890" s="444">
        <f t="shared" ca="1" si="81"/>
        <v>-9918924.9843558352</v>
      </c>
      <c r="J890" s="444">
        <f t="array" ref="J890">IFERROR(INDEX('Retirement Calculator'!K:K,MATCH('Lorri 401b'!N890,'Retirement Calculator'!A:A,0),0),0)</f>
        <v>20367.195264578786</v>
      </c>
      <c r="K890" s="444">
        <f t="shared" ca="1" si="79"/>
        <v>-41413.717415085055</v>
      </c>
      <c r="L890" s="444">
        <f t="shared" ca="1" si="80"/>
        <v>-9980705.8970354982</v>
      </c>
      <c r="M890" s="460">
        <f t="shared" si="82"/>
        <v>0.05</v>
      </c>
      <c r="N890" s="464">
        <f t="shared" si="83"/>
        <v>78133</v>
      </c>
    </row>
    <row r="891" spans="7:14" ht="11.25" customHeight="1" x14ac:dyDescent="0.3">
      <c r="G891" s="459">
        <f t="shared" si="93"/>
        <v>74</v>
      </c>
      <c r="H891" s="459">
        <v>884</v>
      </c>
      <c r="I891" s="444">
        <f t="shared" ca="1" si="81"/>
        <v>-9980705.8970354982</v>
      </c>
      <c r="J891" s="444">
        <f t="array" ref="J891">IFERROR(INDEX('Retirement Calculator'!K:K,MATCH('Lorri 401b'!N891,'Retirement Calculator'!A:A,0),0),0)</f>
        <v>20367.195264578786</v>
      </c>
      <c r="K891" s="444">
        <f t="shared" ca="1" si="79"/>
        <v>-41671.137884583652</v>
      </c>
      <c r="L891" s="444">
        <f t="shared" ca="1" si="80"/>
        <v>-10042744.230184659</v>
      </c>
      <c r="M891" s="460">
        <f t="shared" si="82"/>
        <v>0.05</v>
      </c>
      <c r="N891" s="464">
        <f t="shared" si="83"/>
        <v>78164</v>
      </c>
    </row>
    <row r="892" spans="7:14" ht="11.25" customHeight="1" x14ac:dyDescent="0.3">
      <c r="G892" s="459">
        <f t="shared" si="93"/>
        <v>74</v>
      </c>
      <c r="H892" s="459">
        <v>885</v>
      </c>
      <c r="I892" s="444">
        <f t="shared" ca="1" si="81"/>
        <v>-10042744.230184659</v>
      </c>
      <c r="J892" s="444">
        <f t="array" ref="J892">IFERROR(INDEX('Retirement Calculator'!K:K,MATCH('Lorri 401b'!N892,'Retirement Calculator'!A:A,0),0),0)</f>
        <v>20367.195264578786</v>
      </c>
      <c r="K892" s="444">
        <f t="shared" ca="1" si="79"/>
        <v>-41929.630939371818</v>
      </c>
      <c r="L892" s="444">
        <f t="shared" ca="1" si="80"/>
        <v>-10105041.056388609</v>
      </c>
      <c r="M892" s="460">
        <f t="shared" si="82"/>
        <v>0.05</v>
      </c>
      <c r="N892" s="464">
        <f t="shared" si="83"/>
        <v>78195</v>
      </c>
    </row>
    <row r="893" spans="7:14" ht="11.25" customHeight="1" x14ac:dyDescent="0.3">
      <c r="G893" s="459">
        <f t="shared" si="93"/>
        <v>74</v>
      </c>
      <c r="H893" s="459">
        <v>886</v>
      </c>
      <c r="I893" s="444">
        <f t="shared" ca="1" si="81"/>
        <v>-10105041.056388609</v>
      </c>
      <c r="J893" s="444">
        <f t="array" ref="J893">IFERROR(INDEX('Retirement Calculator'!K:K,MATCH('Lorri 401b'!N893,'Retirement Calculator'!A:A,0),0),0)</f>
        <v>20367.195264578786</v>
      </c>
      <c r="K893" s="444">
        <f t="shared" ca="1" si="79"/>
        <v>-42189.201048554947</v>
      </c>
      <c r="L893" s="444">
        <f t="shared" ca="1" si="80"/>
        <v>-10167597.452701742</v>
      </c>
      <c r="M893" s="460">
        <f t="shared" si="82"/>
        <v>0.05</v>
      </c>
      <c r="N893" s="464">
        <f t="shared" si="83"/>
        <v>78223</v>
      </c>
    </row>
    <row r="894" spans="7:14" ht="11.25" customHeight="1" x14ac:dyDescent="0.3">
      <c r="G894" s="459">
        <f t="shared" si="93"/>
        <v>74</v>
      </c>
      <c r="H894" s="459">
        <v>887</v>
      </c>
      <c r="I894" s="444">
        <f t="shared" ca="1" si="81"/>
        <v>-10167597.452701742</v>
      </c>
      <c r="J894" s="444">
        <f t="array" ref="J894">IFERROR(INDEX('Retirement Calculator'!K:K,MATCH('Lorri 401b'!N894,'Retirement Calculator'!A:A,0),0),0)</f>
        <v>20367.195264578786</v>
      </c>
      <c r="K894" s="444">
        <f t="shared" ca="1" si="79"/>
        <v>-42449.852699859664</v>
      </c>
      <c r="L894" s="444">
        <f t="shared" ca="1" si="80"/>
        <v>-10230414.500666179</v>
      </c>
      <c r="M894" s="460">
        <f t="shared" si="82"/>
        <v>0.05</v>
      </c>
      <c r="N894" s="464">
        <f t="shared" si="83"/>
        <v>78254</v>
      </c>
    </row>
    <row r="895" spans="7:14" ht="11.25" customHeight="1" x14ac:dyDescent="0.3">
      <c r="G895" s="459">
        <f t="shared" si="93"/>
        <v>74</v>
      </c>
      <c r="H895" s="459">
        <v>888</v>
      </c>
      <c r="I895" s="444">
        <f t="shared" ca="1" si="81"/>
        <v>-10230414.500666179</v>
      </c>
      <c r="J895" s="444">
        <f t="array" ref="J895">IFERROR(INDEX('Retirement Calculator'!K:K,MATCH('Lorri 401b'!N895,'Retirement Calculator'!A:A,0),0),0)</f>
        <v>20367.195264578786</v>
      </c>
      <c r="K895" s="444">
        <f t="shared" ca="1" si="79"/>
        <v>-42711.590399711487</v>
      </c>
      <c r="L895" s="444">
        <f t="shared" ca="1" si="80"/>
        <v>-10293493.286330469</v>
      </c>
      <c r="M895" s="460">
        <f t="shared" si="82"/>
        <v>0.05</v>
      </c>
      <c r="N895" s="464">
        <f t="shared" si="83"/>
        <v>78284</v>
      </c>
    </row>
    <row r="896" spans="7:14" ht="11.25" customHeight="1" x14ac:dyDescent="0.3">
      <c r="G896" s="459">
        <f>G895+1</f>
        <v>75</v>
      </c>
      <c r="H896" s="459">
        <v>889</v>
      </c>
      <c r="I896" s="444">
        <f t="shared" ca="1" si="81"/>
        <v>-10293493.286330469</v>
      </c>
      <c r="J896" s="444">
        <f t="array" ref="J896">IFERROR(INDEX('Retirement Calculator'!K:K,MATCH('Lorri 401b'!N896,'Retirement Calculator'!A:A,0),0),0)</f>
        <v>20367.195264578786</v>
      </c>
      <c r="K896" s="444">
        <f t="shared" ca="1" si="79"/>
        <v>-42974.418673312692</v>
      </c>
      <c r="L896" s="444">
        <f t="shared" ca="1" si="80"/>
        <v>-10356834.900268359</v>
      </c>
      <c r="M896" s="460">
        <f t="shared" si="82"/>
        <v>0.05</v>
      </c>
      <c r="N896" s="464">
        <f t="shared" si="83"/>
        <v>78315</v>
      </c>
    </row>
    <row r="897" spans="7:14" ht="11.25" customHeight="1" x14ac:dyDescent="0.3">
      <c r="G897" s="459">
        <f t="shared" ref="G897:G907" si="94">G896</f>
        <v>75</v>
      </c>
      <c r="H897" s="459">
        <v>890</v>
      </c>
      <c r="I897" s="444">
        <f t="shared" ca="1" si="81"/>
        <v>-10356834.900268359</v>
      </c>
      <c r="J897" s="444">
        <f t="array" ref="J897">IFERROR(INDEX('Retirement Calculator'!K:K,MATCH('Lorri 401b'!N897,'Retirement Calculator'!A:A,0),0),0)</f>
        <v>20367.195264578786</v>
      </c>
      <c r="K897" s="444">
        <f t="shared" ca="1" si="79"/>
        <v>-43238.342064720571</v>
      </c>
      <c r="L897" s="444">
        <f t="shared" ca="1" si="80"/>
        <v>-10420440.437597657</v>
      </c>
      <c r="M897" s="460">
        <f t="shared" si="82"/>
        <v>0.05</v>
      </c>
      <c r="N897" s="464">
        <f t="shared" si="83"/>
        <v>78345</v>
      </c>
    </row>
    <row r="898" spans="7:14" ht="11.25" customHeight="1" x14ac:dyDescent="0.3">
      <c r="G898" s="459">
        <f t="shared" si="94"/>
        <v>75</v>
      </c>
      <c r="H898" s="459">
        <v>891</v>
      </c>
      <c r="I898" s="444">
        <f t="shared" ca="1" si="81"/>
        <v>-10420440.437597657</v>
      </c>
      <c r="J898" s="444">
        <f t="array" ref="J898">IFERROR(INDEX('Retirement Calculator'!K:K,MATCH('Lorri 401b'!N898,'Retirement Calculator'!A:A,0),0),0)</f>
        <v>20367.195264578786</v>
      </c>
      <c r="K898" s="444">
        <f t="shared" ca="1" si="79"/>
        <v>-43503.365136925975</v>
      </c>
      <c r="L898" s="444">
        <f t="shared" ca="1" si="80"/>
        <v>-10484310.99799916</v>
      </c>
      <c r="M898" s="460">
        <f t="shared" si="82"/>
        <v>0.05</v>
      </c>
      <c r="N898" s="464">
        <f t="shared" si="83"/>
        <v>78376</v>
      </c>
    </row>
    <row r="899" spans="7:14" ht="11.25" customHeight="1" x14ac:dyDescent="0.3">
      <c r="G899" s="459">
        <f t="shared" si="94"/>
        <v>75</v>
      </c>
      <c r="H899" s="459">
        <v>892</v>
      </c>
      <c r="I899" s="444">
        <f t="shared" ca="1" si="81"/>
        <v>-10484310.99799916</v>
      </c>
      <c r="J899" s="444">
        <f t="array" ref="J899">IFERROR(INDEX('Retirement Calculator'!K:K,MATCH('Lorri 401b'!N899,'Retirement Calculator'!A:A,0),0),0)</f>
        <v>20367.195264578786</v>
      </c>
      <c r="K899" s="444">
        <f t="shared" ca="1" si="79"/>
        <v>-43769.492471932237</v>
      </c>
      <c r="L899" s="444">
        <f t="shared" ca="1" si="80"/>
        <v>-10548447.685735669</v>
      </c>
      <c r="M899" s="460">
        <f t="shared" si="82"/>
        <v>0.05</v>
      </c>
      <c r="N899" s="464">
        <f t="shared" si="83"/>
        <v>78407</v>
      </c>
    </row>
    <row r="900" spans="7:14" ht="11.25" customHeight="1" x14ac:dyDescent="0.3">
      <c r="G900" s="459">
        <f t="shared" si="94"/>
        <v>75</v>
      </c>
      <c r="H900" s="459">
        <v>893</v>
      </c>
      <c r="I900" s="444">
        <f t="shared" ca="1" si="81"/>
        <v>-10548447.685735669</v>
      </c>
      <c r="J900" s="444">
        <f t="array" ref="J900">IFERROR(INDEX('Retirement Calculator'!K:K,MATCH('Lorri 401b'!N900,'Retirement Calculator'!A:A,0),0),0)</f>
        <v>20367.195264578786</v>
      </c>
      <c r="K900" s="444">
        <f t="shared" ca="1" si="79"/>
        <v>-44036.72867083436</v>
      </c>
      <c r="L900" s="444">
        <f t="shared" ca="1" si="80"/>
        <v>-10612851.60967108</v>
      </c>
      <c r="M900" s="460">
        <f t="shared" si="82"/>
        <v>0.05</v>
      </c>
      <c r="N900" s="464">
        <f t="shared" si="83"/>
        <v>78437</v>
      </c>
    </row>
    <row r="901" spans="7:14" ht="11.25" customHeight="1" x14ac:dyDescent="0.3">
      <c r="G901" s="459">
        <f t="shared" si="94"/>
        <v>75</v>
      </c>
      <c r="H901" s="459">
        <v>894</v>
      </c>
      <c r="I901" s="444">
        <f t="shared" ca="1" si="81"/>
        <v>-10612851.60967108</v>
      </c>
      <c r="J901" s="444">
        <f t="array" ref="J901">IFERROR(INDEX('Retirement Calculator'!K:K,MATCH('Lorri 401b'!N901,'Retirement Calculator'!A:A,0),0),0)</f>
        <v>20367.195264578786</v>
      </c>
      <c r="K901" s="444">
        <f t="shared" ca="1" si="79"/>
        <v>-44305.078353898578</v>
      </c>
      <c r="L901" s="444">
        <f t="shared" ca="1" si="80"/>
        <v>-10677523.883289557</v>
      </c>
      <c r="M901" s="460">
        <f t="shared" si="82"/>
        <v>0.05</v>
      </c>
      <c r="N901" s="464">
        <f t="shared" si="83"/>
        <v>78468</v>
      </c>
    </row>
    <row r="902" spans="7:14" ht="11.25" customHeight="1" x14ac:dyDescent="0.3">
      <c r="G902" s="459">
        <f t="shared" si="94"/>
        <v>75</v>
      </c>
      <c r="H902" s="459">
        <v>895</v>
      </c>
      <c r="I902" s="444">
        <f t="shared" ca="1" si="81"/>
        <v>-10677523.883289557</v>
      </c>
      <c r="J902" s="444">
        <f t="array" ref="J902">IFERROR(INDEX('Retirement Calculator'!K:K,MATCH('Lorri 401b'!N902,'Retirement Calculator'!A:A,0),0),0)</f>
        <v>20367.195264578786</v>
      </c>
      <c r="K902" s="444">
        <f t="shared" ca="1" si="79"/>
        <v>-44574.546160642225</v>
      </c>
      <c r="L902" s="444">
        <f t="shared" ca="1" si="80"/>
        <v>-10742465.624714777</v>
      </c>
      <c r="M902" s="460">
        <f t="shared" si="82"/>
        <v>0.05</v>
      </c>
      <c r="N902" s="464">
        <f t="shared" si="83"/>
        <v>78498</v>
      </c>
    </row>
    <row r="903" spans="7:14" ht="11.25" customHeight="1" x14ac:dyDescent="0.3">
      <c r="G903" s="459">
        <f t="shared" si="94"/>
        <v>75</v>
      </c>
      <c r="H903" s="459">
        <v>896</v>
      </c>
      <c r="I903" s="444">
        <f t="shared" ca="1" si="81"/>
        <v>-10742465.624714777</v>
      </c>
      <c r="J903" s="444">
        <f t="array" ref="J903">IFERROR(INDEX('Retirement Calculator'!K:K,MATCH('Lorri 401b'!N903,'Retirement Calculator'!A:A,0),0),0)</f>
        <v>20367.195264578786</v>
      </c>
      <c r="K903" s="444">
        <f t="shared" ca="1" si="79"/>
        <v>-44845.136749913974</v>
      </c>
      <c r="L903" s="444">
        <f t="shared" ca="1" si="80"/>
        <v>-10807677.956729269</v>
      </c>
      <c r="M903" s="460">
        <f t="shared" si="82"/>
        <v>0.05</v>
      </c>
      <c r="N903" s="464">
        <f t="shared" si="83"/>
        <v>78529</v>
      </c>
    </row>
    <row r="904" spans="7:14" ht="11.25" customHeight="1" x14ac:dyDescent="0.3">
      <c r="G904" s="459">
        <f t="shared" si="94"/>
        <v>75</v>
      </c>
      <c r="H904" s="459">
        <v>897</v>
      </c>
      <c r="I904" s="444">
        <f t="shared" ca="1" si="81"/>
        <v>-10807677.956729269</v>
      </c>
      <c r="J904" s="444">
        <f t="array" ref="J904">IFERROR(INDEX('Retirement Calculator'!K:K,MATCH('Lorri 401b'!N904,'Retirement Calculator'!A:A,0),0),0)</f>
        <v>20367.195264578786</v>
      </c>
      <c r="K904" s="444">
        <f t="shared" ca="1" si="79"/>
        <v>-45116.854799974361</v>
      </c>
      <c r="L904" s="444">
        <f t="shared" ca="1" si="80"/>
        <v>-10873162.006793821</v>
      </c>
      <c r="M904" s="460">
        <f t="shared" si="82"/>
        <v>0.05</v>
      </c>
      <c r="N904" s="464">
        <f t="shared" si="83"/>
        <v>78560</v>
      </c>
    </row>
    <row r="905" spans="7:14" ht="11.25" customHeight="1" x14ac:dyDescent="0.3">
      <c r="G905" s="459">
        <f t="shared" si="94"/>
        <v>75</v>
      </c>
      <c r="H905" s="459">
        <v>898</v>
      </c>
      <c r="I905" s="444">
        <f t="shared" ca="1" si="81"/>
        <v>-10873162.006793821</v>
      </c>
      <c r="J905" s="444">
        <f t="array" ref="J905">IFERROR(INDEX('Retirement Calculator'!K:K,MATCH('Lorri 401b'!N905,'Retirement Calculator'!A:A,0),0),0)</f>
        <v>20367.195264578786</v>
      </c>
      <c r="K905" s="444">
        <f t="shared" ca="1" si="79"/>
        <v>-45389.70500857666</v>
      </c>
      <c r="L905" s="444">
        <f t="shared" ca="1" si="80"/>
        <v>-10938918.907066977</v>
      </c>
      <c r="M905" s="460">
        <f t="shared" si="82"/>
        <v>0.05</v>
      </c>
      <c r="N905" s="464">
        <f t="shared" si="83"/>
        <v>78588</v>
      </c>
    </row>
    <row r="906" spans="7:14" ht="11.25" customHeight="1" x14ac:dyDescent="0.3">
      <c r="G906" s="459">
        <f t="shared" si="94"/>
        <v>75</v>
      </c>
      <c r="H906" s="459">
        <v>899</v>
      </c>
      <c r="I906" s="444">
        <f t="shared" ca="1" si="81"/>
        <v>-10938918.907066977</v>
      </c>
      <c r="J906" s="444">
        <f t="array" ref="J906">IFERROR(INDEX('Retirement Calculator'!K:K,MATCH('Lorri 401b'!N906,'Retirement Calculator'!A:A,0),0),0)</f>
        <v>20367.195264578786</v>
      </c>
      <c r="K906" s="444">
        <f t="shared" ca="1" si="79"/>
        <v>-45663.692093048143</v>
      </c>
      <c r="L906" s="444">
        <f t="shared" ca="1" si="80"/>
        <v>-11004949.794424603</v>
      </c>
      <c r="M906" s="460">
        <f t="shared" si="82"/>
        <v>0.05</v>
      </c>
      <c r="N906" s="464">
        <f t="shared" si="83"/>
        <v>78619</v>
      </c>
    </row>
    <row r="907" spans="7:14" ht="11.25" customHeight="1" x14ac:dyDescent="0.3">
      <c r="G907" s="459">
        <f t="shared" si="94"/>
        <v>75</v>
      </c>
      <c r="H907" s="459">
        <v>900</v>
      </c>
      <c r="I907" s="444">
        <f t="shared" ca="1" si="81"/>
        <v>-11004949.794424603</v>
      </c>
      <c r="J907" s="444">
        <f t="array" ref="J907">IFERROR(INDEX('Retirement Calculator'!K:K,MATCH('Lorri 401b'!N907,'Retirement Calculator'!A:A,0),0),0)</f>
        <v>20367.195264578786</v>
      </c>
      <c r="K907" s="444">
        <f t="shared" ca="1" si="79"/>
        <v>-45938.820790371588</v>
      </c>
      <c r="L907" s="444">
        <f t="shared" ca="1" si="80"/>
        <v>-11071255.810479552</v>
      </c>
      <c r="M907" s="460">
        <f t="shared" si="82"/>
        <v>0.05</v>
      </c>
      <c r="N907" s="464">
        <f t="shared" si="83"/>
        <v>78649</v>
      </c>
    </row>
    <row r="908" spans="7:14" ht="11.25" customHeight="1" x14ac:dyDescent="0.3">
      <c r="G908" s="459">
        <f>G907+1</f>
        <v>76</v>
      </c>
      <c r="H908" s="459">
        <v>901</v>
      </c>
      <c r="I908" s="444">
        <f t="shared" ca="1" si="81"/>
        <v>-11071255.810479552</v>
      </c>
      <c r="J908" s="444">
        <f t="array" ref="J908">IFERROR(INDEX('Retirement Calculator'!K:K,MATCH('Lorri 401b'!N908,'Retirement Calculator'!A:A,0),0),0)</f>
        <v>20367.195264578786</v>
      </c>
      <c r="K908" s="444">
        <f t="shared" ca="1" si="79"/>
        <v>-46215.095857267203</v>
      </c>
      <c r="L908" s="444">
        <f t="shared" ca="1" si="80"/>
        <v>-11137838.101601396</v>
      </c>
      <c r="M908" s="460">
        <f t="shared" si="82"/>
        <v>0.05</v>
      </c>
      <c r="N908" s="464">
        <f t="shared" si="83"/>
        <v>78680</v>
      </c>
    </row>
    <row r="909" spans="7:14" ht="11.25" customHeight="1" x14ac:dyDescent="0.3">
      <c r="G909" s="459">
        <f t="shared" ref="G909:G919" si="95">G908</f>
        <v>76</v>
      </c>
      <c r="H909" s="459">
        <v>902</v>
      </c>
      <c r="I909" s="444">
        <f t="shared" ca="1" si="81"/>
        <v>-11137838.101601396</v>
      </c>
      <c r="J909" s="444">
        <f t="array" ref="J909">IFERROR(INDEX('Retirement Calculator'!K:K,MATCH('Lorri 401b'!N909,'Retirement Calculator'!A:A,0),0),0)</f>
        <v>20367.195264578786</v>
      </c>
      <c r="K909" s="444">
        <f t="shared" ca="1" si="79"/>
        <v>-46492.522070274892</v>
      </c>
      <c r="L909" s="444">
        <f t="shared" ca="1" si="80"/>
        <v>-11204697.818936249</v>
      </c>
      <c r="M909" s="460">
        <f t="shared" si="82"/>
        <v>0.05</v>
      </c>
      <c r="N909" s="464">
        <f t="shared" si="83"/>
        <v>78710</v>
      </c>
    </row>
    <row r="910" spans="7:14" ht="11.25" customHeight="1" x14ac:dyDescent="0.3">
      <c r="G910" s="459">
        <f t="shared" si="95"/>
        <v>76</v>
      </c>
      <c r="H910" s="459">
        <v>903</v>
      </c>
      <c r="I910" s="444">
        <f t="shared" ca="1" si="81"/>
        <v>-11204697.818936249</v>
      </c>
      <c r="J910" s="444">
        <f t="array" ref="J910">IFERROR(INDEX('Retirement Calculator'!K:K,MATCH('Lorri 401b'!N910,'Retirement Calculator'!A:A,0),0),0)</f>
        <v>20367.195264578786</v>
      </c>
      <c r="K910" s="444">
        <f t="shared" ca="1" si="79"/>
        <v>-46771.104225836782</v>
      </c>
      <c r="L910" s="444">
        <f t="shared" ca="1" si="80"/>
        <v>-11271836.118426664</v>
      </c>
      <c r="M910" s="460">
        <f t="shared" si="82"/>
        <v>0.05</v>
      </c>
      <c r="N910" s="464">
        <f t="shared" si="83"/>
        <v>78741</v>
      </c>
    </row>
    <row r="911" spans="7:14" ht="11.25" customHeight="1" x14ac:dyDescent="0.3">
      <c r="G911" s="459">
        <f t="shared" si="95"/>
        <v>76</v>
      </c>
      <c r="H911" s="459">
        <v>904</v>
      </c>
      <c r="I911" s="444">
        <f t="shared" ca="1" si="81"/>
        <v>-11271836.118426664</v>
      </c>
      <c r="J911" s="444">
        <f t="array" ref="J911">IFERROR(INDEX('Retirement Calculator'!K:K,MATCH('Lorri 401b'!N911,'Retirement Calculator'!A:A,0),0),0)</f>
        <v>20367.195264578786</v>
      </c>
      <c r="K911" s="444">
        <f t="shared" ca="1" si="79"/>
        <v>-47050.847140380174</v>
      </c>
      <c r="L911" s="444">
        <f t="shared" ca="1" si="80"/>
        <v>-11339254.160831621</v>
      </c>
      <c r="M911" s="460">
        <f t="shared" si="82"/>
        <v>0.05</v>
      </c>
      <c r="N911" s="464">
        <f t="shared" si="83"/>
        <v>78772</v>
      </c>
    </row>
    <row r="912" spans="7:14" ht="11.25" customHeight="1" x14ac:dyDescent="0.3">
      <c r="G912" s="459">
        <f t="shared" si="95"/>
        <v>76</v>
      </c>
      <c r="H912" s="459">
        <v>905</v>
      </c>
      <c r="I912" s="444">
        <f t="shared" ca="1" si="81"/>
        <v>-11339254.160831621</v>
      </c>
      <c r="J912" s="444">
        <f t="array" ref="J912">IFERROR(INDEX('Retirement Calculator'!K:K,MATCH('Lorri 401b'!N912,'Retirement Calculator'!A:A,0),0),0)</f>
        <v>20367.195264578786</v>
      </c>
      <c r="K912" s="444">
        <f t="shared" ca="1" si="79"/>
        <v>-47331.755650400824</v>
      </c>
      <c r="L912" s="444">
        <f t="shared" ca="1" si="80"/>
        <v>-11406953.1117466</v>
      </c>
      <c r="M912" s="460">
        <f t="shared" si="82"/>
        <v>0.05</v>
      </c>
      <c r="N912" s="464">
        <f t="shared" si="83"/>
        <v>78802</v>
      </c>
    </row>
    <row r="913" spans="7:14" ht="11.25" customHeight="1" x14ac:dyDescent="0.3">
      <c r="G913" s="459">
        <f t="shared" si="95"/>
        <v>76</v>
      </c>
      <c r="H913" s="459">
        <v>906</v>
      </c>
      <c r="I913" s="444">
        <f t="shared" ca="1" si="81"/>
        <v>-11406953.1117466</v>
      </c>
      <c r="J913" s="444">
        <f t="array" ref="J913">IFERROR(INDEX('Retirement Calculator'!K:K,MATCH('Lorri 401b'!N913,'Retirement Calculator'!A:A,0),0),0)</f>
        <v>20367.195264578786</v>
      </c>
      <c r="K913" s="444">
        <f t="shared" ca="1" si="79"/>
        <v>-47613.834612546576</v>
      </c>
      <c r="L913" s="444">
        <f t="shared" ca="1" si="80"/>
        <v>-11474934.141623724</v>
      </c>
      <c r="M913" s="460">
        <f t="shared" si="82"/>
        <v>0.05</v>
      </c>
      <c r="N913" s="464">
        <f t="shared" si="83"/>
        <v>78833</v>
      </c>
    </row>
    <row r="914" spans="7:14" ht="11.25" customHeight="1" x14ac:dyDescent="0.3">
      <c r="G914" s="459">
        <f t="shared" si="95"/>
        <v>76</v>
      </c>
      <c r="H914" s="459">
        <v>907</v>
      </c>
      <c r="I914" s="444">
        <f t="shared" ca="1" si="81"/>
        <v>-11474934.141623724</v>
      </c>
      <c r="J914" s="444">
        <f t="array" ref="J914">IFERROR(INDEX('Retirement Calculator'!K:K,MATCH('Lorri 401b'!N914,'Retirement Calculator'!A:A,0),0),0)</f>
        <v>20367.195264578786</v>
      </c>
      <c r="K914" s="444">
        <f t="shared" ca="1" si="79"/>
        <v>-47897.08890370126</v>
      </c>
      <c r="L914" s="444">
        <f t="shared" ca="1" si="80"/>
        <v>-11543198.425792003</v>
      </c>
      <c r="M914" s="460">
        <f t="shared" si="82"/>
        <v>0.05</v>
      </c>
      <c r="N914" s="464">
        <f t="shared" si="83"/>
        <v>78863</v>
      </c>
    </row>
    <row r="915" spans="7:14" ht="11.25" customHeight="1" x14ac:dyDescent="0.3">
      <c r="G915" s="459">
        <f t="shared" si="95"/>
        <v>76</v>
      </c>
      <c r="H915" s="459">
        <v>908</v>
      </c>
      <c r="I915" s="444">
        <f t="shared" ca="1" si="81"/>
        <v>-11543198.425792003</v>
      </c>
      <c r="J915" s="444">
        <f t="array" ref="J915">IFERROR(INDEX('Retirement Calculator'!K:K,MATCH('Lorri 401b'!N915,'Retirement Calculator'!A:A,0),0),0)</f>
        <v>20367.195264578786</v>
      </c>
      <c r="K915" s="444">
        <f t="shared" ca="1" si="79"/>
        <v>-48181.523421069083</v>
      </c>
      <c r="L915" s="444">
        <f t="shared" ca="1" si="80"/>
        <v>-11611747.144477651</v>
      </c>
      <c r="M915" s="460">
        <f t="shared" si="82"/>
        <v>0.05</v>
      </c>
      <c r="N915" s="464">
        <f t="shared" si="83"/>
        <v>78894</v>
      </c>
    </row>
    <row r="916" spans="7:14" ht="11.25" customHeight="1" x14ac:dyDescent="0.3">
      <c r="G916" s="459">
        <f t="shared" si="95"/>
        <v>76</v>
      </c>
      <c r="H916" s="459">
        <v>909</v>
      </c>
      <c r="I916" s="444">
        <f t="shared" ca="1" si="81"/>
        <v>-11611747.144477651</v>
      </c>
      <c r="J916" s="444">
        <f t="array" ref="J916">IFERROR(INDEX('Retirement Calculator'!K:K,MATCH('Lorri 401b'!N916,'Retirement Calculator'!A:A,0),0),0)</f>
        <v>20367.195264578786</v>
      </c>
      <c r="K916" s="444">
        <f t="shared" ca="1" si="79"/>
        <v>-48467.143082259281</v>
      </c>
      <c r="L916" s="444">
        <f t="shared" ca="1" si="80"/>
        <v>-11680581.482824488</v>
      </c>
      <c r="M916" s="460">
        <f t="shared" si="82"/>
        <v>0.05</v>
      </c>
      <c r="N916" s="464">
        <f t="shared" si="83"/>
        <v>78925</v>
      </c>
    </row>
    <row r="917" spans="7:14" ht="11.25" customHeight="1" x14ac:dyDescent="0.3">
      <c r="G917" s="459">
        <f t="shared" si="95"/>
        <v>76</v>
      </c>
      <c r="H917" s="459">
        <v>910</v>
      </c>
      <c r="I917" s="444">
        <f t="shared" ca="1" si="81"/>
        <v>-11680581.482824488</v>
      </c>
      <c r="J917" s="444">
        <f t="array" ref="J917">IFERROR(INDEX('Retirement Calculator'!K:K,MATCH('Lorri 401b'!N917,'Retirement Calculator'!A:A,0),0),0)</f>
        <v>20367.195264578786</v>
      </c>
      <c r="K917" s="444">
        <f t="shared" ca="1" si="79"/>
        <v>-48753.952825371103</v>
      </c>
      <c r="L917" s="444">
        <f t="shared" ca="1" si="80"/>
        <v>-11749702.630914437</v>
      </c>
      <c r="M917" s="460">
        <f t="shared" si="82"/>
        <v>0.05</v>
      </c>
      <c r="N917" s="464">
        <f t="shared" si="83"/>
        <v>78954</v>
      </c>
    </row>
    <row r="918" spans="7:14" ht="11.25" customHeight="1" x14ac:dyDescent="0.3">
      <c r="G918" s="459">
        <f t="shared" si="95"/>
        <v>76</v>
      </c>
      <c r="H918" s="459">
        <v>911</v>
      </c>
      <c r="I918" s="444">
        <f t="shared" ca="1" si="81"/>
        <v>-11749702.630914437</v>
      </c>
      <c r="J918" s="444">
        <f t="array" ref="J918">IFERROR(INDEX('Retirement Calculator'!K:K,MATCH('Lorri 401b'!N918,'Retirement Calculator'!A:A,0),0),0)</f>
        <v>20367.195264578786</v>
      </c>
      <c r="K918" s="444">
        <f t="shared" ca="1" si="79"/>
        <v>-49041.957609079225</v>
      </c>
      <c r="L918" s="444">
        <f t="shared" ca="1" si="80"/>
        <v>-11819111.783788094</v>
      </c>
      <c r="M918" s="460">
        <f t="shared" si="82"/>
        <v>0.05</v>
      </c>
      <c r="N918" s="464">
        <f t="shared" si="83"/>
        <v>78985</v>
      </c>
    </row>
    <row r="919" spans="7:14" ht="11.25" customHeight="1" x14ac:dyDescent="0.3">
      <c r="G919" s="459">
        <f t="shared" si="95"/>
        <v>76</v>
      </c>
      <c r="H919" s="459">
        <v>912</v>
      </c>
      <c r="I919" s="444">
        <f t="shared" ca="1" si="81"/>
        <v>-11819111.783788094</v>
      </c>
      <c r="J919" s="444">
        <f t="array" ref="J919">IFERROR(INDEX('Retirement Calculator'!K:K,MATCH('Lorri 401b'!N919,'Retirement Calculator'!A:A,0),0),0)</f>
        <v>20367.195264578786</v>
      </c>
      <c r="K919" s="444">
        <f t="shared" ca="1" si="79"/>
        <v>-49331.162412719466</v>
      </c>
      <c r="L919" s="444">
        <f t="shared" ca="1" si="80"/>
        <v>-11888810.141465392</v>
      </c>
      <c r="M919" s="460">
        <f t="shared" si="82"/>
        <v>0.05</v>
      </c>
      <c r="N919" s="464">
        <f t="shared" si="83"/>
        <v>79015</v>
      </c>
    </row>
    <row r="920" spans="7:14" ht="11.25" customHeight="1" x14ac:dyDescent="0.3">
      <c r="G920" s="459">
        <f>G919+1</f>
        <v>77</v>
      </c>
      <c r="H920" s="459">
        <v>913</v>
      </c>
      <c r="I920" s="444">
        <f t="shared" ca="1" si="81"/>
        <v>-11888810.141465392</v>
      </c>
      <c r="J920" s="444">
        <f t="array" ref="J920">IFERROR(INDEX('Retirement Calculator'!K:K,MATCH('Lorri 401b'!N920,'Retirement Calculator'!A:A,0),0),0)</f>
        <v>20367.195264578786</v>
      </c>
      <c r="K920" s="444">
        <f t="shared" ca="1" si="79"/>
        <v>-49621.572236374872</v>
      </c>
      <c r="L920" s="444">
        <f t="shared" ca="1" si="80"/>
        <v>-11958798.908966344</v>
      </c>
      <c r="M920" s="460">
        <f t="shared" si="82"/>
        <v>0.05</v>
      </c>
      <c r="N920" s="464">
        <f t="shared" si="83"/>
        <v>79046</v>
      </c>
    </row>
    <row r="921" spans="7:14" ht="11.25" customHeight="1" x14ac:dyDescent="0.3">
      <c r="G921" s="459">
        <f t="shared" ref="G921:G931" si="96">G920</f>
        <v>77</v>
      </c>
      <c r="H921" s="459">
        <v>914</v>
      </c>
      <c r="I921" s="444">
        <f t="shared" ca="1" si="81"/>
        <v>-11958798.908966344</v>
      </c>
      <c r="J921" s="444">
        <f t="array" ref="J921">IFERROR(INDEX('Retirement Calculator'!K:K,MATCH('Lorri 401b'!N921,'Retirement Calculator'!A:A,0),0),0)</f>
        <v>20367.195264578786</v>
      </c>
      <c r="K921" s="444">
        <f t="shared" ca="1" si="79"/>
        <v>-49913.192100962173</v>
      </c>
      <c r="L921" s="444">
        <f t="shared" ca="1" si="80"/>
        <v>-12029079.296331884</v>
      </c>
      <c r="M921" s="460">
        <f t="shared" si="82"/>
        <v>0.05</v>
      </c>
      <c r="N921" s="464">
        <f t="shared" si="83"/>
        <v>79076</v>
      </c>
    </row>
    <row r="922" spans="7:14" ht="11.25" customHeight="1" x14ac:dyDescent="0.3">
      <c r="G922" s="459">
        <f t="shared" si="96"/>
        <v>77</v>
      </c>
      <c r="H922" s="459">
        <v>915</v>
      </c>
      <c r="I922" s="444">
        <f t="shared" ca="1" si="81"/>
        <v>-12029079.296331884</v>
      </c>
      <c r="J922" s="444">
        <f t="array" ref="J922">IFERROR(INDEX('Retirement Calculator'!K:K,MATCH('Lorri 401b'!N922,'Retirement Calculator'!A:A,0),0),0)</f>
        <v>20367.195264578786</v>
      </c>
      <c r="K922" s="444">
        <f t="shared" ca="1" si="79"/>
        <v>-50206.027048318589</v>
      </c>
      <c r="L922" s="444">
        <f t="shared" ca="1" si="80"/>
        <v>-12099652.51864478</v>
      </c>
      <c r="M922" s="460">
        <f t="shared" si="82"/>
        <v>0.05</v>
      </c>
      <c r="N922" s="464">
        <f t="shared" si="83"/>
        <v>79107</v>
      </c>
    </row>
    <row r="923" spans="7:14" ht="11.25" customHeight="1" x14ac:dyDescent="0.3">
      <c r="G923" s="459">
        <f t="shared" si="96"/>
        <v>77</v>
      </c>
      <c r="H923" s="459">
        <v>916</v>
      </c>
      <c r="I923" s="444">
        <f t="shared" ca="1" si="81"/>
        <v>-12099652.51864478</v>
      </c>
      <c r="J923" s="444">
        <f t="array" ref="J923">IFERROR(INDEX('Retirement Calculator'!K:K,MATCH('Lorri 401b'!N923,'Retirement Calculator'!A:A,0),0),0)</f>
        <v>20367.195264578786</v>
      </c>
      <c r="K923" s="444">
        <f t="shared" ca="1" si="79"/>
        <v>-50500.082141288993</v>
      </c>
      <c r="L923" s="444">
        <f t="shared" ca="1" si="80"/>
        <v>-12170519.796050647</v>
      </c>
      <c r="M923" s="460">
        <f t="shared" si="82"/>
        <v>0.05</v>
      </c>
      <c r="N923" s="464">
        <f t="shared" si="83"/>
        <v>79138</v>
      </c>
    </row>
    <row r="924" spans="7:14" ht="11.25" customHeight="1" x14ac:dyDescent="0.3">
      <c r="G924" s="459">
        <f t="shared" si="96"/>
        <v>77</v>
      </c>
      <c r="H924" s="459">
        <v>917</v>
      </c>
      <c r="I924" s="444">
        <f t="shared" ca="1" si="81"/>
        <v>-12170519.796050647</v>
      </c>
      <c r="J924" s="444">
        <f t="array" ref="J924">IFERROR(INDEX('Retirement Calculator'!K:K,MATCH('Lorri 401b'!N924,'Retirement Calculator'!A:A,0),0),0)</f>
        <v>20367.195264578786</v>
      </c>
      <c r="K924" s="444">
        <f t="shared" ca="1" si="79"/>
        <v>-50795.362463813435</v>
      </c>
      <c r="L924" s="444">
        <f t="shared" ca="1" si="80"/>
        <v>-12241682.353779038</v>
      </c>
      <c r="M924" s="460">
        <f t="shared" si="82"/>
        <v>0.05</v>
      </c>
      <c r="N924" s="464">
        <f t="shared" si="83"/>
        <v>79168</v>
      </c>
    </row>
    <row r="925" spans="7:14" ht="11.25" customHeight="1" x14ac:dyDescent="0.3">
      <c r="G925" s="459">
        <f t="shared" si="96"/>
        <v>77</v>
      </c>
      <c r="H925" s="459">
        <v>918</v>
      </c>
      <c r="I925" s="444">
        <f t="shared" ca="1" si="81"/>
        <v>-12241682.353779038</v>
      </c>
      <c r="J925" s="444">
        <f t="array" ref="J925">IFERROR(INDEX('Retirement Calculator'!K:K,MATCH('Lorri 401b'!N925,'Retirement Calculator'!A:A,0),0),0)</f>
        <v>20367.195264578786</v>
      </c>
      <c r="K925" s="444">
        <f t="shared" ca="1" si="79"/>
        <v>-51091.873121015065</v>
      </c>
      <c r="L925" s="444">
        <f t="shared" ca="1" si="80"/>
        <v>-12313141.422164632</v>
      </c>
      <c r="M925" s="460">
        <f t="shared" si="82"/>
        <v>0.05</v>
      </c>
      <c r="N925" s="464">
        <f t="shared" si="83"/>
        <v>79199</v>
      </c>
    </row>
    <row r="926" spans="7:14" ht="11.25" customHeight="1" x14ac:dyDescent="0.3">
      <c r="G926" s="459">
        <f t="shared" si="96"/>
        <v>77</v>
      </c>
      <c r="H926" s="459">
        <v>919</v>
      </c>
      <c r="I926" s="444">
        <f t="shared" ca="1" si="81"/>
        <v>-12313141.422164632</v>
      </c>
      <c r="J926" s="444">
        <f t="array" ref="J926">IFERROR(INDEX('Retirement Calculator'!K:K,MATCH('Lorri 401b'!N926,'Retirement Calculator'!A:A,0),0),0)</f>
        <v>20367.195264578786</v>
      </c>
      <c r="K926" s="444">
        <f t="shared" ca="1" si="79"/>
        <v>-51389.619239288375</v>
      </c>
      <c r="L926" s="444">
        <f t="shared" ca="1" si="80"/>
        <v>-12384898.236668497</v>
      </c>
      <c r="M926" s="460">
        <f t="shared" si="82"/>
        <v>0.05</v>
      </c>
      <c r="N926" s="464">
        <f t="shared" si="83"/>
        <v>79229</v>
      </c>
    </row>
    <row r="927" spans="7:14" ht="11.25" customHeight="1" x14ac:dyDescent="0.3">
      <c r="G927" s="459">
        <f t="shared" si="96"/>
        <v>77</v>
      </c>
      <c r="H927" s="459">
        <v>920</v>
      </c>
      <c r="I927" s="444">
        <f t="shared" ca="1" si="81"/>
        <v>-12384898.236668497</v>
      </c>
      <c r="J927" s="444">
        <f t="array" ref="J927">IFERROR(INDEX('Retirement Calculator'!K:K,MATCH('Lorri 401b'!N927,'Retirement Calculator'!A:A,0),0),0)</f>
        <v>20367.195264578786</v>
      </c>
      <c r="K927" s="444">
        <f t="shared" ca="1" si="79"/>
        <v>-51688.605966387811</v>
      </c>
      <c r="L927" s="444">
        <f t="shared" ca="1" si="80"/>
        <v>-12456954.037899463</v>
      </c>
      <c r="M927" s="460">
        <f t="shared" si="82"/>
        <v>0.05</v>
      </c>
      <c r="N927" s="464">
        <f t="shared" si="83"/>
        <v>79260</v>
      </c>
    </row>
    <row r="928" spans="7:14" ht="11.25" customHeight="1" x14ac:dyDescent="0.3">
      <c r="G928" s="459">
        <f t="shared" si="96"/>
        <v>77</v>
      </c>
      <c r="H928" s="459">
        <v>921</v>
      </c>
      <c r="I928" s="444">
        <f t="shared" ca="1" si="81"/>
        <v>-12456954.037899463</v>
      </c>
      <c r="J928" s="444">
        <f t="array" ref="J928">IFERROR(INDEX('Retirement Calculator'!K:K,MATCH('Lorri 401b'!N928,'Retirement Calculator'!A:A,0),0),0)</f>
        <v>20367.195264578786</v>
      </c>
      <c r="K928" s="444">
        <f t="shared" ca="1" si="79"/>
        <v>-51988.838471516836</v>
      </c>
      <c r="L928" s="444">
        <f t="shared" ca="1" si="80"/>
        <v>-12529310.071635557</v>
      </c>
      <c r="M928" s="460">
        <f t="shared" si="82"/>
        <v>0.05</v>
      </c>
      <c r="N928" s="464">
        <f t="shared" si="83"/>
        <v>79291</v>
      </c>
    </row>
    <row r="929" spans="7:14" ht="11.25" customHeight="1" x14ac:dyDescent="0.3">
      <c r="G929" s="459">
        <f t="shared" si="96"/>
        <v>77</v>
      </c>
      <c r="H929" s="459">
        <v>922</v>
      </c>
      <c r="I929" s="444">
        <f t="shared" ca="1" si="81"/>
        <v>-12529310.071635557</v>
      </c>
      <c r="J929" s="444">
        <f t="array" ref="J929">IFERROR(INDEX('Retirement Calculator'!K:K,MATCH('Lorri 401b'!N929,'Retirement Calculator'!A:A,0),0),0)</f>
        <v>20367.195264578786</v>
      </c>
      <c r="K929" s="444">
        <f t="shared" ca="1" si="79"/>
        <v>-52290.321945417229</v>
      </c>
      <c r="L929" s="444">
        <f t="shared" ca="1" si="80"/>
        <v>-12601967.588845553</v>
      </c>
      <c r="M929" s="460">
        <f t="shared" si="82"/>
        <v>0.05</v>
      </c>
      <c r="N929" s="464">
        <f t="shared" si="83"/>
        <v>79319</v>
      </c>
    </row>
    <row r="930" spans="7:14" ht="11.25" customHeight="1" x14ac:dyDescent="0.3">
      <c r="G930" s="459">
        <f t="shared" si="96"/>
        <v>77</v>
      </c>
      <c r="H930" s="459">
        <v>923</v>
      </c>
      <c r="I930" s="444">
        <f t="shared" ca="1" si="81"/>
        <v>-12601967.588845553</v>
      </c>
      <c r="J930" s="444">
        <f t="array" ref="J930">IFERROR(INDEX('Retirement Calculator'!K:K,MATCH('Lorri 401b'!N930,'Retirement Calculator'!A:A,0),0),0)</f>
        <v>20367.195264578786</v>
      </c>
      <c r="K930" s="444">
        <f t="shared" ca="1" si="79"/>
        <v>-52593.061600458874</v>
      </c>
      <c r="L930" s="444">
        <f t="shared" ca="1" si="80"/>
        <v>-12674927.84571059</v>
      </c>
      <c r="M930" s="460">
        <f t="shared" si="82"/>
        <v>0.05</v>
      </c>
      <c r="N930" s="464">
        <f t="shared" si="83"/>
        <v>79350</v>
      </c>
    </row>
    <row r="931" spans="7:14" ht="11.25" customHeight="1" x14ac:dyDescent="0.3">
      <c r="G931" s="459">
        <f t="shared" si="96"/>
        <v>77</v>
      </c>
      <c r="H931" s="459">
        <v>924</v>
      </c>
      <c r="I931" s="444">
        <f t="shared" ca="1" si="81"/>
        <v>-12674927.84571059</v>
      </c>
      <c r="J931" s="444">
        <f t="array" ref="J931">IFERROR(INDEX('Retirement Calculator'!K:K,MATCH('Lorri 401b'!N931,'Retirement Calculator'!A:A,0),0),0)</f>
        <v>20367.195264578786</v>
      </c>
      <c r="K931" s="444">
        <f t="shared" ca="1" si="79"/>
        <v>-52897.062670729865</v>
      </c>
      <c r="L931" s="444">
        <f t="shared" ca="1" si="80"/>
        <v>-12748192.103645898</v>
      </c>
      <c r="M931" s="460">
        <f t="shared" si="82"/>
        <v>0.05</v>
      </c>
      <c r="N931" s="464">
        <f t="shared" si="83"/>
        <v>79380</v>
      </c>
    </row>
    <row r="932" spans="7:14" ht="11.25" customHeight="1" x14ac:dyDescent="0.3">
      <c r="G932" s="459">
        <f>G931+1</f>
        <v>78</v>
      </c>
      <c r="H932" s="459">
        <v>925</v>
      </c>
      <c r="I932" s="444">
        <f t="shared" ca="1" si="81"/>
        <v>-12748192.103645898</v>
      </c>
      <c r="J932" s="444">
        <f t="array" ref="J932">IFERROR(INDEX('Retirement Calculator'!K:K,MATCH('Lorri 401b'!N932,'Retirement Calculator'!A:A,0),0),0)</f>
        <v>20367.195264578786</v>
      </c>
      <c r="K932" s="444">
        <f t="shared" ca="1" si="79"/>
        <v>-53202.330412126983</v>
      </c>
      <c r="L932" s="444">
        <f t="shared" ca="1" si="80"/>
        <v>-12821761.629322603</v>
      </c>
      <c r="M932" s="460">
        <f t="shared" si="82"/>
        <v>0.05</v>
      </c>
      <c r="N932" s="464">
        <f t="shared" si="83"/>
        <v>79411</v>
      </c>
    </row>
    <row r="933" spans="7:14" ht="11.25" customHeight="1" x14ac:dyDescent="0.3">
      <c r="G933" s="459">
        <f t="shared" ref="G933:G943" si="97">G932</f>
        <v>78</v>
      </c>
      <c r="H933" s="459">
        <v>926</v>
      </c>
      <c r="I933" s="444">
        <f t="shared" ca="1" si="81"/>
        <v>-12821761.629322603</v>
      </c>
      <c r="J933" s="444">
        <f t="array" ref="J933">IFERROR(INDEX('Retirement Calculator'!K:K,MATCH('Lorri 401b'!N933,'Retirement Calculator'!A:A,0),0),0)</f>
        <v>20367.195264578786</v>
      </c>
      <c r="K933" s="444">
        <f t="shared" ca="1" si="79"/>
        <v>-53508.870102446584</v>
      </c>
      <c r="L933" s="444">
        <f t="shared" ca="1" si="80"/>
        <v>-12895637.694689628</v>
      </c>
      <c r="M933" s="460">
        <f t="shared" si="82"/>
        <v>0.05</v>
      </c>
      <c r="N933" s="464">
        <f t="shared" si="83"/>
        <v>79441</v>
      </c>
    </row>
    <row r="934" spans="7:14" ht="11.25" customHeight="1" x14ac:dyDescent="0.3">
      <c r="G934" s="459">
        <f t="shared" si="97"/>
        <v>78</v>
      </c>
      <c r="H934" s="459">
        <v>927</v>
      </c>
      <c r="I934" s="444">
        <f t="shared" ca="1" si="81"/>
        <v>-12895637.694689628</v>
      </c>
      <c r="J934" s="444">
        <f t="array" ref="J934">IFERROR(INDEX('Retirement Calculator'!K:K,MATCH('Lorri 401b'!N934,'Retirement Calculator'!A:A,0),0),0)</f>
        <v>20367.195264578786</v>
      </c>
      <c r="K934" s="444">
        <f t="shared" ca="1" si="79"/>
        <v>-53816.687041475852</v>
      </c>
      <c r="L934" s="444">
        <f t="shared" ca="1" si="80"/>
        <v>-12969821.576995682</v>
      </c>
      <c r="M934" s="460">
        <f t="shared" si="82"/>
        <v>0.05</v>
      </c>
      <c r="N934" s="464">
        <f t="shared" si="83"/>
        <v>79472</v>
      </c>
    </row>
    <row r="935" spans="7:14" ht="11.25" customHeight="1" x14ac:dyDescent="0.3">
      <c r="G935" s="459">
        <f t="shared" si="97"/>
        <v>78</v>
      </c>
      <c r="H935" s="459">
        <v>928</v>
      </c>
      <c r="I935" s="444">
        <f t="shared" ca="1" si="81"/>
        <v>-12969821.576995682</v>
      </c>
      <c r="J935" s="444">
        <f t="array" ref="J935">IFERROR(INDEX('Retirement Calculator'!K:K,MATCH('Lorri 401b'!N935,'Retirement Calculator'!A:A,0),0),0)</f>
        <v>20367.195264578786</v>
      </c>
      <c r="K935" s="444">
        <f t="shared" ca="1" si="79"/>
        <v>-54125.786551084413</v>
      </c>
      <c r="L935" s="444">
        <f t="shared" ca="1" si="80"/>
        <v>-13044314.558811344</v>
      </c>
      <c r="M935" s="460">
        <f t="shared" si="82"/>
        <v>0.05</v>
      </c>
      <c r="N935" s="464">
        <f t="shared" si="83"/>
        <v>79503</v>
      </c>
    </row>
    <row r="936" spans="7:14" ht="11.25" customHeight="1" x14ac:dyDescent="0.3">
      <c r="G936" s="459">
        <f t="shared" si="97"/>
        <v>78</v>
      </c>
      <c r="H936" s="459">
        <v>929</v>
      </c>
      <c r="I936" s="444">
        <f t="shared" ca="1" si="81"/>
        <v>-13044314.558811344</v>
      </c>
      <c r="J936" s="444">
        <f t="array" ref="J936">IFERROR(INDEX('Retirement Calculator'!K:K,MATCH('Lorri 401b'!N936,'Retirement Calculator'!A:A,0),0),0)</f>
        <v>20367.195264578786</v>
      </c>
      <c r="K936" s="444">
        <f t="shared" ca="1" si="79"/>
        <v>-54436.173975316342</v>
      </c>
      <c r="L936" s="444">
        <f t="shared" ca="1" si="80"/>
        <v>-13119117.928051239</v>
      </c>
      <c r="M936" s="460">
        <f t="shared" si="82"/>
        <v>0.05</v>
      </c>
      <c r="N936" s="464">
        <f t="shared" si="83"/>
        <v>79533</v>
      </c>
    </row>
    <row r="937" spans="7:14" ht="11.25" customHeight="1" x14ac:dyDescent="0.3">
      <c r="G937" s="459">
        <f t="shared" si="97"/>
        <v>78</v>
      </c>
      <c r="H937" s="459">
        <v>930</v>
      </c>
      <c r="I937" s="444">
        <f t="shared" ca="1" si="81"/>
        <v>-13119117.928051239</v>
      </c>
      <c r="J937" s="444">
        <f t="array" ref="J937">IFERROR(INDEX('Retirement Calculator'!K:K,MATCH('Lorri 401b'!N937,'Retirement Calculator'!A:A,0),0),0)</f>
        <v>20367.195264578786</v>
      </c>
      <c r="K937" s="444">
        <f t="shared" ca="1" si="79"/>
        <v>-54747.854680482567</v>
      </c>
      <c r="L937" s="444">
        <f t="shared" ca="1" si="80"/>
        <v>-13194232.977996299</v>
      </c>
      <c r="M937" s="460">
        <f t="shared" si="82"/>
        <v>0.05</v>
      </c>
      <c r="N937" s="464">
        <f t="shared" si="83"/>
        <v>79564</v>
      </c>
    </row>
    <row r="938" spans="7:14" ht="11.25" customHeight="1" x14ac:dyDescent="0.3">
      <c r="G938" s="459">
        <f t="shared" si="97"/>
        <v>78</v>
      </c>
      <c r="H938" s="459">
        <v>931</v>
      </c>
      <c r="I938" s="444">
        <f t="shared" ca="1" si="81"/>
        <v>-13194232.977996299</v>
      </c>
      <c r="J938" s="444">
        <f t="array" ref="J938">IFERROR(INDEX('Retirement Calculator'!K:K,MATCH('Lorri 401b'!N938,'Retirement Calculator'!A:A,0),0),0)</f>
        <v>20367.195264578786</v>
      </c>
      <c r="K938" s="444">
        <f t="shared" ca="1" si="79"/>
        <v>-55060.834055253654</v>
      </c>
      <c r="L938" s="444">
        <f t="shared" ca="1" si="80"/>
        <v>-13269661.007316131</v>
      </c>
      <c r="M938" s="460">
        <f t="shared" si="82"/>
        <v>0.05</v>
      </c>
      <c r="N938" s="464">
        <f t="shared" si="83"/>
        <v>79594</v>
      </c>
    </row>
    <row r="939" spans="7:14" ht="11.25" customHeight="1" x14ac:dyDescent="0.3">
      <c r="G939" s="459">
        <f t="shared" si="97"/>
        <v>78</v>
      </c>
      <c r="H939" s="459">
        <v>932</v>
      </c>
      <c r="I939" s="444">
        <f t="shared" ca="1" si="81"/>
        <v>-13269661.007316131</v>
      </c>
      <c r="J939" s="444">
        <f t="array" ref="J939">IFERROR(INDEX('Retirement Calculator'!K:K,MATCH('Lorri 401b'!N939,'Retirement Calculator'!A:A,0),0),0)</f>
        <v>20367.195264578786</v>
      </c>
      <c r="K939" s="444">
        <f t="shared" ca="1" si="79"/>
        <v>-55375.117510752956</v>
      </c>
      <c r="L939" s="444">
        <f t="shared" ca="1" si="80"/>
        <v>-13345403.320091462</v>
      </c>
      <c r="M939" s="460">
        <f t="shared" si="82"/>
        <v>0.05</v>
      </c>
      <c r="N939" s="464">
        <f t="shared" si="83"/>
        <v>79625</v>
      </c>
    </row>
    <row r="940" spans="7:14" ht="11.25" customHeight="1" x14ac:dyDescent="0.3">
      <c r="G940" s="459">
        <f t="shared" si="97"/>
        <v>78</v>
      </c>
      <c r="H940" s="459">
        <v>933</v>
      </c>
      <c r="I940" s="444">
        <f t="shared" ca="1" si="81"/>
        <v>-13345403.320091462</v>
      </c>
      <c r="J940" s="444">
        <f t="array" ref="J940">IFERROR(INDEX('Retirement Calculator'!K:K,MATCH('Lorri 401b'!N940,'Retirement Calculator'!A:A,0),0),0)</f>
        <v>20367.195264578786</v>
      </c>
      <c r="K940" s="444">
        <f t="shared" ca="1" si="79"/>
        <v>-55690.710480650159</v>
      </c>
      <c r="L940" s="444">
        <f t="shared" ca="1" si="80"/>
        <v>-13421461.225836691</v>
      </c>
      <c r="M940" s="460">
        <f t="shared" si="82"/>
        <v>0.05</v>
      </c>
      <c r="N940" s="464">
        <f t="shared" si="83"/>
        <v>79656</v>
      </c>
    </row>
    <row r="941" spans="7:14" ht="11.25" customHeight="1" x14ac:dyDescent="0.3">
      <c r="G941" s="459">
        <f t="shared" si="97"/>
        <v>78</v>
      </c>
      <c r="H941" s="459">
        <v>934</v>
      </c>
      <c r="I941" s="444">
        <f t="shared" ca="1" si="81"/>
        <v>-13421461.225836691</v>
      </c>
      <c r="J941" s="444">
        <f t="array" ref="J941">IFERROR(INDEX('Retirement Calculator'!K:K,MATCH('Lorri 401b'!N941,'Retirement Calculator'!A:A,0),0),0)</f>
        <v>20367.195264578786</v>
      </c>
      <c r="K941" s="444">
        <f t="shared" ca="1" si="79"/>
        <v>-56007.618421255283</v>
      </c>
      <c r="L941" s="444">
        <f t="shared" ca="1" si="80"/>
        <v>-13497836.039522523</v>
      </c>
      <c r="M941" s="460">
        <f t="shared" si="82"/>
        <v>0.05</v>
      </c>
      <c r="N941" s="464">
        <f t="shared" si="83"/>
        <v>79684</v>
      </c>
    </row>
    <row r="942" spans="7:14" ht="11.25" customHeight="1" x14ac:dyDescent="0.3">
      <c r="G942" s="459">
        <f t="shared" si="97"/>
        <v>78</v>
      </c>
      <c r="H942" s="459">
        <v>935</v>
      </c>
      <c r="I942" s="444">
        <f t="shared" ca="1" si="81"/>
        <v>-13497836.039522523</v>
      </c>
      <c r="J942" s="444">
        <f t="array" ref="J942">IFERROR(INDEX('Retirement Calculator'!K:K,MATCH('Lorri 401b'!N942,'Retirement Calculator'!A:A,0),0),0)</f>
        <v>20367.195264578786</v>
      </c>
      <c r="K942" s="444">
        <f t="shared" ca="1" si="79"/>
        <v>-56325.846811612915</v>
      </c>
      <c r="L942" s="444">
        <f t="shared" ca="1" si="80"/>
        <v>-13574529.081598714</v>
      </c>
      <c r="M942" s="460">
        <f t="shared" si="82"/>
        <v>0.05</v>
      </c>
      <c r="N942" s="464">
        <f t="shared" si="83"/>
        <v>79715</v>
      </c>
    </row>
    <row r="943" spans="7:14" ht="11.25" customHeight="1" x14ac:dyDescent="0.3">
      <c r="G943" s="459">
        <f t="shared" si="97"/>
        <v>78</v>
      </c>
      <c r="H943" s="459">
        <v>936</v>
      </c>
      <c r="I943" s="444">
        <f t="shared" ca="1" si="81"/>
        <v>-13574529.081598714</v>
      </c>
      <c r="J943" s="444">
        <f t="array" ref="J943">IFERROR(INDEX('Retirement Calculator'!K:K,MATCH('Lorri 401b'!N943,'Retirement Calculator'!A:A,0),0),0)</f>
        <v>20367.195264578786</v>
      </c>
      <c r="K943" s="444">
        <f t="shared" ca="1" si="79"/>
        <v>-56645.401153597049</v>
      </c>
      <c r="L943" s="444">
        <f t="shared" ca="1" si="80"/>
        <v>-13651541.67801689</v>
      </c>
      <c r="M943" s="460">
        <f t="shared" si="82"/>
        <v>0.05</v>
      </c>
      <c r="N943" s="464">
        <f t="shared" si="83"/>
        <v>79745</v>
      </c>
    </row>
    <row r="944" spans="7:14" ht="11.25" customHeight="1" x14ac:dyDescent="0.3">
      <c r="G944" s="459">
        <f>G943+1</f>
        <v>79</v>
      </c>
      <c r="H944" s="459">
        <v>937</v>
      </c>
      <c r="I944" s="444">
        <f t="shared" ca="1" si="81"/>
        <v>-13651541.67801689</v>
      </c>
      <c r="J944" s="444">
        <f t="array" ref="J944">IFERROR(INDEX('Retirement Calculator'!K:K,MATCH('Lorri 401b'!N944,'Retirement Calculator'!A:A,0),0),0)</f>
        <v>20367.195264578786</v>
      </c>
      <c r="K944" s="444">
        <f t="shared" ca="1" si="79"/>
        <v>-56966.286972006121</v>
      </c>
      <c r="L944" s="444">
        <f t="shared" ca="1" si="80"/>
        <v>-13728875.160253474</v>
      </c>
      <c r="M944" s="460">
        <f t="shared" si="82"/>
        <v>0.05</v>
      </c>
      <c r="N944" s="464">
        <f t="shared" si="83"/>
        <v>79776</v>
      </c>
    </row>
    <row r="945" spans="7:14" ht="11.25" customHeight="1" x14ac:dyDescent="0.3">
      <c r="G945" s="459">
        <f t="shared" ref="G945:G955" si="98">G944</f>
        <v>79</v>
      </c>
      <c r="H945" s="459">
        <v>938</v>
      </c>
      <c r="I945" s="444">
        <f t="shared" ca="1" si="81"/>
        <v>-13728875.160253474</v>
      </c>
      <c r="J945" s="444">
        <f t="array" ref="J945">IFERROR(INDEX('Retirement Calculator'!K:K,MATCH('Lorri 401b'!N945,'Retirement Calculator'!A:A,0),0),0)</f>
        <v>20367.195264578786</v>
      </c>
      <c r="K945" s="444">
        <f t="shared" ca="1" si="79"/>
        <v>-57288.509814658544</v>
      </c>
      <c r="L945" s="444">
        <f t="shared" ca="1" si="80"/>
        <v>-13806530.865332711</v>
      </c>
      <c r="M945" s="460">
        <f t="shared" si="82"/>
        <v>0.05</v>
      </c>
      <c r="N945" s="464">
        <f t="shared" si="83"/>
        <v>79806</v>
      </c>
    </row>
    <row r="946" spans="7:14" ht="11.25" customHeight="1" x14ac:dyDescent="0.3">
      <c r="G946" s="459">
        <f t="shared" si="98"/>
        <v>79</v>
      </c>
      <c r="H946" s="459">
        <v>939</v>
      </c>
      <c r="I946" s="444">
        <f t="shared" ca="1" si="81"/>
        <v>-13806530.865332711</v>
      </c>
      <c r="J946" s="444">
        <f t="array" ref="J946">IFERROR(INDEX('Retirement Calculator'!K:K,MATCH('Lorri 401b'!N946,'Retirement Calculator'!A:A,0),0),0)</f>
        <v>20367.195264578786</v>
      </c>
      <c r="K946" s="444">
        <f t="shared" ca="1" si="79"/>
        <v>-57612.075252488707</v>
      </c>
      <c r="L946" s="444">
        <f t="shared" ca="1" si="80"/>
        <v>-13884510.135849778</v>
      </c>
      <c r="M946" s="460">
        <f t="shared" si="82"/>
        <v>0.05</v>
      </c>
      <c r="N946" s="464">
        <f t="shared" si="83"/>
        <v>79837</v>
      </c>
    </row>
    <row r="947" spans="7:14" ht="11.25" customHeight="1" x14ac:dyDescent="0.3">
      <c r="G947" s="459">
        <f t="shared" si="98"/>
        <v>79</v>
      </c>
      <c r="H947" s="459">
        <v>940</v>
      </c>
      <c r="I947" s="444">
        <f t="shared" ca="1" si="81"/>
        <v>-13884510.135849778</v>
      </c>
      <c r="J947" s="444">
        <f t="array" ref="J947">IFERROR(INDEX('Retirement Calculator'!K:K,MATCH('Lorri 401b'!N947,'Retirement Calculator'!A:A,0),0),0)</f>
        <v>20367.195264578786</v>
      </c>
      <c r="K947" s="444">
        <f t="shared" ca="1" si="79"/>
        <v>-57936.988879643148</v>
      </c>
      <c r="L947" s="444">
        <f t="shared" ca="1" si="80"/>
        <v>-13962814.319993999</v>
      </c>
      <c r="M947" s="460">
        <f t="shared" si="82"/>
        <v>0.05</v>
      </c>
      <c r="N947" s="464">
        <f t="shared" si="83"/>
        <v>79868</v>
      </c>
    </row>
    <row r="948" spans="7:14" ht="11.25" customHeight="1" x14ac:dyDescent="0.3">
      <c r="G948" s="459">
        <f t="shared" si="98"/>
        <v>79</v>
      </c>
      <c r="H948" s="459">
        <v>941</v>
      </c>
      <c r="I948" s="444">
        <f t="shared" ca="1" si="81"/>
        <v>-13962814.319993999</v>
      </c>
      <c r="J948" s="444">
        <f t="array" ref="J948">IFERROR(INDEX('Retirement Calculator'!K:K,MATCH('Lorri 401b'!N948,'Retirement Calculator'!A:A,0),0),0)</f>
        <v>20367.195264578786</v>
      </c>
      <c r="K948" s="444">
        <f t="shared" ca="1" si="79"/>
        <v>-58263.256313577403</v>
      </c>
      <c r="L948" s="444">
        <f t="shared" ca="1" si="80"/>
        <v>-14041444.771572154</v>
      </c>
      <c r="M948" s="460">
        <f t="shared" si="82"/>
        <v>0.05</v>
      </c>
      <c r="N948" s="464">
        <f t="shared" si="83"/>
        <v>79898</v>
      </c>
    </row>
    <row r="949" spans="7:14" ht="11.25" customHeight="1" x14ac:dyDescent="0.3">
      <c r="G949" s="459">
        <f t="shared" si="98"/>
        <v>79</v>
      </c>
      <c r="H949" s="459">
        <v>942</v>
      </c>
      <c r="I949" s="444">
        <f t="shared" ca="1" si="81"/>
        <v>-14041444.771572154</v>
      </c>
      <c r="J949" s="444">
        <f t="array" ref="J949">IFERROR(INDEX('Retirement Calculator'!K:K,MATCH('Lorri 401b'!N949,'Retirement Calculator'!A:A,0),0),0)</f>
        <v>20367.195264578786</v>
      </c>
      <c r="K949" s="444">
        <f t="shared" ca="1" si="79"/>
        <v>-58590.883195153052</v>
      </c>
      <c r="L949" s="444">
        <f t="shared" ca="1" si="80"/>
        <v>-14120402.850031884</v>
      </c>
      <c r="M949" s="460">
        <f t="shared" si="82"/>
        <v>0.05</v>
      </c>
      <c r="N949" s="464">
        <f t="shared" si="83"/>
        <v>79929</v>
      </c>
    </row>
    <row r="950" spans="7:14" ht="11.25" customHeight="1" x14ac:dyDescent="0.3">
      <c r="G950" s="459">
        <f t="shared" si="98"/>
        <v>79</v>
      </c>
      <c r="H950" s="459">
        <v>943</v>
      </c>
      <c r="I950" s="444">
        <f t="shared" ca="1" si="81"/>
        <v>-14120402.850031884</v>
      </c>
      <c r="J950" s="444">
        <f t="array" ref="J950">IFERROR(INDEX('Retirement Calculator'!K:K,MATCH('Lorri 401b'!N950,'Retirement Calculator'!A:A,0),0),0)</f>
        <v>20367.195264578786</v>
      </c>
      <c r="K950" s="444">
        <f t="shared" ca="1" si="79"/>
        <v>-58919.875188735256</v>
      </c>
      <c r="L950" s="444">
        <f t="shared" ca="1" si="80"/>
        <v>-14199689.920485197</v>
      </c>
      <c r="M950" s="460">
        <f t="shared" si="82"/>
        <v>0.05</v>
      </c>
      <c r="N950" s="464">
        <f t="shared" si="83"/>
        <v>79959</v>
      </c>
    </row>
    <row r="951" spans="7:14" ht="11.25" customHeight="1" x14ac:dyDescent="0.3">
      <c r="G951" s="459">
        <f t="shared" si="98"/>
        <v>79</v>
      </c>
      <c r="H951" s="459">
        <v>944</v>
      </c>
      <c r="I951" s="444">
        <f t="shared" ca="1" si="81"/>
        <v>-14199689.920485197</v>
      </c>
      <c r="J951" s="444">
        <f t="array" ref="J951">IFERROR(INDEX('Retirement Calculator'!K:K,MATCH('Lorri 401b'!N951,'Retirement Calculator'!A:A,0),0),0)</f>
        <v>20367.195264578786</v>
      </c>
      <c r="K951" s="444">
        <f t="shared" ca="1" si="79"/>
        <v>-59250.237982290724</v>
      </c>
      <c r="L951" s="444">
        <f t="shared" ca="1" si="80"/>
        <v>-14279307.353732064</v>
      </c>
      <c r="M951" s="460">
        <f t="shared" si="82"/>
        <v>0.05</v>
      </c>
      <c r="N951" s="464">
        <f t="shared" si="83"/>
        <v>79990</v>
      </c>
    </row>
    <row r="952" spans="7:14" ht="11.25" customHeight="1" x14ac:dyDescent="0.3">
      <c r="G952" s="459">
        <f t="shared" si="98"/>
        <v>79</v>
      </c>
      <c r="H952" s="459">
        <v>945</v>
      </c>
      <c r="I952" s="444">
        <f t="shared" ca="1" si="81"/>
        <v>-14279307.353732064</v>
      </c>
      <c r="J952" s="444">
        <f t="array" ref="J952">IFERROR(INDEX('Retirement Calculator'!K:K,MATCH('Lorri 401b'!N952,'Retirement Calculator'!A:A,0),0),0)</f>
        <v>20367.195264578786</v>
      </c>
      <c r="K952" s="444">
        <f t="shared" ca="1" si="79"/>
        <v>-59581.977287486014</v>
      </c>
      <c r="L952" s="444">
        <f t="shared" ca="1" si="80"/>
        <v>-14359256.526284128</v>
      </c>
      <c r="M952" s="460">
        <f t="shared" si="82"/>
        <v>0.05</v>
      </c>
      <c r="N952" s="464">
        <f t="shared" si="83"/>
        <v>80021</v>
      </c>
    </row>
    <row r="953" spans="7:14" ht="11.25" customHeight="1" x14ac:dyDescent="0.3">
      <c r="G953" s="459">
        <f t="shared" si="98"/>
        <v>79</v>
      </c>
      <c r="H953" s="459">
        <v>946</v>
      </c>
      <c r="I953" s="444">
        <f t="shared" ca="1" si="81"/>
        <v>-14359256.526284128</v>
      </c>
      <c r="J953" s="444">
        <f t="array" ref="J953">IFERROR(INDEX('Retirement Calculator'!K:K,MATCH('Lorri 401b'!N953,'Retirement Calculator'!A:A,0),0),0)</f>
        <v>20367.195264578786</v>
      </c>
      <c r="K953" s="444">
        <f t="shared" ca="1" si="79"/>
        <v>-59915.098839786267</v>
      </c>
      <c r="L953" s="444">
        <f t="shared" ca="1" si="80"/>
        <v>-14439538.820388492</v>
      </c>
      <c r="M953" s="460">
        <f t="shared" si="82"/>
        <v>0.05</v>
      </c>
      <c r="N953" s="464">
        <f t="shared" si="83"/>
        <v>80049</v>
      </c>
    </row>
    <row r="954" spans="7:14" ht="11.25" customHeight="1" x14ac:dyDescent="0.3">
      <c r="G954" s="459">
        <f t="shared" si="98"/>
        <v>79</v>
      </c>
      <c r="H954" s="459">
        <v>947</v>
      </c>
      <c r="I954" s="444">
        <f t="shared" ca="1" si="81"/>
        <v>-14439538.820388492</v>
      </c>
      <c r="J954" s="444">
        <f t="array" ref="J954">IFERROR(INDEX('Retirement Calculator'!K:K,MATCH('Lorri 401b'!N954,'Retirement Calculator'!A:A,0),0),0)</f>
        <v>20367.195264578786</v>
      </c>
      <c r="K954" s="444">
        <f t="shared" ca="1" si="79"/>
        <v>-60249.608398554461</v>
      </c>
      <c r="L954" s="444">
        <f t="shared" ca="1" si="80"/>
        <v>-14520155.624051625</v>
      </c>
      <c r="M954" s="460">
        <f t="shared" si="82"/>
        <v>0.05</v>
      </c>
      <c r="N954" s="464">
        <f t="shared" si="83"/>
        <v>80080</v>
      </c>
    </row>
    <row r="955" spans="7:14" ht="11.25" customHeight="1" x14ac:dyDescent="0.3">
      <c r="G955" s="459">
        <f t="shared" si="98"/>
        <v>79</v>
      </c>
      <c r="H955" s="459">
        <v>948</v>
      </c>
      <c r="I955" s="444">
        <f t="shared" ca="1" si="81"/>
        <v>-14520155.624051625</v>
      </c>
      <c r="J955" s="444">
        <f t="array" ref="J955">IFERROR(INDEX('Retirement Calculator'!K:K,MATCH('Lorri 401b'!N955,'Retirement Calculator'!A:A,0),0),0)</f>
        <v>20367.195264578786</v>
      </c>
      <c r="K955" s="444">
        <f t="shared" ca="1" si="79"/>
        <v>-60585.511747150842</v>
      </c>
      <c r="L955" s="444">
        <f t="shared" ca="1" si="80"/>
        <v>-14601108.331063354</v>
      </c>
      <c r="M955" s="460">
        <f t="shared" si="82"/>
        <v>0.05</v>
      </c>
      <c r="N955" s="464">
        <f t="shared" si="83"/>
        <v>80110</v>
      </c>
    </row>
    <row r="956" spans="7:14" ht="11.25" customHeight="1" x14ac:dyDescent="0.3">
      <c r="G956" s="459">
        <f>G955+1</f>
        <v>80</v>
      </c>
      <c r="H956" s="459">
        <v>949</v>
      </c>
      <c r="I956" s="444">
        <f t="shared" ca="1" si="81"/>
        <v>-14601108.331063354</v>
      </c>
      <c r="J956" s="444">
        <f t="array" ref="J956">IFERROR(INDEX('Retirement Calculator'!K:K,MATCH('Lorri 401b'!N956,'Retirement Calculator'!A:A,0),0),0)</f>
        <v>20367.195264578786</v>
      </c>
      <c r="K956" s="444">
        <f t="shared" ca="1" si="79"/>
        <v>-60922.814693033048</v>
      </c>
      <c r="L956" s="444">
        <f t="shared" ca="1" si="80"/>
        <v>-14682398.341020966</v>
      </c>
      <c r="M956" s="460">
        <f t="shared" si="82"/>
        <v>0.05</v>
      </c>
      <c r="N956" s="464">
        <f t="shared" si="83"/>
        <v>80141</v>
      </c>
    </row>
    <row r="957" spans="7:14" ht="11.25" customHeight="1" x14ac:dyDescent="0.3">
      <c r="G957" s="459">
        <f t="shared" ref="G957:G967" si="99">G956</f>
        <v>80</v>
      </c>
      <c r="H957" s="459">
        <v>950</v>
      </c>
      <c r="I957" s="444">
        <f t="shared" ca="1" si="81"/>
        <v>-14682398.341020966</v>
      </c>
      <c r="J957" s="444">
        <f t="array" ref="J957">IFERROR(INDEX('Retirement Calculator'!K:K,MATCH('Lorri 401b'!N957,'Retirement Calculator'!A:A,0),0),0)</f>
        <v>20367.195264578786</v>
      </c>
      <c r="K957" s="444">
        <f t="shared" ca="1" si="79"/>
        <v>-61261.52306785644</v>
      </c>
      <c r="L957" s="444">
        <f t="shared" ca="1" si="80"/>
        <v>-14764027.0593534</v>
      </c>
      <c r="M957" s="460">
        <f t="shared" si="82"/>
        <v>0.05</v>
      </c>
      <c r="N957" s="464">
        <f t="shared" si="83"/>
        <v>80171</v>
      </c>
    </row>
    <row r="958" spans="7:14" ht="11.25" customHeight="1" x14ac:dyDescent="0.3">
      <c r="G958" s="459">
        <f t="shared" si="99"/>
        <v>80</v>
      </c>
      <c r="H958" s="459">
        <v>951</v>
      </c>
      <c r="I958" s="444">
        <f t="shared" ca="1" si="81"/>
        <v>-14764027.0593534</v>
      </c>
      <c r="J958" s="444">
        <f t="array" ref="J958">IFERROR(INDEX('Retirement Calculator'!K:K,MATCH('Lorri 401b'!N958,'Retirement Calculator'!A:A,0),0),0)</f>
        <v>20367.195264578786</v>
      </c>
      <c r="K958" s="444">
        <f t="shared" ca="1" si="79"/>
        <v>-61601.642727574908</v>
      </c>
      <c r="L958" s="444">
        <f t="shared" ca="1" si="80"/>
        <v>-14845995.897345552</v>
      </c>
      <c r="M958" s="460">
        <f t="shared" si="82"/>
        <v>0.05</v>
      </c>
      <c r="N958" s="464">
        <f t="shared" si="83"/>
        <v>80202</v>
      </c>
    </row>
    <row r="959" spans="7:14" ht="11.25" customHeight="1" x14ac:dyDescent="0.3">
      <c r="G959" s="459">
        <f t="shared" si="99"/>
        <v>80</v>
      </c>
      <c r="H959" s="459">
        <v>952</v>
      </c>
      <c r="I959" s="444">
        <f t="shared" ca="1" si="81"/>
        <v>-14845995.897345552</v>
      </c>
      <c r="J959" s="444">
        <f t="array" ref="J959">IFERROR(INDEX('Retirement Calculator'!K:K,MATCH('Lorri 401b'!N959,'Retirement Calculator'!A:A,0),0),0)</f>
        <v>20367.195264578786</v>
      </c>
      <c r="K959" s="444">
        <f t="shared" ca="1" si="79"/>
        <v>-61943.179552542206</v>
      </c>
      <c r="L959" s="444">
        <f t="shared" ca="1" si="80"/>
        <v>-14928306.272162672</v>
      </c>
      <c r="M959" s="460">
        <f t="shared" si="82"/>
        <v>0.05</v>
      </c>
      <c r="N959" s="464">
        <f t="shared" si="83"/>
        <v>80233</v>
      </c>
    </row>
    <row r="960" spans="7:14" ht="11.25" customHeight="1" x14ac:dyDescent="0.3">
      <c r="G960" s="459">
        <f t="shared" si="99"/>
        <v>80</v>
      </c>
      <c r="H960" s="459">
        <v>953</v>
      </c>
      <c r="I960" s="444">
        <f t="shared" ca="1" si="81"/>
        <v>-14928306.272162672</v>
      </c>
      <c r="J960" s="444">
        <f t="array" ref="J960">IFERROR(INDEX('Retirement Calculator'!K:K,MATCH('Lorri 401b'!N960,'Retirement Calculator'!A:A,0),0),0)</f>
        <v>20367.195264578786</v>
      </c>
      <c r="K960" s="444">
        <f t="shared" ca="1" si="79"/>
        <v>-62286.139447613532</v>
      </c>
      <c r="L960" s="444">
        <f t="shared" ca="1" si="80"/>
        <v>-15010959.606874863</v>
      </c>
      <c r="M960" s="460">
        <f t="shared" si="82"/>
        <v>0.05</v>
      </c>
      <c r="N960" s="464">
        <f t="shared" si="83"/>
        <v>80263</v>
      </c>
    </row>
    <row r="961" spans="7:14" ht="11.25" customHeight="1" x14ac:dyDescent="0.3">
      <c r="G961" s="459">
        <f t="shared" si="99"/>
        <v>80</v>
      </c>
      <c r="H961" s="459">
        <v>954</v>
      </c>
      <c r="I961" s="444">
        <f t="shared" ca="1" si="81"/>
        <v>-15010959.606874863</v>
      </c>
      <c r="J961" s="444">
        <f t="array" ref="J961">IFERROR(INDEX('Retirement Calculator'!K:K,MATCH('Lorri 401b'!N961,'Retirement Calculator'!A:A,0),0),0)</f>
        <v>20367.195264578786</v>
      </c>
      <c r="K961" s="444">
        <f t="shared" ca="1" si="79"/>
        <v>-62630.528342247679</v>
      </c>
      <c r="L961" s="444">
        <f t="shared" ca="1" si="80"/>
        <v>-15093957.330481688</v>
      </c>
      <c r="M961" s="460">
        <f t="shared" si="82"/>
        <v>0.05</v>
      </c>
      <c r="N961" s="464">
        <f t="shared" si="83"/>
        <v>80294</v>
      </c>
    </row>
    <row r="962" spans="7:14" ht="11.25" customHeight="1" x14ac:dyDescent="0.3">
      <c r="G962" s="459">
        <f t="shared" si="99"/>
        <v>80</v>
      </c>
      <c r="H962" s="459">
        <v>955</v>
      </c>
      <c r="I962" s="444">
        <f t="shared" ca="1" si="81"/>
        <v>-15093957.330481688</v>
      </c>
      <c r="J962" s="444">
        <f t="array" ref="J962">IFERROR(INDEX('Retirement Calculator'!K:K,MATCH('Lorri 401b'!N962,'Retirement Calculator'!A:A,0),0),0)</f>
        <v>20367.195264578786</v>
      </c>
      <c r="K962" s="444">
        <f t="shared" ca="1" si="79"/>
        <v>-62976.352190609439</v>
      </c>
      <c r="L962" s="444">
        <f t="shared" ca="1" si="80"/>
        <v>-15177300.877936875</v>
      </c>
      <c r="M962" s="460">
        <f t="shared" si="82"/>
        <v>0.05</v>
      </c>
      <c r="N962" s="464">
        <f t="shared" si="83"/>
        <v>80324</v>
      </c>
    </row>
    <row r="963" spans="7:14" ht="11.25" customHeight="1" x14ac:dyDescent="0.3">
      <c r="G963" s="459">
        <f t="shared" si="99"/>
        <v>80</v>
      </c>
      <c r="H963" s="459">
        <v>956</v>
      </c>
      <c r="I963" s="444">
        <f t="shared" ca="1" si="81"/>
        <v>-15177300.877936875</v>
      </c>
      <c r="J963" s="444">
        <f t="array" ref="J963">IFERROR(INDEX('Retirement Calculator'!K:K,MATCH('Lorri 401b'!N963,'Retirement Calculator'!A:A,0),0),0)</f>
        <v>20367.195264578786</v>
      </c>
      <c r="K963" s="444">
        <f t="shared" ca="1" si="79"/>
        <v>-63323.616971672731</v>
      </c>
      <c r="L963" s="444">
        <f t="shared" ca="1" si="80"/>
        <v>-15260991.690173127</v>
      </c>
      <c r="M963" s="460">
        <f t="shared" si="82"/>
        <v>0.05</v>
      </c>
      <c r="N963" s="464">
        <f t="shared" si="83"/>
        <v>80355</v>
      </c>
    </row>
    <row r="964" spans="7:14" ht="11.25" customHeight="1" x14ac:dyDescent="0.3">
      <c r="G964" s="459">
        <f t="shared" si="99"/>
        <v>80</v>
      </c>
      <c r="H964" s="459">
        <v>957</v>
      </c>
      <c r="I964" s="444">
        <f t="shared" ca="1" si="81"/>
        <v>-15260991.690173127</v>
      </c>
      <c r="J964" s="444">
        <f t="array" ref="J964">IFERROR(INDEX('Retirement Calculator'!K:K,MATCH('Lorri 401b'!N964,'Retirement Calculator'!A:A,0),0),0)</f>
        <v>20367.195264578786</v>
      </c>
      <c r="K964" s="444">
        <f t="shared" ca="1" si="79"/>
        <v>-63672.32868932376</v>
      </c>
      <c r="L964" s="444">
        <f t="shared" ca="1" si="80"/>
        <v>-15345031.214127028</v>
      </c>
      <c r="M964" s="460">
        <f t="shared" si="82"/>
        <v>0.05</v>
      </c>
      <c r="N964" s="464">
        <f t="shared" si="83"/>
        <v>80386</v>
      </c>
    </row>
    <row r="965" spans="7:14" ht="11.25" customHeight="1" x14ac:dyDescent="0.3">
      <c r="G965" s="459">
        <f t="shared" si="99"/>
        <v>80</v>
      </c>
      <c r="H965" s="459">
        <v>958</v>
      </c>
      <c r="I965" s="444">
        <f t="shared" ca="1" si="81"/>
        <v>-15345031.214127028</v>
      </c>
      <c r="J965" s="444">
        <f t="array" ref="J965">IFERROR(INDEX('Retirement Calculator'!K:K,MATCH('Lorri 401b'!N965,'Retirement Calculator'!A:A,0),0),0)</f>
        <v>20367.195264578786</v>
      </c>
      <c r="K965" s="444">
        <f t="shared" ca="1" si="79"/>
        <v>-64022.493372465025</v>
      </c>
      <c r="L965" s="444">
        <f t="shared" ca="1" si="80"/>
        <v>-15429420.902764071</v>
      </c>
      <c r="M965" s="460">
        <f t="shared" si="82"/>
        <v>0.05</v>
      </c>
      <c r="N965" s="464">
        <f t="shared" si="83"/>
        <v>80415</v>
      </c>
    </row>
    <row r="966" spans="7:14" ht="11.25" customHeight="1" x14ac:dyDescent="0.3">
      <c r="G966" s="459">
        <f t="shared" si="99"/>
        <v>80</v>
      </c>
      <c r="H966" s="459">
        <v>959</v>
      </c>
      <c r="I966" s="444">
        <f t="shared" ca="1" si="81"/>
        <v>-15429420.902764071</v>
      </c>
      <c r="J966" s="444">
        <f t="array" ref="J966">IFERROR(INDEX('Retirement Calculator'!K:K,MATCH('Lorri 401b'!N966,'Retirement Calculator'!A:A,0),0),0)</f>
        <v>20367.195264578786</v>
      </c>
      <c r="K966" s="444">
        <f t="shared" ca="1" si="79"/>
        <v>-64374.117075119371</v>
      </c>
      <c r="L966" s="444">
        <f t="shared" ca="1" si="80"/>
        <v>-15514162.215103768</v>
      </c>
      <c r="M966" s="460">
        <f t="shared" si="82"/>
        <v>0.05</v>
      </c>
      <c r="N966" s="464">
        <f t="shared" si="83"/>
        <v>80446</v>
      </c>
    </row>
    <row r="967" spans="7:14" ht="11.25" customHeight="1" x14ac:dyDescent="0.3">
      <c r="G967" s="459">
        <f t="shared" si="99"/>
        <v>80</v>
      </c>
      <c r="H967" s="459">
        <v>960</v>
      </c>
      <c r="I967" s="444">
        <f t="shared" ca="1" si="81"/>
        <v>-15514162.215103768</v>
      </c>
      <c r="J967" s="444">
        <f t="array" ref="J967">IFERROR(INDEX('Retirement Calculator'!K:K,MATCH('Lorri 401b'!N967,'Retirement Calculator'!A:A,0),0),0)</f>
        <v>20367.195264578786</v>
      </c>
      <c r="K967" s="444">
        <f t="shared" ca="1" si="79"/>
        <v>-64727.205876534776</v>
      </c>
      <c r="L967" s="444">
        <f t="shared" ca="1" si="80"/>
        <v>-15599256.61624488</v>
      </c>
      <c r="M967" s="460">
        <f t="shared" si="82"/>
        <v>0.05</v>
      </c>
      <c r="N967" s="464">
        <f t="shared" si="83"/>
        <v>80476</v>
      </c>
    </row>
    <row r="968" spans="7:14" ht="11.25" customHeight="1" x14ac:dyDescent="0.3">
      <c r="G968" s="459">
        <f>G967+1</f>
        <v>81</v>
      </c>
      <c r="H968" s="459">
        <v>961</v>
      </c>
      <c r="I968" s="444">
        <f t="shared" ca="1" si="81"/>
        <v>-15599256.61624488</v>
      </c>
      <c r="J968" s="444">
        <f t="array" ref="J968">IFERROR(INDEX('Retirement Calculator'!K:K,MATCH('Lorri 401b'!N968,'Retirement Calculator'!A:A,0),0),0)</f>
        <v>20367.195264578786</v>
      </c>
      <c r="K968" s="444">
        <f t="shared" ca="1" si="79"/>
        <v>-65081.765881289408</v>
      </c>
      <c r="L968" s="444">
        <f t="shared" ca="1" si="80"/>
        <v>-15684705.577390747</v>
      </c>
      <c r="M968" s="460">
        <f t="shared" si="82"/>
        <v>0.05</v>
      </c>
      <c r="N968" s="464">
        <f t="shared" si="83"/>
        <v>80507</v>
      </c>
    </row>
    <row r="969" spans="7:14" ht="11.25" customHeight="1" x14ac:dyDescent="0.3">
      <c r="G969" s="459">
        <f t="shared" ref="G969:G979" si="100">G968</f>
        <v>81</v>
      </c>
      <c r="H969" s="459">
        <v>962</v>
      </c>
      <c r="I969" s="444">
        <f t="shared" ca="1" si="81"/>
        <v>-15684705.577390747</v>
      </c>
      <c r="J969" s="444">
        <f t="array" ref="J969">IFERROR(INDEX('Retirement Calculator'!K:K,MATCH('Lorri 401b'!N969,'Retirement Calculator'!A:A,0),0),0)</f>
        <v>20367.195264578786</v>
      </c>
      <c r="K969" s="444">
        <f t="shared" ca="1" si="79"/>
        <v>-65437.803219397189</v>
      </c>
      <c r="L969" s="444">
        <f t="shared" ca="1" si="80"/>
        <v>-15770510.575874722</v>
      </c>
      <c r="M969" s="460">
        <f t="shared" si="82"/>
        <v>0.05</v>
      </c>
      <c r="N969" s="464">
        <f t="shared" si="83"/>
        <v>80537</v>
      </c>
    </row>
    <row r="970" spans="7:14" ht="11.25" customHeight="1" x14ac:dyDescent="0.3">
      <c r="G970" s="459">
        <f t="shared" si="100"/>
        <v>81</v>
      </c>
      <c r="H970" s="459">
        <v>963</v>
      </c>
      <c r="I970" s="444">
        <f t="shared" ca="1" si="81"/>
        <v>-15770510.575874722</v>
      </c>
      <c r="J970" s="444">
        <f t="array" ref="J970">IFERROR(INDEX('Retirement Calculator'!K:K,MATCH('Lorri 401b'!N970,'Retirement Calculator'!A:A,0),0),0)</f>
        <v>20367.195264578786</v>
      </c>
      <c r="K970" s="444">
        <f t="shared" ca="1" si="79"/>
        <v>-65795.324046413749</v>
      </c>
      <c r="L970" s="444">
        <f t="shared" ca="1" si="80"/>
        <v>-15856673.095185714</v>
      </c>
      <c r="M970" s="460">
        <f t="shared" si="82"/>
        <v>0.05</v>
      </c>
      <c r="N970" s="464">
        <f t="shared" si="83"/>
        <v>80568</v>
      </c>
    </row>
    <row r="971" spans="7:14" ht="11.25" customHeight="1" x14ac:dyDescent="0.3">
      <c r="G971" s="459">
        <f t="shared" si="100"/>
        <v>81</v>
      </c>
      <c r="H971" s="459">
        <v>964</v>
      </c>
      <c r="I971" s="444">
        <f t="shared" ca="1" si="81"/>
        <v>-15856673.095185714</v>
      </c>
      <c r="J971" s="444">
        <f t="array" ref="J971">IFERROR(INDEX('Retirement Calculator'!K:K,MATCH('Lorri 401b'!N971,'Retirement Calculator'!A:A,0),0),0)</f>
        <v>20367.195264578786</v>
      </c>
      <c r="K971" s="444">
        <f t="shared" ca="1" si="79"/>
        <v>-66154.334543542878</v>
      </c>
      <c r="L971" s="444">
        <f t="shared" ca="1" si="80"/>
        <v>-15943194.624993835</v>
      </c>
      <c r="M971" s="460">
        <f t="shared" si="82"/>
        <v>0.05</v>
      </c>
      <c r="N971" s="464">
        <f t="shared" si="83"/>
        <v>80599</v>
      </c>
    </row>
    <row r="972" spans="7:14" ht="11.25" customHeight="1" x14ac:dyDescent="0.3">
      <c r="G972" s="459">
        <f t="shared" si="100"/>
        <v>81</v>
      </c>
      <c r="H972" s="459">
        <v>965</v>
      </c>
      <c r="I972" s="444">
        <f t="shared" ca="1" si="81"/>
        <v>-15943194.624993835</v>
      </c>
      <c r="J972" s="444">
        <f t="array" ref="J972">IFERROR(INDEX('Retirement Calculator'!K:K,MATCH('Lorri 401b'!N972,'Retirement Calculator'!A:A,0),0),0)</f>
        <v>20367.195264578786</v>
      </c>
      <c r="K972" s="444">
        <f t="shared" ca="1" si="79"/>
        <v>-66514.840917743393</v>
      </c>
      <c r="L972" s="444">
        <f t="shared" ca="1" si="80"/>
        <v>-16030076.661176156</v>
      </c>
      <c r="M972" s="460">
        <f t="shared" si="82"/>
        <v>0.05</v>
      </c>
      <c r="N972" s="464">
        <f t="shared" si="83"/>
        <v>80629</v>
      </c>
    </row>
    <row r="973" spans="7:14" ht="11.25" customHeight="1" x14ac:dyDescent="0.3">
      <c r="G973" s="459">
        <f t="shared" si="100"/>
        <v>81</v>
      </c>
      <c r="H973" s="459">
        <v>966</v>
      </c>
      <c r="I973" s="444">
        <f t="shared" ca="1" si="81"/>
        <v>-16030076.661176156</v>
      </c>
      <c r="J973" s="444">
        <f t="array" ref="J973">IFERROR(INDEX('Retirement Calculator'!K:K,MATCH('Lorri 401b'!N973,'Retirement Calculator'!A:A,0),0),0)</f>
        <v>20367.195264578786</v>
      </c>
      <c r="K973" s="444">
        <f t="shared" ca="1" si="79"/>
        <v>-66876.849401836385</v>
      </c>
      <c r="L973" s="444">
        <f t="shared" ca="1" si="80"/>
        <v>-16117320.705842571</v>
      </c>
      <c r="M973" s="460">
        <f t="shared" si="82"/>
        <v>0.05</v>
      </c>
      <c r="N973" s="464">
        <f t="shared" si="83"/>
        <v>80660</v>
      </c>
    </row>
    <row r="974" spans="7:14" ht="11.25" customHeight="1" x14ac:dyDescent="0.3">
      <c r="G974" s="459">
        <f t="shared" si="100"/>
        <v>81</v>
      </c>
      <c r="H974" s="459">
        <v>967</v>
      </c>
      <c r="I974" s="444">
        <f t="shared" ca="1" si="81"/>
        <v>-16117320.705842571</v>
      </c>
      <c r="J974" s="444">
        <f t="array" ref="J974">IFERROR(INDEX('Retirement Calculator'!K:K,MATCH('Lorri 401b'!N974,'Retirement Calculator'!A:A,0),0),0)</f>
        <v>20367.195264578786</v>
      </c>
      <c r="K974" s="444">
        <f t="shared" ca="1" si="79"/>
        <v>-67240.366254613124</v>
      </c>
      <c r="L974" s="444">
        <f t="shared" ca="1" si="80"/>
        <v>-16204928.267361762</v>
      </c>
      <c r="M974" s="460">
        <f t="shared" si="82"/>
        <v>0.05</v>
      </c>
      <c r="N974" s="464">
        <f t="shared" si="83"/>
        <v>80690</v>
      </c>
    </row>
    <row r="975" spans="7:14" ht="11.25" customHeight="1" x14ac:dyDescent="0.3">
      <c r="G975" s="459">
        <f t="shared" si="100"/>
        <v>81</v>
      </c>
      <c r="H975" s="459">
        <v>968</v>
      </c>
      <c r="I975" s="444">
        <f t="shared" ca="1" si="81"/>
        <v>-16204928.267361762</v>
      </c>
      <c r="J975" s="444">
        <f t="array" ref="J975">IFERROR(INDEX('Retirement Calculator'!K:K,MATCH('Lorri 401b'!N975,'Retirement Calculator'!A:A,0),0),0)</f>
        <v>20367.195264578786</v>
      </c>
      <c r="K975" s="444">
        <f t="shared" ca="1" si="79"/>
        <v>-67605.397760943088</v>
      </c>
      <c r="L975" s="444">
        <f t="shared" ca="1" si="80"/>
        <v>-16292900.860387282</v>
      </c>
      <c r="M975" s="460">
        <f t="shared" si="82"/>
        <v>0.05</v>
      </c>
      <c r="N975" s="464">
        <f t="shared" si="83"/>
        <v>80721</v>
      </c>
    </row>
    <row r="976" spans="7:14" ht="11.25" customHeight="1" x14ac:dyDescent="0.3">
      <c r="G976" s="459">
        <f t="shared" si="100"/>
        <v>81</v>
      </c>
      <c r="H976" s="459">
        <v>969</v>
      </c>
      <c r="I976" s="444">
        <f t="shared" ca="1" si="81"/>
        <v>-16292900.860387282</v>
      </c>
      <c r="J976" s="444">
        <f t="array" ref="J976">IFERROR(INDEX('Retirement Calculator'!K:K,MATCH('Lorri 401b'!N976,'Retirement Calculator'!A:A,0),0),0)</f>
        <v>20367.195264578786</v>
      </c>
      <c r="K976" s="444">
        <f t="shared" ca="1" si="79"/>
        <v>-67971.950231882758</v>
      </c>
      <c r="L976" s="444">
        <f t="shared" ca="1" si="80"/>
        <v>-16381240.005883744</v>
      </c>
      <c r="M976" s="460">
        <f t="shared" si="82"/>
        <v>0.05</v>
      </c>
      <c r="N976" s="464">
        <f t="shared" si="83"/>
        <v>80752</v>
      </c>
    </row>
    <row r="977" spans="7:14" ht="11.25" customHeight="1" x14ac:dyDescent="0.3">
      <c r="G977" s="459">
        <f t="shared" si="100"/>
        <v>81</v>
      </c>
      <c r="H977" s="459">
        <v>970</v>
      </c>
      <c r="I977" s="444">
        <f t="shared" ca="1" si="81"/>
        <v>-16381240.005883744</v>
      </c>
      <c r="J977" s="444">
        <f t="array" ref="J977">IFERROR(INDEX('Retirement Calculator'!K:K,MATCH('Lorri 401b'!N977,'Retirement Calculator'!A:A,0),0),0)</f>
        <v>20367.195264578786</v>
      </c>
      <c r="K977" s="444">
        <f t="shared" ca="1" si="79"/>
        <v>-68340.030004784669</v>
      </c>
      <c r="L977" s="444">
        <f t="shared" ca="1" si="80"/>
        <v>-16469947.231153106</v>
      </c>
      <c r="M977" s="460">
        <f t="shared" si="82"/>
        <v>0.05</v>
      </c>
      <c r="N977" s="464">
        <f t="shared" si="83"/>
        <v>80780</v>
      </c>
    </row>
    <row r="978" spans="7:14" ht="11.25" customHeight="1" x14ac:dyDescent="0.3">
      <c r="G978" s="459">
        <f t="shared" si="100"/>
        <v>81</v>
      </c>
      <c r="H978" s="459">
        <v>971</v>
      </c>
      <c r="I978" s="444">
        <f t="shared" ca="1" si="81"/>
        <v>-16469947.231153106</v>
      </c>
      <c r="J978" s="444">
        <f t="array" ref="J978">IFERROR(INDEX('Retirement Calculator'!K:K,MATCH('Lorri 401b'!N978,'Retirement Calculator'!A:A,0),0),0)</f>
        <v>20367.195264578786</v>
      </c>
      <c r="K978" s="444">
        <f t="shared" ca="1" si="79"/>
        <v>-68709.643443407011</v>
      </c>
      <c r="L978" s="444">
        <f t="shared" ca="1" si="80"/>
        <v>-16559024.069861092</v>
      </c>
      <c r="M978" s="460">
        <f t="shared" si="82"/>
        <v>0.05</v>
      </c>
      <c r="N978" s="464">
        <f t="shared" si="83"/>
        <v>80811</v>
      </c>
    </row>
    <row r="979" spans="7:14" ht="11.25" customHeight="1" x14ac:dyDescent="0.3">
      <c r="G979" s="459">
        <f t="shared" si="100"/>
        <v>81</v>
      </c>
      <c r="H979" s="459">
        <v>972</v>
      </c>
      <c r="I979" s="444">
        <f t="shared" ca="1" si="81"/>
        <v>-16559024.069861092</v>
      </c>
      <c r="J979" s="444">
        <f t="array" ref="J979">IFERROR(INDEX('Retirement Calculator'!K:K,MATCH('Lorri 401b'!N979,'Retirement Calculator'!A:A,0),0),0)</f>
        <v>20367.195264578786</v>
      </c>
      <c r="K979" s="444">
        <f t="shared" ca="1" si="79"/>
        <v>-69080.796938023617</v>
      </c>
      <c r="L979" s="444">
        <f t="shared" ca="1" si="80"/>
        <v>-16648472.062063694</v>
      </c>
      <c r="M979" s="460">
        <f t="shared" si="82"/>
        <v>0.05</v>
      </c>
      <c r="N979" s="464">
        <f t="shared" si="83"/>
        <v>80841</v>
      </c>
    </row>
    <row r="980" spans="7:14" ht="11.25" customHeight="1" x14ac:dyDescent="0.3">
      <c r="G980" s="459">
        <f>G979+1</f>
        <v>82</v>
      </c>
      <c r="H980" s="459">
        <v>973</v>
      </c>
      <c r="I980" s="444">
        <f t="shared" ca="1" si="81"/>
        <v>-16648472.062063694</v>
      </c>
      <c r="J980" s="444">
        <f t="array" ref="J980">IFERROR(INDEX('Retirement Calculator'!K:K,MATCH('Lorri 401b'!N980,'Retirement Calculator'!A:A,0),0),0)</f>
        <v>20367.195264578786</v>
      </c>
      <c r="K980" s="444">
        <f t="shared" ca="1" si="79"/>
        <v>-69453.49690553447</v>
      </c>
      <c r="L980" s="444">
        <f t="shared" ca="1" si="80"/>
        <v>-16738292.754233805</v>
      </c>
      <c r="M980" s="460">
        <f t="shared" si="82"/>
        <v>0.05</v>
      </c>
      <c r="N980" s="464">
        <f t="shared" si="83"/>
        <v>80872</v>
      </c>
    </row>
    <row r="981" spans="7:14" ht="11.25" customHeight="1" x14ac:dyDescent="0.3">
      <c r="G981" s="459">
        <f t="shared" ref="G981:G991" si="101">G980</f>
        <v>82</v>
      </c>
      <c r="H981" s="459">
        <v>974</v>
      </c>
      <c r="I981" s="444">
        <f t="shared" ca="1" si="81"/>
        <v>-16738292.754233805</v>
      </c>
      <c r="J981" s="444">
        <f t="array" ref="J981">IFERROR(INDEX('Retirement Calculator'!K:K,MATCH('Lorri 401b'!N981,'Retirement Calculator'!A:A,0),0),0)</f>
        <v>20367.195264578786</v>
      </c>
      <c r="K981" s="444">
        <f t="shared" ca="1" si="79"/>
        <v>-69827.749789576599</v>
      </c>
      <c r="L981" s="444">
        <f t="shared" ca="1" si="80"/>
        <v>-16828487.699287958</v>
      </c>
      <c r="M981" s="460">
        <f t="shared" si="82"/>
        <v>0.05</v>
      </c>
      <c r="N981" s="464">
        <f t="shared" si="83"/>
        <v>80902</v>
      </c>
    </row>
    <row r="982" spans="7:14" ht="11.25" customHeight="1" x14ac:dyDescent="0.3">
      <c r="G982" s="459">
        <f t="shared" si="101"/>
        <v>82</v>
      </c>
      <c r="H982" s="459">
        <v>975</v>
      </c>
      <c r="I982" s="444">
        <f t="shared" ca="1" si="81"/>
        <v>-16828487.699287958</v>
      </c>
      <c r="J982" s="444">
        <f t="array" ref="J982">IFERROR(INDEX('Retirement Calculator'!K:K,MATCH('Lorri 401b'!N982,'Retirement Calculator'!A:A,0),0),0)</f>
        <v>20367.195264578786</v>
      </c>
      <c r="K982" s="444">
        <f t="shared" ca="1" si="79"/>
        <v>-70203.562060635566</v>
      </c>
      <c r="L982" s="444">
        <f t="shared" ca="1" si="80"/>
        <v>-16919058.456613172</v>
      </c>
      <c r="M982" s="460">
        <f t="shared" si="82"/>
        <v>0.05</v>
      </c>
      <c r="N982" s="464">
        <f t="shared" si="83"/>
        <v>80933</v>
      </c>
    </row>
    <row r="983" spans="7:14" ht="11.25" customHeight="1" x14ac:dyDescent="0.3">
      <c r="G983" s="459">
        <f t="shared" si="101"/>
        <v>82</v>
      </c>
      <c r="H983" s="459">
        <v>976</v>
      </c>
      <c r="I983" s="444">
        <f t="shared" ca="1" si="81"/>
        <v>-16919058.456613172</v>
      </c>
      <c r="J983" s="444">
        <f t="array" ref="J983">IFERROR(INDEX('Retirement Calculator'!K:K,MATCH('Lorri 401b'!N983,'Retirement Calculator'!A:A,0),0),0)</f>
        <v>20367.195264578786</v>
      </c>
      <c r="K983" s="444">
        <f t="shared" ca="1" si="79"/>
        <v>-70580.940216157294</v>
      </c>
      <c r="L983" s="444">
        <f t="shared" ca="1" si="80"/>
        <v>-17010006.592093907</v>
      </c>
      <c r="M983" s="460">
        <f t="shared" si="82"/>
        <v>0.05</v>
      </c>
      <c r="N983" s="464">
        <f t="shared" si="83"/>
        <v>80964</v>
      </c>
    </row>
    <row r="984" spans="7:14" ht="11.25" customHeight="1" x14ac:dyDescent="0.3">
      <c r="G984" s="459">
        <f t="shared" si="101"/>
        <v>82</v>
      </c>
      <c r="H984" s="459">
        <v>977</v>
      </c>
      <c r="I984" s="444">
        <f t="shared" ca="1" si="81"/>
        <v>-17010006.592093907</v>
      </c>
      <c r="J984" s="444">
        <f t="array" ref="J984">IFERROR(INDEX('Retirement Calculator'!K:K,MATCH('Lorri 401b'!N984,'Retirement Calculator'!A:A,0),0),0)</f>
        <v>20367.195264578786</v>
      </c>
      <c r="K984" s="444">
        <f t="shared" ca="1" si="79"/>
        <v>-70959.890780660353</v>
      </c>
      <c r="L984" s="444">
        <f t="shared" ca="1" si="80"/>
        <v>-17101333.678139146</v>
      </c>
      <c r="M984" s="460">
        <f t="shared" si="82"/>
        <v>0.05</v>
      </c>
      <c r="N984" s="464">
        <f t="shared" si="83"/>
        <v>80994</v>
      </c>
    </row>
    <row r="985" spans="7:14" ht="11.25" customHeight="1" x14ac:dyDescent="0.3">
      <c r="G985" s="459">
        <f t="shared" si="101"/>
        <v>82</v>
      </c>
      <c r="H985" s="459">
        <v>978</v>
      </c>
      <c r="I985" s="444">
        <f t="shared" ca="1" si="81"/>
        <v>-17101333.678139146</v>
      </c>
      <c r="J985" s="444">
        <f t="array" ref="J985">IFERROR(INDEX('Retirement Calculator'!K:K,MATCH('Lorri 401b'!N985,'Retirement Calculator'!A:A,0),0),0)</f>
        <v>20367.195264578786</v>
      </c>
      <c r="K985" s="444">
        <f t="shared" ca="1" si="79"/>
        <v>-71340.420305848849</v>
      </c>
      <c r="L985" s="444">
        <f t="shared" ca="1" si="80"/>
        <v>-17193041.293709572</v>
      </c>
      <c r="M985" s="460">
        <f t="shared" si="82"/>
        <v>0.05</v>
      </c>
      <c r="N985" s="464">
        <f t="shared" si="83"/>
        <v>81025</v>
      </c>
    </row>
    <row r="986" spans="7:14" ht="11.25" customHeight="1" x14ac:dyDescent="0.3">
      <c r="G986" s="459">
        <f t="shared" si="101"/>
        <v>82</v>
      </c>
      <c r="H986" s="459">
        <v>979</v>
      </c>
      <c r="I986" s="444">
        <f t="shared" ca="1" si="81"/>
        <v>-17193041.293709572</v>
      </c>
      <c r="J986" s="444">
        <f t="array" ref="J986">IFERROR(INDEX('Retirement Calculator'!K:K,MATCH('Lorri 401b'!N986,'Retirement Calculator'!A:A,0),0),0)</f>
        <v>20367.195264578786</v>
      </c>
      <c r="K986" s="444">
        <f t="shared" ca="1" si="79"/>
        <v>-71722.535370725629</v>
      </c>
      <c r="L986" s="444">
        <f t="shared" ca="1" si="80"/>
        <v>-17285131.024344876</v>
      </c>
      <c r="M986" s="460">
        <f t="shared" si="82"/>
        <v>0.05</v>
      </c>
      <c r="N986" s="464">
        <f t="shared" si="83"/>
        <v>81055</v>
      </c>
    </row>
    <row r="987" spans="7:14" ht="11.25" customHeight="1" x14ac:dyDescent="0.3">
      <c r="G987" s="459">
        <f t="shared" si="101"/>
        <v>82</v>
      </c>
      <c r="H987" s="459">
        <v>980</v>
      </c>
      <c r="I987" s="444">
        <f t="shared" ca="1" si="81"/>
        <v>-17285131.024344876</v>
      </c>
      <c r="J987" s="444">
        <f t="array" ref="J987">IFERROR(INDEX('Retirement Calculator'!K:K,MATCH('Lorri 401b'!N987,'Retirement Calculator'!A:A,0),0),0)</f>
        <v>20367.195264578786</v>
      </c>
      <c r="K987" s="444">
        <f t="shared" ca="1" si="79"/>
        <v>-72106.242581706058</v>
      </c>
      <c r="L987" s="444">
        <f t="shared" ca="1" si="80"/>
        <v>-17377604.462191161</v>
      </c>
      <c r="M987" s="460">
        <f t="shared" si="82"/>
        <v>0.05</v>
      </c>
      <c r="N987" s="464">
        <f t="shared" si="83"/>
        <v>81086</v>
      </c>
    </row>
    <row r="988" spans="7:14" ht="11.25" customHeight="1" x14ac:dyDescent="0.3">
      <c r="G988" s="459">
        <f t="shared" si="101"/>
        <v>82</v>
      </c>
      <c r="H988" s="459">
        <v>981</v>
      </c>
      <c r="I988" s="444">
        <f t="shared" ca="1" si="81"/>
        <v>-17377604.462191161</v>
      </c>
      <c r="J988" s="444">
        <f t="array" ref="J988">IFERROR(INDEX('Retirement Calculator'!K:K,MATCH('Lorri 401b'!N988,'Retirement Calculator'!A:A,0),0),0)</f>
        <v>20367.195264578786</v>
      </c>
      <c r="K988" s="444">
        <f t="shared" ca="1" si="79"/>
        <v>-72491.548572732238</v>
      </c>
      <c r="L988" s="444">
        <f t="shared" ca="1" si="80"/>
        <v>-17470463.206028473</v>
      </c>
      <c r="M988" s="460">
        <f t="shared" si="82"/>
        <v>0.05</v>
      </c>
      <c r="N988" s="464">
        <f t="shared" si="83"/>
        <v>81117</v>
      </c>
    </row>
    <row r="989" spans="7:14" ht="11.25" customHeight="1" x14ac:dyDescent="0.3">
      <c r="G989" s="459">
        <f t="shared" si="101"/>
        <v>82</v>
      </c>
      <c r="H989" s="459">
        <v>982</v>
      </c>
      <c r="I989" s="444">
        <f t="shared" ca="1" si="81"/>
        <v>-17470463.206028473</v>
      </c>
      <c r="J989" s="444">
        <f t="array" ref="J989">IFERROR(INDEX('Retirement Calculator'!K:K,MATCH('Lorri 401b'!N989,'Retirement Calculator'!A:A,0),0),0)</f>
        <v>20367.195264578786</v>
      </c>
      <c r="K989" s="444">
        <f t="shared" ca="1" si="79"/>
        <v>-72878.460005387707</v>
      </c>
      <c r="L989" s="444">
        <f t="shared" ca="1" si="80"/>
        <v>-17563708.861298438</v>
      </c>
      <c r="M989" s="460">
        <f t="shared" si="82"/>
        <v>0.05</v>
      </c>
      <c r="N989" s="464">
        <f t="shared" si="83"/>
        <v>81145</v>
      </c>
    </row>
    <row r="990" spans="7:14" ht="11.25" customHeight="1" x14ac:dyDescent="0.3">
      <c r="G990" s="459">
        <f t="shared" si="101"/>
        <v>82</v>
      </c>
      <c r="H990" s="459">
        <v>983</v>
      </c>
      <c r="I990" s="444">
        <f t="shared" ca="1" si="81"/>
        <v>-17563708.861298438</v>
      </c>
      <c r="J990" s="444">
        <f t="array" ref="J990">IFERROR(INDEX('Retirement Calculator'!K:K,MATCH('Lorri 401b'!N990,'Retirement Calculator'!A:A,0),0),0)</f>
        <v>20367.195264578786</v>
      </c>
      <c r="K990" s="444">
        <f t="shared" ca="1" si="79"/>
        <v>-73266.983569012562</v>
      </c>
      <c r="L990" s="444">
        <f t="shared" ca="1" si="80"/>
        <v>-17657343.040132027</v>
      </c>
      <c r="M990" s="460">
        <f t="shared" si="82"/>
        <v>0.05</v>
      </c>
      <c r="N990" s="464">
        <f t="shared" si="83"/>
        <v>81176</v>
      </c>
    </row>
    <row r="991" spans="7:14" ht="11.25" customHeight="1" x14ac:dyDescent="0.3">
      <c r="G991" s="459">
        <f t="shared" si="101"/>
        <v>82</v>
      </c>
      <c r="H991" s="459">
        <v>984</v>
      </c>
      <c r="I991" s="444">
        <f t="shared" ca="1" si="81"/>
        <v>-17657343.040132027</v>
      </c>
      <c r="J991" s="444">
        <f t="array" ref="J991">IFERROR(INDEX('Retirement Calculator'!K:K,MATCH('Lorri 401b'!N991,'Retirement Calculator'!A:A,0),0),0)</f>
        <v>20367.195264578786</v>
      </c>
      <c r="K991" s="444">
        <f t="shared" ca="1" si="79"/>
        <v>-73657.125980819183</v>
      </c>
      <c r="L991" s="444">
        <f t="shared" ca="1" si="80"/>
        <v>-17751367.361377425</v>
      </c>
      <c r="M991" s="460">
        <f t="shared" si="82"/>
        <v>0.05</v>
      </c>
      <c r="N991" s="464">
        <f t="shared" si="83"/>
        <v>81206</v>
      </c>
    </row>
    <row r="992" spans="7:14" ht="11.25" customHeight="1" x14ac:dyDescent="0.3">
      <c r="G992" s="459">
        <f>G991+1</f>
        <v>83</v>
      </c>
      <c r="H992" s="459">
        <v>985</v>
      </c>
      <c r="I992" s="444">
        <f t="shared" ca="1" si="81"/>
        <v>-17751367.361377425</v>
      </c>
      <c r="J992" s="444">
        <f t="array" ref="J992">IFERROR(INDEX('Retirement Calculator'!K:K,MATCH('Lorri 401b'!N992,'Retirement Calculator'!A:A,0),0),0)</f>
        <v>20367.195264578786</v>
      </c>
      <c r="K992" s="444">
        <f t="shared" ca="1" si="79"/>
        <v>-74048.893986008348</v>
      </c>
      <c r="L992" s="444">
        <f t="shared" ca="1" si="80"/>
        <v>-17845783.450628012</v>
      </c>
      <c r="M992" s="460">
        <f t="shared" si="82"/>
        <v>0.05</v>
      </c>
      <c r="N992" s="464">
        <f t="shared" si="83"/>
        <v>81237</v>
      </c>
    </row>
    <row r="993" spans="7:14" ht="11.25" customHeight="1" x14ac:dyDescent="0.3">
      <c r="G993" s="459">
        <f t="shared" ref="G993:G1003" si="102">G992</f>
        <v>83</v>
      </c>
      <c r="H993" s="459">
        <v>986</v>
      </c>
      <c r="I993" s="444">
        <f t="shared" ca="1" si="81"/>
        <v>-17845783.450628012</v>
      </c>
      <c r="J993" s="444">
        <f t="array" ref="J993">IFERROR(INDEX('Retirement Calculator'!K:K,MATCH('Lorri 401b'!N993,'Retirement Calculator'!A:A,0),0),0)</f>
        <v>20367.195264578786</v>
      </c>
      <c r="K993" s="444">
        <f t="shared" ca="1" si="79"/>
        <v>-74442.294357885796</v>
      </c>
      <c r="L993" s="444">
        <f t="shared" ca="1" si="80"/>
        <v>-17940592.940250475</v>
      </c>
      <c r="M993" s="460">
        <f t="shared" si="82"/>
        <v>0.05</v>
      </c>
      <c r="N993" s="464">
        <f t="shared" si="83"/>
        <v>81267</v>
      </c>
    </row>
    <row r="994" spans="7:14" ht="11.25" customHeight="1" x14ac:dyDescent="0.3">
      <c r="G994" s="459">
        <f t="shared" si="102"/>
        <v>83</v>
      </c>
      <c r="H994" s="459">
        <v>987</v>
      </c>
      <c r="I994" s="444">
        <f t="shared" ca="1" si="81"/>
        <v>-17940592.940250475</v>
      </c>
      <c r="J994" s="444">
        <f t="array" ref="J994">IFERROR(INDEX('Retirement Calculator'!K:K,MATCH('Lorri 401b'!N994,'Retirement Calculator'!A:A,0),0),0)</f>
        <v>20367.195264578786</v>
      </c>
      <c r="K994" s="444">
        <f t="shared" ca="1" si="79"/>
        <v>-74837.333897979392</v>
      </c>
      <c r="L994" s="444">
        <f t="shared" ca="1" si="80"/>
        <v>-18035797.469413031</v>
      </c>
      <c r="M994" s="460">
        <f t="shared" si="82"/>
        <v>0.05</v>
      </c>
      <c r="N994" s="464">
        <f t="shared" si="83"/>
        <v>81298</v>
      </c>
    </row>
    <row r="995" spans="7:14" ht="11.25" customHeight="1" x14ac:dyDescent="0.3">
      <c r="G995" s="459">
        <f t="shared" si="102"/>
        <v>83</v>
      </c>
      <c r="H995" s="459">
        <v>988</v>
      </c>
      <c r="I995" s="444">
        <f t="shared" ca="1" si="81"/>
        <v>-18035797.469413031</v>
      </c>
      <c r="J995" s="444">
        <f t="array" ref="J995">IFERROR(INDEX('Retirement Calculator'!K:K,MATCH('Lorri 401b'!N995,'Retirement Calculator'!A:A,0),0),0)</f>
        <v>20367.195264578786</v>
      </c>
      <c r="K995" s="444">
        <f t="shared" ca="1" si="79"/>
        <v>-75234.019436156697</v>
      </c>
      <c r="L995" s="444">
        <f t="shared" ca="1" si="80"/>
        <v>-18131398.684113767</v>
      </c>
      <c r="M995" s="460">
        <f t="shared" si="82"/>
        <v>0.05</v>
      </c>
      <c r="N995" s="464">
        <f t="shared" si="83"/>
        <v>81329</v>
      </c>
    </row>
    <row r="996" spans="7:14" ht="11.25" customHeight="1" x14ac:dyDescent="0.3">
      <c r="G996" s="459">
        <f t="shared" si="102"/>
        <v>83</v>
      </c>
      <c r="H996" s="459">
        <v>989</v>
      </c>
      <c r="I996" s="444">
        <f t="shared" ca="1" si="81"/>
        <v>-18131398.684113767</v>
      </c>
      <c r="J996" s="444">
        <f t="array" ref="J996">IFERROR(INDEX('Retirement Calculator'!K:K,MATCH('Lorri 401b'!N996,'Retirement Calculator'!A:A,0),0),0)</f>
        <v>20367.195264578786</v>
      </c>
      <c r="K996" s="444">
        <f t="shared" ca="1" si="79"/>
        <v>-75632.357830743102</v>
      </c>
      <c r="L996" s="444">
        <f t="shared" ca="1" si="80"/>
        <v>-18227398.237209089</v>
      </c>
      <c r="M996" s="460">
        <f t="shared" si="82"/>
        <v>0.05</v>
      </c>
      <c r="N996" s="464">
        <f t="shared" si="83"/>
        <v>81359</v>
      </c>
    </row>
    <row r="997" spans="7:14" ht="11.25" customHeight="1" x14ac:dyDescent="0.3">
      <c r="G997" s="459">
        <f t="shared" si="102"/>
        <v>83</v>
      </c>
      <c r="H997" s="459">
        <v>990</v>
      </c>
      <c r="I997" s="444">
        <f t="shared" ca="1" si="81"/>
        <v>-18227398.237209089</v>
      </c>
      <c r="J997" s="444">
        <f t="array" ref="J997">IFERROR(INDEX('Retirement Calculator'!K:K,MATCH('Lorri 401b'!N997,'Retirement Calculator'!A:A,0),0),0)</f>
        <v>20367.195264578786</v>
      </c>
      <c r="K997" s="444">
        <f t="shared" ca="1" si="79"/>
        <v>-76032.355968640273</v>
      </c>
      <c r="L997" s="444">
        <f t="shared" ca="1" si="80"/>
        <v>-18323797.788442306</v>
      </c>
      <c r="M997" s="460">
        <f t="shared" si="82"/>
        <v>0.05</v>
      </c>
      <c r="N997" s="464">
        <f t="shared" si="83"/>
        <v>81390</v>
      </c>
    </row>
    <row r="998" spans="7:14" ht="11.25" customHeight="1" x14ac:dyDescent="0.3">
      <c r="G998" s="459">
        <f t="shared" si="102"/>
        <v>83</v>
      </c>
      <c r="H998" s="459">
        <v>991</v>
      </c>
      <c r="I998" s="444">
        <f t="shared" ca="1" si="81"/>
        <v>-18323797.788442306</v>
      </c>
      <c r="J998" s="444">
        <f t="array" ref="J998">IFERROR(INDEX('Retirement Calculator'!K:K,MATCH('Lorri 401b'!N998,'Retirement Calculator'!A:A,0),0),0)</f>
        <v>20367.195264578786</v>
      </c>
      <c r="K998" s="444">
        <f t="shared" ca="1" si="79"/>
        <v>-76434.020765445355</v>
      </c>
      <c r="L998" s="444">
        <f t="shared" ca="1" si="80"/>
        <v>-18420599.00447233</v>
      </c>
      <c r="M998" s="460">
        <f t="shared" si="82"/>
        <v>0.05</v>
      </c>
      <c r="N998" s="464">
        <f t="shared" si="83"/>
        <v>81420</v>
      </c>
    </row>
    <row r="999" spans="7:14" ht="11.25" customHeight="1" x14ac:dyDescent="0.3">
      <c r="G999" s="459">
        <f t="shared" si="102"/>
        <v>83</v>
      </c>
      <c r="H999" s="459">
        <v>992</v>
      </c>
      <c r="I999" s="444">
        <f t="shared" ca="1" si="81"/>
        <v>-18420599.00447233</v>
      </c>
      <c r="J999" s="444">
        <f t="array" ref="J999">IFERROR(INDEX('Retirement Calculator'!K:K,MATCH('Lorri 401b'!N999,'Retirement Calculator'!A:A,0),0),0)</f>
        <v>20367.195264578786</v>
      </c>
      <c r="K999" s="444">
        <f t="shared" ca="1" si="79"/>
        <v>-76837.359165570451</v>
      </c>
      <c r="L999" s="444">
        <f t="shared" ca="1" si="80"/>
        <v>-18517803.55890248</v>
      </c>
      <c r="M999" s="460">
        <f t="shared" si="82"/>
        <v>0.05</v>
      </c>
      <c r="N999" s="464">
        <f t="shared" si="83"/>
        <v>81451</v>
      </c>
    </row>
    <row r="1000" spans="7:14" ht="11.25" customHeight="1" x14ac:dyDescent="0.3">
      <c r="G1000" s="459">
        <f t="shared" si="102"/>
        <v>83</v>
      </c>
      <c r="H1000" s="459">
        <v>993</v>
      </c>
      <c r="I1000" s="444">
        <f t="shared" ca="1" si="81"/>
        <v>-18517803.55890248</v>
      </c>
      <c r="J1000" s="444">
        <f t="array" ref="J1000">IFERROR(INDEX('Retirement Calculator'!K:K,MATCH('Lorri 401b'!N1000,'Retirement Calculator'!A:A,0),0),0)</f>
        <v>20367.195264578786</v>
      </c>
      <c r="K1000" s="444">
        <f t="shared" ca="1" si="79"/>
        <v>-77242.378142362737</v>
      </c>
      <c r="L1000" s="444">
        <f t="shared" ca="1" si="80"/>
        <v>-18615413.132309422</v>
      </c>
      <c r="M1000" s="460">
        <f t="shared" si="82"/>
        <v>0.05</v>
      </c>
      <c r="N1000" s="464">
        <f t="shared" si="83"/>
        <v>81482</v>
      </c>
    </row>
    <row r="1001" spans="7:14" ht="11.25" customHeight="1" x14ac:dyDescent="0.3">
      <c r="G1001" s="459">
        <f t="shared" si="102"/>
        <v>83</v>
      </c>
      <c r="H1001" s="459">
        <v>994</v>
      </c>
      <c r="I1001" s="444">
        <f t="shared" ca="1" si="81"/>
        <v>-18615413.132309422</v>
      </c>
      <c r="J1001" s="444">
        <f t="array" ref="J1001">IFERROR(INDEX('Retirement Calculator'!K:K,MATCH('Lorri 401b'!N1001,'Retirement Calculator'!A:A,0),0),0)</f>
        <v>20367.195264578786</v>
      </c>
      <c r="K1001" s="444">
        <f t="shared" ca="1" si="79"/>
        <v>-77649.084698224993</v>
      </c>
      <c r="L1001" s="444">
        <f t="shared" ca="1" si="80"/>
        <v>-18713429.412272226</v>
      </c>
      <c r="M1001" s="460">
        <f t="shared" si="82"/>
        <v>0.05</v>
      </c>
      <c r="N1001" s="464">
        <f t="shared" si="83"/>
        <v>81510</v>
      </c>
    </row>
    <row r="1002" spans="7:14" ht="11.25" customHeight="1" x14ac:dyDescent="0.3">
      <c r="G1002" s="459">
        <f t="shared" si="102"/>
        <v>83</v>
      </c>
      <c r="H1002" s="459">
        <v>995</v>
      </c>
      <c r="I1002" s="444">
        <f t="shared" ca="1" si="81"/>
        <v>-18713429.412272226</v>
      </c>
      <c r="J1002" s="444">
        <f t="array" ref="J1002">IFERROR(INDEX('Retirement Calculator'!K:K,MATCH('Lorri 401b'!N1002,'Retirement Calculator'!A:A,0),0),0)</f>
        <v>20367.195264578786</v>
      </c>
      <c r="K1002" s="444">
        <f t="shared" ca="1" si="79"/>
        <v>-78057.485864736678</v>
      </c>
      <c r="L1002" s="444">
        <f t="shared" ca="1" si="80"/>
        <v>-18811854.09340154</v>
      </c>
      <c r="M1002" s="460">
        <f t="shared" si="82"/>
        <v>0.05</v>
      </c>
      <c r="N1002" s="464">
        <f t="shared" si="83"/>
        <v>81541</v>
      </c>
    </row>
    <row r="1003" spans="7:14" ht="11.25" customHeight="1" x14ac:dyDescent="0.3">
      <c r="G1003" s="459">
        <f t="shared" si="102"/>
        <v>83</v>
      </c>
      <c r="H1003" s="459">
        <v>996</v>
      </c>
      <c r="I1003" s="444">
        <f t="shared" ca="1" si="81"/>
        <v>-18811854.09340154</v>
      </c>
      <c r="J1003" s="444">
        <f t="array" ref="J1003">IFERROR(INDEX('Retirement Calculator'!K:K,MATCH('Lorri 401b'!N1003,'Retirement Calculator'!A:A,0),0),0)</f>
        <v>20367.195264578786</v>
      </c>
      <c r="K1003" s="444">
        <f t="shared" ca="1" si="79"/>
        <v>-78467.588702775494</v>
      </c>
      <c r="L1003" s="444">
        <f t="shared" ca="1" si="80"/>
        <v>-18910688.877368893</v>
      </c>
      <c r="M1003" s="460">
        <f t="shared" si="82"/>
        <v>0.05</v>
      </c>
      <c r="N1003" s="464">
        <f t="shared" si="83"/>
        <v>81571</v>
      </c>
    </row>
    <row r="1004" spans="7:14" ht="11.25" customHeight="1" x14ac:dyDescent="0.3">
      <c r="G1004" s="459"/>
      <c r="H1004" s="459">
        <v>997</v>
      </c>
      <c r="I1004" s="444">
        <f t="shared" ca="1" si="81"/>
        <v>-18910688.877368893</v>
      </c>
      <c r="J1004" s="444">
        <f t="array" ref="J1004">IFERROR(INDEX('Retirement Calculator'!K:K,MATCH('Lorri 401b'!N1004,'Retirement Calculator'!A:A,0),0),0)</f>
        <v>20367.195264578786</v>
      </c>
      <c r="K1004" s="444">
        <f t="shared" ca="1" si="79"/>
        <v>-78879.400302639464</v>
      </c>
      <c r="L1004" s="444">
        <f t="shared" ca="1" si="80"/>
        <v>-19009935.472936112</v>
      </c>
      <c r="M1004" s="460">
        <f t="shared" si="82"/>
        <v>0.05</v>
      </c>
      <c r="N1004" s="464">
        <f t="shared" si="83"/>
        <v>81602</v>
      </c>
    </row>
    <row r="1005" spans="7:14" ht="11.25" customHeight="1" x14ac:dyDescent="0.3">
      <c r="G1005" s="459"/>
      <c r="H1005" s="459">
        <v>998</v>
      </c>
      <c r="I1005" s="444">
        <f t="shared" ca="1" si="81"/>
        <v>-19009935.472936112</v>
      </c>
      <c r="J1005" s="444">
        <f t="array" ref="J1005">IFERROR(INDEX('Retirement Calculator'!K:K,MATCH('Lorri 401b'!N1005,'Retirement Calculator'!A:A,0),0),0)</f>
        <v>20367.195264578786</v>
      </c>
      <c r="K1005" s="444">
        <f t="shared" ca="1" si="79"/>
        <v>-79292.927784169544</v>
      </c>
      <c r="L1005" s="444">
        <f t="shared" ca="1" si="80"/>
        <v>-19109595.595984861</v>
      </c>
      <c r="M1005" s="460">
        <f t="shared" si="82"/>
        <v>0.05</v>
      </c>
      <c r="N1005" s="464">
        <f t="shared" si="83"/>
        <v>81632</v>
      </c>
    </row>
    <row r="1006" spans="7:14" ht="11.25" customHeight="1" x14ac:dyDescent="0.3">
      <c r="G1006" s="459"/>
      <c r="H1006" s="459">
        <v>999</v>
      </c>
      <c r="I1006" s="444">
        <f t="shared" ca="1" si="81"/>
        <v>-19109595.595984861</v>
      </c>
      <c r="J1006" s="444">
        <f t="array" ref="J1006">IFERROR(INDEX('Retirement Calculator'!K:K,MATCH('Lorri 401b'!N1006,'Retirement Calculator'!A:A,0),0),0)</f>
        <v>20367.195264578786</v>
      </c>
      <c r="K1006" s="444">
        <f t="shared" ca="1" si="79"/>
        <v>-79708.178296872662</v>
      </c>
      <c r="L1006" s="444">
        <f t="shared" ca="1" si="80"/>
        <v>-19209670.969546311</v>
      </c>
      <c r="M1006" s="460">
        <f t="shared" si="82"/>
        <v>0.05</v>
      </c>
      <c r="N1006" s="464">
        <f t="shared" si="83"/>
        <v>81663</v>
      </c>
    </row>
    <row r="1007" spans="7:14" ht="11.25" customHeight="1" x14ac:dyDescent="0.3">
      <c r="G1007" s="459"/>
      <c r="H1007" s="459">
        <v>1000</v>
      </c>
      <c r="I1007" s="444">
        <f t="shared" ca="1" si="81"/>
        <v>-19209670.969546311</v>
      </c>
      <c r="J1007" s="444">
        <f t="array" ref="J1007">IFERROR(INDEX('Retirement Calculator'!K:K,MATCH('Lorri 401b'!N1007,'Retirement Calculator'!A:A,0),0),0)</f>
        <v>20367.195264578786</v>
      </c>
      <c r="K1007" s="444">
        <f t="shared" ca="1" si="79"/>
        <v>-80125.159020045365</v>
      </c>
      <c r="L1007" s="444">
        <f t="shared" ca="1" si="80"/>
        <v>-19310163.323830932</v>
      </c>
      <c r="M1007" s="460">
        <f t="shared" si="82"/>
        <v>0.05</v>
      </c>
      <c r="N1007" s="464">
        <f t="shared" si="83"/>
        <v>81694</v>
      </c>
    </row>
    <row r="1008" spans="7:14" ht="11.25" customHeight="1" x14ac:dyDescent="0.3">
      <c r="G1008" s="459"/>
      <c r="H1008" s="459">
        <v>1001</v>
      </c>
      <c r="I1008" s="444">
        <f t="shared" ca="1" si="81"/>
        <v>-19310163.323830932</v>
      </c>
      <c r="J1008" s="444">
        <f t="array" ref="J1008">IFERROR(INDEX('Retirement Calculator'!K:K,MATCH('Lorri 401b'!N1008,'Retirement Calculator'!A:A,0),0),0)</f>
        <v>20367.195264578786</v>
      </c>
      <c r="K1008" s="444">
        <f t="shared" ca="1" si="79"/>
        <v>-80543.877162897959</v>
      </c>
      <c r="L1008" s="444">
        <f t="shared" ca="1" si="80"/>
        <v>-19411074.396258406</v>
      </c>
      <c r="M1008" s="460">
        <f t="shared" si="82"/>
        <v>0.05</v>
      </c>
      <c r="N1008" s="464">
        <f t="shared" si="83"/>
        <v>81724</v>
      </c>
    </row>
    <row r="1009" spans="7:14" ht="11.25" customHeight="1" x14ac:dyDescent="0.3">
      <c r="G1009" s="459"/>
      <c r="H1009" s="459">
        <v>1002</v>
      </c>
      <c r="I1009" s="444">
        <f t="shared" ca="1" si="81"/>
        <v>-19411074.396258406</v>
      </c>
      <c r="J1009" s="444">
        <f t="array" ref="J1009">IFERROR(INDEX('Retirement Calculator'!K:K,MATCH('Lorri 401b'!N1009,'Retirement Calculator'!A:A,0),0),0)</f>
        <v>20367.195264578786</v>
      </c>
      <c r="K1009" s="444">
        <f t="shared" ca="1" si="79"/>
        <v>-80964.339964679093</v>
      </c>
      <c r="L1009" s="444">
        <f t="shared" ca="1" si="80"/>
        <v>-19512405.931487665</v>
      </c>
      <c r="M1009" s="460">
        <f t="shared" si="82"/>
        <v>0.05</v>
      </c>
      <c r="N1009" s="464">
        <f t="shared" si="83"/>
        <v>81755</v>
      </c>
    </row>
    <row r="1010" spans="7:14" ht="11.25" customHeight="1" x14ac:dyDescent="0.3">
      <c r="G1010" s="459"/>
      <c r="H1010" s="459">
        <v>1003</v>
      </c>
      <c r="I1010" s="444">
        <f t="shared" ca="1" si="81"/>
        <v>-19512405.931487665</v>
      </c>
      <c r="J1010" s="444">
        <f t="array" ref="J1010">IFERROR(INDEX('Retirement Calculator'!K:K,MATCH('Lorri 401b'!N1010,'Retirement Calculator'!A:A,0),0),0)</f>
        <v>20367.195264578786</v>
      </c>
      <c r="K1010" s="444">
        <f t="shared" ca="1" si="79"/>
        <v>-81386.554694801016</v>
      </c>
      <c r="L1010" s="444">
        <f t="shared" ca="1" si="80"/>
        <v>-19614159.681447044</v>
      </c>
      <c r="M1010" s="460">
        <f t="shared" si="82"/>
        <v>0.05</v>
      </c>
      <c r="N1010" s="464">
        <f t="shared" si="83"/>
        <v>81785</v>
      </c>
    </row>
    <row r="1011" spans="7:14" ht="11.25" customHeight="1" x14ac:dyDescent="0.3">
      <c r="G1011" s="459"/>
      <c r="H1011" s="459">
        <v>1004</v>
      </c>
      <c r="I1011" s="444">
        <f t="shared" ca="1" si="81"/>
        <v>-19614159.681447044</v>
      </c>
      <c r="J1011" s="444">
        <f t="array" ref="J1011">IFERROR(INDEX('Retirement Calculator'!K:K,MATCH('Lorri 401b'!N1011,'Retirement Calculator'!A:A,0),0),0)</f>
        <v>20367.195264578786</v>
      </c>
      <c r="K1011" s="444">
        <f t="shared" ca="1" si="79"/>
        <v>-81810.528652965091</v>
      </c>
      <c r="L1011" s="444">
        <f t="shared" ca="1" si="80"/>
        <v>-19716337.405364588</v>
      </c>
      <c r="M1011" s="460">
        <f t="shared" si="82"/>
        <v>0.05</v>
      </c>
      <c r="N1011" s="464">
        <f t="shared" si="83"/>
        <v>81816</v>
      </c>
    </row>
    <row r="1012" spans="7:14" ht="11.25" customHeight="1" x14ac:dyDescent="0.3">
      <c r="G1012" s="459"/>
      <c r="H1012" s="459">
        <v>1005</v>
      </c>
      <c r="I1012" s="444">
        <f t="shared" ca="1" si="81"/>
        <v>-19716337.405364588</v>
      </c>
      <c r="J1012" s="444">
        <f t="array" ref="J1012">IFERROR(INDEX('Retirement Calculator'!K:K,MATCH('Lorri 401b'!N1012,'Retirement Calculator'!A:A,0),0),0)</f>
        <v>20367.195264578786</v>
      </c>
      <c r="K1012" s="444">
        <f t="shared" ca="1" si="79"/>
        <v>-82236.269169288193</v>
      </c>
      <c r="L1012" s="444">
        <f t="shared" ca="1" si="80"/>
        <v>-19818940.869798455</v>
      </c>
      <c r="M1012" s="460">
        <f t="shared" si="82"/>
        <v>0.05</v>
      </c>
      <c r="N1012" s="464">
        <f t="shared" si="83"/>
        <v>81847</v>
      </c>
    </row>
    <row r="1013" spans="7:14" ht="11.25" customHeight="1" x14ac:dyDescent="0.3">
      <c r="G1013" s="459"/>
      <c r="H1013" s="459">
        <v>1006</v>
      </c>
      <c r="I1013" s="444">
        <f t="shared" ca="1" si="81"/>
        <v>-19818940.869798455</v>
      </c>
      <c r="J1013" s="444">
        <f t="array" ref="J1013">IFERROR(INDEX('Retirement Calculator'!K:K,MATCH('Lorri 401b'!N1013,'Retirement Calculator'!A:A,0),0),0)</f>
        <v>20367.195264578786</v>
      </c>
      <c r="K1013" s="444">
        <f t="shared" ca="1" si="79"/>
        <v>-82663.783604429307</v>
      </c>
      <c r="L1013" s="444">
        <f t="shared" ca="1" si="80"/>
        <v>-19921971.848667461</v>
      </c>
      <c r="M1013" s="460">
        <f t="shared" si="82"/>
        <v>0.05</v>
      </c>
      <c r="N1013" s="464">
        <f t="shared" si="83"/>
        <v>81876</v>
      </c>
    </row>
    <row r="1014" spans="7:14" ht="11.25" customHeight="1" x14ac:dyDescent="0.3">
      <c r="G1014" s="459"/>
      <c r="H1014" s="459">
        <v>1007</v>
      </c>
      <c r="I1014" s="444">
        <f t="shared" ca="1" si="81"/>
        <v>-19921971.848667461</v>
      </c>
      <c r="J1014" s="444">
        <f t="array" ref="J1014">IFERROR(INDEX('Retirement Calculator'!K:K,MATCH('Lorri 401b'!N1014,'Retirement Calculator'!A:A,0),0),0)</f>
        <v>20367.195264578786</v>
      </c>
      <c r="K1014" s="444">
        <f t="shared" ca="1" si="79"/>
        <v>-83093.079349716834</v>
      </c>
      <c r="L1014" s="444">
        <f t="shared" ca="1" si="80"/>
        <v>-20025432.123281755</v>
      </c>
      <c r="M1014" s="460">
        <f t="shared" si="82"/>
        <v>0.05</v>
      </c>
      <c r="N1014" s="464">
        <f t="shared" si="83"/>
        <v>81907</v>
      </c>
    </row>
    <row r="1015" spans="7:14" ht="11.25" customHeight="1" x14ac:dyDescent="0.3">
      <c r="G1015" s="459"/>
      <c r="H1015" s="459">
        <v>1008</v>
      </c>
      <c r="I1015" s="444">
        <f t="shared" ca="1" si="81"/>
        <v>-20025432.123281755</v>
      </c>
      <c r="J1015" s="444">
        <f t="array" ref="J1015">IFERROR(INDEX('Retirement Calculator'!K:K,MATCH('Lorri 401b'!N1015,'Retirement Calculator'!A:A,0),0),0)</f>
        <v>20367.195264578786</v>
      </c>
      <c r="K1015" s="444">
        <f t="shared" ca="1" si="79"/>
        <v>-83524.163827276381</v>
      </c>
      <c r="L1015" s="444">
        <f t="shared" ca="1" si="80"/>
        <v>-20129323.48237361</v>
      </c>
      <c r="M1015" s="460">
        <f t="shared" si="82"/>
        <v>0.05</v>
      </c>
      <c r="N1015" s="464">
        <f t="shared" si="83"/>
        <v>81937</v>
      </c>
    </row>
    <row r="1016" spans="7:14" ht="11.25" customHeight="1" x14ac:dyDescent="0.3">
      <c r="G1016" s="459"/>
      <c r="H1016" s="459">
        <v>1009</v>
      </c>
      <c r="I1016" s="444">
        <f t="shared" ca="1" si="81"/>
        <v>-20129323.48237361</v>
      </c>
      <c r="J1016" s="444">
        <f t="array" ref="J1016">IFERROR(INDEX('Retirement Calculator'!K:K,MATCH('Lorri 401b'!N1016,'Retirement Calculator'!A:A,0),0),0)</f>
        <v>20367.195264578786</v>
      </c>
      <c r="K1016" s="444">
        <f t="shared" ca="1" si="79"/>
        <v>-83957.044490159111</v>
      </c>
      <c r="L1016" s="444">
        <f t="shared" ca="1" si="80"/>
        <v>-20233647.722128347</v>
      </c>
      <c r="M1016" s="460">
        <f t="shared" si="82"/>
        <v>0.05</v>
      </c>
      <c r="N1016" s="464">
        <f t="shared" si="83"/>
        <v>81968</v>
      </c>
    </row>
    <row r="1017" spans="7:14" ht="11.25" customHeight="1" x14ac:dyDescent="0.3">
      <c r="G1017" s="459"/>
      <c r="H1017" s="459">
        <v>1010</v>
      </c>
      <c r="I1017" s="444">
        <f t="shared" ca="1" si="81"/>
        <v>-20233647.722128347</v>
      </c>
      <c r="J1017" s="444">
        <f t="array" ref="J1017">IFERROR(INDEX('Retirement Calculator'!K:K,MATCH('Lorri 401b'!N1017,'Retirement Calculator'!A:A,0),0),0)</f>
        <v>20367.195264578786</v>
      </c>
      <c r="K1017" s="444">
        <f t="shared" ca="1" si="79"/>
        <v>-84391.728822470512</v>
      </c>
      <c r="L1017" s="444">
        <f t="shared" ca="1" si="80"/>
        <v>-20338406.646215394</v>
      </c>
      <c r="M1017" s="460">
        <f t="shared" si="82"/>
        <v>0.05</v>
      </c>
      <c r="N1017" s="464">
        <f t="shared" si="83"/>
        <v>81998</v>
      </c>
    </row>
    <row r="1018" spans="7:14" ht="11.25" customHeight="1" x14ac:dyDescent="0.3">
      <c r="G1018" s="459"/>
      <c r="H1018" s="459">
        <v>1011</v>
      </c>
      <c r="I1018" s="444">
        <f t="shared" ca="1" si="81"/>
        <v>-20338406.646215394</v>
      </c>
      <c r="J1018" s="444">
        <f t="array" ref="J1018">IFERROR(INDEX('Retirement Calculator'!K:K,MATCH('Lorri 401b'!N1018,'Retirement Calculator'!A:A,0),0),0)</f>
        <v>20367.195264578786</v>
      </c>
      <c r="K1018" s="444">
        <f t="shared" ca="1" si="79"/>
        <v>-84828.22433949988</v>
      </c>
      <c r="L1018" s="444">
        <f t="shared" ca="1" si="80"/>
        <v>-20443602.065819472</v>
      </c>
      <c r="M1018" s="460">
        <f t="shared" si="82"/>
        <v>0.05</v>
      </c>
      <c r="N1018" s="464">
        <f t="shared" si="83"/>
        <v>82029</v>
      </c>
    </row>
    <row r="1019" spans="7:14" ht="11.25" customHeight="1" x14ac:dyDescent="0.3">
      <c r="G1019" s="459"/>
      <c r="H1019" s="459">
        <v>1012</v>
      </c>
      <c r="I1019" s="444">
        <f t="shared" ca="1" si="81"/>
        <v>-20443602.065819472</v>
      </c>
      <c r="J1019" s="444">
        <f t="array" ref="J1019">IFERROR(INDEX('Retirement Calculator'!K:K,MATCH('Lorri 401b'!N1019,'Retirement Calculator'!A:A,0),0),0)</f>
        <v>20367.195264578786</v>
      </c>
      <c r="K1019" s="444">
        <f t="shared" ca="1" si="79"/>
        <v>-85266.538587850213</v>
      </c>
      <c r="L1019" s="444">
        <f t="shared" ca="1" si="80"/>
        <v>-20549235.7996719</v>
      </c>
      <c r="M1019" s="460">
        <f t="shared" si="82"/>
        <v>0.05</v>
      </c>
      <c r="N1019" s="464">
        <f t="shared" si="83"/>
        <v>82060</v>
      </c>
    </row>
    <row r="1020" spans="7:14" ht="11.25" customHeight="1" x14ac:dyDescent="0.3">
      <c r="G1020" s="459"/>
      <c r="H1020" s="459">
        <v>1013</v>
      </c>
      <c r="I1020" s="444">
        <f t="shared" ca="1" si="81"/>
        <v>-20549235.7996719</v>
      </c>
      <c r="J1020" s="444">
        <f t="array" ref="J1020">IFERROR(INDEX('Retirement Calculator'!K:K,MATCH('Lorri 401b'!N1020,'Retirement Calculator'!A:A,0),0),0)</f>
        <v>20367.195264578786</v>
      </c>
      <c r="K1020" s="444">
        <f t="shared" ca="1" si="79"/>
        <v>-85706.679145568662</v>
      </c>
      <c r="L1020" s="444">
        <f t="shared" ca="1" si="80"/>
        <v>-20655309.674082045</v>
      </c>
      <c r="M1020" s="460">
        <f t="shared" si="82"/>
        <v>0.05</v>
      </c>
      <c r="N1020" s="464">
        <f t="shared" si="83"/>
        <v>82090</v>
      </c>
    </row>
    <row r="1021" spans="7:14" ht="11.25" customHeight="1" x14ac:dyDescent="0.3">
      <c r="G1021" s="459"/>
      <c r="H1021" s="459">
        <v>1014</v>
      </c>
      <c r="I1021" s="444">
        <f t="shared" ca="1" si="81"/>
        <v>-20655309.674082045</v>
      </c>
      <c r="J1021" s="444">
        <f t="array" ref="J1021">IFERROR(INDEX('Retirement Calculator'!K:K,MATCH('Lorri 401b'!N1021,'Retirement Calculator'!A:A,0),0),0)</f>
        <v>20367.195264578786</v>
      </c>
      <c r="K1021" s="444">
        <f t="shared" ca="1" si="79"/>
        <v>-86148.65362227759</v>
      </c>
      <c r="L1021" s="444">
        <f t="shared" ca="1" si="80"/>
        <v>-20761825.522968899</v>
      </c>
      <c r="M1021" s="460">
        <f t="shared" si="82"/>
        <v>0.05</v>
      </c>
      <c r="N1021" s="464">
        <f t="shared" si="83"/>
        <v>82121</v>
      </c>
    </row>
    <row r="1022" spans="7:14" ht="11.25" customHeight="1" x14ac:dyDescent="0.3">
      <c r="G1022" s="459"/>
      <c r="H1022" s="459">
        <v>1015</v>
      </c>
      <c r="I1022" s="444">
        <f t="shared" ca="1" si="81"/>
        <v>-20761825.522968899</v>
      </c>
      <c r="J1022" s="444">
        <f t="array" ref="J1022">IFERROR(INDEX('Retirement Calculator'!K:K,MATCH('Lorri 401b'!N1022,'Retirement Calculator'!A:A,0),0),0)</f>
        <v>20367.195264578786</v>
      </c>
      <c r="K1022" s="444">
        <f t="shared" ca="1" si="79"/>
        <v>-86592.469659306153</v>
      </c>
      <c r="L1022" s="444">
        <f t="shared" ca="1" si="80"/>
        <v>-20868785.187892783</v>
      </c>
      <c r="M1022" s="460">
        <f t="shared" si="82"/>
        <v>0.05</v>
      </c>
      <c r="N1022" s="464">
        <f t="shared" si="83"/>
        <v>82151</v>
      </c>
    </row>
    <row r="1023" spans="7:14" ht="11.25" customHeight="1" x14ac:dyDescent="0.3">
      <c r="G1023" s="459"/>
      <c r="H1023" s="459">
        <v>1016</v>
      </c>
      <c r="I1023" s="444">
        <f t="shared" ca="1" si="81"/>
        <v>-20868785.187892783</v>
      </c>
      <c r="J1023" s="444">
        <f t="array" ref="J1023">IFERROR(INDEX('Retirement Calculator'!K:K,MATCH('Lorri 401b'!N1023,'Retirement Calculator'!A:A,0),0),0)</f>
        <v>20367.195264578786</v>
      </c>
      <c r="K1023" s="444">
        <f t="shared" ca="1" si="79"/>
        <v>-87038.134929822336</v>
      </c>
      <c r="L1023" s="444">
        <f t="shared" ca="1" si="80"/>
        <v>-20976190.518087182</v>
      </c>
      <c r="M1023" s="460">
        <f t="shared" si="82"/>
        <v>0.05</v>
      </c>
      <c r="N1023" s="464">
        <f t="shared" si="83"/>
        <v>82182</v>
      </c>
    </row>
    <row r="1024" spans="7:14" ht="11.25" customHeight="1" x14ac:dyDescent="0.3">
      <c r="G1024" s="459"/>
      <c r="H1024" s="459">
        <v>1017</v>
      </c>
      <c r="I1024" s="444">
        <f t="shared" ca="1" si="81"/>
        <v>-20976190.518087182</v>
      </c>
      <c r="J1024" s="444">
        <f t="array" ref="J1024">IFERROR(INDEX('Retirement Calculator'!K:K,MATCH('Lorri 401b'!N1024,'Retirement Calculator'!A:A,0),0),0)</f>
        <v>20367.195264578786</v>
      </c>
      <c r="K1024" s="444">
        <f t="shared" ca="1" si="79"/>
        <v>-87485.65713896566</v>
      </c>
      <c r="L1024" s="444">
        <f t="shared" ca="1" si="80"/>
        <v>-21084043.370490726</v>
      </c>
      <c r="M1024" s="460">
        <f t="shared" si="82"/>
        <v>0.05</v>
      </c>
      <c r="N1024" s="464">
        <f t="shared" si="83"/>
        <v>82213</v>
      </c>
    </row>
    <row r="1025" spans="7:14" ht="11.25" customHeight="1" x14ac:dyDescent="0.3">
      <c r="G1025" s="459"/>
      <c r="H1025" s="459">
        <v>1018</v>
      </c>
      <c r="I1025" s="444">
        <f t="shared" ca="1" si="81"/>
        <v>-21084043.370490726</v>
      </c>
      <c r="J1025" s="444">
        <f t="array" ref="J1025">IFERROR(INDEX('Retirement Calculator'!K:K,MATCH('Lorri 401b'!N1025,'Retirement Calculator'!A:A,0),0),0)</f>
        <v>20367.195264578786</v>
      </c>
      <c r="K1025" s="444">
        <f t="shared" ca="1" si="79"/>
        <v>-87935.04402398043</v>
      </c>
      <c r="L1025" s="444">
        <f t="shared" ca="1" si="80"/>
        <v>-21192345.609779283</v>
      </c>
      <c r="M1025" s="460">
        <f t="shared" si="82"/>
        <v>0.05</v>
      </c>
      <c r="N1025" s="464">
        <f t="shared" si="83"/>
        <v>82241</v>
      </c>
    </row>
    <row r="1026" spans="7:14" ht="11.25" customHeight="1" x14ac:dyDescent="0.3">
      <c r="G1026" s="459"/>
      <c r="H1026" s="459">
        <v>1019</v>
      </c>
      <c r="I1026" s="444">
        <f t="shared" ca="1" si="81"/>
        <v>-21192345.609779283</v>
      </c>
      <c r="J1026" s="444">
        <f t="array" ref="J1026">IFERROR(INDEX('Retirement Calculator'!K:K,MATCH('Lorri 401b'!N1026,'Retirement Calculator'!A:A,0),0),0)</f>
        <v>20367.195264578786</v>
      </c>
      <c r="K1026" s="444">
        <f t="shared" ca="1" si="79"/>
        <v>-88386.303354349424</v>
      </c>
      <c r="L1026" s="444">
        <f t="shared" ca="1" si="80"/>
        <v>-21301099.10839821</v>
      </c>
      <c r="M1026" s="460">
        <f t="shared" si="82"/>
        <v>0.05</v>
      </c>
      <c r="N1026" s="464">
        <f t="shared" si="83"/>
        <v>82272</v>
      </c>
    </row>
    <row r="1027" spans="7:14" ht="11.25" customHeight="1" x14ac:dyDescent="0.3">
      <c r="G1027" s="459"/>
      <c r="H1027" s="459">
        <v>1020</v>
      </c>
      <c r="I1027" s="444">
        <f t="shared" ca="1" si="81"/>
        <v>-21301099.10839821</v>
      </c>
      <c r="J1027" s="444">
        <f t="array" ref="J1027">IFERROR(INDEX('Retirement Calculator'!K:K,MATCH('Lorri 401b'!N1027,'Retirement Calculator'!A:A,0),0),0)</f>
        <v>20367.195264578786</v>
      </c>
      <c r="K1027" s="444">
        <f t="shared" ca="1" si="79"/>
        <v>-88839.442931928279</v>
      </c>
      <c r="L1027" s="444">
        <f t="shared" ca="1" si="80"/>
        <v>-21410305.746594716</v>
      </c>
      <c r="M1027" s="460">
        <f t="shared" si="82"/>
        <v>0.05</v>
      </c>
      <c r="N1027" s="464">
        <f t="shared" si="83"/>
        <v>82302</v>
      </c>
    </row>
    <row r="1028" spans="7:14" ht="11.25" customHeight="1" x14ac:dyDescent="0.3">
      <c r="G1028" s="459"/>
      <c r="H1028" s="459">
        <v>1021</v>
      </c>
      <c r="I1028" s="444">
        <f t="shared" ca="1" si="81"/>
        <v>-21410305.746594716</v>
      </c>
      <c r="J1028" s="444">
        <f t="array" ref="J1028">IFERROR(INDEX('Retirement Calculator'!K:K,MATCH('Lorri 401b'!N1028,'Retirement Calculator'!A:A,0),0),0)</f>
        <v>20367.195264578786</v>
      </c>
      <c r="K1028" s="444">
        <f t="shared" ref="K1028:K1282" ca="1" si="103">IPMT(M1028/12,1,12,-I1028+J1028,,0)</f>
        <v>-89294.47059108039</v>
      </c>
      <c r="L1028" s="444">
        <f t="shared" ref="L1028:L1282" ca="1" si="104">I1028-J1028+K1028</f>
        <v>-21519967.412450373</v>
      </c>
      <c r="M1028" s="460">
        <f t="shared" si="82"/>
        <v>0.05</v>
      </c>
      <c r="N1028" s="464">
        <f t="shared" si="83"/>
        <v>82333</v>
      </c>
    </row>
    <row r="1029" spans="7:14" ht="11.25" customHeight="1" x14ac:dyDescent="0.3">
      <c r="G1029" s="459"/>
      <c r="H1029" s="459">
        <v>1022</v>
      </c>
      <c r="I1029" s="444">
        <f t="shared" ref="I1029:I1283" ca="1" si="105">L1028</f>
        <v>-21519967.412450373</v>
      </c>
      <c r="J1029" s="444">
        <f t="array" ref="J1029">IFERROR(INDEX('Retirement Calculator'!K:K,MATCH('Lorri 401b'!N1029,'Retirement Calculator'!A:A,0),0),0)</f>
        <v>20367.195264578786</v>
      </c>
      <c r="K1029" s="444">
        <f t="shared" ca="1" si="103"/>
        <v>-89751.394198812297</v>
      </c>
      <c r="L1029" s="444">
        <f t="shared" ca="1" si="104"/>
        <v>-21630086.001913764</v>
      </c>
      <c r="M1029" s="460">
        <f t="shared" ref="M1029:M1283" si="106">M1028</f>
        <v>0.05</v>
      </c>
      <c r="N1029" s="464">
        <f t="shared" ref="N1029:N1283" si="107">EDATE(N1028,1)</f>
        <v>82363</v>
      </c>
    </row>
    <row r="1030" spans="7:14" ht="11.25" customHeight="1" x14ac:dyDescent="0.3">
      <c r="G1030" s="459"/>
      <c r="H1030" s="459">
        <v>1023</v>
      </c>
      <c r="I1030" s="444">
        <f t="shared" ca="1" si="105"/>
        <v>-21630086.001913764</v>
      </c>
      <c r="J1030" s="444">
        <f t="array" ref="J1030">IFERROR(INDEX('Retirement Calculator'!K:K,MATCH('Lorri 401b'!N1030,'Retirement Calculator'!A:A,0),0),0)</f>
        <v>20367.195264578786</v>
      </c>
      <c r="K1030" s="444">
        <f t="shared" ca="1" si="103"/>
        <v>-90210.22165490975</v>
      </c>
      <c r="L1030" s="444">
        <f t="shared" ca="1" si="104"/>
        <v>-21740663.418833252</v>
      </c>
      <c r="M1030" s="460">
        <f t="shared" si="106"/>
        <v>0.05</v>
      </c>
      <c r="N1030" s="464">
        <f t="shared" si="107"/>
        <v>82394</v>
      </c>
    </row>
    <row r="1031" spans="7:14" ht="11.25" customHeight="1" x14ac:dyDescent="0.3">
      <c r="G1031" s="459"/>
      <c r="H1031" s="459">
        <v>1024</v>
      </c>
      <c r="I1031" s="444">
        <f t="shared" ca="1" si="105"/>
        <v>-21740663.418833252</v>
      </c>
      <c r="J1031" s="444">
        <f t="array" ref="J1031">IFERROR(INDEX('Retirement Calculator'!K:K,MATCH('Lorri 401b'!N1031,'Retirement Calculator'!A:A,0),0),0)</f>
        <v>20367.195264578786</v>
      </c>
      <c r="K1031" s="444">
        <f t="shared" ca="1" si="103"/>
        <v>-90670.96089207429</v>
      </c>
      <c r="L1031" s="444">
        <f t="shared" ca="1" si="104"/>
        <v>-21851701.574989904</v>
      </c>
      <c r="M1031" s="460">
        <f t="shared" si="106"/>
        <v>0.05</v>
      </c>
      <c r="N1031" s="464">
        <f t="shared" si="107"/>
        <v>82425</v>
      </c>
    </row>
    <row r="1032" spans="7:14" ht="11.25" customHeight="1" x14ac:dyDescent="0.3">
      <c r="G1032" s="459"/>
      <c r="H1032" s="459">
        <v>1025</v>
      </c>
      <c r="I1032" s="444">
        <f t="shared" ca="1" si="105"/>
        <v>-21851701.574989904</v>
      </c>
      <c r="J1032" s="444">
        <f t="array" ref="J1032">IFERROR(INDEX('Retirement Calculator'!K:K,MATCH('Lorri 401b'!N1032,'Retirement Calculator'!A:A,0),0),0)</f>
        <v>20367.195264578786</v>
      </c>
      <c r="K1032" s="444">
        <f t="shared" ca="1" si="103"/>
        <v>-91133.619876060344</v>
      </c>
      <c r="L1032" s="444">
        <f t="shared" ca="1" si="104"/>
        <v>-21963202.390130542</v>
      </c>
      <c r="M1032" s="460">
        <f t="shared" si="106"/>
        <v>0.05</v>
      </c>
      <c r="N1032" s="464">
        <f t="shared" si="107"/>
        <v>82455</v>
      </c>
    </row>
    <row r="1033" spans="7:14" ht="11.25" customHeight="1" x14ac:dyDescent="0.3">
      <c r="G1033" s="459"/>
      <c r="H1033" s="459">
        <v>1026</v>
      </c>
      <c r="I1033" s="444">
        <f t="shared" ca="1" si="105"/>
        <v>-21963202.390130542</v>
      </c>
      <c r="J1033" s="444">
        <f t="array" ref="J1033">IFERROR(INDEX('Retirement Calculator'!K:K,MATCH('Lorri 401b'!N1033,'Retirement Calculator'!A:A,0),0),0)</f>
        <v>20367.195264578786</v>
      </c>
      <c r="K1033" s="444">
        <f t="shared" ca="1" si="103"/>
        <v>-91598.206605813</v>
      </c>
      <c r="L1033" s="444">
        <f t="shared" ca="1" si="104"/>
        <v>-22075167.792000934</v>
      </c>
      <c r="M1033" s="460">
        <f t="shared" si="106"/>
        <v>0.05</v>
      </c>
      <c r="N1033" s="464">
        <f t="shared" si="107"/>
        <v>82486</v>
      </c>
    </row>
    <row r="1034" spans="7:14" ht="11.25" customHeight="1" x14ac:dyDescent="0.3">
      <c r="G1034" s="459"/>
      <c r="H1034" s="459">
        <v>1027</v>
      </c>
      <c r="I1034" s="444">
        <f t="shared" ca="1" si="105"/>
        <v>-22075167.792000934</v>
      </c>
      <c r="J1034" s="444">
        <f t="array" ref="J1034">IFERROR(INDEX('Retirement Calculator'!K:K,MATCH('Lorri 401b'!N1034,'Retirement Calculator'!A:A,0),0),0)</f>
        <v>20367.195264578786</v>
      </c>
      <c r="K1034" s="444">
        <f t="shared" ca="1" si="103"/>
        <v>-92064.7291136063</v>
      </c>
      <c r="L1034" s="444">
        <f t="shared" ca="1" si="104"/>
        <v>-22187599.716379117</v>
      </c>
      <c r="M1034" s="460">
        <f t="shared" si="106"/>
        <v>0.05</v>
      </c>
      <c r="N1034" s="464">
        <f t="shared" si="107"/>
        <v>82516</v>
      </c>
    </row>
    <row r="1035" spans="7:14" ht="11.25" customHeight="1" x14ac:dyDescent="0.3">
      <c r="G1035" s="459"/>
      <c r="H1035" s="459">
        <v>1028</v>
      </c>
      <c r="I1035" s="444">
        <f t="shared" ca="1" si="105"/>
        <v>-22187599.716379117</v>
      </c>
      <c r="J1035" s="444">
        <f t="array" ref="J1035">IFERROR(INDEX('Retirement Calculator'!K:K,MATCH('Lorri 401b'!N1035,'Retirement Calculator'!A:A,0),0),0)</f>
        <v>20367.195264578786</v>
      </c>
      <c r="K1035" s="444">
        <f t="shared" ca="1" si="103"/>
        <v>-92533.195465182056</v>
      </c>
      <c r="L1035" s="444">
        <f t="shared" ca="1" si="104"/>
        <v>-22300500.107108876</v>
      </c>
      <c r="M1035" s="460">
        <f t="shared" si="106"/>
        <v>0.05</v>
      </c>
      <c r="N1035" s="464">
        <f t="shared" si="107"/>
        <v>82547</v>
      </c>
    </row>
    <row r="1036" spans="7:14" ht="11.25" customHeight="1" x14ac:dyDescent="0.3">
      <c r="G1036" s="459"/>
      <c r="H1036" s="459">
        <v>1029</v>
      </c>
      <c r="I1036" s="444">
        <f t="shared" ca="1" si="105"/>
        <v>-22300500.107108876</v>
      </c>
      <c r="J1036" s="444">
        <f t="array" ref="J1036">IFERROR(INDEX('Retirement Calculator'!K:K,MATCH('Lorri 401b'!N1036,'Retirement Calculator'!A:A,0),0),0)</f>
        <v>20367.195264578786</v>
      </c>
      <c r="K1036" s="444">
        <f t="shared" ca="1" si="103"/>
        <v>-93003.613759889384</v>
      </c>
      <c r="L1036" s="444">
        <f t="shared" ca="1" si="104"/>
        <v>-22413870.916133344</v>
      </c>
      <c r="M1036" s="460">
        <f t="shared" si="106"/>
        <v>0.05</v>
      </c>
      <c r="N1036" s="464">
        <f t="shared" si="107"/>
        <v>82578</v>
      </c>
    </row>
    <row r="1037" spans="7:14" ht="11.25" customHeight="1" x14ac:dyDescent="0.3">
      <c r="G1037" s="459"/>
      <c r="H1037" s="459">
        <v>1030</v>
      </c>
      <c r="I1037" s="444">
        <f t="shared" ca="1" si="105"/>
        <v>-22413870.916133344</v>
      </c>
      <c r="J1037" s="444">
        <f t="array" ref="J1037">IFERROR(INDEX('Retirement Calculator'!K:K,MATCH('Lorri 401b'!N1037,'Retirement Calculator'!A:A,0),0),0)</f>
        <v>20367.195264578786</v>
      </c>
      <c r="K1037" s="444">
        <f t="shared" ca="1" si="103"/>
        <v>-93475.99213082467</v>
      </c>
      <c r="L1037" s="444">
        <f t="shared" ca="1" si="104"/>
        <v>-22527714.103528745</v>
      </c>
      <c r="M1037" s="460">
        <f t="shared" si="106"/>
        <v>0.05</v>
      </c>
      <c r="N1037" s="464">
        <f t="shared" si="107"/>
        <v>82606</v>
      </c>
    </row>
    <row r="1038" spans="7:14" ht="11.25" customHeight="1" x14ac:dyDescent="0.3">
      <c r="G1038" s="459"/>
      <c r="H1038" s="459">
        <v>1031</v>
      </c>
      <c r="I1038" s="444">
        <f t="shared" ca="1" si="105"/>
        <v>-22527714.103528745</v>
      </c>
      <c r="J1038" s="444">
        <f t="array" ref="J1038">IFERROR(INDEX('Retirement Calculator'!K:K,MATCH('Lorri 401b'!N1038,'Retirement Calculator'!A:A,0),0),0)</f>
        <v>20367.195264578786</v>
      </c>
      <c r="K1038" s="444">
        <f t="shared" ca="1" si="103"/>
        <v>-93950.338744972178</v>
      </c>
      <c r="L1038" s="444">
        <f t="shared" ca="1" si="104"/>
        <v>-22642031.637538295</v>
      </c>
      <c r="M1038" s="460">
        <f t="shared" si="106"/>
        <v>0.05</v>
      </c>
      <c r="N1038" s="464">
        <f t="shared" si="107"/>
        <v>82637</v>
      </c>
    </row>
    <row r="1039" spans="7:14" ht="11.25" customHeight="1" x14ac:dyDescent="0.3">
      <c r="G1039" s="459"/>
      <c r="H1039" s="459">
        <v>1032</v>
      </c>
      <c r="I1039" s="444">
        <f t="shared" ca="1" si="105"/>
        <v>-22642031.637538295</v>
      </c>
      <c r="J1039" s="444">
        <f t="array" ref="J1039">IFERROR(INDEX('Retirement Calculator'!K:K,MATCH('Lorri 401b'!N1039,'Retirement Calculator'!A:A,0),0),0)</f>
        <v>20367.195264578786</v>
      </c>
      <c r="K1039" s="444">
        <f t="shared" ca="1" si="103"/>
        <v>-94426.661803345298</v>
      </c>
      <c r="L1039" s="444">
        <f t="shared" ca="1" si="104"/>
        <v>-22756825.494606219</v>
      </c>
      <c r="M1039" s="460">
        <f t="shared" si="106"/>
        <v>0.05</v>
      </c>
      <c r="N1039" s="464">
        <f t="shared" si="107"/>
        <v>82667</v>
      </c>
    </row>
    <row r="1040" spans="7:14" ht="11.25" customHeight="1" x14ac:dyDescent="0.3">
      <c r="G1040" s="459"/>
      <c r="H1040" s="459">
        <v>1033</v>
      </c>
      <c r="I1040" s="444">
        <f t="shared" ca="1" si="105"/>
        <v>-22756825.494606219</v>
      </c>
      <c r="J1040" s="444">
        <f t="array" ref="J1040">IFERROR(INDEX('Retirement Calculator'!K:K,MATCH('Lorri 401b'!N1040,'Retirement Calculator'!A:A,0),0),0)</f>
        <v>20367.195264578786</v>
      </c>
      <c r="K1040" s="444">
        <f t="shared" ca="1" si="103"/>
        <v>-94904.969541128317</v>
      </c>
      <c r="L1040" s="444">
        <f t="shared" ca="1" si="104"/>
        <v>-22872097.659411926</v>
      </c>
      <c r="M1040" s="460">
        <f t="shared" si="106"/>
        <v>0.05</v>
      </c>
      <c r="N1040" s="464">
        <f t="shared" si="107"/>
        <v>82698</v>
      </c>
    </row>
    <row r="1041" spans="7:14" ht="11.25" customHeight="1" x14ac:dyDescent="0.3">
      <c r="G1041" s="459"/>
      <c r="H1041" s="459">
        <v>1034</v>
      </c>
      <c r="I1041" s="444">
        <f t="shared" ca="1" si="105"/>
        <v>-22872097.659411926</v>
      </c>
      <c r="J1041" s="444">
        <f t="array" ref="J1041">IFERROR(INDEX('Retirement Calculator'!K:K,MATCH('Lorri 401b'!N1041,'Retirement Calculator'!A:A,0),0),0)</f>
        <v>20367.195264578786</v>
      </c>
      <c r="K1041" s="444">
        <f t="shared" ca="1" si="103"/>
        <v>-95385.270227818764</v>
      </c>
      <c r="L1041" s="444">
        <f t="shared" ca="1" si="104"/>
        <v>-22987850.124904323</v>
      </c>
      <c r="M1041" s="460">
        <f t="shared" si="106"/>
        <v>0.05</v>
      </c>
      <c r="N1041" s="464">
        <f t="shared" si="107"/>
        <v>82728</v>
      </c>
    </row>
    <row r="1042" spans="7:14" ht="11.25" customHeight="1" x14ac:dyDescent="0.3">
      <c r="G1042" s="459"/>
      <c r="H1042" s="459">
        <v>1035</v>
      </c>
      <c r="I1042" s="444">
        <f t="shared" ca="1" si="105"/>
        <v>-22987850.124904323</v>
      </c>
      <c r="J1042" s="444">
        <f t="array" ref="J1042">IFERROR(INDEX('Retirement Calculator'!K:K,MATCH('Lorri 401b'!N1042,'Retirement Calculator'!A:A,0),0),0)</f>
        <v>20367.195264578786</v>
      </c>
      <c r="K1042" s="444">
        <f t="shared" ca="1" si="103"/>
        <v>-95867.572167370425</v>
      </c>
      <c r="L1042" s="444">
        <f t="shared" ca="1" si="104"/>
        <v>-23104084.892336272</v>
      </c>
      <c r="M1042" s="460">
        <f t="shared" si="106"/>
        <v>0.05</v>
      </c>
      <c r="N1042" s="464">
        <f t="shared" si="107"/>
        <v>82759</v>
      </c>
    </row>
    <row r="1043" spans="7:14" ht="11.25" customHeight="1" x14ac:dyDescent="0.3">
      <c r="G1043" s="459"/>
      <c r="H1043" s="459">
        <v>1036</v>
      </c>
      <c r="I1043" s="444">
        <f t="shared" ca="1" si="105"/>
        <v>-23104084.892336272</v>
      </c>
      <c r="J1043" s="444">
        <f t="array" ref="J1043">IFERROR(INDEX('Retirement Calculator'!K:K,MATCH('Lorri 401b'!N1043,'Retirement Calculator'!A:A,0),0),0)</f>
        <v>20367.195264578786</v>
      </c>
      <c r="K1043" s="444">
        <f t="shared" ca="1" si="103"/>
        <v>-96351.883698336867</v>
      </c>
      <c r="L1043" s="444">
        <f t="shared" ca="1" si="104"/>
        <v>-23220803.971299186</v>
      </c>
      <c r="M1043" s="460">
        <f t="shared" si="106"/>
        <v>0.05</v>
      </c>
      <c r="N1043" s="464">
        <f t="shared" si="107"/>
        <v>82790</v>
      </c>
    </row>
    <row r="1044" spans="7:14" ht="11.25" customHeight="1" x14ac:dyDescent="0.3">
      <c r="G1044" s="459"/>
      <c r="H1044" s="459">
        <v>1037</v>
      </c>
      <c r="I1044" s="444">
        <f t="shared" ca="1" si="105"/>
        <v>-23220803.971299186</v>
      </c>
      <c r="J1044" s="444">
        <f t="array" ref="J1044">IFERROR(INDEX('Retirement Calculator'!K:K,MATCH('Lorri 401b'!N1044,'Retirement Calculator'!A:A,0),0),0)</f>
        <v>20367.195264578786</v>
      </c>
      <c r="K1044" s="444">
        <f t="shared" ca="1" si="103"/>
        <v>-96838.213194015683</v>
      </c>
      <c r="L1044" s="444">
        <f t="shared" ca="1" si="104"/>
        <v>-23338009.379757781</v>
      </c>
      <c r="M1044" s="460">
        <f t="shared" si="106"/>
        <v>0.05</v>
      </c>
      <c r="N1044" s="464">
        <f t="shared" si="107"/>
        <v>82820</v>
      </c>
    </row>
    <row r="1045" spans="7:14" ht="11.25" customHeight="1" x14ac:dyDescent="0.3">
      <c r="G1045" s="459"/>
      <c r="H1045" s="459">
        <v>1038</v>
      </c>
      <c r="I1045" s="444">
        <f t="shared" ca="1" si="105"/>
        <v>-23338009.379757781</v>
      </c>
      <c r="J1045" s="444">
        <f t="array" ref="J1045">IFERROR(INDEX('Retirement Calculator'!K:K,MATCH('Lorri 401b'!N1045,'Retirement Calculator'!A:A,0),0),0)</f>
        <v>20367.195264578786</v>
      </c>
      <c r="K1045" s="444">
        <f t="shared" ca="1" si="103"/>
        <v>-97326.56906259316</v>
      </c>
      <c r="L1045" s="444">
        <f t="shared" ca="1" si="104"/>
        <v>-23455703.144084953</v>
      </c>
      <c r="M1045" s="460">
        <f t="shared" si="106"/>
        <v>0.05</v>
      </c>
      <c r="N1045" s="464">
        <f t="shared" si="107"/>
        <v>82851</v>
      </c>
    </row>
    <row r="1046" spans="7:14" ht="11.25" customHeight="1" x14ac:dyDescent="0.3">
      <c r="G1046" s="459"/>
      <c r="H1046" s="459">
        <v>1039</v>
      </c>
      <c r="I1046" s="444">
        <f t="shared" ca="1" si="105"/>
        <v>-23455703.144084953</v>
      </c>
      <c r="J1046" s="444">
        <f t="array" ref="J1046">IFERROR(INDEX('Retirement Calculator'!K:K,MATCH('Lorri 401b'!N1046,'Retirement Calculator'!A:A,0),0),0)</f>
        <v>20367.195264578786</v>
      </c>
      <c r="K1046" s="444">
        <f t="shared" ca="1" si="103"/>
        <v>-97816.959747289715</v>
      </c>
      <c r="L1046" s="444">
        <f t="shared" ca="1" si="104"/>
        <v>-23573887.299096819</v>
      </c>
      <c r="M1046" s="460">
        <f t="shared" si="106"/>
        <v>0.05</v>
      </c>
      <c r="N1046" s="464">
        <f t="shared" si="107"/>
        <v>82881</v>
      </c>
    </row>
    <row r="1047" spans="7:14" ht="11.25" customHeight="1" x14ac:dyDescent="0.3">
      <c r="G1047" s="459"/>
      <c r="H1047" s="459">
        <v>1040</v>
      </c>
      <c r="I1047" s="444">
        <f t="shared" ca="1" si="105"/>
        <v>-23573887.299096819</v>
      </c>
      <c r="J1047" s="444">
        <f t="array" ref="J1047">IFERROR(INDEX('Retirement Calculator'!K:K,MATCH('Lorri 401b'!N1047,'Retirement Calculator'!A:A,0),0),0)</f>
        <v>20367.195264578786</v>
      </c>
      <c r="K1047" s="444">
        <f t="shared" ca="1" si="103"/>
        <v>-98309.393726505819</v>
      </c>
      <c r="L1047" s="444">
        <f t="shared" ca="1" si="104"/>
        <v>-23692563.888087902</v>
      </c>
      <c r="M1047" s="460">
        <f t="shared" si="106"/>
        <v>0.05</v>
      </c>
      <c r="N1047" s="464">
        <f t="shared" si="107"/>
        <v>82912</v>
      </c>
    </row>
    <row r="1048" spans="7:14" ht="11.25" customHeight="1" x14ac:dyDescent="0.3">
      <c r="G1048" s="459"/>
      <c r="H1048" s="459">
        <v>1041</v>
      </c>
      <c r="I1048" s="444">
        <f t="shared" ca="1" si="105"/>
        <v>-23692563.888087902</v>
      </c>
      <c r="J1048" s="444">
        <f t="array" ref="J1048">IFERROR(INDEX('Retirement Calculator'!K:K,MATCH('Lorri 401b'!N1048,'Retirement Calculator'!A:A,0),0),0)</f>
        <v>20367.195264578786</v>
      </c>
      <c r="K1048" s="444">
        <f t="shared" ca="1" si="103"/>
        <v>-98803.87951396867</v>
      </c>
      <c r="L1048" s="444">
        <f t="shared" ca="1" si="104"/>
        <v>-23811734.962866448</v>
      </c>
      <c r="M1048" s="460">
        <f t="shared" si="106"/>
        <v>0.05</v>
      </c>
      <c r="N1048" s="464">
        <f t="shared" si="107"/>
        <v>82943</v>
      </c>
    </row>
    <row r="1049" spans="7:14" ht="11.25" customHeight="1" x14ac:dyDescent="0.3">
      <c r="G1049" s="459"/>
      <c r="H1049" s="459">
        <v>1042</v>
      </c>
      <c r="I1049" s="444">
        <f t="shared" ca="1" si="105"/>
        <v>-23811734.962866448</v>
      </c>
      <c r="J1049" s="444">
        <f t="array" ref="J1049">IFERROR(INDEX('Retirement Calculator'!K:K,MATCH('Lorri 401b'!N1049,'Retirement Calculator'!A:A,0),0),0)</f>
        <v>20367.195264578786</v>
      </c>
      <c r="K1049" s="444">
        <f t="shared" ca="1" si="103"/>
        <v>-99300.425658879278</v>
      </c>
      <c r="L1049" s="444">
        <f t="shared" ca="1" si="104"/>
        <v>-23931402.583789904</v>
      </c>
      <c r="M1049" s="460">
        <f t="shared" si="106"/>
        <v>0.05</v>
      </c>
      <c r="N1049" s="464">
        <f t="shared" si="107"/>
        <v>82971</v>
      </c>
    </row>
    <row r="1050" spans="7:14" ht="11.25" customHeight="1" x14ac:dyDescent="0.3">
      <c r="G1050" s="459"/>
      <c r="H1050" s="459">
        <v>1043</v>
      </c>
      <c r="I1050" s="444">
        <f t="shared" ca="1" si="105"/>
        <v>-23931402.583789904</v>
      </c>
      <c r="J1050" s="444">
        <f t="array" ref="J1050">IFERROR(INDEX('Retirement Calculator'!K:K,MATCH('Lorri 401b'!N1050,'Retirement Calculator'!A:A,0),0),0)</f>
        <v>20367.195264578786</v>
      </c>
      <c r="K1050" s="444">
        <f t="shared" ca="1" si="103"/>
        <v>-99799.040746060346</v>
      </c>
      <c r="L1050" s="444">
        <f t="shared" ca="1" si="104"/>
        <v>-24051568.819800541</v>
      </c>
      <c r="M1050" s="460">
        <f t="shared" si="106"/>
        <v>0.05</v>
      </c>
      <c r="N1050" s="464">
        <f t="shared" si="107"/>
        <v>83002</v>
      </c>
    </row>
    <row r="1051" spans="7:14" ht="11.25" customHeight="1" x14ac:dyDescent="0.3">
      <c r="G1051" s="459"/>
      <c r="H1051" s="459">
        <v>1044</v>
      </c>
      <c r="I1051" s="444">
        <f t="shared" ca="1" si="105"/>
        <v>-24051568.819800541</v>
      </c>
      <c r="J1051" s="444">
        <f t="array" ref="J1051">IFERROR(INDEX('Retirement Calculator'!K:K,MATCH('Lorri 401b'!N1051,'Retirement Calculator'!A:A,0),0),0)</f>
        <v>20367.195264578786</v>
      </c>
      <c r="K1051" s="444">
        <f t="shared" ca="1" si="103"/>
        <v>-100299.73339610465</v>
      </c>
      <c r="L1051" s="444">
        <f t="shared" ca="1" si="104"/>
        <v>-24172235.748461224</v>
      </c>
      <c r="M1051" s="460">
        <f t="shared" si="106"/>
        <v>0.05</v>
      </c>
      <c r="N1051" s="464">
        <f t="shared" si="107"/>
        <v>83032</v>
      </c>
    </row>
    <row r="1052" spans="7:14" ht="11.25" customHeight="1" x14ac:dyDescent="0.3">
      <c r="G1052" s="459"/>
      <c r="H1052" s="459">
        <v>1045</v>
      </c>
      <c r="I1052" s="444">
        <f t="shared" ca="1" si="105"/>
        <v>-24172235.748461224</v>
      </c>
      <c r="J1052" s="444">
        <f t="array" ref="J1052">IFERROR(INDEX('Retirement Calculator'!K:K,MATCH('Lorri 401b'!N1052,'Retirement Calculator'!A:A,0),0),0)</f>
        <v>20367.195264578786</v>
      </c>
      <c r="K1052" s="444">
        <f t="shared" ca="1" si="103"/>
        <v>-100802.51226552417</v>
      </c>
      <c r="L1052" s="444">
        <f t="shared" ca="1" si="104"/>
        <v>-24293405.455991328</v>
      </c>
      <c r="M1052" s="460">
        <f t="shared" si="106"/>
        <v>0.05</v>
      </c>
      <c r="N1052" s="464">
        <f t="shared" si="107"/>
        <v>83063</v>
      </c>
    </row>
    <row r="1053" spans="7:14" ht="11.25" customHeight="1" x14ac:dyDescent="0.3">
      <c r="G1053" s="459"/>
      <c r="H1053" s="459">
        <v>1046</v>
      </c>
      <c r="I1053" s="444">
        <f t="shared" ca="1" si="105"/>
        <v>-24293405.455991328</v>
      </c>
      <c r="J1053" s="444">
        <f t="array" ref="J1053">IFERROR(INDEX('Retirement Calculator'!K:K,MATCH('Lorri 401b'!N1053,'Retirement Calculator'!A:A,0),0),0)</f>
        <v>20367.195264578786</v>
      </c>
      <c r="K1053" s="444">
        <f t="shared" ca="1" si="103"/>
        <v>-101307.3860468996</v>
      </c>
      <c r="L1053" s="444">
        <f t="shared" ca="1" si="104"/>
        <v>-24415080.037302807</v>
      </c>
      <c r="M1053" s="460">
        <f t="shared" si="106"/>
        <v>0.05</v>
      </c>
      <c r="N1053" s="464">
        <f t="shared" si="107"/>
        <v>83093</v>
      </c>
    </row>
    <row r="1054" spans="7:14" ht="11.25" customHeight="1" x14ac:dyDescent="0.3">
      <c r="G1054" s="459"/>
      <c r="H1054" s="459">
        <v>1047</v>
      </c>
      <c r="I1054" s="444">
        <f t="shared" ca="1" si="105"/>
        <v>-24415080.037302807</v>
      </c>
      <c r="J1054" s="444">
        <f t="array" ref="J1054">IFERROR(INDEX('Retirement Calculator'!K:K,MATCH('Lorri 401b'!N1054,'Retirement Calculator'!A:A,0),0),0)</f>
        <v>20367.195264578786</v>
      </c>
      <c r="K1054" s="444">
        <f t="shared" ca="1" si="103"/>
        <v>-101814.36346903077</v>
      </c>
      <c r="L1054" s="444">
        <f t="shared" ca="1" si="104"/>
        <v>-24537261.596036416</v>
      </c>
      <c r="M1054" s="460">
        <f t="shared" si="106"/>
        <v>0.05</v>
      </c>
      <c r="N1054" s="464">
        <f t="shared" si="107"/>
        <v>83124</v>
      </c>
    </row>
    <row r="1055" spans="7:14" ht="11.25" customHeight="1" x14ac:dyDescent="0.3">
      <c r="G1055" s="459"/>
      <c r="H1055" s="459">
        <v>1048</v>
      </c>
      <c r="I1055" s="444">
        <f t="shared" ca="1" si="105"/>
        <v>-24537261.596036416</v>
      </c>
      <c r="J1055" s="444">
        <f t="array" ref="J1055">IFERROR(INDEX('Retirement Calculator'!K:K,MATCH('Lorri 401b'!N1055,'Retirement Calculator'!A:A,0),0),0)</f>
        <v>20367.195264578786</v>
      </c>
      <c r="K1055" s="444">
        <f t="shared" ca="1" si="103"/>
        <v>-102323.45329708747</v>
      </c>
      <c r="L1055" s="444">
        <f t="shared" ca="1" si="104"/>
        <v>-24659952.244598079</v>
      </c>
      <c r="M1055" s="460">
        <f t="shared" si="106"/>
        <v>0.05</v>
      </c>
      <c r="N1055" s="464">
        <f t="shared" si="107"/>
        <v>83155</v>
      </c>
    </row>
    <row r="1056" spans="7:14" ht="11.25" customHeight="1" x14ac:dyDescent="0.3">
      <c r="G1056" s="459"/>
      <c r="H1056" s="459">
        <v>1049</v>
      </c>
      <c r="I1056" s="444">
        <f t="shared" ca="1" si="105"/>
        <v>-24659952.244598079</v>
      </c>
      <c r="J1056" s="444">
        <f t="array" ref="J1056">IFERROR(INDEX('Retirement Calculator'!K:K,MATCH('Lorri 401b'!N1056,'Retirement Calculator'!A:A,0),0),0)</f>
        <v>20367.195264578786</v>
      </c>
      <c r="K1056" s="444">
        <f t="shared" ca="1" si="103"/>
        <v>-102834.66433276107</v>
      </c>
      <c r="L1056" s="444">
        <f t="shared" ca="1" si="104"/>
        <v>-24783154.10419542</v>
      </c>
      <c r="M1056" s="460">
        <f t="shared" si="106"/>
        <v>0.05</v>
      </c>
      <c r="N1056" s="464">
        <f t="shared" si="107"/>
        <v>83185</v>
      </c>
    </row>
    <row r="1057" spans="7:14" ht="11.25" customHeight="1" x14ac:dyDescent="0.3">
      <c r="G1057" s="459"/>
      <c r="H1057" s="459">
        <v>1050</v>
      </c>
      <c r="I1057" s="444">
        <f t="shared" ca="1" si="105"/>
        <v>-24783154.10419542</v>
      </c>
      <c r="J1057" s="444">
        <f t="array" ref="J1057">IFERROR(INDEX('Retirement Calculator'!K:K,MATCH('Lorri 401b'!N1057,'Retirement Calculator'!A:A,0),0),0)</f>
        <v>20367.195264578786</v>
      </c>
      <c r="K1057" s="444">
        <f t="shared" ca="1" si="103"/>
        <v>-103348.00541441665</v>
      </c>
      <c r="L1057" s="444">
        <f t="shared" ca="1" si="104"/>
        <v>-24906869.304874413</v>
      </c>
      <c r="M1057" s="460">
        <f t="shared" si="106"/>
        <v>0.05</v>
      </c>
      <c r="N1057" s="464">
        <f t="shared" si="107"/>
        <v>83216</v>
      </c>
    </row>
    <row r="1058" spans="7:14" ht="11.25" customHeight="1" x14ac:dyDescent="0.3">
      <c r="G1058" s="459"/>
      <c r="H1058" s="459">
        <v>1051</v>
      </c>
      <c r="I1058" s="444">
        <f t="shared" ca="1" si="105"/>
        <v>-24906869.304874413</v>
      </c>
      <c r="J1058" s="444">
        <f t="array" ref="J1058">IFERROR(INDEX('Retirement Calculator'!K:K,MATCH('Lorri 401b'!N1058,'Retirement Calculator'!A:A,0),0),0)</f>
        <v>20367.195264578786</v>
      </c>
      <c r="K1058" s="444">
        <f t="shared" ca="1" si="103"/>
        <v>-103863.4854172458</v>
      </c>
      <c r="L1058" s="444">
        <f t="shared" ca="1" si="104"/>
        <v>-25031099.985556237</v>
      </c>
      <c r="M1058" s="460">
        <f t="shared" si="106"/>
        <v>0.05</v>
      </c>
      <c r="N1058" s="464">
        <f t="shared" si="107"/>
        <v>83246</v>
      </c>
    </row>
    <row r="1059" spans="7:14" ht="11.25" customHeight="1" x14ac:dyDescent="0.3">
      <c r="G1059" s="459"/>
      <c r="H1059" s="459">
        <v>1052</v>
      </c>
      <c r="I1059" s="444">
        <f t="shared" ca="1" si="105"/>
        <v>-25031099.985556237</v>
      </c>
      <c r="J1059" s="444">
        <f t="array" ref="J1059">IFERROR(INDEX('Retirement Calculator'!K:K,MATCH('Lorri 401b'!N1059,'Retirement Calculator'!A:A,0),0),0)</f>
        <v>20367.195264578786</v>
      </c>
      <c r="K1059" s="444">
        <f t="shared" ca="1" si="103"/>
        <v>-104381.11325342006</v>
      </c>
      <c r="L1059" s="444">
        <f t="shared" ca="1" si="104"/>
        <v>-25155848.294074234</v>
      </c>
      <c r="M1059" s="460">
        <f t="shared" si="106"/>
        <v>0.05</v>
      </c>
      <c r="N1059" s="464">
        <f t="shared" si="107"/>
        <v>83277</v>
      </c>
    </row>
    <row r="1060" spans="7:14" ht="11.25" customHeight="1" x14ac:dyDescent="0.3">
      <c r="G1060" s="459"/>
      <c r="H1060" s="459">
        <v>1053</v>
      </c>
      <c r="I1060" s="444">
        <f t="shared" ca="1" si="105"/>
        <v>-25155848.294074234</v>
      </c>
      <c r="J1060" s="444">
        <f t="array" ref="J1060">IFERROR(INDEX('Retirement Calculator'!K:K,MATCH('Lorri 401b'!N1060,'Retirement Calculator'!A:A,0),0),0)</f>
        <v>20367.195264578786</v>
      </c>
      <c r="K1060" s="444">
        <f t="shared" ca="1" si="103"/>
        <v>-104900.89787224504</v>
      </c>
      <c r="L1060" s="444">
        <f t="shared" ca="1" si="104"/>
        <v>-25281116.387211058</v>
      </c>
      <c r="M1060" s="460">
        <f t="shared" si="106"/>
        <v>0.05</v>
      </c>
      <c r="N1060" s="464">
        <f t="shared" si="107"/>
        <v>83308</v>
      </c>
    </row>
    <row r="1061" spans="7:14" ht="11.25" customHeight="1" x14ac:dyDescent="0.3">
      <c r="G1061" s="459"/>
      <c r="H1061" s="459">
        <v>1054</v>
      </c>
      <c r="I1061" s="444">
        <f t="shared" ca="1" si="105"/>
        <v>-25281116.387211058</v>
      </c>
      <c r="J1061" s="444">
        <f t="array" ref="J1061">IFERROR(INDEX('Retirement Calculator'!K:K,MATCH('Lorri 401b'!N1061,'Retirement Calculator'!A:A,0),0),0)</f>
        <v>20367.195264578786</v>
      </c>
      <c r="K1061" s="444">
        <f t="shared" ca="1" si="103"/>
        <v>-105422.84826031515</v>
      </c>
      <c r="L1061" s="444">
        <f t="shared" ca="1" si="104"/>
        <v>-25406906.430735953</v>
      </c>
      <c r="M1061" s="460">
        <f t="shared" si="106"/>
        <v>0.05</v>
      </c>
      <c r="N1061" s="464">
        <f t="shared" si="107"/>
        <v>83337</v>
      </c>
    </row>
    <row r="1062" spans="7:14" ht="11.25" customHeight="1" x14ac:dyDescent="0.3">
      <c r="G1062" s="459"/>
      <c r="H1062" s="459">
        <v>1055</v>
      </c>
      <c r="I1062" s="444">
        <f t="shared" ca="1" si="105"/>
        <v>-25406906.430735953</v>
      </c>
      <c r="J1062" s="444">
        <f t="array" ref="J1062">IFERROR(INDEX('Retirement Calculator'!K:K,MATCH('Lorri 401b'!N1062,'Retirement Calculator'!A:A,0),0),0)</f>
        <v>20367.195264578786</v>
      </c>
      <c r="K1062" s="444">
        <f t="shared" ca="1" si="103"/>
        <v>-105946.97344166887</v>
      </c>
      <c r="L1062" s="444">
        <f t="shared" ca="1" si="104"/>
        <v>-25533220.599442199</v>
      </c>
      <c r="M1062" s="460">
        <f t="shared" si="106"/>
        <v>0.05</v>
      </c>
      <c r="N1062" s="464">
        <f t="shared" si="107"/>
        <v>83368</v>
      </c>
    </row>
    <row r="1063" spans="7:14" ht="11.25" customHeight="1" x14ac:dyDescent="0.3">
      <c r="G1063" s="459"/>
      <c r="H1063" s="459">
        <v>1056</v>
      </c>
      <c r="I1063" s="444">
        <f t="shared" ca="1" si="105"/>
        <v>-25533220.599442199</v>
      </c>
      <c r="J1063" s="444">
        <f t="array" ref="J1063">IFERROR(INDEX('Retirement Calculator'!K:K,MATCH('Lorri 401b'!N1063,'Retirement Calculator'!A:A,0),0),0)</f>
        <v>20367.195264578786</v>
      </c>
      <c r="K1063" s="444">
        <f t="shared" ca="1" si="103"/>
        <v>-106473.2824779449</v>
      </c>
      <c r="L1063" s="444">
        <f t="shared" ca="1" si="104"/>
        <v>-25660061.077184722</v>
      </c>
      <c r="M1063" s="460">
        <f t="shared" si="106"/>
        <v>0.05</v>
      </c>
      <c r="N1063" s="464">
        <f t="shared" si="107"/>
        <v>83398</v>
      </c>
    </row>
    <row r="1064" spans="7:14" ht="11.25" customHeight="1" x14ac:dyDescent="0.3">
      <c r="G1064" s="459"/>
      <c r="H1064" s="459">
        <v>1057</v>
      </c>
      <c r="I1064" s="444">
        <f t="shared" ca="1" si="105"/>
        <v>-25660061.077184722</v>
      </c>
      <c r="J1064" s="444">
        <f t="array" ref="J1064">IFERROR(INDEX('Retirement Calculator'!K:K,MATCH('Lorri 401b'!N1064,'Retirement Calculator'!A:A,0),0),0)</f>
        <v>20367.195264578786</v>
      </c>
      <c r="K1064" s="444">
        <f t="shared" ca="1" si="103"/>
        <v>-107001.78446853875</v>
      </c>
      <c r="L1064" s="444">
        <f t="shared" ca="1" si="104"/>
        <v>-25787430.056917839</v>
      </c>
      <c r="M1064" s="460">
        <f t="shared" si="106"/>
        <v>0.05</v>
      </c>
      <c r="N1064" s="464">
        <f t="shared" si="107"/>
        <v>83429</v>
      </c>
    </row>
    <row r="1065" spans="7:14" ht="11.25" customHeight="1" x14ac:dyDescent="0.3">
      <c r="G1065" s="459"/>
      <c r="H1065" s="459">
        <v>1058</v>
      </c>
      <c r="I1065" s="444">
        <f t="shared" ca="1" si="105"/>
        <v>-25787430.056917839</v>
      </c>
      <c r="J1065" s="444">
        <f t="array" ref="J1065">IFERROR(INDEX('Retirement Calculator'!K:K,MATCH('Lorri 401b'!N1065,'Retirement Calculator'!A:A,0),0),0)</f>
        <v>20367.195264578786</v>
      </c>
      <c r="K1065" s="444">
        <f t="shared" ca="1" si="103"/>
        <v>-107532.48855076007</v>
      </c>
      <c r="L1065" s="444">
        <f t="shared" ca="1" si="104"/>
        <v>-25915329.740733176</v>
      </c>
      <c r="M1065" s="460">
        <f t="shared" si="106"/>
        <v>0.05</v>
      </c>
      <c r="N1065" s="464">
        <f t="shared" si="107"/>
        <v>83459</v>
      </c>
    </row>
    <row r="1066" spans="7:14" ht="11.25" customHeight="1" x14ac:dyDescent="0.3">
      <c r="G1066" s="459"/>
      <c r="H1066" s="459">
        <v>1059</v>
      </c>
      <c r="I1066" s="444">
        <f t="shared" ca="1" si="105"/>
        <v>-25915329.740733176</v>
      </c>
      <c r="J1066" s="444">
        <f t="array" ref="J1066">IFERROR(INDEX('Retirement Calculator'!K:K,MATCH('Lorri 401b'!N1066,'Retirement Calculator'!A:A,0),0),0)</f>
        <v>20367.195264578786</v>
      </c>
      <c r="K1066" s="444">
        <f t="shared" ca="1" si="103"/>
        <v>-108065.40389999065</v>
      </c>
      <c r="L1066" s="444">
        <f t="shared" ca="1" si="104"/>
        <v>-26043762.339897744</v>
      </c>
      <c r="M1066" s="460">
        <f t="shared" si="106"/>
        <v>0.05</v>
      </c>
      <c r="N1066" s="464">
        <f t="shared" si="107"/>
        <v>83490</v>
      </c>
    </row>
    <row r="1067" spans="7:14" ht="11.25" customHeight="1" x14ac:dyDescent="0.3">
      <c r="G1067" s="459"/>
      <c r="H1067" s="459">
        <v>1060</v>
      </c>
      <c r="I1067" s="444">
        <f t="shared" ca="1" si="105"/>
        <v>-26043762.339897744</v>
      </c>
      <c r="J1067" s="444">
        <f t="array" ref="J1067">IFERROR(INDEX('Retirement Calculator'!K:K,MATCH('Lorri 401b'!N1067,'Retirement Calculator'!A:A,0),0),0)</f>
        <v>20367.195264578786</v>
      </c>
      <c r="K1067" s="444">
        <f t="shared" ca="1" si="103"/>
        <v>-108600.539729843</v>
      </c>
      <c r="L1067" s="444">
        <f t="shared" ca="1" si="104"/>
        <v>-26172730.074892167</v>
      </c>
      <c r="M1067" s="460">
        <f t="shared" si="106"/>
        <v>0.05</v>
      </c>
      <c r="N1067" s="464">
        <f t="shared" si="107"/>
        <v>83521</v>
      </c>
    </row>
    <row r="1068" spans="7:14" ht="11.25" customHeight="1" x14ac:dyDescent="0.3">
      <c r="G1068" s="459"/>
      <c r="H1068" s="459">
        <v>1061</v>
      </c>
      <c r="I1068" s="444">
        <f t="shared" ca="1" si="105"/>
        <v>-26172730.074892167</v>
      </c>
      <c r="J1068" s="444">
        <f t="array" ref="J1068">IFERROR(INDEX('Retirement Calculator'!K:K,MATCH('Lorri 401b'!N1068,'Retirement Calculator'!A:A,0),0),0)</f>
        <v>20367.195264578786</v>
      </c>
      <c r="K1068" s="444">
        <f t="shared" ca="1" si="103"/>
        <v>-109137.90529231977</v>
      </c>
      <c r="L1068" s="444">
        <f t="shared" ca="1" si="104"/>
        <v>-26302235.175449066</v>
      </c>
      <c r="M1068" s="460">
        <f t="shared" si="106"/>
        <v>0.05</v>
      </c>
      <c r="N1068" s="464">
        <f t="shared" si="107"/>
        <v>83551</v>
      </c>
    </row>
    <row r="1069" spans="7:14" ht="11.25" customHeight="1" x14ac:dyDescent="0.3">
      <c r="G1069" s="459"/>
      <c r="H1069" s="459">
        <v>1062</v>
      </c>
      <c r="I1069" s="444">
        <f t="shared" ca="1" si="105"/>
        <v>-26302235.175449066</v>
      </c>
      <c r="J1069" s="444">
        <f t="array" ref="J1069">IFERROR(INDEX('Retirement Calculator'!K:K,MATCH('Lorri 401b'!N1069,'Retirement Calculator'!A:A,0),0),0)</f>
        <v>20367.195264578786</v>
      </c>
      <c r="K1069" s="444">
        <f t="shared" ca="1" si="103"/>
        <v>-109677.50987797351</v>
      </c>
      <c r="L1069" s="444">
        <f t="shared" ca="1" si="104"/>
        <v>-26432279.880591616</v>
      </c>
      <c r="M1069" s="460">
        <f t="shared" si="106"/>
        <v>0.05</v>
      </c>
      <c r="N1069" s="464">
        <f t="shared" si="107"/>
        <v>83582</v>
      </c>
    </row>
    <row r="1070" spans="7:14" ht="11.25" customHeight="1" x14ac:dyDescent="0.3">
      <c r="G1070" s="459"/>
      <c r="H1070" s="459">
        <v>1063</v>
      </c>
      <c r="I1070" s="444">
        <f t="shared" ca="1" si="105"/>
        <v>-26432279.880591616</v>
      </c>
      <c r="J1070" s="444">
        <f t="array" ref="J1070">IFERROR(INDEX('Retirement Calculator'!K:K,MATCH('Lorri 401b'!N1070,'Retirement Calculator'!A:A,0),0),0)</f>
        <v>20367.195264578786</v>
      </c>
      <c r="K1070" s="444">
        <f t="shared" ca="1" si="103"/>
        <v>-110219.36281606749</v>
      </c>
      <c r="L1070" s="444">
        <f t="shared" ca="1" si="104"/>
        <v>-26562866.438672263</v>
      </c>
      <c r="M1070" s="460">
        <f t="shared" si="106"/>
        <v>0.05</v>
      </c>
      <c r="N1070" s="464">
        <f t="shared" si="107"/>
        <v>83612</v>
      </c>
    </row>
    <row r="1071" spans="7:14" ht="11.25" customHeight="1" x14ac:dyDescent="0.3">
      <c r="G1071" s="459"/>
      <c r="H1071" s="459">
        <v>1064</v>
      </c>
      <c r="I1071" s="444">
        <f t="shared" ca="1" si="105"/>
        <v>-26562866.438672263</v>
      </c>
      <c r="J1071" s="444">
        <f t="array" ref="J1071">IFERROR(INDEX('Retirement Calculator'!K:K,MATCH('Lorri 401b'!N1071,'Retirement Calculator'!A:A,0),0),0)</f>
        <v>20367.195264578786</v>
      </c>
      <c r="K1071" s="444">
        <f t="shared" ca="1" si="103"/>
        <v>-110763.47347473685</v>
      </c>
      <c r="L1071" s="444">
        <f t="shared" ca="1" si="104"/>
        <v>-26693997.107411578</v>
      </c>
      <c r="M1071" s="460">
        <f t="shared" si="106"/>
        <v>0.05</v>
      </c>
      <c r="N1071" s="464">
        <f t="shared" si="107"/>
        <v>83643</v>
      </c>
    </row>
    <row r="1072" spans="7:14" ht="11.25" customHeight="1" x14ac:dyDescent="0.3">
      <c r="G1072" s="459"/>
      <c r="H1072" s="459">
        <v>1065</v>
      </c>
      <c r="I1072" s="444">
        <f t="shared" ca="1" si="105"/>
        <v>-26693997.107411578</v>
      </c>
      <c r="J1072" s="444">
        <f t="array" ref="J1072">IFERROR(INDEX('Retirement Calculator'!K:K,MATCH('Lorri 401b'!N1072,'Retirement Calculator'!A:A,0),0),0)</f>
        <v>20367.195264578786</v>
      </c>
      <c r="K1072" s="444">
        <f t="shared" ca="1" si="103"/>
        <v>-111309.85126115066</v>
      </c>
      <c r="L1072" s="444">
        <f t="shared" ca="1" si="104"/>
        <v>-26825674.153937306</v>
      </c>
      <c r="M1072" s="460">
        <f t="shared" si="106"/>
        <v>0.05</v>
      </c>
      <c r="N1072" s="464">
        <f t="shared" si="107"/>
        <v>83674</v>
      </c>
    </row>
    <row r="1073" spans="7:14" ht="11.25" customHeight="1" x14ac:dyDescent="0.3">
      <c r="G1073" s="459"/>
      <c r="H1073" s="459">
        <v>1066</v>
      </c>
      <c r="I1073" s="444">
        <f t="shared" ca="1" si="105"/>
        <v>-26825674.153937306</v>
      </c>
      <c r="J1073" s="444">
        <f t="array" ref="J1073">IFERROR(INDEX('Retirement Calculator'!K:K,MATCH('Lorri 401b'!N1073,'Retirement Calculator'!A:A,0),0),0)</f>
        <v>20367.195264578786</v>
      </c>
      <c r="K1073" s="444">
        <f t="shared" ca="1" si="103"/>
        <v>-111858.50562167451</v>
      </c>
      <c r="L1073" s="444">
        <f t="shared" ca="1" si="104"/>
        <v>-26957899.85482356</v>
      </c>
      <c r="M1073" s="460">
        <f t="shared" si="106"/>
        <v>0.05</v>
      </c>
      <c r="N1073" s="464">
        <f t="shared" si="107"/>
        <v>83702</v>
      </c>
    </row>
    <row r="1074" spans="7:14" ht="11.25" customHeight="1" x14ac:dyDescent="0.3">
      <c r="G1074" s="459"/>
      <c r="H1074" s="459">
        <v>1067</v>
      </c>
      <c r="I1074" s="444">
        <f t="shared" ca="1" si="105"/>
        <v>-26957899.85482356</v>
      </c>
      <c r="J1074" s="444">
        <f t="array" ref="J1074">IFERROR(INDEX('Retirement Calculator'!K:K,MATCH('Lorri 401b'!N1074,'Retirement Calculator'!A:A,0),0),0)</f>
        <v>20367.195264578786</v>
      </c>
      <c r="K1074" s="444">
        <f t="shared" ca="1" si="103"/>
        <v>-112409.4460420339</v>
      </c>
      <c r="L1074" s="444">
        <f t="shared" ca="1" si="104"/>
        <v>-27090676.496130172</v>
      </c>
      <c r="M1074" s="460">
        <f t="shared" si="106"/>
        <v>0.05</v>
      </c>
      <c r="N1074" s="464">
        <f t="shared" si="107"/>
        <v>83733</v>
      </c>
    </row>
    <row r="1075" spans="7:14" ht="11.25" customHeight="1" x14ac:dyDescent="0.3">
      <c r="G1075" s="459"/>
      <c r="H1075" s="459">
        <v>1068</v>
      </c>
      <c r="I1075" s="444">
        <f t="shared" ca="1" si="105"/>
        <v>-27090676.496130172</v>
      </c>
      <c r="J1075" s="444">
        <f t="array" ref="J1075">IFERROR(INDEX('Retirement Calculator'!K:K,MATCH('Lorri 401b'!N1075,'Retirement Calculator'!A:A,0),0),0)</f>
        <v>20367.195264578786</v>
      </c>
      <c r="K1075" s="444">
        <f t="shared" ca="1" si="103"/>
        <v>-112962.68204747813</v>
      </c>
      <c r="L1075" s="444">
        <f t="shared" ca="1" si="104"/>
        <v>-27224006.373442229</v>
      </c>
      <c r="M1075" s="460">
        <f t="shared" si="106"/>
        <v>0.05</v>
      </c>
      <c r="N1075" s="464">
        <f t="shared" si="107"/>
        <v>83763</v>
      </c>
    </row>
    <row r="1076" spans="7:14" ht="11.25" customHeight="1" x14ac:dyDescent="0.3">
      <c r="G1076" s="459"/>
      <c r="H1076" s="459">
        <v>1069</v>
      </c>
      <c r="I1076" s="444">
        <f t="shared" ca="1" si="105"/>
        <v>-27224006.373442229</v>
      </c>
      <c r="J1076" s="444">
        <f t="array" ref="J1076">IFERROR(INDEX('Retirement Calculator'!K:K,MATCH('Lorri 401b'!N1076,'Retirement Calculator'!A:A,0),0),0)</f>
        <v>20367.195264578786</v>
      </c>
      <c r="K1076" s="444">
        <f t="shared" ca="1" si="103"/>
        <v>-113518.22320294502</v>
      </c>
      <c r="L1076" s="444">
        <f t="shared" ca="1" si="104"/>
        <v>-27357891.791909751</v>
      </c>
      <c r="M1076" s="460">
        <f t="shared" si="106"/>
        <v>0.05</v>
      </c>
      <c r="N1076" s="464">
        <f t="shared" si="107"/>
        <v>83794</v>
      </c>
    </row>
    <row r="1077" spans="7:14" ht="11.25" customHeight="1" x14ac:dyDescent="0.3">
      <c r="G1077" s="459"/>
      <c r="H1077" s="459">
        <v>1070</v>
      </c>
      <c r="I1077" s="444">
        <f t="shared" ca="1" si="105"/>
        <v>-27357891.791909751</v>
      </c>
      <c r="J1077" s="444">
        <f t="array" ref="J1077">IFERROR(INDEX('Retirement Calculator'!K:K,MATCH('Lorri 401b'!N1077,'Retirement Calculator'!A:A,0),0),0)</f>
        <v>20367.195264578786</v>
      </c>
      <c r="K1077" s="444">
        <f t="shared" ca="1" si="103"/>
        <v>-114076.07911322638</v>
      </c>
      <c r="L1077" s="444">
        <f t="shared" ca="1" si="104"/>
        <v>-27492335.066287555</v>
      </c>
      <c r="M1077" s="460">
        <f t="shared" si="106"/>
        <v>0.05</v>
      </c>
      <c r="N1077" s="464">
        <f t="shared" si="107"/>
        <v>83824</v>
      </c>
    </row>
    <row r="1078" spans="7:14" ht="11.25" customHeight="1" x14ac:dyDescent="0.3">
      <c r="G1078" s="459"/>
      <c r="H1078" s="459">
        <v>1071</v>
      </c>
      <c r="I1078" s="444">
        <f t="shared" ca="1" si="105"/>
        <v>-27492335.066287555</v>
      </c>
      <c r="J1078" s="444">
        <f t="array" ref="J1078">IFERROR(INDEX('Retirement Calculator'!K:K,MATCH('Lorri 401b'!N1078,'Retirement Calculator'!A:A,0),0),0)</f>
        <v>20367.195264578786</v>
      </c>
      <c r="K1078" s="444">
        <f t="shared" ca="1" si="103"/>
        <v>-114636.25942313389</v>
      </c>
      <c r="L1078" s="444">
        <f t="shared" ca="1" si="104"/>
        <v>-27627338.520975266</v>
      </c>
      <c r="M1078" s="460">
        <f t="shared" si="106"/>
        <v>0.05</v>
      </c>
      <c r="N1078" s="464">
        <f t="shared" si="107"/>
        <v>83855</v>
      </c>
    </row>
    <row r="1079" spans="7:14" ht="11.25" customHeight="1" x14ac:dyDescent="0.3">
      <c r="G1079" s="459"/>
      <c r="H1079" s="459">
        <v>1072</v>
      </c>
      <c r="I1079" s="444">
        <f t="shared" ca="1" si="105"/>
        <v>-27627338.520975266</v>
      </c>
      <c r="J1079" s="444">
        <f t="array" ref="J1079">IFERROR(INDEX('Retirement Calculator'!K:K,MATCH('Lorri 401b'!N1079,'Retirement Calculator'!A:A,0),0),0)</f>
        <v>20367.195264578786</v>
      </c>
      <c r="K1079" s="444">
        <f t="shared" ca="1" si="103"/>
        <v>-115198.77381766601</v>
      </c>
      <c r="L1079" s="444">
        <f t="shared" ca="1" si="104"/>
        <v>-27762904.490057509</v>
      </c>
      <c r="M1079" s="460">
        <f t="shared" si="106"/>
        <v>0.05</v>
      </c>
      <c r="N1079" s="464">
        <f t="shared" si="107"/>
        <v>83886</v>
      </c>
    </row>
    <row r="1080" spans="7:14" ht="11.25" customHeight="1" x14ac:dyDescent="0.3">
      <c r="G1080" s="459"/>
      <c r="H1080" s="459">
        <v>1073</v>
      </c>
      <c r="I1080" s="444">
        <f t="shared" ca="1" si="105"/>
        <v>-27762904.490057509</v>
      </c>
      <c r="J1080" s="444">
        <f t="array" ref="J1080">IFERROR(INDEX('Retirement Calculator'!K:K,MATCH('Lorri 401b'!N1080,'Retirement Calculator'!A:A,0),0),0)</f>
        <v>20367.195264578786</v>
      </c>
      <c r="K1080" s="444">
        <f t="shared" ca="1" si="103"/>
        <v>-115763.63202217536</v>
      </c>
      <c r="L1080" s="444">
        <f t="shared" ca="1" si="104"/>
        <v>-27899035.317344263</v>
      </c>
      <c r="M1080" s="460">
        <f t="shared" si="106"/>
        <v>0.05</v>
      </c>
      <c r="N1080" s="464">
        <f t="shared" si="107"/>
        <v>83916</v>
      </c>
    </row>
    <row r="1081" spans="7:14" ht="11.25" customHeight="1" x14ac:dyDescent="0.3">
      <c r="G1081" s="459"/>
      <c r="H1081" s="459">
        <v>1074</v>
      </c>
      <c r="I1081" s="444">
        <f t="shared" ca="1" si="105"/>
        <v>-27899035.317344263</v>
      </c>
      <c r="J1081" s="444">
        <f t="array" ref="J1081">IFERROR(INDEX('Retirement Calculator'!K:K,MATCH('Lorri 401b'!N1081,'Retirement Calculator'!A:A,0),0),0)</f>
        <v>20367.195264578786</v>
      </c>
      <c r="K1081" s="444">
        <f t="shared" ca="1" si="103"/>
        <v>-116330.84380253684</v>
      </c>
      <c r="L1081" s="444">
        <f t="shared" ca="1" si="104"/>
        <v>-28035733.356411379</v>
      </c>
      <c r="M1081" s="460">
        <f t="shared" si="106"/>
        <v>0.05</v>
      </c>
      <c r="N1081" s="464">
        <f t="shared" si="107"/>
        <v>83947</v>
      </c>
    </row>
    <row r="1082" spans="7:14" ht="11.25" customHeight="1" x14ac:dyDescent="0.3">
      <c r="G1082" s="459"/>
      <c r="H1082" s="459">
        <v>1075</v>
      </c>
      <c r="I1082" s="444">
        <f t="shared" ca="1" si="105"/>
        <v>-28035733.356411379</v>
      </c>
      <c r="J1082" s="444">
        <f t="array" ref="J1082">IFERROR(INDEX('Retirement Calculator'!K:K,MATCH('Lorri 401b'!N1082,'Retirement Calculator'!A:A,0),0),0)</f>
        <v>20367.195264578786</v>
      </c>
      <c r="K1082" s="444">
        <f t="shared" ca="1" si="103"/>
        <v>-116900.41896531649</v>
      </c>
      <c r="L1082" s="444">
        <f t="shared" ca="1" si="104"/>
        <v>-28173000.970641274</v>
      </c>
      <c r="M1082" s="460">
        <f t="shared" si="106"/>
        <v>0.05</v>
      </c>
      <c r="N1082" s="464">
        <f t="shared" si="107"/>
        <v>83977</v>
      </c>
    </row>
    <row r="1083" spans="7:14" ht="11.25" customHeight="1" x14ac:dyDescent="0.3">
      <c r="G1083" s="459"/>
      <c r="H1083" s="459">
        <v>1076</v>
      </c>
      <c r="I1083" s="444">
        <f t="shared" ca="1" si="105"/>
        <v>-28173000.970641274</v>
      </c>
      <c r="J1083" s="444">
        <f t="array" ref="J1083">IFERROR(INDEX('Retirement Calculator'!K:K,MATCH('Lorri 401b'!N1083,'Retirement Calculator'!A:A,0),0),0)</f>
        <v>20367.195264578786</v>
      </c>
      <c r="K1083" s="444">
        <f t="shared" ca="1" si="103"/>
        <v>-117472.36735794105</v>
      </c>
      <c r="L1083" s="444">
        <f t="shared" ca="1" si="104"/>
        <v>-28310840.533263791</v>
      </c>
      <c r="M1083" s="460">
        <f t="shared" si="106"/>
        <v>0.05</v>
      </c>
      <c r="N1083" s="464">
        <f t="shared" si="107"/>
        <v>84008</v>
      </c>
    </row>
    <row r="1084" spans="7:14" ht="11.25" customHeight="1" x14ac:dyDescent="0.3">
      <c r="G1084" s="459"/>
      <c r="H1084" s="459">
        <v>1077</v>
      </c>
      <c r="I1084" s="444">
        <f t="shared" ca="1" si="105"/>
        <v>-28310840.533263791</v>
      </c>
      <c r="J1084" s="444">
        <f t="array" ref="J1084">IFERROR(INDEX('Retirement Calculator'!K:K,MATCH('Lorri 401b'!N1084,'Retirement Calculator'!A:A,0),0),0)</f>
        <v>20367.195264578786</v>
      </c>
      <c r="K1084" s="444">
        <f t="shared" ca="1" si="103"/>
        <v>-118046.69886886822</v>
      </c>
      <c r="L1084" s="444">
        <f t="shared" ca="1" si="104"/>
        <v>-28449254.427397236</v>
      </c>
      <c r="M1084" s="460">
        <f t="shared" si="106"/>
        <v>0.05</v>
      </c>
      <c r="N1084" s="464">
        <f t="shared" si="107"/>
        <v>84039</v>
      </c>
    </row>
    <row r="1085" spans="7:14" ht="11.25" customHeight="1" x14ac:dyDescent="0.3">
      <c r="G1085" s="459"/>
      <c r="H1085" s="459">
        <v>1078</v>
      </c>
      <c r="I1085" s="444">
        <f t="shared" ca="1" si="105"/>
        <v>-28449254.427397236</v>
      </c>
      <c r="J1085" s="444">
        <f t="array" ref="J1085">IFERROR(INDEX('Retirement Calculator'!K:K,MATCH('Lorri 401b'!N1085,'Retirement Calculator'!A:A,0),0),0)</f>
        <v>20367.195264578786</v>
      </c>
      <c r="K1085" s="444">
        <f t="shared" ca="1" si="103"/>
        <v>-118623.42342775756</v>
      </c>
      <c r="L1085" s="444">
        <f t="shared" ca="1" si="104"/>
        <v>-28588245.046089571</v>
      </c>
      <c r="M1085" s="460">
        <f t="shared" si="106"/>
        <v>0.05</v>
      </c>
      <c r="N1085" s="464">
        <f t="shared" si="107"/>
        <v>84067</v>
      </c>
    </row>
    <row r="1086" spans="7:14" ht="11.25" customHeight="1" x14ac:dyDescent="0.3">
      <c r="G1086" s="459"/>
      <c r="H1086" s="459">
        <v>1079</v>
      </c>
      <c r="I1086" s="444">
        <f t="shared" ca="1" si="105"/>
        <v>-28588245.046089571</v>
      </c>
      <c r="J1086" s="444">
        <f t="array" ref="J1086">IFERROR(INDEX('Retirement Calculator'!K:K,MATCH('Lorri 401b'!N1086,'Retirement Calculator'!A:A,0),0),0)</f>
        <v>20367.195264578786</v>
      </c>
      <c r="K1086" s="444">
        <f t="shared" ca="1" si="103"/>
        <v>-119202.55100564228</v>
      </c>
      <c r="L1086" s="444">
        <f t="shared" ca="1" si="104"/>
        <v>-28727814.792359792</v>
      </c>
      <c r="M1086" s="460">
        <f t="shared" si="106"/>
        <v>0.05</v>
      </c>
      <c r="N1086" s="464">
        <f t="shared" si="107"/>
        <v>84098</v>
      </c>
    </row>
    <row r="1087" spans="7:14" ht="11.25" customHeight="1" x14ac:dyDescent="0.3">
      <c r="G1087" s="459"/>
      <c r="H1087" s="459">
        <v>1080</v>
      </c>
      <c r="I1087" s="444">
        <f t="shared" ca="1" si="105"/>
        <v>-28727814.792359792</v>
      </c>
      <c r="J1087" s="444">
        <f t="array" ref="J1087">IFERROR(INDEX('Retirement Calculator'!K:K,MATCH('Lorri 401b'!N1087,'Retirement Calculator'!A:A,0),0),0)</f>
        <v>20367.195264578786</v>
      </c>
      <c r="K1087" s="444">
        <f t="shared" ca="1" si="103"/>
        <v>-119784.09161510153</v>
      </c>
      <c r="L1087" s="444">
        <f t="shared" ca="1" si="104"/>
        <v>-28867966.079239473</v>
      </c>
      <c r="M1087" s="460">
        <f t="shared" si="106"/>
        <v>0.05</v>
      </c>
      <c r="N1087" s="464">
        <f t="shared" si="107"/>
        <v>84128</v>
      </c>
    </row>
    <row r="1088" spans="7:14" ht="11.25" customHeight="1" x14ac:dyDescent="0.3">
      <c r="G1088" s="459"/>
      <c r="H1088" s="459">
        <v>1081</v>
      </c>
      <c r="I1088" s="444">
        <f t="shared" ca="1" si="105"/>
        <v>-28867966.079239473</v>
      </c>
      <c r="J1088" s="444">
        <f t="array" ref="J1088">IFERROR(INDEX('Retirement Calculator'!K:K,MATCH('Lorri 401b'!N1088,'Retirement Calculator'!A:A,0),0),0)</f>
        <v>20367.195264578786</v>
      </c>
      <c r="K1088" s="444">
        <f t="shared" ca="1" si="103"/>
        <v>-120368.05531043356</v>
      </c>
      <c r="L1088" s="444">
        <f t="shared" ca="1" si="104"/>
        <v>-29008701.329814482</v>
      </c>
      <c r="M1088" s="460">
        <f t="shared" si="106"/>
        <v>0.05</v>
      </c>
      <c r="N1088" s="464">
        <f t="shared" si="107"/>
        <v>84159</v>
      </c>
    </row>
    <row r="1089" spans="7:14" ht="11.25" customHeight="1" x14ac:dyDescent="0.3">
      <c r="G1089" s="459"/>
      <c r="H1089" s="459">
        <v>1082</v>
      </c>
      <c r="I1089" s="444">
        <f t="shared" ca="1" si="105"/>
        <v>-29008701.329814482</v>
      </c>
      <c r="J1089" s="444">
        <f t="array" ref="J1089">IFERROR(INDEX('Retirement Calculator'!K:K,MATCH('Lorri 401b'!N1089,'Retirement Calculator'!A:A,0),0),0)</f>
        <v>20367.195264578786</v>
      </c>
      <c r="K1089" s="444">
        <f t="shared" ca="1" si="103"/>
        <v>-120954.45218782942</v>
      </c>
      <c r="L1089" s="444">
        <f t="shared" ca="1" si="104"/>
        <v>-29150022.977266889</v>
      </c>
      <c r="M1089" s="460">
        <f t="shared" si="106"/>
        <v>0.05</v>
      </c>
      <c r="N1089" s="464">
        <f t="shared" si="107"/>
        <v>84189</v>
      </c>
    </row>
    <row r="1090" spans="7:14" ht="11.25" customHeight="1" x14ac:dyDescent="0.3">
      <c r="G1090" s="459"/>
      <c r="H1090" s="459">
        <v>1083</v>
      </c>
      <c r="I1090" s="444">
        <f t="shared" ca="1" si="105"/>
        <v>-29150022.977266889</v>
      </c>
      <c r="J1090" s="444">
        <f t="array" ref="J1090">IFERROR(INDEX('Retirement Calculator'!K:K,MATCH('Lorri 401b'!N1090,'Retirement Calculator'!A:A,0),0),0)</f>
        <v>20367.195264578786</v>
      </c>
      <c r="K1090" s="444">
        <f t="shared" ca="1" si="103"/>
        <v>-121543.29238554777</v>
      </c>
      <c r="L1090" s="444">
        <f t="shared" ca="1" si="104"/>
        <v>-29291933.464917015</v>
      </c>
      <c r="M1090" s="460">
        <f t="shared" si="106"/>
        <v>0.05</v>
      </c>
      <c r="N1090" s="464">
        <f t="shared" si="107"/>
        <v>84220</v>
      </c>
    </row>
    <row r="1091" spans="7:14" ht="11.25" customHeight="1" x14ac:dyDescent="0.3">
      <c r="G1091" s="459"/>
      <c r="H1091" s="459">
        <v>1084</v>
      </c>
      <c r="I1091" s="444">
        <f t="shared" ca="1" si="105"/>
        <v>-29291933.464917015</v>
      </c>
      <c r="J1091" s="444">
        <f t="array" ref="J1091">IFERROR(INDEX('Retirement Calculator'!K:K,MATCH('Lorri 401b'!N1091,'Retirement Calculator'!A:A,0),0),0)</f>
        <v>20367.195264578786</v>
      </c>
      <c r="K1091" s="444">
        <f t="shared" ca="1" si="103"/>
        <v>-122134.58608408998</v>
      </c>
      <c r="L1091" s="444">
        <f t="shared" ca="1" si="104"/>
        <v>-29434435.246265683</v>
      </c>
      <c r="M1091" s="460">
        <f t="shared" si="106"/>
        <v>0.05</v>
      </c>
      <c r="N1091" s="464">
        <f t="shared" si="107"/>
        <v>84251</v>
      </c>
    </row>
    <row r="1092" spans="7:14" ht="11.25" customHeight="1" x14ac:dyDescent="0.3">
      <c r="G1092" s="459"/>
      <c r="H1092" s="459">
        <v>1085</v>
      </c>
      <c r="I1092" s="444">
        <f t="shared" ca="1" si="105"/>
        <v>-29434435.246265683</v>
      </c>
      <c r="J1092" s="444">
        <f t="array" ref="J1092">IFERROR(INDEX('Retirement Calculator'!K:K,MATCH('Lorri 401b'!N1092,'Retirement Calculator'!A:A,0),0),0)</f>
        <v>20367.195264578786</v>
      </c>
      <c r="K1092" s="444">
        <f t="shared" ca="1" si="103"/>
        <v>-122728.34350637608</v>
      </c>
      <c r="L1092" s="444">
        <f t="shared" ca="1" si="104"/>
        <v>-29577530.785036638</v>
      </c>
      <c r="M1092" s="460">
        <f t="shared" si="106"/>
        <v>0.05</v>
      </c>
      <c r="N1092" s="464">
        <f t="shared" si="107"/>
        <v>84281</v>
      </c>
    </row>
    <row r="1093" spans="7:14" ht="11.25" customHeight="1" x14ac:dyDescent="0.3">
      <c r="G1093" s="459"/>
      <c r="H1093" s="459">
        <v>1086</v>
      </c>
      <c r="I1093" s="444">
        <f t="shared" ca="1" si="105"/>
        <v>-29577530.785036638</v>
      </c>
      <c r="J1093" s="444">
        <f t="array" ref="J1093">IFERROR(INDEX('Retirement Calculator'!K:K,MATCH('Lorri 401b'!N1093,'Retirement Calculator'!A:A,0),0),0)</f>
        <v>20367.195264578786</v>
      </c>
      <c r="K1093" s="444">
        <f t="shared" ca="1" si="103"/>
        <v>-123324.57491792172</v>
      </c>
      <c r="L1093" s="444">
        <f t="shared" ca="1" si="104"/>
        <v>-29721222.555219136</v>
      </c>
      <c r="M1093" s="460">
        <f t="shared" si="106"/>
        <v>0.05</v>
      </c>
      <c r="N1093" s="464">
        <f t="shared" si="107"/>
        <v>84312</v>
      </c>
    </row>
    <row r="1094" spans="7:14" ht="11.25" customHeight="1" x14ac:dyDescent="0.3">
      <c r="G1094" s="459"/>
      <c r="H1094" s="459">
        <v>1087</v>
      </c>
      <c r="I1094" s="444">
        <f t="shared" ca="1" si="105"/>
        <v>-29721222.555219136</v>
      </c>
      <c r="J1094" s="444">
        <f t="array" ref="J1094">IFERROR(INDEX('Retirement Calculator'!K:K,MATCH('Lorri 401b'!N1094,'Retirement Calculator'!A:A,0),0),0)</f>
        <v>20367.195264578786</v>
      </c>
      <c r="K1094" s="444">
        <f t="shared" ca="1" si="103"/>
        <v>-123923.29062701548</v>
      </c>
      <c r="L1094" s="444">
        <f t="shared" ca="1" si="104"/>
        <v>-29865513.041110728</v>
      </c>
      <c r="M1094" s="460">
        <f t="shared" si="106"/>
        <v>0.05</v>
      </c>
      <c r="N1094" s="464">
        <f t="shared" si="107"/>
        <v>84342</v>
      </c>
    </row>
    <row r="1095" spans="7:14" ht="11.25" customHeight="1" x14ac:dyDescent="0.3">
      <c r="G1095" s="459"/>
      <c r="H1095" s="459">
        <v>1088</v>
      </c>
      <c r="I1095" s="444">
        <f t="shared" ca="1" si="105"/>
        <v>-29865513.041110728</v>
      </c>
      <c r="J1095" s="444">
        <f t="array" ref="J1095">IFERROR(INDEX('Retirement Calculator'!K:K,MATCH('Lorri 401b'!N1095,'Retirement Calculator'!A:A,0),0),0)</f>
        <v>20367.195264578786</v>
      </c>
      <c r="K1095" s="444">
        <f t="shared" ca="1" si="103"/>
        <v>-124524.50098489711</v>
      </c>
      <c r="L1095" s="444">
        <f t="shared" ca="1" si="104"/>
        <v>-30010404.737360202</v>
      </c>
      <c r="M1095" s="460">
        <f t="shared" si="106"/>
        <v>0.05</v>
      </c>
      <c r="N1095" s="464">
        <f t="shared" si="107"/>
        <v>84373</v>
      </c>
    </row>
    <row r="1096" spans="7:14" ht="11.25" customHeight="1" x14ac:dyDescent="0.3">
      <c r="G1096" s="459"/>
      <c r="H1096" s="459">
        <v>1089</v>
      </c>
      <c r="I1096" s="444">
        <f t="shared" ca="1" si="105"/>
        <v>-30010404.737360202</v>
      </c>
      <c r="J1096" s="444">
        <f t="array" ref="J1096">IFERROR(INDEX('Retirement Calculator'!K:K,MATCH('Lorri 401b'!N1096,'Retirement Calculator'!A:A,0),0),0)</f>
        <v>20367.195264578786</v>
      </c>
      <c r="K1096" s="444">
        <f t="shared" ca="1" si="103"/>
        <v>-125128.2163859366</v>
      </c>
      <c r="L1096" s="444">
        <f t="shared" ca="1" si="104"/>
        <v>-30155900.149010718</v>
      </c>
      <c r="M1096" s="460">
        <f t="shared" si="106"/>
        <v>0.05</v>
      </c>
      <c r="N1096" s="464">
        <f t="shared" si="107"/>
        <v>84404</v>
      </c>
    </row>
    <row r="1097" spans="7:14" ht="11.25" customHeight="1" x14ac:dyDescent="0.3">
      <c r="G1097" s="459"/>
      <c r="H1097" s="459">
        <v>1090</v>
      </c>
      <c r="I1097" s="444">
        <f t="shared" ca="1" si="105"/>
        <v>-30155900.149010718</v>
      </c>
      <c r="J1097" s="444">
        <f t="array" ref="J1097">IFERROR(INDEX('Retirement Calculator'!K:K,MATCH('Lorri 401b'!N1097,'Retirement Calculator'!A:A,0),0),0)</f>
        <v>20367.195264578786</v>
      </c>
      <c r="K1097" s="444">
        <f t="shared" ca="1" si="103"/>
        <v>-125734.44726781372</v>
      </c>
      <c r="L1097" s="444">
        <f t="shared" ca="1" si="104"/>
        <v>-30302001.791543111</v>
      </c>
      <c r="M1097" s="460">
        <f t="shared" si="106"/>
        <v>0.05</v>
      </c>
      <c r="N1097" s="464">
        <f t="shared" si="107"/>
        <v>84432</v>
      </c>
    </row>
    <row r="1098" spans="7:14" ht="11.25" customHeight="1" x14ac:dyDescent="0.3">
      <c r="G1098" s="459"/>
      <c r="H1098" s="459">
        <v>1091</v>
      </c>
      <c r="I1098" s="444">
        <f t="shared" ca="1" si="105"/>
        <v>-30302001.791543111</v>
      </c>
      <c r="J1098" s="444">
        <f t="array" ref="J1098">IFERROR(INDEX('Retirement Calculator'!K:K,MATCH('Lorri 401b'!N1098,'Retirement Calculator'!A:A,0),0),0)</f>
        <v>20367.195264578786</v>
      </c>
      <c r="K1098" s="444">
        <f t="shared" ca="1" si="103"/>
        <v>-126343.20411169871</v>
      </c>
      <c r="L1098" s="444">
        <f t="shared" ca="1" si="104"/>
        <v>-30448712.190919388</v>
      </c>
      <c r="M1098" s="460">
        <f t="shared" si="106"/>
        <v>0.05</v>
      </c>
      <c r="N1098" s="464">
        <f t="shared" si="107"/>
        <v>84463</v>
      </c>
    </row>
    <row r="1099" spans="7:14" ht="11.25" customHeight="1" x14ac:dyDescent="0.3">
      <c r="G1099" s="459"/>
      <c r="H1099" s="459">
        <v>1092</v>
      </c>
      <c r="I1099" s="444">
        <f t="shared" ca="1" si="105"/>
        <v>-30448712.190919388</v>
      </c>
      <c r="J1099" s="444">
        <f t="array" ref="J1099">IFERROR(INDEX('Retirement Calculator'!K:K,MATCH('Lorri 401b'!N1099,'Retirement Calculator'!A:A,0),0),0)</f>
        <v>20367.195264578786</v>
      </c>
      <c r="K1099" s="444">
        <f t="shared" ca="1" si="103"/>
        <v>-126954.49744243317</v>
      </c>
      <c r="L1099" s="444">
        <f t="shared" ca="1" si="104"/>
        <v>-30596033.883626398</v>
      </c>
      <c r="M1099" s="460">
        <f t="shared" si="106"/>
        <v>0.05</v>
      </c>
      <c r="N1099" s="464">
        <f t="shared" si="107"/>
        <v>84493</v>
      </c>
    </row>
    <row r="1100" spans="7:14" ht="11.25" customHeight="1" x14ac:dyDescent="0.3">
      <c r="G1100" s="459"/>
      <c r="H1100" s="459">
        <v>1093</v>
      </c>
      <c r="I1100" s="444">
        <f t="shared" ca="1" si="105"/>
        <v>-30596033.883626398</v>
      </c>
      <c r="J1100" s="444">
        <f t="array" ref="J1100">IFERROR(INDEX('Retirement Calculator'!K:K,MATCH('Lorri 401b'!N1100,'Retirement Calculator'!A:A,0),0),0)</f>
        <v>20367.195264578786</v>
      </c>
      <c r="K1100" s="444">
        <f t="shared" ca="1" si="103"/>
        <v>-127568.33782871241</v>
      </c>
      <c r="L1100" s="444">
        <f t="shared" ca="1" si="104"/>
        <v>-30743969.416719686</v>
      </c>
      <c r="M1100" s="460">
        <f t="shared" si="106"/>
        <v>0.05</v>
      </c>
      <c r="N1100" s="464">
        <f t="shared" si="107"/>
        <v>84524</v>
      </c>
    </row>
    <row r="1101" spans="7:14" ht="11.25" customHeight="1" x14ac:dyDescent="0.3">
      <c r="G1101" s="459"/>
      <c r="H1101" s="459">
        <v>1094</v>
      </c>
      <c r="I1101" s="444">
        <f t="shared" ca="1" si="105"/>
        <v>-30743969.416719686</v>
      </c>
      <c r="J1101" s="444">
        <f t="array" ref="J1101">IFERROR(INDEX('Retirement Calculator'!K:K,MATCH('Lorri 401b'!N1101,'Retirement Calculator'!A:A,0),0),0)</f>
        <v>20367.195264578786</v>
      </c>
      <c r="K1101" s="444">
        <f t="shared" ca="1" si="103"/>
        <v>-128184.73588326776</v>
      </c>
      <c r="L1101" s="444">
        <f t="shared" ca="1" si="104"/>
        <v>-30892521.347867534</v>
      </c>
      <c r="M1101" s="460">
        <f t="shared" si="106"/>
        <v>0.05</v>
      </c>
      <c r="N1101" s="464">
        <f t="shared" si="107"/>
        <v>84554</v>
      </c>
    </row>
    <row r="1102" spans="7:14" ht="11.25" customHeight="1" x14ac:dyDescent="0.3">
      <c r="G1102" s="459"/>
      <c r="H1102" s="459">
        <v>1095</v>
      </c>
      <c r="I1102" s="444">
        <f t="shared" ca="1" si="105"/>
        <v>-30892521.347867534</v>
      </c>
      <c r="J1102" s="444">
        <f t="array" ref="J1102">IFERROR(INDEX('Retirement Calculator'!K:K,MATCH('Lorri 401b'!N1102,'Retirement Calculator'!A:A,0),0),0)</f>
        <v>20367.195264578786</v>
      </c>
      <c r="K1102" s="444">
        <f t="shared" ca="1" si="103"/>
        <v>-128803.70226305048</v>
      </c>
      <c r="L1102" s="444">
        <f t="shared" ca="1" si="104"/>
        <v>-31041692.245395161</v>
      </c>
      <c r="M1102" s="460">
        <f t="shared" si="106"/>
        <v>0.05</v>
      </c>
      <c r="N1102" s="464">
        <f t="shared" si="107"/>
        <v>84585</v>
      </c>
    </row>
    <row r="1103" spans="7:14" ht="11.25" customHeight="1" x14ac:dyDescent="0.3">
      <c r="G1103" s="459"/>
      <c r="H1103" s="459">
        <v>1096</v>
      </c>
      <c r="I1103" s="444">
        <f t="shared" ca="1" si="105"/>
        <v>-31041692.245395161</v>
      </c>
      <c r="J1103" s="444">
        <f t="array" ref="J1103">IFERROR(INDEX('Retirement Calculator'!K:K,MATCH('Lorri 401b'!N1103,'Retirement Calculator'!A:A,0),0),0)</f>
        <v>20367.195264578786</v>
      </c>
      <c r="K1103" s="444">
        <f t="shared" ca="1" si="103"/>
        <v>-129425.24766941558</v>
      </c>
      <c r="L1103" s="444">
        <f t="shared" ca="1" si="104"/>
        <v>-31191484.688329156</v>
      </c>
      <c r="M1103" s="460">
        <f t="shared" si="106"/>
        <v>0.05</v>
      </c>
      <c r="N1103" s="464">
        <f t="shared" si="107"/>
        <v>84616</v>
      </c>
    </row>
    <row r="1104" spans="7:14" ht="11.25" customHeight="1" x14ac:dyDescent="0.3">
      <c r="G1104" s="459"/>
      <c r="H1104" s="459">
        <v>1097</v>
      </c>
      <c r="I1104" s="444">
        <f t="shared" ca="1" si="105"/>
        <v>-31191484.688329156</v>
      </c>
      <c r="J1104" s="444">
        <f t="array" ref="J1104">IFERROR(INDEX('Retirement Calculator'!K:K,MATCH('Lorri 401b'!N1104,'Retirement Calculator'!A:A,0),0),0)</f>
        <v>20367.195264578786</v>
      </c>
      <c r="K1104" s="444">
        <f t="shared" ca="1" si="103"/>
        <v>-130049.38284830724</v>
      </c>
      <c r="L1104" s="444">
        <f t="shared" ca="1" si="104"/>
        <v>-31341901.266442042</v>
      </c>
      <c r="M1104" s="460">
        <f t="shared" si="106"/>
        <v>0.05</v>
      </c>
      <c r="N1104" s="464">
        <f t="shared" si="107"/>
        <v>84646</v>
      </c>
    </row>
    <row r="1105" spans="7:14" ht="11.25" customHeight="1" x14ac:dyDescent="0.3">
      <c r="G1105" s="459"/>
      <c r="H1105" s="459">
        <v>1098</v>
      </c>
      <c r="I1105" s="444">
        <f t="shared" ca="1" si="105"/>
        <v>-31341901.266442042</v>
      </c>
      <c r="J1105" s="444">
        <f t="array" ref="J1105">IFERROR(INDEX('Retirement Calculator'!K:K,MATCH('Lorri 401b'!N1105,'Retirement Calculator'!A:A,0),0),0)</f>
        <v>20367.195264578786</v>
      </c>
      <c r="K1105" s="444">
        <f t="shared" ca="1" si="103"/>
        <v>-130676.11859044425</v>
      </c>
      <c r="L1105" s="444">
        <f t="shared" ca="1" si="104"/>
        <v>-31492944.580297064</v>
      </c>
      <c r="M1105" s="460">
        <f t="shared" si="106"/>
        <v>0.05</v>
      </c>
      <c r="N1105" s="464">
        <f t="shared" si="107"/>
        <v>84677</v>
      </c>
    </row>
    <row r="1106" spans="7:14" ht="11.25" customHeight="1" x14ac:dyDescent="0.3">
      <c r="G1106" s="459"/>
      <c r="H1106" s="459">
        <v>1099</v>
      </c>
      <c r="I1106" s="444">
        <f t="shared" ca="1" si="105"/>
        <v>-31492944.580297064</v>
      </c>
      <c r="J1106" s="444">
        <f t="array" ref="J1106">IFERROR(INDEX('Retirement Calculator'!K:K,MATCH('Lorri 401b'!N1106,'Retirement Calculator'!A:A,0),0),0)</f>
        <v>20367.195264578786</v>
      </c>
      <c r="K1106" s="444">
        <f t="shared" ca="1" si="103"/>
        <v>-131305.46573150685</v>
      </c>
      <c r="L1106" s="444">
        <f t="shared" ca="1" si="104"/>
        <v>-31644617.241293147</v>
      </c>
      <c r="M1106" s="460">
        <f t="shared" si="106"/>
        <v>0.05</v>
      </c>
      <c r="N1106" s="464">
        <f t="shared" si="107"/>
        <v>84707</v>
      </c>
    </row>
    <row r="1107" spans="7:14" ht="11.25" customHeight="1" x14ac:dyDescent="0.3">
      <c r="G1107" s="459"/>
      <c r="H1107" s="459">
        <v>1100</v>
      </c>
      <c r="I1107" s="444">
        <f t="shared" ca="1" si="105"/>
        <v>-31644617.241293147</v>
      </c>
      <c r="J1107" s="444">
        <f t="array" ref="J1107">IFERROR(INDEX('Retirement Calculator'!K:K,MATCH('Lorri 401b'!N1107,'Retirement Calculator'!A:A,0),0),0)</f>
        <v>20367.195264578786</v>
      </c>
      <c r="K1107" s="444">
        <f t="shared" ca="1" si="103"/>
        <v>-131937.43515232386</v>
      </c>
      <c r="L1107" s="444">
        <f t="shared" ca="1" si="104"/>
        <v>-31796921.871710047</v>
      </c>
      <c r="M1107" s="460">
        <f t="shared" si="106"/>
        <v>0.05</v>
      </c>
      <c r="N1107" s="464">
        <f t="shared" si="107"/>
        <v>84738</v>
      </c>
    </row>
    <row r="1108" spans="7:14" ht="11.25" customHeight="1" x14ac:dyDescent="0.3">
      <c r="G1108" s="459"/>
      <c r="H1108" s="459">
        <v>1101</v>
      </c>
      <c r="I1108" s="444">
        <f t="shared" ca="1" si="105"/>
        <v>-31796921.871710047</v>
      </c>
      <c r="J1108" s="444">
        <f t="array" ref="J1108">IFERROR(INDEX('Retirement Calculator'!K:K,MATCH('Lorri 401b'!N1108,'Retirement Calculator'!A:A,0),0),0)</f>
        <v>20367.195264578786</v>
      </c>
      <c r="K1108" s="444">
        <f t="shared" ca="1" si="103"/>
        <v>-132572.03777906095</v>
      </c>
      <c r="L1108" s="444">
        <f t="shared" ca="1" si="104"/>
        <v>-31949861.104753684</v>
      </c>
      <c r="M1108" s="460">
        <f t="shared" si="106"/>
        <v>0.05</v>
      </c>
      <c r="N1108" s="464">
        <f t="shared" si="107"/>
        <v>84769</v>
      </c>
    </row>
    <row r="1109" spans="7:14" ht="11.25" customHeight="1" x14ac:dyDescent="0.3">
      <c r="G1109" s="459"/>
      <c r="H1109" s="459">
        <v>1102</v>
      </c>
      <c r="I1109" s="444">
        <f t="shared" ca="1" si="105"/>
        <v>-31949861.104753684</v>
      </c>
      <c r="J1109" s="444">
        <f t="array" ref="J1109">IFERROR(INDEX('Retirement Calculator'!K:K,MATCH('Lorri 401b'!N1109,'Retirement Calculator'!A:A,0),0),0)</f>
        <v>20367.195264578786</v>
      </c>
      <c r="K1109" s="444">
        <f t="shared" ca="1" si="103"/>
        <v>-133209.28458340943</v>
      </c>
      <c r="L1109" s="444">
        <f t="shared" ca="1" si="104"/>
        <v>-32103437.584601671</v>
      </c>
      <c r="M1109" s="460">
        <f t="shared" si="106"/>
        <v>0.05</v>
      </c>
      <c r="N1109" s="464">
        <f t="shared" si="107"/>
        <v>84798</v>
      </c>
    </row>
    <row r="1110" spans="7:14" ht="11.25" customHeight="1" x14ac:dyDescent="0.3">
      <c r="G1110" s="459"/>
      <c r="H1110" s="459">
        <v>1103</v>
      </c>
      <c r="I1110" s="444">
        <f t="shared" ca="1" si="105"/>
        <v>-32103437.584601671</v>
      </c>
      <c r="J1110" s="444">
        <f t="array" ref="J1110">IFERROR(INDEX('Retirement Calculator'!K:K,MATCH('Lorri 401b'!N1110,'Retirement Calculator'!A:A,0),0),0)</f>
        <v>20367.195264578786</v>
      </c>
      <c r="K1110" s="444">
        <f t="shared" ca="1" si="103"/>
        <v>-133849.18658277602</v>
      </c>
      <c r="L1110" s="444">
        <f t="shared" ca="1" si="104"/>
        <v>-32257653.966449026</v>
      </c>
      <c r="M1110" s="460">
        <f t="shared" si="106"/>
        <v>0.05</v>
      </c>
      <c r="N1110" s="464">
        <f t="shared" si="107"/>
        <v>84829</v>
      </c>
    </row>
    <row r="1111" spans="7:14" ht="11.25" customHeight="1" x14ac:dyDescent="0.3">
      <c r="G1111" s="459"/>
      <c r="H1111" s="459">
        <v>1104</v>
      </c>
      <c r="I1111" s="444">
        <f t="shared" ca="1" si="105"/>
        <v>-32257653.966449026</v>
      </c>
      <c r="J1111" s="444">
        <f t="array" ref="J1111">IFERROR(INDEX('Retirement Calculator'!K:K,MATCH('Lorri 401b'!N1111,'Retirement Calculator'!A:A,0),0),0)</f>
        <v>20367.195264578786</v>
      </c>
      <c r="K1111" s="444">
        <f t="shared" ca="1" si="103"/>
        <v>-134491.75484047335</v>
      </c>
      <c r="L1111" s="444">
        <f t="shared" ca="1" si="104"/>
        <v>-32412512.916554078</v>
      </c>
      <c r="M1111" s="460">
        <f t="shared" si="106"/>
        <v>0.05</v>
      </c>
      <c r="N1111" s="464">
        <f t="shared" si="107"/>
        <v>84859</v>
      </c>
    </row>
    <row r="1112" spans="7:14" ht="11.25" customHeight="1" x14ac:dyDescent="0.3">
      <c r="G1112" s="459"/>
      <c r="H1112" s="459">
        <v>1105</v>
      </c>
      <c r="I1112" s="444">
        <f t="shared" ca="1" si="105"/>
        <v>-32412512.916554078</v>
      </c>
      <c r="J1112" s="444">
        <f t="array" ref="J1112">IFERROR(INDEX('Retirement Calculator'!K:K,MATCH('Lorri 401b'!N1112,'Retirement Calculator'!A:A,0),0),0)</f>
        <v>20367.195264578786</v>
      </c>
      <c r="K1112" s="444">
        <f t="shared" ca="1" si="103"/>
        <v>-135137.00046591106</v>
      </c>
      <c r="L1112" s="444">
        <f t="shared" ca="1" si="104"/>
        <v>-32568017.112284567</v>
      </c>
      <c r="M1112" s="460">
        <f t="shared" si="106"/>
        <v>0.05</v>
      </c>
      <c r="N1112" s="464">
        <f t="shared" si="107"/>
        <v>84890</v>
      </c>
    </row>
    <row r="1113" spans="7:14" ht="11.25" customHeight="1" x14ac:dyDescent="0.3">
      <c r="G1113" s="459"/>
      <c r="H1113" s="459">
        <v>1106</v>
      </c>
      <c r="I1113" s="444">
        <f t="shared" ca="1" si="105"/>
        <v>-32568017.112284567</v>
      </c>
      <c r="J1113" s="444">
        <f t="array" ref="J1113">IFERROR(INDEX('Retirement Calculator'!K:K,MATCH('Lorri 401b'!N1113,'Retirement Calculator'!A:A,0),0),0)</f>
        <v>20367.195264578786</v>
      </c>
      <c r="K1113" s="444">
        <f t="shared" ca="1" si="103"/>
        <v>-135784.93461478813</v>
      </c>
      <c r="L1113" s="444">
        <f t="shared" ca="1" si="104"/>
        <v>-32724169.242163934</v>
      </c>
      <c r="M1113" s="460">
        <f t="shared" si="106"/>
        <v>0.05</v>
      </c>
      <c r="N1113" s="464">
        <f t="shared" si="107"/>
        <v>84920</v>
      </c>
    </row>
    <row r="1114" spans="7:14" ht="11.25" customHeight="1" x14ac:dyDescent="0.3">
      <c r="G1114" s="459"/>
      <c r="H1114" s="459">
        <v>1107</v>
      </c>
      <c r="I1114" s="444">
        <f t="shared" ca="1" si="105"/>
        <v>-32724169.242163934</v>
      </c>
      <c r="J1114" s="444">
        <f t="array" ref="J1114">IFERROR(INDEX('Retirement Calculator'!K:K,MATCH('Lorri 401b'!N1114,'Retirement Calculator'!A:A,0),0),0)</f>
        <v>20367.195264578786</v>
      </c>
      <c r="K1114" s="444">
        <f t="shared" ca="1" si="103"/>
        <v>-136435.56848928548</v>
      </c>
      <c r="L1114" s="444">
        <f t="shared" ca="1" si="104"/>
        <v>-32880972.005917799</v>
      </c>
      <c r="M1114" s="460">
        <f t="shared" si="106"/>
        <v>0.05</v>
      </c>
      <c r="N1114" s="464">
        <f t="shared" si="107"/>
        <v>84951</v>
      </c>
    </row>
    <row r="1115" spans="7:14" ht="11.25" customHeight="1" x14ac:dyDescent="0.3">
      <c r="G1115" s="459"/>
      <c r="H1115" s="459">
        <v>1108</v>
      </c>
      <c r="I1115" s="444">
        <f t="shared" ca="1" si="105"/>
        <v>-32880972.005917799</v>
      </c>
      <c r="J1115" s="444">
        <f t="array" ref="J1115">IFERROR(INDEX('Retirement Calculator'!K:K,MATCH('Lorri 401b'!N1115,'Retirement Calculator'!A:A,0),0),0)</f>
        <v>20367.195264578786</v>
      </c>
      <c r="K1115" s="444">
        <f t="shared" ca="1" si="103"/>
        <v>-137088.91333825988</v>
      </c>
      <c r="L1115" s="444">
        <f t="shared" ca="1" si="104"/>
        <v>-33038428.114520635</v>
      </c>
      <c r="M1115" s="460">
        <f t="shared" si="106"/>
        <v>0.05</v>
      </c>
      <c r="N1115" s="464">
        <f t="shared" si="107"/>
        <v>84982</v>
      </c>
    </row>
    <row r="1116" spans="7:14" ht="11.25" customHeight="1" x14ac:dyDescent="0.3">
      <c r="G1116" s="459"/>
      <c r="H1116" s="459">
        <v>1109</v>
      </c>
      <c r="I1116" s="444">
        <f t="shared" ca="1" si="105"/>
        <v>-33038428.114520635</v>
      </c>
      <c r="J1116" s="444">
        <f t="array" ref="J1116">IFERROR(INDEX('Retirement Calculator'!K:K,MATCH('Lorri 401b'!N1116,'Retirement Calculator'!A:A,0),0),0)</f>
        <v>20367.195264578786</v>
      </c>
      <c r="K1116" s="444">
        <f t="shared" ca="1" si="103"/>
        <v>-137744.98045743839</v>
      </c>
      <c r="L1116" s="444">
        <f t="shared" ca="1" si="104"/>
        <v>-33196540.290242653</v>
      </c>
      <c r="M1116" s="460">
        <f t="shared" si="106"/>
        <v>0.05</v>
      </c>
      <c r="N1116" s="464">
        <f t="shared" si="107"/>
        <v>85012</v>
      </c>
    </row>
    <row r="1117" spans="7:14" ht="11.25" customHeight="1" x14ac:dyDescent="0.3">
      <c r="G1117" s="459"/>
      <c r="H1117" s="459">
        <v>1110</v>
      </c>
      <c r="I1117" s="444">
        <f t="shared" ca="1" si="105"/>
        <v>-33196540.290242653</v>
      </c>
      <c r="J1117" s="444">
        <f t="array" ref="J1117">IFERROR(INDEX('Retirement Calculator'!K:K,MATCH('Lorri 401b'!N1117,'Retirement Calculator'!A:A,0),0),0)</f>
        <v>20367.195264578786</v>
      </c>
      <c r="K1117" s="444">
        <f t="shared" ca="1" si="103"/>
        <v>-138403.78118961345</v>
      </c>
      <c r="L1117" s="444">
        <f t="shared" ca="1" si="104"/>
        <v>-33355311.266696844</v>
      </c>
      <c r="M1117" s="460">
        <f t="shared" si="106"/>
        <v>0.05</v>
      </c>
      <c r="N1117" s="464">
        <f t="shared" si="107"/>
        <v>85043</v>
      </c>
    </row>
    <row r="1118" spans="7:14" ht="11.25" customHeight="1" x14ac:dyDescent="0.3">
      <c r="G1118" s="459"/>
      <c r="H1118" s="459">
        <v>1111</v>
      </c>
      <c r="I1118" s="444">
        <f t="shared" ca="1" si="105"/>
        <v>-33355311.266696844</v>
      </c>
      <c r="J1118" s="444">
        <f t="array" ref="J1118">IFERROR(INDEX('Retirement Calculator'!K:K,MATCH('Lorri 401b'!N1118,'Retirement Calculator'!A:A,0),0),0)</f>
        <v>20367.195264578786</v>
      </c>
      <c r="K1118" s="444">
        <f t="shared" ca="1" si="103"/>
        <v>-139065.32692483926</v>
      </c>
      <c r="L1118" s="444">
        <f t="shared" ca="1" si="104"/>
        <v>-33514743.78888626</v>
      </c>
      <c r="M1118" s="460">
        <f t="shared" si="106"/>
        <v>0.05</v>
      </c>
      <c r="N1118" s="464">
        <f t="shared" si="107"/>
        <v>85073</v>
      </c>
    </row>
    <row r="1119" spans="7:14" ht="11.25" customHeight="1" x14ac:dyDescent="0.3">
      <c r="G1119" s="459"/>
      <c r="H1119" s="459">
        <v>1112</v>
      </c>
      <c r="I1119" s="444">
        <f t="shared" ca="1" si="105"/>
        <v>-33514743.78888626</v>
      </c>
      <c r="J1119" s="444">
        <f t="array" ref="J1119">IFERROR(INDEX('Retirement Calculator'!K:K,MATCH('Lorri 401b'!N1119,'Retirement Calculator'!A:A,0),0),0)</f>
        <v>20367.195264578786</v>
      </c>
      <c r="K1119" s="444">
        <f t="shared" ca="1" si="103"/>
        <v>-139729.62910062852</v>
      </c>
      <c r="L1119" s="444">
        <f t="shared" ca="1" si="104"/>
        <v>-33674840.61325147</v>
      </c>
      <c r="M1119" s="460">
        <f t="shared" si="106"/>
        <v>0.05</v>
      </c>
      <c r="N1119" s="464">
        <f t="shared" si="107"/>
        <v>85104</v>
      </c>
    </row>
    <row r="1120" spans="7:14" ht="11.25" customHeight="1" x14ac:dyDescent="0.3">
      <c r="G1120" s="459"/>
      <c r="H1120" s="459">
        <v>1113</v>
      </c>
      <c r="I1120" s="444">
        <f t="shared" ca="1" si="105"/>
        <v>-33674840.61325147</v>
      </c>
      <c r="J1120" s="444">
        <f t="array" ref="J1120">IFERROR(INDEX('Retirement Calculator'!K:K,MATCH('Lorri 401b'!N1120,'Retirement Calculator'!A:A,0),0),0)</f>
        <v>20367.195264578786</v>
      </c>
      <c r="K1120" s="444">
        <f t="shared" ca="1" si="103"/>
        <v>-140396.69920215019</v>
      </c>
      <c r="L1120" s="444">
        <f t="shared" ca="1" si="104"/>
        <v>-33835604.507718198</v>
      </c>
      <c r="M1120" s="460">
        <f t="shared" si="106"/>
        <v>0.05</v>
      </c>
      <c r="N1120" s="464">
        <f t="shared" si="107"/>
        <v>85135</v>
      </c>
    </row>
    <row r="1121" spans="7:14" ht="11.25" customHeight="1" x14ac:dyDescent="0.3">
      <c r="G1121" s="459"/>
      <c r="H1121" s="459">
        <v>1114</v>
      </c>
      <c r="I1121" s="444">
        <f t="shared" ca="1" si="105"/>
        <v>-33835604.507718198</v>
      </c>
      <c r="J1121" s="444">
        <f t="array" ref="J1121">IFERROR(INDEX('Retirement Calculator'!K:K,MATCH('Lorri 401b'!N1121,'Retirement Calculator'!A:A,0),0),0)</f>
        <v>20367.195264578786</v>
      </c>
      <c r="K1121" s="444">
        <f t="shared" ca="1" si="103"/>
        <v>-141066.54876242823</v>
      </c>
      <c r="L1121" s="444">
        <f t="shared" ca="1" si="104"/>
        <v>-33997038.251745202</v>
      </c>
      <c r="M1121" s="460">
        <f t="shared" si="106"/>
        <v>0.05</v>
      </c>
      <c r="N1121" s="464">
        <f t="shared" si="107"/>
        <v>85163</v>
      </c>
    </row>
    <row r="1122" spans="7:14" ht="11.25" customHeight="1" x14ac:dyDescent="0.3">
      <c r="G1122" s="459"/>
      <c r="H1122" s="459">
        <v>1115</v>
      </c>
      <c r="I1122" s="444">
        <f t="shared" ca="1" si="105"/>
        <v>-33997038.251745202</v>
      </c>
      <c r="J1122" s="444">
        <f t="array" ref="J1122">IFERROR(INDEX('Retirement Calculator'!K:K,MATCH('Lorri 401b'!N1122,'Retirement Calculator'!A:A,0),0),0)</f>
        <v>20367.195264578786</v>
      </c>
      <c r="K1122" s="444">
        <f t="shared" ca="1" si="103"/>
        <v>-141739.18936254075</v>
      </c>
      <c r="L1122" s="444">
        <f t="shared" ca="1" si="104"/>
        <v>-34159144.63637232</v>
      </c>
      <c r="M1122" s="460">
        <f t="shared" si="106"/>
        <v>0.05</v>
      </c>
      <c r="N1122" s="464">
        <f t="shared" si="107"/>
        <v>85194</v>
      </c>
    </row>
    <row r="1123" spans="7:14" ht="11.25" customHeight="1" x14ac:dyDescent="0.3">
      <c r="G1123" s="459"/>
      <c r="H1123" s="459">
        <v>1116</v>
      </c>
      <c r="I1123" s="444">
        <f t="shared" ca="1" si="105"/>
        <v>-34159144.63637232</v>
      </c>
      <c r="J1123" s="444">
        <f t="array" ref="J1123">IFERROR(INDEX('Retirement Calculator'!K:K,MATCH('Lorri 401b'!N1123,'Retirement Calculator'!A:A,0),0),0)</f>
        <v>20367.195264578786</v>
      </c>
      <c r="K1123" s="444">
        <f t="shared" ca="1" si="103"/>
        <v>-142414.63263182039</v>
      </c>
      <c r="L1123" s="444">
        <f t="shared" ca="1" si="104"/>
        <v>-34321926.464268722</v>
      </c>
      <c r="M1123" s="460">
        <f t="shared" si="106"/>
        <v>0.05</v>
      </c>
      <c r="N1123" s="464">
        <f t="shared" si="107"/>
        <v>85224</v>
      </c>
    </row>
    <row r="1124" spans="7:14" ht="11.25" customHeight="1" x14ac:dyDescent="0.3">
      <c r="G1124" s="459"/>
      <c r="H1124" s="459">
        <v>1117</v>
      </c>
      <c r="I1124" s="444">
        <f t="shared" ca="1" si="105"/>
        <v>-34321926.464268722</v>
      </c>
      <c r="J1124" s="444">
        <f t="array" ref="J1124">IFERROR(INDEX('Retirement Calculator'!K:K,MATCH('Lorri 401b'!N1124,'Retirement Calculator'!A:A,0),0),0)</f>
        <v>20367.195264578786</v>
      </c>
      <c r="K1124" s="444">
        <f t="shared" ca="1" si="103"/>
        <v>-143092.89024805542</v>
      </c>
      <c r="L1124" s="444">
        <f t="shared" ca="1" si="104"/>
        <v>-34485386.549781352</v>
      </c>
      <c r="M1124" s="460">
        <f t="shared" si="106"/>
        <v>0.05</v>
      </c>
      <c r="N1124" s="464">
        <f t="shared" si="107"/>
        <v>85255</v>
      </c>
    </row>
    <row r="1125" spans="7:14" ht="11.25" customHeight="1" x14ac:dyDescent="0.3">
      <c r="G1125" s="459"/>
      <c r="H1125" s="459">
        <v>1118</v>
      </c>
      <c r="I1125" s="444">
        <f t="shared" ca="1" si="105"/>
        <v>-34485386.549781352</v>
      </c>
      <c r="J1125" s="444">
        <f t="array" ref="J1125">IFERROR(INDEX('Retirement Calculator'!K:K,MATCH('Lorri 401b'!N1125,'Retirement Calculator'!A:A,0),0),0)</f>
        <v>20367.195264578786</v>
      </c>
      <c r="K1125" s="444">
        <f t="shared" ca="1" si="103"/>
        <v>-143773.97393769136</v>
      </c>
      <c r="L1125" s="444">
        <f t="shared" ca="1" si="104"/>
        <v>-34649527.71898362</v>
      </c>
      <c r="M1125" s="460">
        <f t="shared" si="106"/>
        <v>0.05</v>
      </c>
      <c r="N1125" s="464">
        <f t="shared" si="107"/>
        <v>85285</v>
      </c>
    </row>
    <row r="1126" spans="7:14" ht="11.25" customHeight="1" x14ac:dyDescent="0.3">
      <c r="G1126" s="459"/>
      <c r="H1126" s="459">
        <v>1119</v>
      </c>
      <c r="I1126" s="444">
        <f t="shared" ca="1" si="105"/>
        <v>-34649527.71898362</v>
      </c>
      <c r="J1126" s="444">
        <f t="array" ref="J1126">IFERROR(INDEX('Retirement Calculator'!K:K,MATCH('Lorri 401b'!N1126,'Retirement Calculator'!A:A,0),0),0)</f>
        <v>20367.195264578786</v>
      </c>
      <c r="K1126" s="444">
        <f t="shared" ca="1" si="103"/>
        <v>-144457.89547603414</v>
      </c>
      <c r="L1126" s="444">
        <f t="shared" ca="1" si="104"/>
        <v>-34814352.809724234</v>
      </c>
      <c r="M1126" s="460">
        <f t="shared" si="106"/>
        <v>0.05</v>
      </c>
      <c r="N1126" s="464">
        <f t="shared" si="107"/>
        <v>85316</v>
      </c>
    </row>
    <row r="1127" spans="7:14" ht="11.25" customHeight="1" x14ac:dyDescent="0.3">
      <c r="G1127" s="459"/>
      <c r="H1127" s="459">
        <v>1120</v>
      </c>
      <c r="I1127" s="444">
        <f t="shared" ca="1" si="105"/>
        <v>-34814352.809724234</v>
      </c>
      <c r="J1127" s="444">
        <f t="array" ref="J1127">IFERROR(INDEX('Retirement Calculator'!K:K,MATCH('Lorri 401b'!N1127,'Retirement Calculator'!A:A,0),0),0)</f>
        <v>20367.195264578786</v>
      </c>
      <c r="K1127" s="444">
        <f t="shared" ca="1" si="103"/>
        <v>-145144.66668745337</v>
      </c>
      <c r="L1127" s="444">
        <f t="shared" ca="1" si="104"/>
        <v>-34979864.671676263</v>
      </c>
      <c r="M1127" s="460">
        <f t="shared" si="106"/>
        <v>0.05</v>
      </c>
      <c r="N1127" s="464">
        <f t="shared" si="107"/>
        <v>85347</v>
      </c>
    </row>
    <row r="1128" spans="7:14" ht="11.25" customHeight="1" x14ac:dyDescent="0.3">
      <c r="G1128" s="459"/>
      <c r="H1128" s="459">
        <v>1121</v>
      </c>
      <c r="I1128" s="444">
        <f t="shared" ca="1" si="105"/>
        <v>-34979864.671676263</v>
      </c>
      <c r="J1128" s="444">
        <f t="array" ref="J1128">IFERROR(INDEX('Retirement Calculator'!K:K,MATCH('Lorri 401b'!N1128,'Retirement Calculator'!A:A,0),0),0)</f>
        <v>20367.195264578786</v>
      </c>
      <c r="K1128" s="444">
        <f t="shared" ca="1" si="103"/>
        <v>-145834.29944558683</v>
      </c>
      <c r="L1128" s="444">
        <f t="shared" ca="1" si="104"/>
        <v>-35146066.166386425</v>
      </c>
      <c r="M1128" s="460">
        <f t="shared" si="106"/>
        <v>0.05</v>
      </c>
      <c r="N1128" s="464">
        <f t="shared" si="107"/>
        <v>85377</v>
      </c>
    </row>
    <row r="1129" spans="7:14" ht="11.25" customHeight="1" x14ac:dyDescent="0.3">
      <c r="G1129" s="459"/>
      <c r="H1129" s="459">
        <v>1122</v>
      </c>
      <c r="I1129" s="444">
        <f t="shared" ca="1" si="105"/>
        <v>-35146066.166386425</v>
      </c>
      <c r="J1129" s="444">
        <f t="array" ref="J1129">IFERROR(INDEX('Retirement Calculator'!K:K,MATCH('Lorri 401b'!N1129,'Retirement Calculator'!A:A,0),0),0)</f>
        <v>20367.195264578786</v>
      </c>
      <c r="K1129" s="444">
        <f t="shared" ca="1" si="103"/>
        <v>-146526.80567354584</v>
      </c>
      <c r="L1129" s="444">
        <f t="shared" ca="1" si="104"/>
        <v>-35312960.16732455</v>
      </c>
      <c r="M1129" s="460">
        <f t="shared" si="106"/>
        <v>0.05</v>
      </c>
      <c r="N1129" s="464">
        <f t="shared" si="107"/>
        <v>85408</v>
      </c>
    </row>
    <row r="1130" spans="7:14" ht="11.25" customHeight="1" x14ac:dyDescent="0.3">
      <c r="G1130" s="459"/>
      <c r="H1130" s="459">
        <v>1123</v>
      </c>
      <c r="I1130" s="444">
        <f t="shared" ca="1" si="105"/>
        <v>-35312960.16732455</v>
      </c>
      <c r="J1130" s="444">
        <f t="array" ref="J1130">IFERROR(INDEX('Retirement Calculator'!K:K,MATCH('Lorri 401b'!N1130,'Retirement Calculator'!A:A,0),0),0)</f>
        <v>20367.195264578786</v>
      </c>
      <c r="K1130" s="444">
        <f t="shared" ca="1" si="103"/>
        <v>-147222.19734412138</v>
      </c>
      <c r="L1130" s="444">
        <f t="shared" ca="1" si="104"/>
        <v>-35480549.559933253</v>
      </c>
      <c r="M1130" s="460">
        <f t="shared" si="106"/>
        <v>0.05</v>
      </c>
      <c r="N1130" s="464">
        <f t="shared" si="107"/>
        <v>85438</v>
      </c>
    </row>
    <row r="1131" spans="7:14" ht="11.25" customHeight="1" x14ac:dyDescent="0.3">
      <c r="G1131" s="459"/>
      <c r="H1131" s="459">
        <v>1124</v>
      </c>
      <c r="I1131" s="444">
        <f t="shared" ca="1" si="105"/>
        <v>-35480549.559933253</v>
      </c>
      <c r="J1131" s="444">
        <f t="array" ref="J1131">IFERROR(INDEX('Retirement Calculator'!K:K,MATCH('Lorri 401b'!N1131,'Retirement Calculator'!A:A,0),0),0)</f>
        <v>20367.195264578786</v>
      </c>
      <c r="K1131" s="444">
        <f t="shared" ca="1" si="103"/>
        <v>-147920.48647999097</v>
      </c>
      <c r="L1131" s="444">
        <f t="shared" ca="1" si="104"/>
        <v>-35648837.241677821</v>
      </c>
      <c r="M1131" s="460">
        <f t="shared" si="106"/>
        <v>0.05</v>
      </c>
      <c r="N1131" s="464">
        <f t="shared" si="107"/>
        <v>85469</v>
      </c>
    </row>
    <row r="1132" spans="7:14" ht="11.25" customHeight="1" x14ac:dyDescent="0.3">
      <c r="G1132" s="459"/>
      <c r="H1132" s="459">
        <v>1125</v>
      </c>
      <c r="I1132" s="444">
        <f t="shared" ca="1" si="105"/>
        <v>-35648837.241677821</v>
      </c>
      <c r="J1132" s="444">
        <f t="array" ref="J1132">IFERROR(INDEX('Retirement Calculator'!K:K,MATCH('Lorri 401b'!N1132,'Retirement Calculator'!A:A,0),0),0)</f>
        <v>20367.195264578786</v>
      </c>
      <c r="K1132" s="444">
        <f t="shared" ca="1" si="103"/>
        <v>-148621.68515392666</v>
      </c>
      <c r="L1132" s="444">
        <f t="shared" ca="1" si="104"/>
        <v>-35817826.122096322</v>
      </c>
      <c r="M1132" s="460">
        <f t="shared" si="106"/>
        <v>0.05</v>
      </c>
      <c r="N1132" s="464">
        <f t="shared" si="107"/>
        <v>85500</v>
      </c>
    </row>
    <row r="1133" spans="7:14" ht="11.25" customHeight="1" x14ac:dyDescent="0.3">
      <c r="G1133" s="459"/>
      <c r="H1133" s="459">
        <v>1126</v>
      </c>
      <c r="I1133" s="444">
        <f t="shared" ca="1" si="105"/>
        <v>-35817826.122096322</v>
      </c>
      <c r="J1133" s="444">
        <f t="array" ref="J1133">IFERROR(INDEX('Retirement Calculator'!K:K,MATCH('Lorri 401b'!N1133,'Retirement Calculator'!A:A,0),0),0)</f>
        <v>20367.195264578786</v>
      </c>
      <c r="K1133" s="444">
        <f t="shared" ca="1" si="103"/>
        <v>-149325.80548900375</v>
      </c>
      <c r="L1133" s="444">
        <f t="shared" ca="1" si="104"/>
        <v>-35987519.122849904</v>
      </c>
      <c r="M1133" s="460">
        <f t="shared" si="106"/>
        <v>0.05</v>
      </c>
      <c r="N1133" s="464">
        <f t="shared" si="107"/>
        <v>85528</v>
      </c>
    </row>
    <row r="1134" spans="7:14" ht="11.25" customHeight="1" x14ac:dyDescent="0.3">
      <c r="G1134" s="459"/>
      <c r="H1134" s="459">
        <v>1127</v>
      </c>
      <c r="I1134" s="444">
        <f t="shared" ca="1" si="105"/>
        <v>-35987519.122849904</v>
      </c>
      <c r="J1134" s="444">
        <f t="array" ref="J1134">IFERROR(INDEX('Retirement Calculator'!K:K,MATCH('Lorri 401b'!N1134,'Retirement Calculator'!A:A,0),0),0)</f>
        <v>20367.195264578786</v>
      </c>
      <c r="K1134" s="444">
        <f t="shared" ca="1" si="103"/>
        <v>-150032.85965881034</v>
      </c>
      <c r="L1134" s="444">
        <f t="shared" ca="1" si="104"/>
        <v>-36157919.177773289</v>
      </c>
      <c r="M1134" s="460">
        <f t="shared" si="106"/>
        <v>0.05</v>
      </c>
      <c r="N1134" s="464">
        <f t="shared" si="107"/>
        <v>85559</v>
      </c>
    </row>
    <row r="1135" spans="7:14" ht="11.25" customHeight="1" x14ac:dyDescent="0.3">
      <c r="G1135" s="459"/>
      <c r="H1135" s="459">
        <v>1128</v>
      </c>
      <c r="I1135" s="444">
        <f t="shared" ca="1" si="105"/>
        <v>-36157919.177773289</v>
      </c>
      <c r="J1135" s="444">
        <f t="array" ref="J1135">IFERROR(INDEX('Retirement Calculator'!K:K,MATCH('Lorri 401b'!N1135,'Retirement Calculator'!A:A,0),0),0)</f>
        <v>20367.195264578786</v>
      </c>
      <c r="K1135" s="444">
        <f t="shared" ca="1" si="103"/>
        <v>-150742.85988765777</v>
      </c>
      <c r="L1135" s="444">
        <f t="shared" ca="1" si="104"/>
        <v>-36329029.232925527</v>
      </c>
      <c r="M1135" s="460">
        <f t="shared" si="106"/>
        <v>0.05</v>
      </c>
      <c r="N1135" s="464">
        <f t="shared" si="107"/>
        <v>85589</v>
      </c>
    </row>
    <row r="1136" spans="7:14" ht="11.25" customHeight="1" x14ac:dyDescent="0.3">
      <c r="G1136" s="459"/>
      <c r="H1136" s="459">
        <v>1129</v>
      </c>
      <c r="I1136" s="444">
        <f t="shared" ca="1" si="105"/>
        <v>-36329029.232925527</v>
      </c>
      <c r="J1136" s="444">
        <f t="array" ref="J1136">IFERROR(INDEX('Retirement Calculator'!K:K,MATCH('Lorri 401b'!N1136,'Retirement Calculator'!A:A,0),0),0)</f>
        <v>20367.195264578786</v>
      </c>
      <c r="K1136" s="444">
        <f t="shared" ca="1" si="103"/>
        <v>-151455.81845079211</v>
      </c>
      <c r="L1136" s="444">
        <f t="shared" ca="1" si="104"/>
        <v>-36500852.246640898</v>
      </c>
      <c r="M1136" s="460">
        <f t="shared" si="106"/>
        <v>0.05</v>
      </c>
      <c r="N1136" s="464">
        <f t="shared" si="107"/>
        <v>85620</v>
      </c>
    </row>
    <row r="1137" spans="7:14" ht="11.25" customHeight="1" x14ac:dyDescent="0.3">
      <c r="G1137" s="459"/>
      <c r="H1137" s="459">
        <v>1130</v>
      </c>
      <c r="I1137" s="444">
        <f t="shared" ca="1" si="105"/>
        <v>-36500852.246640898</v>
      </c>
      <c r="J1137" s="444">
        <f t="array" ref="J1137">IFERROR(INDEX('Retirement Calculator'!K:K,MATCH('Lorri 401b'!N1137,'Retirement Calculator'!A:A,0),0),0)</f>
        <v>20367.195264578786</v>
      </c>
      <c r="K1137" s="444">
        <f t="shared" ca="1" si="103"/>
        <v>-152171.74767460616</v>
      </c>
      <c r="L1137" s="444">
        <f t="shared" ca="1" si="104"/>
        <v>-36673391.189580083</v>
      </c>
      <c r="M1137" s="460">
        <f t="shared" si="106"/>
        <v>0.05</v>
      </c>
      <c r="N1137" s="464">
        <f t="shared" si="107"/>
        <v>85650</v>
      </c>
    </row>
    <row r="1138" spans="7:14" ht="11.25" customHeight="1" x14ac:dyDescent="0.3">
      <c r="G1138" s="459"/>
      <c r="H1138" s="459">
        <v>1131</v>
      </c>
      <c r="I1138" s="444">
        <f t="shared" ca="1" si="105"/>
        <v>-36673391.189580083</v>
      </c>
      <c r="J1138" s="444">
        <f t="array" ref="J1138">IFERROR(INDEX('Retirement Calculator'!K:K,MATCH('Lorri 401b'!N1138,'Retirement Calculator'!A:A,0),0),0)</f>
        <v>20367.195264578786</v>
      </c>
      <c r="K1138" s="444">
        <f t="shared" ca="1" si="103"/>
        <v>-152890.65993685275</v>
      </c>
      <c r="L1138" s="444">
        <f t="shared" ca="1" si="104"/>
        <v>-36846649.044781514</v>
      </c>
      <c r="M1138" s="460">
        <f t="shared" si="106"/>
        <v>0.05</v>
      </c>
      <c r="N1138" s="464">
        <f t="shared" si="107"/>
        <v>85681</v>
      </c>
    </row>
    <row r="1139" spans="7:14" ht="11.25" customHeight="1" x14ac:dyDescent="0.3">
      <c r="G1139" s="459"/>
      <c r="H1139" s="459">
        <v>1132</v>
      </c>
      <c r="I1139" s="444">
        <f t="shared" ca="1" si="105"/>
        <v>-36846649.044781514</v>
      </c>
      <c r="J1139" s="444">
        <f t="array" ref="J1139">IFERROR(INDEX('Retirement Calculator'!K:K,MATCH('Lorri 401b'!N1139,'Retirement Calculator'!A:A,0),0),0)</f>
        <v>20367.195264578786</v>
      </c>
      <c r="K1139" s="444">
        <f t="shared" ca="1" si="103"/>
        <v>-153612.56766685873</v>
      </c>
      <c r="L1139" s="444">
        <f t="shared" ca="1" si="104"/>
        <v>-37020628.80771295</v>
      </c>
      <c r="M1139" s="460">
        <f t="shared" si="106"/>
        <v>0.05</v>
      </c>
      <c r="N1139" s="464">
        <f t="shared" si="107"/>
        <v>85712</v>
      </c>
    </row>
    <row r="1140" spans="7:14" ht="11.25" customHeight="1" x14ac:dyDescent="0.3">
      <c r="G1140" s="459"/>
      <c r="H1140" s="459">
        <v>1133</v>
      </c>
      <c r="I1140" s="444">
        <f t="shared" ca="1" si="105"/>
        <v>-37020628.80771295</v>
      </c>
      <c r="J1140" s="444">
        <f t="array" ref="J1140">IFERROR(INDEX('Retirement Calculator'!K:K,MATCH('Lorri 401b'!N1140,'Retirement Calculator'!A:A,0),0),0)</f>
        <v>20367.195264578786</v>
      </c>
      <c r="K1140" s="444">
        <f t="shared" ca="1" si="103"/>
        <v>-154337.48334573969</v>
      </c>
      <c r="L1140" s="444">
        <f t="shared" ca="1" si="104"/>
        <v>-37195333.486323267</v>
      </c>
      <c r="M1140" s="460">
        <f t="shared" si="106"/>
        <v>0.05</v>
      </c>
      <c r="N1140" s="464">
        <f t="shared" si="107"/>
        <v>85742</v>
      </c>
    </row>
    <row r="1141" spans="7:14" ht="11.25" customHeight="1" x14ac:dyDescent="0.3">
      <c r="G1141" s="459"/>
      <c r="H1141" s="459">
        <v>1134</v>
      </c>
      <c r="I1141" s="444">
        <f t="shared" ca="1" si="105"/>
        <v>-37195333.486323267</v>
      </c>
      <c r="J1141" s="444">
        <f t="array" ref="J1141">IFERROR(INDEX('Retirement Calculator'!K:K,MATCH('Lorri 401b'!N1141,'Retirement Calculator'!A:A,0),0),0)</f>
        <v>20367.195264578786</v>
      </c>
      <c r="K1141" s="444">
        <f t="shared" ca="1" si="103"/>
        <v>-155065.41950661602</v>
      </c>
      <c r="L1141" s="444">
        <f t="shared" ca="1" si="104"/>
        <v>-37370766.101094462</v>
      </c>
      <c r="M1141" s="460">
        <f t="shared" si="106"/>
        <v>0.05</v>
      </c>
      <c r="N1141" s="464">
        <f t="shared" si="107"/>
        <v>85773</v>
      </c>
    </row>
    <row r="1142" spans="7:14" ht="11.25" customHeight="1" x14ac:dyDescent="0.3">
      <c r="G1142" s="459"/>
      <c r="H1142" s="459">
        <v>1135</v>
      </c>
      <c r="I1142" s="444">
        <f t="shared" ca="1" si="105"/>
        <v>-37370766.101094462</v>
      </c>
      <c r="J1142" s="444">
        <f t="array" ref="J1142">IFERROR(INDEX('Retirement Calculator'!K:K,MATCH('Lorri 401b'!N1142,'Retirement Calculator'!A:A,0),0),0)</f>
        <v>20367.195264578786</v>
      </c>
      <c r="K1142" s="444">
        <f t="shared" ca="1" si="103"/>
        <v>-155796.38873482932</v>
      </c>
      <c r="L1142" s="444">
        <f t="shared" ca="1" si="104"/>
        <v>-37546929.685093872</v>
      </c>
      <c r="M1142" s="460">
        <f t="shared" si="106"/>
        <v>0.05</v>
      </c>
      <c r="N1142" s="464">
        <f t="shared" si="107"/>
        <v>85803</v>
      </c>
    </row>
    <row r="1143" spans="7:14" ht="11.25" customHeight="1" x14ac:dyDescent="0.3">
      <c r="G1143" s="459"/>
      <c r="H1143" s="459">
        <v>1136</v>
      </c>
      <c r="I1143" s="444">
        <f t="shared" ca="1" si="105"/>
        <v>-37546929.685093872</v>
      </c>
      <c r="J1143" s="444">
        <f t="array" ref="J1143">IFERROR(INDEX('Retirement Calculator'!K:K,MATCH('Lorri 401b'!N1143,'Retirement Calculator'!A:A,0),0),0)</f>
        <v>20367.195264578786</v>
      </c>
      <c r="K1143" s="444">
        <f t="shared" ca="1" si="103"/>
        <v>-156530.4036681602</v>
      </c>
      <c r="L1143" s="444">
        <f t="shared" ca="1" si="104"/>
        <v>-37723827.284026608</v>
      </c>
      <c r="M1143" s="460">
        <f t="shared" si="106"/>
        <v>0.05</v>
      </c>
      <c r="N1143" s="464">
        <f t="shared" si="107"/>
        <v>85834</v>
      </c>
    </row>
    <row r="1144" spans="7:14" ht="11.25" customHeight="1" x14ac:dyDescent="0.3">
      <c r="G1144" s="459"/>
      <c r="H1144" s="459">
        <v>1137</v>
      </c>
      <c r="I1144" s="444">
        <f t="shared" ca="1" si="105"/>
        <v>-37723827.284026608</v>
      </c>
      <c r="J1144" s="444">
        <f t="array" ref="J1144">IFERROR(INDEX('Retirement Calculator'!K:K,MATCH('Lorri 401b'!N1144,'Retirement Calculator'!A:A,0),0),0)</f>
        <v>20367.195264578786</v>
      </c>
      <c r="K1144" s="444">
        <f t="shared" ca="1" si="103"/>
        <v>-157267.47699704661</v>
      </c>
      <c r="L1144" s="444">
        <f t="shared" ca="1" si="104"/>
        <v>-37901461.956288233</v>
      </c>
      <c r="M1144" s="460">
        <f t="shared" si="106"/>
        <v>0.05</v>
      </c>
      <c r="N1144" s="464">
        <f t="shared" si="107"/>
        <v>85865</v>
      </c>
    </row>
    <row r="1145" spans="7:14" ht="11.25" customHeight="1" x14ac:dyDescent="0.3">
      <c r="G1145" s="459"/>
      <c r="H1145" s="459">
        <v>1138</v>
      </c>
      <c r="I1145" s="444">
        <f t="shared" ca="1" si="105"/>
        <v>-37901461.956288233</v>
      </c>
      <c r="J1145" s="444">
        <f t="array" ref="J1145">IFERROR(INDEX('Retirement Calculator'!K:K,MATCH('Lorri 401b'!N1145,'Retirement Calculator'!A:A,0),0),0)</f>
        <v>20367.195264578786</v>
      </c>
      <c r="K1145" s="444">
        <f t="shared" ca="1" si="103"/>
        <v>-158007.62146480338</v>
      </c>
      <c r="L1145" s="444">
        <f t="shared" ca="1" si="104"/>
        <v>-38079836.773017615</v>
      </c>
      <c r="M1145" s="460">
        <f t="shared" si="106"/>
        <v>0.05</v>
      </c>
      <c r="N1145" s="464">
        <f t="shared" si="107"/>
        <v>85893</v>
      </c>
    </row>
    <row r="1146" spans="7:14" ht="11.25" customHeight="1" x14ac:dyDescent="0.3">
      <c r="G1146" s="459"/>
      <c r="H1146" s="459">
        <v>1139</v>
      </c>
      <c r="I1146" s="444">
        <f t="shared" ca="1" si="105"/>
        <v>-38079836.773017615</v>
      </c>
      <c r="J1146" s="444">
        <f t="array" ref="J1146">IFERROR(INDEX('Retirement Calculator'!K:K,MATCH('Lorri 401b'!N1146,'Retirement Calculator'!A:A,0),0),0)</f>
        <v>20367.195264578786</v>
      </c>
      <c r="K1146" s="444">
        <f t="shared" ca="1" si="103"/>
        <v>-158750.84986784248</v>
      </c>
      <c r="L1146" s="444">
        <f t="shared" ca="1" si="104"/>
        <v>-38258954.818150036</v>
      </c>
      <c r="M1146" s="460">
        <f t="shared" si="106"/>
        <v>0.05</v>
      </c>
      <c r="N1146" s="464">
        <f t="shared" si="107"/>
        <v>85924</v>
      </c>
    </row>
    <row r="1147" spans="7:14" ht="11.25" customHeight="1" x14ac:dyDescent="0.3">
      <c r="G1147" s="459"/>
      <c r="H1147" s="459">
        <v>1140</v>
      </c>
      <c r="I1147" s="444">
        <f t="shared" ca="1" si="105"/>
        <v>-38258954.818150036</v>
      </c>
      <c r="J1147" s="444">
        <f t="array" ref="J1147">IFERROR(INDEX('Retirement Calculator'!K:K,MATCH('Lorri 401b'!N1147,'Retirement Calculator'!A:A,0),0),0)</f>
        <v>20367.195264578786</v>
      </c>
      <c r="K1147" s="444">
        <f t="shared" ca="1" si="103"/>
        <v>-159497.17505589421</v>
      </c>
      <c r="L1147" s="444">
        <f t="shared" ca="1" si="104"/>
        <v>-38438819.188470505</v>
      </c>
      <c r="M1147" s="460">
        <f t="shared" si="106"/>
        <v>0.05</v>
      </c>
      <c r="N1147" s="464">
        <f t="shared" si="107"/>
        <v>85954</v>
      </c>
    </row>
    <row r="1148" spans="7:14" ht="11.25" customHeight="1" x14ac:dyDescent="0.3">
      <c r="G1148" s="459"/>
      <c r="H1148" s="459">
        <v>1141</v>
      </c>
      <c r="I1148" s="444">
        <f t="shared" ca="1" si="105"/>
        <v>-38438819.188470505</v>
      </c>
      <c r="J1148" s="444">
        <f t="array" ref="J1148">IFERROR(INDEX('Retirement Calculator'!K:K,MATCH('Lorri 401b'!N1148,'Retirement Calculator'!A:A,0),0),0)</f>
        <v>20367.195264578786</v>
      </c>
      <c r="K1148" s="444">
        <f t="shared" ca="1" si="103"/>
        <v>-160246.6099322295</v>
      </c>
      <c r="L1148" s="444">
        <f t="shared" ca="1" si="104"/>
        <v>-38619432.993667312</v>
      </c>
      <c r="M1148" s="460">
        <f t="shared" si="106"/>
        <v>0.05</v>
      </c>
      <c r="N1148" s="464">
        <f t="shared" si="107"/>
        <v>85985</v>
      </c>
    </row>
    <row r="1149" spans="7:14" ht="11.25" customHeight="1" x14ac:dyDescent="0.3">
      <c r="G1149" s="459"/>
      <c r="H1149" s="459">
        <v>1142</v>
      </c>
      <c r="I1149" s="444">
        <f t="shared" ca="1" si="105"/>
        <v>-38619432.993667312</v>
      </c>
      <c r="J1149" s="444">
        <f t="array" ref="J1149">IFERROR(INDEX('Retirement Calculator'!K:K,MATCH('Lorri 401b'!N1149,'Retirement Calculator'!A:A,0),0),0)</f>
        <v>20367.195264578786</v>
      </c>
      <c r="K1149" s="444">
        <f t="shared" ca="1" si="103"/>
        <v>-160999.16745388287</v>
      </c>
      <c r="L1149" s="444">
        <f t="shared" ca="1" si="104"/>
        <v>-38800799.356385775</v>
      </c>
      <c r="M1149" s="460">
        <f t="shared" si="106"/>
        <v>0.05</v>
      </c>
      <c r="N1149" s="464">
        <f t="shared" si="107"/>
        <v>86015</v>
      </c>
    </row>
    <row r="1150" spans="7:14" ht="11.25" customHeight="1" x14ac:dyDescent="0.3">
      <c r="G1150" s="459"/>
      <c r="H1150" s="459">
        <v>1143</v>
      </c>
      <c r="I1150" s="444">
        <f t="shared" ca="1" si="105"/>
        <v>-38800799.356385775</v>
      </c>
      <c r="J1150" s="444">
        <f t="array" ref="J1150">IFERROR(INDEX('Retirement Calculator'!K:K,MATCH('Lorri 401b'!N1150,'Retirement Calculator'!A:A,0),0),0)</f>
        <v>20367.195264578786</v>
      </c>
      <c r="K1150" s="444">
        <f t="shared" ca="1" si="103"/>
        <v>-161754.86063187648</v>
      </c>
      <c r="L1150" s="444">
        <f t="shared" ca="1" si="104"/>
        <v>-38982921.412282228</v>
      </c>
      <c r="M1150" s="460">
        <f t="shared" si="106"/>
        <v>0.05</v>
      </c>
      <c r="N1150" s="464">
        <f t="shared" si="107"/>
        <v>86046</v>
      </c>
    </row>
    <row r="1151" spans="7:14" ht="11.25" customHeight="1" x14ac:dyDescent="0.3">
      <c r="G1151" s="459"/>
      <c r="H1151" s="459">
        <v>1144</v>
      </c>
      <c r="I1151" s="444">
        <f t="shared" ca="1" si="105"/>
        <v>-38982921.412282228</v>
      </c>
      <c r="J1151" s="444">
        <f t="array" ref="J1151">IFERROR(INDEX('Retirement Calculator'!K:K,MATCH('Lorri 401b'!N1151,'Retirement Calculator'!A:A,0),0),0)</f>
        <v>20367.195264578786</v>
      </c>
      <c r="K1151" s="444">
        <f t="shared" ca="1" si="103"/>
        <v>-162513.70253144501</v>
      </c>
      <c r="L1151" s="444">
        <f t="shared" ca="1" si="104"/>
        <v>-39165802.310078248</v>
      </c>
      <c r="M1151" s="460">
        <f t="shared" si="106"/>
        <v>0.05</v>
      </c>
      <c r="N1151" s="464">
        <f t="shared" si="107"/>
        <v>86077</v>
      </c>
    </row>
    <row r="1152" spans="7:14" ht="11.25" customHeight="1" x14ac:dyDescent="0.3">
      <c r="G1152" s="459"/>
      <c r="H1152" s="459">
        <v>1145</v>
      </c>
      <c r="I1152" s="444">
        <f t="shared" ca="1" si="105"/>
        <v>-39165802.310078248</v>
      </c>
      <c r="J1152" s="444">
        <f t="array" ref="J1152">IFERROR(INDEX('Retirement Calculator'!K:K,MATCH('Lorri 401b'!N1152,'Retirement Calculator'!A:A,0),0),0)</f>
        <v>20367.195264578786</v>
      </c>
      <c r="K1152" s="444">
        <f t="shared" ca="1" si="103"/>
        <v>-163275.70627226177</v>
      </c>
      <c r="L1152" s="444">
        <f t="shared" ca="1" si="104"/>
        <v>-39349445.211615086</v>
      </c>
      <c r="M1152" s="460">
        <f t="shared" si="106"/>
        <v>0.05</v>
      </c>
      <c r="N1152" s="464">
        <f t="shared" si="107"/>
        <v>86107</v>
      </c>
    </row>
    <row r="1153" spans="7:14" ht="11.25" customHeight="1" x14ac:dyDescent="0.3">
      <c r="G1153" s="459"/>
      <c r="H1153" s="459">
        <v>1146</v>
      </c>
      <c r="I1153" s="444">
        <f t="shared" ca="1" si="105"/>
        <v>-39349445.211615086</v>
      </c>
      <c r="J1153" s="444">
        <f t="array" ref="J1153">IFERROR(INDEX('Retirement Calculator'!K:K,MATCH('Lorri 401b'!N1153,'Retirement Calculator'!A:A,0),0),0)</f>
        <v>20367.195264578786</v>
      </c>
      <c r="K1153" s="444">
        <f t="shared" ca="1" si="103"/>
        <v>-164040.88502866527</v>
      </c>
      <c r="L1153" s="444">
        <f t="shared" ca="1" si="104"/>
        <v>-39533853.291908331</v>
      </c>
      <c r="M1153" s="460">
        <f t="shared" si="106"/>
        <v>0.05</v>
      </c>
      <c r="N1153" s="464">
        <f t="shared" si="107"/>
        <v>86138</v>
      </c>
    </row>
    <row r="1154" spans="7:14" ht="11.25" customHeight="1" x14ac:dyDescent="0.3">
      <c r="G1154" s="459"/>
      <c r="H1154" s="459">
        <v>1147</v>
      </c>
      <c r="I1154" s="444">
        <f t="shared" ca="1" si="105"/>
        <v>-39533853.291908331</v>
      </c>
      <c r="J1154" s="444">
        <f t="array" ref="J1154">IFERROR(INDEX('Retirement Calculator'!K:K,MATCH('Lorri 401b'!N1154,'Retirement Calculator'!A:A,0),0),0)</f>
        <v>20367.195264578786</v>
      </c>
      <c r="K1154" s="444">
        <f t="shared" ca="1" si="103"/>
        <v>-164809.25202988711</v>
      </c>
      <c r="L1154" s="444">
        <f t="shared" ca="1" si="104"/>
        <v>-39719029.739202797</v>
      </c>
      <c r="M1154" s="460">
        <f t="shared" si="106"/>
        <v>0.05</v>
      </c>
      <c r="N1154" s="464">
        <f t="shared" si="107"/>
        <v>86168</v>
      </c>
    </row>
    <row r="1155" spans="7:14" ht="11.25" customHeight="1" x14ac:dyDescent="0.3">
      <c r="G1155" s="459"/>
      <c r="H1155" s="459">
        <v>1148</v>
      </c>
      <c r="I1155" s="444">
        <f t="shared" ca="1" si="105"/>
        <v>-39719029.739202797</v>
      </c>
      <c r="J1155" s="444">
        <f t="array" ref="J1155">IFERROR(INDEX('Retirement Calculator'!K:K,MATCH('Lorri 401b'!N1155,'Retirement Calculator'!A:A,0),0),0)</f>
        <v>20367.195264578786</v>
      </c>
      <c r="K1155" s="444">
        <f t="shared" ca="1" si="103"/>
        <v>-165580.82056028073</v>
      </c>
      <c r="L1155" s="444">
        <f t="shared" ca="1" si="104"/>
        <v>-39904977.755027659</v>
      </c>
      <c r="M1155" s="460">
        <f t="shared" si="106"/>
        <v>0.05</v>
      </c>
      <c r="N1155" s="464">
        <f t="shared" si="107"/>
        <v>86199</v>
      </c>
    </row>
    <row r="1156" spans="7:14" ht="11.25" customHeight="1" x14ac:dyDescent="0.3">
      <c r="G1156" s="459"/>
      <c r="H1156" s="459">
        <v>1149</v>
      </c>
      <c r="I1156" s="444">
        <f t="shared" ca="1" si="105"/>
        <v>-39904977.755027659</v>
      </c>
      <c r="J1156" s="444">
        <f t="array" ref="J1156">IFERROR(INDEX('Retirement Calculator'!K:K,MATCH('Lorri 401b'!N1156,'Retirement Calculator'!A:A,0),0),0)</f>
        <v>20367.195264578786</v>
      </c>
      <c r="K1156" s="444">
        <f t="shared" ca="1" si="103"/>
        <v>-166355.60395955099</v>
      </c>
      <c r="L1156" s="444">
        <f t="shared" ca="1" si="104"/>
        <v>-40091700.55425179</v>
      </c>
      <c r="M1156" s="460">
        <f t="shared" si="106"/>
        <v>0.05</v>
      </c>
      <c r="N1156" s="464">
        <f t="shared" si="107"/>
        <v>86230</v>
      </c>
    </row>
    <row r="1157" spans="7:14" ht="11.25" customHeight="1" x14ac:dyDescent="0.3">
      <c r="G1157" s="459"/>
      <c r="H1157" s="459">
        <v>1150</v>
      </c>
      <c r="I1157" s="444">
        <f t="shared" ca="1" si="105"/>
        <v>-40091700.55425179</v>
      </c>
      <c r="J1157" s="444">
        <f t="array" ref="J1157">IFERROR(INDEX('Retirement Calculator'!K:K,MATCH('Lorri 401b'!N1157,'Retirement Calculator'!A:A,0),0),0)</f>
        <v>20367.195264578786</v>
      </c>
      <c r="K1157" s="444">
        <f t="shared" ca="1" si="103"/>
        <v>-167133.61562298486</v>
      </c>
      <c r="L1157" s="444">
        <f t="shared" ca="1" si="104"/>
        <v>-40279201.36513935</v>
      </c>
      <c r="M1157" s="460">
        <f t="shared" si="106"/>
        <v>0.05</v>
      </c>
      <c r="N1157" s="464">
        <f t="shared" si="107"/>
        <v>86259</v>
      </c>
    </row>
    <row r="1158" spans="7:14" ht="11.25" customHeight="1" x14ac:dyDescent="0.3">
      <c r="G1158" s="459"/>
      <c r="H1158" s="459">
        <v>1151</v>
      </c>
      <c r="I1158" s="444">
        <f t="shared" ca="1" si="105"/>
        <v>-40279201.36513935</v>
      </c>
      <c r="J1158" s="444">
        <f t="array" ref="J1158">IFERROR(INDEX('Retirement Calculator'!K:K,MATCH('Lorri 401b'!N1158,'Retirement Calculator'!A:A,0),0),0)</f>
        <v>20367.195264578786</v>
      </c>
      <c r="K1158" s="444">
        <f t="shared" ca="1" si="103"/>
        <v>-167914.86900168302</v>
      </c>
      <c r="L1158" s="444">
        <f t="shared" ca="1" si="104"/>
        <v>-40467483.429405615</v>
      </c>
      <c r="M1158" s="460">
        <f t="shared" si="106"/>
        <v>0.05</v>
      </c>
      <c r="N1158" s="464">
        <f t="shared" si="107"/>
        <v>86290</v>
      </c>
    </row>
    <row r="1159" spans="7:14" ht="11.25" customHeight="1" x14ac:dyDescent="0.3">
      <c r="G1159" s="459"/>
      <c r="H1159" s="459">
        <v>1152</v>
      </c>
      <c r="I1159" s="444">
        <f t="shared" ca="1" si="105"/>
        <v>-40467483.429405615</v>
      </c>
      <c r="J1159" s="444">
        <f t="array" ref="J1159">IFERROR(INDEX('Retirement Calculator'!K:K,MATCH('Lorri 401b'!N1159,'Retirement Calculator'!A:A,0),0),0)</f>
        <v>20367.195264578786</v>
      </c>
      <c r="K1159" s="444">
        <f t="shared" ca="1" si="103"/>
        <v>-168699.37760279246</v>
      </c>
      <c r="L1159" s="444">
        <f t="shared" ca="1" si="104"/>
        <v>-40656550.002272986</v>
      </c>
      <c r="M1159" s="460">
        <f t="shared" si="106"/>
        <v>0.05</v>
      </c>
      <c r="N1159" s="464">
        <f t="shared" si="107"/>
        <v>86320</v>
      </c>
    </row>
    <row r="1160" spans="7:14" ht="11.25" customHeight="1" x14ac:dyDescent="0.3">
      <c r="G1160" s="459"/>
      <c r="H1160" s="459">
        <v>1153</v>
      </c>
      <c r="I1160" s="444">
        <f t="shared" ca="1" si="105"/>
        <v>-40656550.002272986</v>
      </c>
      <c r="J1160" s="444">
        <f t="array" ref="J1160">IFERROR(INDEX('Retirement Calculator'!K:K,MATCH('Lorri 401b'!N1160,'Retirement Calculator'!A:A,0),0),0)</f>
        <v>20367.195264578786</v>
      </c>
      <c r="K1160" s="444">
        <f t="shared" ca="1" si="103"/>
        <v>-169487.15498973985</v>
      </c>
      <c r="L1160" s="444">
        <f t="shared" ca="1" si="104"/>
        <v>-40846404.352527305</v>
      </c>
      <c r="M1160" s="460">
        <f t="shared" si="106"/>
        <v>0.05</v>
      </c>
      <c r="N1160" s="464">
        <f t="shared" si="107"/>
        <v>86351</v>
      </c>
    </row>
    <row r="1161" spans="7:14" ht="11.25" customHeight="1" x14ac:dyDescent="0.3">
      <c r="G1161" s="459"/>
      <c r="H1161" s="459">
        <v>1154</v>
      </c>
      <c r="I1161" s="444">
        <f t="shared" ca="1" si="105"/>
        <v>-40846404.352527305</v>
      </c>
      <c r="J1161" s="444">
        <f t="array" ref="J1161">IFERROR(INDEX('Retirement Calculator'!K:K,MATCH('Lorri 401b'!N1161,'Retirement Calculator'!A:A,0),0),0)</f>
        <v>20367.195264578786</v>
      </c>
      <c r="K1161" s="444">
        <f t="shared" ca="1" si="103"/>
        <v>-170278.21478246618</v>
      </c>
      <c r="L1161" s="444">
        <f t="shared" ca="1" si="104"/>
        <v>-41037049.762574352</v>
      </c>
      <c r="M1161" s="460">
        <f t="shared" si="106"/>
        <v>0.05</v>
      </c>
      <c r="N1161" s="464">
        <f t="shared" si="107"/>
        <v>86381</v>
      </c>
    </row>
    <row r="1162" spans="7:14" ht="11.25" customHeight="1" x14ac:dyDescent="0.3">
      <c r="G1162" s="459"/>
      <c r="H1162" s="459">
        <v>1155</v>
      </c>
      <c r="I1162" s="444">
        <f t="shared" ca="1" si="105"/>
        <v>-41037049.762574352</v>
      </c>
      <c r="J1162" s="444">
        <f t="array" ref="J1162">IFERROR(INDEX('Retirement Calculator'!K:K,MATCH('Lorri 401b'!N1162,'Retirement Calculator'!A:A,0),0),0)</f>
        <v>20367.195264578786</v>
      </c>
      <c r="K1162" s="444">
        <f t="shared" ca="1" si="103"/>
        <v>-171072.5706576622</v>
      </c>
      <c r="L1162" s="444">
        <f t="shared" ca="1" si="104"/>
        <v>-41228489.528496593</v>
      </c>
      <c r="M1162" s="460">
        <f t="shared" si="106"/>
        <v>0.05</v>
      </c>
      <c r="N1162" s="464">
        <f t="shared" si="107"/>
        <v>86412</v>
      </c>
    </row>
    <row r="1163" spans="7:14" ht="11.25" customHeight="1" x14ac:dyDescent="0.3">
      <c r="G1163" s="459"/>
      <c r="H1163" s="459">
        <v>1156</v>
      </c>
      <c r="I1163" s="444">
        <f t="shared" ca="1" si="105"/>
        <v>-41228489.528496593</v>
      </c>
      <c r="J1163" s="444">
        <f t="array" ref="J1163">IFERROR(INDEX('Retirement Calculator'!K:K,MATCH('Lorri 401b'!N1163,'Retirement Calculator'!A:A,0),0),0)</f>
        <v>20367.195264578786</v>
      </c>
      <c r="K1163" s="444">
        <f t="shared" ca="1" si="103"/>
        <v>-171870.23634900487</v>
      </c>
      <c r="L1163" s="444">
        <f t="shared" ca="1" si="104"/>
        <v>-41420726.960110173</v>
      </c>
      <c r="M1163" s="460">
        <f t="shared" si="106"/>
        <v>0.05</v>
      </c>
      <c r="N1163" s="464">
        <f t="shared" si="107"/>
        <v>86443</v>
      </c>
    </row>
    <row r="1164" spans="7:14" ht="11.25" customHeight="1" x14ac:dyDescent="0.3">
      <c r="G1164" s="459"/>
      <c r="H1164" s="459">
        <v>1157</v>
      </c>
      <c r="I1164" s="444">
        <f t="shared" ca="1" si="105"/>
        <v>-41420726.960110173</v>
      </c>
      <c r="J1164" s="444">
        <f t="array" ref="J1164">IFERROR(INDEX('Retirement Calculator'!K:K,MATCH('Lorri 401b'!N1164,'Retirement Calculator'!A:A,0),0),0)</f>
        <v>20367.195264578786</v>
      </c>
      <c r="K1164" s="444">
        <f t="shared" ca="1" si="103"/>
        <v>-172671.22564739478</v>
      </c>
      <c r="L1164" s="444">
        <f t="shared" ca="1" si="104"/>
        <v>-41613765.381022148</v>
      </c>
      <c r="M1164" s="460">
        <f t="shared" si="106"/>
        <v>0.05</v>
      </c>
      <c r="N1164" s="464">
        <f t="shared" si="107"/>
        <v>86473</v>
      </c>
    </row>
    <row r="1165" spans="7:14" ht="11.25" customHeight="1" x14ac:dyDescent="0.3">
      <c r="G1165" s="459"/>
      <c r="H1165" s="459">
        <v>1158</v>
      </c>
      <c r="I1165" s="444">
        <f t="shared" ca="1" si="105"/>
        <v>-41613765.381022148</v>
      </c>
      <c r="J1165" s="444">
        <f t="array" ref="J1165">IFERROR(INDEX('Retirement Calculator'!K:K,MATCH('Lorri 401b'!N1165,'Retirement Calculator'!A:A,0),0),0)</f>
        <v>20367.195264578786</v>
      </c>
      <c r="K1165" s="444">
        <f t="shared" ca="1" si="103"/>
        <v>-173475.5524011947</v>
      </c>
      <c r="L1165" s="444">
        <f t="shared" ca="1" si="104"/>
        <v>-41807608.128687918</v>
      </c>
      <c r="M1165" s="460">
        <f t="shared" si="106"/>
        <v>0.05</v>
      </c>
      <c r="N1165" s="464">
        <f t="shared" si="107"/>
        <v>86504</v>
      </c>
    </row>
    <row r="1166" spans="7:14" ht="11.25" customHeight="1" x14ac:dyDescent="0.3">
      <c r="G1166" s="459"/>
      <c r="H1166" s="459">
        <v>1159</v>
      </c>
      <c r="I1166" s="444">
        <f t="shared" ca="1" si="105"/>
        <v>-41807608.128687918</v>
      </c>
      <c r="J1166" s="444">
        <f t="array" ref="J1166">IFERROR(INDEX('Retirement Calculator'!K:K,MATCH('Lorri 401b'!N1166,'Retirement Calculator'!A:A,0),0),0)</f>
        <v>20367.195264578786</v>
      </c>
      <c r="K1166" s="444">
        <f t="shared" ca="1" si="103"/>
        <v>-174283.23051646873</v>
      </c>
      <c r="L1166" s="444">
        <f t="shared" ca="1" si="104"/>
        <v>-42002258.554468967</v>
      </c>
      <c r="M1166" s="460">
        <f t="shared" si="106"/>
        <v>0.05</v>
      </c>
      <c r="N1166" s="464">
        <f t="shared" si="107"/>
        <v>86534</v>
      </c>
    </row>
    <row r="1167" spans="7:14" ht="11.25" customHeight="1" x14ac:dyDescent="0.3">
      <c r="G1167" s="459"/>
      <c r="H1167" s="459">
        <v>1160</v>
      </c>
      <c r="I1167" s="444">
        <f t="shared" ca="1" si="105"/>
        <v>-42002258.554468967</v>
      </c>
      <c r="J1167" s="444">
        <f t="array" ref="J1167">IFERROR(INDEX('Retirement Calculator'!K:K,MATCH('Lorri 401b'!N1167,'Retirement Calculator'!A:A,0),0),0)</f>
        <v>20367.195264578786</v>
      </c>
      <c r="K1167" s="444">
        <f t="shared" ca="1" si="103"/>
        <v>-175094.27395722311</v>
      </c>
      <c r="L1167" s="444">
        <f t="shared" ca="1" si="104"/>
        <v>-42197720.023690768</v>
      </c>
      <c r="M1167" s="460">
        <f t="shared" si="106"/>
        <v>0.05</v>
      </c>
      <c r="N1167" s="464">
        <f t="shared" si="107"/>
        <v>86565</v>
      </c>
    </row>
    <row r="1168" spans="7:14" ht="11.25" customHeight="1" x14ac:dyDescent="0.3">
      <c r="G1168" s="459"/>
      <c r="H1168" s="459">
        <v>1161</v>
      </c>
      <c r="I1168" s="444">
        <f t="shared" ca="1" si="105"/>
        <v>-42197720.023690768</v>
      </c>
      <c r="J1168" s="444">
        <f t="array" ref="J1168">IFERROR(INDEX('Retirement Calculator'!K:K,MATCH('Lorri 401b'!N1168,'Retirement Calculator'!A:A,0),0),0)</f>
        <v>20367.195264578786</v>
      </c>
      <c r="K1168" s="444">
        <f t="shared" ca="1" si="103"/>
        <v>-175908.69674564726</v>
      </c>
      <c r="L1168" s="444">
        <f t="shared" ca="1" si="104"/>
        <v>-42393995.915700994</v>
      </c>
      <c r="M1168" s="460">
        <f t="shared" si="106"/>
        <v>0.05</v>
      </c>
      <c r="N1168" s="464">
        <f t="shared" si="107"/>
        <v>86596</v>
      </c>
    </row>
    <row r="1169" spans="7:14" ht="11.25" customHeight="1" x14ac:dyDescent="0.3">
      <c r="G1169" s="459"/>
      <c r="H1169" s="459">
        <v>1162</v>
      </c>
      <c r="I1169" s="444">
        <f t="shared" ca="1" si="105"/>
        <v>-42393995.915700994</v>
      </c>
      <c r="J1169" s="444">
        <f t="array" ref="J1169">IFERROR(INDEX('Retirement Calculator'!K:K,MATCH('Lorri 401b'!N1169,'Retirement Calculator'!A:A,0),0),0)</f>
        <v>0</v>
      </c>
      <c r="K1169" s="444">
        <f t="shared" ca="1" si="103"/>
        <v>-176641.64964875413</v>
      </c>
      <c r="L1169" s="444">
        <f t="shared" ca="1" si="104"/>
        <v>-42570637.56534975</v>
      </c>
      <c r="M1169" s="460">
        <f t="shared" si="106"/>
        <v>0.05</v>
      </c>
      <c r="N1169" s="464">
        <f t="shared" si="107"/>
        <v>86624</v>
      </c>
    </row>
    <row r="1170" spans="7:14" ht="11.25" customHeight="1" x14ac:dyDescent="0.3">
      <c r="G1170" s="459"/>
      <c r="H1170" s="459">
        <v>1163</v>
      </c>
      <c r="I1170" s="444">
        <f t="shared" ca="1" si="105"/>
        <v>-42570637.56534975</v>
      </c>
      <c r="J1170" s="444">
        <f t="array" ref="J1170">IFERROR(INDEX('Retirement Calculator'!K:K,MATCH('Lorri 401b'!N1170,'Retirement Calculator'!A:A,0),0),0)</f>
        <v>0</v>
      </c>
      <c r="K1170" s="444">
        <f t="shared" ca="1" si="103"/>
        <v>-177377.65652229064</v>
      </c>
      <c r="L1170" s="444">
        <f t="shared" ca="1" si="104"/>
        <v>-42748015.221872039</v>
      </c>
      <c r="M1170" s="460">
        <f t="shared" si="106"/>
        <v>0.05</v>
      </c>
      <c r="N1170" s="464">
        <f t="shared" si="107"/>
        <v>86655</v>
      </c>
    </row>
    <row r="1171" spans="7:14" ht="11.25" customHeight="1" x14ac:dyDescent="0.3">
      <c r="G1171" s="459"/>
      <c r="H1171" s="459">
        <v>1164</v>
      </c>
      <c r="I1171" s="444">
        <f t="shared" ca="1" si="105"/>
        <v>-42748015.221872039</v>
      </c>
      <c r="J1171" s="444">
        <f t="array" ref="J1171">IFERROR(INDEX('Retirement Calculator'!K:K,MATCH('Lorri 401b'!N1171,'Retirement Calculator'!A:A,0),0),0)</f>
        <v>0</v>
      </c>
      <c r="K1171" s="444">
        <f t="shared" ca="1" si="103"/>
        <v>-178116.7300911335</v>
      </c>
      <c r="L1171" s="444">
        <f t="shared" ca="1" si="104"/>
        <v>-42926131.951963171</v>
      </c>
      <c r="M1171" s="460">
        <f t="shared" si="106"/>
        <v>0.05</v>
      </c>
      <c r="N1171" s="464">
        <f t="shared" si="107"/>
        <v>86685</v>
      </c>
    </row>
    <row r="1172" spans="7:14" ht="11.25" customHeight="1" x14ac:dyDescent="0.3">
      <c r="G1172" s="459"/>
      <c r="H1172" s="459">
        <v>1165</v>
      </c>
      <c r="I1172" s="444">
        <f t="shared" ca="1" si="105"/>
        <v>-42926131.951963171</v>
      </c>
      <c r="J1172" s="444">
        <f t="array" ref="J1172">IFERROR(INDEX('Retirement Calculator'!K:K,MATCH('Lorri 401b'!N1172,'Retirement Calculator'!A:A,0),0),0)</f>
        <v>0</v>
      </c>
      <c r="K1172" s="444">
        <f t="shared" ca="1" si="103"/>
        <v>-178858.88313317989</v>
      </c>
      <c r="L1172" s="444">
        <f t="shared" ca="1" si="104"/>
        <v>-43104990.835096352</v>
      </c>
      <c r="M1172" s="460">
        <f t="shared" si="106"/>
        <v>0.05</v>
      </c>
      <c r="N1172" s="464">
        <f t="shared" si="107"/>
        <v>86716</v>
      </c>
    </row>
    <row r="1173" spans="7:14" ht="11.25" customHeight="1" x14ac:dyDescent="0.3">
      <c r="G1173" s="459"/>
      <c r="H1173" s="459">
        <v>1166</v>
      </c>
      <c r="I1173" s="444">
        <f t="shared" ca="1" si="105"/>
        <v>-43104990.835096352</v>
      </c>
      <c r="J1173" s="444">
        <f t="array" ref="J1173">IFERROR(INDEX('Retirement Calculator'!K:K,MATCH('Lorri 401b'!N1173,'Retirement Calculator'!A:A,0),0),0)</f>
        <v>0</v>
      </c>
      <c r="K1173" s="444">
        <f t="shared" ca="1" si="103"/>
        <v>-179604.12847956814</v>
      </c>
      <c r="L1173" s="444">
        <f t="shared" ca="1" si="104"/>
        <v>-43284594.963575922</v>
      </c>
      <c r="M1173" s="460">
        <f t="shared" si="106"/>
        <v>0.05</v>
      </c>
      <c r="N1173" s="464">
        <f t="shared" si="107"/>
        <v>86746</v>
      </c>
    </row>
    <row r="1174" spans="7:14" ht="11.25" customHeight="1" x14ac:dyDescent="0.3">
      <c r="G1174" s="459"/>
      <c r="H1174" s="459">
        <v>1167</v>
      </c>
      <c r="I1174" s="444">
        <f t="shared" ca="1" si="105"/>
        <v>-43284594.963575922</v>
      </c>
      <c r="J1174" s="444">
        <f t="array" ref="J1174">IFERROR(INDEX('Retirement Calculator'!K:K,MATCH('Lorri 401b'!N1174,'Retirement Calculator'!A:A,0),0),0)</f>
        <v>0</v>
      </c>
      <c r="K1174" s="444">
        <f t="shared" ca="1" si="103"/>
        <v>-180352.47901489967</v>
      </c>
      <c r="L1174" s="444">
        <f t="shared" ca="1" si="104"/>
        <v>-43464947.442590825</v>
      </c>
      <c r="M1174" s="460">
        <f t="shared" si="106"/>
        <v>0.05</v>
      </c>
      <c r="N1174" s="464">
        <f t="shared" si="107"/>
        <v>86777</v>
      </c>
    </row>
    <row r="1175" spans="7:14" ht="11.25" customHeight="1" x14ac:dyDescent="0.3">
      <c r="G1175" s="459"/>
      <c r="H1175" s="459">
        <v>1168</v>
      </c>
      <c r="I1175" s="444">
        <f t="shared" ca="1" si="105"/>
        <v>-43464947.442590825</v>
      </c>
      <c r="J1175" s="444">
        <f t="array" ref="J1175">IFERROR(INDEX('Retirement Calculator'!K:K,MATCH('Lorri 401b'!N1175,'Retirement Calculator'!A:A,0),0),0)</f>
        <v>0</v>
      </c>
      <c r="K1175" s="444">
        <f t="shared" ca="1" si="103"/>
        <v>-181103.94767746178</v>
      </c>
      <c r="L1175" s="444">
        <f t="shared" ca="1" si="104"/>
        <v>-43646051.390268289</v>
      </c>
      <c r="M1175" s="460">
        <f t="shared" si="106"/>
        <v>0.05</v>
      </c>
      <c r="N1175" s="464">
        <f t="shared" si="107"/>
        <v>86808</v>
      </c>
    </row>
    <row r="1176" spans="7:14" ht="11.25" customHeight="1" x14ac:dyDescent="0.3">
      <c r="G1176" s="459"/>
      <c r="H1176" s="459">
        <v>1169</v>
      </c>
      <c r="I1176" s="444">
        <f t="shared" ca="1" si="105"/>
        <v>-43646051.390268289</v>
      </c>
      <c r="J1176" s="444">
        <f t="array" ref="J1176">IFERROR(INDEX('Retirement Calculator'!K:K,MATCH('Lorri 401b'!N1176,'Retirement Calculator'!A:A,0),0),0)</f>
        <v>0</v>
      </c>
      <c r="K1176" s="444">
        <f t="shared" ca="1" si="103"/>
        <v>-181858.54745945119</v>
      </c>
      <c r="L1176" s="444">
        <f t="shared" ca="1" si="104"/>
        <v>-43827909.937727742</v>
      </c>
      <c r="M1176" s="460">
        <f t="shared" si="106"/>
        <v>0.05</v>
      </c>
      <c r="N1176" s="464">
        <f t="shared" si="107"/>
        <v>86838</v>
      </c>
    </row>
    <row r="1177" spans="7:14" ht="11.25" customHeight="1" x14ac:dyDescent="0.3">
      <c r="G1177" s="459"/>
      <c r="H1177" s="459">
        <v>1170</v>
      </c>
      <c r="I1177" s="444">
        <f t="shared" ca="1" si="105"/>
        <v>-43827909.937727742</v>
      </c>
      <c r="J1177" s="444">
        <f t="array" ref="J1177">IFERROR(INDEX('Retirement Calculator'!K:K,MATCH('Lorri 401b'!N1177,'Retirement Calculator'!A:A,0),0),0)</f>
        <v>0</v>
      </c>
      <c r="K1177" s="444">
        <f t="shared" ca="1" si="103"/>
        <v>-182616.29140719894</v>
      </c>
      <c r="L1177" s="444">
        <f t="shared" ca="1" si="104"/>
        <v>-44010526.22913494</v>
      </c>
      <c r="M1177" s="460">
        <f t="shared" si="106"/>
        <v>0.05</v>
      </c>
      <c r="N1177" s="464">
        <f t="shared" si="107"/>
        <v>86869</v>
      </c>
    </row>
    <row r="1178" spans="7:14" ht="11.25" customHeight="1" x14ac:dyDescent="0.3">
      <c r="G1178" s="459"/>
      <c r="H1178" s="459">
        <v>1171</v>
      </c>
      <c r="I1178" s="444">
        <f t="shared" ca="1" si="105"/>
        <v>-44010526.22913494</v>
      </c>
      <c r="J1178" s="444">
        <f t="array" ref="J1178">IFERROR(INDEX('Retirement Calculator'!K:K,MATCH('Lorri 401b'!N1178,'Retirement Calculator'!A:A,0),0),0)</f>
        <v>0</v>
      </c>
      <c r="K1178" s="444">
        <f t="shared" ca="1" si="103"/>
        <v>-183377.19262139557</v>
      </c>
      <c r="L1178" s="444">
        <f t="shared" ca="1" si="104"/>
        <v>-44193903.421756335</v>
      </c>
      <c r="M1178" s="460">
        <f t="shared" si="106"/>
        <v>0.05</v>
      </c>
      <c r="N1178" s="464">
        <f t="shared" si="107"/>
        <v>86899</v>
      </c>
    </row>
    <row r="1179" spans="7:14" ht="11.25" customHeight="1" x14ac:dyDescent="0.3">
      <c r="G1179" s="459"/>
      <c r="H1179" s="459">
        <v>1172</v>
      </c>
      <c r="I1179" s="444">
        <f t="shared" ca="1" si="105"/>
        <v>-44193903.421756335</v>
      </c>
      <c r="J1179" s="444">
        <f t="array" ref="J1179">IFERROR(INDEX('Retirement Calculator'!K:K,MATCH('Lorri 401b'!N1179,'Retirement Calculator'!A:A,0),0),0)</f>
        <v>0</v>
      </c>
      <c r="K1179" s="444">
        <f t="shared" ca="1" si="103"/>
        <v>-184141.26425731805</v>
      </c>
      <c r="L1179" s="444">
        <f t="shared" ca="1" si="104"/>
        <v>-44378044.686013654</v>
      </c>
      <c r="M1179" s="460">
        <f t="shared" si="106"/>
        <v>0.05</v>
      </c>
      <c r="N1179" s="464">
        <f t="shared" si="107"/>
        <v>86930</v>
      </c>
    </row>
    <row r="1180" spans="7:14" ht="11.25" customHeight="1" x14ac:dyDescent="0.3">
      <c r="G1180" s="459"/>
      <c r="H1180" s="459">
        <v>1173</v>
      </c>
      <c r="I1180" s="444">
        <f t="shared" ca="1" si="105"/>
        <v>-44378044.686013654</v>
      </c>
      <c r="J1180" s="444">
        <f t="array" ref="J1180">IFERROR(INDEX('Retirement Calculator'!K:K,MATCH('Lorri 401b'!N1180,'Retirement Calculator'!A:A,0),0),0)</f>
        <v>0</v>
      </c>
      <c r="K1180" s="444">
        <f t="shared" ca="1" si="103"/>
        <v>-184908.51952505688</v>
      </c>
      <c r="L1180" s="444">
        <f t="shared" ca="1" si="104"/>
        <v>-44562953.205538712</v>
      </c>
      <c r="M1180" s="460">
        <f t="shared" si="106"/>
        <v>0.05</v>
      </c>
      <c r="N1180" s="464">
        <f t="shared" si="107"/>
        <v>86961</v>
      </c>
    </row>
    <row r="1181" spans="7:14" ht="11.25" customHeight="1" x14ac:dyDescent="0.3">
      <c r="G1181" s="459"/>
      <c r="H1181" s="459">
        <v>1174</v>
      </c>
      <c r="I1181" s="444">
        <f t="shared" ca="1" si="105"/>
        <v>-44562953.205538712</v>
      </c>
      <c r="J1181" s="444">
        <f t="array" ref="J1181">IFERROR(INDEX('Retirement Calculator'!K:K,MATCH('Lorri 401b'!N1181,'Retirement Calculator'!A:A,0),0),0)</f>
        <v>0</v>
      </c>
      <c r="K1181" s="444">
        <f t="shared" ca="1" si="103"/>
        <v>-185678.97168974462</v>
      </c>
      <c r="L1181" s="444">
        <f t="shared" ca="1" si="104"/>
        <v>-44748632.177228458</v>
      </c>
      <c r="M1181" s="460">
        <f t="shared" si="106"/>
        <v>0.05</v>
      </c>
      <c r="N1181" s="464">
        <f t="shared" si="107"/>
        <v>86989</v>
      </c>
    </row>
    <row r="1182" spans="7:14" ht="11.25" customHeight="1" x14ac:dyDescent="0.3">
      <c r="G1182" s="459"/>
      <c r="H1182" s="459">
        <v>1175</v>
      </c>
      <c r="I1182" s="444">
        <f t="shared" ca="1" si="105"/>
        <v>-44748632.177228458</v>
      </c>
      <c r="J1182" s="444">
        <f t="array" ref="J1182">IFERROR(INDEX('Retirement Calculator'!K:K,MATCH('Lorri 401b'!N1182,'Retirement Calculator'!A:A,0),0),0)</f>
        <v>0</v>
      </c>
      <c r="K1182" s="444">
        <f t="shared" ca="1" si="103"/>
        <v>-186452.63407178523</v>
      </c>
      <c r="L1182" s="444">
        <f t="shared" ca="1" si="104"/>
        <v>-44935084.81130024</v>
      </c>
      <c r="M1182" s="460">
        <f t="shared" si="106"/>
        <v>0.05</v>
      </c>
      <c r="N1182" s="464">
        <f t="shared" si="107"/>
        <v>87020</v>
      </c>
    </row>
    <row r="1183" spans="7:14" ht="11.25" customHeight="1" x14ac:dyDescent="0.3">
      <c r="G1183" s="459"/>
      <c r="H1183" s="459">
        <v>1176</v>
      </c>
      <c r="I1183" s="444">
        <f t="shared" ca="1" si="105"/>
        <v>-44935084.81130024</v>
      </c>
      <c r="J1183" s="444">
        <f t="array" ref="J1183">IFERROR(INDEX('Retirement Calculator'!K:K,MATCH('Lorri 401b'!N1183,'Retirement Calculator'!A:A,0),0),0)</f>
        <v>0</v>
      </c>
      <c r="K1183" s="444">
        <f t="shared" ca="1" si="103"/>
        <v>-187229.52004708434</v>
      </c>
      <c r="L1183" s="444">
        <f t="shared" ca="1" si="104"/>
        <v>-45122314.331347324</v>
      </c>
      <c r="M1183" s="460">
        <f t="shared" si="106"/>
        <v>0.05</v>
      </c>
      <c r="N1183" s="464">
        <f t="shared" si="107"/>
        <v>87050</v>
      </c>
    </row>
    <row r="1184" spans="7:14" ht="11.25" customHeight="1" x14ac:dyDescent="0.3">
      <c r="G1184" s="459"/>
      <c r="H1184" s="459">
        <v>1177</v>
      </c>
      <c r="I1184" s="444">
        <f t="shared" ca="1" si="105"/>
        <v>-45122314.331347324</v>
      </c>
      <c r="J1184" s="444">
        <f t="array" ref="J1184">IFERROR(INDEX('Retirement Calculator'!K:K,MATCH('Lorri 401b'!N1184,'Retirement Calculator'!A:A,0),0),0)</f>
        <v>0</v>
      </c>
      <c r="K1184" s="444">
        <f t="shared" ca="1" si="103"/>
        <v>-188009.64304728052</v>
      </c>
      <c r="L1184" s="444">
        <f t="shared" ca="1" si="104"/>
        <v>-45310323.974394605</v>
      </c>
      <c r="M1184" s="460">
        <f t="shared" si="106"/>
        <v>0.05</v>
      </c>
      <c r="N1184" s="464">
        <f t="shared" si="107"/>
        <v>87081</v>
      </c>
    </row>
    <row r="1185" spans="7:14" ht="11.25" customHeight="1" x14ac:dyDescent="0.3">
      <c r="G1185" s="459"/>
      <c r="H1185" s="459">
        <v>1178</v>
      </c>
      <c r="I1185" s="444">
        <f t="shared" ca="1" si="105"/>
        <v>-45310323.974394605</v>
      </c>
      <c r="J1185" s="444">
        <f t="array" ref="J1185">IFERROR(INDEX('Retirement Calculator'!K:K,MATCH('Lorri 401b'!N1185,'Retirement Calculator'!A:A,0),0),0)</f>
        <v>0</v>
      </c>
      <c r="K1185" s="444">
        <f t="shared" ca="1" si="103"/>
        <v>-188793.01655997752</v>
      </c>
      <c r="L1185" s="444">
        <f t="shared" ca="1" si="104"/>
        <v>-45499116.990954585</v>
      </c>
      <c r="M1185" s="460">
        <f t="shared" si="106"/>
        <v>0.05</v>
      </c>
      <c r="N1185" s="464">
        <f t="shared" si="107"/>
        <v>87111</v>
      </c>
    </row>
    <row r="1186" spans="7:14" ht="11.25" customHeight="1" x14ac:dyDescent="0.3">
      <c r="G1186" s="459"/>
      <c r="H1186" s="459">
        <v>1179</v>
      </c>
      <c r="I1186" s="444">
        <f t="shared" ca="1" si="105"/>
        <v>-45499116.990954585</v>
      </c>
      <c r="J1186" s="444">
        <f t="array" ref="J1186">IFERROR(INDEX('Retirement Calculator'!K:K,MATCH('Lorri 401b'!N1186,'Retirement Calculator'!A:A,0),0),0)</f>
        <v>0</v>
      </c>
      <c r="K1186" s="444">
        <f t="shared" ca="1" si="103"/>
        <v>-189579.65412897745</v>
      </c>
      <c r="L1186" s="444">
        <f t="shared" ca="1" si="104"/>
        <v>-45688696.645083562</v>
      </c>
      <c r="M1186" s="460">
        <f t="shared" si="106"/>
        <v>0.05</v>
      </c>
      <c r="N1186" s="464">
        <f t="shared" si="107"/>
        <v>87142</v>
      </c>
    </row>
    <row r="1187" spans="7:14" ht="11.25" customHeight="1" x14ac:dyDescent="0.3">
      <c r="G1187" s="459"/>
      <c r="H1187" s="459">
        <v>1180</v>
      </c>
      <c r="I1187" s="444">
        <f t="shared" ca="1" si="105"/>
        <v>-45688696.645083562</v>
      </c>
      <c r="J1187" s="444">
        <f t="array" ref="J1187">IFERROR(INDEX('Retirement Calculator'!K:K,MATCH('Lorri 401b'!N1187,'Retirement Calculator'!A:A,0),0),0)</f>
        <v>0</v>
      </c>
      <c r="K1187" s="444">
        <f t="shared" ca="1" si="103"/>
        <v>-190369.56935451482</v>
      </c>
      <c r="L1187" s="444">
        <f t="shared" ca="1" si="104"/>
        <v>-45879066.214438073</v>
      </c>
      <c r="M1187" s="460">
        <f t="shared" si="106"/>
        <v>0.05</v>
      </c>
      <c r="N1187" s="464">
        <f t="shared" si="107"/>
        <v>87173</v>
      </c>
    </row>
    <row r="1188" spans="7:14" ht="11.25" customHeight="1" x14ac:dyDescent="0.3">
      <c r="G1188" s="459"/>
      <c r="H1188" s="459">
        <v>1181</v>
      </c>
      <c r="I1188" s="444">
        <f t="shared" ca="1" si="105"/>
        <v>-45879066.214438073</v>
      </c>
      <c r="J1188" s="444">
        <f t="array" ref="J1188">IFERROR(INDEX('Retirement Calculator'!K:K,MATCH('Lorri 401b'!N1188,'Retirement Calculator'!A:A,0),0),0)</f>
        <v>0</v>
      </c>
      <c r="K1188" s="444">
        <f t="shared" ca="1" si="103"/>
        <v>-191162.77589349198</v>
      </c>
      <c r="L1188" s="444">
        <f t="shared" ca="1" si="104"/>
        <v>-46070228.990331568</v>
      </c>
      <c r="M1188" s="460">
        <f t="shared" si="106"/>
        <v>0.05</v>
      </c>
      <c r="N1188" s="464">
        <f t="shared" si="107"/>
        <v>87203</v>
      </c>
    </row>
    <row r="1189" spans="7:14" ht="11.25" customHeight="1" x14ac:dyDescent="0.3">
      <c r="G1189" s="459"/>
      <c r="H1189" s="459">
        <v>1182</v>
      </c>
      <c r="I1189" s="444">
        <f t="shared" ca="1" si="105"/>
        <v>-46070228.990331568</v>
      </c>
      <c r="J1189" s="444">
        <f t="array" ref="J1189">IFERROR(INDEX('Retirement Calculator'!K:K,MATCH('Lorri 401b'!N1189,'Retirement Calculator'!A:A,0),0),0)</f>
        <v>0</v>
      </c>
      <c r="K1189" s="444">
        <f t="shared" ca="1" si="103"/>
        <v>-191959.28745971486</v>
      </c>
      <c r="L1189" s="444">
        <f t="shared" ca="1" si="104"/>
        <v>-46262188.277791284</v>
      </c>
      <c r="M1189" s="460">
        <f t="shared" si="106"/>
        <v>0.05</v>
      </c>
      <c r="N1189" s="464">
        <f t="shared" si="107"/>
        <v>87234</v>
      </c>
    </row>
    <row r="1190" spans="7:14" ht="11.25" customHeight="1" x14ac:dyDescent="0.3">
      <c r="G1190" s="459"/>
      <c r="H1190" s="459">
        <v>1183</v>
      </c>
      <c r="I1190" s="444">
        <f t="shared" ca="1" si="105"/>
        <v>-46262188.277791284</v>
      </c>
      <c r="J1190" s="444">
        <f t="array" ref="J1190">IFERROR(INDEX('Retirement Calculator'!K:K,MATCH('Lorri 401b'!N1190,'Retirement Calculator'!A:A,0),0),0)</f>
        <v>0</v>
      </c>
      <c r="K1190" s="444">
        <f t="shared" ca="1" si="103"/>
        <v>-192759.11782413034</v>
      </c>
      <c r="L1190" s="444">
        <f t="shared" ca="1" si="104"/>
        <v>-46454947.395615414</v>
      </c>
      <c r="M1190" s="460">
        <f t="shared" si="106"/>
        <v>0.05</v>
      </c>
      <c r="N1190" s="464">
        <f t="shared" si="107"/>
        <v>87264</v>
      </c>
    </row>
    <row r="1191" spans="7:14" ht="11.25" customHeight="1" x14ac:dyDescent="0.3">
      <c r="G1191" s="459"/>
      <c r="H1191" s="459">
        <v>1184</v>
      </c>
      <c r="I1191" s="444">
        <f t="shared" ca="1" si="105"/>
        <v>-46454947.395615414</v>
      </c>
      <c r="J1191" s="444">
        <f t="array" ref="J1191">IFERROR(INDEX('Retirement Calculator'!K:K,MATCH('Lorri 401b'!N1191,'Retirement Calculator'!A:A,0),0),0)</f>
        <v>0</v>
      </c>
      <c r="K1191" s="444">
        <f t="shared" ca="1" si="103"/>
        <v>-193562.28081506421</v>
      </c>
      <c r="L1191" s="444">
        <f t="shared" ca="1" si="104"/>
        <v>-46648509.676430479</v>
      </c>
      <c r="M1191" s="460">
        <f t="shared" si="106"/>
        <v>0.05</v>
      </c>
      <c r="N1191" s="464">
        <f t="shared" si="107"/>
        <v>87295</v>
      </c>
    </row>
    <row r="1192" spans="7:14" ht="11.25" customHeight="1" x14ac:dyDescent="0.3">
      <c r="G1192" s="459"/>
      <c r="H1192" s="459">
        <v>1185</v>
      </c>
      <c r="I1192" s="444">
        <f t="shared" ca="1" si="105"/>
        <v>-46648509.676430479</v>
      </c>
      <c r="J1192" s="444">
        <f t="array" ref="J1192">IFERROR(INDEX('Retirement Calculator'!K:K,MATCH('Lorri 401b'!N1192,'Retirement Calculator'!A:A,0),0),0)</f>
        <v>0</v>
      </c>
      <c r="K1192" s="444">
        <f t="shared" ca="1" si="103"/>
        <v>-194368.79031846032</v>
      </c>
      <c r="L1192" s="444">
        <f t="shared" ca="1" si="104"/>
        <v>-46842878.466748938</v>
      </c>
      <c r="M1192" s="460">
        <f t="shared" si="106"/>
        <v>0.05</v>
      </c>
      <c r="N1192" s="464">
        <f t="shared" si="107"/>
        <v>87326</v>
      </c>
    </row>
    <row r="1193" spans="7:14" ht="11.25" customHeight="1" x14ac:dyDescent="0.3">
      <c r="G1193" s="459"/>
      <c r="H1193" s="459">
        <v>1186</v>
      </c>
      <c r="I1193" s="444">
        <f t="shared" ca="1" si="105"/>
        <v>-46842878.466748938</v>
      </c>
      <c r="J1193" s="444">
        <f t="array" ref="J1193">IFERROR(INDEX('Retirement Calculator'!K:K,MATCH('Lorri 401b'!N1193,'Retirement Calculator'!A:A,0),0),0)</f>
        <v>0</v>
      </c>
      <c r="K1193" s="444">
        <f t="shared" ca="1" si="103"/>
        <v>-195178.66027812057</v>
      </c>
      <c r="L1193" s="444">
        <f t="shared" ca="1" si="104"/>
        <v>-47038057.127027057</v>
      </c>
      <c r="M1193" s="460">
        <f t="shared" si="106"/>
        <v>0.05</v>
      </c>
      <c r="N1193" s="464">
        <f t="shared" si="107"/>
        <v>87354</v>
      </c>
    </row>
    <row r="1194" spans="7:14" ht="11.25" customHeight="1" x14ac:dyDescent="0.3">
      <c r="G1194" s="459"/>
      <c r="H1194" s="459">
        <v>1187</v>
      </c>
      <c r="I1194" s="444">
        <f t="shared" ca="1" si="105"/>
        <v>-47038057.127027057</v>
      </c>
      <c r="J1194" s="444">
        <f t="array" ref="J1194">IFERROR(INDEX('Retirement Calculator'!K:K,MATCH('Lorri 401b'!N1194,'Retirement Calculator'!A:A,0),0),0)</f>
        <v>0</v>
      </c>
      <c r="K1194" s="444">
        <f t="shared" ca="1" si="103"/>
        <v>-195991.90469594608</v>
      </c>
      <c r="L1194" s="444">
        <f t="shared" ca="1" si="104"/>
        <v>-47234049.031723</v>
      </c>
      <c r="M1194" s="460">
        <f t="shared" si="106"/>
        <v>0.05</v>
      </c>
      <c r="N1194" s="464">
        <f t="shared" si="107"/>
        <v>87385</v>
      </c>
    </row>
    <row r="1195" spans="7:14" ht="11.25" customHeight="1" x14ac:dyDescent="0.3">
      <c r="G1195" s="459"/>
      <c r="H1195" s="459">
        <v>1188</v>
      </c>
      <c r="I1195" s="444">
        <f t="shared" ca="1" si="105"/>
        <v>-47234049.031723</v>
      </c>
      <c r="J1195" s="444">
        <f t="array" ref="J1195">IFERROR(INDEX('Retirement Calculator'!K:K,MATCH('Lorri 401b'!N1195,'Retirement Calculator'!A:A,0),0),0)</f>
        <v>0</v>
      </c>
      <c r="K1195" s="444">
        <f t="shared" ca="1" si="103"/>
        <v>-196808.53763217916</v>
      </c>
      <c r="L1195" s="444">
        <f t="shared" ca="1" si="104"/>
        <v>-47430857.569355182</v>
      </c>
      <c r="M1195" s="460">
        <f t="shared" si="106"/>
        <v>0.05</v>
      </c>
      <c r="N1195" s="464">
        <f t="shared" si="107"/>
        <v>87415</v>
      </c>
    </row>
    <row r="1196" spans="7:14" ht="11.25" customHeight="1" x14ac:dyDescent="0.3">
      <c r="G1196" s="459"/>
      <c r="H1196" s="459">
        <v>1189</v>
      </c>
      <c r="I1196" s="444">
        <f t="shared" ca="1" si="105"/>
        <v>-47430857.569355182</v>
      </c>
      <c r="J1196" s="444">
        <f t="array" ref="J1196">IFERROR(INDEX('Retirement Calculator'!K:K,MATCH('Lorri 401b'!N1196,'Retirement Calculator'!A:A,0),0),0)</f>
        <v>0</v>
      </c>
      <c r="K1196" s="444">
        <f t="shared" ca="1" si="103"/>
        <v>-197628.57320564659</v>
      </c>
      <c r="L1196" s="444">
        <f t="shared" ca="1" si="104"/>
        <v>-47628486.142560832</v>
      </c>
      <c r="M1196" s="460">
        <f t="shared" si="106"/>
        <v>0.05</v>
      </c>
      <c r="N1196" s="464">
        <f t="shared" si="107"/>
        <v>87446</v>
      </c>
    </row>
    <row r="1197" spans="7:14" ht="11.25" customHeight="1" x14ac:dyDescent="0.3">
      <c r="G1197" s="459"/>
      <c r="H1197" s="459">
        <v>1190</v>
      </c>
      <c r="I1197" s="444">
        <f t="shared" ca="1" si="105"/>
        <v>-47628486.142560832</v>
      </c>
      <c r="J1197" s="444">
        <f t="array" ref="J1197">IFERROR(INDEX('Retirement Calculator'!K:K,MATCH('Lorri 401b'!N1197,'Retirement Calculator'!A:A,0),0),0)</f>
        <v>0</v>
      </c>
      <c r="K1197" s="444">
        <f t="shared" ca="1" si="103"/>
        <v>-198452.02559400347</v>
      </c>
      <c r="L1197" s="444">
        <f t="shared" ca="1" si="104"/>
        <v>-47826938.168154836</v>
      </c>
      <c r="M1197" s="460">
        <f t="shared" si="106"/>
        <v>0.05</v>
      </c>
      <c r="N1197" s="464">
        <f t="shared" si="107"/>
        <v>87476</v>
      </c>
    </row>
    <row r="1198" spans="7:14" ht="11.25" customHeight="1" x14ac:dyDescent="0.3">
      <c r="G1198" s="459"/>
      <c r="H1198" s="459">
        <v>1191</v>
      </c>
      <c r="I1198" s="444">
        <f t="shared" ca="1" si="105"/>
        <v>-47826938.168154836</v>
      </c>
      <c r="J1198" s="444">
        <f t="array" ref="J1198">IFERROR(INDEX('Retirement Calculator'!K:K,MATCH('Lorri 401b'!N1198,'Retirement Calculator'!A:A,0),0),0)</f>
        <v>0</v>
      </c>
      <c r="K1198" s="444">
        <f t="shared" ca="1" si="103"/>
        <v>-199278.90903397847</v>
      </c>
      <c r="L1198" s="444">
        <f t="shared" ca="1" si="104"/>
        <v>-48026217.077188812</v>
      </c>
      <c r="M1198" s="460">
        <f t="shared" si="106"/>
        <v>0.05</v>
      </c>
      <c r="N1198" s="464">
        <f t="shared" si="107"/>
        <v>87507</v>
      </c>
    </row>
    <row r="1199" spans="7:14" ht="11.25" customHeight="1" x14ac:dyDescent="0.3">
      <c r="G1199" s="459"/>
      <c r="H1199" s="459">
        <v>1192</v>
      </c>
      <c r="I1199" s="444">
        <f t="shared" ca="1" si="105"/>
        <v>-48026217.077188812</v>
      </c>
      <c r="J1199" s="444">
        <f t="array" ref="J1199">IFERROR(INDEX('Retirement Calculator'!K:K,MATCH('Lorri 401b'!N1199,'Retirement Calculator'!A:A,0),0),0)</f>
        <v>0</v>
      </c>
      <c r="K1199" s="444">
        <f t="shared" ca="1" si="103"/>
        <v>-200109.23782162004</v>
      </c>
      <c r="L1199" s="444">
        <f t="shared" ca="1" si="104"/>
        <v>-48226326.315010436</v>
      </c>
      <c r="M1199" s="460">
        <f t="shared" si="106"/>
        <v>0.05</v>
      </c>
      <c r="N1199" s="464">
        <f t="shared" si="107"/>
        <v>87538</v>
      </c>
    </row>
    <row r="1200" spans="7:14" ht="11.25" customHeight="1" x14ac:dyDescent="0.3">
      <c r="G1200" s="459"/>
      <c r="H1200" s="459">
        <v>1193</v>
      </c>
      <c r="I1200" s="444">
        <f t="shared" ca="1" si="105"/>
        <v>-48226326.315010436</v>
      </c>
      <c r="J1200" s="444">
        <f t="array" ref="J1200">IFERROR(INDEX('Retirement Calculator'!K:K,MATCH('Lorri 401b'!N1200,'Retirement Calculator'!A:A,0),0),0)</f>
        <v>0</v>
      </c>
      <c r="K1200" s="444">
        <f t="shared" ca="1" si="103"/>
        <v>-200943.02631254349</v>
      </c>
      <c r="L1200" s="444">
        <f t="shared" ca="1" si="104"/>
        <v>-48427269.341322981</v>
      </c>
      <c r="M1200" s="460">
        <f t="shared" si="106"/>
        <v>0.05</v>
      </c>
      <c r="N1200" s="464">
        <f t="shared" si="107"/>
        <v>87568</v>
      </c>
    </row>
    <row r="1201" spans="7:14" ht="11.25" customHeight="1" x14ac:dyDescent="0.3">
      <c r="G1201" s="459"/>
      <c r="H1201" s="459">
        <v>1194</v>
      </c>
      <c r="I1201" s="444">
        <f t="shared" ca="1" si="105"/>
        <v>-48427269.341322981</v>
      </c>
      <c r="J1201" s="444">
        <f t="array" ref="J1201">IFERROR(INDEX('Retirement Calculator'!K:K,MATCH('Lorri 401b'!N1201,'Retirement Calculator'!A:A,0),0),0)</f>
        <v>0</v>
      </c>
      <c r="K1201" s="444">
        <f t="shared" ca="1" si="103"/>
        <v>-201780.28892217908</v>
      </c>
      <c r="L1201" s="444">
        <f t="shared" ca="1" si="104"/>
        <v>-48629049.630245157</v>
      </c>
      <c r="M1201" s="460">
        <f t="shared" si="106"/>
        <v>0.05</v>
      </c>
      <c r="N1201" s="464">
        <f t="shared" si="107"/>
        <v>87599</v>
      </c>
    </row>
    <row r="1202" spans="7:14" ht="11.25" customHeight="1" x14ac:dyDescent="0.3">
      <c r="G1202" s="459"/>
      <c r="H1202" s="459">
        <v>1195</v>
      </c>
      <c r="I1202" s="444">
        <f t="shared" ca="1" si="105"/>
        <v>-48629049.630245157</v>
      </c>
      <c r="J1202" s="444">
        <f t="array" ref="J1202">IFERROR(INDEX('Retirement Calculator'!K:K,MATCH('Lorri 401b'!N1202,'Retirement Calculator'!A:A,0),0),0)</f>
        <v>0</v>
      </c>
      <c r="K1202" s="444">
        <f t="shared" ca="1" si="103"/>
        <v>-202621.04012602149</v>
      </c>
      <c r="L1202" s="444">
        <f t="shared" ca="1" si="104"/>
        <v>-48831670.670371175</v>
      </c>
      <c r="M1202" s="460">
        <f t="shared" si="106"/>
        <v>0.05</v>
      </c>
      <c r="N1202" s="464">
        <f t="shared" si="107"/>
        <v>87629</v>
      </c>
    </row>
    <row r="1203" spans="7:14" ht="11.25" customHeight="1" x14ac:dyDescent="0.3">
      <c r="G1203" s="459"/>
      <c r="H1203" s="459">
        <v>1196</v>
      </c>
      <c r="I1203" s="444">
        <f t="shared" ca="1" si="105"/>
        <v>-48831670.670371175</v>
      </c>
      <c r="J1203" s="444">
        <f t="array" ref="J1203">IFERROR(INDEX('Retirement Calculator'!K:K,MATCH('Lorri 401b'!N1203,'Retirement Calculator'!A:A,0),0),0)</f>
        <v>0</v>
      </c>
      <c r="K1203" s="444">
        <f t="shared" ca="1" si="103"/>
        <v>-203465.29445987989</v>
      </c>
      <c r="L1203" s="444">
        <f t="shared" ca="1" si="104"/>
        <v>-49035135.964831054</v>
      </c>
      <c r="M1203" s="460">
        <f t="shared" si="106"/>
        <v>0.05</v>
      </c>
      <c r="N1203" s="464">
        <f t="shared" si="107"/>
        <v>87660</v>
      </c>
    </row>
    <row r="1204" spans="7:14" ht="11.25" customHeight="1" x14ac:dyDescent="0.3">
      <c r="G1204" s="459"/>
      <c r="H1204" s="459">
        <v>1197</v>
      </c>
      <c r="I1204" s="444">
        <f t="shared" ca="1" si="105"/>
        <v>-49035135.964831054</v>
      </c>
      <c r="J1204" s="444">
        <f t="array" ref="J1204">IFERROR(INDEX('Retirement Calculator'!K:K,MATCH('Lorri 401b'!N1204,'Retirement Calculator'!A:A,0),0),0)</f>
        <v>0</v>
      </c>
      <c r="K1204" s="444">
        <f t="shared" ca="1" si="103"/>
        <v>-204313.06652012939</v>
      </c>
      <c r="L1204" s="444">
        <f t="shared" ca="1" si="104"/>
        <v>-49239449.031351186</v>
      </c>
      <c r="M1204" s="460">
        <f t="shared" si="106"/>
        <v>0.05</v>
      </c>
      <c r="N1204" s="464">
        <f t="shared" si="107"/>
        <v>87691</v>
      </c>
    </row>
    <row r="1205" spans="7:14" ht="11.25" customHeight="1" x14ac:dyDescent="0.3">
      <c r="G1205" s="459"/>
      <c r="H1205" s="459">
        <v>1198</v>
      </c>
      <c r="I1205" s="444">
        <f t="shared" ca="1" si="105"/>
        <v>-49239449.031351186</v>
      </c>
      <c r="J1205" s="444">
        <f t="array" ref="J1205">IFERROR(INDEX('Retirement Calculator'!K:K,MATCH('Lorri 401b'!N1205,'Retirement Calculator'!A:A,0),0),0)</f>
        <v>0</v>
      </c>
      <c r="K1205" s="444">
        <f t="shared" ca="1" si="103"/>
        <v>-205164.37096396327</v>
      </c>
      <c r="L1205" s="444">
        <f t="shared" ca="1" si="104"/>
        <v>-49444613.402315147</v>
      </c>
      <c r="M1205" s="460">
        <f t="shared" si="106"/>
        <v>0.05</v>
      </c>
      <c r="N1205" s="464">
        <f t="shared" si="107"/>
        <v>87720</v>
      </c>
    </row>
    <row r="1206" spans="7:14" ht="11.25" customHeight="1" x14ac:dyDescent="0.3">
      <c r="G1206" s="459"/>
      <c r="H1206" s="459">
        <v>1199</v>
      </c>
      <c r="I1206" s="444">
        <f t="shared" ca="1" si="105"/>
        <v>-49444613.402315147</v>
      </c>
      <c r="J1206" s="444">
        <f t="array" ref="J1206">IFERROR(INDEX('Retirement Calculator'!K:K,MATCH('Lorri 401b'!N1206,'Retirement Calculator'!A:A,0),0),0)</f>
        <v>0</v>
      </c>
      <c r="K1206" s="444">
        <f t="shared" ca="1" si="103"/>
        <v>-206019.22250964644</v>
      </c>
      <c r="L1206" s="444">
        <f t="shared" ca="1" si="104"/>
        <v>-49650632.624824792</v>
      </c>
      <c r="M1206" s="460">
        <f t="shared" si="106"/>
        <v>0.05</v>
      </c>
      <c r="N1206" s="464">
        <f t="shared" si="107"/>
        <v>87751</v>
      </c>
    </row>
    <row r="1207" spans="7:14" ht="11.25" customHeight="1" x14ac:dyDescent="0.3">
      <c r="G1207" s="459"/>
      <c r="H1207" s="459">
        <v>1200</v>
      </c>
      <c r="I1207" s="444">
        <f t="shared" ca="1" si="105"/>
        <v>-49650632.624824792</v>
      </c>
      <c r="J1207" s="444">
        <f t="array" ref="J1207">IFERROR(INDEX('Retirement Calculator'!K:K,MATCH('Lorri 401b'!N1207,'Retirement Calculator'!A:A,0),0),0)</f>
        <v>0</v>
      </c>
      <c r="K1207" s="444">
        <f t="shared" ca="1" si="103"/>
        <v>-206877.63593676998</v>
      </c>
      <c r="L1207" s="444">
        <f t="shared" ca="1" si="104"/>
        <v>-49857510.260761559</v>
      </c>
      <c r="M1207" s="460">
        <f t="shared" si="106"/>
        <v>0.05</v>
      </c>
      <c r="N1207" s="464">
        <f t="shared" si="107"/>
        <v>87781</v>
      </c>
    </row>
    <row r="1208" spans="7:14" ht="11.25" customHeight="1" x14ac:dyDescent="0.3">
      <c r="G1208" s="459"/>
      <c r="H1208" s="459">
        <v>1201</v>
      </c>
      <c r="I1208" s="444">
        <f t="shared" ca="1" si="105"/>
        <v>-49857510.260761559</v>
      </c>
      <c r="J1208" s="444">
        <f t="array" ref="J1208">IFERROR(INDEX('Retirement Calculator'!K:K,MATCH('Lorri 401b'!N1208,'Retirement Calculator'!A:A,0),0),0)</f>
        <v>0</v>
      </c>
      <c r="K1208" s="444">
        <f t="shared" ca="1" si="103"/>
        <v>-207739.6260865065</v>
      </c>
      <c r="L1208" s="444">
        <f t="shared" ca="1" si="104"/>
        <v>-50065249.886848062</v>
      </c>
      <c r="M1208" s="460">
        <f t="shared" si="106"/>
        <v>0.05</v>
      </c>
      <c r="N1208" s="464">
        <f t="shared" si="107"/>
        <v>87812</v>
      </c>
    </row>
    <row r="1209" spans="7:14" ht="11.25" customHeight="1" x14ac:dyDescent="0.3">
      <c r="G1209" s="459"/>
      <c r="H1209" s="459">
        <v>1202</v>
      </c>
      <c r="I1209" s="444">
        <f t="shared" ca="1" si="105"/>
        <v>-50065249.886848062</v>
      </c>
      <c r="J1209" s="444">
        <f t="array" ref="J1209">IFERROR(INDEX('Retirement Calculator'!K:K,MATCH('Lorri 401b'!N1209,'Retirement Calculator'!A:A,0),0),0)</f>
        <v>0</v>
      </c>
      <c r="K1209" s="444">
        <f t="shared" ca="1" si="103"/>
        <v>-208605.20786186692</v>
      </c>
      <c r="L1209" s="444">
        <f t="shared" ca="1" si="104"/>
        <v>-50273855.094709933</v>
      </c>
      <c r="M1209" s="460">
        <f t="shared" si="106"/>
        <v>0.05</v>
      </c>
      <c r="N1209" s="464">
        <f t="shared" si="107"/>
        <v>87842</v>
      </c>
    </row>
    <row r="1210" spans="7:14" ht="11.25" customHeight="1" x14ac:dyDescent="0.3">
      <c r="G1210" s="459"/>
      <c r="H1210" s="459">
        <v>1203</v>
      </c>
      <c r="I1210" s="444">
        <f t="shared" ca="1" si="105"/>
        <v>-50273855.094709933</v>
      </c>
      <c r="J1210" s="444">
        <f t="array" ref="J1210">IFERROR(INDEX('Retirement Calculator'!K:K,MATCH('Lorri 401b'!N1210,'Retirement Calculator'!A:A,0),0),0)</f>
        <v>0</v>
      </c>
      <c r="K1210" s="444">
        <f t="shared" ca="1" si="103"/>
        <v>-209474.39622795806</v>
      </c>
      <c r="L1210" s="444">
        <f t="shared" ca="1" si="104"/>
        <v>-50483329.490937889</v>
      </c>
      <c r="M1210" s="460">
        <f t="shared" si="106"/>
        <v>0.05</v>
      </c>
      <c r="N1210" s="464">
        <f t="shared" si="107"/>
        <v>87873</v>
      </c>
    </row>
    <row r="1211" spans="7:14" ht="11.25" customHeight="1" x14ac:dyDescent="0.3">
      <c r="G1211" s="459"/>
      <c r="H1211" s="459">
        <v>1204</v>
      </c>
      <c r="I1211" s="444">
        <f t="shared" ca="1" si="105"/>
        <v>-50483329.490937889</v>
      </c>
      <c r="J1211" s="444">
        <f t="array" ref="J1211">IFERROR(INDEX('Retirement Calculator'!K:K,MATCH('Lorri 401b'!N1211,'Retirement Calculator'!A:A,0),0),0)</f>
        <v>0</v>
      </c>
      <c r="K1211" s="444">
        <f t="shared" ca="1" si="103"/>
        <v>-210347.2062122412</v>
      </c>
      <c r="L1211" s="444">
        <f t="shared" ca="1" si="104"/>
        <v>-50693676.697150126</v>
      </c>
      <c r="M1211" s="460">
        <f t="shared" si="106"/>
        <v>0.05</v>
      </c>
      <c r="N1211" s="464">
        <f t="shared" si="107"/>
        <v>87904</v>
      </c>
    </row>
    <row r="1212" spans="7:14" ht="11.25" customHeight="1" x14ac:dyDescent="0.3">
      <c r="G1212" s="459"/>
      <c r="H1212" s="459">
        <v>1205</v>
      </c>
      <c r="I1212" s="444">
        <f t="shared" ca="1" si="105"/>
        <v>-50693676.697150126</v>
      </c>
      <c r="J1212" s="444">
        <f t="array" ref="J1212">IFERROR(INDEX('Retirement Calculator'!K:K,MATCH('Lorri 401b'!N1212,'Retirement Calculator'!A:A,0),0),0)</f>
        <v>0</v>
      </c>
      <c r="K1212" s="444">
        <f t="shared" ca="1" si="103"/>
        <v>-211223.65290479219</v>
      </c>
      <c r="L1212" s="444">
        <f t="shared" ca="1" si="104"/>
        <v>-50904900.35005492</v>
      </c>
      <c r="M1212" s="460">
        <f t="shared" si="106"/>
        <v>0.05</v>
      </c>
      <c r="N1212" s="464">
        <f t="shared" si="107"/>
        <v>87934</v>
      </c>
    </row>
    <row r="1213" spans="7:14" ht="11.25" customHeight="1" x14ac:dyDescent="0.3">
      <c r="G1213" s="459"/>
      <c r="H1213" s="459">
        <v>1206</v>
      </c>
      <c r="I1213" s="444">
        <f t="shared" ca="1" si="105"/>
        <v>-50904900.35005492</v>
      </c>
      <c r="J1213" s="444">
        <f t="array" ref="J1213">IFERROR(INDEX('Retirement Calculator'!K:K,MATCH('Lorri 401b'!N1213,'Retirement Calculator'!A:A,0),0),0)</f>
        <v>0</v>
      </c>
      <c r="K1213" s="444">
        <f t="shared" ca="1" si="103"/>
        <v>-212103.75145856215</v>
      </c>
      <c r="L1213" s="444">
        <f t="shared" ca="1" si="104"/>
        <v>-51117004.101513483</v>
      </c>
      <c r="M1213" s="460">
        <f t="shared" si="106"/>
        <v>0.05</v>
      </c>
      <c r="N1213" s="464">
        <f t="shared" si="107"/>
        <v>87965</v>
      </c>
    </row>
    <row r="1214" spans="7:14" ht="11.25" customHeight="1" x14ac:dyDescent="0.3">
      <c r="G1214" s="459"/>
      <c r="H1214" s="459">
        <v>1207</v>
      </c>
      <c r="I1214" s="444">
        <f t="shared" ca="1" si="105"/>
        <v>-51117004.101513483</v>
      </c>
      <c r="J1214" s="444">
        <f t="array" ref="J1214">IFERROR(INDEX('Retirement Calculator'!K:K,MATCH('Lorri 401b'!N1214,'Retirement Calculator'!A:A,0),0),0)</f>
        <v>0</v>
      </c>
      <c r="K1214" s="444">
        <f t="shared" ca="1" si="103"/>
        <v>-212987.5170896395</v>
      </c>
      <c r="L1214" s="444">
        <f t="shared" ca="1" si="104"/>
        <v>-51329991.618603125</v>
      </c>
      <c r="M1214" s="460">
        <f t="shared" si="106"/>
        <v>0.05</v>
      </c>
      <c r="N1214" s="464">
        <f t="shared" si="107"/>
        <v>87995</v>
      </c>
    </row>
    <row r="1215" spans="7:14" ht="11.25" customHeight="1" x14ac:dyDescent="0.3">
      <c r="G1215" s="459"/>
      <c r="H1215" s="459">
        <v>1208</v>
      </c>
      <c r="I1215" s="444">
        <f t="shared" ca="1" si="105"/>
        <v>-51329991.618603125</v>
      </c>
      <c r="J1215" s="444">
        <f t="array" ref="J1215">IFERROR(INDEX('Retirement Calculator'!K:K,MATCH('Lorri 401b'!N1215,'Retirement Calculator'!A:A,0),0),0)</f>
        <v>0</v>
      </c>
      <c r="K1215" s="444">
        <f t="shared" ca="1" si="103"/>
        <v>-213874.96507751301</v>
      </c>
      <c r="L1215" s="444">
        <f t="shared" ca="1" si="104"/>
        <v>-51543866.583680637</v>
      </c>
      <c r="M1215" s="460">
        <f t="shared" si="106"/>
        <v>0.05</v>
      </c>
      <c r="N1215" s="464">
        <f t="shared" si="107"/>
        <v>88026</v>
      </c>
    </row>
    <row r="1216" spans="7:14" ht="11.25" customHeight="1" x14ac:dyDescent="0.3">
      <c r="G1216" s="459"/>
      <c r="H1216" s="459">
        <v>1209</v>
      </c>
      <c r="I1216" s="444">
        <f t="shared" ca="1" si="105"/>
        <v>-51543866.583680637</v>
      </c>
      <c r="J1216" s="444">
        <f t="array" ref="J1216">IFERROR(INDEX('Retirement Calculator'!K:K,MATCH('Lorri 401b'!N1216,'Retirement Calculator'!A:A,0),0),0)</f>
        <v>0</v>
      </c>
      <c r="K1216" s="444">
        <f t="shared" ca="1" si="103"/>
        <v>-214766.11076533599</v>
      </c>
      <c r="L1216" s="444">
        <f t="shared" ca="1" si="104"/>
        <v>-51758632.694445975</v>
      </c>
      <c r="M1216" s="460">
        <f t="shared" si="106"/>
        <v>0.05</v>
      </c>
      <c r="N1216" s="464">
        <f t="shared" si="107"/>
        <v>88057</v>
      </c>
    </row>
    <row r="1217" spans="7:14" ht="11.25" customHeight="1" x14ac:dyDescent="0.3">
      <c r="G1217" s="459"/>
      <c r="H1217" s="459">
        <v>1210</v>
      </c>
      <c r="I1217" s="444">
        <f t="shared" ca="1" si="105"/>
        <v>-51758632.694445975</v>
      </c>
      <c r="J1217" s="444">
        <f t="array" ref="J1217">IFERROR(INDEX('Retirement Calculator'!K:K,MATCH('Lorri 401b'!N1217,'Retirement Calculator'!A:A,0),0),0)</f>
        <v>0</v>
      </c>
      <c r="K1217" s="444">
        <f t="shared" ca="1" si="103"/>
        <v>-215660.96956019156</v>
      </c>
      <c r="L1217" s="444">
        <f t="shared" ca="1" si="104"/>
        <v>-51974293.664006166</v>
      </c>
      <c r="M1217" s="460">
        <f t="shared" si="106"/>
        <v>0.05</v>
      </c>
      <c r="N1217" s="464">
        <f t="shared" si="107"/>
        <v>88085</v>
      </c>
    </row>
    <row r="1218" spans="7:14" ht="11.25" customHeight="1" x14ac:dyDescent="0.3">
      <c r="G1218" s="459"/>
      <c r="H1218" s="459">
        <v>1211</v>
      </c>
      <c r="I1218" s="444">
        <f t="shared" ca="1" si="105"/>
        <v>-51974293.664006166</v>
      </c>
      <c r="J1218" s="444">
        <f t="array" ref="J1218">IFERROR(INDEX('Retirement Calculator'!K:K,MATCH('Lorri 401b'!N1218,'Retirement Calculator'!A:A,0),0),0)</f>
        <v>0</v>
      </c>
      <c r="K1218" s="444">
        <f t="shared" ca="1" si="103"/>
        <v>-216559.55693335901</v>
      </c>
      <c r="L1218" s="444">
        <f t="shared" ca="1" si="104"/>
        <v>-52190853.220939524</v>
      </c>
      <c r="M1218" s="460">
        <f t="shared" si="106"/>
        <v>0.05</v>
      </c>
      <c r="N1218" s="464">
        <f t="shared" si="107"/>
        <v>88116</v>
      </c>
    </row>
    <row r="1219" spans="7:14" ht="11.25" customHeight="1" x14ac:dyDescent="0.3">
      <c r="G1219" s="459"/>
      <c r="H1219" s="459">
        <v>1212</v>
      </c>
      <c r="I1219" s="444">
        <f t="shared" ca="1" si="105"/>
        <v>-52190853.220939524</v>
      </c>
      <c r="J1219" s="444">
        <f t="array" ref="J1219">IFERROR(INDEX('Retirement Calculator'!K:K,MATCH('Lorri 401b'!N1219,'Retirement Calculator'!A:A,0),0),0)</f>
        <v>0</v>
      </c>
      <c r="K1219" s="444">
        <f t="shared" ca="1" si="103"/>
        <v>-217461.88842058135</v>
      </c>
      <c r="L1219" s="444">
        <f t="shared" ca="1" si="104"/>
        <v>-52408315.109360106</v>
      </c>
      <c r="M1219" s="460">
        <f t="shared" si="106"/>
        <v>0.05</v>
      </c>
      <c r="N1219" s="464">
        <f t="shared" si="107"/>
        <v>88146</v>
      </c>
    </row>
    <row r="1220" spans="7:14" ht="11.25" customHeight="1" x14ac:dyDescent="0.3">
      <c r="G1220" s="459"/>
      <c r="H1220" s="459">
        <v>1213</v>
      </c>
      <c r="I1220" s="444">
        <f t="shared" ca="1" si="105"/>
        <v>-52408315.109360106</v>
      </c>
      <c r="J1220" s="444">
        <f t="array" ref="J1220">IFERROR(INDEX('Retirement Calculator'!K:K,MATCH('Lorri 401b'!N1220,'Retirement Calculator'!A:A,0),0),0)</f>
        <v>0</v>
      </c>
      <c r="K1220" s="444">
        <f t="shared" ca="1" si="103"/>
        <v>-218367.97962233378</v>
      </c>
      <c r="L1220" s="444">
        <f t="shared" ca="1" si="104"/>
        <v>-52626683.088982441</v>
      </c>
      <c r="M1220" s="460">
        <f t="shared" si="106"/>
        <v>0.05</v>
      </c>
      <c r="N1220" s="464">
        <f t="shared" si="107"/>
        <v>88177</v>
      </c>
    </row>
    <row r="1221" spans="7:14" ht="11.25" customHeight="1" x14ac:dyDescent="0.3">
      <c r="G1221" s="459"/>
      <c r="H1221" s="459">
        <v>1214</v>
      </c>
      <c r="I1221" s="444">
        <f t="shared" ca="1" si="105"/>
        <v>-52626683.088982441</v>
      </c>
      <c r="J1221" s="444">
        <f t="array" ref="J1221">IFERROR(INDEX('Retirement Calculator'!K:K,MATCH('Lorri 401b'!N1221,'Retirement Calculator'!A:A,0),0),0)</f>
        <v>0</v>
      </c>
      <c r="K1221" s="444">
        <f t="shared" ca="1" si="103"/>
        <v>-219277.84620409345</v>
      </c>
      <c r="L1221" s="444">
        <f t="shared" ca="1" si="104"/>
        <v>-52845960.935186535</v>
      </c>
      <c r="M1221" s="460">
        <f t="shared" si="106"/>
        <v>0.05</v>
      </c>
      <c r="N1221" s="464">
        <f t="shared" si="107"/>
        <v>88207</v>
      </c>
    </row>
    <row r="1222" spans="7:14" ht="11.25" customHeight="1" x14ac:dyDescent="0.3">
      <c r="G1222" s="459"/>
      <c r="H1222" s="459">
        <v>1215</v>
      </c>
      <c r="I1222" s="444">
        <f t="shared" ca="1" si="105"/>
        <v>-52845960.935186535</v>
      </c>
      <c r="J1222" s="444">
        <f t="array" ref="J1222">IFERROR(INDEX('Retirement Calculator'!K:K,MATCH('Lorri 401b'!N1222,'Retirement Calculator'!A:A,0),0),0)</f>
        <v>0</v>
      </c>
      <c r="K1222" s="444">
        <f t="shared" ca="1" si="103"/>
        <v>-220191.50389661055</v>
      </c>
      <c r="L1222" s="444">
        <f t="shared" ca="1" si="104"/>
        <v>-53066152.439083144</v>
      </c>
      <c r="M1222" s="460">
        <f t="shared" si="106"/>
        <v>0.05</v>
      </c>
      <c r="N1222" s="464">
        <f t="shared" si="107"/>
        <v>88238</v>
      </c>
    </row>
    <row r="1223" spans="7:14" ht="11.25" customHeight="1" x14ac:dyDescent="0.3">
      <c r="G1223" s="459"/>
      <c r="H1223" s="459">
        <v>1216</v>
      </c>
      <c r="I1223" s="444">
        <f t="shared" ca="1" si="105"/>
        <v>-53066152.439083144</v>
      </c>
      <c r="J1223" s="444">
        <f t="array" ref="J1223">IFERROR(INDEX('Retirement Calculator'!K:K,MATCH('Lorri 401b'!N1223,'Retirement Calculator'!A:A,0),0),0)</f>
        <v>0</v>
      </c>
      <c r="K1223" s="444">
        <f t="shared" ca="1" si="103"/>
        <v>-221108.96849617976</v>
      </c>
      <c r="L1223" s="444">
        <f t="shared" ca="1" si="104"/>
        <v>-53287261.407579325</v>
      </c>
      <c r="M1223" s="460">
        <f t="shared" si="106"/>
        <v>0.05</v>
      </c>
      <c r="N1223" s="464">
        <f t="shared" si="107"/>
        <v>88269</v>
      </c>
    </row>
    <row r="1224" spans="7:14" ht="11.25" customHeight="1" x14ac:dyDescent="0.3">
      <c r="G1224" s="459"/>
      <c r="H1224" s="459">
        <v>1217</v>
      </c>
      <c r="I1224" s="444">
        <f t="shared" ca="1" si="105"/>
        <v>-53287261.407579325</v>
      </c>
      <c r="J1224" s="444">
        <f t="array" ref="J1224">IFERROR(INDEX('Retirement Calculator'!K:K,MATCH('Lorri 401b'!N1224,'Retirement Calculator'!A:A,0),0),0)</f>
        <v>0</v>
      </c>
      <c r="K1224" s="444">
        <f t="shared" ca="1" si="103"/>
        <v>-222030.25586491381</v>
      </c>
      <c r="L1224" s="444">
        <f t="shared" ca="1" si="104"/>
        <v>-53509291.663444236</v>
      </c>
      <c r="M1224" s="460">
        <f t="shared" si="106"/>
        <v>0.05</v>
      </c>
      <c r="N1224" s="464">
        <f t="shared" si="107"/>
        <v>88299</v>
      </c>
    </row>
    <row r="1225" spans="7:14" ht="11.25" customHeight="1" x14ac:dyDescent="0.3">
      <c r="G1225" s="459"/>
      <c r="H1225" s="459">
        <v>1218</v>
      </c>
      <c r="I1225" s="444">
        <f t="shared" ca="1" si="105"/>
        <v>-53509291.663444236</v>
      </c>
      <c r="J1225" s="444">
        <f t="array" ref="J1225">IFERROR(INDEX('Retirement Calculator'!K:K,MATCH('Lorri 401b'!N1225,'Retirement Calculator'!A:A,0),0),0)</f>
        <v>0</v>
      </c>
      <c r="K1225" s="444">
        <f t="shared" ca="1" si="103"/>
        <v>-222955.38193101765</v>
      </c>
      <c r="L1225" s="444">
        <f t="shared" ca="1" si="104"/>
        <v>-53732247.04537525</v>
      </c>
      <c r="M1225" s="460">
        <f t="shared" si="106"/>
        <v>0.05</v>
      </c>
      <c r="N1225" s="464">
        <f t="shared" si="107"/>
        <v>88330</v>
      </c>
    </row>
    <row r="1226" spans="7:14" ht="11.25" customHeight="1" x14ac:dyDescent="0.3">
      <c r="G1226" s="459"/>
      <c r="H1226" s="459">
        <v>1219</v>
      </c>
      <c r="I1226" s="444">
        <f t="shared" ca="1" si="105"/>
        <v>-53732247.04537525</v>
      </c>
      <c r="J1226" s="444">
        <f t="array" ref="J1226">IFERROR(INDEX('Retirement Calculator'!K:K,MATCH('Lorri 401b'!N1226,'Retirement Calculator'!A:A,0),0),0)</f>
        <v>0</v>
      </c>
      <c r="K1226" s="444">
        <f t="shared" ca="1" si="103"/>
        <v>-223884.36268906351</v>
      </c>
      <c r="L1226" s="444">
        <f t="shared" ca="1" si="104"/>
        <v>-53956131.408064313</v>
      </c>
      <c r="M1226" s="460">
        <f t="shared" si="106"/>
        <v>0.05</v>
      </c>
      <c r="N1226" s="464">
        <f t="shared" si="107"/>
        <v>88360</v>
      </c>
    </row>
    <row r="1227" spans="7:14" ht="11.25" customHeight="1" x14ac:dyDescent="0.3">
      <c r="G1227" s="459"/>
      <c r="H1227" s="459">
        <v>1220</v>
      </c>
      <c r="I1227" s="444">
        <f t="shared" ca="1" si="105"/>
        <v>-53956131.408064313</v>
      </c>
      <c r="J1227" s="444">
        <f t="array" ref="J1227">IFERROR(INDEX('Retirement Calculator'!K:K,MATCH('Lorri 401b'!N1227,'Retirement Calculator'!A:A,0),0),0)</f>
        <v>0</v>
      </c>
      <c r="K1227" s="444">
        <f t="shared" ca="1" si="103"/>
        <v>-224817.21420026798</v>
      </c>
      <c r="L1227" s="444">
        <f t="shared" ca="1" si="104"/>
        <v>-54180948.622264579</v>
      </c>
      <c r="M1227" s="460">
        <f t="shared" si="106"/>
        <v>0.05</v>
      </c>
      <c r="N1227" s="464">
        <f t="shared" si="107"/>
        <v>88391</v>
      </c>
    </row>
    <row r="1228" spans="7:14" ht="11.25" customHeight="1" x14ac:dyDescent="0.3">
      <c r="G1228" s="459"/>
      <c r="H1228" s="459">
        <v>1221</v>
      </c>
      <c r="I1228" s="444">
        <f t="shared" ca="1" si="105"/>
        <v>-54180948.622264579</v>
      </c>
      <c r="J1228" s="444">
        <f t="array" ref="J1228">IFERROR(INDEX('Retirement Calculator'!K:K,MATCH('Lorri 401b'!N1228,'Retirement Calculator'!A:A,0),0),0)</f>
        <v>0</v>
      </c>
      <c r="K1228" s="444">
        <f t="shared" ca="1" si="103"/>
        <v>-225753.95259276908</v>
      </c>
      <c r="L1228" s="444">
        <f t="shared" ca="1" si="104"/>
        <v>-54406702.574857347</v>
      </c>
      <c r="M1228" s="460">
        <f t="shared" si="106"/>
        <v>0.05</v>
      </c>
      <c r="N1228" s="464">
        <f t="shared" si="107"/>
        <v>88422</v>
      </c>
    </row>
    <row r="1229" spans="7:14" ht="11.25" customHeight="1" x14ac:dyDescent="0.3">
      <c r="G1229" s="459"/>
      <c r="H1229" s="459">
        <v>1222</v>
      </c>
      <c r="I1229" s="444">
        <f t="shared" ca="1" si="105"/>
        <v>-54406702.574857347</v>
      </c>
      <c r="J1229" s="444">
        <f t="array" ref="J1229">IFERROR(INDEX('Retirement Calculator'!K:K,MATCH('Lorri 401b'!N1229,'Retirement Calculator'!A:A,0),0),0)</f>
        <v>0</v>
      </c>
      <c r="K1229" s="444">
        <f t="shared" ca="1" si="103"/>
        <v>-226694.59406190558</v>
      </c>
      <c r="L1229" s="444">
        <f t="shared" ca="1" si="104"/>
        <v>-54633397.16891925</v>
      </c>
      <c r="M1229" s="460">
        <f t="shared" si="106"/>
        <v>0.05</v>
      </c>
      <c r="N1229" s="464">
        <f t="shared" si="107"/>
        <v>88450</v>
      </c>
    </row>
    <row r="1230" spans="7:14" ht="11.25" customHeight="1" x14ac:dyDescent="0.3">
      <c r="G1230" s="459"/>
      <c r="H1230" s="459">
        <v>1223</v>
      </c>
      <c r="I1230" s="444">
        <f t="shared" ca="1" si="105"/>
        <v>-54633397.16891925</v>
      </c>
      <c r="J1230" s="444">
        <f t="array" ref="J1230">IFERROR(INDEX('Retirement Calculator'!K:K,MATCH('Lorri 401b'!N1230,'Retirement Calculator'!A:A,0),0),0)</f>
        <v>0</v>
      </c>
      <c r="K1230" s="444">
        <f t="shared" ca="1" si="103"/>
        <v>-227639.15487049683</v>
      </c>
      <c r="L1230" s="444">
        <f t="shared" ca="1" si="104"/>
        <v>-54861036.323789746</v>
      </c>
      <c r="M1230" s="460">
        <f t="shared" si="106"/>
        <v>0.05</v>
      </c>
      <c r="N1230" s="464">
        <f t="shared" si="107"/>
        <v>88481</v>
      </c>
    </row>
    <row r="1231" spans="7:14" ht="11.25" customHeight="1" x14ac:dyDescent="0.3">
      <c r="G1231" s="459"/>
      <c r="H1231" s="459">
        <v>1224</v>
      </c>
      <c r="I1231" s="444">
        <f t="shared" ca="1" si="105"/>
        <v>-54861036.323789746</v>
      </c>
      <c r="J1231" s="444">
        <f t="array" ref="J1231">IFERROR(INDEX('Retirement Calculator'!K:K,MATCH('Lorri 401b'!N1231,'Retirement Calculator'!A:A,0),0),0)</f>
        <v>0</v>
      </c>
      <c r="K1231" s="444">
        <f t="shared" ca="1" si="103"/>
        <v>-228587.65134912395</v>
      </c>
      <c r="L1231" s="444">
        <f t="shared" ca="1" si="104"/>
        <v>-55089623.975138873</v>
      </c>
      <c r="M1231" s="460">
        <f t="shared" si="106"/>
        <v>0.05</v>
      </c>
      <c r="N1231" s="464">
        <f t="shared" si="107"/>
        <v>88511</v>
      </c>
    </row>
    <row r="1232" spans="7:14" ht="11.25" customHeight="1" x14ac:dyDescent="0.3">
      <c r="G1232" s="459"/>
      <c r="H1232" s="459">
        <v>1225</v>
      </c>
      <c r="I1232" s="444">
        <f t="shared" ca="1" si="105"/>
        <v>-55089623.975138873</v>
      </c>
      <c r="J1232" s="444">
        <f t="array" ref="J1232">IFERROR(INDEX('Retirement Calculator'!K:K,MATCH('Lorri 401b'!N1232,'Retirement Calculator'!A:A,0),0),0)</f>
        <v>0</v>
      </c>
      <c r="K1232" s="444">
        <f t="shared" ca="1" si="103"/>
        <v>-229540.09989641194</v>
      </c>
      <c r="L1232" s="444">
        <f t="shared" ca="1" si="104"/>
        <v>-55319164.075035281</v>
      </c>
      <c r="M1232" s="460">
        <f t="shared" si="106"/>
        <v>0.05</v>
      </c>
      <c r="N1232" s="464">
        <f t="shared" si="107"/>
        <v>88542</v>
      </c>
    </row>
    <row r="1233" spans="7:14" ht="11.25" customHeight="1" x14ac:dyDescent="0.3">
      <c r="G1233" s="459"/>
      <c r="H1233" s="459">
        <v>1226</v>
      </c>
      <c r="I1233" s="444">
        <f t="shared" ca="1" si="105"/>
        <v>-55319164.075035281</v>
      </c>
      <c r="J1233" s="444">
        <f t="array" ref="J1233">IFERROR(INDEX('Retirement Calculator'!K:K,MATCH('Lorri 401b'!N1233,'Retirement Calculator'!A:A,0),0),0)</f>
        <v>0</v>
      </c>
      <c r="K1233" s="444">
        <f t="shared" ca="1" si="103"/>
        <v>-230496.51697931366</v>
      </c>
      <c r="L1233" s="444">
        <f t="shared" ca="1" si="104"/>
        <v>-55549660.592014596</v>
      </c>
      <c r="M1233" s="460">
        <f t="shared" si="106"/>
        <v>0.05</v>
      </c>
      <c r="N1233" s="464">
        <f t="shared" si="107"/>
        <v>88572</v>
      </c>
    </row>
    <row r="1234" spans="7:14" ht="11.25" customHeight="1" x14ac:dyDescent="0.3">
      <c r="G1234" s="459"/>
      <c r="H1234" s="459">
        <v>1227</v>
      </c>
      <c r="I1234" s="444">
        <f t="shared" ca="1" si="105"/>
        <v>-55549660.592014596</v>
      </c>
      <c r="J1234" s="444">
        <f t="array" ref="J1234">IFERROR(INDEX('Retirement Calculator'!K:K,MATCH('Lorri 401b'!N1234,'Retirement Calculator'!A:A,0),0),0)</f>
        <v>0</v>
      </c>
      <c r="K1234" s="444">
        <f t="shared" ca="1" si="103"/>
        <v>-231456.91913339414</v>
      </c>
      <c r="L1234" s="444">
        <f t="shared" ca="1" si="104"/>
        <v>-55781117.511147991</v>
      </c>
      <c r="M1234" s="460">
        <f t="shared" si="106"/>
        <v>0.05</v>
      </c>
      <c r="N1234" s="464">
        <f t="shared" si="107"/>
        <v>88603</v>
      </c>
    </row>
    <row r="1235" spans="7:14" ht="11.25" customHeight="1" x14ac:dyDescent="0.3">
      <c r="G1235" s="459"/>
      <c r="H1235" s="459">
        <v>1228</v>
      </c>
      <c r="I1235" s="444">
        <f t="shared" ca="1" si="105"/>
        <v>-55781117.511147991</v>
      </c>
      <c r="J1235" s="444">
        <f t="array" ref="J1235">IFERROR(INDEX('Retirement Calculator'!K:K,MATCH('Lorri 401b'!N1235,'Retirement Calculator'!A:A,0),0),0)</f>
        <v>0</v>
      </c>
      <c r="K1235" s="444">
        <f t="shared" ca="1" si="103"/>
        <v>-232421.3229631166</v>
      </c>
      <c r="L1235" s="444">
        <f t="shared" ca="1" si="104"/>
        <v>-56013538.834111109</v>
      </c>
      <c r="M1235" s="460">
        <f t="shared" si="106"/>
        <v>0.05</v>
      </c>
      <c r="N1235" s="464">
        <f t="shared" si="107"/>
        <v>88634</v>
      </c>
    </row>
    <row r="1236" spans="7:14" ht="11.25" customHeight="1" x14ac:dyDescent="0.3">
      <c r="G1236" s="459"/>
      <c r="H1236" s="459">
        <v>1229</v>
      </c>
      <c r="I1236" s="444">
        <f t="shared" ca="1" si="105"/>
        <v>-56013538.834111109</v>
      </c>
      <c r="J1236" s="444">
        <f t="array" ref="J1236">IFERROR(INDEX('Retirement Calculator'!K:K,MATCH('Lorri 401b'!N1236,'Retirement Calculator'!A:A,0),0),0)</f>
        <v>0</v>
      </c>
      <c r="K1236" s="444">
        <f t="shared" ca="1" si="103"/>
        <v>-233389.74514212963</v>
      </c>
      <c r="L1236" s="444">
        <f t="shared" ca="1" si="104"/>
        <v>-56246928.579253241</v>
      </c>
      <c r="M1236" s="460">
        <f t="shared" si="106"/>
        <v>0.05</v>
      </c>
      <c r="N1236" s="464">
        <f t="shared" si="107"/>
        <v>88664</v>
      </c>
    </row>
    <row r="1237" spans="7:14" ht="11.25" customHeight="1" x14ac:dyDescent="0.3">
      <c r="G1237" s="459"/>
      <c r="H1237" s="459">
        <v>1230</v>
      </c>
      <c r="I1237" s="444">
        <f t="shared" ca="1" si="105"/>
        <v>-56246928.579253241</v>
      </c>
      <c r="J1237" s="444">
        <f t="array" ref="J1237">IFERROR(INDEX('Retirement Calculator'!K:K,MATCH('Lorri 401b'!N1237,'Retirement Calculator'!A:A,0),0),0)</f>
        <v>0</v>
      </c>
      <c r="K1237" s="444">
        <f t="shared" ca="1" si="103"/>
        <v>-234362.20241355518</v>
      </c>
      <c r="L1237" s="444">
        <f t="shared" ca="1" si="104"/>
        <v>-56481290.781666793</v>
      </c>
      <c r="M1237" s="460">
        <f t="shared" si="106"/>
        <v>0.05</v>
      </c>
      <c r="N1237" s="464">
        <f t="shared" si="107"/>
        <v>88695</v>
      </c>
    </row>
    <row r="1238" spans="7:14" ht="11.25" customHeight="1" x14ac:dyDescent="0.3">
      <c r="G1238" s="459"/>
      <c r="H1238" s="459">
        <v>1231</v>
      </c>
      <c r="I1238" s="444">
        <f t="shared" ca="1" si="105"/>
        <v>-56481290.781666793</v>
      </c>
      <c r="J1238" s="444">
        <f t="array" ref="J1238">IFERROR(INDEX('Retirement Calculator'!K:K,MATCH('Lorri 401b'!N1238,'Retirement Calculator'!A:A,0),0),0)</f>
        <v>0</v>
      </c>
      <c r="K1238" s="444">
        <f t="shared" ca="1" si="103"/>
        <v>-235338.71159027831</v>
      </c>
      <c r="L1238" s="444">
        <f t="shared" ca="1" si="104"/>
        <v>-56716629.493257068</v>
      </c>
      <c r="M1238" s="460">
        <f t="shared" si="106"/>
        <v>0.05</v>
      </c>
      <c r="N1238" s="464">
        <f t="shared" si="107"/>
        <v>88725</v>
      </c>
    </row>
    <row r="1239" spans="7:14" ht="11.25" customHeight="1" x14ac:dyDescent="0.3">
      <c r="G1239" s="459"/>
      <c r="H1239" s="459">
        <v>1232</v>
      </c>
      <c r="I1239" s="444">
        <f t="shared" ca="1" si="105"/>
        <v>-56716629.493257068</v>
      </c>
      <c r="J1239" s="444">
        <f t="array" ref="J1239">IFERROR(INDEX('Retirement Calculator'!K:K,MATCH('Lorri 401b'!N1239,'Retirement Calculator'!A:A,0),0),0)</f>
        <v>0</v>
      </c>
      <c r="K1239" s="444">
        <f t="shared" ca="1" si="103"/>
        <v>-236319.2895552378</v>
      </c>
      <c r="L1239" s="444">
        <f t="shared" ca="1" si="104"/>
        <v>-56952948.782812305</v>
      </c>
      <c r="M1239" s="460">
        <f t="shared" si="106"/>
        <v>0.05</v>
      </c>
      <c r="N1239" s="464">
        <f t="shared" si="107"/>
        <v>88756</v>
      </c>
    </row>
    <row r="1240" spans="7:14" ht="11.25" customHeight="1" x14ac:dyDescent="0.3">
      <c r="G1240" s="459"/>
      <c r="H1240" s="459">
        <v>1233</v>
      </c>
      <c r="I1240" s="444">
        <f t="shared" ca="1" si="105"/>
        <v>-56952948.782812305</v>
      </c>
      <c r="J1240" s="444">
        <f t="array" ref="J1240">IFERROR(INDEX('Retirement Calculator'!K:K,MATCH('Lorri 401b'!N1240,'Retirement Calculator'!A:A,0),0),0)</f>
        <v>0</v>
      </c>
      <c r="K1240" s="444">
        <f t="shared" ca="1" si="103"/>
        <v>-237303.95326171795</v>
      </c>
      <c r="L1240" s="444">
        <f t="shared" ca="1" si="104"/>
        <v>-57190252.736074023</v>
      </c>
      <c r="M1240" s="460">
        <f t="shared" si="106"/>
        <v>0.05</v>
      </c>
      <c r="N1240" s="464">
        <f t="shared" si="107"/>
        <v>88787</v>
      </c>
    </row>
    <row r="1241" spans="7:14" ht="11.25" customHeight="1" x14ac:dyDescent="0.3">
      <c r="G1241" s="459"/>
      <c r="H1241" s="459">
        <v>1234</v>
      </c>
      <c r="I1241" s="444">
        <f t="shared" ca="1" si="105"/>
        <v>-57190252.736074023</v>
      </c>
      <c r="J1241" s="444">
        <f t="array" ref="J1241">IFERROR(INDEX('Retirement Calculator'!K:K,MATCH('Lorri 401b'!N1241,'Retirement Calculator'!A:A,0),0),0)</f>
        <v>0</v>
      </c>
      <c r="K1241" s="444">
        <f t="shared" ca="1" si="103"/>
        <v>-238292.71973364174</v>
      </c>
      <c r="L1241" s="444">
        <f t="shared" ca="1" si="104"/>
        <v>-57428545.455807664</v>
      </c>
      <c r="M1241" s="460">
        <f t="shared" si="106"/>
        <v>0.05</v>
      </c>
      <c r="N1241" s="464">
        <f t="shared" si="107"/>
        <v>88815</v>
      </c>
    </row>
    <row r="1242" spans="7:14" ht="11.25" customHeight="1" x14ac:dyDescent="0.3">
      <c r="G1242" s="459"/>
      <c r="H1242" s="459">
        <v>1235</v>
      </c>
      <c r="I1242" s="444">
        <f t="shared" ca="1" si="105"/>
        <v>-57428545.455807664</v>
      </c>
      <c r="J1242" s="444">
        <f t="array" ref="J1242">IFERROR(INDEX('Retirement Calculator'!K:K,MATCH('Lorri 401b'!N1242,'Retirement Calculator'!A:A,0),0),0)</f>
        <v>0</v>
      </c>
      <c r="K1242" s="444">
        <f t="shared" ca="1" si="103"/>
        <v>-239285.60606586526</v>
      </c>
      <c r="L1242" s="444">
        <f t="shared" ca="1" si="104"/>
        <v>-57667831.061873525</v>
      </c>
      <c r="M1242" s="460">
        <f t="shared" si="106"/>
        <v>0.05</v>
      </c>
      <c r="N1242" s="464">
        <f t="shared" si="107"/>
        <v>88846</v>
      </c>
    </row>
    <row r="1243" spans="7:14" ht="11.25" customHeight="1" x14ac:dyDescent="0.3">
      <c r="G1243" s="459"/>
      <c r="H1243" s="459">
        <v>1236</v>
      </c>
      <c r="I1243" s="444">
        <f t="shared" ca="1" si="105"/>
        <v>-57667831.061873525</v>
      </c>
      <c r="J1243" s="444">
        <f t="array" ref="J1243">IFERROR(INDEX('Retirement Calculator'!K:K,MATCH('Lorri 401b'!N1243,'Retirement Calculator'!A:A,0),0),0)</f>
        <v>0</v>
      </c>
      <c r="K1243" s="444">
        <f t="shared" ca="1" si="103"/>
        <v>-240282.62942447301</v>
      </c>
      <c r="L1243" s="444">
        <f t="shared" ca="1" si="104"/>
        <v>-57908113.691298001</v>
      </c>
      <c r="M1243" s="460">
        <f t="shared" si="106"/>
        <v>0.05</v>
      </c>
      <c r="N1243" s="464">
        <f t="shared" si="107"/>
        <v>88876</v>
      </c>
    </row>
    <row r="1244" spans="7:14" ht="11.25" customHeight="1" x14ac:dyDescent="0.3">
      <c r="G1244" s="459"/>
      <c r="H1244" s="459">
        <v>1237</v>
      </c>
      <c r="I1244" s="444">
        <f t="shared" ca="1" si="105"/>
        <v>-57908113.691298001</v>
      </c>
      <c r="J1244" s="444">
        <f t="array" ref="J1244">IFERROR(INDEX('Retirement Calculator'!K:K,MATCH('Lorri 401b'!N1244,'Retirement Calculator'!A:A,0),0),0)</f>
        <v>0</v>
      </c>
      <c r="K1244" s="444">
        <f t="shared" ca="1" si="103"/>
        <v>-241283.80704707501</v>
      </c>
      <c r="L1244" s="444">
        <f t="shared" ca="1" si="104"/>
        <v>-58149397.498345077</v>
      </c>
      <c r="M1244" s="460">
        <f t="shared" si="106"/>
        <v>0.05</v>
      </c>
      <c r="N1244" s="464">
        <f t="shared" si="107"/>
        <v>88907</v>
      </c>
    </row>
    <row r="1245" spans="7:14" ht="11.25" customHeight="1" x14ac:dyDescent="0.3">
      <c r="G1245" s="459"/>
      <c r="H1245" s="459">
        <v>1238</v>
      </c>
      <c r="I1245" s="444">
        <f t="shared" ca="1" si="105"/>
        <v>-58149397.498345077</v>
      </c>
      <c r="J1245" s="444">
        <f t="array" ref="J1245">IFERROR(INDEX('Retirement Calculator'!K:K,MATCH('Lorri 401b'!N1245,'Retirement Calculator'!A:A,0),0),0)</f>
        <v>0</v>
      </c>
      <c r="K1245" s="444">
        <f t="shared" ca="1" si="103"/>
        <v>-242289.15624310449</v>
      </c>
      <c r="L1245" s="444">
        <f t="shared" ca="1" si="104"/>
        <v>-58391686.654588178</v>
      </c>
      <c r="M1245" s="460">
        <f t="shared" si="106"/>
        <v>0.05</v>
      </c>
      <c r="N1245" s="464">
        <f t="shared" si="107"/>
        <v>88937</v>
      </c>
    </row>
    <row r="1246" spans="7:14" ht="11.25" customHeight="1" x14ac:dyDescent="0.3">
      <c r="G1246" s="459"/>
      <c r="H1246" s="459">
        <v>1239</v>
      </c>
      <c r="I1246" s="444">
        <f t="shared" ca="1" si="105"/>
        <v>-58391686.654588178</v>
      </c>
      <c r="J1246" s="444">
        <f t="array" ref="J1246">IFERROR(INDEX('Retirement Calculator'!K:K,MATCH('Lorri 401b'!N1246,'Retirement Calculator'!A:A,0),0),0)</f>
        <v>0</v>
      </c>
      <c r="K1246" s="444">
        <f t="shared" ca="1" si="103"/>
        <v>-243298.6943941174</v>
      </c>
      <c r="L1246" s="444">
        <f t="shared" ca="1" si="104"/>
        <v>-58634985.348982297</v>
      </c>
      <c r="M1246" s="460">
        <f t="shared" si="106"/>
        <v>0.05</v>
      </c>
      <c r="N1246" s="464">
        <f t="shared" si="107"/>
        <v>88968</v>
      </c>
    </row>
    <row r="1247" spans="7:14" ht="11.25" customHeight="1" x14ac:dyDescent="0.3">
      <c r="G1247" s="459"/>
      <c r="H1247" s="459">
        <v>1240</v>
      </c>
      <c r="I1247" s="444">
        <f t="shared" ca="1" si="105"/>
        <v>-58634985.348982297</v>
      </c>
      <c r="J1247" s="444">
        <f t="array" ref="J1247">IFERROR(INDEX('Retirement Calculator'!K:K,MATCH('Lorri 401b'!N1247,'Retirement Calculator'!A:A,0),0),0)</f>
        <v>0</v>
      </c>
      <c r="K1247" s="444">
        <f t="shared" ca="1" si="103"/>
        <v>-244312.43895409291</v>
      </c>
      <c r="L1247" s="444">
        <f t="shared" ca="1" si="104"/>
        <v>-58879297.787936389</v>
      </c>
      <c r="M1247" s="460">
        <f t="shared" si="106"/>
        <v>0.05</v>
      </c>
      <c r="N1247" s="464">
        <f t="shared" si="107"/>
        <v>88999</v>
      </c>
    </row>
    <row r="1248" spans="7:14" ht="11.25" customHeight="1" x14ac:dyDescent="0.3">
      <c r="G1248" s="459"/>
      <c r="H1248" s="459">
        <v>1241</v>
      </c>
      <c r="I1248" s="444">
        <f t="shared" ca="1" si="105"/>
        <v>-58879297.787936389</v>
      </c>
      <c r="J1248" s="444">
        <f t="array" ref="J1248">IFERROR(INDEX('Retirement Calculator'!K:K,MATCH('Lorri 401b'!N1248,'Retirement Calculator'!A:A,0),0),0)</f>
        <v>0</v>
      </c>
      <c r="K1248" s="444">
        <f t="shared" ca="1" si="103"/>
        <v>-245330.40744973495</v>
      </c>
      <c r="L1248" s="444">
        <f t="shared" ca="1" si="104"/>
        <v>-59124628.195386127</v>
      </c>
      <c r="M1248" s="460">
        <f t="shared" si="106"/>
        <v>0.05</v>
      </c>
      <c r="N1248" s="464">
        <f t="shared" si="107"/>
        <v>89029</v>
      </c>
    </row>
    <row r="1249" spans="7:14" ht="11.25" customHeight="1" x14ac:dyDescent="0.3">
      <c r="G1249" s="459"/>
      <c r="H1249" s="459">
        <v>1242</v>
      </c>
      <c r="I1249" s="444">
        <f t="shared" ca="1" si="105"/>
        <v>-59124628.195386127</v>
      </c>
      <c r="J1249" s="444">
        <f t="array" ref="J1249">IFERROR(INDEX('Retirement Calculator'!K:K,MATCH('Lorri 401b'!N1249,'Retirement Calculator'!A:A,0),0),0)</f>
        <v>0</v>
      </c>
      <c r="K1249" s="444">
        <f t="shared" ca="1" si="103"/>
        <v>-246352.61748077552</v>
      </c>
      <c r="L1249" s="444">
        <f t="shared" ca="1" si="104"/>
        <v>-59370980.812866904</v>
      </c>
      <c r="M1249" s="460">
        <f t="shared" si="106"/>
        <v>0.05</v>
      </c>
      <c r="N1249" s="464">
        <f t="shared" si="107"/>
        <v>89060</v>
      </c>
    </row>
    <row r="1250" spans="7:14" ht="11.25" customHeight="1" x14ac:dyDescent="0.3">
      <c r="G1250" s="459"/>
      <c r="H1250" s="459">
        <v>1243</v>
      </c>
      <c r="I1250" s="444">
        <f t="shared" ca="1" si="105"/>
        <v>-59370980.812866904</v>
      </c>
      <c r="J1250" s="444">
        <f t="array" ref="J1250">IFERROR(INDEX('Retirement Calculator'!K:K,MATCH('Lorri 401b'!N1250,'Retirement Calculator'!A:A,0),0),0)</f>
        <v>0</v>
      </c>
      <c r="K1250" s="444">
        <f t="shared" ca="1" si="103"/>
        <v>-247379.08672027875</v>
      </c>
      <c r="L1250" s="444">
        <f t="shared" ca="1" si="104"/>
        <v>-59618359.899587184</v>
      </c>
      <c r="M1250" s="460">
        <f t="shared" si="106"/>
        <v>0.05</v>
      </c>
      <c r="N1250" s="464">
        <f t="shared" si="107"/>
        <v>89090</v>
      </c>
    </row>
    <row r="1251" spans="7:14" ht="11.25" customHeight="1" x14ac:dyDescent="0.3">
      <c r="G1251" s="459"/>
      <c r="H1251" s="459">
        <v>1244</v>
      </c>
      <c r="I1251" s="444">
        <f t="shared" ca="1" si="105"/>
        <v>-59618359.899587184</v>
      </c>
      <c r="J1251" s="444">
        <f t="array" ref="J1251">IFERROR(INDEX('Retirement Calculator'!K:K,MATCH('Lorri 401b'!N1251,'Retirement Calculator'!A:A,0),0),0)</f>
        <v>0</v>
      </c>
      <c r="K1251" s="444">
        <f t="shared" ca="1" si="103"/>
        <v>-248409.8329149466</v>
      </c>
      <c r="L1251" s="444">
        <f t="shared" ca="1" si="104"/>
        <v>-59866769.732502133</v>
      </c>
      <c r="M1251" s="460">
        <f t="shared" si="106"/>
        <v>0.05</v>
      </c>
      <c r="N1251" s="464">
        <f t="shared" si="107"/>
        <v>89121</v>
      </c>
    </row>
    <row r="1252" spans="7:14" ht="11.25" customHeight="1" x14ac:dyDescent="0.3">
      <c r="G1252" s="459"/>
      <c r="H1252" s="459">
        <v>1245</v>
      </c>
      <c r="I1252" s="444">
        <f t="shared" ca="1" si="105"/>
        <v>-59866769.732502133</v>
      </c>
      <c r="J1252" s="444">
        <f t="array" ref="J1252">IFERROR(INDEX('Retirement Calculator'!K:K,MATCH('Lorri 401b'!N1252,'Retirement Calculator'!A:A,0),0),0)</f>
        <v>0</v>
      </c>
      <c r="K1252" s="444">
        <f t="shared" ca="1" si="103"/>
        <v>-249444.87388542559</v>
      </c>
      <c r="L1252" s="444">
        <f t="shared" ca="1" si="104"/>
        <v>-60116214.606387556</v>
      </c>
      <c r="M1252" s="460">
        <f t="shared" si="106"/>
        <v>0.05</v>
      </c>
      <c r="N1252" s="464">
        <f t="shared" si="107"/>
        <v>89152</v>
      </c>
    </row>
    <row r="1253" spans="7:14" ht="11.25" customHeight="1" x14ac:dyDescent="0.3">
      <c r="G1253" s="459"/>
      <c r="H1253" s="459">
        <v>1246</v>
      </c>
      <c r="I1253" s="444">
        <f t="shared" ca="1" si="105"/>
        <v>-60116214.606387556</v>
      </c>
      <c r="J1253" s="444">
        <f t="array" ref="J1253">IFERROR(INDEX('Retirement Calculator'!K:K,MATCH('Lorri 401b'!N1253,'Retirement Calculator'!A:A,0),0),0)</f>
        <v>0</v>
      </c>
      <c r="K1253" s="444">
        <f t="shared" ca="1" si="103"/>
        <v>-250484.22752661482</v>
      </c>
      <c r="L1253" s="444">
        <f t="shared" ca="1" si="104"/>
        <v>-60366698.833914168</v>
      </c>
      <c r="M1253" s="460">
        <f t="shared" si="106"/>
        <v>0.05</v>
      </c>
      <c r="N1253" s="464">
        <f t="shared" si="107"/>
        <v>89181</v>
      </c>
    </row>
    <row r="1254" spans="7:14" ht="11.25" customHeight="1" x14ac:dyDescent="0.3">
      <c r="G1254" s="459"/>
      <c r="H1254" s="459">
        <v>1247</v>
      </c>
      <c r="I1254" s="444">
        <f t="shared" ca="1" si="105"/>
        <v>-60366698.833914168</v>
      </c>
      <c r="J1254" s="444">
        <f t="array" ref="J1254">IFERROR(INDEX('Retirement Calculator'!K:K,MATCH('Lorri 401b'!N1254,'Retirement Calculator'!A:A,0),0),0)</f>
        <v>0</v>
      </c>
      <c r="K1254" s="444">
        <f t="shared" ca="1" si="103"/>
        <v>-251527.91180797573</v>
      </c>
      <c r="L1254" s="444">
        <f t="shared" ca="1" si="104"/>
        <v>-60618226.745722145</v>
      </c>
      <c r="M1254" s="460">
        <f t="shared" si="106"/>
        <v>0.05</v>
      </c>
      <c r="N1254" s="464">
        <f t="shared" si="107"/>
        <v>89212</v>
      </c>
    </row>
    <row r="1255" spans="7:14" ht="11.25" customHeight="1" x14ac:dyDescent="0.3">
      <c r="G1255" s="459"/>
      <c r="H1255" s="459">
        <v>1248</v>
      </c>
      <c r="I1255" s="444">
        <f t="shared" ca="1" si="105"/>
        <v>-60618226.745722145</v>
      </c>
      <c r="J1255" s="444">
        <f t="array" ref="J1255">IFERROR(INDEX('Retirement Calculator'!K:K,MATCH('Lorri 401b'!N1255,'Retirement Calculator'!A:A,0),0),0)</f>
        <v>0</v>
      </c>
      <c r="K1255" s="444">
        <f t="shared" ca="1" si="103"/>
        <v>-252575.94477384229</v>
      </c>
      <c r="L1255" s="444">
        <f t="shared" ca="1" si="104"/>
        <v>-60870802.69049599</v>
      </c>
      <c r="M1255" s="460">
        <f t="shared" si="106"/>
        <v>0.05</v>
      </c>
      <c r="N1255" s="464">
        <f t="shared" si="107"/>
        <v>89242</v>
      </c>
    </row>
    <row r="1256" spans="7:14" ht="11.25" customHeight="1" x14ac:dyDescent="0.3">
      <c r="G1256" s="459"/>
      <c r="H1256" s="459">
        <v>1249</v>
      </c>
      <c r="I1256" s="444">
        <f t="shared" ca="1" si="105"/>
        <v>-60870802.69049599</v>
      </c>
      <c r="J1256" s="444">
        <f t="array" ref="J1256">IFERROR(INDEX('Retirement Calculator'!K:K,MATCH('Lorri 401b'!N1256,'Retirement Calculator'!A:A,0),0),0)</f>
        <v>0</v>
      </c>
      <c r="K1256" s="444">
        <f t="shared" ca="1" si="103"/>
        <v>-253628.34454373326</v>
      </c>
      <c r="L1256" s="444">
        <f t="shared" ca="1" si="104"/>
        <v>-61124431.035039723</v>
      </c>
      <c r="M1256" s="460">
        <f t="shared" si="106"/>
        <v>0.05</v>
      </c>
      <c r="N1256" s="464">
        <f t="shared" si="107"/>
        <v>89273</v>
      </c>
    </row>
    <row r="1257" spans="7:14" ht="11.25" customHeight="1" x14ac:dyDescent="0.3">
      <c r="G1257" s="459"/>
      <c r="H1257" s="459">
        <v>1250</v>
      </c>
      <c r="I1257" s="444">
        <f t="shared" ca="1" si="105"/>
        <v>-61124431.035039723</v>
      </c>
      <c r="J1257" s="444">
        <f t="array" ref="J1257">IFERROR(INDEX('Retirement Calculator'!K:K,MATCH('Lorri 401b'!N1257,'Retirement Calculator'!A:A,0),0),0)</f>
        <v>0</v>
      </c>
      <c r="K1257" s="444">
        <f t="shared" ca="1" si="103"/>
        <v>-254685.12931266552</v>
      </c>
      <c r="L1257" s="444">
        <f t="shared" ca="1" si="104"/>
        <v>-61379116.164352387</v>
      </c>
      <c r="M1257" s="460">
        <f t="shared" si="106"/>
        <v>0.05</v>
      </c>
      <c r="N1257" s="464">
        <f t="shared" si="107"/>
        <v>89303</v>
      </c>
    </row>
    <row r="1258" spans="7:14" ht="11.25" customHeight="1" x14ac:dyDescent="0.3">
      <c r="G1258" s="459"/>
      <c r="H1258" s="459">
        <v>1251</v>
      </c>
      <c r="I1258" s="444">
        <f t="shared" ca="1" si="105"/>
        <v>-61379116.164352387</v>
      </c>
      <c r="J1258" s="444">
        <f t="array" ref="J1258">IFERROR(INDEX('Retirement Calculator'!K:K,MATCH('Lorri 401b'!N1258,'Retirement Calculator'!A:A,0),0),0)</f>
        <v>0</v>
      </c>
      <c r="K1258" s="444">
        <f t="shared" ca="1" si="103"/>
        <v>-255746.31735146831</v>
      </c>
      <c r="L1258" s="444">
        <f t="shared" ca="1" si="104"/>
        <v>-61634862.481703855</v>
      </c>
      <c r="M1258" s="460">
        <f t="shared" si="106"/>
        <v>0.05</v>
      </c>
      <c r="N1258" s="464">
        <f t="shared" si="107"/>
        <v>89334</v>
      </c>
    </row>
    <row r="1259" spans="7:14" ht="11.25" customHeight="1" x14ac:dyDescent="0.3">
      <c r="G1259" s="459"/>
      <c r="H1259" s="459">
        <v>1252</v>
      </c>
      <c r="I1259" s="444">
        <f t="shared" ca="1" si="105"/>
        <v>-61634862.481703855</v>
      </c>
      <c r="J1259" s="444">
        <f t="array" ref="J1259">IFERROR(INDEX('Retirement Calculator'!K:K,MATCH('Lorri 401b'!N1259,'Retirement Calculator'!A:A,0),0),0)</f>
        <v>0</v>
      </c>
      <c r="K1259" s="444">
        <f t="shared" ca="1" si="103"/>
        <v>-256811.92700709941</v>
      </c>
      <c r="L1259" s="444">
        <f t="shared" ca="1" si="104"/>
        <v>-61891674.408710957</v>
      </c>
      <c r="M1259" s="460">
        <f t="shared" si="106"/>
        <v>0.05</v>
      </c>
      <c r="N1259" s="464">
        <f t="shared" si="107"/>
        <v>89365</v>
      </c>
    </row>
    <row r="1260" spans="7:14" ht="11.25" customHeight="1" x14ac:dyDescent="0.3">
      <c r="G1260" s="459"/>
      <c r="H1260" s="459">
        <v>1253</v>
      </c>
      <c r="I1260" s="444">
        <f t="shared" ca="1" si="105"/>
        <v>-61891674.408710957</v>
      </c>
      <c r="J1260" s="444">
        <f t="array" ref="J1260">IFERROR(INDEX('Retirement Calculator'!K:K,MATCH('Lorri 401b'!N1260,'Retirement Calculator'!A:A,0),0),0)</f>
        <v>0</v>
      </c>
      <c r="K1260" s="444">
        <f t="shared" ca="1" si="103"/>
        <v>-257881.9767029623</v>
      </c>
      <c r="L1260" s="444">
        <f t="shared" ca="1" si="104"/>
        <v>-62149556.385413922</v>
      </c>
      <c r="M1260" s="460">
        <f t="shared" si="106"/>
        <v>0.05</v>
      </c>
      <c r="N1260" s="464">
        <f t="shared" si="107"/>
        <v>89395</v>
      </c>
    </row>
    <row r="1261" spans="7:14" ht="11.25" customHeight="1" x14ac:dyDescent="0.3">
      <c r="G1261" s="459"/>
      <c r="H1261" s="459">
        <v>1254</v>
      </c>
      <c r="I1261" s="444">
        <f t="shared" ca="1" si="105"/>
        <v>-62149556.385413922</v>
      </c>
      <c r="J1261" s="444">
        <f t="array" ref="J1261">IFERROR(INDEX('Retirement Calculator'!K:K,MATCH('Lorri 401b'!N1261,'Retirement Calculator'!A:A,0),0),0)</f>
        <v>0</v>
      </c>
      <c r="K1261" s="444">
        <f t="shared" ca="1" si="103"/>
        <v>-258956.48493922467</v>
      </c>
      <c r="L1261" s="444">
        <f t="shared" ca="1" si="104"/>
        <v>-62408512.870353147</v>
      </c>
      <c r="M1261" s="460">
        <f t="shared" si="106"/>
        <v>0.05</v>
      </c>
      <c r="N1261" s="464">
        <f t="shared" si="107"/>
        <v>89426</v>
      </c>
    </row>
    <row r="1262" spans="7:14" ht="11.25" customHeight="1" x14ac:dyDescent="0.3">
      <c r="G1262" s="459"/>
      <c r="H1262" s="459">
        <v>1255</v>
      </c>
      <c r="I1262" s="444">
        <f t="shared" ca="1" si="105"/>
        <v>-62408512.870353147</v>
      </c>
      <c r="J1262" s="444">
        <f t="array" ref="J1262">IFERROR(INDEX('Retirement Calculator'!K:K,MATCH('Lorri 401b'!N1262,'Retirement Calculator'!A:A,0),0),0)</f>
        <v>0</v>
      </c>
      <c r="K1262" s="444">
        <f t="shared" ca="1" si="103"/>
        <v>-260035.47029313812</v>
      </c>
      <c r="L1262" s="444">
        <f t="shared" ca="1" si="104"/>
        <v>-62668548.340646282</v>
      </c>
      <c r="M1262" s="460">
        <f t="shared" si="106"/>
        <v>0.05</v>
      </c>
      <c r="N1262" s="464">
        <f t="shared" si="107"/>
        <v>89456</v>
      </c>
    </row>
    <row r="1263" spans="7:14" ht="11.25" customHeight="1" x14ac:dyDescent="0.3">
      <c r="G1263" s="459"/>
      <c r="H1263" s="459">
        <v>1256</v>
      </c>
      <c r="I1263" s="444">
        <f t="shared" ca="1" si="105"/>
        <v>-62668548.340646282</v>
      </c>
      <c r="J1263" s="444">
        <f t="array" ref="J1263">IFERROR(INDEX('Retirement Calculator'!K:K,MATCH('Lorri 401b'!N1263,'Retirement Calculator'!A:A,0),0),0)</f>
        <v>0</v>
      </c>
      <c r="K1263" s="444">
        <f t="shared" ca="1" si="103"/>
        <v>-261118.95141935951</v>
      </c>
      <c r="L1263" s="444">
        <f t="shared" ca="1" si="104"/>
        <v>-62929667.292065643</v>
      </c>
      <c r="M1263" s="460">
        <f t="shared" si="106"/>
        <v>0.05</v>
      </c>
      <c r="N1263" s="464">
        <f t="shared" si="107"/>
        <v>89487</v>
      </c>
    </row>
    <row r="1264" spans="7:14" ht="11.25" customHeight="1" x14ac:dyDescent="0.3">
      <c r="G1264" s="459"/>
      <c r="H1264" s="459">
        <v>1257</v>
      </c>
      <c r="I1264" s="444">
        <f t="shared" ca="1" si="105"/>
        <v>-62929667.292065643</v>
      </c>
      <c r="J1264" s="444">
        <f t="array" ref="J1264">IFERROR(INDEX('Retirement Calculator'!K:K,MATCH('Lorri 401b'!N1264,'Retirement Calculator'!A:A,0),0),0)</f>
        <v>0</v>
      </c>
      <c r="K1264" s="444">
        <f t="shared" ca="1" si="103"/>
        <v>-262206.94705027353</v>
      </c>
      <c r="L1264" s="444">
        <f t="shared" ca="1" si="104"/>
        <v>-63191874.239115916</v>
      </c>
      <c r="M1264" s="460">
        <f t="shared" si="106"/>
        <v>0.05</v>
      </c>
      <c r="N1264" s="464">
        <f t="shared" si="107"/>
        <v>89518</v>
      </c>
    </row>
    <row r="1265" spans="7:14" ht="11.25" customHeight="1" x14ac:dyDescent="0.3">
      <c r="G1265" s="459"/>
      <c r="H1265" s="459">
        <v>1258</v>
      </c>
      <c r="I1265" s="444">
        <f t="shared" ca="1" si="105"/>
        <v>-63191874.239115916</v>
      </c>
      <c r="J1265" s="444">
        <f t="array" ref="J1265">IFERROR(INDEX('Retirement Calculator'!K:K,MATCH('Lorri 401b'!N1265,'Retirement Calculator'!A:A,0),0),0)</f>
        <v>0</v>
      </c>
      <c r="K1265" s="444">
        <f t="shared" ca="1" si="103"/>
        <v>-263299.47599631629</v>
      </c>
      <c r="L1265" s="444">
        <f t="shared" ca="1" si="104"/>
        <v>-63455173.715112232</v>
      </c>
      <c r="M1265" s="460">
        <f t="shared" si="106"/>
        <v>0.05</v>
      </c>
      <c r="N1265" s="464">
        <f t="shared" si="107"/>
        <v>89546</v>
      </c>
    </row>
    <row r="1266" spans="7:14" ht="11.25" customHeight="1" x14ac:dyDescent="0.3">
      <c r="G1266" s="459"/>
      <c r="H1266" s="459">
        <v>1259</v>
      </c>
      <c r="I1266" s="444">
        <f t="shared" ca="1" si="105"/>
        <v>-63455173.715112232</v>
      </c>
      <c r="J1266" s="444">
        <f t="array" ref="J1266">IFERROR(INDEX('Retirement Calculator'!K:K,MATCH('Lorri 401b'!N1266,'Retirement Calculator'!A:A,0),0),0)</f>
        <v>0</v>
      </c>
      <c r="K1266" s="444">
        <f t="shared" ca="1" si="103"/>
        <v>-264396.55714630097</v>
      </c>
      <c r="L1266" s="444">
        <f t="shared" ca="1" si="104"/>
        <v>-63719570.272258535</v>
      </c>
      <c r="M1266" s="460">
        <f t="shared" si="106"/>
        <v>0.05</v>
      </c>
      <c r="N1266" s="464">
        <f t="shared" si="107"/>
        <v>89577</v>
      </c>
    </row>
    <row r="1267" spans="7:14" ht="11.25" customHeight="1" x14ac:dyDescent="0.3">
      <c r="G1267" s="459"/>
      <c r="H1267" s="459">
        <v>1260</v>
      </c>
      <c r="I1267" s="444">
        <f t="shared" ca="1" si="105"/>
        <v>-63719570.272258535</v>
      </c>
      <c r="J1267" s="444">
        <f t="array" ref="J1267">IFERROR(INDEX('Retirement Calculator'!K:K,MATCH('Lorri 401b'!N1267,'Retirement Calculator'!A:A,0),0),0)</f>
        <v>0</v>
      </c>
      <c r="K1267" s="444">
        <f t="shared" ca="1" si="103"/>
        <v>-265498.20946774387</v>
      </c>
      <c r="L1267" s="444">
        <f t="shared" ca="1" si="104"/>
        <v>-63985068.481726281</v>
      </c>
      <c r="M1267" s="460">
        <f t="shared" si="106"/>
        <v>0.05</v>
      </c>
      <c r="N1267" s="464">
        <f t="shared" si="107"/>
        <v>89607</v>
      </c>
    </row>
    <row r="1268" spans="7:14" ht="11.25" customHeight="1" x14ac:dyDescent="0.3">
      <c r="G1268" s="459"/>
      <c r="H1268" s="459">
        <v>1261</v>
      </c>
      <c r="I1268" s="444">
        <f t="shared" ca="1" si="105"/>
        <v>-63985068.481726281</v>
      </c>
      <c r="J1268" s="444">
        <f t="array" ref="J1268">IFERROR(INDEX('Retirement Calculator'!K:K,MATCH('Lorri 401b'!N1268,'Retirement Calculator'!A:A,0),0),0)</f>
        <v>0</v>
      </c>
      <c r="K1268" s="444">
        <f t="shared" ca="1" si="103"/>
        <v>-266604.45200719283</v>
      </c>
      <c r="L1268" s="444">
        <f t="shared" ca="1" si="104"/>
        <v>-64251672.933733471</v>
      </c>
      <c r="M1268" s="460">
        <f t="shared" si="106"/>
        <v>0.05</v>
      </c>
      <c r="N1268" s="464">
        <f t="shared" si="107"/>
        <v>89638</v>
      </c>
    </row>
    <row r="1269" spans="7:14" ht="11.25" customHeight="1" x14ac:dyDescent="0.3">
      <c r="G1269" s="459"/>
      <c r="H1269" s="459">
        <v>1262</v>
      </c>
      <c r="I1269" s="444">
        <f t="shared" ca="1" si="105"/>
        <v>-64251672.933733471</v>
      </c>
      <c r="J1269" s="444">
        <f t="array" ref="J1269">IFERROR(INDEX('Retirement Calculator'!K:K,MATCH('Lorri 401b'!N1269,'Retirement Calculator'!A:A,0),0),0)</f>
        <v>0</v>
      </c>
      <c r="K1269" s="444">
        <f t="shared" ca="1" si="103"/>
        <v>-267715.30389055616</v>
      </c>
      <c r="L1269" s="444">
        <f t="shared" ca="1" si="104"/>
        <v>-64519388.237624027</v>
      </c>
      <c r="M1269" s="460">
        <f t="shared" si="106"/>
        <v>0.05</v>
      </c>
      <c r="N1269" s="464">
        <f t="shared" si="107"/>
        <v>89668</v>
      </c>
    </row>
    <row r="1270" spans="7:14" ht="11.25" customHeight="1" x14ac:dyDescent="0.3">
      <c r="G1270" s="459"/>
      <c r="H1270" s="459">
        <v>1263</v>
      </c>
      <c r="I1270" s="444">
        <f t="shared" ca="1" si="105"/>
        <v>-64519388.237624027</v>
      </c>
      <c r="J1270" s="444">
        <f t="array" ref="J1270">IFERROR(INDEX('Retirement Calculator'!K:K,MATCH('Lorri 401b'!N1270,'Retirement Calculator'!A:A,0),0),0)</f>
        <v>0</v>
      </c>
      <c r="K1270" s="444">
        <f t="shared" ca="1" si="103"/>
        <v>-268830.78432343341</v>
      </c>
      <c r="L1270" s="444">
        <f t="shared" ca="1" si="104"/>
        <v>-64788219.021947458</v>
      </c>
      <c r="M1270" s="460">
        <f t="shared" si="106"/>
        <v>0.05</v>
      </c>
      <c r="N1270" s="464">
        <f t="shared" si="107"/>
        <v>89699</v>
      </c>
    </row>
    <row r="1271" spans="7:14" ht="11.25" customHeight="1" x14ac:dyDescent="0.3">
      <c r="G1271" s="459"/>
      <c r="H1271" s="459">
        <v>1264</v>
      </c>
      <c r="I1271" s="444">
        <f t="shared" ca="1" si="105"/>
        <v>-64788219.021947458</v>
      </c>
      <c r="J1271" s="444">
        <f t="array" ref="J1271">IFERROR(INDEX('Retirement Calculator'!K:K,MATCH('Lorri 401b'!N1271,'Retirement Calculator'!A:A,0),0),0)</f>
        <v>0</v>
      </c>
      <c r="K1271" s="444">
        <f t="shared" ca="1" si="103"/>
        <v>-269950.91259144776</v>
      </c>
      <c r="L1271" s="444">
        <f t="shared" ca="1" si="104"/>
        <v>-65058169.934538908</v>
      </c>
      <c r="M1271" s="460">
        <f t="shared" si="106"/>
        <v>0.05</v>
      </c>
      <c r="N1271" s="464">
        <f t="shared" si="107"/>
        <v>89730</v>
      </c>
    </row>
    <row r="1272" spans="7:14" ht="11.25" customHeight="1" x14ac:dyDescent="0.3">
      <c r="G1272" s="459"/>
      <c r="H1272" s="459">
        <v>1265</v>
      </c>
      <c r="I1272" s="444">
        <f t="shared" ca="1" si="105"/>
        <v>-65058169.934538908</v>
      </c>
      <c r="J1272" s="444">
        <f t="array" ref="J1272">IFERROR(INDEX('Retirement Calculator'!K:K,MATCH('Lorri 401b'!N1272,'Retirement Calculator'!A:A,0),0),0)</f>
        <v>0</v>
      </c>
      <c r="K1272" s="444">
        <f t="shared" ca="1" si="103"/>
        <v>-271075.70806057873</v>
      </c>
      <c r="L1272" s="444">
        <f t="shared" ca="1" si="104"/>
        <v>-65329245.642599486</v>
      </c>
      <c r="M1272" s="460">
        <f t="shared" si="106"/>
        <v>0.05</v>
      </c>
      <c r="N1272" s="464">
        <f t="shared" si="107"/>
        <v>89760</v>
      </c>
    </row>
    <row r="1273" spans="7:14" ht="11.25" customHeight="1" x14ac:dyDescent="0.3">
      <c r="G1273" s="459"/>
      <c r="H1273" s="459">
        <v>1266</v>
      </c>
      <c r="I1273" s="444">
        <f t="shared" ca="1" si="105"/>
        <v>-65329245.642599486</v>
      </c>
      <c r="J1273" s="444">
        <f t="array" ref="J1273">IFERROR(INDEX('Retirement Calculator'!K:K,MATCH('Lorri 401b'!N1273,'Retirement Calculator'!A:A,0),0),0)</f>
        <v>0</v>
      </c>
      <c r="K1273" s="444">
        <f t="shared" ca="1" si="103"/>
        <v>-272205.1901774978</v>
      </c>
      <c r="L1273" s="444">
        <f t="shared" ca="1" si="104"/>
        <v>-65601450.832776986</v>
      </c>
      <c r="M1273" s="460">
        <f t="shared" si="106"/>
        <v>0.05</v>
      </c>
      <c r="N1273" s="464">
        <f t="shared" si="107"/>
        <v>89791</v>
      </c>
    </row>
    <row r="1274" spans="7:14" ht="11.25" customHeight="1" x14ac:dyDescent="0.3">
      <c r="G1274" s="459"/>
      <c r="H1274" s="459">
        <v>1267</v>
      </c>
      <c r="I1274" s="444">
        <f t="shared" ca="1" si="105"/>
        <v>-65601450.832776986</v>
      </c>
      <c r="J1274" s="444">
        <f t="array" ref="J1274">IFERROR(INDEX('Retirement Calculator'!K:K,MATCH('Lorri 401b'!N1274,'Retirement Calculator'!A:A,0),0),0)</f>
        <v>0</v>
      </c>
      <c r="K1274" s="444">
        <f t="shared" ca="1" si="103"/>
        <v>-273339.37846990413</v>
      </c>
      <c r="L1274" s="444">
        <f t="shared" ca="1" si="104"/>
        <v>-65874790.211246893</v>
      </c>
      <c r="M1274" s="460">
        <f t="shared" si="106"/>
        <v>0.05</v>
      </c>
      <c r="N1274" s="464">
        <f t="shared" si="107"/>
        <v>89821</v>
      </c>
    </row>
    <row r="1275" spans="7:14" ht="11.25" customHeight="1" x14ac:dyDescent="0.3">
      <c r="G1275" s="459"/>
      <c r="H1275" s="459">
        <v>1268</v>
      </c>
      <c r="I1275" s="444">
        <f t="shared" ca="1" si="105"/>
        <v>-65874790.211246893</v>
      </c>
      <c r="J1275" s="444">
        <f t="array" ref="J1275">IFERROR(INDEX('Retirement Calculator'!K:K,MATCH('Lorri 401b'!N1275,'Retirement Calculator'!A:A,0),0),0)</f>
        <v>0</v>
      </c>
      <c r="K1275" s="444">
        <f t="shared" ca="1" si="103"/>
        <v>-274478.29254686204</v>
      </c>
      <c r="L1275" s="444">
        <f t="shared" ca="1" si="104"/>
        <v>-66149268.503793754</v>
      </c>
      <c r="M1275" s="460">
        <f t="shared" si="106"/>
        <v>0.05</v>
      </c>
      <c r="N1275" s="464">
        <f t="shared" si="107"/>
        <v>89852</v>
      </c>
    </row>
    <row r="1276" spans="7:14" ht="11.25" customHeight="1" x14ac:dyDescent="0.3">
      <c r="G1276" s="459"/>
      <c r="H1276" s="459">
        <v>1269</v>
      </c>
      <c r="I1276" s="444">
        <f t="shared" ca="1" si="105"/>
        <v>-66149268.503793754</v>
      </c>
      <c r="J1276" s="444">
        <f t="array" ref="J1276">IFERROR(INDEX('Retirement Calculator'!K:K,MATCH('Lorri 401b'!N1276,'Retirement Calculator'!A:A,0),0),0)</f>
        <v>0</v>
      </c>
      <c r="K1276" s="444">
        <f t="shared" ca="1" si="103"/>
        <v>-275621.95209914062</v>
      </c>
      <c r="L1276" s="444">
        <f t="shared" ca="1" si="104"/>
        <v>-66424890.455892891</v>
      </c>
      <c r="M1276" s="460">
        <f t="shared" si="106"/>
        <v>0.05</v>
      </c>
      <c r="N1276" s="464">
        <f t="shared" si="107"/>
        <v>89883</v>
      </c>
    </row>
    <row r="1277" spans="7:14" ht="11.25" customHeight="1" x14ac:dyDescent="0.3">
      <c r="G1277" s="459"/>
      <c r="H1277" s="459">
        <v>1270</v>
      </c>
      <c r="I1277" s="444">
        <f t="shared" ca="1" si="105"/>
        <v>-66424890.455892891</v>
      </c>
      <c r="J1277" s="444">
        <f t="array" ref="J1277">IFERROR(INDEX('Retirement Calculator'!K:K,MATCH('Lorri 401b'!N1277,'Retirement Calculator'!A:A,0),0),0)</f>
        <v>0</v>
      </c>
      <c r="K1277" s="444">
        <f t="shared" ca="1" si="103"/>
        <v>-276770.3768995537</v>
      </c>
      <c r="L1277" s="444">
        <f t="shared" ca="1" si="104"/>
        <v>-66701660.832792446</v>
      </c>
      <c r="M1277" s="460">
        <f t="shared" si="106"/>
        <v>0.05</v>
      </c>
      <c r="N1277" s="464">
        <f t="shared" si="107"/>
        <v>89911</v>
      </c>
    </row>
    <row r="1278" spans="7:14" ht="11.25" customHeight="1" x14ac:dyDescent="0.3">
      <c r="G1278" s="459"/>
      <c r="H1278" s="459">
        <v>1271</v>
      </c>
      <c r="I1278" s="444">
        <f t="shared" ca="1" si="105"/>
        <v>-66701660.832792446</v>
      </c>
      <c r="J1278" s="444">
        <f t="array" ref="J1278">IFERROR(INDEX('Retirement Calculator'!K:K,MATCH('Lorri 401b'!N1278,'Retirement Calculator'!A:A,0),0),0)</f>
        <v>0</v>
      </c>
      <c r="K1278" s="444">
        <f t="shared" ca="1" si="103"/>
        <v>-277923.58680330188</v>
      </c>
      <c r="L1278" s="444">
        <f t="shared" ca="1" si="104"/>
        <v>-66979584.419595748</v>
      </c>
      <c r="M1278" s="460">
        <f t="shared" si="106"/>
        <v>0.05</v>
      </c>
      <c r="N1278" s="464">
        <f t="shared" si="107"/>
        <v>89942</v>
      </c>
    </row>
    <row r="1279" spans="7:14" ht="11.25" customHeight="1" x14ac:dyDescent="0.3">
      <c r="G1279" s="459"/>
      <c r="H1279" s="459">
        <v>1272</v>
      </c>
      <c r="I1279" s="444">
        <f t="shared" ca="1" si="105"/>
        <v>-66979584.419595748</v>
      </c>
      <c r="J1279" s="444">
        <f t="array" ref="J1279">IFERROR(INDEX('Retirement Calculator'!K:K,MATCH('Lorri 401b'!N1279,'Retirement Calculator'!A:A,0),0),0)</f>
        <v>0</v>
      </c>
      <c r="K1279" s="444">
        <f t="shared" ca="1" si="103"/>
        <v>-279081.60174831556</v>
      </c>
      <c r="L1279" s="444">
        <f t="shared" ca="1" si="104"/>
        <v>-67258666.021344066</v>
      </c>
      <c r="M1279" s="460">
        <f t="shared" si="106"/>
        <v>0.05</v>
      </c>
      <c r="N1279" s="464">
        <f t="shared" si="107"/>
        <v>89972</v>
      </c>
    </row>
    <row r="1280" spans="7:14" ht="11.25" customHeight="1" x14ac:dyDescent="0.3">
      <c r="G1280" s="459"/>
      <c r="H1280" s="459">
        <v>1273</v>
      </c>
      <c r="I1280" s="444">
        <f t="shared" ca="1" si="105"/>
        <v>-67258666.021344066</v>
      </c>
      <c r="J1280" s="444">
        <f t="array" ref="J1280">IFERROR(INDEX('Retirement Calculator'!K:K,MATCH('Lorri 401b'!N1280,'Retirement Calculator'!A:A,0),0),0)</f>
        <v>0</v>
      </c>
      <c r="K1280" s="444">
        <f t="shared" ca="1" si="103"/>
        <v>-280244.44175560027</v>
      </c>
      <c r="L1280" s="444">
        <f t="shared" ca="1" si="104"/>
        <v>-67538910.463099658</v>
      </c>
      <c r="M1280" s="460">
        <f t="shared" si="106"/>
        <v>0.05</v>
      </c>
      <c r="N1280" s="464">
        <f t="shared" si="107"/>
        <v>90003</v>
      </c>
    </row>
    <row r="1281" spans="7:14" ht="11.25" customHeight="1" x14ac:dyDescent="0.3">
      <c r="G1281" s="459"/>
      <c r="H1281" s="459">
        <v>1274</v>
      </c>
      <c r="I1281" s="444">
        <f t="shared" ca="1" si="105"/>
        <v>-67538910.463099658</v>
      </c>
      <c r="J1281" s="444">
        <f t="array" ref="J1281">IFERROR(INDEX('Retirement Calculator'!K:K,MATCH('Lorri 401b'!N1281,'Retirement Calculator'!A:A,0),0),0)</f>
        <v>0</v>
      </c>
      <c r="K1281" s="444">
        <f t="shared" ca="1" si="103"/>
        <v>-281412.12692958192</v>
      </c>
      <c r="L1281" s="444">
        <f t="shared" ca="1" si="104"/>
        <v>-67820322.59002924</v>
      </c>
      <c r="M1281" s="460">
        <f t="shared" si="106"/>
        <v>0.05</v>
      </c>
      <c r="N1281" s="464">
        <f t="shared" si="107"/>
        <v>90033</v>
      </c>
    </row>
    <row r="1282" spans="7:14" ht="11.25" customHeight="1" x14ac:dyDescent="0.3">
      <c r="G1282" s="459"/>
      <c r="H1282" s="459">
        <v>1275</v>
      </c>
      <c r="I1282" s="444">
        <f t="shared" ca="1" si="105"/>
        <v>-67820322.59002924</v>
      </c>
      <c r="J1282" s="444">
        <f t="array" ref="J1282">IFERROR(INDEX('Retirement Calculator'!K:K,MATCH('Lorri 401b'!N1282,'Retirement Calculator'!A:A,0),0),0)</f>
        <v>0</v>
      </c>
      <c r="K1282" s="444">
        <f t="shared" ca="1" si="103"/>
        <v>-282584.67745845515</v>
      </c>
      <c r="L1282" s="444">
        <f t="shared" ca="1" si="104"/>
        <v>-68102907.26748769</v>
      </c>
      <c r="M1282" s="460">
        <f t="shared" si="106"/>
        <v>0.05</v>
      </c>
      <c r="N1282" s="464">
        <f t="shared" si="107"/>
        <v>90064</v>
      </c>
    </row>
    <row r="1283" spans="7:14" ht="11.25" customHeight="1" x14ac:dyDescent="0.3">
      <c r="G1283" s="459"/>
      <c r="H1283" s="459">
        <v>1276</v>
      </c>
      <c r="I1283" s="444">
        <f t="shared" ca="1" si="105"/>
        <v>-68102907.26748769</v>
      </c>
      <c r="J1283" s="444">
        <f t="array" ref="J1283">IFERROR(INDEX('Retirement Calculator'!K:K,MATCH('Lorri 401b'!N1283,'Retirement Calculator'!A:A,0),0),0)</f>
        <v>0</v>
      </c>
      <c r="K1283" s="444">
        <f t="shared" ref="K1283:K1537" ca="1" si="108">IPMT(M1283/12,1,12,-I1283+J1283,,0)</f>
        <v>-283762.11361453205</v>
      </c>
      <c r="L1283" s="444">
        <f t="shared" ref="L1283:L1537" ca="1" si="109">I1283-J1283+K1283</f>
        <v>-68386669.381102219</v>
      </c>
      <c r="M1283" s="460">
        <f t="shared" si="106"/>
        <v>0.05</v>
      </c>
      <c r="N1283" s="464">
        <f t="shared" si="107"/>
        <v>90095</v>
      </c>
    </row>
    <row r="1284" spans="7:14" ht="11.25" customHeight="1" x14ac:dyDescent="0.3">
      <c r="G1284" s="459"/>
      <c r="H1284" s="459">
        <v>1277</v>
      </c>
      <c r="I1284" s="444">
        <f t="shared" ref="I1284:I1538" ca="1" si="110">L1283</f>
        <v>-68386669.381102219</v>
      </c>
      <c r="J1284" s="444">
        <f t="array" ref="J1284">IFERROR(INDEX('Retirement Calculator'!K:K,MATCH('Lorri 401b'!N1284,'Retirement Calculator'!A:A,0),0),0)</f>
        <v>0</v>
      </c>
      <c r="K1284" s="444">
        <f t="shared" ca="1" si="108"/>
        <v>-284944.45575459255</v>
      </c>
      <c r="L1284" s="444">
        <f t="shared" ca="1" si="109"/>
        <v>-68671613.836856812</v>
      </c>
      <c r="M1284" s="460">
        <f t="shared" ref="M1284:M1538" si="111">M1283</f>
        <v>0.05</v>
      </c>
      <c r="N1284" s="464">
        <f t="shared" ref="N1284:N1538" si="112">EDATE(N1283,1)</f>
        <v>90125</v>
      </c>
    </row>
    <row r="1285" spans="7:14" ht="11.25" customHeight="1" x14ac:dyDescent="0.3">
      <c r="G1285" s="459"/>
      <c r="H1285" s="459">
        <v>1278</v>
      </c>
      <c r="I1285" s="444">
        <f t="shared" ca="1" si="110"/>
        <v>-68671613.836856812</v>
      </c>
      <c r="J1285" s="444">
        <f t="array" ref="J1285">IFERROR(INDEX('Retirement Calculator'!K:K,MATCH('Lorri 401b'!N1285,'Retirement Calculator'!A:A,0),0),0)</f>
        <v>0</v>
      </c>
      <c r="K1285" s="444">
        <f t="shared" ca="1" si="108"/>
        <v>-286131.72432023671</v>
      </c>
      <c r="L1285" s="444">
        <f t="shared" ca="1" si="109"/>
        <v>-68957745.561177045</v>
      </c>
      <c r="M1285" s="460">
        <f t="shared" si="111"/>
        <v>0.05</v>
      </c>
      <c r="N1285" s="464">
        <f t="shared" si="112"/>
        <v>90156</v>
      </c>
    </row>
    <row r="1286" spans="7:14" ht="11.25" customHeight="1" x14ac:dyDescent="0.3">
      <c r="G1286" s="459"/>
      <c r="H1286" s="459">
        <v>1279</v>
      </c>
      <c r="I1286" s="444">
        <f t="shared" ca="1" si="110"/>
        <v>-68957745.561177045</v>
      </c>
      <c r="J1286" s="444">
        <f t="array" ref="J1286">IFERROR(INDEX('Retirement Calculator'!K:K,MATCH('Lorri 401b'!N1286,'Retirement Calculator'!A:A,0),0),0)</f>
        <v>0</v>
      </c>
      <c r="K1286" s="444">
        <f t="shared" ca="1" si="108"/>
        <v>-287323.93983823771</v>
      </c>
      <c r="L1286" s="444">
        <f t="shared" ca="1" si="109"/>
        <v>-69245069.501015276</v>
      </c>
      <c r="M1286" s="460">
        <f t="shared" si="111"/>
        <v>0.05</v>
      </c>
      <c r="N1286" s="464">
        <f t="shared" si="112"/>
        <v>90186</v>
      </c>
    </row>
    <row r="1287" spans="7:14" ht="11.25" customHeight="1" x14ac:dyDescent="0.3">
      <c r="G1287" s="459"/>
      <c r="H1287" s="459">
        <v>1280</v>
      </c>
      <c r="I1287" s="444">
        <f t="shared" ca="1" si="110"/>
        <v>-69245069.501015276</v>
      </c>
      <c r="J1287" s="444">
        <f t="array" ref="J1287">IFERROR(INDEX('Retirement Calculator'!K:K,MATCH('Lorri 401b'!N1287,'Retirement Calculator'!A:A,0),0),0)</f>
        <v>0</v>
      </c>
      <c r="K1287" s="444">
        <f t="shared" ca="1" si="108"/>
        <v>-288521.12292089697</v>
      </c>
      <c r="L1287" s="444">
        <f t="shared" ca="1" si="109"/>
        <v>-69533590.623936176</v>
      </c>
      <c r="M1287" s="460">
        <f t="shared" si="111"/>
        <v>0.05</v>
      </c>
      <c r="N1287" s="464">
        <f t="shared" si="112"/>
        <v>90217</v>
      </c>
    </row>
    <row r="1288" spans="7:14" ht="11.25" customHeight="1" x14ac:dyDescent="0.3">
      <c r="G1288" s="459"/>
      <c r="H1288" s="459">
        <v>1281</v>
      </c>
      <c r="I1288" s="444">
        <f t="shared" ca="1" si="110"/>
        <v>-69533590.623936176</v>
      </c>
      <c r="J1288" s="444">
        <f t="array" ref="J1288">IFERROR(INDEX('Retirement Calculator'!K:K,MATCH('Lorri 401b'!N1288,'Retirement Calculator'!A:A,0),0),0)</f>
        <v>0</v>
      </c>
      <c r="K1288" s="444">
        <f t="shared" ca="1" si="108"/>
        <v>-289723.29426640074</v>
      </c>
      <c r="L1288" s="444">
        <f t="shared" ca="1" si="109"/>
        <v>-69823313.918202579</v>
      </c>
      <c r="M1288" s="460">
        <f t="shared" si="111"/>
        <v>0.05</v>
      </c>
      <c r="N1288" s="464">
        <f t="shared" si="112"/>
        <v>90248</v>
      </c>
    </row>
    <row r="1289" spans="7:14" ht="11.25" customHeight="1" x14ac:dyDescent="0.3">
      <c r="G1289" s="459"/>
      <c r="H1289" s="459">
        <v>1282</v>
      </c>
      <c r="I1289" s="444">
        <f t="shared" ca="1" si="110"/>
        <v>-69823313.918202579</v>
      </c>
      <c r="J1289" s="444">
        <f t="array" ref="J1289">IFERROR(INDEX('Retirement Calculator'!K:K,MATCH('Lorri 401b'!N1289,'Retirement Calculator'!A:A,0),0),0)</f>
        <v>0</v>
      </c>
      <c r="K1289" s="444">
        <f t="shared" ca="1" si="108"/>
        <v>-290930.47465917742</v>
      </c>
      <c r="L1289" s="444">
        <f t="shared" ca="1" si="109"/>
        <v>-70114244.392861754</v>
      </c>
      <c r="M1289" s="460">
        <f t="shared" si="111"/>
        <v>0.05</v>
      </c>
      <c r="N1289" s="464">
        <f t="shared" si="112"/>
        <v>90276</v>
      </c>
    </row>
    <row r="1290" spans="7:14" ht="11.25" customHeight="1" x14ac:dyDescent="0.3">
      <c r="G1290" s="459"/>
      <c r="H1290" s="459">
        <v>1283</v>
      </c>
      <c r="I1290" s="444">
        <f t="shared" ca="1" si="110"/>
        <v>-70114244.392861754</v>
      </c>
      <c r="J1290" s="444">
        <f t="array" ref="J1290">IFERROR(INDEX('Retirement Calculator'!K:K,MATCH('Lorri 401b'!N1290,'Retirement Calculator'!A:A,0),0),0)</f>
        <v>0</v>
      </c>
      <c r="K1290" s="444">
        <f t="shared" ca="1" si="108"/>
        <v>-292142.68497025728</v>
      </c>
      <c r="L1290" s="444">
        <f t="shared" ca="1" si="109"/>
        <v>-70406387.077832013</v>
      </c>
      <c r="M1290" s="460">
        <f t="shared" si="111"/>
        <v>0.05</v>
      </c>
      <c r="N1290" s="464">
        <f t="shared" si="112"/>
        <v>90307</v>
      </c>
    </row>
    <row r="1291" spans="7:14" ht="11.25" customHeight="1" x14ac:dyDescent="0.3">
      <c r="G1291" s="459"/>
      <c r="H1291" s="459">
        <v>1284</v>
      </c>
      <c r="I1291" s="444">
        <f t="shared" ca="1" si="110"/>
        <v>-70406387.077832013</v>
      </c>
      <c r="J1291" s="444">
        <f t="array" ref="J1291">IFERROR(INDEX('Retirement Calculator'!K:K,MATCH('Lorri 401b'!N1291,'Retirement Calculator'!A:A,0),0),0)</f>
        <v>0</v>
      </c>
      <c r="K1291" s="444">
        <f t="shared" ca="1" si="108"/>
        <v>-293359.94615763339</v>
      </c>
      <c r="L1291" s="444">
        <f t="shared" ca="1" si="109"/>
        <v>-70699747.023989648</v>
      </c>
      <c r="M1291" s="460">
        <f t="shared" si="111"/>
        <v>0.05</v>
      </c>
      <c r="N1291" s="464">
        <f t="shared" si="112"/>
        <v>90337</v>
      </c>
    </row>
    <row r="1292" spans="7:14" ht="11.25" customHeight="1" x14ac:dyDescent="0.3">
      <c r="G1292" s="459"/>
      <c r="H1292" s="459">
        <v>1285</v>
      </c>
      <c r="I1292" s="444">
        <f t="shared" ca="1" si="110"/>
        <v>-70699747.023989648</v>
      </c>
      <c r="J1292" s="444">
        <f t="array" ref="J1292">IFERROR(INDEX('Retirement Calculator'!K:K,MATCH('Lorri 401b'!N1292,'Retirement Calculator'!A:A,0),0),0)</f>
        <v>0</v>
      </c>
      <c r="K1292" s="444">
        <f t="shared" ca="1" si="108"/>
        <v>-294582.27926662355</v>
      </c>
      <c r="L1292" s="444">
        <f t="shared" ca="1" si="109"/>
        <v>-70994329.303256273</v>
      </c>
      <c r="M1292" s="460">
        <f t="shared" si="111"/>
        <v>0.05</v>
      </c>
      <c r="N1292" s="464">
        <f t="shared" si="112"/>
        <v>90368</v>
      </c>
    </row>
    <row r="1293" spans="7:14" ht="11.25" customHeight="1" x14ac:dyDescent="0.3">
      <c r="G1293" s="459"/>
      <c r="H1293" s="459">
        <v>1286</v>
      </c>
      <c r="I1293" s="444">
        <f t="shared" ca="1" si="110"/>
        <v>-70994329.303256273</v>
      </c>
      <c r="J1293" s="444">
        <f t="array" ref="J1293">IFERROR(INDEX('Retirement Calculator'!K:K,MATCH('Lorri 401b'!N1293,'Retirement Calculator'!A:A,0),0),0)</f>
        <v>0</v>
      </c>
      <c r="K1293" s="444">
        <f t="shared" ca="1" si="108"/>
        <v>-295809.70543023449</v>
      </c>
      <c r="L1293" s="444">
        <f t="shared" ca="1" si="109"/>
        <v>-71290139.008686513</v>
      </c>
      <c r="M1293" s="460">
        <f t="shared" si="111"/>
        <v>0.05</v>
      </c>
      <c r="N1293" s="464">
        <f t="shared" si="112"/>
        <v>90398</v>
      </c>
    </row>
    <row r="1294" spans="7:14" ht="11.25" customHeight="1" x14ac:dyDescent="0.3">
      <c r="G1294" s="459"/>
      <c r="H1294" s="459">
        <v>1287</v>
      </c>
      <c r="I1294" s="444">
        <f t="shared" ca="1" si="110"/>
        <v>-71290139.008686513</v>
      </c>
      <c r="J1294" s="444">
        <f t="array" ref="J1294">IFERROR(INDEX('Retirement Calculator'!K:K,MATCH('Lorri 401b'!N1294,'Retirement Calculator'!A:A,0),0),0)</f>
        <v>0</v>
      </c>
      <c r="K1294" s="444">
        <f t="shared" ca="1" si="108"/>
        <v>-297042.24586952711</v>
      </c>
      <c r="L1294" s="444">
        <f t="shared" ca="1" si="109"/>
        <v>-71587181.254556045</v>
      </c>
      <c r="M1294" s="460">
        <f t="shared" si="111"/>
        <v>0.05</v>
      </c>
      <c r="N1294" s="464">
        <f t="shared" si="112"/>
        <v>90429</v>
      </c>
    </row>
    <row r="1295" spans="7:14" ht="11.25" customHeight="1" x14ac:dyDescent="0.3">
      <c r="G1295" s="459"/>
      <c r="H1295" s="459">
        <v>1288</v>
      </c>
      <c r="I1295" s="444">
        <f t="shared" ca="1" si="110"/>
        <v>-71587181.254556045</v>
      </c>
      <c r="J1295" s="444">
        <f t="array" ref="J1295">IFERROR(INDEX('Retirement Calculator'!K:K,MATCH('Lorri 401b'!N1295,'Retirement Calculator'!A:A,0),0),0)</f>
        <v>0</v>
      </c>
      <c r="K1295" s="444">
        <f t="shared" ca="1" si="108"/>
        <v>-298279.9218939835</v>
      </c>
      <c r="L1295" s="444">
        <f t="shared" ca="1" si="109"/>
        <v>-71885461.176450029</v>
      </c>
      <c r="M1295" s="460">
        <f t="shared" si="111"/>
        <v>0.05</v>
      </c>
      <c r="N1295" s="464">
        <f t="shared" si="112"/>
        <v>90460</v>
      </c>
    </row>
    <row r="1296" spans="7:14" ht="11.25" customHeight="1" x14ac:dyDescent="0.3">
      <c r="G1296" s="459"/>
      <c r="H1296" s="459">
        <v>1289</v>
      </c>
      <c r="I1296" s="444">
        <f t="shared" ca="1" si="110"/>
        <v>-71885461.176450029</v>
      </c>
      <c r="J1296" s="444">
        <f t="array" ref="J1296">IFERROR(INDEX('Retirement Calculator'!K:K,MATCH('Lorri 401b'!N1296,'Retirement Calculator'!A:A,0),0),0)</f>
        <v>0</v>
      </c>
      <c r="K1296" s="444">
        <f t="shared" ca="1" si="108"/>
        <v>-299522.7549018751</v>
      </c>
      <c r="L1296" s="444">
        <f t="shared" ca="1" si="109"/>
        <v>-72184983.9313519</v>
      </c>
      <c r="M1296" s="460">
        <f t="shared" si="111"/>
        <v>0.05</v>
      </c>
      <c r="N1296" s="464">
        <f t="shared" si="112"/>
        <v>90490</v>
      </c>
    </row>
    <row r="1297" spans="7:14" ht="11.25" customHeight="1" x14ac:dyDescent="0.3">
      <c r="G1297" s="459"/>
      <c r="H1297" s="459">
        <v>1290</v>
      </c>
      <c r="I1297" s="444">
        <f t="shared" ca="1" si="110"/>
        <v>-72184983.9313519</v>
      </c>
      <c r="J1297" s="444">
        <f t="array" ref="J1297">IFERROR(INDEX('Retirement Calculator'!K:K,MATCH('Lorri 401b'!N1297,'Retirement Calculator'!A:A,0),0),0)</f>
        <v>0</v>
      </c>
      <c r="K1297" s="444">
        <f t="shared" ca="1" si="108"/>
        <v>-300770.76638063294</v>
      </c>
      <c r="L1297" s="444">
        <f t="shared" ca="1" si="109"/>
        <v>-72485754.697732538</v>
      </c>
      <c r="M1297" s="460">
        <f t="shared" si="111"/>
        <v>0.05</v>
      </c>
      <c r="N1297" s="464">
        <f t="shared" si="112"/>
        <v>90521</v>
      </c>
    </row>
    <row r="1298" spans="7:14" ht="11.25" customHeight="1" x14ac:dyDescent="0.3">
      <c r="G1298" s="459"/>
      <c r="H1298" s="459">
        <v>1291</v>
      </c>
      <c r="I1298" s="444">
        <f t="shared" ca="1" si="110"/>
        <v>-72485754.697732538</v>
      </c>
      <c r="J1298" s="444">
        <f t="array" ref="J1298">IFERROR(INDEX('Retirement Calculator'!K:K,MATCH('Lorri 401b'!N1298,'Retirement Calculator'!A:A,0),0),0)</f>
        <v>0</v>
      </c>
      <c r="K1298" s="444">
        <f t="shared" ca="1" si="108"/>
        <v>-302023.97790721891</v>
      </c>
      <c r="L1298" s="444">
        <f t="shared" ca="1" si="109"/>
        <v>-72787778.675639763</v>
      </c>
      <c r="M1298" s="460">
        <f t="shared" si="111"/>
        <v>0.05</v>
      </c>
      <c r="N1298" s="464">
        <f t="shared" si="112"/>
        <v>90551</v>
      </c>
    </row>
    <row r="1299" spans="7:14" ht="11.25" customHeight="1" x14ac:dyDescent="0.3">
      <c r="G1299" s="459"/>
      <c r="H1299" s="459">
        <v>1292</v>
      </c>
      <c r="I1299" s="444">
        <f t="shared" ca="1" si="110"/>
        <v>-72787778.675639763</v>
      </c>
      <c r="J1299" s="444">
        <f t="array" ref="J1299">IFERROR(INDEX('Retirement Calculator'!K:K,MATCH('Lorri 401b'!N1299,'Retirement Calculator'!A:A,0),0),0)</f>
        <v>0</v>
      </c>
      <c r="K1299" s="444">
        <f t="shared" ca="1" si="108"/>
        <v>-303282.411148499</v>
      </c>
      <c r="L1299" s="444">
        <f t="shared" ca="1" si="109"/>
        <v>-73091061.086788267</v>
      </c>
      <c r="M1299" s="460">
        <f t="shared" si="111"/>
        <v>0.05</v>
      </c>
      <c r="N1299" s="464">
        <f t="shared" si="112"/>
        <v>90582</v>
      </c>
    </row>
    <row r="1300" spans="7:14" ht="11.25" customHeight="1" x14ac:dyDescent="0.3">
      <c r="G1300" s="459"/>
      <c r="H1300" s="459">
        <v>1293</v>
      </c>
      <c r="I1300" s="444">
        <f t="shared" ca="1" si="110"/>
        <v>-73091061.086788267</v>
      </c>
      <c r="J1300" s="444">
        <f t="array" ref="J1300">IFERROR(INDEX('Retirement Calculator'!K:K,MATCH('Lorri 401b'!N1300,'Retirement Calculator'!A:A,0),0),0)</f>
        <v>0</v>
      </c>
      <c r="K1300" s="444">
        <f t="shared" ca="1" si="108"/>
        <v>-304546.08786161779</v>
      </c>
      <c r="L1300" s="444">
        <f t="shared" ca="1" si="109"/>
        <v>-73395607.174649879</v>
      </c>
      <c r="M1300" s="460">
        <f t="shared" si="111"/>
        <v>0.05</v>
      </c>
      <c r="N1300" s="464">
        <f t="shared" si="112"/>
        <v>90613</v>
      </c>
    </row>
    <row r="1301" spans="7:14" ht="11.25" customHeight="1" x14ac:dyDescent="0.3">
      <c r="G1301" s="459"/>
      <c r="H1301" s="459">
        <v>1294</v>
      </c>
      <c r="I1301" s="444">
        <f t="shared" ca="1" si="110"/>
        <v>-73395607.174649879</v>
      </c>
      <c r="J1301" s="444">
        <f t="array" ref="J1301">IFERROR(INDEX('Retirement Calculator'!K:K,MATCH('Lorri 401b'!N1301,'Retirement Calculator'!A:A,0),0),0)</f>
        <v>0</v>
      </c>
      <c r="K1301" s="444">
        <f t="shared" ca="1" si="108"/>
        <v>-305815.02989437449</v>
      </c>
      <c r="L1301" s="444">
        <f t="shared" ca="1" si="109"/>
        <v>-73701422.204544261</v>
      </c>
      <c r="M1301" s="460">
        <f t="shared" si="111"/>
        <v>0.05</v>
      </c>
      <c r="N1301" s="464">
        <f t="shared" si="112"/>
        <v>90642</v>
      </c>
    </row>
    <row r="1302" spans="7:14" ht="11.25" customHeight="1" x14ac:dyDescent="0.3">
      <c r="G1302" s="459"/>
      <c r="H1302" s="459">
        <v>1295</v>
      </c>
      <c r="I1302" s="444">
        <f t="shared" ca="1" si="110"/>
        <v>-73701422.204544261</v>
      </c>
      <c r="J1302" s="444">
        <f t="array" ref="J1302">IFERROR(INDEX('Retirement Calculator'!K:K,MATCH('Lorri 401b'!N1302,'Retirement Calculator'!A:A,0),0),0)</f>
        <v>0</v>
      </c>
      <c r="K1302" s="444">
        <f t="shared" ca="1" si="108"/>
        <v>-307089.25918560108</v>
      </c>
      <c r="L1302" s="444">
        <f t="shared" ca="1" si="109"/>
        <v>-74008511.463729858</v>
      </c>
      <c r="M1302" s="460">
        <f t="shared" si="111"/>
        <v>0.05</v>
      </c>
      <c r="N1302" s="464">
        <f t="shared" si="112"/>
        <v>90673</v>
      </c>
    </row>
    <row r="1303" spans="7:14" ht="11.25" customHeight="1" x14ac:dyDescent="0.3">
      <c r="G1303" s="459"/>
      <c r="H1303" s="459">
        <v>1296</v>
      </c>
      <c r="I1303" s="444">
        <f t="shared" ca="1" si="110"/>
        <v>-74008511.463729858</v>
      </c>
      <c r="J1303" s="444">
        <f t="array" ref="J1303">IFERROR(INDEX('Retirement Calculator'!K:K,MATCH('Lorri 401b'!N1303,'Retirement Calculator'!A:A,0),0),0)</f>
        <v>0</v>
      </c>
      <c r="K1303" s="444">
        <f t="shared" ca="1" si="108"/>
        <v>-308368.79776554107</v>
      </c>
      <c r="L1303" s="444">
        <f t="shared" ca="1" si="109"/>
        <v>-74316880.261495396</v>
      </c>
      <c r="M1303" s="460">
        <f t="shared" si="111"/>
        <v>0.05</v>
      </c>
      <c r="N1303" s="464">
        <f t="shared" si="112"/>
        <v>90703</v>
      </c>
    </row>
    <row r="1304" spans="7:14" ht="11.25" customHeight="1" x14ac:dyDescent="0.3">
      <c r="G1304" s="459"/>
      <c r="H1304" s="459">
        <v>1297</v>
      </c>
      <c r="I1304" s="444">
        <f t="shared" ca="1" si="110"/>
        <v>-74316880.261495396</v>
      </c>
      <c r="J1304" s="444">
        <f t="array" ref="J1304">IFERROR(INDEX('Retirement Calculator'!K:K,MATCH('Lorri 401b'!N1304,'Retirement Calculator'!A:A,0),0),0)</f>
        <v>0</v>
      </c>
      <c r="K1304" s="444">
        <f t="shared" ca="1" si="108"/>
        <v>-309653.6677562308</v>
      </c>
      <c r="L1304" s="444">
        <f t="shared" ca="1" si="109"/>
        <v>-74626533.929251626</v>
      </c>
      <c r="M1304" s="460">
        <f t="shared" si="111"/>
        <v>0.05</v>
      </c>
      <c r="N1304" s="464">
        <f t="shared" si="112"/>
        <v>90734</v>
      </c>
    </row>
    <row r="1305" spans="7:14" ht="11.25" customHeight="1" x14ac:dyDescent="0.3">
      <c r="G1305" s="459"/>
      <c r="H1305" s="459">
        <v>1298</v>
      </c>
      <c r="I1305" s="444">
        <f t="shared" ca="1" si="110"/>
        <v>-74626533.929251626</v>
      </c>
      <c r="J1305" s="444">
        <f t="array" ref="J1305">IFERROR(INDEX('Retirement Calculator'!K:K,MATCH('Lorri 401b'!N1305,'Retirement Calculator'!A:A,0),0),0)</f>
        <v>0</v>
      </c>
      <c r="K1305" s="444">
        <f t="shared" ca="1" si="108"/>
        <v>-310943.89137188176</v>
      </c>
      <c r="L1305" s="444">
        <f t="shared" ca="1" si="109"/>
        <v>-74937477.820623502</v>
      </c>
      <c r="M1305" s="460">
        <f t="shared" si="111"/>
        <v>0.05</v>
      </c>
      <c r="N1305" s="464">
        <f t="shared" si="112"/>
        <v>90764</v>
      </c>
    </row>
    <row r="1306" spans="7:14" ht="11.25" customHeight="1" x14ac:dyDescent="0.3">
      <c r="G1306" s="459"/>
      <c r="H1306" s="459">
        <v>1299</v>
      </c>
      <c r="I1306" s="444">
        <f t="shared" ca="1" si="110"/>
        <v>-74937477.820623502</v>
      </c>
      <c r="J1306" s="444">
        <f t="array" ref="J1306">IFERROR(INDEX('Retirement Calculator'!K:K,MATCH('Lorri 401b'!N1306,'Retirement Calculator'!A:A,0),0),0)</f>
        <v>0</v>
      </c>
      <c r="K1306" s="444">
        <f t="shared" ca="1" si="108"/>
        <v>-312239.49091926462</v>
      </c>
      <c r="L1306" s="444">
        <f t="shared" ca="1" si="109"/>
        <v>-75249717.311542764</v>
      </c>
      <c r="M1306" s="460">
        <f t="shared" si="111"/>
        <v>0.05</v>
      </c>
      <c r="N1306" s="464">
        <f t="shared" si="112"/>
        <v>90795</v>
      </c>
    </row>
    <row r="1307" spans="7:14" ht="11.25" customHeight="1" x14ac:dyDescent="0.3">
      <c r="G1307" s="459"/>
      <c r="H1307" s="459">
        <v>1300</v>
      </c>
      <c r="I1307" s="444">
        <f t="shared" ca="1" si="110"/>
        <v>-75249717.311542764</v>
      </c>
      <c r="J1307" s="444">
        <f t="array" ref="J1307">IFERROR(INDEX('Retirement Calculator'!K:K,MATCH('Lorri 401b'!N1307,'Retirement Calculator'!A:A,0),0),0)</f>
        <v>0</v>
      </c>
      <c r="K1307" s="444">
        <f t="shared" ca="1" si="108"/>
        <v>-313540.48879809486</v>
      </c>
      <c r="L1307" s="444">
        <f t="shared" ca="1" si="109"/>
        <v>-75563257.800340861</v>
      </c>
      <c r="M1307" s="460">
        <f t="shared" si="111"/>
        <v>0.05</v>
      </c>
      <c r="N1307" s="464">
        <f t="shared" si="112"/>
        <v>90826</v>
      </c>
    </row>
    <row r="1308" spans="7:14" ht="11.25" customHeight="1" x14ac:dyDescent="0.3">
      <c r="G1308" s="459"/>
      <c r="H1308" s="459">
        <v>1301</v>
      </c>
      <c r="I1308" s="444">
        <f t="shared" ca="1" si="110"/>
        <v>-75563257.800340861</v>
      </c>
      <c r="J1308" s="444">
        <f t="array" ref="J1308">IFERROR(INDEX('Retirement Calculator'!K:K,MATCH('Lorri 401b'!N1308,'Retirement Calculator'!A:A,0),0),0)</f>
        <v>0</v>
      </c>
      <c r="K1308" s="444">
        <f t="shared" ca="1" si="108"/>
        <v>-314846.90750142024</v>
      </c>
      <c r="L1308" s="444">
        <f t="shared" ca="1" si="109"/>
        <v>-75878104.707842276</v>
      </c>
      <c r="M1308" s="460">
        <f t="shared" si="111"/>
        <v>0.05</v>
      </c>
      <c r="N1308" s="464">
        <f t="shared" si="112"/>
        <v>90856</v>
      </c>
    </row>
    <row r="1309" spans="7:14" ht="11.25" customHeight="1" x14ac:dyDescent="0.3">
      <c r="G1309" s="459"/>
      <c r="H1309" s="459">
        <v>1302</v>
      </c>
      <c r="I1309" s="444">
        <f t="shared" ca="1" si="110"/>
        <v>-75878104.707842276</v>
      </c>
      <c r="J1309" s="444">
        <f t="array" ref="J1309">IFERROR(INDEX('Retirement Calculator'!K:K,MATCH('Lorri 401b'!N1309,'Retirement Calculator'!A:A,0),0),0)</f>
        <v>0</v>
      </c>
      <c r="K1309" s="444">
        <f t="shared" ca="1" si="108"/>
        <v>-316158.76961600949</v>
      </c>
      <c r="L1309" s="444">
        <f t="shared" ca="1" si="109"/>
        <v>-76194263.477458283</v>
      </c>
      <c r="M1309" s="460">
        <f t="shared" si="111"/>
        <v>0.05</v>
      </c>
      <c r="N1309" s="464">
        <f t="shared" si="112"/>
        <v>90887</v>
      </c>
    </row>
    <row r="1310" spans="7:14" ht="11.25" customHeight="1" x14ac:dyDescent="0.3">
      <c r="G1310" s="459"/>
      <c r="H1310" s="459">
        <v>1303</v>
      </c>
      <c r="I1310" s="444">
        <f t="shared" ca="1" si="110"/>
        <v>-76194263.477458283</v>
      </c>
      <c r="J1310" s="444">
        <f t="array" ref="J1310">IFERROR(INDEX('Retirement Calculator'!K:K,MATCH('Lorri 401b'!N1310,'Retirement Calculator'!A:A,0),0),0)</f>
        <v>0</v>
      </c>
      <c r="K1310" s="444">
        <f t="shared" ca="1" si="108"/>
        <v>-317476.09782274283</v>
      </c>
      <c r="L1310" s="444">
        <f t="shared" ca="1" si="109"/>
        <v>-76511739.575281024</v>
      </c>
      <c r="M1310" s="460">
        <f t="shared" si="111"/>
        <v>0.05</v>
      </c>
      <c r="N1310" s="464">
        <f t="shared" si="112"/>
        <v>90917</v>
      </c>
    </row>
    <row r="1311" spans="7:14" ht="11.25" customHeight="1" x14ac:dyDescent="0.3">
      <c r="G1311" s="459"/>
      <c r="H1311" s="459">
        <v>1304</v>
      </c>
      <c r="I1311" s="444">
        <f t="shared" ca="1" si="110"/>
        <v>-76511739.575281024</v>
      </c>
      <c r="J1311" s="444">
        <f t="array" ref="J1311">IFERROR(INDEX('Retirement Calculator'!K:K,MATCH('Lorri 401b'!N1311,'Retirement Calculator'!A:A,0),0),0)</f>
        <v>0</v>
      </c>
      <c r="K1311" s="444">
        <f t="shared" ca="1" si="108"/>
        <v>-318798.91489700426</v>
      </c>
      <c r="L1311" s="444">
        <f t="shared" ca="1" si="109"/>
        <v>-76830538.490178034</v>
      </c>
      <c r="M1311" s="460">
        <f t="shared" si="111"/>
        <v>0.05</v>
      </c>
      <c r="N1311" s="464">
        <f t="shared" si="112"/>
        <v>90948</v>
      </c>
    </row>
    <row r="1312" spans="7:14" ht="11.25" customHeight="1" x14ac:dyDescent="0.3">
      <c r="G1312" s="459"/>
      <c r="H1312" s="459">
        <v>1305</v>
      </c>
      <c r="I1312" s="444">
        <f t="shared" ca="1" si="110"/>
        <v>-76830538.490178034</v>
      </c>
      <c r="J1312" s="444">
        <f t="array" ref="J1312">IFERROR(INDEX('Retirement Calculator'!K:K,MATCH('Lorri 401b'!N1312,'Retirement Calculator'!A:A,0),0),0)</f>
        <v>0</v>
      </c>
      <c r="K1312" s="444">
        <f t="shared" ca="1" si="108"/>
        <v>-320127.24370907515</v>
      </c>
      <c r="L1312" s="444">
        <f t="shared" ca="1" si="109"/>
        <v>-77150665.733887106</v>
      </c>
      <c r="M1312" s="460">
        <f t="shared" si="111"/>
        <v>0.05</v>
      </c>
      <c r="N1312" s="464">
        <f t="shared" si="112"/>
        <v>90979</v>
      </c>
    </row>
    <row r="1313" spans="7:14" ht="11.25" customHeight="1" x14ac:dyDescent="0.3">
      <c r="G1313" s="459"/>
      <c r="H1313" s="459">
        <v>1306</v>
      </c>
      <c r="I1313" s="444">
        <f t="shared" ca="1" si="110"/>
        <v>-77150665.733887106</v>
      </c>
      <c r="J1313" s="444">
        <f t="array" ref="J1313">IFERROR(INDEX('Retirement Calculator'!K:K,MATCH('Lorri 401b'!N1313,'Retirement Calculator'!A:A,0),0),0)</f>
        <v>0</v>
      </c>
      <c r="K1313" s="444">
        <f t="shared" ca="1" si="108"/>
        <v>-321461.10722452961</v>
      </c>
      <c r="L1313" s="444">
        <f t="shared" ca="1" si="109"/>
        <v>-77472126.84111163</v>
      </c>
      <c r="M1313" s="460">
        <f t="shared" si="111"/>
        <v>0.05</v>
      </c>
      <c r="N1313" s="464">
        <f t="shared" si="112"/>
        <v>91007</v>
      </c>
    </row>
    <row r="1314" spans="7:14" ht="11.25" customHeight="1" x14ac:dyDescent="0.3">
      <c r="G1314" s="459"/>
      <c r="H1314" s="459">
        <v>1307</v>
      </c>
      <c r="I1314" s="444">
        <f t="shared" ca="1" si="110"/>
        <v>-77472126.84111163</v>
      </c>
      <c r="J1314" s="444">
        <f t="array" ref="J1314">IFERROR(INDEX('Retirement Calculator'!K:K,MATCH('Lorri 401b'!N1314,'Retirement Calculator'!A:A,0),0),0)</f>
        <v>0</v>
      </c>
      <c r="K1314" s="444">
        <f t="shared" ca="1" si="108"/>
        <v>-322800.52850463177</v>
      </c>
      <c r="L1314" s="444">
        <f t="shared" ca="1" si="109"/>
        <v>-77794927.369616255</v>
      </c>
      <c r="M1314" s="460">
        <f t="shared" si="111"/>
        <v>0.05</v>
      </c>
      <c r="N1314" s="464">
        <f t="shared" si="112"/>
        <v>91038</v>
      </c>
    </row>
    <row r="1315" spans="7:14" ht="11.25" customHeight="1" x14ac:dyDescent="0.3">
      <c r="G1315" s="459"/>
      <c r="H1315" s="459">
        <v>1308</v>
      </c>
      <c r="I1315" s="444">
        <f t="shared" ca="1" si="110"/>
        <v>-77794927.369616255</v>
      </c>
      <c r="J1315" s="444">
        <f t="array" ref="J1315">IFERROR(INDEX('Retirement Calculator'!K:K,MATCH('Lorri 401b'!N1315,'Retirement Calculator'!A:A,0),0),0)</f>
        <v>0</v>
      </c>
      <c r="K1315" s="444">
        <f t="shared" ca="1" si="108"/>
        <v>-324145.5307067344</v>
      </c>
      <c r="L1315" s="444">
        <f t="shared" ca="1" si="109"/>
        <v>-78119072.900322989</v>
      </c>
      <c r="M1315" s="460">
        <f t="shared" si="111"/>
        <v>0.05</v>
      </c>
      <c r="N1315" s="464">
        <f t="shared" si="112"/>
        <v>91068</v>
      </c>
    </row>
    <row r="1316" spans="7:14" ht="11.25" customHeight="1" x14ac:dyDescent="0.3">
      <c r="G1316" s="459"/>
      <c r="H1316" s="459">
        <v>1309</v>
      </c>
      <c r="I1316" s="444">
        <f t="shared" ca="1" si="110"/>
        <v>-78119072.900322989</v>
      </c>
      <c r="J1316" s="444">
        <f t="array" ref="J1316">IFERROR(INDEX('Retirement Calculator'!K:K,MATCH('Lorri 401b'!N1316,'Retirement Calculator'!A:A,0),0),0)</f>
        <v>0</v>
      </c>
      <c r="K1316" s="444">
        <f t="shared" ca="1" si="108"/>
        <v>-325496.1370846791</v>
      </c>
      <c r="L1316" s="444">
        <f t="shared" ca="1" si="109"/>
        <v>-78444569.037407666</v>
      </c>
      <c r="M1316" s="460">
        <f t="shared" si="111"/>
        <v>0.05</v>
      </c>
      <c r="N1316" s="464">
        <f t="shared" si="112"/>
        <v>91099</v>
      </c>
    </row>
    <row r="1317" spans="7:14" ht="11.25" customHeight="1" x14ac:dyDescent="0.3">
      <c r="G1317" s="459"/>
      <c r="H1317" s="459">
        <v>1310</v>
      </c>
      <c r="I1317" s="444">
        <f t="shared" ca="1" si="110"/>
        <v>-78444569.037407666</v>
      </c>
      <c r="J1317" s="444">
        <f t="array" ref="J1317">IFERROR(INDEX('Retirement Calculator'!K:K,MATCH('Lorri 401b'!N1317,'Retirement Calculator'!A:A,0),0),0)</f>
        <v>0</v>
      </c>
      <c r="K1317" s="444">
        <f t="shared" ca="1" si="108"/>
        <v>-326852.37098919862</v>
      </c>
      <c r="L1317" s="444">
        <f t="shared" ca="1" si="109"/>
        <v>-78771421.40839687</v>
      </c>
      <c r="M1317" s="460">
        <f t="shared" si="111"/>
        <v>0.05</v>
      </c>
      <c r="N1317" s="464">
        <f t="shared" si="112"/>
        <v>91129</v>
      </c>
    </row>
    <row r="1318" spans="7:14" ht="11.25" customHeight="1" x14ac:dyDescent="0.3">
      <c r="G1318" s="459"/>
      <c r="H1318" s="459">
        <v>1311</v>
      </c>
      <c r="I1318" s="444">
        <f t="shared" ca="1" si="110"/>
        <v>-78771421.40839687</v>
      </c>
      <c r="J1318" s="444">
        <f t="array" ref="J1318">IFERROR(INDEX('Retirement Calculator'!K:K,MATCH('Lorri 401b'!N1318,'Retirement Calculator'!A:A,0),0),0)</f>
        <v>0</v>
      </c>
      <c r="K1318" s="444">
        <f t="shared" ca="1" si="108"/>
        <v>-328214.2558683203</v>
      </c>
      <c r="L1318" s="444">
        <f t="shared" ca="1" si="109"/>
        <v>-79099635.664265186</v>
      </c>
      <c r="M1318" s="460">
        <f t="shared" si="111"/>
        <v>0.05</v>
      </c>
      <c r="N1318" s="464">
        <f t="shared" si="112"/>
        <v>91160</v>
      </c>
    </row>
    <row r="1319" spans="7:14" ht="11.25" customHeight="1" x14ac:dyDescent="0.3">
      <c r="G1319" s="459"/>
      <c r="H1319" s="459">
        <v>1312</v>
      </c>
      <c r="I1319" s="444">
        <f t="shared" ca="1" si="110"/>
        <v>-79099635.664265186</v>
      </c>
      <c r="J1319" s="444">
        <f t="array" ref="J1319">IFERROR(INDEX('Retirement Calculator'!K:K,MATCH('Lorri 401b'!N1319,'Retirement Calculator'!A:A,0),0),0)</f>
        <v>0</v>
      </c>
      <c r="K1319" s="444">
        <f t="shared" ca="1" si="108"/>
        <v>-329581.8152677716</v>
      </c>
      <c r="L1319" s="444">
        <f t="shared" ca="1" si="109"/>
        <v>-79429217.479532957</v>
      </c>
      <c r="M1319" s="460">
        <f t="shared" si="111"/>
        <v>0.05</v>
      </c>
      <c r="N1319" s="464">
        <f t="shared" si="112"/>
        <v>91191</v>
      </c>
    </row>
    <row r="1320" spans="7:14" ht="11.25" customHeight="1" x14ac:dyDescent="0.3">
      <c r="G1320" s="459"/>
      <c r="H1320" s="459">
        <v>1313</v>
      </c>
      <c r="I1320" s="444">
        <f t="shared" ca="1" si="110"/>
        <v>-79429217.479532957</v>
      </c>
      <c r="J1320" s="444">
        <f t="array" ref="J1320">IFERROR(INDEX('Retirement Calculator'!K:K,MATCH('Lorri 401b'!N1320,'Retirement Calculator'!A:A,0),0),0)</f>
        <v>0</v>
      </c>
      <c r="K1320" s="444">
        <f t="shared" ca="1" si="108"/>
        <v>-330955.07283138734</v>
      </c>
      <c r="L1320" s="444">
        <f t="shared" ca="1" si="109"/>
        <v>-79760172.552364349</v>
      </c>
      <c r="M1320" s="460">
        <f t="shared" si="111"/>
        <v>0.05</v>
      </c>
      <c r="N1320" s="464">
        <f t="shared" si="112"/>
        <v>91221</v>
      </c>
    </row>
    <row r="1321" spans="7:14" ht="11.25" customHeight="1" x14ac:dyDescent="0.3">
      <c r="G1321" s="459"/>
      <c r="H1321" s="459">
        <v>1314</v>
      </c>
      <c r="I1321" s="444">
        <f t="shared" ca="1" si="110"/>
        <v>-79760172.552364349</v>
      </c>
      <c r="J1321" s="444">
        <f t="array" ref="J1321">IFERROR(INDEX('Retirement Calculator'!K:K,MATCH('Lorri 401b'!N1321,'Retirement Calculator'!A:A,0),0),0)</f>
        <v>0</v>
      </c>
      <c r="K1321" s="444">
        <f t="shared" ca="1" si="108"/>
        <v>-332334.0523015181</v>
      </c>
      <c r="L1321" s="444">
        <f t="shared" ca="1" si="109"/>
        <v>-80092506.604665861</v>
      </c>
      <c r="M1321" s="460">
        <f t="shared" si="111"/>
        <v>0.05</v>
      </c>
      <c r="N1321" s="464">
        <f t="shared" si="112"/>
        <v>91252</v>
      </c>
    </row>
    <row r="1322" spans="7:14" ht="11.25" customHeight="1" x14ac:dyDescent="0.3">
      <c r="G1322" s="459"/>
      <c r="H1322" s="459">
        <v>1315</v>
      </c>
      <c r="I1322" s="444">
        <f t="shared" ca="1" si="110"/>
        <v>-80092506.604665861</v>
      </c>
      <c r="J1322" s="444">
        <f t="array" ref="J1322">IFERROR(INDEX('Retirement Calculator'!K:K,MATCH('Lorri 401b'!N1322,'Retirement Calculator'!A:A,0),0),0)</f>
        <v>0</v>
      </c>
      <c r="K1322" s="444">
        <f t="shared" ca="1" si="108"/>
        <v>-333718.77751944109</v>
      </c>
      <c r="L1322" s="444">
        <f t="shared" ca="1" si="109"/>
        <v>-80426225.382185295</v>
      </c>
      <c r="M1322" s="460">
        <f t="shared" si="111"/>
        <v>0.05</v>
      </c>
      <c r="N1322" s="464">
        <f t="shared" si="112"/>
        <v>91282</v>
      </c>
    </row>
    <row r="1323" spans="7:14" ht="11.25" customHeight="1" x14ac:dyDescent="0.3">
      <c r="G1323" s="459"/>
      <c r="H1323" s="459">
        <v>1316</v>
      </c>
      <c r="I1323" s="444">
        <f t="shared" ca="1" si="110"/>
        <v>-80426225.382185295</v>
      </c>
      <c r="J1323" s="444">
        <f t="array" ref="J1323">IFERROR(INDEX('Retirement Calculator'!K:K,MATCH('Lorri 401b'!N1323,'Retirement Calculator'!A:A,0),0),0)</f>
        <v>0</v>
      </c>
      <c r="K1323" s="444">
        <f t="shared" ca="1" si="108"/>
        <v>-335109.27242577204</v>
      </c>
      <c r="L1323" s="444">
        <f t="shared" ca="1" si="109"/>
        <v>-80761334.654611066</v>
      </c>
      <c r="M1323" s="460">
        <f t="shared" si="111"/>
        <v>0.05</v>
      </c>
      <c r="N1323" s="464">
        <f t="shared" si="112"/>
        <v>91313</v>
      </c>
    </row>
    <row r="1324" spans="7:14" ht="11.25" customHeight="1" x14ac:dyDescent="0.3">
      <c r="G1324" s="459"/>
      <c r="H1324" s="459">
        <v>1317</v>
      </c>
      <c r="I1324" s="444">
        <f t="shared" ca="1" si="110"/>
        <v>-80761334.654611066</v>
      </c>
      <c r="J1324" s="444">
        <f t="array" ref="J1324">IFERROR(INDEX('Retirement Calculator'!K:K,MATCH('Lorri 401b'!N1324,'Retirement Calculator'!A:A,0),0),0)</f>
        <v>0</v>
      </c>
      <c r="K1324" s="444">
        <f t="shared" ca="1" si="108"/>
        <v>-336505.56106087944</v>
      </c>
      <c r="L1324" s="444">
        <f t="shared" ca="1" si="109"/>
        <v>-81097840.215671942</v>
      </c>
      <c r="M1324" s="460">
        <f t="shared" si="111"/>
        <v>0.05</v>
      </c>
      <c r="N1324" s="464">
        <f t="shared" si="112"/>
        <v>91344</v>
      </c>
    </row>
    <row r="1325" spans="7:14" ht="11.25" customHeight="1" x14ac:dyDescent="0.3">
      <c r="G1325" s="459"/>
      <c r="H1325" s="459">
        <v>1318</v>
      </c>
      <c r="I1325" s="444">
        <f t="shared" ca="1" si="110"/>
        <v>-81097840.215671942</v>
      </c>
      <c r="J1325" s="444">
        <f t="array" ref="J1325">IFERROR(INDEX('Retirement Calculator'!K:K,MATCH('Lorri 401b'!N1325,'Retirement Calculator'!A:A,0),0),0)</f>
        <v>0</v>
      </c>
      <c r="K1325" s="444">
        <f t="shared" ca="1" si="108"/>
        <v>-337907.66756529978</v>
      </c>
      <c r="L1325" s="444">
        <f t="shared" ca="1" si="109"/>
        <v>-81435747.883237243</v>
      </c>
      <c r="M1325" s="460">
        <f t="shared" si="111"/>
        <v>0.05</v>
      </c>
      <c r="N1325" s="464">
        <f t="shared" si="112"/>
        <v>91372</v>
      </c>
    </row>
    <row r="1326" spans="7:14" ht="11.25" customHeight="1" x14ac:dyDescent="0.3">
      <c r="G1326" s="459"/>
      <c r="H1326" s="459">
        <v>1319</v>
      </c>
      <c r="I1326" s="444">
        <f t="shared" ca="1" si="110"/>
        <v>-81435747.883237243</v>
      </c>
      <c r="J1326" s="444">
        <f t="array" ref="J1326">IFERROR(INDEX('Retirement Calculator'!K:K,MATCH('Lorri 401b'!N1326,'Retirement Calculator'!A:A,0),0),0)</f>
        <v>0</v>
      </c>
      <c r="K1326" s="444">
        <f t="shared" ca="1" si="108"/>
        <v>-339315.61618015519</v>
      </c>
      <c r="L1326" s="444">
        <f t="shared" ca="1" si="109"/>
        <v>-81775063.499417394</v>
      </c>
      <c r="M1326" s="460">
        <f t="shared" si="111"/>
        <v>0.05</v>
      </c>
      <c r="N1326" s="464">
        <f t="shared" si="112"/>
        <v>91403</v>
      </c>
    </row>
    <row r="1327" spans="7:14" ht="11.25" customHeight="1" x14ac:dyDescent="0.3">
      <c r="G1327" s="459"/>
      <c r="H1327" s="459">
        <v>1320</v>
      </c>
      <c r="I1327" s="444">
        <f t="shared" ca="1" si="110"/>
        <v>-81775063.499417394</v>
      </c>
      <c r="J1327" s="444">
        <f t="array" ref="J1327">IFERROR(INDEX('Retirement Calculator'!K:K,MATCH('Lorri 401b'!N1327,'Retirement Calculator'!A:A,0),0),0)</f>
        <v>0</v>
      </c>
      <c r="K1327" s="444">
        <f t="shared" ca="1" si="108"/>
        <v>-340729.43124757247</v>
      </c>
      <c r="L1327" s="444">
        <f t="shared" ca="1" si="109"/>
        <v>-82115792.930664971</v>
      </c>
      <c r="M1327" s="460">
        <f t="shared" si="111"/>
        <v>0.05</v>
      </c>
      <c r="N1327" s="464">
        <f t="shared" si="112"/>
        <v>91433</v>
      </c>
    </row>
    <row r="1328" spans="7:14" ht="11.25" customHeight="1" x14ac:dyDescent="0.3">
      <c r="G1328" s="459"/>
      <c r="H1328" s="459">
        <v>1321</v>
      </c>
      <c r="I1328" s="444">
        <f t="shared" ca="1" si="110"/>
        <v>-82115792.930664971</v>
      </c>
      <c r="J1328" s="444">
        <f t="array" ref="J1328">IFERROR(INDEX('Retirement Calculator'!K:K,MATCH('Lorri 401b'!N1328,'Retirement Calculator'!A:A,0),0),0)</f>
        <v>0</v>
      </c>
      <c r="K1328" s="444">
        <f t="shared" ca="1" si="108"/>
        <v>-342149.13721110404</v>
      </c>
      <c r="L1328" s="444">
        <f t="shared" ca="1" si="109"/>
        <v>-82457942.067876071</v>
      </c>
      <c r="M1328" s="460">
        <f t="shared" si="111"/>
        <v>0.05</v>
      </c>
      <c r="N1328" s="464">
        <f t="shared" si="112"/>
        <v>91464</v>
      </c>
    </row>
    <row r="1329" spans="7:14" ht="11.25" customHeight="1" x14ac:dyDescent="0.3">
      <c r="G1329" s="459"/>
      <c r="H1329" s="459">
        <v>1322</v>
      </c>
      <c r="I1329" s="444">
        <f t="shared" ca="1" si="110"/>
        <v>-82457942.067876071</v>
      </c>
      <c r="J1329" s="444">
        <f t="array" ref="J1329">IFERROR(INDEX('Retirement Calculator'!K:K,MATCH('Lorri 401b'!N1329,'Retirement Calculator'!A:A,0),0),0)</f>
        <v>0</v>
      </c>
      <c r="K1329" s="444">
        <f t="shared" ca="1" si="108"/>
        <v>-343574.7586161503</v>
      </c>
      <c r="L1329" s="444">
        <f t="shared" ca="1" si="109"/>
        <v>-82801516.82649222</v>
      </c>
      <c r="M1329" s="460">
        <f t="shared" si="111"/>
        <v>0.05</v>
      </c>
      <c r="N1329" s="464">
        <f t="shared" si="112"/>
        <v>91494</v>
      </c>
    </row>
    <row r="1330" spans="7:14" ht="11.25" customHeight="1" x14ac:dyDescent="0.3">
      <c r="G1330" s="459"/>
      <c r="H1330" s="459">
        <v>1323</v>
      </c>
      <c r="I1330" s="444">
        <f t="shared" ca="1" si="110"/>
        <v>-82801516.82649222</v>
      </c>
      <c r="J1330" s="444">
        <f t="array" ref="J1330">IFERROR(INDEX('Retirement Calculator'!K:K,MATCH('Lorri 401b'!N1330,'Retirement Calculator'!A:A,0),0),0)</f>
        <v>0</v>
      </c>
      <c r="K1330" s="444">
        <f t="shared" ca="1" si="108"/>
        <v>-345006.32011038426</v>
      </c>
      <c r="L1330" s="444">
        <f t="shared" ca="1" si="109"/>
        <v>-83146523.146602601</v>
      </c>
      <c r="M1330" s="460">
        <f t="shared" si="111"/>
        <v>0.05</v>
      </c>
      <c r="N1330" s="464">
        <f t="shared" si="112"/>
        <v>91525</v>
      </c>
    </row>
    <row r="1331" spans="7:14" ht="11.25" customHeight="1" x14ac:dyDescent="0.3">
      <c r="G1331" s="459"/>
      <c r="H1331" s="459">
        <v>1324</v>
      </c>
      <c r="I1331" s="444">
        <f t="shared" ca="1" si="110"/>
        <v>-83146523.146602601</v>
      </c>
      <c r="J1331" s="444">
        <f t="array" ref="J1331">IFERROR(INDEX('Retirement Calculator'!K:K,MATCH('Lorri 401b'!N1331,'Retirement Calculator'!A:A,0),0),0)</f>
        <v>0</v>
      </c>
      <c r="K1331" s="444">
        <f t="shared" ca="1" si="108"/>
        <v>-346443.8464441775</v>
      </c>
      <c r="L1331" s="444">
        <f t="shared" ca="1" si="109"/>
        <v>-83492966.993046775</v>
      </c>
      <c r="M1331" s="460">
        <f t="shared" si="111"/>
        <v>0.05</v>
      </c>
      <c r="N1331" s="464">
        <f t="shared" si="112"/>
        <v>91556</v>
      </c>
    </row>
    <row r="1332" spans="7:14" ht="11.25" customHeight="1" x14ac:dyDescent="0.3">
      <c r="G1332" s="459"/>
      <c r="H1332" s="459">
        <v>1325</v>
      </c>
      <c r="I1332" s="444">
        <f t="shared" ca="1" si="110"/>
        <v>-83492966.993046775</v>
      </c>
      <c r="J1332" s="444">
        <f t="array" ref="J1332">IFERROR(INDEX('Retirement Calculator'!K:K,MATCH('Lorri 401b'!N1332,'Retirement Calculator'!A:A,0),0),0)</f>
        <v>0</v>
      </c>
      <c r="K1332" s="444">
        <f t="shared" ca="1" si="108"/>
        <v>-347887.36247102823</v>
      </c>
      <c r="L1332" s="444">
        <f t="shared" ca="1" si="109"/>
        <v>-83840854.355517805</v>
      </c>
      <c r="M1332" s="460">
        <f t="shared" si="111"/>
        <v>0.05</v>
      </c>
      <c r="N1332" s="464">
        <f t="shared" si="112"/>
        <v>91586</v>
      </c>
    </row>
    <row r="1333" spans="7:14" ht="11.25" customHeight="1" x14ac:dyDescent="0.3">
      <c r="G1333" s="459"/>
      <c r="H1333" s="459">
        <v>1326</v>
      </c>
      <c r="I1333" s="444">
        <f t="shared" ca="1" si="110"/>
        <v>-83840854.355517805</v>
      </c>
      <c r="J1333" s="444">
        <f t="array" ref="J1333">IFERROR(INDEX('Retirement Calculator'!K:K,MATCH('Lorri 401b'!N1333,'Retirement Calculator'!A:A,0),0),0)</f>
        <v>0</v>
      </c>
      <c r="K1333" s="444">
        <f t="shared" ca="1" si="108"/>
        <v>-349336.89314799086</v>
      </c>
      <c r="L1333" s="444">
        <f t="shared" ca="1" si="109"/>
        <v>-84190191.248665795</v>
      </c>
      <c r="M1333" s="460">
        <f t="shared" si="111"/>
        <v>0.05</v>
      </c>
      <c r="N1333" s="464">
        <f t="shared" si="112"/>
        <v>91617</v>
      </c>
    </row>
    <row r="1334" spans="7:14" ht="11.25" customHeight="1" x14ac:dyDescent="0.3">
      <c r="G1334" s="459"/>
      <c r="H1334" s="459">
        <v>1327</v>
      </c>
      <c r="I1334" s="444">
        <f t="shared" ca="1" si="110"/>
        <v>-84190191.248665795</v>
      </c>
      <c r="J1334" s="444">
        <f t="array" ref="J1334">IFERROR(INDEX('Retirement Calculator'!K:K,MATCH('Lorri 401b'!N1334,'Retirement Calculator'!A:A,0),0),0)</f>
        <v>0</v>
      </c>
      <c r="K1334" s="444">
        <f t="shared" ca="1" si="108"/>
        <v>-350792.46353610745</v>
      </c>
      <c r="L1334" s="444">
        <f t="shared" ca="1" si="109"/>
        <v>-84540983.712201908</v>
      </c>
      <c r="M1334" s="460">
        <f t="shared" si="111"/>
        <v>0.05</v>
      </c>
      <c r="N1334" s="464">
        <f t="shared" si="112"/>
        <v>91647</v>
      </c>
    </row>
    <row r="1335" spans="7:14" ht="11.25" customHeight="1" x14ac:dyDescent="0.3">
      <c r="G1335" s="459"/>
      <c r="H1335" s="459">
        <v>1328</v>
      </c>
      <c r="I1335" s="444">
        <f t="shared" ca="1" si="110"/>
        <v>-84540983.712201908</v>
      </c>
      <c r="J1335" s="444">
        <f t="array" ref="J1335">IFERROR(INDEX('Retirement Calculator'!K:K,MATCH('Lorri 401b'!N1335,'Retirement Calculator'!A:A,0),0),0)</f>
        <v>0</v>
      </c>
      <c r="K1335" s="444">
        <f t="shared" ca="1" si="108"/>
        <v>-352254.09880084125</v>
      </c>
      <c r="L1335" s="444">
        <f t="shared" ca="1" si="109"/>
        <v>-84893237.811002746</v>
      </c>
      <c r="M1335" s="460">
        <f t="shared" si="111"/>
        <v>0.05</v>
      </c>
      <c r="N1335" s="464">
        <f t="shared" si="112"/>
        <v>91678</v>
      </c>
    </row>
    <row r="1336" spans="7:14" ht="11.25" customHeight="1" x14ac:dyDescent="0.3">
      <c r="G1336" s="459"/>
      <c r="H1336" s="459">
        <v>1329</v>
      </c>
      <c r="I1336" s="444">
        <f t="shared" ca="1" si="110"/>
        <v>-84893237.811002746</v>
      </c>
      <c r="J1336" s="444">
        <f t="array" ref="J1336">IFERROR(INDEX('Retirement Calculator'!K:K,MATCH('Lorri 401b'!N1336,'Retirement Calculator'!A:A,0),0),0)</f>
        <v>0</v>
      </c>
      <c r="K1336" s="444">
        <f t="shared" ca="1" si="108"/>
        <v>-353721.82421251142</v>
      </c>
      <c r="L1336" s="444">
        <f t="shared" ca="1" si="109"/>
        <v>-85246959.635215253</v>
      </c>
      <c r="M1336" s="460">
        <f t="shared" si="111"/>
        <v>0.05</v>
      </c>
      <c r="N1336" s="464">
        <f t="shared" si="112"/>
        <v>91709</v>
      </c>
    </row>
    <row r="1337" spans="7:14" ht="11.25" customHeight="1" x14ac:dyDescent="0.3">
      <c r="G1337" s="459"/>
      <c r="H1337" s="459">
        <v>1330</v>
      </c>
      <c r="I1337" s="444">
        <f t="shared" ca="1" si="110"/>
        <v>-85246959.635215253</v>
      </c>
      <c r="J1337" s="444">
        <f t="array" ref="J1337">IFERROR(INDEX('Retirement Calculator'!K:K,MATCH('Lorri 401b'!N1337,'Retirement Calculator'!A:A,0),0),0)</f>
        <v>0</v>
      </c>
      <c r="K1337" s="444">
        <f t="shared" ca="1" si="108"/>
        <v>-355195.6651467302</v>
      </c>
      <c r="L1337" s="444">
        <f t="shared" ca="1" si="109"/>
        <v>-85602155.300361976</v>
      </c>
      <c r="M1337" s="460">
        <f t="shared" si="111"/>
        <v>0.05</v>
      </c>
      <c r="N1337" s="464">
        <f t="shared" si="112"/>
        <v>91737</v>
      </c>
    </row>
    <row r="1338" spans="7:14" ht="11.25" customHeight="1" x14ac:dyDescent="0.3">
      <c r="G1338" s="459"/>
      <c r="H1338" s="459">
        <v>1331</v>
      </c>
      <c r="I1338" s="444">
        <f t="shared" ca="1" si="110"/>
        <v>-85602155.300361976</v>
      </c>
      <c r="J1338" s="444">
        <f t="array" ref="J1338">IFERROR(INDEX('Retirement Calculator'!K:K,MATCH('Lorri 401b'!N1338,'Retirement Calculator'!A:A,0),0),0)</f>
        <v>0</v>
      </c>
      <c r="K1338" s="444">
        <f t="shared" ca="1" si="108"/>
        <v>-356675.64708484156</v>
      </c>
      <c r="L1338" s="444">
        <f t="shared" ca="1" si="109"/>
        <v>-85958830.947446823</v>
      </c>
      <c r="M1338" s="460">
        <f t="shared" si="111"/>
        <v>0.05</v>
      </c>
      <c r="N1338" s="464">
        <f t="shared" si="112"/>
        <v>91768</v>
      </c>
    </row>
    <row r="1339" spans="7:14" ht="11.25" customHeight="1" x14ac:dyDescent="0.3">
      <c r="G1339" s="459"/>
      <c r="H1339" s="459">
        <v>1332</v>
      </c>
      <c r="I1339" s="444">
        <f t="shared" ca="1" si="110"/>
        <v>-85958830.947446823</v>
      </c>
      <c r="J1339" s="444">
        <f t="array" ref="J1339">IFERROR(INDEX('Retirement Calculator'!K:K,MATCH('Lorri 401b'!N1339,'Retirement Calculator'!A:A,0),0),0)</f>
        <v>0</v>
      </c>
      <c r="K1339" s="444">
        <f t="shared" ca="1" si="108"/>
        <v>-358161.79561436176</v>
      </c>
      <c r="L1339" s="444">
        <f t="shared" ca="1" si="109"/>
        <v>-86316992.743061185</v>
      </c>
      <c r="M1339" s="460">
        <f t="shared" si="111"/>
        <v>0.05</v>
      </c>
      <c r="N1339" s="464">
        <f t="shared" si="112"/>
        <v>91798</v>
      </c>
    </row>
    <row r="1340" spans="7:14" ht="11.25" customHeight="1" x14ac:dyDescent="0.3">
      <c r="G1340" s="459"/>
      <c r="H1340" s="459">
        <v>1333</v>
      </c>
      <c r="I1340" s="444">
        <f t="shared" ca="1" si="110"/>
        <v>-86316992.743061185</v>
      </c>
      <c r="J1340" s="444">
        <f t="array" ref="J1340">IFERROR(INDEX('Retirement Calculator'!K:K,MATCH('Lorri 401b'!N1340,'Retirement Calculator'!A:A,0),0),0)</f>
        <v>0</v>
      </c>
      <c r="K1340" s="444">
        <f t="shared" ca="1" si="108"/>
        <v>-359654.1364294216</v>
      </c>
      <c r="L1340" s="444">
        <f t="shared" ca="1" si="109"/>
        <v>-86676646.879490614</v>
      </c>
      <c r="M1340" s="460">
        <f t="shared" si="111"/>
        <v>0.05</v>
      </c>
      <c r="N1340" s="464">
        <f t="shared" si="112"/>
        <v>91829</v>
      </c>
    </row>
    <row r="1341" spans="7:14" ht="11.25" customHeight="1" x14ac:dyDescent="0.3">
      <c r="G1341" s="459"/>
      <c r="H1341" s="459">
        <v>1334</v>
      </c>
      <c r="I1341" s="444">
        <f t="shared" ca="1" si="110"/>
        <v>-86676646.879490614</v>
      </c>
      <c r="J1341" s="444">
        <f t="array" ref="J1341">IFERROR(INDEX('Retirement Calculator'!K:K,MATCH('Lorri 401b'!N1341,'Retirement Calculator'!A:A,0),0),0)</f>
        <v>0</v>
      </c>
      <c r="K1341" s="444">
        <f t="shared" ca="1" si="108"/>
        <v>-361152.69533121091</v>
      </c>
      <c r="L1341" s="444">
        <f t="shared" ca="1" si="109"/>
        <v>-87037799.57482183</v>
      </c>
      <c r="M1341" s="460">
        <f t="shared" si="111"/>
        <v>0.05</v>
      </c>
      <c r="N1341" s="464">
        <f t="shared" si="112"/>
        <v>91859</v>
      </c>
    </row>
    <row r="1342" spans="7:14" ht="11.25" customHeight="1" x14ac:dyDescent="0.3">
      <c r="G1342" s="459"/>
      <c r="H1342" s="459">
        <v>1335</v>
      </c>
      <c r="I1342" s="444">
        <f t="shared" ca="1" si="110"/>
        <v>-87037799.57482183</v>
      </c>
      <c r="J1342" s="444">
        <f t="array" ref="J1342">IFERROR(INDEX('Retirement Calculator'!K:K,MATCH('Lorri 401b'!N1342,'Retirement Calculator'!A:A,0),0),0)</f>
        <v>0</v>
      </c>
      <c r="K1342" s="444">
        <f t="shared" ca="1" si="108"/>
        <v>-362657.49822842429</v>
      </c>
      <c r="L1342" s="444">
        <f t="shared" ca="1" si="109"/>
        <v>-87400457.073050261</v>
      </c>
      <c r="M1342" s="460">
        <f t="shared" si="111"/>
        <v>0.05</v>
      </c>
      <c r="N1342" s="464">
        <f t="shared" si="112"/>
        <v>91890</v>
      </c>
    </row>
    <row r="1343" spans="7:14" ht="11.25" customHeight="1" x14ac:dyDescent="0.3">
      <c r="G1343" s="459"/>
      <c r="H1343" s="459">
        <v>1336</v>
      </c>
      <c r="I1343" s="444">
        <f t="shared" ca="1" si="110"/>
        <v>-87400457.073050261</v>
      </c>
      <c r="J1343" s="444">
        <f t="array" ref="J1343">IFERROR(INDEX('Retirement Calculator'!K:K,MATCH('Lorri 401b'!N1343,'Retirement Calculator'!A:A,0),0),0)</f>
        <v>0</v>
      </c>
      <c r="K1343" s="444">
        <f t="shared" ca="1" si="108"/>
        <v>-364168.57113770943</v>
      </c>
      <c r="L1343" s="444">
        <f t="shared" ca="1" si="109"/>
        <v>-87764625.644187972</v>
      </c>
      <c r="M1343" s="460">
        <f t="shared" si="111"/>
        <v>0.05</v>
      </c>
      <c r="N1343" s="464">
        <f t="shared" si="112"/>
        <v>91921</v>
      </c>
    </row>
    <row r="1344" spans="7:14" ht="11.25" customHeight="1" x14ac:dyDescent="0.3">
      <c r="G1344" s="459"/>
      <c r="H1344" s="459">
        <v>1337</v>
      </c>
      <c r="I1344" s="444">
        <f t="shared" ca="1" si="110"/>
        <v>-87764625.644187972</v>
      </c>
      <c r="J1344" s="444">
        <f t="array" ref="J1344">IFERROR(INDEX('Retirement Calculator'!K:K,MATCH('Lorri 401b'!N1344,'Retirement Calculator'!A:A,0),0),0)</f>
        <v>0</v>
      </c>
      <c r="K1344" s="444">
        <f t="shared" ca="1" si="108"/>
        <v>-365685.94018411654</v>
      </c>
      <c r="L1344" s="444">
        <f t="shared" ca="1" si="109"/>
        <v>-88130311.584372088</v>
      </c>
      <c r="M1344" s="460">
        <f t="shared" si="111"/>
        <v>0.05</v>
      </c>
      <c r="N1344" s="464">
        <f t="shared" si="112"/>
        <v>91951</v>
      </c>
    </row>
    <row r="1345" spans="7:14" ht="11.25" customHeight="1" x14ac:dyDescent="0.3">
      <c r="G1345" s="459"/>
      <c r="H1345" s="459">
        <v>1338</v>
      </c>
      <c r="I1345" s="444">
        <f t="shared" ca="1" si="110"/>
        <v>-88130311.584372088</v>
      </c>
      <c r="J1345" s="444">
        <f t="array" ref="J1345">IFERROR(INDEX('Retirement Calculator'!K:K,MATCH('Lorri 401b'!N1345,'Retirement Calculator'!A:A,0),0),0)</f>
        <v>0</v>
      </c>
      <c r="K1345" s="444">
        <f t="shared" ca="1" si="108"/>
        <v>-367209.63160155038</v>
      </c>
      <c r="L1345" s="444">
        <f t="shared" ca="1" si="109"/>
        <v>-88497521.215973645</v>
      </c>
      <c r="M1345" s="460">
        <f t="shared" si="111"/>
        <v>0.05</v>
      </c>
      <c r="N1345" s="464">
        <f t="shared" si="112"/>
        <v>91982</v>
      </c>
    </row>
    <row r="1346" spans="7:14" ht="11.25" customHeight="1" x14ac:dyDescent="0.3">
      <c r="G1346" s="459"/>
      <c r="H1346" s="459">
        <v>1339</v>
      </c>
      <c r="I1346" s="444">
        <f t="shared" ca="1" si="110"/>
        <v>-88497521.215973645</v>
      </c>
      <c r="J1346" s="444">
        <f t="array" ref="J1346">IFERROR(INDEX('Retirement Calculator'!K:K,MATCH('Lorri 401b'!N1346,'Retirement Calculator'!A:A,0),0),0)</f>
        <v>0</v>
      </c>
      <c r="K1346" s="444">
        <f t="shared" ca="1" si="108"/>
        <v>-368739.67173322354</v>
      </c>
      <c r="L1346" s="444">
        <f t="shared" ca="1" si="109"/>
        <v>-88866260.887706876</v>
      </c>
      <c r="M1346" s="460">
        <f t="shared" si="111"/>
        <v>0.05</v>
      </c>
      <c r="N1346" s="464">
        <f t="shared" si="112"/>
        <v>92012</v>
      </c>
    </row>
    <row r="1347" spans="7:14" ht="11.25" customHeight="1" x14ac:dyDescent="0.3">
      <c r="G1347" s="459"/>
      <c r="H1347" s="459">
        <v>1340</v>
      </c>
      <c r="I1347" s="444">
        <f t="shared" ca="1" si="110"/>
        <v>-88866260.887706876</v>
      </c>
      <c r="J1347" s="444">
        <f t="array" ref="J1347">IFERROR(INDEX('Retirement Calculator'!K:K,MATCH('Lorri 401b'!N1347,'Retirement Calculator'!A:A,0),0),0)</f>
        <v>0</v>
      </c>
      <c r="K1347" s="444">
        <f t="shared" ca="1" si="108"/>
        <v>-370276.087032112</v>
      </c>
      <c r="L1347" s="444">
        <f t="shared" ca="1" si="109"/>
        <v>-89236536.974738985</v>
      </c>
      <c r="M1347" s="460">
        <f t="shared" si="111"/>
        <v>0.05</v>
      </c>
      <c r="N1347" s="464">
        <f t="shared" si="112"/>
        <v>92043</v>
      </c>
    </row>
    <row r="1348" spans="7:14" ht="11.25" customHeight="1" x14ac:dyDescent="0.3">
      <c r="G1348" s="459"/>
      <c r="H1348" s="459">
        <v>1341</v>
      </c>
      <c r="I1348" s="444">
        <f t="shared" ca="1" si="110"/>
        <v>-89236536.974738985</v>
      </c>
      <c r="J1348" s="444">
        <f t="array" ref="J1348">IFERROR(INDEX('Retirement Calculator'!K:K,MATCH('Lorri 401b'!N1348,'Retirement Calculator'!A:A,0),0),0)</f>
        <v>0</v>
      </c>
      <c r="K1348" s="444">
        <f t="shared" ca="1" si="108"/>
        <v>-371818.90406141244</v>
      </c>
      <c r="L1348" s="444">
        <f t="shared" ca="1" si="109"/>
        <v>-89608355.878800392</v>
      </c>
      <c r="M1348" s="460">
        <f t="shared" si="111"/>
        <v>0.05</v>
      </c>
      <c r="N1348" s="464">
        <f t="shared" si="112"/>
        <v>92074</v>
      </c>
    </row>
    <row r="1349" spans="7:14" ht="11.25" customHeight="1" x14ac:dyDescent="0.3">
      <c r="G1349" s="459"/>
      <c r="H1349" s="459">
        <v>1342</v>
      </c>
      <c r="I1349" s="444">
        <f t="shared" ca="1" si="110"/>
        <v>-89608355.878800392</v>
      </c>
      <c r="J1349" s="444">
        <f t="array" ref="J1349">IFERROR(INDEX('Retirement Calculator'!K:K,MATCH('Lorri 401b'!N1349,'Retirement Calculator'!A:A,0),0),0)</f>
        <v>0</v>
      </c>
      <c r="K1349" s="444">
        <f t="shared" ca="1" si="108"/>
        <v>-373368.14949500165</v>
      </c>
      <c r="L1349" s="444">
        <f t="shared" ca="1" si="109"/>
        <v>-89981724.028295398</v>
      </c>
      <c r="M1349" s="460">
        <f t="shared" si="111"/>
        <v>0.05</v>
      </c>
      <c r="N1349" s="464">
        <f t="shared" si="112"/>
        <v>92103</v>
      </c>
    </row>
    <row r="1350" spans="7:14" ht="11.25" customHeight="1" x14ac:dyDescent="0.3">
      <c r="G1350" s="459"/>
      <c r="H1350" s="459">
        <v>1343</v>
      </c>
      <c r="I1350" s="444">
        <f t="shared" ca="1" si="110"/>
        <v>-89981724.028295398</v>
      </c>
      <c r="J1350" s="444">
        <f t="array" ref="J1350">IFERROR(INDEX('Retirement Calculator'!K:K,MATCH('Lorri 401b'!N1350,'Retirement Calculator'!A:A,0),0),0)</f>
        <v>0</v>
      </c>
      <c r="K1350" s="444">
        <f t="shared" ca="1" si="108"/>
        <v>-374923.8501178975</v>
      </c>
      <c r="L1350" s="444">
        <f t="shared" ca="1" si="109"/>
        <v>-90356647.87841329</v>
      </c>
      <c r="M1350" s="460">
        <f t="shared" si="111"/>
        <v>0.05</v>
      </c>
      <c r="N1350" s="464">
        <f t="shared" si="112"/>
        <v>92134</v>
      </c>
    </row>
    <row r="1351" spans="7:14" ht="11.25" customHeight="1" x14ac:dyDescent="0.3">
      <c r="G1351" s="459"/>
      <c r="H1351" s="459">
        <v>1344</v>
      </c>
      <c r="I1351" s="444">
        <f t="shared" ca="1" si="110"/>
        <v>-90356647.87841329</v>
      </c>
      <c r="J1351" s="444">
        <f t="array" ref="J1351">IFERROR(INDEX('Retirement Calculator'!K:K,MATCH('Lorri 401b'!N1351,'Retirement Calculator'!A:A,0),0),0)</f>
        <v>0</v>
      </c>
      <c r="K1351" s="444">
        <f t="shared" ca="1" si="108"/>
        <v>-376486.03282672202</v>
      </c>
      <c r="L1351" s="444">
        <f t="shared" ca="1" si="109"/>
        <v>-90733133.911240011</v>
      </c>
      <c r="M1351" s="460">
        <f t="shared" si="111"/>
        <v>0.05</v>
      </c>
      <c r="N1351" s="464">
        <f t="shared" si="112"/>
        <v>92164</v>
      </c>
    </row>
    <row r="1352" spans="7:14" ht="11.25" customHeight="1" x14ac:dyDescent="0.3">
      <c r="G1352" s="459"/>
      <c r="H1352" s="459">
        <v>1345</v>
      </c>
      <c r="I1352" s="444">
        <f t="shared" ca="1" si="110"/>
        <v>-90733133.911240011</v>
      </c>
      <c r="J1352" s="444">
        <f t="array" ref="J1352">IFERROR(INDEX('Retirement Calculator'!K:K,MATCH('Lorri 401b'!N1352,'Retirement Calculator'!A:A,0),0),0)</f>
        <v>0</v>
      </c>
      <c r="K1352" s="444">
        <f t="shared" ca="1" si="108"/>
        <v>-378054.72463016672</v>
      </c>
      <c r="L1352" s="444">
        <f t="shared" ca="1" si="109"/>
        <v>-91111188.635870174</v>
      </c>
      <c r="M1352" s="460">
        <f t="shared" si="111"/>
        <v>0.05</v>
      </c>
      <c r="N1352" s="464">
        <f t="shared" si="112"/>
        <v>92195</v>
      </c>
    </row>
    <row r="1353" spans="7:14" ht="11.25" customHeight="1" x14ac:dyDescent="0.3">
      <c r="G1353" s="459"/>
      <c r="H1353" s="459">
        <v>1346</v>
      </c>
      <c r="I1353" s="444">
        <f t="shared" ca="1" si="110"/>
        <v>-91111188.635870174</v>
      </c>
      <c r="J1353" s="444">
        <f t="array" ref="J1353">IFERROR(INDEX('Retirement Calculator'!K:K,MATCH('Lorri 401b'!N1353,'Retirement Calculator'!A:A,0),0),0)</f>
        <v>0</v>
      </c>
      <c r="K1353" s="444">
        <f t="shared" ca="1" si="108"/>
        <v>-379629.95264945907</v>
      </c>
      <c r="L1353" s="444">
        <f t="shared" ca="1" si="109"/>
        <v>-91490818.588519633</v>
      </c>
      <c r="M1353" s="460">
        <f t="shared" si="111"/>
        <v>0.05</v>
      </c>
      <c r="N1353" s="464">
        <f t="shared" si="112"/>
        <v>92225</v>
      </c>
    </row>
    <row r="1354" spans="7:14" ht="11.25" customHeight="1" x14ac:dyDescent="0.3">
      <c r="G1354" s="459"/>
      <c r="H1354" s="459">
        <v>1347</v>
      </c>
      <c r="I1354" s="444">
        <f t="shared" ca="1" si="110"/>
        <v>-91490818.588519633</v>
      </c>
      <c r="J1354" s="444">
        <f t="array" ref="J1354">IFERROR(INDEX('Retirement Calculator'!K:K,MATCH('Lorri 401b'!N1354,'Retirement Calculator'!A:A,0),0),0)</f>
        <v>0</v>
      </c>
      <c r="K1354" s="444">
        <f t="shared" ca="1" si="108"/>
        <v>-381211.74411883182</v>
      </c>
      <c r="L1354" s="444">
        <f t="shared" ca="1" si="109"/>
        <v>-91872030.332638457</v>
      </c>
      <c r="M1354" s="460">
        <f t="shared" si="111"/>
        <v>0.05</v>
      </c>
      <c r="N1354" s="464">
        <f t="shared" si="112"/>
        <v>92256</v>
      </c>
    </row>
    <row r="1355" spans="7:14" ht="11.25" customHeight="1" x14ac:dyDescent="0.3">
      <c r="G1355" s="459"/>
      <c r="H1355" s="459">
        <v>1348</v>
      </c>
      <c r="I1355" s="444">
        <f t="shared" ca="1" si="110"/>
        <v>-91872030.332638457</v>
      </c>
      <c r="J1355" s="444">
        <f t="array" ref="J1355">IFERROR(INDEX('Retirement Calculator'!K:K,MATCH('Lorri 401b'!N1355,'Retirement Calculator'!A:A,0),0),0)</f>
        <v>0</v>
      </c>
      <c r="K1355" s="444">
        <f t="shared" ca="1" si="108"/>
        <v>-382800.12638599356</v>
      </c>
      <c r="L1355" s="444">
        <f t="shared" ca="1" si="109"/>
        <v>-92254830.459024444</v>
      </c>
      <c r="M1355" s="460">
        <f t="shared" si="111"/>
        <v>0.05</v>
      </c>
      <c r="N1355" s="464">
        <f t="shared" si="112"/>
        <v>92287</v>
      </c>
    </row>
    <row r="1356" spans="7:14" ht="11.25" customHeight="1" x14ac:dyDescent="0.3">
      <c r="G1356" s="459"/>
      <c r="H1356" s="459">
        <v>1349</v>
      </c>
      <c r="I1356" s="444">
        <f t="shared" ca="1" si="110"/>
        <v>-92254830.459024444</v>
      </c>
      <c r="J1356" s="444">
        <f t="array" ref="J1356">IFERROR(INDEX('Retirement Calculator'!K:K,MATCH('Lorri 401b'!N1356,'Retirement Calculator'!A:A,0),0),0)</f>
        <v>0</v>
      </c>
      <c r="K1356" s="444">
        <f t="shared" ca="1" si="108"/>
        <v>-384395.12691260187</v>
      </c>
      <c r="L1356" s="444">
        <f t="shared" ca="1" si="109"/>
        <v>-92639225.585937053</v>
      </c>
      <c r="M1356" s="460">
        <f t="shared" si="111"/>
        <v>0.05</v>
      </c>
      <c r="N1356" s="464">
        <f t="shared" si="112"/>
        <v>92317</v>
      </c>
    </row>
    <row r="1357" spans="7:14" ht="11.25" customHeight="1" x14ac:dyDescent="0.3">
      <c r="G1357" s="459"/>
      <c r="H1357" s="459">
        <v>1350</v>
      </c>
      <c r="I1357" s="444">
        <f t="shared" ca="1" si="110"/>
        <v>-92639225.585937053</v>
      </c>
      <c r="J1357" s="444">
        <f t="array" ref="J1357">IFERROR(INDEX('Retirement Calculator'!K:K,MATCH('Lorri 401b'!N1357,'Retirement Calculator'!A:A,0),0),0)</f>
        <v>0</v>
      </c>
      <c r="K1357" s="444">
        <f t="shared" ca="1" si="108"/>
        <v>-385996.7732747377</v>
      </c>
      <c r="L1357" s="444">
        <f t="shared" ca="1" si="109"/>
        <v>-93025222.359211788</v>
      </c>
      <c r="M1357" s="460">
        <f t="shared" si="111"/>
        <v>0.05</v>
      </c>
      <c r="N1357" s="464">
        <f t="shared" si="112"/>
        <v>92348</v>
      </c>
    </row>
    <row r="1358" spans="7:14" ht="11.25" customHeight="1" x14ac:dyDescent="0.3">
      <c r="G1358" s="459"/>
      <c r="H1358" s="459">
        <v>1351</v>
      </c>
      <c r="I1358" s="444">
        <f t="shared" ca="1" si="110"/>
        <v>-93025222.359211788</v>
      </c>
      <c r="J1358" s="444">
        <f t="array" ref="J1358">IFERROR(INDEX('Retirement Calculator'!K:K,MATCH('Lorri 401b'!N1358,'Retirement Calculator'!A:A,0),0),0)</f>
        <v>0</v>
      </c>
      <c r="K1358" s="444">
        <f t="shared" ca="1" si="108"/>
        <v>-387605.09316338244</v>
      </c>
      <c r="L1358" s="444">
        <f t="shared" ca="1" si="109"/>
        <v>-93412827.452375174</v>
      </c>
      <c r="M1358" s="460">
        <f t="shared" si="111"/>
        <v>0.05</v>
      </c>
      <c r="N1358" s="464">
        <f t="shared" si="112"/>
        <v>92378</v>
      </c>
    </row>
    <row r="1359" spans="7:14" ht="11.25" customHeight="1" x14ac:dyDescent="0.3">
      <c r="G1359" s="459"/>
      <c r="H1359" s="459">
        <v>1352</v>
      </c>
      <c r="I1359" s="444">
        <f t="shared" ca="1" si="110"/>
        <v>-93412827.452375174</v>
      </c>
      <c r="J1359" s="444">
        <f t="array" ref="J1359">IFERROR(INDEX('Retirement Calculator'!K:K,MATCH('Lorri 401b'!N1359,'Retirement Calculator'!A:A,0),0),0)</f>
        <v>0</v>
      </c>
      <c r="K1359" s="444">
        <f t="shared" ca="1" si="108"/>
        <v>-389220.11438489653</v>
      </c>
      <c r="L1359" s="444">
        <f t="shared" ca="1" si="109"/>
        <v>-93802047.566760063</v>
      </c>
      <c r="M1359" s="460">
        <f t="shared" si="111"/>
        <v>0.05</v>
      </c>
      <c r="N1359" s="464">
        <f t="shared" si="112"/>
        <v>92409</v>
      </c>
    </row>
    <row r="1360" spans="7:14" ht="11.25" customHeight="1" x14ac:dyDescent="0.3">
      <c r="G1360" s="459"/>
      <c r="H1360" s="459">
        <v>1353</v>
      </c>
      <c r="I1360" s="444">
        <f t="shared" ca="1" si="110"/>
        <v>-93802047.566760063</v>
      </c>
      <c r="J1360" s="444">
        <f t="array" ref="J1360">IFERROR(INDEX('Retirement Calculator'!K:K,MATCH('Lorri 401b'!N1360,'Retirement Calculator'!A:A,0),0),0)</f>
        <v>0</v>
      </c>
      <c r="K1360" s="444">
        <f t="shared" ca="1" si="108"/>
        <v>-390841.86486150027</v>
      </c>
      <c r="L1360" s="444">
        <f t="shared" ca="1" si="109"/>
        <v>-94192889.431621566</v>
      </c>
      <c r="M1360" s="460">
        <f t="shared" si="111"/>
        <v>0.05</v>
      </c>
      <c r="N1360" s="464">
        <f t="shared" si="112"/>
        <v>92440</v>
      </c>
    </row>
    <row r="1361" spans="7:14" ht="11.25" customHeight="1" x14ac:dyDescent="0.3">
      <c r="G1361" s="459"/>
      <c r="H1361" s="459">
        <v>1354</v>
      </c>
      <c r="I1361" s="444">
        <f t="shared" ca="1" si="110"/>
        <v>-94192889.431621566</v>
      </c>
      <c r="J1361" s="444">
        <f t="array" ref="J1361">IFERROR(INDEX('Retirement Calculator'!K:K,MATCH('Lorri 401b'!N1361,'Retirement Calculator'!A:A,0),0),0)</f>
        <v>0</v>
      </c>
      <c r="K1361" s="444">
        <f t="shared" ca="1" si="108"/>
        <v>-392470.37263175653</v>
      </c>
      <c r="L1361" s="444">
        <f t="shared" ca="1" si="109"/>
        <v>-94585359.804253325</v>
      </c>
      <c r="M1361" s="460">
        <f t="shared" si="111"/>
        <v>0.05</v>
      </c>
      <c r="N1361" s="464">
        <f t="shared" si="112"/>
        <v>92468</v>
      </c>
    </row>
    <row r="1362" spans="7:14" ht="11.25" customHeight="1" x14ac:dyDescent="0.3">
      <c r="G1362" s="459"/>
      <c r="H1362" s="459">
        <v>1355</v>
      </c>
      <c r="I1362" s="444">
        <f t="shared" ca="1" si="110"/>
        <v>-94585359.804253325</v>
      </c>
      <c r="J1362" s="444">
        <f t="array" ref="J1362">IFERROR(INDEX('Retirement Calculator'!K:K,MATCH('Lorri 401b'!N1362,'Retirement Calculator'!A:A,0),0),0)</f>
        <v>0</v>
      </c>
      <c r="K1362" s="444">
        <f t="shared" ca="1" si="108"/>
        <v>-394105.66585105553</v>
      </c>
      <c r="L1362" s="444">
        <f t="shared" ca="1" si="109"/>
        <v>-94979465.470104381</v>
      </c>
      <c r="M1362" s="460">
        <f t="shared" si="111"/>
        <v>0.05</v>
      </c>
      <c r="N1362" s="464">
        <f t="shared" si="112"/>
        <v>92499</v>
      </c>
    </row>
    <row r="1363" spans="7:14" ht="11.25" customHeight="1" x14ac:dyDescent="0.3">
      <c r="G1363" s="459"/>
      <c r="H1363" s="459">
        <v>1356</v>
      </c>
      <c r="I1363" s="444">
        <f t="shared" ca="1" si="110"/>
        <v>-94979465.470104381</v>
      </c>
      <c r="J1363" s="444">
        <f t="array" ref="J1363">IFERROR(INDEX('Retirement Calculator'!K:K,MATCH('Lorri 401b'!N1363,'Retirement Calculator'!A:A,0),0),0)</f>
        <v>0</v>
      </c>
      <c r="K1363" s="444">
        <f t="shared" ca="1" si="108"/>
        <v>-395747.7727921016</v>
      </c>
      <c r="L1363" s="444">
        <f t="shared" ca="1" si="109"/>
        <v>-95375213.242896482</v>
      </c>
      <c r="M1363" s="460">
        <f t="shared" si="111"/>
        <v>0.05</v>
      </c>
      <c r="N1363" s="464">
        <f t="shared" si="112"/>
        <v>92529</v>
      </c>
    </row>
    <row r="1364" spans="7:14" ht="11.25" customHeight="1" x14ac:dyDescent="0.3">
      <c r="G1364" s="459"/>
      <c r="H1364" s="459">
        <v>1357</v>
      </c>
      <c r="I1364" s="444">
        <f t="shared" ca="1" si="110"/>
        <v>-95375213.242896482</v>
      </c>
      <c r="J1364" s="444">
        <f t="array" ref="J1364">IFERROR(INDEX('Retirement Calculator'!K:K,MATCH('Lorri 401b'!N1364,'Retirement Calculator'!A:A,0),0),0)</f>
        <v>0</v>
      </c>
      <c r="K1364" s="444">
        <f t="shared" ca="1" si="108"/>
        <v>-397396.72184540203</v>
      </c>
      <c r="L1364" s="444">
        <f t="shared" ca="1" si="109"/>
        <v>-95772609.964741886</v>
      </c>
      <c r="M1364" s="460">
        <f t="shared" si="111"/>
        <v>0.05</v>
      </c>
      <c r="N1364" s="464">
        <f t="shared" si="112"/>
        <v>92560</v>
      </c>
    </row>
    <row r="1365" spans="7:14" ht="11.25" customHeight="1" x14ac:dyDescent="0.3">
      <c r="G1365" s="459"/>
      <c r="H1365" s="459">
        <v>1358</v>
      </c>
      <c r="I1365" s="444">
        <f t="shared" ca="1" si="110"/>
        <v>-95772609.964741886</v>
      </c>
      <c r="J1365" s="444">
        <f t="array" ref="J1365">IFERROR(INDEX('Retirement Calculator'!K:K,MATCH('Lorri 401b'!N1365,'Retirement Calculator'!A:A,0),0),0)</f>
        <v>0</v>
      </c>
      <c r="K1365" s="444">
        <f t="shared" ca="1" si="108"/>
        <v>-399052.54151975783</v>
      </c>
      <c r="L1365" s="444">
        <f t="shared" ca="1" si="109"/>
        <v>-96171662.506261647</v>
      </c>
      <c r="M1365" s="460">
        <f t="shared" si="111"/>
        <v>0.05</v>
      </c>
      <c r="N1365" s="464">
        <f t="shared" si="112"/>
        <v>92590</v>
      </c>
    </row>
    <row r="1366" spans="7:14" ht="11.25" customHeight="1" x14ac:dyDescent="0.3">
      <c r="G1366" s="459"/>
      <c r="H1366" s="459">
        <v>1359</v>
      </c>
      <c r="I1366" s="444">
        <f t="shared" ca="1" si="110"/>
        <v>-96171662.506261647</v>
      </c>
      <c r="J1366" s="444">
        <f t="array" ref="J1366">IFERROR(INDEX('Retirement Calculator'!K:K,MATCH('Lorri 401b'!N1366,'Retirement Calculator'!A:A,0),0),0)</f>
        <v>0</v>
      </c>
      <c r="K1366" s="444">
        <f t="shared" ca="1" si="108"/>
        <v>-400715.26044275687</v>
      </c>
      <c r="L1366" s="444">
        <f t="shared" ca="1" si="109"/>
        <v>-96572377.76670441</v>
      </c>
      <c r="M1366" s="460">
        <f t="shared" si="111"/>
        <v>0.05</v>
      </c>
      <c r="N1366" s="464">
        <f t="shared" si="112"/>
        <v>92621</v>
      </c>
    </row>
    <row r="1367" spans="7:14" ht="11.25" customHeight="1" x14ac:dyDescent="0.3">
      <c r="G1367" s="459"/>
      <c r="H1367" s="459">
        <v>1360</v>
      </c>
      <c r="I1367" s="444">
        <f t="shared" ca="1" si="110"/>
        <v>-96572377.76670441</v>
      </c>
      <c r="J1367" s="444">
        <f t="array" ref="J1367">IFERROR(INDEX('Retirement Calculator'!K:K,MATCH('Lorri 401b'!N1367,'Retirement Calculator'!A:A,0),0),0)</f>
        <v>0</v>
      </c>
      <c r="K1367" s="444">
        <f t="shared" ca="1" si="108"/>
        <v>-402384.90736126836</v>
      </c>
      <c r="L1367" s="444">
        <f t="shared" ca="1" si="109"/>
        <v>-96974762.674065679</v>
      </c>
      <c r="M1367" s="460">
        <f t="shared" si="111"/>
        <v>0.05</v>
      </c>
      <c r="N1367" s="464">
        <f t="shared" si="112"/>
        <v>92652</v>
      </c>
    </row>
    <row r="1368" spans="7:14" ht="11.25" customHeight="1" x14ac:dyDescent="0.3">
      <c r="G1368" s="459"/>
      <c r="H1368" s="459">
        <v>1361</v>
      </c>
      <c r="I1368" s="444">
        <f t="shared" ca="1" si="110"/>
        <v>-96974762.674065679</v>
      </c>
      <c r="J1368" s="444">
        <f t="array" ref="J1368">IFERROR(INDEX('Retirement Calculator'!K:K,MATCH('Lorri 401b'!N1368,'Retirement Calculator'!A:A,0),0),0)</f>
        <v>0</v>
      </c>
      <c r="K1368" s="444">
        <f t="shared" ca="1" si="108"/>
        <v>-404061.51114194031</v>
      </c>
      <c r="L1368" s="444">
        <f t="shared" ca="1" si="109"/>
        <v>-97378824.18520762</v>
      </c>
      <c r="M1368" s="460">
        <f t="shared" si="111"/>
        <v>0.05</v>
      </c>
      <c r="N1368" s="464">
        <f t="shared" si="112"/>
        <v>92682</v>
      </c>
    </row>
    <row r="1369" spans="7:14" ht="11.25" customHeight="1" x14ac:dyDescent="0.3">
      <c r="G1369" s="459"/>
      <c r="H1369" s="459">
        <v>1362</v>
      </c>
      <c r="I1369" s="444">
        <f t="shared" ca="1" si="110"/>
        <v>-97378824.18520762</v>
      </c>
      <c r="J1369" s="444">
        <f t="array" ref="J1369">IFERROR(INDEX('Retirement Calculator'!K:K,MATCH('Lorri 401b'!N1369,'Retirement Calculator'!A:A,0),0),0)</f>
        <v>0</v>
      </c>
      <c r="K1369" s="444">
        <f t="shared" ca="1" si="108"/>
        <v>-405745.1007716984</v>
      </c>
      <c r="L1369" s="444">
        <f t="shared" ca="1" si="109"/>
        <v>-97784569.285979316</v>
      </c>
      <c r="M1369" s="460">
        <f t="shared" si="111"/>
        <v>0.05</v>
      </c>
      <c r="N1369" s="464">
        <f t="shared" si="112"/>
        <v>92713</v>
      </c>
    </row>
    <row r="1370" spans="7:14" ht="11.25" customHeight="1" x14ac:dyDescent="0.3">
      <c r="G1370" s="459"/>
      <c r="H1370" s="459">
        <v>1363</v>
      </c>
      <c r="I1370" s="444">
        <f t="shared" ca="1" si="110"/>
        <v>-97784569.285979316</v>
      </c>
      <c r="J1370" s="444">
        <f t="array" ref="J1370">IFERROR(INDEX('Retirement Calculator'!K:K,MATCH('Lorri 401b'!N1370,'Retirement Calculator'!A:A,0),0),0)</f>
        <v>0</v>
      </c>
      <c r="K1370" s="444">
        <f t="shared" ca="1" si="108"/>
        <v>-407435.70535824716</v>
      </c>
      <c r="L1370" s="444">
        <f t="shared" ca="1" si="109"/>
        <v>-98192004.991337568</v>
      </c>
      <c r="M1370" s="460">
        <f t="shared" si="111"/>
        <v>0.05</v>
      </c>
      <c r="N1370" s="464">
        <f t="shared" si="112"/>
        <v>92743</v>
      </c>
    </row>
    <row r="1371" spans="7:14" ht="11.25" customHeight="1" x14ac:dyDescent="0.3">
      <c r="G1371" s="459"/>
      <c r="H1371" s="459">
        <v>1364</v>
      </c>
      <c r="I1371" s="444">
        <f t="shared" ca="1" si="110"/>
        <v>-98192004.991337568</v>
      </c>
      <c r="J1371" s="444">
        <f t="array" ref="J1371">IFERROR(INDEX('Retirement Calculator'!K:K,MATCH('Lorri 401b'!N1371,'Retirement Calculator'!A:A,0),0),0)</f>
        <v>0</v>
      </c>
      <c r="K1371" s="444">
        <f t="shared" ca="1" si="108"/>
        <v>-409133.35413057322</v>
      </c>
      <c r="L1371" s="444">
        <f t="shared" ca="1" si="109"/>
        <v>-98601138.345468134</v>
      </c>
      <c r="M1371" s="460">
        <f t="shared" si="111"/>
        <v>0.05</v>
      </c>
      <c r="N1371" s="464">
        <f t="shared" si="112"/>
        <v>92774</v>
      </c>
    </row>
    <row r="1372" spans="7:14" ht="11.25" customHeight="1" x14ac:dyDescent="0.3">
      <c r="G1372" s="459"/>
      <c r="H1372" s="459">
        <v>1365</v>
      </c>
      <c r="I1372" s="444">
        <f t="shared" ca="1" si="110"/>
        <v>-98601138.345468134</v>
      </c>
      <c r="J1372" s="444">
        <f t="array" ref="J1372">IFERROR(INDEX('Retirement Calculator'!K:K,MATCH('Lorri 401b'!N1372,'Retirement Calculator'!A:A,0),0),0)</f>
        <v>0</v>
      </c>
      <c r="K1372" s="444">
        <f t="shared" ca="1" si="108"/>
        <v>-410838.07643945055</v>
      </c>
      <c r="L1372" s="444">
        <f t="shared" ca="1" si="109"/>
        <v>-99011976.421907589</v>
      </c>
      <c r="M1372" s="460">
        <f t="shared" si="111"/>
        <v>0.05</v>
      </c>
      <c r="N1372" s="464">
        <f t="shared" si="112"/>
        <v>92805</v>
      </c>
    </row>
    <row r="1373" spans="7:14" ht="11.25" customHeight="1" x14ac:dyDescent="0.3">
      <c r="G1373" s="459"/>
      <c r="H1373" s="459">
        <v>1366</v>
      </c>
      <c r="I1373" s="444">
        <f t="shared" ca="1" si="110"/>
        <v>-99011976.421907589</v>
      </c>
      <c r="J1373" s="444">
        <f t="array" ref="J1373">IFERROR(INDEX('Retirement Calculator'!K:K,MATCH('Lorri 401b'!N1373,'Retirement Calculator'!A:A,0),0),0)</f>
        <v>0</v>
      </c>
      <c r="K1373" s="444">
        <f t="shared" ca="1" si="108"/>
        <v>-412549.90175794828</v>
      </c>
      <c r="L1373" s="444">
        <f t="shared" ca="1" si="109"/>
        <v>-99424526.323665544</v>
      </c>
      <c r="M1373" s="460">
        <f t="shared" si="111"/>
        <v>0.05</v>
      </c>
      <c r="N1373" s="464">
        <f t="shared" si="112"/>
        <v>92833</v>
      </c>
    </row>
    <row r="1374" spans="7:14" ht="11.25" customHeight="1" x14ac:dyDescent="0.3">
      <c r="G1374" s="459"/>
      <c r="H1374" s="459">
        <v>1367</v>
      </c>
      <c r="I1374" s="444">
        <f t="shared" ca="1" si="110"/>
        <v>-99424526.323665544</v>
      </c>
      <c r="J1374" s="444">
        <f t="array" ref="J1374">IFERROR(INDEX('Retirement Calculator'!K:K,MATCH('Lorri 401b'!N1374,'Retirement Calculator'!A:A,0),0),0)</f>
        <v>0</v>
      </c>
      <c r="K1374" s="444">
        <f t="shared" ca="1" si="108"/>
        <v>-414268.85968193976</v>
      </c>
      <c r="L1374" s="444">
        <f t="shared" ca="1" si="109"/>
        <v>-99838795.183347479</v>
      </c>
      <c r="M1374" s="460">
        <f t="shared" si="111"/>
        <v>0.05</v>
      </c>
      <c r="N1374" s="464">
        <f t="shared" si="112"/>
        <v>92864</v>
      </c>
    </row>
    <row r="1375" spans="7:14" ht="11.25" customHeight="1" x14ac:dyDescent="0.3">
      <c r="G1375" s="459"/>
      <c r="H1375" s="459">
        <v>1368</v>
      </c>
      <c r="I1375" s="444">
        <f t="shared" ca="1" si="110"/>
        <v>-99838795.183347479</v>
      </c>
      <c r="J1375" s="444">
        <f t="array" ref="J1375">IFERROR(INDEX('Retirement Calculator'!K:K,MATCH('Lorri 401b'!N1375,'Retirement Calculator'!A:A,0),0),0)</f>
        <v>0</v>
      </c>
      <c r="K1375" s="444">
        <f t="shared" ca="1" si="108"/>
        <v>-415994.97993061447</v>
      </c>
      <c r="L1375" s="444">
        <f t="shared" ca="1" si="109"/>
        <v>-100254790.16327809</v>
      </c>
      <c r="M1375" s="460">
        <f t="shared" si="111"/>
        <v>0.05</v>
      </c>
      <c r="N1375" s="464">
        <f t="shared" si="112"/>
        <v>92894</v>
      </c>
    </row>
    <row r="1376" spans="7:14" ht="11.25" customHeight="1" x14ac:dyDescent="0.3">
      <c r="G1376" s="459"/>
      <c r="H1376" s="459">
        <v>1369</v>
      </c>
      <c r="I1376" s="444">
        <f t="shared" ca="1" si="110"/>
        <v>-100254790.16327809</v>
      </c>
      <c r="J1376" s="444">
        <f t="array" ref="J1376">IFERROR(INDEX('Retirement Calculator'!K:K,MATCH('Lorri 401b'!N1376,'Retirement Calculator'!A:A,0),0),0)</f>
        <v>0</v>
      </c>
      <c r="K1376" s="444">
        <f t="shared" ca="1" si="108"/>
        <v>-417728.29234699201</v>
      </c>
      <c r="L1376" s="444">
        <f t="shared" ca="1" si="109"/>
        <v>-100672518.45562509</v>
      </c>
      <c r="M1376" s="460">
        <f t="shared" si="111"/>
        <v>0.05</v>
      </c>
      <c r="N1376" s="464">
        <f t="shared" si="112"/>
        <v>92925</v>
      </c>
    </row>
    <row r="1377" spans="7:14" ht="11.25" customHeight="1" x14ac:dyDescent="0.3">
      <c r="G1377" s="459"/>
      <c r="H1377" s="459">
        <v>1370</v>
      </c>
      <c r="I1377" s="444">
        <f t="shared" ca="1" si="110"/>
        <v>-100672518.45562509</v>
      </c>
      <c r="J1377" s="444">
        <f t="array" ref="J1377">IFERROR(INDEX('Retirement Calculator'!K:K,MATCH('Lorri 401b'!N1377,'Retirement Calculator'!A:A,0),0),0)</f>
        <v>0</v>
      </c>
      <c r="K1377" s="444">
        <f t="shared" ca="1" si="108"/>
        <v>-419468.82689843787</v>
      </c>
      <c r="L1377" s="444">
        <f t="shared" ca="1" si="109"/>
        <v>-101091987.28252353</v>
      </c>
      <c r="M1377" s="460">
        <f t="shared" si="111"/>
        <v>0.05</v>
      </c>
      <c r="N1377" s="464">
        <f t="shared" si="112"/>
        <v>92955</v>
      </c>
    </row>
    <row r="1378" spans="7:14" ht="11.25" customHeight="1" x14ac:dyDescent="0.3">
      <c r="G1378" s="459"/>
      <c r="H1378" s="459">
        <v>1371</v>
      </c>
      <c r="I1378" s="444">
        <f t="shared" ca="1" si="110"/>
        <v>-101091987.28252353</v>
      </c>
      <c r="J1378" s="444">
        <f t="array" ref="J1378">IFERROR(INDEX('Retirement Calculator'!K:K,MATCH('Lorri 401b'!N1378,'Retirement Calculator'!A:A,0),0),0)</f>
        <v>0</v>
      </c>
      <c r="K1378" s="444">
        <f t="shared" ca="1" si="108"/>
        <v>-421216.61367718136</v>
      </c>
      <c r="L1378" s="444">
        <f t="shared" ca="1" si="109"/>
        <v>-101513203.89620072</v>
      </c>
      <c r="M1378" s="460">
        <f t="shared" si="111"/>
        <v>0.05</v>
      </c>
      <c r="N1378" s="464">
        <f t="shared" si="112"/>
        <v>92986</v>
      </c>
    </row>
    <row r="1379" spans="7:14" ht="11.25" customHeight="1" x14ac:dyDescent="0.3">
      <c r="G1379" s="459"/>
      <c r="H1379" s="459">
        <v>1372</v>
      </c>
      <c r="I1379" s="444">
        <f t="shared" ca="1" si="110"/>
        <v>-101513203.89620072</v>
      </c>
      <c r="J1379" s="444">
        <f t="array" ref="J1379">IFERROR(INDEX('Retirement Calculator'!K:K,MATCH('Lorri 401b'!N1379,'Retirement Calculator'!A:A,0),0),0)</f>
        <v>0</v>
      </c>
      <c r="K1379" s="444">
        <f t="shared" ca="1" si="108"/>
        <v>-422971.68290083628</v>
      </c>
      <c r="L1379" s="444">
        <f t="shared" ca="1" si="109"/>
        <v>-101936175.57910155</v>
      </c>
      <c r="M1379" s="460">
        <f t="shared" si="111"/>
        <v>0.05</v>
      </c>
      <c r="N1379" s="464">
        <f t="shared" si="112"/>
        <v>93017</v>
      </c>
    </row>
    <row r="1380" spans="7:14" ht="11.25" customHeight="1" x14ac:dyDescent="0.3">
      <c r="G1380" s="459"/>
      <c r="H1380" s="459">
        <v>1373</v>
      </c>
      <c r="I1380" s="444">
        <f t="shared" ca="1" si="110"/>
        <v>-101936175.57910155</v>
      </c>
      <c r="J1380" s="444">
        <f t="array" ref="J1380">IFERROR(INDEX('Retirement Calculator'!K:K,MATCH('Lorri 401b'!N1380,'Retirement Calculator'!A:A,0),0),0)</f>
        <v>0</v>
      </c>
      <c r="K1380" s="444">
        <f t="shared" ca="1" si="108"/>
        <v>-424734.06491292309</v>
      </c>
      <c r="L1380" s="444">
        <f t="shared" ca="1" si="109"/>
        <v>-102360909.64401448</v>
      </c>
      <c r="M1380" s="460">
        <f t="shared" si="111"/>
        <v>0.05</v>
      </c>
      <c r="N1380" s="464">
        <f t="shared" si="112"/>
        <v>93047</v>
      </c>
    </row>
    <row r="1381" spans="7:14" ht="11.25" customHeight="1" x14ac:dyDescent="0.3">
      <c r="G1381" s="459"/>
      <c r="H1381" s="459">
        <v>1374</v>
      </c>
      <c r="I1381" s="444">
        <f t="shared" ca="1" si="110"/>
        <v>-102360909.64401448</v>
      </c>
      <c r="J1381" s="444">
        <f t="array" ref="J1381">IFERROR(INDEX('Retirement Calculator'!K:K,MATCH('Lorri 401b'!N1381,'Retirement Calculator'!A:A,0),0),0)</f>
        <v>0</v>
      </c>
      <c r="K1381" s="444">
        <f t="shared" ca="1" si="108"/>
        <v>-426503.79018339363</v>
      </c>
      <c r="L1381" s="444">
        <f t="shared" ca="1" si="109"/>
        <v>-102787413.43419787</v>
      </c>
      <c r="M1381" s="460">
        <f t="shared" si="111"/>
        <v>0.05</v>
      </c>
      <c r="N1381" s="464">
        <f t="shared" si="112"/>
        <v>93078</v>
      </c>
    </row>
    <row r="1382" spans="7:14" ht="11.25" customHeight="1" x14ac:dyDescent="0.3">
      <c r="G1382" s="459"/>
      <c r="H1382" s="459">
        <v>1375</v>
      </c>
      <c r="I1382" s="444">
        <f t="shared" ca="1" si="110"/>
        <v>-102787413.43419787</v>
      </c>
      <c r="J1382" s="444">
        <f t="array" ref="J1382">IFERROR(INDEX('Retirement Calculator'!K:K,MATCH('Lorri 401b'!N1382,'Retirement Calculator'!A:A,0),0),0)</f>
        <v>0</v>
      </c>
      <c r="K1382" s="444">
        <f t="shared" ca="1" si="108"/>
        <v>-428280.88930915779</v>
      </c>
      <c r="L1382" s="444">
        <f t="shared" ca="1" si="109"/>
        <v>-103215694.32350703</v>
      </c>
      <c r="M1382" s="460">
        <f t="shared" si="111"/>
        <v>0.05</v>
      </c>
      <c r="N1382" s="464">
        <f t="shared" si="112"/>
        <v>93108</v>
      </c>
    </row>
    <row r="1383" spans="7:14" ht="11.25" customHeight="1" x14ac:dyDescent="0.3">
      <c r="G1383" s="459"/>
      <c r="H1383" s="459">
        <v>1376</v>
      </c>
      <c r="I1383" s="444">
        <f t="shared" ca="1" si="110"/>
        <v>-103215694.32350703</v>
      </c>
      <c r="J1383" s="444">
        <f t="array" ref="J1383">IFERROR(INDEX('Retirement Calculator'!K:K,MATCH('Lorri 401b'!N1383,'Retirement Calculator'!A:A,0),0),0)</f>
        <v>0</v>
      </c>
      <c r="K1383" s="444">
        <f t="shared" ca="1" si="108"/>
        <v>-430065.39301461261</v>
      </c>
      <c r="L1383" s="444">
        <f t="shared" ca="1" si="109"/>
        <v>-103645759.71652164</v>
      </c>
      <c r="M1383" s="460">
        <f t="shared" si="111"/>
        <v>0.05</v>
      </c>
      <c r="N1383" s="464">
        <f t="shared" si="112"/>
        <v>93139</v>
      </c>
    </row>
    <row r="1384" spans="7:14" ht="11.25" customHeight="1" x14ac:dyDescent="0.3">
      <c r="G1384" s="459"/>
      <c r="H1384" s="459">
        <v>1377</v>
      </c>
      <c r="I1384" s="444">
        <f t="shared" ca="1" si="110"/>
        <v>-103645759.71652164</v>
      </c>
      <c r="J1384" s="444">
        <f t="array" ref="J1384">IFERROR(INDEX('Retirement Calculator'!K:K,MATCH('Lorri 401b'!N1384,'Retirement Calculator'!A:A,0),0),0)</f>
        <v>0</v>
      </c>
      <c r="K1384" s="444">
        <f t="shared" ca="1" si="108"/>
        <v>-431857.33215217345</v>
      </c>
      <c r="L1384" s="444">
        <f t="shared" ca="1" si="109"/>
        <v>-104077617.04867381</v>
      </c>
      <c r="M1384" s="460">
        <f t="shared" si="111"/>
        <v>0.05</v>
      </c>
      <c r="N1384" s="464">
        <f t="shared" si="112"/>
        <v>93170</v>
      </c>
    </row>
    <row r="1385" spans="7:14" ht="11.25" customHeight="1" x14ac:dyDescent="0.3">
      <c r="G1385" s="459"/>
      <c r="H1385" s="459">
        <v>1378</v>
      </c>
      <c r="I1385" s="444">
        <f t="shared" ca="1" si="110"/>
        <v>-104077617.04867381</v>
      </c>
      <c r="J1385" s="444">
        <f t="array" ref="J1385">IFERROR(INDEX('Retirement Calculator'!K:K,MATCH('Lorri 401b'!N1385,'Retirement Calculator'!A:A,0),0),0)</f>
        <v>0</v>
      </c>
      <c r="K1385" s="444">
        <f t="shared" ca="1" si="108"/>
        <v>-433656.73770280753</v>
      </c>
      <c r="L1385" s="444">
        <f t="shared" ca="1" si="109"/>
        <v>-104511273.78637661</v>
      </c>
      <c r="M1385" s="460">
        <f t="shared" si="111"/>
        <v>0.05</v>
      </c>
      <c r="N1385" s="464">
        <f t="shared" si="112"/>
        <v>93198</v>
      </c>
    </row>
    <row r="1386" spans="7:14" ht="11.25" customHeight="1" x14ac:dyDescent="0.3">
      <c r="G1386" s="459"/>
      <c r="H1386" s="459">
        <v>1379</v>
      </c>
      <c r="I1386" s="444">
        <f t="shared" ca="1" si="110"/>
        <v>-104511273.78637661</v>
      </c>
      <c r="J1386" s="444">
        <f t="array" ref="J1386">IFERROR(INDEX('Retirement Calculator'!K:K,MATCH('Lorri 401b'!N1386,'Retirement Calculator'!A:A,0),0),0)</f>
        <v>0</v>
      </c>
      <c r="K1386" s="444">
        <f t="shared" ca="1" si="108"/>
        <v>-435463.6407765692</v>
      </c>
      <c r="L1386" s="444">
        <f t="shared" ca="1" si="109"/>
        <v>-104946737.42715319</v>
      </c>
      <c r="M1386" s="460">
        <f t="shared" si="111"/>
        <v>0.05</v>
      </c>
      <c r="N1386" s="464">
        <f t="shared" si="112"/>
        <v>93229</v>
      </c>
    </row>
    <row r="1387" spans="7:14" ht="11.25" customHeight="1" x14ac:dyDescent="0.3">
      <c r="G1387" s="459"/>
      <c r="H1387" s="459">
        <v>1380</v>
      </c>
      <c r="I1387" s="444">
        <f t="shared" ca="1" si="110"/>
        <v>-104946737.42715319</v>
      </c>
      <c r="J1387" s="444">
        <f t="array" ref="J1387">IFERROR(INDEX('Retirement Calculator'!K:K,MATCH('Lorri 401b'!N1387,'Retirement Calculator'!A:A,0),0),0)</f>
        <v>0</v>
      </c>
      <c r="K1387" s="444">
        <f t="shared" ca="1" si="108"/>
        <v>-437278.0726131383</v>
      </c>
      <c r="L1387" s="444">
        <f t="shared" ca="1" si="109"/>
        <v>-105384015.49976632</v>
      </c>
      <c r="M1387" s="460">
        <f t="shared" si="111"/>
        <v>0.05</v>
      </c>
      <c r="N1387" s="464">
        <f t="shared" si="112"/>
        <v>93259</v>
      </c>
    </row>
    <row r="1388" spans="7:14" ht="11.25" customHeight="1" x14ac:dyDescent="0.3">
      <c r="G1388" s="459"/>
      <c r="H1388" s="459">
        <v>1381</v>
      </c>
      <c r="I1388" s="444">
        <f t="shared" ca="1" si="110"/>
        <v>-105384015.49976632</v>
      </c>
      <c r="J1388" s="444">
        <f t="array" ref="J1388">IFERROR(INDEX('Retirement Calculator'!K:K,MATCH('Lorri 401b'!N1388,'Retirement Calculator'!A:A,0),0),0)</f>
        <v>0</v>
      </c>
      <c r="K1388" s="444">
        <f t="shared" ca="1" si="108"/>
        <v>-439100.06458235974</v>
      </c>
      <c r="L1388" s="444">
        <f t="shared" ca="1" si="109"/>
        <v>-105823115.56434868</v>
      </c>
      <c r="M1388" s="460">
        <f t="shared" si="111"/>
        <v>0.05</v>
      </c>
      <c r="N1388" s="464">
        <f t="shared" si="112"/>
        <v>93290</v>
      </c>
    </row>
    <row r="1389" spans="7:14" ht="11.25" customHeight="1" x14ac:dyDescent="0.3">
      <c r="G1389" s="459"/>
      <c r="H1389" s="459">
        <v>1382</v>
      </c>
      <c r="I1389" s="444">
        <f t="shared" ca="1" si="110"/>
        <v>-105823115.56434868</v>
      </c>
      <c r="J1389" s="444">
        <f t="array" ref="J1389">IFERROR(INDEX('Retirement Calculator'!K:K,MATCH('Lorri 401b'!N1389,'Retirement Calculator'!A:A,0),0),0)</f>
        <v>0</v>
      </c>
      <c r="K1389" s="444">
        <f t="shared" ca="1" si="108"/>
        <v>-440929.64818478614</v>
      </c>
      <c r="L1389" s="444">
        <f t="shared" ca="1" si="109"/>
        <v>-106264045.21253347</v>
      </c>
      <c r="M1389" s="460">
        <f t="shared" si="111"/>
        <v>0.05</v>
      </c>
      <c r="N1389" s="464">
        <f t="shared" si="112"/>
        <v>93320</v>
      </c>
    </row>
    <row r="1390" spans="7:14" ht="11.25" customHeight="1" x14ac:dyDescent="0.3">
      <c r="G1390" s="459"/>
      <c r="H1390" s="459">
        <v>1383</v>
      </c>
      <c r="I1390" s="444">
        <f t="shared" ca="1" si="110"/>
        <v>-106264045.21253347</v>
      </c>
      <c r="J1390" s="444">
        <f t="array" ref="J1390">IFERROR(INDEX('Retirement Calculator'!K:K,MATCH('Lorri 401b'!N1390,'Retirement Calculator'!A:A,0),0),0)</f>
        <v>0</v>
      </c>
      <c r="K1390" s="444">
        <f t="shared" ca="1" si="108"/>
        <v>-442766.85505222273</v>
      </c>
      <c r="L1390" s="444">
        <f t="shared" ca="1" si="109"/>
        <v>-106706812.06758569</v>
      </c>
      <c r="M1390" s="460">
        <f t="shared" si="111"/>
        <v>0.05</v>
      </c>
      <c r="N1390" s="464">
        <f t="shared" si="112"/>
        <v>93351</v>
      </c>
    </row>
    <row r="1391" spans="7:14" ht="11.25" customHeight="1" x14ac:dyDescent="0.3">
      <c r="G1391" s="459"/>
      <c r="H1391" s="459">
        <v>1384</v>
      </c>
      <c r="I1391" s="444">
        <f t="shared" ca="1" si="110"/>
        <v>-106706812.06758569</v>
      </c>
      <c r="J1391" s="444">
        <f t="array" ref="J1391">IFERROR(INDEX('Retirement Calculator'!K:K,MATCH('Lorri 401b'!N1391,'Retirement Calculator'!A:A,0),0),0)</f>
        <v>0</v>
      </c>
      <c r="K1391" s="444">
        <f t="shared" ca="1" si="108"/>
        <v>-444611.71694827371</v>
      </c>
      <c r="L1391" s="444">
        <f t="shared" ca="1" si="109"/>
        <v>-107151423.78453396</v>
      </c>
      <c r="M1391" s="460">
        <f t="shared" si="111"/>
        <v>0.05</v>
      </c>
      <c r="N1391" s="464">
        <f t="shared" si="112"/>
        <v>93382</v>
      </c>
    </row>
    <row r="1392" spans="7:14" ht="11.25" customHeight="1" x14ac:dyDescent="0.3">
      <c r="G1392" s="459"/>
      <c r="H1392" s="459">
        <v>1385</v>
      </c>
      <c r="I1392" s="444">
        <f t="shared" ca="1" si="110"/>
        <v>-107151423.78453396</v>
      </c>
      <c r="J1392" s="444">
        <f t="array" ref="J1392">IFERROR(INDEX('Retirement Calculator'!K:K,MATCH('Lorri 401b'!N1392,'Retirement Calculator'!A:A,0),0),0)</f>
        <v>0</v>
      </c>
      <c r="K1392" s="444">
        <f t="shared" ca="1" si="108"/>
        <v>-446464.26576889155</v>
      </c>
      <c r="L1392" s="444">
        <f t="shared" ca="1" si="109"/>
        <v>-107597888.05030285</v>
      </c>
      <c r="M1392" s="460">
        <f t="shared" si="111"/>
        <v>0.05</v>
      </c>
      <c r="N1392" s="464">
        <f t="shared" si="112"/>
        <v>93412</v>
      </c>
    </row>
    <row r="1393" spans="7:14" ht="11.25" customHeight="1" x14ac:dyDescent="0.3">
      <c r="G1393" s="459"/>
      <c r="H1393" s="459">
        <v>1386</v>
      </c>
      <c r="I1393" s="444">
        <f t="shared" ca="1" si="110"/>
        <v>-107597888.05030285</v>
      </c>
      <c r="J1393" s="444">
        <f t="array" ref="J1393">IFERROR(INDEX('Retirement Calculator'!K:K,MATCH('Lorri 401b'!N1393,'Retirement Calculator'!A:A,0),0),0)</f>
        <v>0</v>
      </c>
      <c r="K1393" s="444">
        <f t="shared" ca="1" si="108"/>
        <v>-448324.53354292858</v>
      </c>
      <c r="L1393" s="444">
        <f t="shared" ca="1" si="109"/>
        <v>-108046212.58384578</v>
      </c>
      <c r="M1393" s="460">
        <f t="shared" si="111"/>
        <v>0.05</v>
      </c>
      <c r="N1393" s="464">
        <f t="shared" si="112"/>
        <v>93443</v>
      </c>
    </row>
    <row r="1394" spans="7:14" ht="11.25" customHeight="1" x14ac:dyDescent="0.3">
      <c r="G1394" s="459"/>
      <c r="H1394" s="459">
        <v>1387</v>
      </c>
      <c r="I1394" s="444">
        <f t="shared" ca="1" si="110"/>
        <v>-108046212.58384578</v>
      </c>
      <c r="J1394" s="444">
        <f t="array" ref="J1394">IFERROR(INDEX('Retirement Calculator'!K:K,MATCH('Lorri 401b'!N1394,'Retirement Calculator'!A:A,0),0),0)</f>
        <v>0</v>
      </c>
      <c r="K1394" s="444">
        <f t="shared" ca="1" si="108"/>
        <v>-450192.55243269075</v>
      </c>
      <c r="L1394" s="444">
        <f t="shared" ca="1" si="109"/>
        <v>-108496405.13627847</v>
      </c>
      <c r="M1394" s="460">
        <f t="shared" si="111"/>
        <v>0.05</v>
      </c>
      <c r="N1394" s="464">
        <f t="shared" si="112"/>
        <v>93473</v>
      </c>
    </row>
    <row r="1395" spans="7:14" ht="11.25" customHeight="1" x14ac:dyDescent="0.3">
      <c r="G1395" s="459"/>
      <c r="H1395" s="459">
        <v>1388</v>
      </c>
      <c r="I1395" s="444">
        <f t="shared" ca="1" si="110"/>
        <v>-108496405.13627847</v>
      </c>
      <c r="J1395" s="444">
        <f t="array" ref="J1395">IFERROR(INDEX('Retirement Calculator'!K:K,MATCH('Lorri 401b'!N1395,'Retirement Calculator'!A:A,0),0),0)</f>
        <v>0</v>
      </c>
      <c r="K1395" s="444">
        <f t="shared" ca="1" si="108"/>
        <v>-452068.35473449359</v>
      </c>
      <c r="L1395" s="444">
        <f t="shared" ca="1" si="109"/>
        <v>-108948473.49101296</v>
      </c>
      <c r="M1395" s="460">
        <f t="shared" si="111"/>
        <v>0.05</v>
      </c>
      <c r="N1395" s="464">
        <f t="shared" si="112"/>
        <v>93504</v>
      </c>
    </row>
    <row r="1396" spans="7:14" ht="11.25" customHeight="1" x14ac:dyDescent="0.3">
      <c r="G1396" s="459"/>
      <c r="H1396" s="459">
        <v>1389</v>
      </c>
      <c r="I1396" s="444">
        <f t="shared" ca="1" si="110"/>
        <v>-108948473.49101296</v>
      </c>
      <c r="J1396" s="444">
        <f t="array" ref="J1396">IFERROR(INDEX('Retirement Calculator'!K:K,MATCH('Lorri 401b'!N1396,'Retirement Calculator'!A:A,0),0),0)</f>
        <v>0</v>
      </c>
      <c r="K1396" s="444">
        <f t="shared" ca="1" si="108"/>
        <v>-453951.97287922073</v>
      </c>
      <c r="L1396" s="444">
        <f t="shared" ca="1" si="109"/>
        <v>-109402425.46389218</v>
      </c>
      <c r="M1396" s="460">
        <f t="shared" si="111"/>
        <v>0.05</v>
      </c>
      <c r="N1396" s="464">
        <f t="shared" si="112"/>
        <v>93535</v>
      </c>
    </row>
    <row r="1397" spans="7:14" ht="11.25" customHeight="1" x14ac:dyDescent="0.3">
      <c r="G1397" s="459"/>
      <c r="H1397" s="459">
        <v>1390</v>
      </c>
      <c r="I1397" s="444">
        <f t="shared" ca="1" si="110"/>
        <v>-109402425.46389218</v>
      </c>
      <c r="J1397" s="444">
        <f t="array" ref="J1397">IFERROR(INDEX('Retirement Calculator'!K:K,MATCH('Lorri 401b'!N1397,'Retirement Calculator'!A:A,0),0),0)</f>
        <v>0</v>
      </c>
      <c r="K1397" s="444">
        <f t="shared" ca="1" si="108"/>
        <v>-455843.43943288404</v>
      </c>
      <c r="L1397" s="444">
        <f t="shared" ca="1" si="109"/>
        <v>-109858268.90332507</v>
      </c>
      <c r="M1397" s="460">
        <f t="shared" si="111"/>
        <v>0.05</v>
      </c>
      <c r="N1397" s="464">
        <f t="shared" si="112"/>
        <v>93564</v>
      </c>
    </row>
    <row r="1398" spans="7:14" ht="11.25" customHeight="1" x14ac:dyDescent="0.3">
      <c r="G1398" s="459"/>
      <c r="H1398" s="459">
        <v>1391</v>
      </c>
      <c r="I1398" s="444">
        <f t="shared" ca="1" si="110"/>
        <v>-109858268.90332507</v>
      </c>
      <c r="J1398" s="444">
        <f t="array" ref="J1398">IFERROR(INDEX('Retirement Calculator'!K:K,MATCH('Lorri 401b'!N1398,'Retirement Calculator'!A:A,0),0),0)</f>
        <v>0</v>
      </c>
      <c r="K1398" s="444">
        <f t="shared" ca="1" si="108"/>
        <v>-457742.78709718777</v>
      </c>
      <c r="L1398" s="444">
        <f t="shared" ca="1" si="109"/>
        <v>-110316011.69042225</v>
      </c>
      <c r="M1398" s="460">
        <f t="shared" si="111"/>
        <v>0.05</v>
      </c>
      <c r="N1398" s="464">
        <f t="shared" si="112"/>
        <v>93595</v>
      </c>
    </row>
    <row r="1399" spans="7:14" ht="11.25" customHeight="1" x14ac:dyDescent="0.3">
      <c r="G1399" s="459"/>
      <c r="H1399" s="459">
        <v>1392</v>
      </c>
      <c r="I1399" s="444">
        <f t="shared" ca="1" si="110"/>
        <v>-110316011.69042225</v>
      </c>
      <c r="J1399" s="444">
        <f t="array" ref="J1399">IFERROR(INDEX('Retirement Calculator'!K:K,MATCH('Lorri 401b'!N1399,'Retirement Calculator'!A:A,0),0),0)</f>
        <v>0</v>
      </c>
      <c r="K1399" s="444">
        <f t="shared" ca="1" si="108"/>
        <v>-459650.04871009279</v>
      </c>
      <c r="L1399" s="444">
        <f t="shared" ca="1" si="109"/>
        <v>-110775661.73913234</v>
      </c>
      <c r="M1399" s="460">
        <f t="shared" si="111"/>
        <v>0.05</v>
      </c>
      <c r="N1399" s="464">
        <f t="shared" si="112"/>
        <v>93625</v>
      </c>
    </row>
    <row r="1400" spans="7:14" ht="11.25" customHeight="1" x14ac:dyDescent="0.3">
      <c r="G1400" s="459"/>
      <c r="H1400" s="459">
        <v>1393</v>
      </c>
      <c r="I1400" s="444">
        <f t="shared" ca="1" si="110"/>
        <v>-110775661.73913234</v>
      </c>
      <c r="J1400" s="444">
        <f t="array" ref="J1400">IFERROR(INDEX('Retirement Calculator'!K:K,MATCH('Lorri 401b'!N1400,'Retirement Calculator'!A:A,0),0),0)</f>
        <v>0</v>
      </c>
      <c r="K1400" s="444">
        <f t="shared" ca="1" si="108"/>
        <v>-461565.25724638475</v>
      </c>
      <c r="L1400" s="444">
        <f t="shared" ca="1" si="109"/>
        <v>-111237226.99637873</v>
      </c>
      <c r="M1400" s="460">
        <f t="shared" si="111"/>
        <v>0.05</v>
      </c>
      <c r="N1400" s="464">
        <f t="shared" si="112"/>
        <v>93656</v>
      </c>
    </row>
    <row r="1401" spans="7:14" ht="11.25" customHeight="1" x14ac:dyDescent="0.3">
      <c r="G1401" s="459"/>
      <c r="H1401" s="459">
        <v>1394</v>
      </c>
      <c r="I1401" s="444">
        <f t="shared" ca="1" si="110"/>
        <v>-111237226.99637873</v>
      </c>
      <c r="J1401" s="444">
        <f t="array" ref="J1401">IFERROR(INDEX('Retirement Calculator'!K:K,MATCH('Lorri 401b'!N1401,'Retirement Calculator'!A:A,0),0),0)</f>
        <v>0</v>
      </c>
      <c r="K1401" s="444">
        <f t="shared" ca="1" si="108"/>
        <v>-463488.44581824471</v>
      </c>
      <c r="L1401" s="444">
        <f t="shared" ca="1" si="109"/>
        <v>-111700715.44219698</v>
      </c>
      <c r="M1401" s="460">
        <f t="shared" si="111"/>
        <v>0.05</v>
      </c>
      <c r="N1401" s="464">
        <f t="shared" si="112"/>
        <v>93686</v>
      </c>
    </row>
    <row r="1402" spans="7:14" ht="11.25" customHeight="1" x14ac:dyDescent="0.3">
      <c r="G1402" s="459"/>
      <c r="H1402" s="459">
        <v>1395</v>
      </c>
      <c r="I1402" s="444">
        <f t="shared" ca="1" si="110"/>
        <v>-111700715.44219698</v>
      </c>
      <c r="J1402" s="444">
        <f t="array" ref="J1402">IFERROR(INDEX('Retirement Calculator'!K:K,MATCH('Lorri 401b'!N1402,'Retirement Calculator'!A:A,0),0),0)</f>
        <v>0</v>
      </c>
      <c r="K1402" s="444">
        <f t="shared" ca="1" si="108"/>
        <v>-465419.64767582074</v>
      </c>
      <c r="L1402" s="444">
        <f t="shared" ca="1" si="109"/>
        <v>-112166135.08987281</v>
      </c>
      <c r="M1402" s="460">
        <f t="shared" si="111"/>
        <v>0.05</v>
      </c>
      <c r="N1402" s="464">
        <f t="shared" si="112"/>
        <v>93717</v>
      </c>
    </row>
    <row r="1403" spans="7:14" ht="11.25" customHeight="1" x14ac:dyDescent="0.3">
      <c r="G1403" s="459"/>
      <c r="H1403" s="459">
        <v>1396</v>
      </c>
      <c r="I1403" s="444">
        <f t="shared" ca="1" si="110"/>
        <v>-112166135.08987281</v>
      </c>
      <c r="J1403" s="444">
        <f t="array" ref="J1403">IFERROR(INDEX('Retirement Calculator'!K:K,MATCH('Lorri 401b'!N1403,'Retirement Calculator'!A:A,0),0),0)</f>
        <v>0</v>
      </c>
      <c r="K1403" s="444">
        <f t="shared" ca="1" si="108"/>
        <v>-467358.89620780334</v>
      </c>
      <c r="L1403" s="444">
        <f t="shared" ca="1" si="109"/>
        <v>-112633493.98608062</v>
      </c>
      <c r="M1403" s="460">
        <f t="shared" si="111"/>
        <v>0.05</v>
      </c>
      <c r="N1403" s="464">
        <f t="shared" si="112"/>
        <v>93748</v>
      </c>
    </row>
    <row r="1404" spans="7:14" ht="11.25" customHeight="1" x14ac:dyDescent="0.3">
      <c r="G1404" s="459"/>
      <c r="H1404" s="459">
        <v>1397</v>
      </c>
      <c r="I1404" s="444">
        <f t="shared" ca="1" si="110"/>
        <v>-112633493.98608062</v>
      </c>
      <c r="J1404" s="444">
        <f t="array" ref="J1404">IFERROR(INDEX('Retirement Calculator'!K:K,MATCH('Lorri 401b'!N1404,'Retirement Calculator'!A:A,0),0),0)</f>
        <v>0</v>
      </c>
      <c r="K1404" s="444">
        <f t="shared" ca="1" si="108"/>
        <v>-469306.22494200256</v>
      </c>
      <c r="L1404" s="444">
        <f t="shared" ca="1" si="109"/>
        <v>-113102800.21102262</v>
      </c>
      <c r="M1404" s="460">
        <f t="shared" si="111"/>
        <v>0.05</v>
      </c>
      <c r="N1404" s="464">
        <f t="shared" si="112"/>
        <v>93778</v>
      </c>
    </row>
    <row r="1405" spans="7:14" ht="11.25" customHeight="1" x14ac:dyDescent="0.3">
      <c r="G1405" s="459"/>
      <c r="H1405" s="459">
        <v>1398</v>
      </c>
      <c r="I1405" s="444">
        <f t="shared" ca="1" si="110"/>
        <v>-113102800.21102262</v>
      </c>
      <c r="J1405" s="444">
        <f t="array" ref="J1405">IFERROR(INDEX('Retirement Calculator'!K:K,MATCH('Lorri 401b'!N1405,'Retirement Calculator'!A:A,0),0),0)</f>
        <v>0</v>
      </c>
      <c r="K1405" s="444">
        <f t="shared" ca="1" si="108"/>
        <v>-471261.66754592763</v>
      </c>
      <c r="L1405" s="444">
        <f t="shared" ca="1" si="109"/>
        <v>-113574061.87856854</v>
      </c>
      <c r="M1405" s="460">
        <f t="shared" si="111"/>
        <v>0.05</v>
      </c>
      <c r="N1405" s="464">
        <f t="shared" si="112"/>
        <v>93809</v>
      </c>
    </row>
    <row r="1406" spans="7:14" ht="11.25" customHeight="1" x14ac:dyDescent="0.3">
      <c r="G1406" s="459"/>
      <c r="H1406" s="459">
        <v>1399</v>
      </c>
      <c r="I1406" s="444">
        <f t="shared" ca="1" si="110"/>
        <v>-113574061.87856854</v>
      </c>
      <c r="J1406" s="444">
        <f t="array" ref="J1406">IFERROR(INDEX('Retirement Calculator'!K:K,MATCH('Lorri 401b'!N1406,'Retirement Calculator'!A:A,0),0),0)</f>
        <v>0</v>
      </c>
      <c r="K1406" s="444">
        <f t="shared" ca="1" si="108"/>
        <v>-473225.25782736897</v>
      </c>
      <c r="L1406" s="444">
        <f t="shared" ca="1" si="109"/>
        <v>-114047287.13639592</v>
      </c>
      <c r="M1406" s="460">
        <f t="shared" si="111"/>
        <v>0.05</v>
      </c>
      <c r="N1406" s="464">
        <f t="shared" si="112"/>
        <v>93839</v>
      </c>
    </row>
    <row r="1407" spans="7:14" ht="11.25" customHeight="1" x14ac:dyDescent="0.3">
      <c r="G1407" s="459"/>
      <c r="H1407" s="459">
        <v>1400</v>
      </c>
      <c r="I1407" s="444">
        <f t="shared" ca="1" si="110"/>
        <v>-114047287.13639592</v>
      </c>
      <c r="J1407" s="444">
        <f t="array" ref="J1407">IFERROR(INDEX('Retirement Calculator'!K:K,MATCH('Lorri 401b'!N1407,'Retirement Calculator'!A:A,0),0),0)</f>
        <v>0</v>
      </c>
      <c r="K1407" s="444">
        <f t="shared" ca="1" si="108"/>
        <v>-475197.02973498305</v>
      </c>
      <c r="L1407" s="444">
        <f t="shared" ca="1" si="109"/>
        <v>-114522484.1661309</v>
      </c>
      <c r="M1407" s="460">
        <f t="shared" si="111"/>
        <v>0.05</v>
      </c>
      <c r="N1407" s="464">
        <f t="shared" si="112"/>
        <v>93870</v>
      </c>
    </row>
    <row r="1408" spans="7:14" ht="11.25" customHeight="1" x14ac:dyDescent="0.3">
      <c r="G1408" s="459"/>
      <c r="H1408" s="459">
        <v>1401</v>
      </c>
      <c r="I1408" s="444">
        <f t="shared" ca="1" si="110"/>
        <v>-114522484.1661309</v>
      </c>
      <c r="J1408" s="444">
        <f t="array" ref="J1408">IFERROR(INDEX('Retirement Calculator'!K:K,MATCH('Lorri 401b'!N1408,'Retirement Calculator'!A:A,0),0),0)</f>
        <v>0</v>
      </c>
      <c r="K1408" s="444">
        <f t="shared" ca="1" si="108"/>
        <v>-477177.01735887874</v>
      </c>
      <c r="L1408" s="444">
        <f t="shared" ca="1" si="109"/>
        <v>-114999661.18348978</v>
      </c>
      <c r="M1408" s="460">
        <f t="shared" si="111"/>
        <v>0.05</v>
      </c>
      <c r="N1408" s="464">
        <f t="shared" si="112"/>
        <v>93901</v>
      </c>
    </row>
    <row r="1409" spans="7:14" ht="11.25" customHeight="1" x14ac:dyDescent="0.3">
      <c r="G1409" s="459"/>
      <c r="H1409" s="459">
        <v>1402</v>
      </c>
      <c r="I1409" s="444">
        <f t="shared" ca="1" si="110"/>
        <v>-114999661.18348978</v>
      </c>
      <c r="J1409" s="444">
        <f t="array" ref="J1409">IFERROR(INDEX('Retirement Calculator'!K:K,MATCH('Lorri 401b'!N1409,'Retirement Calculator'!A:A,0),0),0)</f>
        <v>0</v>
      </c>
      <c r="K1409" s="444">
        <f t="shared" ca="1" si="108"/>
        <v>-479165.25493120734</v>
      </c>
      <c r="L1409" s="444">
        <f t="shared" ca="1" si="109"/>
        <v>-115478826.438421</v>
      </c>
      <c r="M1409" s="460">
        <f t="shared" si="111"/>
        <v>0.05</v>
      </c>
      <c r="N1409" s="464">
        <f t="shared" si="112"/>
        <v>93929</v>
      </c>
    </row>
    <row r="1410" spans="7:14" ht="11.25" customHeight="1" x14ac:dyDescent="0.3">
      <c r="G1410" s="459"/>
      <c r="H1410" s="459">
        <v>1403</v>
      </c>
      <c r="I1410" s="444">
        <f t="shared" ca="1" si="110"/>
        <v>-115478826.438421</v>
      </c>
      <c r="J1410" s="444">
        <f t="array" ref="J1410">IFERROR(INDEX('Retirement Calculator'!K:K,MATCH('Lorri 401b'!N1410,'Retirement Calculator'!A:A,0),0),0)</f>
        <v>0</v>
      </c>
      <c r="K1410" s="444">
        <f t="shared" ca="1" si="108"/>
        <v>-481161.77682675415</v>
      </c>
      <c r="L1410" s="444">
        <f t="shared" ca="1" si="109"/>
        <v>-115959988.21524775</v>
      </c>
      <c r="M1410" s="460">
        <f t="shared" si="111"/>
        <v>0.05</v>
      </c>
      <c r="N1410" s="464">
        <f t="shared" si="112"/>
        <v>93960</v>
      </c>
    </row>
    <row r="1411" spans="7:14" ht="11.25" customHeight="1" x14ac:dyDescent="0.3">
      <c r="G1411" s="459"/>
      <c r="H1411" s="459">
        <v>1404</v>
      </c>
      <c r="I1411" s="444">
        <f t="shared" ca="1" si="110"/>
        <v>-115959988.21524775</v>
      </c>
      <c r="J1411" s="444">
        <f t="array" ref="J1411">IFERROR(INDEX('Retirement Calculator'!K:K,MATCH('Lorri 401b'!N1411,'Retirement Calculator'!A:A,0),0),0)</f>
        <v>0</v>
      </c>
      <c r="K1411" s="444">
        <f t="shared" ca="1" si="108"/>
        <v>-483166.61756353226</v>
      </c>
      <c r="L1411" s="444">
        <f t="shared" ca="1" si="109"/>
        <v>-116443154.83281128</v>
      </c>
      <c r="M1411" s="460">
        <f t="shared" si="111"/>
        <v>0.05</v>
      </c>
      <c r="N1411" s="464">
        <f t="shared" si="112"/>
        <v>93990</v>
      </c>
    </row>
    <row r="1412" spans="7:14" ht="11.25" customHeight="1" x14ac:dyDescent="0.3">
      <c r="G1412" s="459"/>
      <c r="H1412" s="459">
        <v>1405</v>
      </c>
      <c r="I1412" s="444">
        <f t="shared" ca="1" si="110"/>
        <v>-116443154.83281128</v>
      </c>
      <c r="J1412" s="444">
        <f t="array" ref="J1412">IFERROR(INDEX('Retirement Calculator'!K:K,MATCH('Lorri 401b'!N1412,'Retirement Calculator'!A:A,0),0),0)</f>
        <v>0</v>
      </c>
      <c r="K1412" s="444">
        <f t="shared" ca="1" si="108"/>
        <v>-485179.81180338032</v>
      </c>
      <c r="L1412" s="444">
        <f t="shared" ca="1" si="109"/>
        <v>-116928334.64461467</v>
      </c>
      <c r="M1412" s="460">
        <f t="shared" si="111"/>
        <v>0.05</v>
      </c>
      <c r="N1412" s="464">
        <f t="shared" si="112"/>
        <v>94021</v>
      </c>
    </row>
    <row r="1413" spans="7:14" ht="11.25" customHeight="1" x14ac:dyDescent="0.3">
      <c r="G1413" s="459"/>
      <c r="H1413" s="459">
        <v>1406</v>
      </c>
      <c r="I1413" s="444">
        <f t="shared" ca="1" si="110"/>
        <v>-116928334.64461467</v>
      </c>
      <c r="J1413" s="444">
        <f t="array" ref="J1413">IFERROR(INDEX('Retirement Calculator'!K:K,MATCH('Lorri 401b'!N1413,'Retirement Calculator'!A:A,0),0),0)</f>
        <v>0</v>
      </c>
      <c r="K1413" s="444">
        <f t="shared" ca="1" si="108"/>
        <v>-487201.39435256104</v>
      </c>
      <c r="L1413" s="444">
        <f t="shared" ca="1" si="109"/>
        <v>-117415536.03896722</v>
      </c>
      <c r="M1413" s="460">
        <f t="shared" si="111"/>
        <v>0.05</v>
      </c>
      <c r="N1413" s="464">
        <f t="shared" si="112"/>
        <v>94051</v>
      </c>
    </row>
    <row r="1414" spans="7:14" ht="11.25" customHeight="1" x14ac:dyDescent="0.3">
      <c r="G1414" s="459"/>
      <c r="H1414" s="459">
        <v>1407</v>
      </c>
      <c r="I1414" s="444">
        <f t="shared" ca="1" si="110"/>
        <v>-117415536.03896722</v>
      </c>
      <c r="J1414" s="444">
        <f t="array" ref="J1414">IFERROR(INDEX('Retirement Calculator'!K:K,MATCH('Lorri 401b'!N1414,'Retirement Calculator'!A:A,0),0),0)</f>
        <v>0</v>
      </c>
      <c r="K1414" s="444">
        <f t="shared" ca="1" si="108"/>
        <v>-489231.40016236337</v>
      </c>
      <c r="L1414" s="444">
        <f t="shared" ca="1" si="109"/>
        <v>-117904767.43912959</v>
      </c>
      <c r="M1414" s="460">
        <f t="shared" si="111"/>
        <v>0.05</v>
      </c>
      <c r="N1414" s="464">
        <f t="shared" si="112"/>
        <v>94082</v>
      </c>
    </row>
    <row r="1415" spans="7:14" ht="11.25" customHeight="1" x14ac:dyDescent="0.3">
      <c r="G1415" s="459"/>
      <c r="H1415" s="459">
        <v>1408</v>
      </c>
      <c r="I1415" s="444">
        <f t="shared" ca="1" si="110"/>
        <v>-117904767.43912959</v>
      </c>
      <c r="J1415" s="444">
        <f t="array" ref="J1415">IFERROR(INDEX('Retirement Calculator'!K:K,MATCH('Lorri 401b'!N1415,'Retirement Calculator'!A:A,0),0),0)</f>
        <v>0</v>
      </c>
      <c r="K1415" s="444">
        <f t="shared" ca="1" si="108"/>
        <v>-491269.86432970664</v>
      </c>
      <c r="L1415" s="444">
        <f t="shared" ca="1" si="109"/>
        <v>-118396037.3034593</v>
      </c>
      <c r="M1415" s="460">
        <f t="shared" si="111"/>
        <v>0.05</v>
      </c>
      <c r="N1415" s="464">
        <f t="shared" si="112"/>
        <v>94113</v>
      </c>
    </row>
    <row r="1416" spans="7:14" ht="11.25" customHeight="1" x14ac:dyDescent="0.3">
      <c r="G1416" s="459"/>
      <c r="H1416" s="459">
        <v>1409</v>
      </c>
      <c r="I1416" s="444">
        <f t="shared" ca="1" si="110"/>
        <v>-118396037.3034593</v>
      </c>
      <c r="J1416" s="444">
        <f t="array" ref="J1416">IFERROR(INDEX('Retirement Calculator'!K:K,MATCH('Lorri 401b'!N1416,'Retirement Calculator'!A:A,0),0),0)</f>
        <v>0</v>
      </c>
      <c r="K1416" s="444">
        <f t="shared" ca="1" si="108"/>
        <v>-493316.82209774706</v>
      </c>
      <c r="L1416" s="444">
        <f t="shared" ca="1" si="109"/>
        <v>-118889354.12555705</v>
      </c>
      <c r="M1416" s="460">
        <f t="shared" si="111"/>
        <v>0.05</v>
      </c>
      <c r="N1416" s="464">
        <f t="shared" si="112"/>
        <v>94143</v>
      </c>
    </row>
    <row r="1417" spans="7:14" ht="11.25" customHeight="1" x14ac:dyDescent="0.3">
      <c r="G1417" s="459"/>
      <c r="H1417" s="459">
        <v>1410</v>
      </c>
      <c r="I1417" s="444">
        <f t="shared" ca="1" si="110"/>
        <v>-118889354.12555705</v>
      </c>
      <c r="J1417" s="444">
        <f t="array" ref="J1417">IFERROR(INDEX('Retirement Calculator'!K:K,MATCH('Lorri 401b'!N1417,'Retirement Calculator'!A:A,0),0),0)</f>
        <v>0</v>
      </c>
      <c r="K1417" s="444">
        <f t="shared" ca="1" si="108"/>
        <v>-495372.30885648768</v>
      </c>
      <c r="L1417" s="444">
        <f t="shared" ca="1" si="109"/>
        <v>-119384726.43441354</v>
      </c>
      <c r="M1417" s="460">
        <f t="shared" si="111"/>
        <v>0.05</v>
      </c>
      <c r="N1417" s="464">
        <f t="shared" si="112"/>
        <v>94174</v>
      </c>
    </row>
    <row r="1418" spans="7:14" ht="11.25" customHeight="1" x14ac:dyDescent="0.3">
      <c r="G1418" s="459"/>
      <c r="H1418" s="459">
        <v>1411</v>
      </c>
      <c r="I1418" s="444">
        <f t="shared" ca="1" si="110"/>
        <v>-119384726.43441354</v>
      </c>
      <c r="J1418" s="444">
        <f t="array" ref="J1418">IFERROR(INDEX('Retirement Calculator'!K:K,MATCH('Lorri 401b'!N1418,'Retirement Calculator'!A:A,0),0),0)</f>
        <v>0</v>
      </c>
      <c r="K1418" s="444">
        <f t="shared" ca="1" si="108"/>
        <v>-497436.36014338973</v>
      </c>
      <c r="L1418" s="444">
        <f t="shared" ca="1" si="109"/>
        <v>-119882162.79455693</v>
      </c>
      <c r="M1418" s="460">
        <f t="shared" si="111"/>
        <v>0.05</v>
      </c>
      <c r="N1418" s="464">
        <f t="shared" si="112"/>
        <v>94204</v>
      </c>
    </row>
    <row r="1419" spans="7:14" ht="11.25" customHeight="1" x14ac:dyDescent="0.3">
      <c r="G1419" s="459"/>
      <c r="H1419" s="459">
        <v>1412</v>
      </c>
      <c r="I1419" s="444">
        <f t="shared" ca="1" si="110"/>
        <v>-119882162.79455693</v>
      </c>
      <c r="J1419" s="444">
        <f t="array" ref="J1419">IFERROR(INDEX('Retirement Calculator'!K:K,MATCH('Lorri 401b'!N1419,'Retirement Calculator'!A:A,0),0),0)</f>
        <v>0</v>
      </c>
      <c r="K1419" s="444">
        <f t="shared" ca="1" si="108"/>
        <v>-499509.01164398715</v>
      </c>
      <c r="L1419" s="444">
        <f t="shared" ca="1" si="109"/>
        <v>-120381671.80620092</v>
      </c>
      <c r="M1419" s="460">
        <f t="shared" si="111"/>
        <v>0.05</v>
      </c>
      <c r="N1419" s="464">
        <f t="shared" si="112"/>
        <v>94235</v>
      </c>
    </row>
    <row r="1420" spans="7:14" ht="11.25" customHeight="1" x14ac:dyDescent="0.3">
      <c r="G1420" s="459"/>
      <c r="H1420" s="459">
        <v>1413</v>
      </c>
      <c r="I1420" s="444">
        <f t="shared" ca="1" si="110"/>
        <v>-120381671.80620092</v>
      </c>
      <c r="J1420" s="444">
        <f t="array" ref="J1420">IFERROR(INDEX('Retirement Calculator'!K:K,MATCH('Lorri 401b'!N1420,'Retirement Calculator'!A:A,0),0),0)</f>
        <v>0</v>
      </c>
      <c r="K1420" s="444">
        <f t="shared" ca="1" si="108"/>
        <v>-501590.29919250385</v>
      </c>
      <c r="L1420" s="444">
        <f t="shared" ca="1" si="109"/>
        <v>-120883262.10539342</v>
      </c>
      <c r="M1420" s="460">
        <f t="shared" si="111"/>
        <v>0.05</v>
      </c>
      <c r="N1420" s="464">
        <f t="shared" si="112"/>
        <v>94266</v>
      </c>
    </row>
    <row r="1421" spans="7:14" ht="11.25" customHeight="1" x14ac:dyDescent="0.3">
      <c r="G1421" s="459"/>
      <c r="H1421" s="459">
        <v>1414</v>
      </c>
      <c r="I1421" s="444">
        <f t="shared" ca="1" si="110"/>
        <v>-120883262.10539342</v>
      </c>
      <c r="J1421" s="444">
        <f t="array" ref="J1421">IFERROR(INDEX('Retirement Calculator'!K:K,MATCH('Lorri 401b'!N1421,'Retirement Calculator'!A:A,0),0),0)</f>
        <v>0</v>
      </c>
      <c r="K1421" s="444">
        <f t="shared" ca="1" si="108"/>
        <v>-503680.25877247256</v>
      </c>
      <c r="L1421" s="444">
        <f t="shared" ca="1" si="109"/>
        <v>-121386942.3641659</v>
      </c>
      <c r="M1421" s="460">
        <f t="shared" si="111"/>
        <v>0.05</v>
      </c>
      <c r="N1421" s="464">
        <f t="shared" si="112"/>
        <v>94294</v>
      </c>
    </row>
    <row r="1422" spans="7:14" ht="11.25" customHeight="1" x14ac:dyDescent="0.3">
      <c r="G1422" s="459"/>
      <c r="H1422" s="459">
        <v>1415</v>
      </c>
      <c r="I1422" s="444">
        <f t="shared" ca="1" si="110"/>
        <v>-121386942.3641659</v>
      </c>
      <c r="J1422" s="444">
        <f t="array" ref="J1422">IFERROR(INDEX('Retirement Calculator'!K:K,MATCH('Lorri 401b'!N1422,'Retirement Calculator'!A:A,0),0),0)</f>
        <v>0</v>
      </c>
      <c r="K1422" s="444">
        <f t="shared" ca="1" si="108"/>
        <v>-505778.92651735793</v>
      </c>
      <c r="L1422" s="444">
        <f t="shared" ca="1" si="109"/>
        <v>-121892721.29068325</v>
      </c>
      <c r="M1422" s="460">
        <f t="shared" si="111"/>
        <v>0.05</v>
      </c>
      <c r="N1422" s="464">
        <f t="shared" si="112"/>
        <v>94325</v>
      </c>
    </row>
    <row r="1423" spans="7:14" ht="11.25" customHeight="1" x14ac:dyDescent="0.3">
      <c r="G1423" s="459"/>
      <c r="H1423" s="459">
        <v>1416</v>
      </c>
      <c r="I1423" s="444">
        <f t="shared" ca="1" si="110"/>
        <v>-121892721.29068325</v>
      </c>
      <c r="J1423" s="444">
        <f t="array" ref="J1423">IFERROR(INDEX('Retirement Calculator'!K:K,MATCH('Lorri 401b'!N1423,'Retirement Calculator'!A:A,0),0),0)</f>
        <v>0</v>
      </c>
      <c r="K1423" s="444">
        <f t="shared" ca="1" si="108"/>
        <v>-507886.33871118026</v>
      </c>
      <c r="L1423" s="444">
        <f t="shared" ca="1" si="109"/>
        <v>-122400607.62939444</v>
      </c>
      <c r="M1423" s="460">
        <f t="shared" si="111"/>
        <v>0.05</v>
      </c>
      <c r="N1423" s="464">
        <f t="shared" si="112"/>
        <v>94355</v>
      </c>
    </row>
    <row r="1424" spans="7:14" ht="11.25" customHeight="1" x14ac:dyDescent="0.3">
      <c r="G1424" s="459"/>
      <c r="H1424" s="459">
        <v>1417</v>
      </c>
      <c r="I1424" s="444">
        <f t="shared" ca="1" si="110"/>
        <v>-122400607.62939444</v>
      </c>
      <c r="J1424" s="444">
        <f t="array" ref="J1424">IFERROR(INDEX('Retirement Calculator'!K:K,MATCH('Lorri 401b'!N1424,'Retirement Calculator'!A:A,0),0),0)</f>
        <v>0</v>
      </c>
      <c r="K1424" s="444">
        <f t="shared" ca="1" si="108"/>
        <v>-510002.53178914351</v>
      </c>
      <c r="L1424" s="444">
        <f t="shared" ca="1" si="109"/>
        <v>-122910610.16118358</v>
      </c>
      <c r="M1424" s="460">
        <f t="shared" si="111"/>
        <v>0.05</v>
      </c>
      <c r="N1424" s="464">
        <f t="shared" si="112"/>
        <v>94386</v>
      </c>
    </row>
    <row r="1425" spans="7:14" ht="11.25" customHeight="1" x14ac:dyDescent="0.3">
      <c r="G1425" s="459"/>
      <c r="H1425" s="459">
        <v>1418</v>
      </c>
      <c r="I1425" s="444">
        <f t="shared" ca="1" si="110"/>
        <v>-122910610.16118358</v>
      </c>
      <c r="J1425" s="444">
        <f t="array" ref="J1425">IFERROR(INDEX('Retirement Calculator'!K:K,MATCH('Lorri 401b'!N1425,'Retirement Calculator'!A:A,0),0),0)</f>
        <v>0</v>
      </c>
      <c r="K1425" s="444">
        <f t="shared" ca="1" si="108"/>
        <v>-512127.54233826499</v>
      </c>
      <c r="L1425" s="444">
        <f t="shared" ca="1" si="109"/>
        <v>-123422737.70352185</v>
      </c>
      <c r="M1425" s="460">
        <f t="shared" si="111"/>
        <v>0.05</v>
      </c>
      <c r="N1425" s="464">
        <f t="shared" si="112"/>
        <v>94416</v>
      </c>
    </row>
    <row r="1426" spans="7:14" ht="11.25" customHeight="1" x14ac:dyDescent="0.3">
      <c r="G1426" s="459"/>
      <c r="H1426" s="459">
        <v>1419</v>
      </c>
      <c r="I1426" s="444">
        <f t="shared" ca="1" si="110"/>
        <v>-123422737.70352185</v>
      </c>
      <c r="J1426" s="444">
        <f t="array" ref="J1426">IFERROR(INDEX('Retirement Calculator'!K:K,MATCH('Lorri 401b'!N1426,'Retirement Calculator'!A:A,0),0),0)</f>
        <v>0</v>
      </c>
      <c r="K1426" s="444">
        <f t="shared" ca="1" si="108"/>
        <v>-514261.40709800774</v>
      </c>
      <c r="L1426" s="444">
        <f t="shared" ca="1" si="109"/>
        <v>-123936999.11061986</v>
      </c>
      <c r="M1426" s="460">
        <f t="shared" si="111"/>
        <v>0.05</v>
      </c>
      <c r="N1426" s="464">
        <f t="shared" si="112"/>
        <v>94447</v>
      </c>
    </row>
    <row r="1427" spans="7:14" ht="11.25" customHeight="1" x14ac:dyDescent="0.3">
      <c r="G1427" s="459"/>
      <c r="H1427" s="459">
        <v>1420</v>
      </c>
      <c r="I1427" s="444">
        <f t="shared" ca="1" si="110"/>
        <v>-123936999.11061986</v>
      </c>
      <c r="J1427" s="444">
        <f t="array" ref="J1427">IFERROR(INDEX('Retirement Calculator'!K:K,MATCH('Lorri 401b'!N1427,'Retirement Calculator'!A:A,0),0),0)</f>
        <v>0</v>
      </c>
      <c r="K1427" s="444">
        <f t="shared" ca="1" si="108"/>
        <v>-516404.16296091606</v>
      </c>
      <c r="L1427" s="444">
        <f t="shared" ca="1" si="109"/>
        <v>-124453403.27358077</v>
      </c>
      <c r="M1427" s="460">
        <f t="shared" si="111"/>
        <v>0.05</v>
      </c>
      <c r="N1427" s="464">
        <f t="shared" si="112"/>
        <v>94478</v>
      </c>
    </row>
    <row r="1428" spans="7:14" ht="11.25" customHeight="1" x14ac:dyDescent="0.3">
      <c r="G1428" s="459"/>
      <c r="H1428" s="459">
        <v>1421</v>
      </c>
      <c r="I1428" s="444">
        <f t="shared" ca="1" si="110"/>
        <v>-124453403.27358077</v>
      </c>
      <c r="J1428" s="444">
        <f t="array" ref="J1428">IFERROR(INDEX('Retirement Calculator'!K:K,MATCH('Lorri 401b'!N1428,'Retirement Calculator'!A:A,0),0),0)</f>
        <v>0</v>
      </c>
      <c r="K1428" s="444">
        <f t="shared" ca="1" si="108"/>
        <v>-518555.84697325324</v>
      </c>
      <c r="L1428" s="444">
        <f t="shared" ca="1" si="109"/>
        <v>-124971959.12055403</v>
      </c>
      <c r="M1428" s="460">
        <f t="shared" si="111"/>
        <v>0.05</v>
      </c>
      <c r="N1428" s="464">
        <f t="shared" si="112"/>
        <v>94508</v>
      </c>
    </row>
    <row r="1429" spans="7:14" ht="11.25" customHeight="1" x14ac:dyDescent="0.3">
      <c r="G1429" s="459"/>
      <c r="H1429" s="459">
        <v>1422</v>
      </c>
      <c r="I1429" s="444">
        <f t="shared" ca="1" si="110"/>
        <v>-124971959.12055403</v>
      </c>
      <c r="J1429" s="444">
        <f t="array" ref="J1429">IFERROR(INDEX('Retirement Calculator'!K:K,MATCH('Lorri 401b'!N1429,'Retirement Calculator'!A:A,0),0),0)</f>
        <v>0</v>
      </c>
      <c r="K1429" s="444">
        <f t="shared" ca="1" si="108"/>
        <v>-520716.49633564177</v>
      </c>
      <c r="L1429" s="444">
        <f t="shared" ca="1" si="109"/>
        <v>-125492675.61688967</v>
      </c>
      <c r="M1429" s="460">
        <f t="shared" si="111"/>
        <v>0.05</v>
      </c>
      <c r="N1429" s="464">
        <f t="shared" si="112"/>
        <v>94539</v>
      </c>
    </row>
    <row r="1430" spans="7:14" ht="11.25" customHeight="1" x14ac:dyDescent="0.3">
      <c r="G1430" s="459"/>
      <c r="H1430" s="459">
        <v>1423</v>
      </c>
      <c r="I1430" s="444">
        <f t="shared" ca="1" si="110"/>
        <v>-125492675.61688967</v>
      </c>
      <c r="J1430" s="444">
        <f t="array" ref="J1430">IFERROR(INDEX('Retirement Calculator'!K:K,MATCH('Lorri 401b'!N1430,'Retirement Calculator'!A:A,0),0),0)</f>
        <v>0</v>
      </c>
      <c r="K1430" s="444">
        <f t="shared" ca="1" si="108"/>
        <v>-522886.14840370696</v>
      </c>
      <c r="L1430" s="444">
        <f t="shared" ca="1" si="109"/>
        <v>-126015561.76529337</v>
      </c>
      <c r="M1430" s="460">
        <f t="shared" si="111"/>
        <v>0.05</v>
      </c>
      <c r="N1430" s="464">
        <f t="shared" si="112"/>
        <v>94569</v>
      </c>
    </row>
    <row r="1431" spans="7:14" ht="11.25" customHeight="1" x14ac:dyDescent="0.3">
      <c r="G1431" s="459"/>
      <c r="H1431" s="459">
        <v>1424</v>
      </c>
      <c r="I1431" s="444">
        <f t="shared" ca="1" si="110"/>
        <v>-126015561.76529337</v>
      </c>
      <c r="J1431" s="444">
        <f t="array" ref="J1431">IFERROR(INDEX('Retirement Calculator'!K:K,MATCH('Lorri 401b'!N1431,'Retirement Calculator'!A:A,0),0),0)</f>
        <v>0</v>
      </c>
      <c r="K1431" s="444">
        <f t="shared" ca="1" si="108"/>
        <v>-525064.84068872244</v>
      </c>
      <c r="L1431" s="444">
        <f t="shared" ca="1" si="109"/>
        <v>-126540626.6059821</v>
      </c>
      <c r="M1431" s="460">
        <f t="shared" si="111"/>
        <v>0.05</v>
      </c>
      <c r="N1431" s="464">
        <f t="shared" si="112"/>
        <v>94600</v>
      </c>
    </row>
    <row r="1432" spans="7:14" ht="11.25" customHeight="1" x14ac:dyDescent="0.3">
      <c r="G1432" s="459"/>
      <c r="H1432" s="459">
        <v>1425</v>
      </c>
      <c r="I1432" s="444">
        <f t="shared" ca="1" si="110"/>
        <v>-126540626.6059821</v>
      </c>
      <c r="J1432" s="444">
        <f t="array" ref="J1432">IFERROR(INDEX('Retirement Calculator'!K:K,MATCH('Lorri 401b'!N1432,'Retirement Calculator'!A:A,0),0),0)</f>
        <v>0</v>
      </c>
      <c r="K1432" s="444">
        <f t="shared" ca="1" si="108"/>
        <v>-527252.61085825867</v>
      </c>
      <c r="L1432" s="444">
        <f t="shared" ca="1" si="109"/>
        <v>-127067879.21684036</v>
      </c>
      <c r="M1432" s="460">
        <f t="shared" si="111"/>
        <v>0.05</v>
      </c>
      <c r="N1432" s="464">
        <f t="shared" si="112"/>
        <v>94631</v>
      </c>
    </row>
    <row r="1433" spans="7:14" ht="11.25" customHeight="1" x14ac:dyDescent="0.3">
      <c r="G1433" s="459"/>
      <c r="H1433" s="459">
        <v>1426</v>
      </c>
      <c r="I1433" s="444">
        <f t="shared" ca="1" si="110"/>
        <v>-127067879.21684036</v>
      </c>
      <c r="J1433" s="444">
        <f t="array" ref="J1433">IFERROR(INDEX('Retirement Calculator'!K:K,MATCH('Lorri 401b'!N1433,'Retirement Calculator'!A:A,0),0),0)</f>
        <v>0</v>
      </c>
      <c r="K1433" s="444">
        <f t="shared" ca="1" si="108"/>
        <v>-529449.49673683476</v>
      </c>
      <c r="L1433" s="444">
        <f t="shared" ca="1" si="109"/>
        <v>-127597328.7135772</v>
      </c>
      <c r="M1433" s="460">
        <f t="shared" si="111"/>
        <v>0.05</v>
      </c>
      <c r="N1433" s="464">
        <f t="shared" si="112"/>
        <v>94659</v>
      </c>
    </row>
    <row r="1434" spans="7:14" ht="11.25" customHeight="1" x14ac:dyDescent="0.3">
      <c r="G1434" s="459"/>
      <c r="H1434" s="459">
        <v>1427</v>
      </c>
      <c r="I1434" s="444">
        <f t="shared" ca="1" si="110"/>
        <v>-127597328.7135772</v>
      </c>
      <c r="J1434" s="444">
        <f t="array" ref="J1434">IFERROR(INDEX('Retirement Calculator'!K:K,MATCH('Lorri 401b'!N1434,'Retirement Calculator'!A:A,0),0),0)</f>
        <v>0</v>
      </c>
      <c r="K1434" s="444">
        <f t="shared" ca="1" si="108"/>
        <v>-531655.53630657168</v>
      </c>
      <c r="L1434" s="444">
        <f t="shared" ca="1" si="109"/>
        <v>-128128984.24988377</v>
      </c>
      <c r="M1434" s="460">
        <f t="shared" si="111"/>
        <v>0.05</v>
      </c>
      <c r="N1434" s="464">
        <f t="shared" si="112"/>
        <v>94690</v>
      </c>
    </row>
    <row r="1435" spans="7:14" ht="11.25" customHeight="1" x14ac:dyDescent="0.3">
      <c r="G1435" s="459"/>
      <c r="H1435" s="459">
        <v>1428</v>
      </c>
      <c r="I1435" s="444">
        <f t="shared" ca="1" si="110"/>
        <v>-128128984.24988377</v>
      </c>
      <c r="J1435" s="444">
        <f t="array" ref="J1435">IFERROR(INDEX('Retirement Calculator'!K:K,MATCH('Lorri 401b'!N1435,'Retirement Calculator'!A:A,0),0),0)</f>
        <v>0</v>
      </c>
      <c r="K1435" s="444">
        <f t="shared" ca="1" si="108"/>
        <v>-533870.76770784915</v>
      </c>
      <c r="L1435" s="444">
        <f t="shared" ca="1" si="109"/>
        <v>-128662855.01759163</v>
      </c>
      <c r="M1435" s="460">
        <f t="shared" si="111"/>
        <v>0.05</v>
      </c>
      <c r="N1435" s="464">
        <f t="shared" si="112"/>
        <v>94720</v>
      </c>
    </row>
    <row r="1436" spans="7:14" ht="11.25" customHeight="1" x14ac:dyDescent="0.3">
      <c r="G1436" s="459"/>
      <c r="H1436" s="459">
        <v>1429</v>
      </c>
      <c r="I1436" s="444">
        <f t="shared" ca="1" si="110"/>
        <v>-128662855.01759163</v>
      </c>
      <c r="J1436" s="444">
        <f t="array" ref="J1436">IFERROR(INDEX('Retirement Calculator'!K:K,MATCH('Lorri 401b'!N1436,'Retirement Calculator'!A:A,0),0),0)</f>
        <v>0</v>
      </c>
      <c r="K1436" s="444">
        <f t="shared" ca="1" si="108"/>
        <v>-536095.22923996509</v>
      </c>
      <c r="L1436" s="444">
        <f t="shared" ca="1" si="109"/>
        <v>-129198950.2468316</v>
      </c>
      <c r="M1436" s="460">
        <f t="shared" si="111"/>
        <v>0.05</v>
      </c>
      <c r="N1436" s="464">
        <f t="shared" si="112"/>
        <v>94751</v>
      </c>
    </row>
    <row r="1437" spans="7:14" ht="11.25" customHeight="1" x14ac:dyDescent="0.3">
      <c r="G1437" s="459"/>
      <c r="H1437" s="459">
        <v>1430</v>
      </c>
      <c r="I1437" s="444">
        <f t="shared" ca="1" si="110"/>
        <v>-129198950.2468316</v>
      </c>
      <c r="J1437" s="444">
        <f t="array" ref="J1437">IFERROR(INDEX('Retirement Calculator'!K:K,MATCH('Lorri 401b'!N1437,'Retirement Calculator'!A:A,0),0),0)</f>
        <v>0</v>
      </c>
      <c r="K1437" s="444">
        <f t="shared" ca="1" si="108"/>
        <v>-538328.95936179836</v>
      </c>
      <c r="L1437" s="444">
        <f t="shared" ca="1" si="109"/>
        <v>-129737279.20619339</v>
      </c>
      <c r="M1437" s="460">
        <f t="shared" si="111"/>
        <v>0.05</v>
      </c>
      <c r="N1437" s="464">
        <f t="shared" si="112"/>
        <v>94781</v>
      </c>
    </row>
    <row r="1438" spans="7:14" ht="11.25" customHeight="1" x14ac:dyDescent="0.3">
      <c r="G1438" s="459"/>
      <c r="H1438" s="459">
        <v>1431</v>
      </c>
      <c r="I1438" s="444">
        <f t="shared" ca="1" si="110"/>
        <v>-129737279.20619339</v>
      </c>
      <c r="J1438" s="444">
        <f t="array" ref="J1438">IFERROR(INDEX('Retirement Calculator'!K:K,MATCH('Lorri 401b'!N1438,'Retirement Calculator'!A:A,0),0),0)</f>
        <v>0</v>
      </c>
      <c r="K1438" s="444">
        <f t="shared" ca="1" si="108"/>
        <v>-540571.99669247249</v>
      </c>
      <c r="L1438" s="444">
        <f t="shared" ca="1" si="109"/>
        <v>-130277851.20288587</v>
      </c>
      <c r="M1438" s="460">
        <f t="shared" si="111"/>
        <v>0.05</v>
      </c>
      <c r="N1438" s="464">
        <f t="shared" si="112"/>
        <v>94812</v>
      </c>
    </row>
    <row r="1439" spans="7:14" ht="11.25" customHeight="1" x14ac:dyDescent="0.3">
      <c r="G1439" s="459"/>
      <c r="H1439" s="459">
        <v>1432</v>
      </c>
      <c r="I1439" s="444">
        <f t="shared" ca="1" si="110"/>
        <v>-130277851.20288587</v>
      </c>
      <c r="J1439" s="444">
        <f t="array" ref="J1439">IFERROR(INDEX('Retirement Calculator'!K:K,MATCH('Lorri 401b'!N1439,'Retirement Calculator'!A:A,0),0),0)</f>
        <v>0</v>
      </c>
      <c r="K1439" s="444">
        <f t="shared" ca="1" si="108"/>
        <v>-542824.38001202443</v>
      </c>
      <c r="L1439" s="444">
        <f t="shared" ca="1" si="109"/>
        <v>-130820675.58289789</v>
      </c>
      <c r="M1439" s="460">
        <f t="shared" si="111"/>
        <v>0.05</v>
      </c>
      <c r="N1439" s="464">
        <f t="shared" si="112"/>
        <v>94843</v>
      </c>
    </row>
    <row r="1440" spans="7:14" ht="11.25" customHeight="1" x14ac:dyDescent="0.3">
      <c r="G1440" s="459"/>
      <c r="H1440" s="459">
        <v>1433</v>
      </c>
      <c r="I1440" s="444">
        <f t="shared" ca="1" si="110"/>
        <v>-130820675.58289789</v>
      </c>
      <c r="J1440" s="444">
        <f t="array" ref="J1440">IFERROR(INDEX('Retirement Calculator'!K:K,MATCH('Lorri 401b'!N1440,'Retirement Calculator'!A:A,0),0),0)</f>
        <v>0</v>
      </c>
      <c r="K1440" s="444">
        <f t="shared" ca="1" si="108"/>
        <v>-545086.14826207457</v>
      </c>
      <c r="L1440" s="444">
        <f t="shared" ca="1" si="109"/>
        <v>-131365761.73115996</v>
      </c>
      <c r="M1440" s="460">
        <f t="shared" si="111"/>
        <v>0.05</v>
      </c>
      <c r="N1440" s="464">
        <f t="shared" si="112"/>
        <v>94873</v>
      </c>
    </row>
    <row r="1441" spans="7:14" ht="11.25" customHeight="1" x14ac:dyDescent="0.3">
      <c r="G1441" s="459"/>
      <c r="H1441" s="459">
        <v>1434</v>
      </c>
      <c r="I1441" s="444">
        <f t="shared" ca="1" si="110"/>
        <v>-131365761.73115996</v>
      </c>
      <c r="J1441" s="444">
        <f t="array" ref="J1441">IFERROR(INDEX('Retirement Calculator'!K:K,MATCH('Lorri 401b'!N1441,'Retirement Calculator'!A:A,0),0),0)</f>
        <v>0</v>
      </c>
      <c r="K1441" s="444">
        <f t="shared" ca="1" si="108"/>
        <v>-547357.34054649982</v>
      </c>
      <c r="L1441" s="444">
        <f t="shared" ca="1" si="109"/>
        <v>-131913119.07170646</v>
      </c>
      <c r="M1441" s="460">
        <f t="shared" si="111"/>
        <v>0.05</v>
      </c>
      <c r="N1441" s="464">
        <f t="shared" si="112"/>
        <v>94904</v>
      </c>
    </row>
    <row r="1442" spans="7:14" ht="11.25" customHeight="1" x14ac:dyDescent="0.3">
      <c r="G1442" s="459"/>
      <c r="H1442" s="459">
        <v>1435</v>
      </c>
      <c r="I1442" s="444">
        <f t="shared" ca="1" si="110"/>
        <v>-131913119.07170646</v>
      </c>
      <c r="J1442" s="444">
        <f t="array" ref="J1442">IFERROR(INDEX('Retirement Calculator'!K:K,MATCH('Lorri 401b'!N1442,'Retirement Calculator'!A:A,0),0),0)</f>
        <v>0</v>
      </c>
      <c r="K1442" s="444">
        <f t="shared" ca="1" si="108"/>
        <v>-549637.99613211025</v>
      </c>
      <c r="L1442" s="444">
        <f t="shared" ca="1" si="109"/>
        <v>-132462757.06783856</v>
      </c>
      <c r="M1442" s="460">
        <f t="shared" si="111"/>
        <v>0.05</v>
      </c>
      <c r="N1442" s="464">
        <f t="shared" si="112"/>
        <v>94934</v>
      </c>
    </row>
    <row r="1443" spans="7:14" ht="11.25" customHeight="1" x14ac:dyDescent="0.3">
      <c r="G1443" s="459"/>
      <c r="H1443" s="459">
        <v>1436</v>
      </c>
      <c r="I1443" s="444">
        <f t="shared" ca="1" si="110"/>
        <v>-132462757.06783856</v>
      </c>
      <c r="J1443" s="444">
        <f t="array" ref="J1443">IFERROR(INDEX('Retirement Calculator'!K:K,MATCH('Lorri 401b'!N1443,'Retirement Calculator'!A:A,0),0),0)</f>
        <v>0</v>
      </c>
      <c r="K1443" s="444">
        <f t="shared" ca="1" si="108"/>
        <v>-551928.15444932727</v>
      </c>
      <c r="L1443" s="444">
        <f t="shared" ca="1" si="109"/>
        <v>-133014685.22228789</v>
      </c>
      <c r="M1443" s="460">
        <f t="shared" si="111"/>
        <v>0.05</v>
      </c>
      <c r="N1443" s="464">
        <f t="shared" si="112"/>
        <v>94965</v>
      </c>
    </row>
    <row r="1444" spans="7:14" ht="11.25" customHeight="1" x14ac:dyDescent="0.3">
      <c r="G1444" s="459"/>
      <c r="H1444" s="459">
        <v>1437</v>
      </c>
      <c r="I1444" s="444">
        <f t="shared" ca="1" si="110"/>
        <v>-133014685.22228789</v>
      </c>
      <c r="J1444" s="444">
        <f t="array" ref="J1444">IFERROR(INDEX('Retirement Calculator'!K:K,MATCH('Lorri 401b'!N1444,'Retirement Calculator'!A:A,0),0),0)</f>
        <v>0</v>
      </c>
      <c r="K1444" s="444">
        <f t="shared" ca="1" si="108"/>
        <v>-554227.85509286623</v>
      </c>
      <c r="L1444" s="444">
        <f t="shared" ca="1" si="109"/>
        <v>-133568913.07738076</v>
      </c>
      <c r="M1444" s="460">
        <f t="shared" si="111"/>
        <v>0.05</v>
      </c>
      <c r="N1444" s="464">
        <f t="shared" si="112"/>
        <v>94996</v>
      </c>
    </row>
    <row r="1445" spans="7:14" ht="11.25" customHeight="1" x14ac:dyDescent="0.3">
      <c r="G1445" s="459"/>
      <c r="H1445" s="459">
        <v>1438</v>
      </c>
      <c r="I1445" s="444">
        <f t="shared" ca="1" si="110"/>
        <v>-133568913.07738076</v>
      </c>
      <c r="J1445" s="444">
        <f t="array" ref="J1445">IFERROR(INDEX('Retirement Calculator'!K:K,MATCH('Lorri 401b'!N1445,'Retirement Calculator'!A:A,0),0),0)</f>
        <v>0</v>
      </c>
      <c r="K1445" s="444">
        <f t="shared" ca="1" si="108"/>
        <v>-556537.13782241987</v>
      </c>
      <c r="L1445" s="444">
        <f t="shared" ca="1" si="109"/>
        <v>-134125450.21520318</v>
      </c>
      <c r="M1445" s="460">
        <f t="shared" si="111"/>
        <v>0.05</v>
      </c>
      <c r="N1445" s="464">
        <f t="shared" si="112"/>
        <v>95025</v>
      </c>
    </row>
    <row r="1446" spans="7:14" ht="11.25" customHeight="1" x14ac:dyDescent="0.3">
      <c r="G1446" s="459"/>
      <c r="H1446" s="459">
        <v>1439</v>
      </c>
      <c r="I1446" s="444">
        <f t="shared" ca="1" si="110"/>
        <v>-134125450.21520318</v>
      </c>
      <c r="J1446" s="444">
        <f t="array" ref="J1446">IFERROR(INDEX('Retirement Calculator'!K:K,MATCH('Lorri 401b'!N1446,'Retirement Calculator'!A:A,0),0),0)</f>
        <v>0</v>
      </c>
      <c r="K1446" s="444">
        <f t="shared" ca="1" si="108"/>
        <v>-558856.04256334656</v>
      </c>
      <c r="L1446" s="444">
        <f t="shared" ca="1" si="109"/>
        <v>-134684306.25776652</v>
      </c>
      <c r="M1446" s="460">
        <f t="shared" si="111"/>
        <v>0.05</v>
      </c>
      <c r="N1446" s="464">
        <f t="shared" si="112"/>
        <v>95056</v>
      </c>
    </row>
    <row r="1447" spans="7:14" ht="11.25" customHeight="1" x14ac:dyDescent="0.3">
      <c r="G1447" s="459"/>
      <c r="H1447" s="459">
        <v>1440</v>
      </c>
      <c r="I1447" s="444">
        <f t="shared" ca="1" si="110"/>
        <v>-134684306.25776652</v>
      </c>
      <c r="J1447" s="444">
        <f t="array" ref="J1447">IFERROR(INDEX('Retirement Calculator'!K:K,MATCH('Lorri 401b'!N1447,'Retirement Calculator'!A:A,0),0),0)</f>
        <v>0</v>
      </c>
      <c r="K1447" s="444">
        <f t="shared" ca="1" si="108"/>
        <v>-561184.60940736043</v>
      </c>
      <c r="L1447" s="444">
        <f t="shared" ca="1" si="109"/>
        <v>-135245490.86717388</v>
      </c>
      <c r="M1447" s="460">
        <f t="shared" si="111"/>
        <v>0.05</v>
      </c>
      <c r="N1447" s="464">
        <f t="shared" si="112"/>
        <v>95086</v>
      </c>
    </row>
    <row r="1448" spans="7:14" ht="11.25" customHeight="1" x14ac:dyDescent="0.3">
      <c r="G1448" s="459"/>
      <c r="H1448" s="459">
        <v>1441</v>
      </c>
      <c r="I1448" s="444">
        <f t="shared" ca="1" si="110"/>
        <v>-135245490.86717388</v>
      </c>
      <c r="J1448" s="444">
        <f t="array" ref="J1448">IFERROR(INDEX('Retirement Calculator'!K:K,MATCH('Lorri 401b'!N1448,'Retirement Calculator'!A:A,0),0),0)</f>
        <v>0</v>
      </c>
      <c r="K1448" s="444">
        <f t="shared" ca="1" si="108"/>
        <v>-563522.87861322449</v>
      </c>
      <c r="L1448" s="444">
        <f t="shared" ca="1" si="109"/>
        <v>-135809013.74578711</v>
      </c>
      <c r="M1448" s="460">
        <f t="shared" si="111"/>
        <v>0.05</v>
      </c>
      <c r="N1448" s="464">
        <f t="shared" si="112"/>
        <v>95117</v>
      </c>
    </row>
    <row r="1449" spans="7:14" ht="11.25" customHeight="1" x14ac:dyDescent="0.3">
      <c r="G1449" s="459"/>
      <c r="H1449" s="459">
        <v>1442</v>
      </c>
      <c r="I1449" s="444">
        <f t="shared" ca="1" si="110"/>
        <v>-135809013.74578711</v>
      </c>
      <c r="J1449" s="444">
        <f t="array" ref="J1449">IFERROR(INDEX('Retirement Calculator'!K:K,MATCH('Lorri 401b'!N1449,'Retirement Calculator'!A:A,0),0),0)</f>
        <v>0</v>
      </c>
      <c r="K1449" s="444">
        <f t="shared" ca="1" si="108"/>
        <v>-565870.89060744632</v>
      </c>
      <c r="L1449" s="444">
        <f t="shared" ca="1" si="109"/>
        <v>-136374884.63639456</v>
      </c>
      <c r="M1449" s="460">
        <f t="shared" si="111"/>
        <v>0.05</v>
      </c>
      <c r="N1449" s="464">
        <f t="shared" si="112"/>
        <v>95147</v>
      </c>
    </row>
    <row r="1450" spans="7:14" ht="11.25" customHeight="1" x14ac:dyDescent="0.3">
      <c r="G1450" s="459"/>
      <c r="H1450" s="459">
        <v>1443</v>
      </c>
      <c r="I1450" s="444">
        <f t="shared" ca="1" si="110"/>
        <v>-136374884.63639456</v>
      </c>
      <c r="J1450" s="444">
        <f t="array" ref="J1450">IFERROR(INDEX('Retirement Calculator'!K:K,MATCH('Lorri 401b'!N1450,'Retirement Calculator'!A:A,0),0),0)</f>
        <v>0</v>
      </c>
      <c r="K1450" s="444">
        <f t="shared" ca="1" si="108"/>
        <v>-568228.68598497729</v>
      </c>
      <c r="L1450" s="444">
        <f t="shared" ca="1" si="109"/>
        <v>-136943113.32237953</v>
      </c>
      <c r="M1450" s="460">
        <f t="shared" si="111"/>
        <v>0.05</v>
      </c>
      <c r="N1450" s="464">
        <f t="shared" si="112"/>
        <v>95178</v>
      </c>
    </row>
    <row r="1451" spans="7:14" ht="11.25" customHeight="1" x14ac:dyDescent="0.3">
      <c r="G1451" s="459"/>
      <c r="H1451" s="459">
        <v>1444</v>
      </c>
      <c r="I1451" s="444">
        <f t="shared" ca="1" si="110"/>
        <v>-136943113.32237953</v>
      </c>
      <c r="J1451" s="444">
        <f t="array" ref="J1451">IFERROR(INDEX('Retirement Calculator'!K:K,MATCH('Lorri 401b'!N1451,'Retirement Calculator'!A:A,0),0),0)</f>
        <v>0</v>
      </c>
      <c r="K1451" s="444">
        <f t="shared" ca="1" si="108"/>
        <v>-570596.30550991464</v>
      </c>
      <c r="L1451" s="444">
        <f t="shared" ca="1" si="109"/>
        <v>-137513709.62788945</v>
      </c>
      <c r="M1451" s="460">
        <f t="shared" si="111"/>
        <v>0.05</v>
      </c>
      <c r="N1451" s="464">
        <f t="shared" si="112"/>
        <v>95209</v>
      </c>
    </row>
    <row r="1452" spans="7:14" ht="11.25" customHeight="1" x14ac:dyDescent="0.3">
      <c r="G1452" s="459"/>
      <c r="H1452" s="459">
        <v>1445</v>
      </c>
      <c r="I1452" s="444">
        <f t="shared" ca="1" si="110"/>
        <v>-137513709.62788945</v>
      </c>
      <c r="J1452" s="444">
        <f t="array" ref="J1452">IFERROR(INDEX('Retirement Calculator'!K:K,MATCH('Lorri 401b'!N1452,'Retirement Calculator'!A:A,0),0),0)</f>
        <v>0</v>
      </c>
      <c r="K1452" s="444">
        <f t="shared" ca="1" si="108"/>
        <v>-572973.79011620604</v>
      </c>
      <c r="L1452" s="444">
        <f t="shared" ca="1" si="109"/>
        <v>-138086683.41800568</v>
      </c>
      <c r="M1452" s="460">
        <f t="shared" si="111"/>
        <v>0.05</v>
      </c>
      <c r="N1452" s="464">
        <f t="shared" si="112"/>
        <v>95239</v>
      </c>
    </row>
    <row r="1453" spans="7:14" ht="11.25" customHeight="1" x14ac:dyDescent="0.3">
      <c r="G1453" s="459"/>
      <c r="H1453" s="459">
        <v>1446</v>
      </c>
      <c r="I1453" s="444">
        <f t="shared" ca="1" si="110"/>
        <v>-138086683.41800568</v>
      </c>
      <c r="J1453" s="444">
        <f t="array" ref="J1453">IFERROR(INDEX('Retirement Calculator'!K:K,MATCH('Lorri 401b'!N1453,'Retirement Calculator'!A:A,0),0),0)</f>
        <v>0</v>
      </c>
      <c r="K1453" s="444">
        <f t="shared" ca="1" si="108"/>
        <v>-575361.18090835703</v>
      </c>
      <c r="L1453" s="444">
        <f t="shared" ca="1" si="109"/>
        <v>-138662044.59891403</v>
      </c>
      <c r="M1453" s="460">
        <f t="shared" si="111"/>
        <v>0.05</v>
      </c>
      <c r="N1453" s="464">
        <f t="shared" si="112"/>
        <v>95270</v>
      </c>
    </row>
    <row r="1454" spans="7:14" ht="11.25" customHeight="1" x14ac:dyDescent="0.3">
      <c r="G1454" s="459"/>
      <c r="H1454" s="459">
        <v>1447</v>
      </c>
      <c r="I1454" s="444">
        <f t="shared" ca="1" si="110"/>
        <v>-138662044.59891403</v>
      </c>
      <c r="J1454" s="444">
        <f t="array" ref="J1454">IFERROR(INDEX('Retirement Calculator'!K:K,MATCH('Lorri 401b'!N1454,'Retirement Calculator'!A:A,0),0),0)</f>
        <v>0</v>
      </c>
      <c r="K1454" s="444">
        <f t="shared" ca="1" si="108"/>
        <v>-577758.51916214172</v>
      </c>
      <c r="L1454" s="444">
        <f t="shared" ca="1" si="109"/>
        <v>-139239803.11807618</v>
      </c>
      <c r="M1454" s="460">
        <f t="shared" si="111"/>
        <v>0.05</v>
      </c>
      <c r="N1454" s="464">
        <f t="shared" si="112"/>
        <v>95300</v>
      </c>
    </row>
    <row r="1455" spans="7:14" ht="11.25" customHeight="1" x14ac:dyDescent="0.3">
      <c r="G1455" s="459"/>
      <c r="H1455" s="459">
        <v>1448</v>
      </c>
      <c r="I1455" s="444">
        <f t="shared" ca="1" si="110"/>
        <v>-139239803.11807618</v>
      </c>
      <c r="J1455" s="444">
        <f t="array" ref="J1455">IFERROR(INDEX('Retirement Calculator'!K:K,MATCH('Lorri 401b'!N1455,'Retirement Calculator'!A:A,0),0),0)</f>
        <v>0</v>
      </c>
      <c r="K1455" s="444">
        <f t="shared" ca="1" si="108"/>
        <v>-580165.8463253174</v>
      </c>
      <c r="L1455" s="444">
        <f t="shared" ca="1" si="109"/>
        <v>-139819968.96440148</v>
      </c>
      <c r="M1455" s="460">
        <f t="shared" si="111"/>
        <v>0.05</v>
      </c>
      <c r="N1455" s="464">
        <f t="shared" si="112"/>
        <v>95331</v>
      </c>
    </row>
    <row r="1456" spans="7:14" ht="11.25" customHeight="1" x14ac:dyDescent="0.3">
      <c r="G1456" s="459"/>
      <c r="H1456" s="459">
        <v>1449</v>
      </c>
      <c r="I1456" s="444">
        <f t="shared" ca="1" si="110"/>
        <v>-139819968.96440148</v>
      </c>
      <c r="J1456" s="444">
        <f t="array" ref="J1456">IFERROR(INDEX('Retirement Calculator'!K:K,MATCH('Lorri 401b'!N1456,'Retirement Calculator'!A:A,0),0),0)</f>
        <v>0</v>
      </c>
      <c r="K1456" s="444">
        <f t="shared" ca="1" si="108"/>
        <v>-582583.20401833951</v>
      </c>
      <c r="L1456" s="444">
        <f t="shared" ca="1" si="109"/>
        <v>-140402552.16841984</v>
      </c>
      <c r="M1456" s="460">
        <f t="shared" si="111"/>
        <v>0.05</v>
      </c>
      <c r="N1456" s="464">
        <f t="shared" si="112"/>
        <v>95362</v>
      </c>
    </row>
    <row r="1457" spans="7:14" ht="11.25" customHeight="1" x14ac:dyDescent="0.3">
      <c r="G1457" s="459"/>
      <c r="H1457" s="459">
        <v>1450</v>
      </c>
      <c r="I1457" s="444">
        <f t="shared" ca="1" si="110"/>
        <v>-140402552.16841984</v>
      </c>
      <c r="J1457" s="444">
        <f t="array" ref="J1457">IFERROR(INDEX('Retirement Calculator'!K:K,MATCH('Lorri 401b'!N1457,'Retirement Calculator'!A:A,0),0),0)</f>
        <v>0</v>
      </c>
      <c r="K1457" s="444">
        <f t="shared" ca="1" si="108"/>
        <v>-585010.63403508265</v>
      </c>
      <c r="L1457" s="444">
        <f t="shared" ca="1" si="109"/>
        <v>-140987562.80245492</v>
      </c>
      <c r="M1457" s="460">
        <f t="shared" si="111"/>
        <v>0.05</v>
      </c>
      <c r="N1457" s="464">
        <f t="shared" si="112"/>
        <v>95390</v>
      </c>
    </row>
    <row r="1458" spans="7:14" ht="11.25" customHeight="1" x14ac:dyDescent="0.3">
      <c r="G1458" s="459"/>
      <c r="H1458" s="459">
        <v>1451</v>
      </c>
      <c r="I1458" s="444">
        <f t="shared" ca="1" si="110"/>
        <v>-140987562.80245492</v>
      </c>
      <c r="J1458" s="444">
        <f t="array" ref="J1458">IFERROR(INDEX('Retirement Calculator'!K:K,MATCH('Lorri 401b'!N1458,'Retirement Calculator'!A:A,0),0),0)</f>
        <v>0</v>
      </c>
      <c r="K1458" s="444">
        <f t="shared" ca="1" si="108"/>
        <v>-587448.17834356218</v>
      </c>
      <c r="L1458" s="444">
        <f t="shared" ca="1" si="109"/>
        <v>-141575010.98079848</v>
      </c>
      <c r="M1458" s="460">
        <f t="shared" si="111"/>
        <v>0.05</v>
      </c>
      <c r="N1458" s="464">
        <f t="shared" si="112"/>
        <v>95421</v>
      </c>
    </row>
    <row r="1459" spans="7:14" ht="11.25" customHeight="1" x14ac:dyDescent="0.3">
      <c r="G1459" s="459"/>
      <c r="H1459" s="459">
        <v>1452</v>
      </c>
      <c r="I1459" s="444">
        <f t="shared" ca="1" si="110"/>
        <v>-141575010.98079848</v>
      </c>
      <c r="J1459" s="444">
        <f t="array" ref="J1459">IFERROR(INDEX('Retirement Calculator'!K:K,MATCH('Lorri 401b'!N1459,'Retirement Calculator'!A:A,0),0),0)</f>
        <v>0</v>
      </c>
      <c r="K1459" s="444">
        <f t="shared" ca="1" si="108"/>
        <v>-589895.87908666034</v>
      </c>
      <c r="L1459" s="444">
        <f t="shared" ca="1" si="109"/>
        <v>-142164906.85988516</v>
      </c>
      <c r="M1459" s="460">
        <f t="shared" si="111"/>
        <v>0.05</v>
      </c>
      <c r="N1459" s="464">
        <f t="shared" si="112"/>
        <v>95451</v>
      </c>
    </row>
    <row r="1460" spans="7:14" ht="11.25" customHeight="1" x14ac:dyDescent="0.3">
      <c r="G1460" s="459"/>
      <c r="H1460" s="459">
        <v>1453</v>
      </c>
      <c r="I1460" s="444">
        <f t="shared" ca="1" si="110"/>
        <v>-142164906.85988516</v>
      </c>
      <c r="J1460" s="444">
        <f t="array" ref="J1460">IFERROR(INDEX('Retirement Calculator'!K:K,MATCH('Lorri 401b'!N1460,'Retirement Calculator'!A:A,0),0),0)</f>
        <v>0</v>
      </c>
      <c r="K1460" s="444">
        <f t="shared" ca="1" si="108"/>
        <v>-592353.77858285478</v>
      </c>
      <c r="L1460" s="444">
        <f t="shared" ca="1" si="109"/>
        <v>-142757260.638468</v>
      </c>
      <c r="M1460" s="460">
        <f t="shared" si="111"/>
        <v>0.05</v>
      </c>
      <c r="N1460" s="464">
        <f t="shared" si="112"/>
        <v>95482</v>
      </c>
    </row>
    <row r="1461" spans="7:14" ht="11.25" customHeight="1" x14ac:dyDescent="0.3">
      <c r="G1461" s="459"/>
      <c r="H1461" s="459">
        <v>1454</v>
      </c>
      <c r="I1461" s="444">
        <f t="shared" ca="1" si="110"/>
        <v>-142757260.638468</v>
      </c>
      <c r="J1461" s="444">
        <f t="array" ref="J1461">IFERROR(INDEX('Retirement Calculator'!K:K,MATCH('Lorri 401b'!N1461,'Retirement Calculator'!A:A,0),0),0)</f>
        <v>0</v>
      </c>
      <c r="K1461" s="444">
        <f t="shared" ca="1" si="108"/>
        <v>-594821.91932694998</v>
      </c>
      <c r="L1461" s="444">
        <f t="shared" ca="1" si="109"/>
        <v>-143352082.55779496</v>
      </c>
      <c r="M1461" s="460">
        <f t="shared" si="111"/>
        <v>0.05</v>
      </c>
      <c r="N1461" s="464">
        <f t="shared" si="112"/>
        <v>95512</v>
      </c>
    </row>
    <row r="1462" spans="7:14" ht="11.25" customHeight="1" x14ac:dyDescent="0.3">
      <c r="G1462" s="459"/>
      <c r="H1462" s="459">
        <v>1455</v>
      </c>
      <c r="I1462" s="444">
        <f t="shared" ca="1" si="110"/>
        <v>-143352082.55779496</v>
      </c>
      <c r="J1462" s="444">
        <f t="array" ref="J1462">IFERROR(INDEX('Retirement Calculator'!K:K,MATCH('Lorri 401b'!N1462,'Retirement Calculator'!A:A,0),0),0)</f>
        <v>0</v>
      </c>
      <c r="K1462" s="444">
        <f t="shared" ca="1" si="108"/>
        <v>-597300.34399081231</v>
      </c>
      <c r="L1462" s="444">
        <f t="shared" ca="1" si="109"/>
        <v>-143949382.90178576</v>
      </c>
      <c r="M1462" s="460">
        <f t="shared" si="111"/>
        <v>0.05</v>
      </c>
      <c r="N1462" s="464">
        <f t="shared" si="112"/>
        <v>95543</v>
      </c>
    </row>
    <row r="1463" spans="7:14" ht="11.25" customHeight="1" x14ac:dyDescent="0.3">
      <c r="G1463" s="459"/>
      <c r="H1463" s="459">
        <v>1456</v>
      </c>
      <c r="I1463" s="444">
        <f t="shared" ca="1" si="110"/>
        <v>-143949382.90178576</v>
      </c>
      <c r="J1463" s="444">
        <f t="array" ref="J1463">IFERROR(INDEX('Retirement Calculator'!K:K,MATCH('Lorri 401b'!N1463,'Retirement Calculator'!A:A,0),0),0)</f>
        <v>0</v>
      </c>
      <c r="K1463" s="444">
        <f t="shared" ca="1" si="108"/>
        <v>-599789.09542410728</v>
      </c>
      <c r="L1463" s="444">
        <f t="shared" ca="1" si="109"/>
        <v>-144549171.99720988</v>
      </c>
      <c r="M1463" s="460">
        <f t="shared" si="111"/>
        <v>0.05</v>
      </c>
      <c r="N1463" s="464">
        <f t="shared" si="112"/>
        <v>95574</v>
      </c>
    </row>
    <row r="1464" spans="7:14" ht="11.25" customHeight="1" x14ac:dyDescent="0.3">
      <c r="G1464" s="459"/>
      <c r="H1464" s="459">
        <v>1457</v>
      </c>
      <c r="I1464" s="444">
        <f t="shared" ca="1" si="110"/>
        <v>-144549171.99720988</v>
      </c>
      <c r="J1464" s="444">
        <f t="array" ref="J1464">IFERROR(INDEX('Retirement Calculator'!K:K,MATCH('Lorri 401b'!N1464,'Retirement Calculator'!A:A,0),0),0)</f>
        <v>0</v>
      </c>
      <c r="K1464" s="444">
        <f t="shared" ca="1" si="108"/>
        <v>-602288.21665504109</v>
      </c>
      <c r="L1464" s="444">
        <f t="shared" ca="1" si="109"/>
        <v>-145151460.21386492</v>
      </c>
      <c r="M1464" s="460">
        <f t="shared" si="111"/>
        <v>0.05</v>
      </c>
      <c r="N1464" s="464">
        <f t="shared" si="112"/>
        <v>95604</v>
      </c>
    </row>
    <row r="1465" spans="7:14" ht="11.25" customHeight="1" x14ac:dyDescent="0.3">
      <c r="G1465" s="459"/>
      <c r="H1465" s="459">
        <v>1458</v>
      </c>
      <c r="I1465" s="444">
        <f t="shared" ca="1" si="110"/>
        <v>-145151460.21386492</v>
      </c>
      <c r="J1465" s="444">
        <f t="array" ref="J1465">IFERROR(INDEX('Retirement Calculator'!K:K,MATCH('Lorri 401b'!N1465,'Retirement Calculator'!A:A,0),0),0)</f>
        <v>0</v>
      </c>
      <c r="K1465" s="444">
        <f t="shared" ca="1" si="108"/>
        <v>-604797.75089110387</v>
      </c>
      <c r="L1465" s="444">
        <f t="shared" ca="1" si="109"/>
        <v>-145756257.96475601</v>
      </c>
      <c r="M1465" s="460">
        <f t="shared" si="111"/>
        <v>0.05</v>
      </c>
      <c r="N1465" s="464">
        <f t="shared" si="112"/>
        <v>95635</v>
      </c>
    </row>
    <row r="1466" spans="7:14" ht="11.25" customHeight="1" x14ac:dyDescent="0.3">
      <c r="G1466" s="459"/>
      <c r="H1466" s="459">
        <v>1459</v>
      </c>
      <c r="I1466" s="444">
        <f t="shared" ca="1" si="110"/>
        <v>-145756257.96475601</v>
      </c>
      <c r="J1466" s="444">
        <f t="array" ref="J1466">IFERROR(INDEX('Retirement Calculator'!K:K,MATCH('Lorri 401b'!N1466,'Retirement Calculator'!A:A,0),0),0)</f>
        <v>0</v>
      </c>
      <c r="K1466" s="444">
        <f t="shared" ca="1" si="108"/>
        <v>-607317.74151981669</v>
      </c>
      <c r="L1466" s="444">
        <f t="shared" ca="1" si="109"/>
        <v>-146363575.70627582</v>
      </c>
      <c r="M1466" s="460">
        <f t="shared" si="111"/>
        <v>0.05</v>
      </c>
      <c r="N1466" s="464">
        <f t="shared" si="112"/>
        <v>95665</v>
      </c>
    </row>
    <row r="1467" spans="7:14" ht="11.25" customHeight="1" x14ac:dyDescent="0.3">
      <c r="G1467" s="459"/>
      <c r="H1467" s="459">
        <v>1460</v>
      </c>
      <c r="I1467" s="444">
        <f t="shared" ca="1" si="110"/>
        <v>-146363575.70627582</v>
      </c>
      <c r="J1467" s="444">
        <f t="array" ref="J1467">IFERROR(INDEX('Retirement Calculator'!K:K,MATCH('Lorri 401b'!N1467,'Retirement Calculator'!A:A,0),0),0)</f>
        <v>0</v>
      </c>
      <c r="K1467" s="444">
        <f t="shared" ca="1" si="108"/>
        <v>-609848.23210948263</v>
      </c>
      <c r="L1467" s="444">
        <f t="shared" ca="1" si="109"/>
        <v>-146973423.93838531</v>
      </c>
      <c r="M1467" s="460">
        <f t="shared" si="111"/>
        <v>0.05</v>
      </c>
      <c r="N1467" s="464">
        <f t="shared" si="112"/>
        <v>95696</v>
      </c>
    </row>
    <row r="1468" spans="7:14" ht="11.25" customHeight="1" x14ac:dyDescent="0.3">
      <c r="G1468" s="459"/>
      <c r="H1468" s="459">
        <v>1461</v>
      </c>
      <c r="I1468" s="444">
        <f t="shared" ca="1" si="110"/>
        <v>-146973423.93838531</v>
      </c>
      <c r="J1468" s="444">
        <f t="array" ref="J1468">IFERROR(INDEX('Retirement Calculator'!K:K,MATCH('Lorri 401b'!N1468,'Retirement Calculator'!A:A,0),0),0)</f>
        <v>0</v>
      </c>
      <c r="K1468" s="444">
        <f t="shared" ca="1" si="108"/>
        <v>-612389.26640993881</v>
      </c>
      <c r="L1468" s="444">
        <f t="shared" ca="1" si="109"/>
        <v>-147585813.20479524</v>
      </c>
      <c r="M1468" s="460">
        <f t="shared" si="111"/>
        <v>0.05</v>
      </c>
      <c r="N1468" s="464">
        <f t="shared" si="112"/>
        <v>95727</v>
      </c>
    </row>
    <row r="1469" spans="7:14" ht="11.25" customHeight="1" x14ac:dyDescent="0.3">
      <c r="G1469" s="459"/>
      <c r="H1469" s="459">
        <v>1462</v>
      </c>
      <c r="I1469" s="444">
        <f t="shared" ca="1" si="110"/>
        <v>-147585813.20479524</v>
      </c>
      <c r="J1469" s="444">
        <f t="array" ref="J1469">IFERROR(INDEX('Retirement Calculator'!K:K,MATCH('Lorri 401b'!N1469,'Retirement Calculator'!A:A,0),0),0)</f>
        <v>0</v>
      </c>
      <c r="K1469" s="444">
        <f t="shared" ca="1" si="108"/>
        <v>-614940.88835331355</v>
      </c>
      <c r="L1469" s="444">
        <f t="shared" ca="1" si="109"/>
        <v>-148200754.09314856</v>
      </c>
      <c r="M1469" s="460">
        <f t="shared" si="111"/>
        <v>0.05</v>
      </c>
      <c r="N1469" s="464">
        <f t="shared" si="112"/>
        <v>95755</v>
      </c>
    </row>
    <row r="1470" spans="7:14" ht="11.25" customHeight="1" x14ac:dyDescent="0.3">
      <c r="G1470" s="459"/>
      <c r="H1470" s="459">
        <v>1463</v>
      </c>
      <c r="I1470" s="444">
        <f t="shared" ca="1" si="110"/>
        <v>-148200754.09314856</v>
      </c>
      <c r="J1470" s="444">
        <f t="array" ref="J1470">IFERROR(INDEX('Retirement Calculator'!K:K,MATCH('Lorri 401b'!N1470,'Retirement Calculator'!A:A,0),0),0)</f>
        <v>0</v>
      </c>
      <c r="K1470" s="444">
        <f t="shared" ca="1" si="108"/>
        <v>-617503.14205478563</v>
      </c>
      <c r="L1470" s="444">
        <f t="shared" ca="1" si="109"/>
        <v>-148818257.23520336</v>
      </c>
      <c r="M1470" s="460">
        <f t="shared" si="111"/>
        <v>0.05</v>
      </c>
      <c r="N1470" s="464">
        <f t="shared" si="112"/>
        <v>95786</v>
      </c>
    </row>
    <row r="1471" spans="7:14" ht="11.25" customHeight="1" x14ac:dyDescent="0.3">
      <c r="G1471" s="459"/>
      <c r="H1471" s="459">
        <v>1464</v>
      </c>
      <c r="I1471" s="444">
        <f t="shared" ca="1" si="110"/>
        <v>-148818257.23520336</v>
      </c>
      <c r="J1471" s="444">
        <f t="array" ref="J1471">IFERROR(INDEX('Retirement Calculator'!K:K,MATCH('Lorri 401b'!N1471,'Retirement Calculator'!A:A,0),0),0)</f>
        <v>0</v>
      </c>
      <c r="K1471" s="444">
        <f t="shared" ca="1" si="108"/>
        <v>-620076.07181334728</v>
      </c>
      <c r="L1471" s="444">
        <f t="shared" ca="1" si="109"/>
        <v>-149438333.3070167</v>
      </c>
      <c r="M1471" s="460">
        <f t="shared" si="111"/>
        <v>0.05</v>
      </c>
      <c r="N1471" s="464">
        <f t="shared" si="112"/>
        <v>95816</v>
      </c>
    </row>
    <row r="1472" spans="7:14" ht="11.25" customHeight="1" x14ac:dyDescent="0.3">
      <c r="G1472" s="459"/>
      <c r="H1472" s="459">
        <v>1465</v>
      </c>
      <c r="I1472" s="444">
        <f t="shared" ca="1" si="110"/>
        <v>-149438333.3070167</v>
      </c>
      <c r="J1472" s="444">
        <f t="array" ref="J1472">IFERROR(INDEX('Retirement Calculator'!K:K,MATCH('Lorri 401b'!N1472,'Retirement Calculator'!A:A,0),0),0)</f>
        <v>0</v>
      </c>
      <c r="K1472" s="444">
        <f t="shared" ca="1" si="108"/>
        <v>-622659.72211256961</v>
      </c>
      <c r="L1472" s="444">
        <f t="shared" ca="1" si="109"/>
        <v>-150060993.02912927</v>
      </c>
      <c r="M1472" s="460">
        <f t="shared" si="111"/>
        <v>0.05</v>
      </c>
      <c r="N1472" s="464">
        <f t="shared" si="112"/>
        <v>95847</v>
      </c>
    </row>
    <row r="1473" spans="7:14" ht="11.25" customHeight="1" x14ac:dyDescent="0.3">
      <c r="G1473" s="459"/>
      <c r="H1473" s="459">
        <v>1466</v>
      </c>
      <c r="I1473" s="444">
        <f t="shared" ca="1" si="110"/>
        <v>-150060993.02912927</v>
      </c>
      <c r="J1473" s="444">
        <f t="array" ref="J1473">IFERROR(INDEX('Retirement Calculator'!K:K,MATCH('Lorri 401b'!N1473,'Retirement Calculator'!A:A,0),0),0)</f>
        <v>0</v>
      </c>
      <c r="K1473" s="444">
        <f t="shared" ca="1" si="108"/>
        <v>-625254.13762137189</v>
      </c>
      <c r="L1473" s="444">
        <f t="shared" ca="1" si="109"/>
        <v>-150686247.16675064</v>
      </c>
      <c r="M1473" s="460">
        <f t="shared" si="111"/>
        <v>0.05</v>
      </c>
      <c r="N1473" s="464">
        <f t="shared" si="112"/>
        <v>95877</v>
      </c>
    </row>
    <row r="1474" spans="7:14" ht="11.25" customHeight="1" x14ac:dyDescent="0.3">
      <c r="G1474" s="459"/>
      <c r="H1474" s="459">
        <v>1467</v>
      </c>
      <c r="I1474" s="444">
        <f t="shared" ca="1" si="110"/>
        <v>-150686247.16675064</v>
      </c>
      <c r="J1474" s="444">
        <f t="array" ref="J1474">IFERROR(INDEX('Retirement Calculator'!K:K,MATCH('Lorri 401b'!N1474,'Retirement Calculator'!A:A,0),0),0)</f>
        <v>0</v>
      </c>
      <c r="K1474" s="444">
        <f t="shared" ca="1" si="108"/>
        <v>-627859.36319479428</v>
      </c>
      <c r="L1474" s="444">
        <f t="shared" ca="1" si="109"/>
        <v>-151314106.52994543</v>
      </c>
      <c r="M1474" s="460">
        <f t="shared" si="111"/>
        <v>0.05</v>
      </c>
      <c r="N1474" s="464">
        <f t="shared" si="112"/>
        <v>95908</v>
      </c>
    </row>
    <row r="1475" spans="7:14" ht="11.25" customHeight="1" x14ac:dyDescent="0.3">
      <c r="G1475" s="459"/>
      <c r="H1475" s="459">
        <v>1468</v>
      </c>
      <c r="I1475" s="444">
        <f t="shared" ca="1" si="110"/>
        <v>-151314106.52994543</v>
      </c>
      <c r="J1475" s="444">
        <f t="array" ref="J1475">IFERROR(INDEX('Retirement Calculator'!K:K,MATCH('Lorri 401b'!N1475,'Retirement Calculator'!A:A,0),0),0)</f>
        <v>0</v>
      </c>
      <c r="K1475" s="444">
        <f t="shared" ca="1" si="108"/>
        <v>-630475.44387477264</v>
      </c>
      <c r="L1475" s="444">
        <f t="shared" ca="1" si="109"/>
        <v>-151944581.97382021</v>
      </c>
      <c r="M1475" s="460">
        <f t="shared" si="111"/>
        <v>0.05</v>
      </c>
      <c r="N1475" s="464">
        <f t="shared" si="112"/>
        <v>95939</v>
      </c>
    </row>
    <row r="1476" spans="7:14" ht="11.25" customHeight="1" x14ac:dyDescent="0.3">
      <c r="G1476" s="459"/>
      <c r="H1476" s="459">
        <v>1469</v>
      </c>
      <c r="I1476" s="444">
        <f t="shared" ca="1" si="110"/>
        <v>-151944581.97382021</v>
      </c>
      <c r="J1476" s="444">
        <f t="array" ref="J1476">IFERROR(INDEX('Retirement Calculator'!K:K,MATCH('Lorri 401b'!N1476,'Retirement Calculator'!A:A,0),0),0)</f>
        <v>0</v>
      </c>
      <c r="K1476" s="444">
        <f t="shared" ca="1" si="108"/>
        <v>-633102.42489091749</v>
      </c>
      <c r="L1476" s="444">
        <f t="shared" ca="1" si="109"/>
        <v>-152577684.39871112</v>
      </c>
      <c r="M1476" s="460">
        <f t="shared" si="111"/>
        <v>0.05</v>
      </c>
      <c r="N1476" s="464">
        <f t="shared" si="112"/>
        <v>95969</v>
      </c>
    </row>
    <row r="1477" spans="7:14" ht="11.25" customHeight="1" x14ac:dyDescent="0.3">
      <c r="G1477" s="459"/>
      <c r="H1477" s="459">
        <v>1470</v>
      </c>
      <c r="I1477" s="444">
        <f t="shared" ca="1" si="110"/>
        <v>-152577684.39871112</v>
      </c>
      <c r="J1477" s="444">
        <f t="array" ref="J1477">IFERROR(INDEX('Retirement Calculator'!K:K,MATCH('Lorri 401b'!N1477,'Retirement Calculator'!A:A,0),0),0)</f>
        <v>0</v>
      </c>
      <c r="K1477" s="444">
        <f t="shared" ca="1" si="108"/>
        <v>-635740.35166129633</v>
      </c>
      <c r="L1477" s="444">
        <f t="shared" ca="1" si="109"/>
        <v>-153213424.75037241</v>
      </c>
      <c r="M1477" s="460">
        <f t="shared" si="111"/>
        <v>0.05</v>
      </c>
      <c r="N1477" s="464">
        <f t="shared" si="112"/>
        <v>96000</v>
      </c>
    </row>
    <row r="1478" spans="7:14" ht="11.25" customHeight="1" x14ac:dyDescent="0.3">
      <c r="G1478" s="459"/>
      <c r="H1478" s="459">
        <v>1471</v>
      </c>
      <c r="I1478" s="444">
        <f t="shared" ca="1" si="110"/>
        <v>-153213424.75037241</v>
      </c>
      <c r="J1478" s="444">
        <f t="array" ref="J1478">IFERROR(INDEX('Retirement Calculator'!K:K,MATCH('Lorri 401b'!N1478,'Retirement Calculator'!A:A,0),0),0)</f>
        <v>0</v>
      </c>
      <c r="K1478" s="444">
        <f t="shared" ca="1" si="108"/>
        <v>-638389.26979321835</v>
      </c>
      <c r="L1478" s="444">
        <f t="shared" ca="1" si="109"/>
        <v>-153851814.02016562</v>
      </c>
      <c r="M1478" s="460">
        <f t="shared" si="111"/>
        <v>0.05</v>
      </c>
      <c r="N1478" s="464">
        <f t="shared" si="112"/>
        <v>96030</v>
      </c>
    </row>
    <row r="1479" spans="7:14" ht="11.25" customHeight="1" x14ac:dyDescent="0.3">
      <c r="G1479" s="459"/>
      <c r="H1479" s="459">
        <v>1472</v>
      </c>
      <c r="I1479" s="444">
        <f t="shared" ca="1" si="110"/>
        <v>-153851814.02016562</v>
      </c>
      <c r="J1479" s="444">
        <f t="array" ref="J1479">IFERROR(INDEX('Retirement Calculator'!K:K,MATCH('Lorri 401b'!N1479,'Retirement Calculator'!A:A,0),0),0)</f>
        <v>0</v>
      </c>
      <c r="K1479" s="444">
        <f t="shared" ca="1" si="108"/>
        <v>-641049.22508402343</v>
      </c>
      <c r="L1479" s="444">
        <f t="shared" ca="1" si="109"/>
        <v>-154492863.24524966</v>
      </c>
      <c r="M1479" s="460">
        <f t="shared" si="111"/>
        <v>0.05</v>
      </c>
      <c r="N1479" s="464">
        <f t="shared" si="112"/>
        <v>96061</v>
      </c>
    </row>
    <row r="1480" spans="7:14" ht="11.25" customHeight="1" x14ac:dyDescent="0.3">
      <c r="G1480" s="459"/>
      <c r="H1480" s="459">
        <v>1473</v>
      </c>
      <c r="I1480" s="444">
        <f t="shared" ca="1" si="110"/>
        <v>-154492863.24524966</v>
      </c>
      <c r="J1480" s="444">
        <f t="array" ref="J1480">IFERROR(INDEX('Retirement Calculator'!K:K,MATCH('Lorri 401b'!N1480,'Retirement Calculator'!A:A,0),0),0)</f>
        <v>0</v>
      </c>
      <c r="K1480" s="444">
        <f t="shared" ca="1" si="108"/>
        <v>-643720.26352187362</v>
      </c>
      <c r="L1480" s="444">
        <f t="shared" ca="1" si="109"/>
        <v>-155136583.50877154</v>
      </c>
      <c r="M1480" s="460">
        <f t="shared" si="111"/>
        <v>0.05</v>
      </c>
      <c r="N1480" s="464">
        <f t="shared" si="112"/>
        <v>96092</v>
      </c>
    </row>
    <row r="1481" spans="7:14" ht="11.25" customHeight="1" x14ac:dyDescent="0.3">
      <c r="G1481" s="459"/>
      <c r="H1481" s="459">
        <v>1474</v>
      </c>
      <c r="I1481" s="444">
        <f t="shared" ca="1" si="110"/>
        <v>-155136583.50877154</v>
      </c>
      <c r="J1481" s="444">
        <f t="array" ref="J1481">IFERROR(INDEX('Retirement Calculator'!K:K,MATCH('Lorri 401b'!N1481,'Retirement Calculator'!A:A,0),0),0)</f>
        <v>0</v>
      </c>
      <c r="K1481" s="444">
        <f t="shared" ca="1" si="108"/>
        <v>-646402.43128654803</v>
      </c>
      <c r="L1481" s="444">
        <f t="shared" ca="1" si="109"/>
        <v>-155782985.94005808</v>
      </c>
      <c r="M1481" s="460">
        <f t="shared" si="111"/>
        <v>0.05</v>
      </c>
      <c r="N1481" s="464">
        <f t="shared" si="112"/>
        <v>96120</v>
      </c>
    </row>
    <row r="1482" spans="7:14" ht="11.25" customHeight="1" x14ac:dyDescent="0.3">
      <c r="G1482" s="459"/>
      <c r="H1482" s="459">
        <v>1475</v>
      </c>
      <c r="I1482" s="444">
        <f t="shared" ca="1" si="110"/>
        <v>-155782985.94005808</v>
      </c>
      <c r="J1482" s="444">
        <f t="array" ref="J1482">IFERROR(INDEX('Retirement Calculator'!K:K,MATCH('Lorri 401b'!N1482,'Retirement Calculator'!A:A,0),0),0)</f>
        <v>0</v>
      </c>
      <c r="K1482" s="444">
        <f t="shared" ca="1" si="108"/>
        <v>-649095.77475024201</v>
      </c>
      <c r="L1482" s="444">
        <f t="shared" ca="1" si="109"/>
        <v>-156432081.71480832</v>
      </c>
      <c r="M1482" s="460">
        <f t="shared" si="111"/>
        <v>0.05</v>
      </c>
      <c r="N1482" s="464">
        <f t="shared" si="112"/>
        <v>96151</v>
      </c>
    </row>
    <row r="1483" spans="7:14" ht="11.25" customHeight="1" x14ac:dyDescent="0.3">
      <c r="G1483" s="459"/>
      <c r="H1483" s="459">
        <v>1476</v>
      </c>
      <c r="I1483" s="444">
        <f t="shared" ca="1" si="110"/>
        <v>-156432081.71480832</v>
      </c>
      <c r="J1483" s="444">
        <f t="array" ref="J1483">IFERROR(INDEX('Retirement Calculator'!K:K,MATCH('Lorri 401b'!N1483,'Retirement Calculator'!A:A,0),0),0)</f>
        <v>0</v>
      </c>
      <c r="K1483" s="444">
        <f t="shared" ca="1" si="108"/>
        <v>-651800.34047836799</v>
      </c>
      <c r="L1483" s="444">
        <f t="shared" ca="1" si="109"/>
        <v>-157083882.05528668</v>
      </c>
      <c r="M1483" s="460">
        <f t="shared" si="111"/>
        <v>0.05</v>
      </c>
      <c r="N1483" s="464">
        <f t="shared" si="112"/>
        <v>96181</v>
      </c>
    </row>
    <row r="1484" spans="7:14" ht="11.25" customHeight="1" x14ac:dyDescent="0.3">
      <c r="G1484" s="459"/>
      <c r="H1484" s="459">
        <v>1477</v>
      </c>
      <c r="I1484" s="444">
        <f t="shared" ca="1" si="110"/>
        <v>-157083882.05528668</v>
      </c>
      <c r="J1484" s="444">
        <f t="array" ref="J1484">IFERROR(INDEX('Retirement Calculator'!K:K,MATCH('Lorri 401b'!N1484,'Retirement Calculator'!A:A,0),0),0)</f>
        <v>0</v>
      </c>
      <c r="K1484" s="444">
        <f t="shared" ca="1" si="108"/>
        <v>-654516.17523036117</v>
      </c>
      <c r="L1484" s="444">
        <f t="shared" ca="1" si="109"/>
        <v>-157738398.23051703</v>
      </c>
      <c r="M1484" s="460">
        <f t="shared" si="111"/>
        <v>0.05</v>
      </c>
      <c r="N1484" s="464">
        <f t="shared" si="112"/>
        <v>96212</v>
      </c>
    </row>
    <row r="1485" spans="7:14" ht="11.25" customHeight="1" x14ac:dyDescent="0.3">
      <c r="G1485" s="459"/>
      <c r="H1485" s="459">
        <v>1478</v>
      </c>
      <c r="I1485" s="444">
        <f t="shared" ca="1" si="110"/>
        <v>-157738398.23051703</v>
      </c>
      <c r="J1485" s="444">
        <f t="array" ref="J1485">IFERROR(INDEX('Retirement Calculator'!K:K,MATCH('Lorri 401b'!N1485,'Retirement Calculator'!A:A,0),0),0)</f>
        <v>0</v>
      </c>
      <c r="K1485" s="444">
        <f t="shared" ca="1" si="108"/>
        <v>-657243.32596048759</v>
      </c>
      <c r="L1485" s="444">
        <f t="shared" ca="1" si="109"/>
        <v>-158395641.55647752</v>
      </c>
      <c r="M1485" s="460">
        <f t="shared" si="111"/>
        <v>0.05</v>
      </c>
      <c r="N1485" s="464">
        <f t="shared" si="112"/>
        <v>96242</v>
      </c>
    </row>
    <row r="1486" spans="7:14" ht="11.25" customHeight="1" x14ac:dyDescent="0.3">
      <c r="G1486" s="459"/>
      <c r="H1486" s="459">
        <v>1479</v>
      </c>
      <c r="I1486" s="444">
        <f t="shared" ca="1" si="110"/>
        <v>-158395641.55647752</v>
      </c>
      <c r="J1486" s="444">
        <f t="array" ref="J1486">IFERROR(INDEX('Retirement Calculator'!K:K,MATCH('Lorri 401b'!N1486,'Retirement Calculator'!A:A,0),0),0)</f>
        <v>0</v>
      </c>
      <c r="K1486" s="444">
        <f t="shared" ca="1" si="108"/>
        <v>-659981.83981865633</v>
      </c>
      <c r="L1486" s="444">
        <f t="shared" ca="1" si="109"/>
        <v>-159055623.39629617</v>
      </c>
      <c r="M1486" s="460">
        <f t="shared" si="111"/>
        <v>0.05</v>
      </c>
      <c r="N1486" s="464">
        <f t="shared" si="112"/>
        <v>96273</v>
      </c>
    </row>
    <row r="1487" spans="7:14" ht="11.25" customHeight="1" x14ac:dyDescent="0.3">
      <c r="G1487" s="459"/>
      <c r="H1487" s="459">
        <v>1480</v>
      </c>
      <c r="I1487" s="444">
        <f t="shared" ca="1" si="110"/>
        <v>-159055623.39629617</v>
      </c>
      <c r="J1487" s="444">
        <f t="array" ref="J1487">IFERROR(INDEX('Retirement Calculator'!K:K,MATCH('Lorri 401b'!N1487,'Retirement Calculator'!A:A,0),0),0)</f>
        <v>0</v>
      </c>
      <c r="K1487" s="444">
        <f t="shared" ca="1" si="108"/>
        <v>-662731.76415123406</v>
      </c>
      <c r="L1487" s="444">
        <f t="shared" ca="1" si="109"/>
        <v>-159718355.16044742</v>
      </c>
      <c r="M1487" s="460">
        <f t="shared" si="111"/>
        <v>0.05</v>
      </c>
      <c r="N1487" s="464">
        <f t="shared" si="112"/>
        <v>96304</v>
      </c>
    </row>
    <row r="1488" spans="7:14" ht="11.25" customHeight="1" x14ac:dyDescent="0.3">
      <c r="G1488" s="459"/>
      <c r="H1488" s="459">
        <v>1481</v>
      </c>
      <c r="I1488" s="444">
        <f t="shared" ca="1" si="110"/>
        <v>-159718355.16044742</v>
      </c>
      <c r="J1488" s="444">
        <f t="array" ref="J1488">IFERROR(INDEX('Retirement Calculator'!K:K,MATCH('Lorri 401b'!N1488,'Retirement Calculator'!A:A,0),0),0)</f>
        <v>0</v>
      </c>
      <c r="K1488" s="444">
        <f t="shared" ca="1" si="108"/>
        <v>-665493.14650186419</v>
      </c>
      <c r="L1488" s="444">
        <f t="shared" ca="1" si="109"/>
        <v>-160383848.30694929</v>
      </c>
      <c r="M1488" s="460">
        <f t="shared" si="111"/>
        <v>0.05</v>
      </c>
      <c r="N1488" s="464">
        <f t="shared" si="112"/>
        <v>96334</v>
      </c>
    </row>
    <row r="1489" spans="7:14" ht="11.25" customHeight="1" x14ac:dyDescent="0.3">
      <c r="G1489" s="459"/>
      <c r="H1489" s="459">
        <v>1482</v>
      </c>
      <c r="I1489" s="444">
        <f t="shared" ca="1" si="110"/>
        <v>-160383848.30694929</v>
      </c>
      <c r="J1489" s="444">
        <f t="array" ref="J1489">IFERROR(INDEX('Retirement Calculator'!K:K,MATCH('Lorri 401b'!N1489,'Retirement Calculator'!A:A,0),0),0)</f>
        <v>0</v>
      </c>
      <c r="K1489" s="444">
        <f t="shared" ca="1" si="108"/>
        <v>-668266.0346122887</v>
      </c>
      <c r="L1489" s="444">
        <f t="shared" ca="1" si="109"/>
        <v>-161052114.34156159</v>
      </c>
      <c r="M1489" s="460">
        <f t="shared" si="111"/>
        <v>0.05</v>
      </c>
      <c r="N1489" s="464">
        <f t="shared" si="112"/>
        <v>96365</v>
      </c>
    </row>
    <row r="1490" spans="7:14" ht="11.25" customHeight="1" x14ac:dyDescent="0.3">
      <c r="G1490" s="459"/>
      <c r="H1490" s="459">
        <v>1483</v>
      </c>
      <c r="I1490" s="444">
        <f t="shared" ca="1" si="110"/>
        <v>-161052114.34156159</v>
      </c>
      <c r="J1490" s="444">
        <f t="array" ref="J1490">IFERROR(INDEX('Retirement Calculator'!K:K,MATCH('Lorri 401b'!N1490,'Retirement Calculator'!A:A,0),0),0)</f>
        <v>0</v>
      </c>
      <c r="K1490" s="444">
        <f t="shared" ca="1" si="108"/>
        <v>-671050.47642317321</v>
      </c>
      <c r="L1490" s="444">
        <f t="shared" ca="1" si="109"/>
        <v>-161723164.81798476</v>
      </c>
      <c r="M1490" s="460">
        <f t="shared" si="111"/>
        <v>0.05</v>
      </c>
      <c r="N1490" s="464">
        <f t="shared" si="112"/>
        <v>96395</v>
      </c>
    </row>
    <row r="1491" spans="7:14" ht="11.25" customHeight="1" x14ac:dyDescent="0.3">
      <c r="G1491" s="459"/>
      <c r="H1491" s="459">
        <v>1484</v>
      </c>
      <c r="I1491" s="444">
        <f t="shared" ca="1" si="110"/>
        <v>-161723164.81798476</v>
      </c>
      <c r="J1491" s="444">
        <f t="array" ref="J1491">IFERROR(INDEX('Retirement Calculator'!K:K,MATCH('Lorri 401b'!N1491,'Retirement Calculator'!A:A,0),0),0)</f>
        <v>0</v>
      </c>
      <c r="K1491" s="444">
        <f t="shared" ca="1" si="108"/>
        <v>-673846.52007493644</v>
      </c>
      <c r="L1491" s="444">
        <f t="shared" ca="1" si="109"/>
        <v>-162397011.33805969</v>
      </c>
      <c r="M1491" s="460">
        <f t="shared" si="111"/>
        <v>0.05</v>
      </c>
      <c r="N1491" s="464">
        <f t="shared" si="112"/>
        <v>96426</v>
      </c>
    </row>
    <row r="1492" spans="7:14" ht="11.25" customHeight="1" x14ac:dyDescent="0.3">
      <c r="G1492" s="459"/>
      <c r="H1492" s="459">
        <v>1485</v>
      </c>
      <c r="I1492" s="444">
        <f t="shared" ca="1" si="110"/>
        <v>-162397011.33805969</v>
      </c>
      <c r="J1492" s="444">
        <f t="array" ref="J1492">IFERROR(INDEX('Retirement Calculator'!K:K,MATCH('Lorri 401b'!N1492,'Retirement Calculator'!A:A,0),0),0)</f>
        <v>0</v>
      </c>
      <c r="K1492" s="444">
        <f t="shared" ca="1" si="108"/>
        <v>-676654.21390858199</v>
      </c>
      <c r="L1492" s="444">
        <f t="shared" ca="1" si="109"/>
        <v>-163073665.55196828</v>
      </c>
      <c r="M1492" s="460">
        <f t="shared" si="111"/>
        <v>0.05</v>
      </c>
      <c r="N1492" s="464">
        <f t="shared" si="112"/>
        <v>96457</v>
      </c>
    </row>
    <row r="1493" spans="7:14" ht="11.25" customHeight="1" x14ac:dyDescent="0.3">
      <c r="G1493" s="459"/>
      <c r="H1493" s="459">
        <v>1486</v>
      </c>
      <c r="I1493" s="444">
        <f t="shared" ca="1" si="110"/>
        <v>-163073665.55196828</v>
      </c>
      <c r="J1493" s="444">
        <f t="array" ref="J1493">IFERROR(INDEX('Retirement Calculator'!K:K,MATCH('Lorri 401b'!N1493,'Retirement Calculator'!A:A,0),0),0)</f>
        <v>0</v>
      </c>
      <c r="K1493" s="444">
        <f t="shared" ca="1" si="108"/>
        <v>-679473.60646653443</v>
      </c>
      <c r="L1493" s="444">
        <f t="shared" ca="1" si="109"/>
        <v>-163753139.15843481</v>
      </c>
      <c r="M1493" s="460">
        <f t="shared" si="111"/>
        <v>0.05</v>
      </c>
      <c r="N1493" s="464">
        <f t="shared" si="112"/>
        <v>96486</v>
      </c>
    </row>
    <row r="1494" spans="7:14" ht="11.25" customHeight="1" x14ac:dyDescent="0.3">
      <c r="G1494" s="459"/>
      <c r="H1494" s="459">
        <v>1487</v>
      </c>
      <c r="I1494" s="444">
        <f t="shared" ca="1" si="110"/>
        <v>-163753139.15843481</v>
      </c>
      <c r="J1494" s="444">
        <f t="array" ref="J1494">IFERROR(INDEX('Retirement Calculator'!K:K,MATCH('Lorri 401b'!N1494,'Retirement Calculator'!A:A,0),0),0)</f>
        <v>0</v>
      </c>
      <c r="K1494" s="444">
        <f t="shared" ca="1" si="108"/>
        <v>-682304.74649347831</v>
      </c>
      <c r="L1494" s="444">
        <f t="shared" ca="1" si="109"/>
        <v>-164435443.9049283</v>
      </c>
      <c r="M1494" s="460">
        <f t="shared" si="111"/>
        <v>0.05</v>
      </c>
      <c r="N1494" s="464">
        <f t="shared" si="112"/>
        <v>96517</v>
      </c>
    </row>
    <row r="1495" spans="7:14" ht="11.25" customHeight="1" x14ac:dyDescent="0.3">
      <c r="G1495" s="459"/>
      <c r="H1495" s="459">
        <v>1488</v>
      </c>
      <c r="I1495" s="444">
        <f t="shared" ca="1" si="110"/>
        <v>-164435443.9049283</v>
      </c>
      <c r="J1495" s="444">
        <f t="array" ref="J1495">IFERROR(INDEX('Retirement Calculator'!K:K,MATCH('Lorri 401b'!N1495,'Retirement Calculator'!A:A,0),0),0)</f>
        <v>0</v>
      </c>
      <c r="K1495" s="444">
        <f t="shared" ca="1" si="108"/>
        <v>-685147.68293720123</v>
      </c>
      <c r="L1495" s="444">
        <f t="shared" ca="1" si="109"/>
        <v>-165120591.5878655</v>
      </c>
      <c r="M1495" s="460">
        <f t="shared" si="111"/>
        <v>0.05</v>
      </c>
      <c r="N1495" s="464">
        <f t="shared" si="112"/>
        <v>96547</v>
      </c>
    </row>
    <row r="1496" spans="7:14" ht="11.25" customHeight="1" x14ac:dyDescent="0.3">
      <c r="G1496" s="459"/>
      <c r="H1496" s="459">
        <v>1489</v>
      </c>
      <c r="I1496" s="444">
        <f t="shared" ca="1" si="110"/>
        <v>-165120591.5878655</v>
      </c>
      <c r="J1496" s="444">
        <f t="array" ref="J1496">IFERROR(INDEX('Retirement Calculator'!K:K,MATCH('Lorri 401b'!N1496,'Retirement Calculator'!A:A,0),0),0)</f>
        <v>0</v>
      </c>
      <c r="K1496" s="444">
        <f t="shared" ca="1" si="108"/>
        <v>-688002.46494943963</v>
      </c>
      <c r="L1496" s="444">
        <f t="shared" ca="1" si="109"/>
        <v>-165808594.05281493</v>
      </c>
      <c r="M1496" s="460">
        <f t="shared" si="111"/>
        <v>0.05</v>
      </c>
      <c r="N1496" s="464">
        <f t="shared" si="112"/>
        <v>96578</v>
      </c>
    </row>
    <row r="1497" spans="7:14" ht="11.25" customHeight="1" x14ac:dyDescent="0.3">
      <c r="G1497" s="459"/>
      <c r="H1497" s="459">
        <v>1490</v>
      </c>
      <c r="I1497" s="444">
        <f t="shared" ca="1" si="110"/>
        <v>-165808594.05281493</v>
      </c>
      <c r="J1497" s="444">
        <f t="array" ref="J1497">IFERROR(INDEX('Retirement Calculator'!K:K,MATCH('Lorri 401b'!N1497,'Retirement Calculator'!A:A,0),0),0)</f>
        <v>0</v>
      </c>
      <c r="K1497" s="444">
        <f t="shared" ca="1" si="108"/>
        <v>-690869.14188672882</v>
      </c>
      <c r="L1497" s="444">
        <f t="shared" ca="1" si="109"/>
        <v>-166499463.19470167</v>
      </c>
      <c r="M1497" s="460">
        <f t="shared" si="111"/>
        <v>0.05</v>
      </c>
      <c r="N1497" s="464">
        <f t="shared" si="112"/>
        <v>96608</v>
      </c>
    </row>
    <row r="1498" spans="7:14" ht="11.25" customHeight="1" x14ac:dyDescent="0.3">
      <c r="G1498" s="459"/>
      <c r="H1498" s="459">
        <v>1491</v>
      </c>
      <c r="I1498" s="444">
        <f t="shared" ca="1" si="110"/>
        <v>-166499463.19470167</v>
      </c>
      <c r="J1498" s="444">
        <f t="array" ref="J1498">IFERROR(INDEX('Retirement Calculator'!K:K,MATCH('Lorri 401b'!N1498,'Retirement Calculator'!A:A,0),0),0)</f>
        <v>0</v>
      </c>
      <c r="K1498" s="444">
        <f t="shared" ca="1" si="108"/>
        <v>-693747.763311257</v>
      </c>
      <c r="L1498" s="444">
        <f t="shared" ca="1" si="109"/>
        <v>-167193210.95801294</v>
      </c>
      <c r="M1498" s="460">
        <f t="shared" si="111"/>
        <v>0.05</v>
      </c>
      <c r="N1498" s="464">
        <f t="shared" si="112"/>
        <v>96639</v>
      </c>
    </row>
    <row r="1499" spans="7:14" ht="11.25" customHeight="1" x14ac:dyDescent="0.3">
      <c r="G1499" s="459"/>
      <c r="H1499" s="459">
        <v>1492</v>
      </c>
      <c r="I1499" s="444">
        <f t="shared" ca="1" si="110"/>
        <v>-167193210.95801294</v>
      </c>
      <c r="J1499" s="444">
        <f t="array" ref="J1499">IFERROR(INDEX('Retirement Calculator'!K:K,MATCH('Lorri 401b'!N1499,'Retirement Calculator'!A:A,0),0),0)</f>
        <v>0</v>
      </c>
      <c r="K1499" s="444">
        <f t="shared" ca="1" si="108"/>
        <v>-696638.37899172062</v>
      </c>
      <c r="L1499" s="444">
        <f t="shared" ca="1" si="109"/>
        <v>-167889849.33700466</v>
      </c>
      <c r="M1499" s="460">
        <f t="shared" si="111"/>
        <v>0.05</v>
      </c>
      <c r="N1499" s="464">
        <f t="shared" si="112"/>
        <v>96670</v>
      </c>
    </row>
    <row r="1500" spans="7:14" ht="11.25" customHeight="1" x14ac:dyDescent="0.3">
      <c r="G1500" s="459"/>
      <c r="H1500" s="459">
        <v>1493</v>
      </c>
      <c r="I1500" s="444">
        <f t="shared" ca="1" si="110"/>
        <v>-167889849.33700466</v>
      </c>
      <c r="J1500" s="444">
        <f t="array" ref="J1500">IFERROR(INDEX('Retirement Calculator'!K:K,MATCH('Lorri 401b'!N1500,'Retirement Calculator'!A:A,0),0),0)</f>
        <v>0</v>
      </c>
      <c r="K1500" s="444">
        <f t="shared" ca="1" si="108"/>
        <v>-699541.03890418611</v>
      </c>
      <c r="L1500" s="444">
        <f t="shared" ca="1" si="109"/>
        <v>-168589390.37590885</v>
      </c>
      <c r="M1500" s="460">
        <f t="shared" si="111"/>
        <v>0.05</v>
      </c>
      <c r="N1500" s="464">
        <f t="shared" si="112"/>
        <v>96700</v>
      </c>
    </row>
    <row r="1501" spans="7:14" ht="11.25" customHeight="1" x14ac:dyDescent="0.3">
      <c r="G1501" s="459"/>
      <c r="H1501" s="459">
        <v>1494</v>
      </c>
      <c r="I1501" s="444">
        <f t="shared" ca="1" si="110"/>
        <v>-168589390.37590885</v>
      </c>
      <c r="J1501" s="444">
        <f t="array" ref="J1501">IFERROR(INDEX('Retirement Calculator'!K:K,MATCH('Lorri 401b'!N1501,'Retirement Calculator'!A:A,0),0),0)</f>
        <v>0</v>
      </c>
      <c r="K1501" s="444">
        <f t="shared" ca="1" si="108"/>
        <v>-702455.79323295353</v>
      </c>
      <c r="L1501" s="444">
        <f t="shared" ca="1" si="109"/>
        <v>-169291846.1691418</v>
      </c>
      <c r="M1501" s="460">
        <f t="shared" si="111"/>
        <v>0.05</v>
      </c>
      <c r="N1501" s="464">
        <f t="shared" si="112"/>
        <v>96731</v>
      </c>
    </row>
    <row r="1502" spans="7:14" ht="11.25" customHeight="1" x14ac:dyDescent="0.3">
      <c r="G1502" s="459"/>
      <c r="H1502" s="459">
        <v>1495</v>
      </c>
      <c r="I1502" s="444">
        <f t="shared" ca="1" si="110"/>
        <v>-169291846.1691418</v>
      </c>
      <c r="J1502" s="444">
        <f t="array" ref="J1502">IFERROR(INDEX('Retirement Calculator'!K:K,MATCH('Lorri 401b'!N1502,'Retirement Calculator'!A:A,0),0),0)</f>
        <v>0</v>
      </c>
      <c r="K1502" s="444">
        <f t="shared" ca="1" si="108"/>
        <v>-705382.69237142417</v>
      </c>
      <c r="L1502" s="444">
        <f t="shared" ca="1" si="109"/>
        <v>-169997228.86151323</v>
      </c>
      <c r="M1502" s="460">
        <f t="shared" si="111"/>
        <v>0.05</v>
      </c>
      <c r="N1502" s="464">
        <f t="shared" si="112"/>
        <v>96761</v>
      </c>
    </row>
    <row r="1503" spans="7:14" ht="11.25" customHeight="1" x14ac:dyDescent="0.3">
      <c r="G1503" s="459"/>
      <c r="H1503" s="459">
        <v>1496</v>
      </c>
      <c r="I1503" s="444">
        <f t="shared" ca="1" si="110"/>
        <v>-169997228.86151323</v>
      </c>
      <c r="J1503" s="444">
        <f t="array" ref="J1503">IFERROR(INDEX('Retirement Calculator'!K:K,MATCH('Lorri 401b'!N1503,'Retirement Calculator'!A:A,0),0),0)</f>
        <v>0</v>
      </c>
      <c r="K1503" s="444">
        <f t="shared" ca="1" si="108"/>
        <v>-708321.78692297172</v>
      </c>
      <c r="L1503" s="444">
        <f t="shared" ca="1" si="109"/>
        <v>-170705550.64843619</v>
      </c>
      <c r="M1503" s="460">
        <f t="shared" si="111"/>
        <v>0.05</v>
      </c>
      <c r="N1503" s="464">
        <f t="shared" si="112"/>
        <v>96792</v>
      </c>
    </row>
    <row r="1504" spans="7:14" ht="11.25" customHeight="1" x14ac:dyDescent="0.3">
      <c r="G1504" s="459"/>
      <c r="H1504" s="459">
        <v>1497</v>
      </c>
      <c r="I1504" s="444">
        <f t="shared" ca="1" si="110"/>
        <v>-170705550.64843619</v>
      </c>
      <c r="J1504" s="444">
        <f t="array" ref="J1504">IFERROR(INDEX('Retirement Calculator'!K:K,MATCH('Lorri 401b'!N1504,'Retirement Calculator'!A:A,0),0),0)</f>
        <v>0</v>
      </c>
      <c r="K1504" s="444">
        <f t="shared" ca="1" si="108"/>
        <v>-711273.12770181743</v>
      </c>
      <c r="L1504" s="444">
        <f t="shared" ca="1" si="109"/>
        <v>-171416823.77613801</v>
      </c>
      <c r="M1504" s="460">
        <f t="shared" si="111"/>
        <v>0.05</v>
      </c>
      <c r="N1504" s="464">
        <f t="shared" si="112"/>
        <v>96823</v>
      </c>
    </row>
    <row r="1505" spans="7:14" ht="11.25" customHeight="1" x14ac:dyDescent="0.3">
      <c r="G1505" s="459"/>
      <c r="H1505" s="459">
        <v>1498</v>
      </c>
      <c r="I1505" s="444">
        <f t="shared" ca="1" si="110"/>
        <v>-171416823.77613801</v>
      </c>
      <c r="J1505" s="444">
        <f t="array" ref="J1505">IFERROR(INDEX('Retirement Calculator'!K:K,MATCH('Lorri 401b'!N1505,'Retirement Calculator'!A:A,0),0),0)</f>
        <v>0</v>
      </c>
      <c r="K1505" s="444">
        <f t="shared" ca="1" si="108"/>
        <v>-714236.7657339084</v>
      </c>
      <c r="L1505" s="444">
        <f t="shared" ca="1" si="109"/>
        <v>-172131060.54187191</v>
      </c>
      <c r="M1505" s="460">
        <f t="shared" si="111"/>
        <v>0.05</v>
      </c>
      <c r="N1505" s="464">
        <f t="shared" si="112"/>
        <v>96851</v>
      </c>
    </row>
    <row r="1506" spans="7:14" ht="11.25" customHeight="1" x14ac:dyDescent="0.3">
      <c r="G1506" s="459"/>
      <c r="H1506" s="459">
        <v>1499</v>
      </c>
      <c r="I1506" s="444">
        <f t="shared" ca="1" si="110"/>
        <v>-172131060.54187191</v>
      </c>
      <c r="J1506" s="444">
        <f t="array" ref="J1506">IFERROR(INDEX('Retirement Calculator'!K:K,MATCH('Lorri 401b'!N1506,'Retirement Calculator'!A:A,0),0),0)</f>
        <v>0</v>
      </c>
      <c r="K1506" s="444">
        <f t="shared" ca="1" si="108"/>
        <v>-717212.75225779961</v>
      </c>
      <c r="L1506" s="444">
        <f t="shared" ca="1" si="109"/>
        <v>-172848273.2941297</v>
      </c>
      <c r="M1506" s="460">
        <f t="shared" si="111"/>
        <v>0.05</v>
      </c>
      <c r="N1506" s="464">
        <f t="shared" si="112"/>
        <v>96882</v>
      </c>
    </row>
    <row r="1507" spans="7:14" ht="11.25" customHeight="1" x14ac:dyDescent="0.3">
      <c r="G1507" s="459"/>
      <c r="H1507" s="459">
        <v>1500</v>
      </c>
      <c r="I1507" s="444">
        <f t="shared" ca="1" si="110"/>
        <v>-172848273.2941297</v>
      </c>
      <c r="J1507" s="444">
        <f t="array" ref="J1507">IFERROR(INDEX('Retirement Calculator'!K:K,MATCH('Lorri 401b'!N1507,'Retirement Calculator'!A:A,0),0),0)</f>
        <v>0</v>
      </c>
      <c r="K1507" s="444">
        <f t="shared" ca="1" si="108"/>
        <v>-720201.13872554037</v>
      </c>
      <c r="L1507" s="444">
        <f t="shared" ca="1" si="109"/>
        <v>-173568474.43285525</v>
      </c>
      <c r="M1507" s="460">
        <f t="shared" si="111"/>
        <v>0.05</v>
      </c>
      <c r="N1507" s="464">
        <f t="shared" si="112"/>
        <v>96912</v>
      </c>
    </row>
    <row r="1508" spans="7:14" ht="11.25" customHeight="1" x14ac:dyDescent="0.3">
      <c r="G1508" s="459"/>
      <c r="H1508" s="459">
        <v>1501</v>
      </c>
      <c r="I1508" s="444">
        <f t="shared" ca="1" si="110"/>
        <v>-173568474.43285525</v>
      </c>
      <c r="J1508" s="444">
        <f t="array" ref="J1508">IFERROR(INDEX('Retirement Calculator'!K:K,MATCH('Lorri 401b'!N1508,'Retirement Calculator'!A:A,0),0),0)</f>
        <v>0</v>
      </c>
      <c r="K1508" s="444">
        <f t="shared" ca="1" si="108"/>
        <v>-723201.97680356354</v>
      </c>
      <c r="L1508" s="444">
        <f t="shared" ca="1" si="109"/>
        <v>-174291676.40965882</v>
      </c>
      <c r="M1508" s="460">
        <f t="shared" si="111"/>
        <v>0.05</v>
      </c>
      <c r="N1508" s="464">
        <f t="shared" si="112"/>
        <v>96943</v>
      </c>
    </row>
    <row r="1509" spans="7:14" ht="11.25" customHeight="1" x14ac:dyDescent="0.3">
      <c r="G1509" s="459"/>
      <c r="H1509" s="459">
        <v>1502</v>
      </c>
      <c r="I1509" s="444">
        <f t="shared" ca="1" si="110"/>
        <v>-174291676.40965882</v>
      </c>
      <c r="J1509" s="444">
        <f t="array" ref="J1509">IFERROR(INDEX('Retirement Calculator'!K:K,MATCH('Lorri 401b'!N1509,'Retirement Calculator'!A:A,0),0),0)</f>
        <v>0</v>
      </c>
      <c r="K1509" s="444">
        <f t="shared" ca="1" si="108"/>
        <v>-726215.31837357837</v>
      </c>
      <c r="L1509" s="444">
        <f t="shared" ca="1" si="109"/>
        <v>-175017891.72803241</v>
      </c>
      <c r="M1509" s="460">
        <f t="shared" si="111"/>
        <v>0.05</v>
      </c>
      <c r="N1509" s="464">
        <f t="shared" si="112"/>
        <v>96973</v>
      </c>
    </row>
    <row r="1510" spans="7:14" ht="11.25" customHeight="1" x14ac:dyDescent="0.3">
      <c r="G1510" s="459"/>
      <c r="H1510" s="459">
        <v>1503</v>
      </c>
      <c r="I1510" s="444">
        <f t="shared" ca="1" si="110"/>
        <v>-175017891.72803241</v>
      </c>
      <c r="J1510" s="444">
        <f t="array" ref="J1510">IFERROR(INDEX('Retirement Calculator'!K:K,MATCH('Lorri 401b'!N1510,'Retirement Calculator'!A:A,0),0),0)</f>
        <v>0</v>
      </c>
      <c r="K1510" s="444">
        <f t="shared" ca="1" si="108"/>
        <v>-729241.21553346841</v>
      </c>
      <c r="L1510" s="444">
        <f t="shared" ca="1" si="109"/>
        <v>-175747132.94356588</v>
      </c>
      <c r="M1510" s="460">
        <f t="shared" si="111"/>
        <v>0.05</v>
      </c>
      <c r="N1510" s="464">
        <f t="shared" si="112"/>
        <v>97004</v>
      </c>
    </row>
    <row r="1511" spans="7:14" ht="11.25" customHeight="1" x14ac:dyDescent="0.3">
      <c r="G1511" s="459"/>
      <c r="H1511" s="459">
        <v>1504</v>
      </c>
      <c r="I1511" s="444">
        <f t="shared" ca="1" si="110"/>
        <v>-175747132.94356588</v>
      </c>
      <c r="J1511" s="444">
        <f t="array" ref="J1511">IFERROR(INDEX('Retirement Calculator'!K:K,MATCH('Lorri 401b'!N1511,'Retirement Calculator'!A:A,0),0),0)</f>
        <v>0</v>
      </c>
      <c r="K1511" s="444">
        <f t="shared" ca="1" si="108"/>
        <v>-732279.72059819114</v>
      </c>
      <c r="L1511" s="444">
        <f t="shared" ca="1" si="109"/>
        <v>-176479412.66416407</v>
      </c>
      <c r="M1511" s="460">
        <f t="shared" si="111"/>
        <v>0.05</v>
      </c>
      <c r="N1511" s="464">
        <f t="shared" si="112"/>
        <v>97035</v>
      </c>
    </row>
    <row r="1512" spans="7:14" ht="11.25" customHeight="1" x14ac:dyDescent="0.3">
      <c r="G1512" s="459"/>
      <c r="H1512" s="459">
        <v>1505</v>
      </c>
      <c r="I1512" s="444">
        <f t="shared" ca="1" si="110"/>
        <v>-176479412.66416407</v>
      </c>
      <c r="J1512" s="444">
        <f t="array" ref="J1512">IFERROR(INDEX('Retirement Calculator'!K:K,MATCH('Lorri 401b'!N1512,'Retirement Calculator'!A:A,0),0),0)</f>
        <v>0</v>
      </c>
      <c r="K1512" s="444">
        <f t="shared" ca="1" si="108"/>
        <v>-735330.88610068359</v>
      </c>
      <c r="L1512" s="444">
        <f t="shared" ca="1" si="109"/>
        <v>-177214743.55026475</v>
      </c>
      <c r="M1512" s="460">
        <f t="shared" si="111"/>
        <v>0.05</v>
      </c>
      <c r="N1512" s="464">
        <f t="shared" si="112"/>
        <v>97065</v>
      </c>
    </row>
    <row r="1513" spans="7:14" ht="11.25" customHeight="1" x14ac:dyDescent="0.3">
      <c r="G1513" s="459"/>
      <c r="H1513" s="459">
        <v>1506</v>
      </c>
      <c r="I1513" s="444">
        <f t="shared" ca="1" si="110"/>
        <v>-177214743.55026475</v>
      </c>
      <c r="J1513" s="444">
        <f t="array" ref="J1513">IFERROR(INDEX('Retirement Calculator'!K:K,MATCH('Lorri 401b'!N1513,'Retirement Calculator'!A:A,0),0),0)</f>
        <v>0</v>
      </c>
      <c r="K1513" s="444">
        <f t="shared" ca="1" si="108"/>
        <v>-738394.7647927698</v>
      </c>
      <c r="L1513" s="444">
        <f t="shared" ca="1" si="109"/>
        <v>-177953138.31505752</v>
      </c>
      <c r="M1513" s="460">
        <f t="shared" si="111"/>
        <v>0.05</v>
      </c>
      <c r="N1513" s="464">
        <f t="shared" si="112"/>
        <v>97096</v>
      </c>
    </row>
    <row r="1514" spans="7:14" ht="11.25" customHeight="1" x14ac:dyDescent="0.3">
      <c r="G1514" s="459"/>
      <c r="H1514" s="459">
        <v>1507</v>
      </c>
      <c r="I1514" s="444">
        <f t="shared" ca="1" si="110"/>
        <v>-177953138.31505752</v>
      </c>
      <c r="J1514" s="444">
        <f t="array" ref="J1514">IFERROR(INDEX('Retirement Calculator'!K:K,MATCH('Lorri 401b'!N1514,'Retirement Calculator'!A:A,0),0),0)</f>
        <v>0</v>
      </c>
      <c r="K1514" s="444">
        <f t="shared" ca="1" si="108"/>
        <v>-741471.40964607301</v>
      </c>
      <c r="L1514" s="444">
        <f t="shared" ca="1" si="109"/>
        <v>-178694609.72470358</v>
      </c>
      <c r="M1514" s="460">
        <f t="shared" si="111"/>
        <v>0.05</v>
      </c>
      <c r="N1514" s="464">
        <f t="shared" si="112"/>
        <v>97126</v>
      </c>
    </row>
    <row r="1515" spans="7:14" ht="11.25" customHeight="1" x14ac:dyDescent="0.3">
      <c r="G1515" s="459"/>
      <c r="H1515" s="459">
        <v>1508</v>
      </c>
      <c r="I1515" s="444">
        <f t="shared" ca="1" si="110"/>
        <v>-178694609.72470358</v>
      </c>
      <c r="J1515" s="444">
        <f t="array" ref="J1515">IFERROR(INDEX('Retirement Calculator'!K:K,MATCH('Lorri 401b'!N1515,'Retirement Calculator'!A:A,0),0),0)</f>
        <v>0</v>
      </c>
      <c r="K1515" s="444">
        <f t="shared" ca="1" si="108"/>
        <v>-744560.87385293155</v>
      </c>
      <c r="L1515" s="444">
        <f t="shared" ca="1" si="109"/>
        <v>-179439170.59855652</v>
      </c>
      <c r="M1515" s="460">
        <f t="shared" si="111"/>
        <v>0.05</v>
      </c>
      <c r="N1515" s="464">
        <f t="shared" si="112"/>
        <v>97157</v>
      </c>
    </row>
    <row r="1516" spans="7:14" ht="11.25" customHeight="1" x14ac:dyDescent="0.3">
      <c r="G1516" s="459"/>
      <c r="H1516" s="459">
        <v>1509</v>
      </c>
      <c r="I1516" s="444">
        <f t="shared" ca="1" si="110"/>
        <v>-179439170.59855652</v>
      </c>
      <c r="J1516" s="444">
        <f t="array" ref="J1516">IFERROR(INDEX('Retirement Calculator'!K:K,MATCH('Lorri 401b'!N1516,'Retirement Calculator'!A:A,0),0),0)</f>
        <v>0</v>
      </c>
      <c r="K1516" s="444">
        <f t="shared" ca="1" si="108"/>
        <v>-747663.21082731884</v>
      </c>
      <c r="L1516" s="444">
        <f t="shared" ca="1" si="109"/>
        <v>-180186833.80938384</v>
      </c>
      <c r="M1516" s="460">
        <f t="shared" si="111"/>
        <v>0.05</v>
      </c>
      <c r="N1516" s="464">
        <f t="shared" si="112"/>
        <v>97188</v>
      </c>
    </row>
    <row r="1517" spans="7:14" ht="11.25" customHeight="1" x14ac:dyDescent="0.3">
      <c r="G1517" s="459"/>
      <c r="H1517" s="459">
        <v>1510</v>
      </c>
      <c r="I1517" s="444">
        <f t="shared" ca="1" si="110"/>
        <v>-180186833.80938384</v>
      </c>
      <c r="J1517" s="444">
        <f t="array" ref="J1517">IFERROR(INDEX('Retirement Calculator'!K:K,MATCH('Lorri 401b'!N1517,'Retirement Calculator'!A:A,0),0),0)</f>
        <v>0</v>
      </c>
      <c r="K1517" s="444">
        <f t="shared" ca="1" si="108"/>
        <v>-750778.47420576599</v>
      </c>
      <c r="L1517" s="444">
        <f t="shared" ca="1" si="109"/>
        <v>-180937612.2835896</v>
      </c>
      <c r="M1517" s="460">
        <f t="shared" si="111"/>
        <v>0.05</v>
      </c>
      <c r="N1517" s="464">
        <f t="shared" si="112"/>
        <v>97216</v>
      </c>
    </row>
    <row r="1518" spans="7:14" ht="11.25" customHeight="1" x14ac:dyDescent="0.3">
      <c r="G1518" s="459"/>
      <c r="H1518" s="459">
        <v>1511</v>
      </c>
      <c r="I1518" s="444">
        <f t="shared" ca="1" si="110"/>
        <v>-180937612.2835896</v>
      </c>
      <c r="J1518" s="444">
        <f t="array" ref="J1518">IFERROR(INDEX('Retirement Calculator'!K:K,MATCH('Lorri 401b'!N1518,'Retirement Calculator'!A:A,0),0),0)</f>
        <v>0</v>
      </c>
      <c r="K1518" s="444">
        <f t="shared" ca="1" si="108"/>
        <v>-753906.71784828999</v>
      </c>
      <c r="L1518" s="444">
        <f t="shared" ca="1" si="109"/>
        <v>-181691519.0014379</v>
      </c>
      <c r="M1518" s="460">
        <f t="shared" si="111"/>
        <v>0.05</v>
      </c>
      <c r="N1518" s="464">
        <f t="shared" si="112"/>
        <v>97247</v>
      </c>
    </row>
    <row r="1519" spans="7:14" ht="11.25" customHeight="1" x14ac:dyDescent="0.3">
      <c r="G1519" s="459"/>
      <c r="H1519" s="459">
        <v>1512</v>
      </c>
      <c r="I1519" s="444">
        <f t="shared" ca="1" si="110"/>
        <v>-181691519.0014379</v>
      </c>
      <c r="J1519" s="444">
        <f t="array" ref="J1519">IFERROR(INDEX('Retirement Calculator'!K:K,MATCH('Lorri 401b'!N1519,'Retirement Calculator'!A:A,0),0),0)</f>
        <v>0</v>
      </c>
      <c r="K1519" s="444">
        <f t="shared" ca="1" si="108"/>
        <v>-757047.99583932455</v>
      </c>
      <c r="L1519" s="444">
        <f t="shared" ca="1" si="109"/>
        <v>-182448566.99727723</v>
      </c>
      <c r="M1519" s="460">
        <f t="shared" si="111"/>
        <v>0.05</v>
      </c>
      <c r="N1519" s="464">
        <f t="shared" si="112"/>
        <v>97277</v>
      </c>
    </row>
    <row r="1520" spans="7:14" ht="11.25" customHeight="1" x14ac:dyDescent="0.3">
      <c r="G1520" s="459"/>
      <c r="H1520" s="459">
        <v>1513</v>
      </c>
      <c r="I1520" s="444">
        <f t="shared" ca="1" si="110"/>
        <v>-182448566.99727723</v>
      </c>
      <c r="J1520" s="444">
        <f t="array" ref="J1520">IFERROR(INDEX('Retirement Calculator'!K:K,MATCH('Lorri 401b'!N1520,'Retirement Calculator'!A:A,0),0),0)</f>
        <v>0</v>
      </c>
      <c r="K1520" s="444">
        <f t="shared" ca="1" si="108"/>
        <v>-760202.36248865514</v>
      </c>
      <c r="L1520" s="444">
        <f t="shared" ca="1" si="109"/>
        <v>-183208769.35976589</v>
      </c>
      <c r="M1520" s="460">
        <f t="shared" si="111"/>
        <v>0.05</v>
      </c>
      <c r="N1520" s="464">
        <f t="shared" si="112"/>
        <v>97308</v>
      </c>
    </row>
    <row r="1521" spans="7:14" ht="11.25" customHeight="1" x14ac:dyDescent="0.3">
      <c r="G1521" s="459"/>
      <c r="H1521" s="459">
        <v>1514</v>
      </c>
      <c r="I1521" s="444">
        <f t="shared" ca="1" si="110"/>
        <v>-183208769.35976589</v>
      </c>
      <c r="J1521" s="444">
        <f t="array" ref="J1521">IFERROR(INDEX('Retirement Calculator'!K:K,MATCH('Lorri 401b'!N1521,'Retirement Calculator'!A:A,0),0),0)</f>
        <v>0</v>
      </c>
      <c r="K1521" s="444">
        <f t="shared" ca="1" si="108"/>
        <v>-763369.8723323578</v>
      </c>
      <c r="L1521" s="444">
        <f t="shared" ca="1" si="109"/>
        <v>-183972139.23209825</v>
      </c>
      <c r="M1521" s="460">
        <f t="shared" si="111"/>
        <v>0.05</v>
      </c>
      <c r="N1521" s="464">
        <f t="shared" si="112"/>
        <v>97338</v>
      </c>
    </row>
    <row r="1522" spans="7:14" ht="11.25" customHeight="1" x14ac:dyDescent="0.3">
      <c r="G1522" s="459"/>
      <c r="H1522" s="459">
        <v>1515</v>
      </c>
      <c r="I1522" s="444">
        <f t="shared" ca="1" si="110"/>
        <v>-183972139.23209825</v>
      </c>
      <c r="J1522" s="444">
        <f t="array" ref="J1522">IFERROR(INDEX('Retirement Calculator'!K:K,MATCH('Lorri 401b'!N1522,'Retirement Calculator'!A:A,0),0),0)</f>
        <v>0</v>
      </c>
      <c r="K1522" s="444">
        <f t="shared" ca="1" si="108"/>
        <v>-766550.58013374265</v>
      </c>
      <c r="L1522" s="444">
        <f t="shared" ca="1" si="109"/>
        <v>-184738689.81223199</v>
      </c>
      <c r="M1522" s="460">
        <f t="shared" si="111"/>
        <v>0.05</v>
      </c>
      <c r="N1522" s="464">
        <f t="shared" si="112"/>
        <v>97369</v>
      </c>
    </row>
    <row r="1523" spans="7:14" ht="11.25" customHeight="1" x14ac:dyDescent="0.3">
      <c r="G1523" s="459"/>
      <c r="H1523" s="459">
        <v>1516</v>
      </c>
      <c r="I1523" s="444">
        <f t="shared" ca="1" si="110"/>
        <v>-184738689.81223199</v>
      </c>
      <c r="J1523" s="444">
        <f t="array" ref="J1523">IFERROR(INDEX('Retirement Calculator'!K:K,MATCH('Lorri 401b'!N1523,'Retirement Calculator'!A:A,0),0),0)</f>
        <v>0</v>
      </c>
      <c r="K1523" s="444">
        <f t="shared" ca="1" si="108"/>
        <v>-769744.5408842999</v>
      </c>
      <c r="L1523" s="444">
        <f t="shared" ca="1" si="109"/>
        <v>-185508434.35311627</v>
      </c>
      <c r="M1523" s="460">
        <f t="shared" si="111"/>
        <v>0.05</v>
      </c>
      <c r="N1523" s="464">
        <f t="shared" si="112"/>
        <v>97400</v>
      </c>
    </row>
    <row r="1524" spans="7:14" ht="11.25" customHeight="1" x14ac:dyDescent="0.3">
      <c r="G1524" s="459"/>
      <c r="H1524" s="459">
        <v>1517</v>
      </c>
      <c r="I1524" s="444">
        <f t="shared" ca="1" si="110"/>
        <v>-185508434.35311627</v>
      </c>
      <c r="J1524" s="444">
        <f t="array" ref="J1524">IFERROR(INDEX('Retirement Calculator'!K:K,MATCH('Lorri 401b'!N1524,'Retirement Calculator'!A:A,0),0),0)</f>
        <v>0</v>
      </c>
      <c r="K1524" s="444">
        <f t="shared" ca="1" si="108"/>
        <v>-772951.80980465119</v>
      </c>
      <c r="L1524" s="444">
        <f t="shared" ca="1" si="109"/>
        <v>-186281386.16292092</v>
      </c>
      <c r="M1524" s="460">
        <f t="shared" si="111"/>
        <v>0.05</v>
      </c>
      <c r="N1524" s="464">
        <f t="shared" si="112"/>
        <v>97430</v>
      </c>
    </row>
    <row r="1525" spans="7:14" ht="11.25" customHeight="1" x14ac:dyDescent="0.3">
      <c r="G1525" s="459"/>
      <c r="H1525" s="459">
        <v>1518</v>
      </c>
      <c r="I1525" s="444">
        <f t="shared" ca="1" si="110"/>
        <v>-186281386.16292092</v>
      </c>
      <c r="J1525" s="444">
        <f t="array" ref="J1525">IFERROR(INDEX('Retirement Calculator'!K:K,MATCH('Lorri 401b'!N1525,'Retirement Calculator'!A:A,0),0),0)</f>
        <v>0</v>
      </c>
      <c r="K1525" s="444">
        <f t="shared" ca="1" si="108"/>
        <v>-776172.44234550383</v>
      </c>
      <c r="L1525" s="444">
        <f t="shared" ca="1" si="109"/>
        <v>-187057558.60526642</v>
      </c>
      <c r="M1525" s="460">
        <f t="shared" si="111"/>
        <v>0.05</v>
      </c>
      <c r="N1525" s="464">
        <f t="shared" si="112"/>
        <v>97461</v>
      </c>
    </row>
    <row r="1526" spans="7:14" ht="11.25" customHeight="1" x14ac:dyDescent="0.3">
      <c r="G1526" s="459"/>
      <c r="H1526" s="459">
        <v>1519</v>
      </c>
      <c r="I1526" s="444">
        <f t="shared" ca="1" si="110"/>
        <v>-187057558.60526642</v>
      </c>
      <c r="J1526" s="444">
        <f t="array" ref="J1526">IFERROR(INDEX('Retirement Calculator'!K:K,MATCH('Lorri 401b'!N1526,'Retirement Calculator'!A:A,0),0),0)</f>
        <v>0</v>
      </c>
      <c r="K1526" s="444">
        <f t="shared" ca="1" si="108"/>
        <v>-779406.49418861012</v>
      </c>
      <c r="L1526" s="444">
        <f t="shared" ca="1" si="109"/>
        <v>-187836965.09945503</v>
      </c>
      <c r="M1526" s="460">
        <f t="shared" si="111"/>
        <v>0.05</v>
      </c>
      <c r="N1526" s="464">
        <f t="shared" si="112"/>
        <v>97491</v>
      </c>
    </row>
    <row r="1527" spans="7:14" ht="11.25" customHeight="1" x14ac:dyDescent="0.3">
      <c r="G1527" s="459"/>
      <c r="H1527" s="459">
        <v>1520</v>
      </c>
      <c r="I1527" s="444">
        <f t="shared" ca="1" si="110"/>
        <v>-187836965.09945503</v>
      </c>
      <c r="J1527" s="444">
        <f t="array" ref="J1527">IFERROR(INDEX('Retirement Calculator'!K:K,MATCH('Lorri 401b'!N1527,'Retirement Calculator'!A:A,0),0),0)</f>
        <v>0</v>
      </c>
      <c r="K1527" s="444">
        <f t="shared" ca="1" si="108"/>
        <v>-782654.02124772931</v>
      </c>
      <c r="L1527" s="444">
        <f t="shared" ca="1" si="109"/>
        <v>-188619619.12070274</v>
      </c>
      <c r="M1527" s="460">
        <f t="shared" si="111"/>
        <v>0.05</v>
      </c>
      <c r="N1527" s="464">
        <f t="shared" si="112"/>
        <v>97522</v>
      </c>
    </row>
    <row r="1528" spans="7:14" ht="11.25" customHeight="1" x14ac:dyDescent="0.3">
      <c r="G1528" s="459"/>
      <c r="H1528" s="459">
        <v>1521</v>
      </c>
      <c r="I1528" s="444">
        <f t="shared" ca="1" si="110"/>
        <v>-188619619.12070274</v>
      </c>
      <c r="J1528" s="444">
        <f t="array" ref="J1528">IFERROR(INDEX('Retirement Calculator'!K:K,MATCH('Lorri 401b'!N1528,'Retirement Calculator'!A:A,0),0),0)</f>
        <v>0</v>
      </c>
      <c r="K1528" s="444">
        <f t="shared" ca="1" si="108"/>
        <v>-785915.07966959476</v>
      </c>
      <c r="L1528" s="444">
        <f t="shared" ca="1" si="109"/>
        <v>-189405534.20037234</v>
      </c>
      <c r="M1528" s="460">
        <f t="shared" si="111"/>
        <v>0.05</v>
      </c>
      <c r="N1528" s="464">
        <f t="shared" si="112"/>
        <v>97553</v>
      </c>
    </row>
    <row r="1529" spans="7:14" ht="11.25" customHeight="1" x14ac:dyDescent="0.3">
      <c r="G1529" s="459"/>
      <c r="H1529" s="459">
        <v>1522</v>
      </c>
      <c r="I1529" s="444">
        <f t="shared" ca="1" si="110"/>
        <v>-189405534.20037234</v>
      </c>
      <c r="J1529" s="444">
        <f t="array" ref="J1529">IFERROR(INDEX('Retirement Calculator'!K:K,MATCH('Lorri 401b'!N1529,'Retirement Calculator'!A:A,0),0),0)</f>
        <v>0</v>
      </c>
      <c r="K1529" s="444">
        <f t="shared" ca="1" si="108"/>
        <v>-789189.72583488468</v>
      </c>
      <c r="L1529" s="444">
        <f t="shared" ca="1" si="109"/>
        <v>-190194723.92620721</v>
      </c>
      <c r="M1529" s="460">
        <f t="shared" si="111"/>
        <v>0.05</v>
      </c>
      <c r="N1529" s="464">
        <f t="shared" si="112"/>
        <v>97581</v>
      </c>
    </row>
    <row r="1530" spans="7:14" ht="11.25" customHeight="1" x14ac:dyDescent="0.3">
      <c r="G1530" s="459"/>
      <c r="H1530" s="459">
        <v>1523</v>
      </c>
      <c r="I1530" s="444">
        <f t="shared" ca="1" si="110"/>
        <v>-190194723.92620721</v>
      </c>
      <c r="J1530" s="444">
        <f t="array" ref="J1530">IFERROR(INDEX('Retirement Calculator'!K:K,MATCH('Lorri 401b'!N1530,'Retirement Calculator'!A:A,0),0),0)</f>
        <v>0</v>
      </c>
      <c r="K1530" s="444">
        <f t="shared" ca="1" si="108"/>
        <v>-792478.01635919674</v>
      </c>
      <c r="L1530" s="444">
        <f t="shared" ca="1" si="109"/>
        <v>-190987201.94256642</v>
      </c>
      <c r="M1530" s="460">
        <f t="shared" si="111"/>
        <v>0.05</v>
      </c>
      <c r="N1530" s="464">
        <f t="shared" si="112"/>
        <v>97612</v>
      </c>
    </row>
    <row r="1531" spans="7:14" ht="11.25" customHeight="1" x14ac:dyDescent="0.3">
      <c r="G1531" s="459"/>
      <c r="H1531" s="459">
        <v>1524</v>
      </c>
      <c r="I1531" s="444">
        <f t="shared" ca="1" si="110"/>
        <v>-190987201.94256642</v>
      </c>
      <c r="J1531" s="444">
        <f t="array" ref="J1531">IFERROR(INDEX('Retirement Calculator'!K:K,MATCH('Lorri 401b'!N1531,'Retirement Calculator'!A:A,0),0),0)</f>
        <v>0</v>
      </c>
      <c r="K1531" s="444">
        <f t="shared" ca="1" si="108"/>
        <v>-795780.00809402671</v>
      </c>
      <c r="L1531" s="444">
        <f t="shared" ca="1" si="109"/>
        <v>-191782981.95066044</v>
      </c>
      <c r="M1531" s="460">
        <f t="shared" si="111"/>
        <v>0.05</v>
      </c>
      <c r="N1531" s="464">
        <f t="shared" si="112"/>
        <v>97642</v>
      </c>
    </row>
    <row r="1532" spans="7:14" ht="11.25" customHeight="1" x14ac:dyDescent="0.3">
      <c r="G1532" s="459"/>
      <c r="H1532" s="459">
        <v>1525</v>
      </c>
      <c r="I1532" s="444">
        <f t="shared" ca="1" si="110"/>
        <v>-191782981.95066044</v>
      </c>
      <c r="J1532" s="444">
        <f t="array" ref="J1532">IFERROR(INDEX('Retirement Calculator'!K:K,MATCH('Lorri 401b'!N1532,'Retirement Calculator'!A:A,0),0),0)</f>
        <v>0</v>
      </c>
      <c r="K1532" s="444">
        <f t="shared" ca="1" si="108"/>
        <v>-799095.75812775176</v>
      </c>
      <c r="L1532" s="444">
        <f t="shared" ca="1" si="109"/>
        <v>-192582077.70878819</v>
      </c>
      <c r="M1532" s="460">
        <f t="shared" si="111"/>
        <v>0.05</v>
      </c>
      <c r="N1532" s="464">
        <f t="shared" si="112"/>
        <v>97673</v>
      </c>
    </row>
    <row r="1533" spans="7:14" ht="11.25" customHeight="1" x14ac:dyDescent="0.3">
      <c r="G1533" s="459"/>
      <c r="H1533" s="459">
        <v>1526</v>
      </c>
      <c r="I1533" s="444">
        <f t="shared" ca="1" si="110"/>
        <v>-192582077.70878819</v>
      </c>
      <c r="J1533" s="444">
        <f t="array" ref="J1533">IFERROR(INDEX('Retirement Calculator'!K:K,MATCH('Lorri 401b'!N1533,'Retirement Calculator'!A:A,0),0),0)</f>
        <v>0</v>
      </c>
      <c r="K1533" s="444">
        <f t="shared" ca="1" si="108"/>
        <v>-802425.32378661749</v>
      </c>
      <c r="L1533" s="444">
        <f t="shared" ca="1" si="109"/>
        <v>-193384503.0325748</v>
      </c>
      <c r="M1533" s="460">
        <f t="shared" si="111"/>
        <v>0.05</v>
      </c>
      <c r="N1533" s="464">
        <f t="shared" si="112"/>
        <v>97703</v>
      </c>
    </row>
    <row r="1534" spans="7:14" ht="11.25" customHeight="1" x14ac:dyDescent="0.3">
      <c r="G1534" s="459"/>
      <c r="H1534" s="459">
        <v>1527</v>
      </c>
      <c r="I1534" s="444">
        <f t="shared" ca="1" si="110"/>
        <v>-193384503.0325748</v>
      </c>
      <c r="J1534" s="444">
        <f t="array" ref="J1534">IFERROR(INDEX('Retirement Calculator'!K:K,MATCH('Lorri 401b'!N1534,'Retirement Calculator'!A:A,0),0),0)</f>
        <v>0</v>
      </c>
      <c r="K1534" s="444">
        <f t="shared" ca="1" si="108"/>
        <v>-805768.76263572834</v>
      </c>
      <c r="L1534" s="444">
        <f t="shared" ca="1" si="109"/>
        <v>-194190271.79521054</v>
      </c>
      <c r="M1534" s="460">
        <f t="shared" si="111"/>
        <v>0.05</v>
      </c>
      <c r="N1534" s="464">
        <f t="shared" si="112"/>
        <v>97734</v>
      </c>
    </row>
    <row r="1535" spans="7:14" ht="11.25" customHeight="1" x14ac:dyDescent="0.3">
      <c r="G1535" s="459"/>
      <c r="H1535" s="459">
        <v>1528</v>
      </c>
      <c r="I1535" s="444">
        <f t="shared" ca="1" si="110"/>
        <v>-194190271.79521054</v>
      </c>
      <c r="J1535" s="444">
        <f t="array" ref="J1535">IFERROR(INDEX('Retirement Calculator'!K:K,MATCH('Lorri 401b'!N1535,'Retirement Calculator'!A:A,0),0),0)</f>
        <v>0</v>
      </c>
      <c r="K1535" s="444">
        <f t="shared" ca="1" si="108"/>
        <v>-809126.13248004392</v>
      </c>
      <c r="L1535" s="444">
        <f t="shared" ca="1" si="109"/>
        <v>-194999397.9276906</v>
      </c>
      <c r="M1535" s="460">
        <f t="shared" si="111"/>
        <v>0.05</v>
      </c>
      <c r="N1535" s="464">
        <f t="shared" si="112"/>
        <v>97765</v>
      </c>
    </row>
    <row r="1536" spans="7:14" ht="11.25" customHeight="1" x14ac:dyDescent="0.3">
      <c r="G1536" s="459"/>
      <c r="H1536" s="459">
        <v>1529</v>
      </c>
      <c r="I1536" s="444">
        <f t="shared" ca="1" si="110"/>
        <v>-194999397.9276906</v>
      </c>
      <c r="J1536" s="444">
        <f t="array" ref="J1536">IFERROR(INDEX('Retirement Calculator'!K:K,MATCH('Lorri 401b'!N1536,'Retirement Calculator'!A:A,0),0),0)</f>
        <v>0</v>
      </c>
      <c r="K1536" s="444">
        <f t="shared" ca="1" si="108"/>
        <v>-812497.49136537744</v>
      </c>
      <c r="L1536" s="444">
        <f t="shared" ca="1" si="109"/>
        <v>-195811895.41905597</v>
      </c>
      <c r="M1536" s="460">
        <f t="shared" si="111"/>
        <v>0.05</v>
      </c>
      <c r="N1536" s="464">
        <f t="shared" si="112"/>
        <v>97795</v>
      </c>
    </row>
    <row r="1537" spans="7:14" ht="11.25" customHeight="1" x14ac:dyDescent="0.3">
      <c r="G1537" s="459"/>
      <c r="H1537" s="459">
        <v>1530</v>
      </c>
      <c r="I1537" s="444">
        <f t="shared" ca="1" si="110"/>
        <v>-195811895.41905597</v>
      </c>
      <c r="J1537" s="444">
        <f t="array" ref="J1537">IFERROR(INDEX('Retirement Calculator'!K:K,MATCH('Lorri 401b'!N1537,'Retirement Calculator'!A:A,0),0),0)</f>
        <v>0</v>
      </c>
      <c r="K1537" s="444">
        <f t="shared" ca="1" si="108"/>
        <v>-815882.89757939987</v>
      </c>
      <c r="L1537" s="444">
        <f t="shared" ca="1" si="109"/>
        <v>-196627778.31663537</v>
      </c>
      <c r="M1537" s="460">
        <f t="shared" si="111"/>
        <v>0.05</v>
      </c>
      <c r="N1537" s="464">
        <f t="shared" si="112"/>
        <v>97826</v>
      </c>
    </row>
    <row r="1538" spans="7:14" ht="11.25" customHeight="1" x14ac:dyDescent="0.3">
      <c r="G1538" s="459"/>
      <c r="H1538" s="459">
        <v>1531</v>
      </c>
      <c r="I1538" s="444">
        <f t="shared" ca="1" si="110"/>
        <v>-196627778.31663537</v>
      </c>
      <c r="J1538" s="444">
        <f t="array" ref="J1538">IFERROR(INDEX('Retirement Calculator'!K:K,MATCH('Lorri 401b'!N1538,'Retirement Calculator'!A:A,0),0),0)</f>
        <v>0</v>
      </c>
      <c r="K1538" s="444">
        <f t="shared" ref="K1538:K1792" ca="1" si="113">IPMT(M1538/12,1,12,-I1538+J1538,,0)</f>
        <v>-819282.40965264733</v>
      </c>
      <c r="L1538" s="444">
        <f t="shared" ref="L1538:L1792" ca="1" si="114">I1538-J1538+K1538</f>
        <v>-197447060.72628802</v>
      </c>
      <c r="M1538" s="460">
        <f t="shared" si="111"/>
        <v>0.05</v>
      </c>
      <c r="N1538" s="464">
        <f t="shared" si="112"/>
        <v>97856</v>
      </c>
    </row>
    <row r="1539" spans="7:14" ht="11.25" customHeight="1" x14ac:dyDescent="0.3">
      <c r="G1539" s="459"/>
      <c r="H1539" s="459">
        <v>1532</v>
      </c>
      <c r="I1539" s="444">
        <f t="shared" ref="I1539:I1793" ca="1" si="115">L1538</f>
        <v>-197447060.72628802</v>
      </c>
      <c r="J1539" s="444">
        <f t="array" ref="J1539">IFERROR(INDEX('Retirement Calculator'!K:K,MATCH('Lorri 401b'!N1539,'Retirement Calculator'!A:A,0),0),0)</f>
        <v>0</v>
      </c>
      <c r="K1539" s="444">
        <f t="shared" ca="1" si="113"/>
        <v>-822696.08635953336</v>
      </c>
      <c r="L1539" s="444">
        <f t="shared" ca="1" si="114"/>
        <v>-198269756.81264755</v>
      </c>
      <c r="M1539" s="460">
        <f t="shared" ref="M1539:M1793" si="116">M1538</f>
        <v>0.05</v>
      </c>
      <c r="N1539" s="464">
        <f t="shared" ref="N1539:N1793" si="117">EDATE(N1538,1)</f>
        <v>97887</v>
      </c>
    </row>
    <row r="1540" spans="7:14" ht="11.25" customHeight="1" x14ac:dyDescent="0.3">
      <c r="G1540" s="459"/>
      <c r="H1540" s="459">
        <v>1533</v>
      </c>
      <c r="I1540" s="444">
        <f t="shared" ca="1" si="115"/>
        <v>-198269756.81264755</v>
      </c>
      <c r="J1540" s="444">
        <f t="array" ref="J1540">IFERROR(INDEX('Retirement Calculator'!K:K,MATCH('Lorri 401b'!N1540,'Retirement Calculator'!A:A,0),0),0)</f>
        <v>0</v>
      </c>
      <c r="K1540" s="444">
        <f t="shared" ca="1" si="113"/>
        <v>-826123.98671936477</v>
      </c>
      <c r="L1540" s="444">
        <f t="shared" ca="1" si="114"/>
        <v>-199095880.79936692</v>
      </c>
      <c r="M1540" s="460">
        <f t="shared" si="116"/>
        <v>0.05</v>
      </c>
      <c r="N1540" s="464">
        <f t="shared" si="117"/>
        <v>97918</v>
      </c>
    </row>
    <row r="1541" spans="7:14" ht="11.25" customHeight="1" x14ac:dyDescent="0.3">
      <c r="G1541" s="459"/>
      <c r="H1541" s="459">
        <v>1534</v>
      </c>
      <c r="I1541" s="444">
        <f t="shared" ca="1" si="115"/>
        <v>-199095880.79936692</v>
      </c>
      <c r="J1541" s="444">
        <f t="array" ref="J1541">IFERROR(INDEX('Retirement Calculator'!K:K,MATCH('Lorri 401b'!N1541,'Retirement Calculator'!A:A,0),0),0)</f>
        <v>0</v>
      </c>
      <c r="K1541" s="444">
        <f t="shared" ca="1" si="113"/>
        <v>-829566.16999736219</v>
      </c>
      <c r="L1541" s="444">
        <f t="shared" ca="1" si="114"/>
        <v>-199925446.96936429</v>
      </c>
      <c r="M1541" s="460">
        <f t="shared" si="116"/>
        <v>0.05</v>
      </c>
      <c r="N1541" s="464">
        <f t="shared" si="117"/>
        <v>97947</v>
      </c>
    </row>
    <row r="1542" spans="7:14" ht="11.25" customHeight="1" x14ac:dyDescent="0.3">
      <c r="G1542" s="459"/>
      <c r="H1542" s="459">
        <v>1535</v>
      </c>
      <c r="I1542" s="444">
        <f t="shared" ca="1" si="115"/>
        <v>-199925446.96936429</v>
      </c>
      <c r="J1542" s="444">
        <f t="array" ref="J1542">IFERROR(INDEX('Retirement Calculator'!K:K,MATCH('Lorri 401b'!N1542,'Retirement Calculator'!A:A,0),0),0)</f>
        <v>0</v>
      </c>
      <c r="K1542" s="444">
        <f t="shared" ca="1" si="113"/>
        <v>-833022.69570568448</v>
      </c>
      <c r="L1542" s="444">
        <f t="shared" ca="1" si="114"/>
        <v>-200758469.66506997</v>
      </c>
      <c r="M1542" s="460">
        <f t="shared" si="116"/>
        <v>0.05</v>
      </c>
      <c r="N1542" s="464">
        <f t="shared" si="117"/>
        <v>97978</v>
      </c>
    </row>
    <row r="1543" spans="7:14" ht="11.25" customHeight="1" x14ac:dyDescent="0.3">
      <c r="G1543" s="459"/>
      <c r="H1543" s="459">
        <v>1536</v>
      </c>
      <c r="I1543" s="444">
        <f t="shared" ca="1" si="115"/>
        <v>-200758469.66506997</v>
      </c>
      <c r="J1543" s="444">
        <f t="array" ref="J1543">IFERROR(INDEX('Retirement Calculator'!K:K,MATCH('Lorri 401b'!N1543,'Retirement Calculator'!A:A,0),0),0)</f>
        <v>0</v>
      </c>
      <c r="K1543" s="444">
        <f t="shared" ca="1" si="113"/>
        <v>-836493.62360445817</v>
      </c>
      <c r="L1543" s="444">
        <f t="shared" ca="1" si="114"/>
        <v>-201594963.28867441</v>
      </c>
      <c r="M1543" s="460">
        <f t="shared" si="116"/>
        <v>0.05</v>
      </c>
      <c r="N1543" s="464">
        <f t="shared" si="117"/>
        <v>98008</v>
      </c>
    </row>
    <row r="1544" spans="7:14" ht="11.25" customHeight="1" x14ac:dyDescent="0.3">
      <c r="G1544" s="459"/>
      <c r="H1544" s="459">
        <v>1537</v>
      </c>
      <c r="I1544" s="444">
        <f t="shared" ca="1" si="115"/>
        <v>-201594963.28867441</v>
      </c>
      <c r="J1544" s="444">
        <f t="array" ref="J1544">IFERROR(INDEX('Retirement Calculator'!K:K,MATCH('Lorri 401b'!N1544,'Retirement Calculator'!A:A,0),0),0)</f>
        <v>0</v>
      </c>
      <c r="K1544" s="444">
        <f t="shared" ca="1" si="113"/>
        <v>-839979.01370281004</v>
      </c>
      <c r="L1544" s="444">
        <f t="shared" ca="1" si="114"/>
        <v>-202434942.30237722</v>
      </c>
      <c r="M1544" s="460">
        <f t="shared" si="116"/>
        <v>0.05</v>
      </c>
      <c r="N1544" s="464">
        <f t="shared" si="117"/>
        <v>98039</v>
      </c>
    </row>
    <row r="1545" spans="7:14" ht="11.25" customHeight="1" x14ac:dyDescent="0.3">
      <c r="G1545" s="459"/>
      <c r="H1545" s="459">
        <v>1538</v>
      </c>
      <c r="I1545" s="444">
        <f t="shared" ca="1" si="115"/>
        <v>-202434942.30237722</v>
      </c>
      <c r="J1545" s="444">
        <f t="array" ref="J1545">IFERROR(INDEX('Retirement Calculator'!K:K,MATCH('Lorri 401b'!N1545,'Retirement Calculator'!A:A,0),0),0)</f>
        <v>0</v>
      </c>
      <c r="K1545" s="444">
        <f t="shared" ca="1" si="113"/>
        <v>-843478.9262599051</v>
      </c>
      <c r="L1545" s="444">
        <f t="shared" ca="1" si="114"/>
        <v>-203278421.22863713</v>
      </c>
      <c r="M1545" s="460">
        <f t="shared" si="116"/>
        <v>0.05</v>
      </c>
      <c r="N1545" s="464">
        <f t="shared" si="117"/>
        <v>98069</v>
      </c>
    </row>
    <row r="1546" spans="7:14" ht="11.25" customHeight="1" x14ac:dyDescent="0.3">
      <c r="G1546" s="459"/>
      <c r="H1546" s="459">
        <v>1539</v>
      </c>
      <c r="I1546" s="444">
        <f t="shared" ca="1" si="115"/>
        <v>-203278421.22863713</v>
      </c>
      <c r="J1546" s="444">
        <f t="array" ref="J1546">IFERROR(INDEX('Retirement Calculator'!K:K,MATCH('Lorri 401b'!N1546,'Retirement Calculator'!A:A,0),0),0)</f>
        <v>0</v>
      </c>
      <c r="K1546" s="444">
        <f t="shared" ca="1" si="113"/>
        <v>-846993.42178598803</v>
      </c>
      <c r="L1546" s="444">
        <f t="shared" ca="1" si="114"/>
        <v>-204125414.65042311</v>
      </c>
      <c r="M1546" s="460">
        <f t="shared" si="116"/>
        <v>0.05</v>
      </c>
      <c r="N1546" s="464">
        <f t="shared" si="117"/>
        <v>98100</v>
      </c>
    </row>
    <row r="1547" spans="7:14" ht="11.25" customHeight="1" x14ac:dyDescent="0.3">
      <c r="G1547" s="459"/>
      <c r="H1547" s="459">
        <v>1540</v>
      </c>
      <c r="I1547" s="444">
        <f t="shared" ca="1" si="115"/>
        <v>-204125414.65042311</v>
      </c>
      <c r="J1547" s="444">
        <f t="array" ref="J1547">IFERROR(INDEX('Retirement Calculator'!K:K,MATCH('Lorri 401b'!N1547,'Retirement Calculator'!A:A,0),0),0)</f>
        <v>0</v>
      </c>
      <c r="K1547" s="444">
        <f t="shared" ca="1" si="113"/>
        <v>-850522.56104342965</v>
      </c>
      <c r="L1547" s="444">
        <f t="shared" ca="1" si="114"/>
        <v>-204975937.21146655</v>
      </c>
      <c r="M1547" s="460">
        <f t="shared" si="116"/>
        <v>0.05</v>
      </c>
      <c r="N1547" s="464">
        <f t="shared" si="117"/>
        <v>98131</v>
      </c>
    </row>
    <row r="1548" spans="7:14" ht="11.25" customHeight="1" x14ac:dyDescent="0.3">
      <c r="G1548" s="459"/>
      <c r="H1548" s="459">
        <v>1541</v>
      </c>
      <c r="I1548" s="444">
        <f t="shared" ca="1" si="115"/>
        <v>-204975937.21146655</v>
      </c>
      <c r="J1548" s="444">
        <f t="array" ref="J1548">IFERROR(INDEX('Retirement Calculator'!K:K,MATCH('Lorri 401b'!N1548,'Retirement Calculator'!A:A,0),0),0)</f>
        <v>0</v>
      </c>
      <c r="K1548" s="444">
        <f t="shared" ca="1" si="113"/>
        <v>-854066.40504777723</v>
      </c>
      <c r="L1548" s="444">
        <f t="shared" ca="1" si="114"/>
        <v>-205830003.61651433</v>
      </c>
      <c r="M1548" s="460">
        <f t="shared" si="116"/>
        <v>0.05</v>
      </c>
      <c r="N1548" s="464">
        <f t="shared" si="117"/>
        <v>98161</v>
      </c>
    </row>
    <row r="1549" spans="7:14" ht="11.25" customHeight="1" x14ac:dyDescent="0.3">
      <c r="G1549" s="459"/>
      <c r="H1549" s="459">
        <v>1542</v>
      </c>
      <c r="I1549" s="444">
        <f t="shared" ca="1" si="115"/>
        <v>-205830003.61651433</v>
      </c>
      <c r="J1549" s="444">
        <f t="array" ref="J1549">IFERROR(INDEX('Retirement Calculator'!K:K,MATCH('Lorri 401b'!N1549,'Retirement Calculator'!A:A,0),0),0)</f>
        <v>0</v>
      </c>
      <c r="K1549" s="444">
        <f t="shared" ca="1" si="113"/>
        <v>-857625.01506880962</v>
      </c>
      <c r="L1549" s="444">
        <f t="shared" ca="1" si="114"/>
        <v>-206687628.63158312</v>
      </c>
      <c r="M1549" s="460">
        <f t="shared" si="116"/>
        <v>0.05</v>
      </c>
      <c r="N1549" s="464">
        <f t="shared" si="117"/>
        <v>98192</v>
      </c>
    </row>
    <row r="1550" spans="7:14" ht="11.25" customHeight="1" x14ac:dyDescent="0.3">
      <c r="G1550" s="459"/>
      <c r="H1550" s="459">
        <v>1543</v>
      </c>
      <c r="I1550" s="444">
        <f t="shared" ca="1" si="115"/>
        <v>-206687628.63158312</v>
      </c>
      <c r="J1550" s="444">
        <f t="array" ref="J1550">IFERROR(INDEX('Retirement Calculator'!K:K,MATCH('Lorri 401b'!N1550,'Retirement Calculator'!A:A,0),0),0)</f>
        <v>0</v>
      </c>
      <c r="K1550" s="444">
        <f t="shared" ca="1" si="113"/>
        <v>-861198.45263159636</v>
      </c>
      <c r="L1550" s="444">
        <f t="shared" ca="1" si="114"/>
        <v>-207548827.08421472</v>
      </c>
      <c r="M1550" s="460">
        <f t="shared" si="116"/>
        <v>0.05</v>
      </c>
      <c r="N1550" s="464">
        <f t="shared" si="117"/>
        <v>98222</v>
      </c>
    </row>
    <row r="1551" spans="7:14" ht="11.25" customHeight="1" x14ac:dyDescent="0.3">
      <c r="G1551" s="459"/>
      <c r="H1551" s="459">
        <v>1544</v>
      </c>
      <c r="I1551" s="444">
        <f t="shared" ca="1" si="115"/>
        <v>-207548827.08421472</v>
      </c>
      <c r="J1551" s="444">
        <f t="array" ref="J1551">IFERROR(INDEX('Retirement Calculator'!K:K,MATCH('Lorri 401b'!N1551,'Retirement Calculator'!A:A,0),0),0)</f>
        <v>0</v>
      </c>
      <c r="K1551" s="444">
        <f t="shared" ca="1" si="113"/>
        <v>-864786.77951756131</v>
      </c>
      <c r="L1551" s="444">
        <f t="shared" ca="1" si="114"/>
        <v>-208413613.86373228</v>
      </c>
      <c r="M1551" s="460">
        <f t="shared" si="116"/>
        <v>0.05</v>
      </c>
      <c r="N1551" s="464">
        <f t="shared" si="117"/>
        <v>98253</v>
      </c>
    </row>
    <row r="1552" spans="7:14" ht="11.25" customHeight="1" x14ac:dyDescent="0.3">
      <c r="G1552" s="459"/>
      <c r="H1552" s="459">
        <v>1545</v>
      </c>
      <c r="I1552" s="444">
        <f t="shared" ca="1" si="115"/>
        <v>-208413613.86373228</v>
      </c>
      <c r="J1552" s="444">
        <f t="array" ref="J1552">IFERROR(INDEX('Retirement Calculator'!K:K,MATCH('Lorri 401b'!N1552,'Retirement Calculator'!A:A,0),0),0)</f>
        <v>0</v>
      </c>
      <c r="K1552" s="444">
        <f t="shared" ca="1" si="113"/>
        <v>-868390.05776555114</v>
      </c>
      <c r="L1552" s="444">
        <f t="shared" ca="1" si="114"/>
        <v>-209282003.92149782</v>
      </c>
      <c r="M1552" s="460">
        <f t="shared" si="116"/>
        <v>0.05</v>
      </c>
      <c r="N1552" s="464">
        <f t="shared" si="117"/>
        <v>98284</v>
      </c>
    </row>
    <row r="1553" spans="7:14" ht="11.25" customHeight="1" x14ac:dyDescent="0.3">
      <c r="G1553" s="459"/>
      <c r="H1553" s="459">
        <v>1546</v>
      </c>
      <c r="I1553" s="444">
        <f t="shared" ca="1" si="115"/>
        <v>-209282003.92149782</v>
      </c>
      <c r="J1553" s="444">
        <f t="array" ref="J1553">IFERROR(INDEX('Retirement Calculator'!K:K,MATCH('Lorri 401b'!N1553,'Retirement Calculator'!A:A,0),0),0)</f>
        <v>0</v>
      </c>
      <c r="K1553" s="444">
        <f t="shared" ca="1" si="113"/>
        <v>-872008.34967290761</v>
      </c>
      <c r="L1553" s="444">
        <f t="shared" ca="1" si="114"/>
        <v>-210154012.27117074</v>
      </c>
      <c r="M1553" s="460">
        <f t="shared" si="116"/>
        <v>0.05</v>
      </c>
      <c r="N1553" s="464">
        <f t="shared" si="117"/>
        <v>98312</v>
      </c>
    </row>
    <row r="1554" spans="7:14" ht="11.25" customHeight="1" x14ac:dyDescent="0.3">
      <c r="G1554" s="459"/>
      <c r="H1554" s="459">
        <v>1547</v>
      </c>
      <c r="I1554" s="444">
        <f t="shared" ca="1" si="115"/>
        <v>-210154012.27117074</v>
      </c>
      <c r="J1554" s="444">
        <f t="array" ref="J1554">IFERROR(INDEX('Retirement Calculator'!K:K,MATCH('Lorri 401b'!N1554,'Retirement Calculator'!A:A,0),0),0)</f>
        <v>0</v>
      </c>
      <c r="K1554" s="444">
        <f t="shared" ca="1" si="113"/>
        <v>-875641.71779654489</v>
      </c>
      <c r="L1554" s="444">
        <f t="shared" ca="1" si="114"/>
        <v>-211029653.98896727</v>
      </c>
      <c r="M1554" s="460">
        <f t="shared" si="116"/>
        <v>0.05</v>
      </c>
      <c r="N1554" s="464">
        <f t="shared" si="117"/>
        <v>98343</v>
      </c>
    </row>
    <row r="1555" spans="7:14" ht="11.25" customHeight="1" x14ac:dyDescent="0.3">
      <c r="G1555" s="459"/>
      <c r="H1555" s="459">
        <v>1548</v>
      </c>
      <c r="I1555" s="444">
        <f t="shared" ca="1" si="115"/>
        <v>-211029653.98896727</v>
      </c>
      <c r="J1555" s="444">
        <f t="array" ref="J1555">IFERROR(INDEX('Retirement Calculator'!K:K,MATCH('Lorri 401b'!N1555,'Retirement Calculator'!A:A,0),0),0)</f>
        <v>0</v>
      </c>
      <c r="K1555" s="444">
        <f t="shared" ca="1" si="113"/>
        <v>-879290.22495403013</v>
      </c>
      <c r="L1555" s="444">
        <f t="shared" ca="1" si="114"/>
        <v>-211908944.21392131</v>
      </c>
      <c r="M1555" s="460">
        <f t="shared" si="116"/>
        <v>0.05</v>
      </c>
      <c r="N1555" s="464">
        <f t="shared" si="117"/>
        <v>98373</v>
      </c>
    </row>
    <row r="1556" spans="7:14" ht="11.25" customHeight="1" x14ac:dyDescent="0.3">
      <c r="G1556" s="459"/>
      <c r="H1556" s="459">
        <v>1549</v>
      </c>
      <c r="I1556" s="444">
        <f t="shared" ca="1" si="115"/>
        <v>-211908944.21392131</v>
      </c>
      <c r="J1556" s="444">
        <f t="array" ref="J1556">IFERROR(INDEX('Retirement Calculator'!K:K,MATCH('Lorri 401b'!N1556,'Retirement Calculator'!A:A,0),0),0)</f>
        <v>0</v>
      </c>
      <c r="K1556" s="444">
        <f t="shared" ca="1" si="113"/>
        <v>-882953.93422467215</v>
      </c>
      <c r="L1556" s="444">
        <f t="shared" ca="1" si="114"/>
        <v>-212791898.14814597</v>
      </c>
      <c r="M1556" s="460">
        <f t="shared" si="116"/>
        <v>0.05</v>
      </c>
      <c r="N1556" s="464">
        <f t="shared" si="117"/>
        <v>98404</v>
      </c>
    </row>
    <row r="1557" spans="7:14" ht="11.25" customHeight="1" x14ac:dyDescent="0.3">
      <c r="G1557" s="459"/>
      <c r="H1557" s="459">
        <v>1550</v>
      </c>
      <c r="I1557" s="444">
        <f t="shared" ca="1" si="115"/>
        <v>-212791898.14814597</v>
      </c>
      <c r="J1557" s="444">
        <f t="array" ref="J1557">IFERROR(INDEX('Retirement Calculator'!K:K,MATCH('Lorri 401b'!N1557,'Retirement Calculator'!A:A,0),0),0)</f>
        <v>0</v>
      </c>
      <c r="K1557" s="444">
        <f t="shared" ca="1" si="113"/>
        <v>-886632.90895060822</v>
      </c>
      <c r="L1557" s="444">
        <f t="shared" ca="1" si="114"/>
        <v>-213678531.05709657</v>
      </c>
      <c r="M1557" s="460">
        <f t="shared" si="116"/>
        <v>0.05</v>
      </c>
      <c r="N1557" s="464">
        <f t="shared" si="117"/>
        <v>98434</v>
      </c>
    </row>
    <row r="1558" spans="7:14" ht="11.25" customHeight="1" x14ac:dyDescent="0.3">
      <c r="G1558" s="459"/>
      <c r="H1558" s="459">
        <v>1551</v>
      </c>
      <c r="I1558" s="444">
        <f t="shared" ca="1" si="115"/>
        <v>-213678531.05709657</v>
      </c>
      <c r="J1558" s="444">
        <f t="array" ref="J1558">IFERROR(INDEX('Retirement Calculator'!K:K,MATCH('Lorri 401b'!N1558,'Retirement Calculator'!A:A,0),0),0)</f>
        <v>0</v>
      </c>
      <c r="K1558" s="444">
        <f t="shared" ca="1" si="113"/>
        <v>-890327.21273790242</v>
      </c>
      <c r="L1558" s="444">
        <f t="shared" ca="1" si="114"/>
        <v>-214568858.26983446</v>
      </c>
      <c r="M1558" s="460">
        <f t="shared" si="116"/>
        <v>0.05</v>
      </c>
      <c r="N1558" s="464">
        <f t="shared" si="117"/>
        <v>98465</v>
      </c>
    </row>
    <row r="1559" spans="7:14" ht="11.25" customHeight="1" x14ac:dyDescent="0.3">
      <c r="G1559" s="459"/>
      <c r="H1559" s="459">
        <v>1552</v>
      </c>
      <c r="I1559" s="444">
        <f t="shared" ca="1" si="115"/>
        <v>-214568858.26983446</v>
      </c>
      <c r="J1559" s="444">
        <f t="array" ref="J1559">IFERROR(INDEX('Retirement Calculator'!K:K,MATCH('Lorri 401b'!N1559,'Retirement Calculator'!A:A,0),0),0)</f>
        <v>0</v>
      </c>
      <c r="K1559" s="444">
        <f t="shared" ca="1" si="113"/>
        <v>-894036.90945764352</v>
      </c>
      <c r="L1559" s="444">
        <f t="shared" ca="1" si="114"/>
        <v>-215462895.17929211</v>
      </c>
      <c r="M1559" s="460">
        <f t="shared" si="116"/>
        <v>0.05</v>
      </c>
      <c r="N1559" s="464">
        <f t="shared" si="117"/>
        <v>98496</v>
      </c>
    </row>
    <row r="1560" spans="7:14" ht="11.25" customHeight="1" x14ac:dyDescent="0.3">
      <c r="G1560" s="459"/>
      <c r="H1560" s="459">
        <v>1553</v>
      </c>
      <c r="I1560" s="444">
        <f t="shared" ca="1" si="115"/>
        <v>-215462895.17929211</v>
      </c>
      <c r="J1560" s="444">
        <f t="array" ref="J1560">IFERROR(INDEX('Retirement Calculator'!K:K,MATCH('Lorri 401b'!N1560,'Retirement Calculator'!A:A,0),0),0)</f>
        <v>0</v>
      </c>
      <c r="K1560" s="444">
        <f t="shared" ca="1" si="113"/>
        <v>-897762.06324705028</v>
      </c>
      <c r="L1560" s="444">
        <f t="shared" ca="1" si="114"/>
        <v>-216360657.24253917</v>
      </c>
      <c r="M1560" s="460">
        <f t="shared" si="116"/>
        <v>0.05</v>
      </c>
      <c r="N1560" s="464">
        <f t="shared" si="117"/>
        <v>98526</v>
      </c>
    </row>
    <row r="1561" spans="7:14" ht="11.25" customHeight="1" x14ac:dyDescent="0.3">
      <c r="G1561" s="459"/>
      <c r="H1561" s="459">
        <v>1554</v>
      </c>
      <c r="I1561" s="444">
        <f t="shared" ca="1" si="115"/>
        <v>-216360657.24253917</v>
      </c>
      <c r="J1561" s="444">
        <f t="array" ref="J1561">IFERROR(INDEX('Retirement Calculator'!K:K,MATCH('Lorri 401b'!N1561,'Retirement Calculator'!A:A,0),0),0)</f>
        <v>0</v>
      </c>
      <c r="K1561" s="444">
        <f t="shared" ca="1" si="113"/>
        <v>-901502.73851057969</v>
      </c>
      <c r="L1561" s="444">
        <f t="shared" ca="1" si="114"/>
        <v>-217262159.98104975</v>
      </c>
      <c r="M1561" s="460">
        <f t="shared" si="116"/>
        <v>0.05</v>
      </c>
      <c r="N1561" s="464">
        <f t="shared" si="117"/>
        <v>98557</v>
      </c>
    </row>
    <row r="1562" spans="7:14" ht="11.25" customHeight="1" x14ac:dyDescent="0.3">
      <c r="G1562" s="459"/>
      <c r="H1562" s="459">
        <v>1555</v>
      </c>
      <c r="I1562" s="444">
        <f t="shared" ca="1" si="115"/>
        <v>-217262159.98104975</v>
      </c>
      <c r="J1562" s="444">
        <f t="array" ref="J1562">IFERROR(INDEX('Retirement Calculator'!K:K,MATCH('Lorri 401b'!N1562,'Retirement Calculator'!A:A,0),0),0)</f>
        <v>0</v>
      </c>
      <c r="K1562" s="444">
        <f t="shared" ca="1" si="113"/>
        <v>-905258.99992104049</v>
      </c>
      <c r="L1562" s="444">
        <f t="shared" ca="1" si="114"/>
        <v>-218167418.9809708</v>
      </c>
      <c r="M1562" s="460">
        <f t="shared" si="116"/>
        <v>0.05</v>
      </c>
      <c r="N1562" s="464">
        <f t="shared" si="117"/>
        <v>98587</v>
      </c>
    </row>
    <row r="1563" spans="7:14" ht="11.25" customHeight="1" x14ac:dyDescent="0.3">
      <c r="G1563" s="459"/>
      <c r="H1563" s="459">
        <v>1556</v>
      </c>
      <c r="I1563" s="444">
        <f t="shared" ca="1" si="115"/>
        <v>-218167418.9809708</v>
      </c>
      <c r="J1563" s="444">
        <f t="array" ref="J1563">IFERROR(INDEX('Retirement Calculator'!K:K,MATCH('Lorri 401b'!N1563,'Retirement Calculator'!A:A,0),0),0)</f>
        <v>0</v>
      </c>
      <c r="K1563" s="444">
        <f t="shared" ca="1" si="113"/>
        <v>-909030.9124207116</v>
      </c>
      <c r="L1563" s="444">
        <f t="shared" ca="1" si="114"/>
        <v>-219076449.89339152</v>
      </c>
      <c r="M1563" s="460">
        <f t="shared" si="116"/>
        <v>0.05</v>
      </c>
      <c r="N1563" s="464">
        <f t="shared" si="117"/>
        <v>98618</v>
      </c>
    </row>
    <row r="1564" spans="7:14" ht="11.25" customHeight="1" x14ac:dyDescent="0.3">
      <c r="G1564" s="459"/>
      <c r="H1564" s="459">
        <v>1557</v>
      </c>
      <c r="I1564" s="444">
        <f t="shared" ca="1" si="115"/>
        <v>-219076449.89339152</v>
      </c>
      <c r="J1564" s="444">
        <f t="array" ref="J1564">IFERROR(INDEX('Retirement Calculator'!K:K,MATCH('Lorri 401b'!N1564,'Retirement Calculator'!A:A,0),0),0)</f>
        <v>0</v>
      </c>
      <c r="K1564" s="444">
        <f t="shared" ca="1" si="113"/>
        <v>-912818.54122246464</v>
      </c>
      <c r="L1564" s="444">
        <f t="shared" ca="1" si="114"/>
        <v>-219989268.43461397</v>
      </c>
      <c r="M1564" s="460">
        <f t="shared" si="116"/>
        <v>0.05</v>
      </c>
      <c r="N1564" s="464">
        <f t="shared" si="117"/>
        <v>98649</v>
      </c>
    </row>
    <row r="1565" spans="7:14" ht="11.25" customHeight="1" x14ac:dyDescent="0.3">
      <c r="G1565" s="459"/>
      <c r="H1565" s="459">
        <v>1558</v>
      </c>
      <c r="I1565" s="444">
        <f t="shared" ca="1" si="115"/>
        <v>-219989268.43461397</v>
      </c>
      <c r="J1565" s="444">
        <f t="array" ref="J1565">IFERROR(INDEX('Retirement Calculator'!K:K,MATCH('Lorri 401b'!N1565,'Retirement Calculator'!A:A,0),0),0)</f>
        <v>0</v>
      </c>
      <c r="K1565" s="444">
        <f t="shared" ca="1" si="113"/>
        <v>-916621.95181089162</v>
      </c>
      <c r="L1565" s="444">
        <f t="shared" ca="1" si="114"/>
        <v>-220905890.38642487</v>
      </c>
      <c r="M1565" s="460">
        <f t="shared" si="116"/>
        <v>0.05</v>
      </c>
      <c r="N1565" s="464">
        <f t="shared" si="117"/>
        <v>98677</v>
      </c>
    </row>
    <row r="1566" spans="7:14" ht="11.25" customHeight="1" x14ac:dyDescent="0.3">
      <c r="G1566" s="459"/>
      <c r="H1566" s="459">
        <v>1559</v>
      </c>
      <c r="I1566" s="444">
        <f t="shared" ca="1" si="115"/>
        <v>-220905890.38642487</v>
      </c>
      <c r="J1566" s="444">
        <f t="array" ref="J1566">IFERROR(INDEX('Retirement Calculator'!K:K,MATCH('Lorri 401b'!N1566,'Retirement Calculator'!A:A,0),0),0)</f>
        <v>0</v>
      </c>
      <c r="K1566" s="444">
        <f t="shared" ca="1" si="113"/>
        <v>-920441.2099434369</v>
      </c>
      <c r="L1566" s="444">
        <f t="shared" ca="1" si="114"/>
        <v>-221826331.59636831</v>
      </c>
      <c r="M1566" s="460">
        <f t="shared" si="116"/>
        <v>0.05</v>
      </c>
      <c r="N1566" s="464">
        <f t="shared" si="117"/>
        <v>98708</v>
      </c>
    </row>
    <row r="1567" spans="7:14" ht="11.25" customHeight="1" x14ac:dyDescent="0.3">
      <c r="G1567" s="459"/>
      <c r="H1567" s="459">
        <v>1560</v>
      </c>
      <c r="I1567" s="444">
        <f t="shared" ca="1" si="115"/>
        <v>-221826331.59636831</v>
      </c>
      <c r="J1567" s="444">
        <f t="array" ref="J1567">IFERROR(INDEX('Retirement Calculator'!K:K,MATCH('Lorri 401b'!N1567,'Retirement Calculator'!A:A,0),0),0)</f>
        <v>0</v>
      </c>
      <c r="K1567" s="444">
        <f t="shared" ca="1" si="113"/>
        <v>-924276.38165153458</v>
      </c>
      <c r="L1567" s="444">
        <f t="shared" ca="1" si="114"/>
        <v>-222750607.97801983</v>
      </c>
      <c r="M1567" s="460">
        <f t="shared" si="116"/>
        <v>0.05</v>
      </c>
      <c r="N1567" s="464">
        <f t="shared" si="117"/>
        <v>98738</v>
      </c>
    </row>
    <row r="1568" spans="7:14" ht="11.25" customHeight="1" x14ac:dyDescent="0.3">
      <c r="G1568" s="459"/>
      <c r="H1568" s="459">
        <v>1561</v>
      </c>
      <c r="I1568" s="444">
        <f t="shared" ca="1" si="115"/>
        <v>-222750607.97801983</v>
      </c>
      <c r="J1568" s="444">
        <f t="array" ref="J1568">IFERROR(INDEX('Retirement Calculator'!K:K,MATCH('Lorri 401b'!N1568,'Retirement Calculator'!A:A,0),0),0)</f>
        <v>0</v>
      </c>
      <c r="K1568" s="444">
        <f t="shared" ca="1" si="113"/>
        <v>-928127.53324174928</v>
      </c>
      <c r="L1568" s="444">
        <f t="shared" ca="1" si="114"/>
        <v>-223678735.51126158</v>
      </c>
      <c r="M1568" s="460">
        <f t="shared" si="116"/>
        <v>0.05</v>
      </c>
      <c r="N1568" s="464">
        <f t="shared" si="117"/>
        <v>98769</v>
      </c>
    </row>
    <row r="1569" spans="7:14" ht="11.25" customHeight="1" x14ac:dyDescent="0.3">
      <c r="G1569" s="459"/>
      <c r="H1569" s="459">
        <v>1562</v>
      </c>
      <c r="I1569" s="444">
        <f t="shared" ca="1" si="115"/>
        <v>-223678735.51126158</v>
      </c>
      <c r="J1569" s="444">
        <f t="array" ref="J1569">IFERROR(INDEX('Retirement Calculator'!K:K,MATCH('Lorri 401b'!N1569,'Retirement Calculator'!A:A,0),0),0)</f>
        <v>0</v>
      </c>
      <c r="K1569" s="444">
        <f t="shared" ca="1" si="113"/>
        <v>-931994.73129692336</v>
      </c>
      <c r="L1569" s="444">
        <f t="shared" ca="1" si="114"/>
        <v>-224610730.24255851</v>
      </c>
      <c r="M1569" s="460">
        <f t="shared" si="116"/>
        <v>0.05</v>
      </c>
      <c r="N1569" s="464">
        <f t="shared" si="117"/>
        <v>98799</v>
      </c>
    </row>
    <row r="1570" spans="7:14" ht="11.25" customHeight="1" x14ac:dyDescent="0.3">
      <c r="G1570" s="459"/>
      <c r="H1570" s="459">
        <v>1563</v>
      </c>
      <c r="I1570" s="444">
        <f t="shared" ca="1" si="115"/>
        <v>-224610730.24255851</v>
      </c>
      <c r="J1570" s="444">
        <f t="array" ref="J1570">IFERROR(INDEX('Retirement Calculator'!K:K,MATCH('Lorri 401b'!N1570,'Retirement Calculator'!A:A,0),0),0)</f>
        <v>0</v>
      </c>
      <c r="K1570" s="444">
        <f t="shared" ca="1" si="113"/>
        <v>-935878.04267732718</v>
      </c>
      <c r="L1570" s="444">
        <f t="shared" ca="1" si="114"/>
        <v>-225546608.28523582</v>
      </c>
      <c r="M1570" s="460">
        <f t="shared" si="116"/>
        <v>0.05</v>
      </c>
      <c r="N1570" s="464">
        <f t="shared" si="117"/>
        <v>98830</v>
      </c>
    </row>
    <row r="1571" spans="7:14" ht="11.25" customHeight="1" x14ac:dyDescent="0.3">
      <c r="G1571" s="459"/>
      <c r="H1571" s="459">
        <v>1564</v>
      </c>
      <c r="I1571" s="444">
        <f t="shared" ca="1" si="115"/>
        <v>-225546608.28523582</v>
      </c>
      <c r="J1571" s="444">
        <f t="array" ref="J1571">IFERROR(INDEX('Retirement Calculator'!K:K,MATCH('Lorri 401b'!N1571,'Retirement Calculator'!A:A,0),0),0)</f>
        <v>0</v>
      </c>
      <c r="K1571" s="444">
        <f t="shared" ca="1" si="113"/>
        <v>-939777.53452181595</v>
      </c>
      <c r="L1571" s="444">
        <f t="shared" ca="1" si="114"/>
        <v>-226486385.81975764</v>
      </c>
      <c r="M1571" s="460">
        <f t="shared" si="116"/>
        <v>0.05</v>
      </c>
      <c r="N1571" s="464">
        <f t="shared" si="117"/>
        <v>98861</v>
      </c>
    </row>
    <row r="1572" spans="7:14" ht="11.25" customHeight="1" x14ac:dyDescent="0.3">
      <c r="G1572" s="459"/>
      <c r="H1572" s="459">
        <v>1565</v>
      </c>
      <c r="I1572" s="444">
        <f t="shared" ca="1" si="115"/>
        <v>-226486385.81975764</v>
      </c>
      <c r="J1572" s="444">
        <f t="array" ref="J1572">IFERROR(INDEX('Retirement Calculator'!K:K,MATCH('Lorri 401b'!N1572,'Retirement Calculator'!A:A,0),0),0)</f>
        <v>0</v>
      </c>
      <c r="K1572" s="444">
        <f t="shared" ca="1" si="113"/>
        <v>-943693.27424899023</v>
      </c>
      <c r="L1572" s="444">
        <f t="shared" ca="1" si="114"/>
        <v>-227430079.09400663</v>
      </c>
      <c r="M1572" s="460">
        <f t="shared" si="116"/>
        <v>0.05</v>
      </c>
      <c r="N1572" s="464">
        <f t="shared" si="117"/>
        <v>98891</v>
      </c>
    </row>
    <row r="1573" spans="7:14" ht="11.25" customHeight="1" x14ac:dyDescent="0.3">
      <c r="G1573" s="459"/>
      <c r="H1573" s="459">
        <v>1566</v>
      </c>
      <c r="I1573" s="444">
        <f t="shared" ca="1" si="115"/>
        <v>-227430079.09400663</v>
      </c>
      <c r="J1573" s="444">
        <f t="array" ref="J1573">IFERROR(INDEX('Retirement Calculator'!K:K,MATCH('Lorri 401b'!N1573,'Retirement Calculator'!A:A,0),0),0)</f>
        <v>0</v>
      </c>
      <c r="K1573" s="444">
        <f t="shared" ca="1" si="113"/>
        <v>-947625.32955836109</v>
      </c>
      <c r="L1573" s="444">
        <f t="shared" ca="1" si="114"/>
        <v>-228377704.423565</v>
      </c>
      <c r="M1573" s="460">
        <f t="shared" si="116"/>
        <v>0.05</v>
      </c>
      <c r="N1573" s="464">
        <f t="shared" si="117"/>
        <v>98922</v>
      </c>
    </row>
    <row r="1574" spans="7:14" ht="11.25" customHeight="1" x14ac:dyDescent="0.3">
      <c r="G1574" s="459"/>
      <c r="H1574" s="459">
        <v>1567</v>
      </c>
      <c r="I1574" s="444">
        <f t="shared" ca="1" si="115"/>
        <v>-228377704.423565</v>
      </c>
      <c r="J1574" s="444">
        <f t="array" ref="J1574">IFERROR(INDEX('Retirement Calculator'!K:K,MATCH('Lorri 401b'!N1574,'Retirement Calculator'!A:A,0),0),0)</f>
        <v>0</v>
      </c>
      <c r="K1574" s="444">
        <f t="shared" ca="1" si="113"/>
        <v>-951573.76843152079</v>
      </c>
      <c r="L1574" s="444">
        <f t="shared" ca="1" si="114"/>
        <v>-229329278.19199651</v>
      </c>
      <c r="M1574" s="460">
        <f t="shared" si="116"/>
        <v>0.05</v>
      </c>
      <c r="N1574" s="464">
        <f t="shared" si="117"/>
        <v>98952</v>
      </c>
    </row>
    <row r="1575" spans="7:14" ht="11.25" customHeight="1" x14ac:dyDescent="0.3">
      <c r="G1575" s="459"/>
      <c r="H1575" s="459">
        <v>1568</v>
      </c>
      <c r="I1575" s="444">
        <f t="shared" ca="1" si="115"/>
        <v>-229329278.19199651</v>
      </c>
      <c r="J1575" s="444">
        <f t="array" ref="J1575">IFERROR(INDEX('Retirement Calculator'!K:K,MATCH('Lorri 401b'!N1575,'Retirement Calculator'!A:A,0),0),0)</f>
        <v>0</v>
      </c>
      <c r="K1575" s="444">
        <f t="shared" ca="1" si="113"/>
        <v>-955538.65913331881</v>
      </c>
      <c r="L1575" s="444">
        <f t="shared" ca="1" si="114"/>
        <v>-230284816.85112983</v>
      </c>
      <c r="M1575" s="460">
        <f t="shared" si="116"/>
        <v>0.05</v>
      </c>
      <c r="N1575" s="464">
        <f t="shared" si="117"/>
        <v>98983</v>
      </c>
    </row>
    <row r="1576" spans="7:14" ht="11.25" customHeight="1" x14ac:dyDescent="0.3">
      <c r="G1576" s="459"/>
      <c r="H1576" s="459">
        <v>1569</v>
      </c>
      <c r="I1576" s="444">
        <f t="shared" ca="1" si="115"/>
        <v>-230284816.85112983</v>
      </c>
      <c r="J1576" s="444">
        <f t="array" ref="J1576">IFERROR(INDEX('Retirement Calculator'!K:K,MATCH('Lorri 401b'!N1576,'Retirement Calculator'!A:A,0),0),0)</f>
        <v>0</v>
      </c>
      <c r="K1576" s="444">
        <f t="shared" ca="1" si="113"/>
        <v>-959520.07021304092</v>
      </c>
      <c r="L1576" s="444">
        <f t="shared" ca="1" si="114"/>
        <v>-231244336.92134288</v>
      </c>
      <c r="M1576" s="460">
        <f t="shared" si="116"/>
        <v>0.05</v>
      </c>
      <c r="N1576" s="464">
        <f t="shared" si="117"/>
        <v>99014</v>
      </c>
    </row>
    <row r="1577" spans="7:14" ht="11.25" customHeight="1" x14ac:dyDescent="0.3">
      <c r="G1577" s="459"/>
      <c r="H1577" s="459">
        <v>1570</v>
      </c>
      <c r="I1577" s="444">
        <f t="shared" ca="1" si="115"/>
        <v>-231244336.92134288</v>
      </c>
      <c r="J1577" s="444">
        <f t="array" ref="J1577">IFERROR(INDEX('Retirement Calculator'!K:K,MATCH('Lorri 401b'!N1577,'Retirement Calculator'!A:A,0),0),0)</f>
        <v>0</v>
      </c>
      <c r="K1577" s="444">
        <f t="shared" ca="1" si="113"/>
        <v>-963518.07050559542</v>
      </c>
      <c r="L1577" s="444">
        <f t="shared" ca="1" si="114"/>
        <v>-232207854.99184847</v>
      </c>
      <c r="M1577" s="460">
        <f t="shared" si="116"/>
        <v>0.05</v>
      </c>
      <c r="N1577" s="464">
        <f t="shared" si="117"/>
        <v>99042</v>
      </c>
    </row>
    <row r="1578" spans="7:14" ht="11.25" customHeight="1" x14ac:dyDescent="0.3">
      <c r="G1578" s="459"/>
      <c r="H1578" s="459">
        <v>1571</v>
      </c>
      <c r="I1578" s="444">
        <f t="shared" ca="1" si="115"/>
        <v>-232207854.99184847</v>
      </c>
      <c r="J1578" s="444">
        <f t="array" ref="J1578">IFERROR(INDEX('Retirement Calculator'!K:K,MATCH('Lorri 401b'!N1578,'Retirement Calculator'!A:A,0),0),0)</f>
        <v>0</v>
      </c>
      <c r="K1578" s="444">
        <f t="shared" ca="1" si="113"/>
        <v>-967532.72913270211</v>
      </c>
      <c r="L1578" s="444">
        <f t="shared" ca="1" si="114"/>
        <v>-233175387.72098118</v>
      </c>
      <c r="M1578" s="460">
        <f t="shared" si="116"/>
        <v>0.05</v>
      </c>
      <c r="N1578" s="464">
        <f t="shared" si="117"/>
        <v>99073</v>
      </c>
    </row>
    <row r="1579" spans="7:14" ht="11.25" customHeight="1" x14ac:dyDescent="0.3">
      <c r="G1579" s="459"/>
      <c r="H1579" s="459">
        <v>1572</v>
      </c>
      <c r="I1579" s="444">
        <f t="shared" ca="1" si="115"/>
        <v>-233175387.72098118</v>
      </c>
      <c r="J1579" s="444">
        <f t="array" ref="J1579">IFERROR(INDEX('Retirement Calculator'!K:K,MATCH('Lorri 401b'!N1579,'Retirement Calculator'!A:A,0),0),0)</f>
        <v>0</v>
      </c>
      <c r="K1579" s="444">
        <f t="shared" ca="1" si="113"/>
        <v>-971564.11550408835</v>
      </c>
      <c r="L1579" s="444">
        <f t="shared" ca="1" si="114"/>
        <v>-234146951.83648527</v>
      </c>
      <c r="M1579" s="460">
        <f t="shared" si="116"/>
        <v>0.05</v>
      </c>
      <c r="N1579" s="464">
        <f t="shared" si="117"/>
        <v>99103</v>
      </c>
    </row>
    <row r="1580" spans="7:14" ht="11.25" customHeight="1" x14ac:dyDescent="0.3">
      <c r="G1580" s="459"/>
      <c r="H1580" s="459">
        <v>1573</v>
      </c>
      <c r="I1580" s="444">
        <f t="shared" ca="1" si="115"/>
        <v>-234146951.83648527</v>
      </c>
      <c r="J1580" s="444">
        <f t="array" ref="J1580">IFERROR(INDEX('Retirement Calculator'!K:K,MATCH('Lorri 401b'!N1580,'Retirement Calculator'!A:A,0),0),0)</f>
        <v>0</v>
      </c>
      <c r="K1580" s="444">
        <f t="shared" ca="1" si="113"/>
        <v>-975612.29931868857</v>
      </c>
      <c r="L1580" s="444">
        <f t="shared" ca="1" si="114"/>
        <v>-235122564.13580397</v>
      </c>
      <c r="M1580" s="460">
        <f t="shared" si="116"/>
        <v>0.05</v>
      </c>
      <c r="N1580" s="464">
        <f t="shared" si="117"/>
        <v>99134</v>
      </c>
    </row>
    <row r="1581" spans="7:14" ht="11.25" customHeight="1" x14ac:dyDescent="0.3">
      <c r="G1581" s="459"/>
      <c r="H1581" s="459">
        <v>1574</v>
      </c>
      <c r="I1581" s="444">
        <f t="shared" ca="1" si="115"/>
        <v>-235122564.13580397</v>
      </c>
      <c r="J1581" s="444">
        <f t="array" ref="J1581">IFERROR(INDEX('Retirement Calculator'!K:K,MATCH('Lorri 401b'!N1581,'Retirement Calculator'!A:A,0),0),0)</f>
        <v>0</v>
      </c>
      <c r="K1581" s="444">
        <f t="shared" ca="1" si="113"/>
        <v>-979677.35056584992</v>
      </c>
      <c r="L1581" s="444">
        <f t="shared" ca="1" si="114"/>
        <v>-236102241.48636982</v>
      </c>
      <c r="M1581" s="460">
        <f t="shared" si="116"/>
        <v>0.05</v>
      </c>
      <c r="N1581" s="464">
        <f t="shared" si="117"/>
        <v>99164</v>
      </c>
    </row>
    <row r="1582" spans="7:14" ht="11.25" customHeight="1" x14ac:dyDescent="0.3">
      <c r="G1582" s="459"/>
      <c r="H1582" s="459">
        <v>1575</v>
      </c>
      <c r="I1582" s="444">
        <f t="shared" ca="1" si="115"/>
        <v>-236102241.48636982</v>
      </c>
      <c r="J1582" s="444">
        <f t="array" ref="J1582">IFERROR(INDEX('Retirement Calculator'!K:K,MATCH('Lorri 401b'!N1582,'Retirement Calculator'!A:A,0),0),0)</f>
        <v>0</v>
      </c>
      <c r="K1582" s="444">
        <f t="shared" ca="1" si="113"/>
        <v>-983759.33952654107</v>
      </c>
      <c r="L1582" s="444">
        <f t="shared" ca="1" si="114"/>
        <v>-237086000.82589635</v>
      </c>
      <c r="M1582" s="460">
        <f t="shared" si="116"/>
        <v>0.05</v>
      </c>
      <c r="N1582" s="464">
        <f t="shared" si="117"/>
        <v>99195</v>
      </c>
    </row>
    <row r="1583" spans="7:14" ht="11.25" customHeight="1" x14ac:dyDescent="0.3">
      <c r="G1583" s="459"/>
      <c r="H1583" s="459">
        <v>1576</v>
      </c>
      <c r="I1583" s="444">
        <f t="shared" ca="1" si="115"/>
        <v>-237086000.82589635</v>
      </c>
      <c r="J1583" s="444">
        <f t="array" ref="J1583">IFERROR(INDEX('Retirement Calculator'!K:K,MATCH('Lorri 401b'!N1583,'Retirement Calculator'!A:A,0),0),0)</f>
        <v>0</v>
      </c>
      <c r="K1583" s="444">
        <f t="shared" ca="1" si="113"/>
        <v>-987858.33677456796</v>
      </c>
      <c r="L1583" s="444">
        <f t="shared" ca="1" si="114"/>
        <v>-238073859.16267091</v>
      </c>
      <c r="M1583" s="460">
        <f t="shared" si="116"/>
        <v>0.05</v>
      </c>
      <c r="N1583" s="464">
        <f t="shared" si="117"/>
        <v>99226</v>
      </c>
    </row>
    <row r="1584" spans="7:14" ht="11.25" customHeight="1" x14ac:dyDescent="0.3">
      <c r="G1584" s="459"/>
      <c r="H1584" s="459">
        <v>1577</v>
      </c>
      <c r="I1584" s="444">
        <f t="shared" ca="1" si="115"/>
        <v>-238073859.16267091</v>
      </c>
      <c r="J1584" s="444">
        <f t="array" ref="J1584">IFERROR(INDEX('Retirement Calculator'!K:K,MATCH('Lorri 401b'!N1584,'Retirement Calculator'!A:A,0),0),0)</f>
        <v>0</v>
      </c>
      <c r="K1584" s="444">
        <f t="shared" ca="1" si="113"/>
        <v>-991974.41317779559</v>
      </c>
      <c r="L1584" s="444">
        <f t="shared" ca="1" si="114"/>
        <v>-239065833.5758487</v>
      </c>
      <c r="M1584" s="460">
        <f t="shared" si="116"/>
        <v>0.05</v>
      </c>
      <c r="N1584" s="464">
        <f t="shared" si="117"/>
        <v>99256</v>
      </c>
    </row>
    <row r="1585" spans="7:14" ht="11.25" customHeight="1" x14ac:dyDescent="0.3">
      <c r="G1585" s="459"/>
      <c r="H1585" s="459">
        <v>1578</v>
      </c>
      <c r="I1585" s="444">
        <f t="shared" ca="1" si="115"/>
        <v>-239065833.5758487</v>
      </c>
      <c r="J1585" s="444">
        <f t="array" ref="J1585">IFERROR(INDEX('Retirement Calculator'!K:K,MATCH('Lorri 401b'!N1585,'Retirement Calculator'!A:A,0),0),0)</f>
        <v>0</v>
      </c>
      <c r="K1585" s="444">
        <f t="shared" ca="1" si="113"/>
        <v>-996107.63989936956</v>
      </c>
      <c r="L1585" s="444">
        <f t="shared" ca="1" si="114"/>
        <v>-240061941.21574807</v>
      </c>
      <c r="M1585" s="460">
        <f t="shared" si="116"/>
        <v>0.05</v>
      </c>
      <c r="N1585" s="464">
        <f t="shared" si="117"/>
        <v>99287</v>
      </c>
    </row>
    <row r="1586" spans="7:14" ht="11.25" customHeight="1" x14ac:dyDescent="0.3">
      <c r="G1586" s="459"/>
      <c r="H1586" s="459">
        <v>1579</v>
      </c>
      <c r="I1586" s="444">
        <f t="shared" ca="1" si="115"/>
        <v>-240061941.21574807</v>
      </c>
      <c r="J1586" s="444">
        <f t="array" ref="J1586">IFERROR(INDEX('Retirement Calculator'!K:K,MATCH('Lorri 401b'!N1586,'Retirement Calculator'!A:A,0),0),0)</f>
        <v>0</v>
      </c>
      <c r="K1586" s="444">
        <f t="shared" ca="1" si="113"/>
        <v>-1000258.0883989503</v>
      </c>
      <c r="L1586" s="444">
        <f t="shared" ca="1" si="114"/>
        <v>-241062199.30414703</v>
      </c>
      <c r="M1586" s="460">
        <f t="shared" si="116"/>
        <v>0.05</v>
      </c>
      <c r="N1586" s="464">
        <f t="shared" si="117"/>
        <v>99317</v>
      </c>
    </row>
    <row r="1587" spans="7:14" ht="11.25" customHeight="1" x14ac:dyDescent="0.3">
      <c r="G1587" s="459"/>
      <c r="H1587" s="459">
        <v>1580</v>
      </c>
      <c r="I1587" s="444">
        <f t="shared" ca="1" si="115"/>
        <v>-241062199.30414703</v>
      </c>
      <c r="J1587" s="444">
        <f t="array" ref="J1587">IFERROR(INDEX('Retirement Calculator'!K:K,MATCH('Lorri 401b'!N1587,'Retirement Calculator'!A:A,0),0),0)</f>
        <v>0</v>
      </c>
      <c r="K1587" s="444">
        <f t="shared" ca="1" si="113"/>
        <v>-1004425.8304339461</v>
      </c>
      <c r="L1587" s="444">
        <f t="shared" ca="1" si="114"/>
        <v>-242066625.13458097</v>
      </c>
      <c r="M1587" s="460">
        <f t="shared" si="116"/>
        <v>0.05</v>
      </c>
      <c r="N1587" s="464">
        <f t="shared" si="117"/>
        <v>99348</v>
      </c>
    </row>
    <row r="1588" spans="7:14" ht="11.25" customHeight="1" x14ac:dyDescent="0.3">
      <c r="G1588" s="459"/>
      <c r="H1588" s="459">
        <v>1581</v>
      </c>
      <c r="I1588" s="444">
        <f t="shared" ca="1" si="115"/>
        <v>-242066625.13458097</v>
      </c>
      <c r="J1588" s="444">
        <f t="array" ref="J1588">IFERROR(INDEX('Retirement Calculator'!K:K,MATCH('Lorri 401b'!N1588,'Retirement Calculator'!A:A,0),0),0)</f>
        <v>0</v>
      </c>
      <c r="K1588" s="444">
        <f t="shared" ca="1" si="113"/>
        <v>-1008610.938060754</v>
      </c>
      <c r="L1588" s="444">
        <f t="shared" ca="1" si="114"/>
        <v>-243075236.07264173</v>
      </c>
      <c r="M1588" s="460">
        <f t="shared" si="116"/>
        <v>0.05</v>
      </c>
      <c r="N1588" s="464">
        <f t="shared" si="117"/>
        <v>99379</v>
      </c>
    </row>
    <row r="1589" spans="7:14" ht="11.25" customHeight="1" x14ac:dyDescent="0.3">
      <c r="G1589" s="459"/>
      <c r="H1589" s="459">
        <v>1582</v>
      </c>
      <c r="I1589" s="444">
        <f t="shared" ca="1" si="115"/>
        <v>-243075236.07264173</v>
      </c>
      <c r="J1589" s="444">
        <f t="array" ref="J1589">IFERROR(INDEX('Retirement Calculator'!K:K,MATCH('Lorri 401b'!N1589,'Retirement Calculator'!A:A,0),0),0)</f>
        <v>0</v>
      </c>
      <c r="K1589" s="444">
        <f t="shared" ca="1" si="113"/>
        <v>-1012813.4836360072</v>
      </c>
      <c r="L1589" s="444">
        <f t="shared" ca="1" si="114"/>
        <v>-244088049.55627775</v>
      </c>
      <c r="M1589" s="460">
        <f t="shared" si="116"/>
        <v>0.05</v>
      </c>
      <c r="N1589" s="464">
        <f t="shared" si="117"/>
        <v>99408</v>
      </c>
    </row>
    <row r="1590" spans="7:14" ht="11.25" customHeight="1" x14ac:dyDescent="0.3">
      <c r="G1590" s="459"/>
      <c r="H1590" s="459">
        <v>1583</v>
      </c>
      <c r="I1590" s="444">
        <f t="shared" ca="1" si="115"/>
        <v>-244088049.55627775</v>
      </c>
      <c r="J1590" s="444">
        <f t="array" ref="J1590">IFERROR(INDEX('Retirement Calculator'!K:K,MATCH('Lorri 401b'!N1590,'Retirement Calculator'!A:A,0),0),0)</f>
        <v>0</v>
      </c>
      <c r="K1590" s="444">
        <f t="shared" ca="1" si="113"/>
        <v>-1017033.539817824</v>
      </c>
      <c r="L1590" s="444">
        <f t="shared" ca="1" si="114"/>
        <v>-245105083.09609556</v>
      </c>
      <c r="M1590" s="460">
        <f t="shared" si="116"/>
        <v>0.05</v>
      </c>
      <c r="N1590" s="464">
        <f t="shared" si="117"/>
        <v>99439</v>
      </c>
    </row>
    <row r="1591" spans="7:14" ht="11.25" customHeight="1" x14ac:dyDescent="0.3">
      <c r="G1591" s="459"/>
      <c r="H1591" s="459">
        <v>1584</v>
      </c>
      <c r="I1591" s="444">
        <f t="shared" ca="1" si="115"/>
        <v>-245105083.09609556</v>
      </c>
      <c r="J1591" s="444">
        <f t="array" ref="J1591">IFERROR(INDEX('Retirement Calculator'!K:K,MATCH('Lorri 401b'!N1591,'Retirement Calculator'!A:A,0),0),0)</f>
        <v>0</v>
      </c>
      <c r="K1591" s="444">
        <f t="shared" ca="1" si="113"/>
        <v>-1021271.1795670649</v>
      </c>
      <c r="L1591" s="444">
        <f t="shared" ca="1" si="114"/>
        <v>-246126354.27566263</v>
      </c>
      <c r="M1591" s="460">
        <f t="shared" si="116"/>
        <v>0.05</v>
      </c>
      <c r="N1591" s="464">
        <f t="shared" si="117"/>
        <v>99469</v>
      </c>
    </row>
    <row r="1592" spans="7:14" ht="11.25" customHeight="1" x14ac:dyDescent="0.3">
      <c r="G1592" s="459"/>
      <c r="H1592" s="459">
        <v>1585</v>
      </c>
      <c r="I1592" s="444">
        <f t="shared" ca="1" si="115"/>
        <v>-246126354.27566263</v>
      </c>
      <c r="J1592" s="444">
        <f t="array" ref="J1592">IFERROR(INDEX('Retirement Calculator'!K:K,MATCH('Lorri 401b'!N1592,'Retirement Calculator'!A:A,0),0),0)</f>
        <v>0</v>
      </c>
      <c r="K1592" s="444">
        <f t="shared" ca="1" si="113"/>
        <v>-1025526.4761485944</v>
      </c>
      <c r="L1592" s="444">
        <f t="shared" ca="1" si="114"/>
        <v>-247151880.75181124</v>
      </c>
      <c r="M1592" s="460">
        <f t="shared" si="116"/>
        <v>0.05</v>
      </c>
      <c r="N1592" s="464">
        <f t="shared" si="117"/>
        <v>99500</v>
      </c>
    </row>
    <row r="1593" spans="7:14" ht="11.25" customHeight="1" x14ac:dyDescent="0.3">
      <c r="G1593" s="459"/>
      <c r="H1593" s="459">
        <v>1586</v>
      </c>
      <c r="I1593" s="444">
        <f t="shared" ca="1" si="115"/>
        <v>-247151880.75181124</v>
      </c>
      <c r="J1593" s="444">
        <f t="array" ref="J1593">IFERROR(INDEX('Retirement Calculator'!K:K,MATCH('Lorri 401b'!N1593,'Retirement Calculator'!A:A,0),0),0)</f>
        <v>0</v>
      </c>
      <c r="K1593" s="444">
        <f t="shared" ca="1" si="113"/>
        <v>-1029799.5031325468</v>
      </c>
      <c r="L1593" s="444">
        <f t="shared" ca="1" si="114"/>
        <v>-248181680.25494379</v>
      </c>
      <c r="M1593" s="460">
        <f t="shared" si="116"/>
        <v>0.05</v>
      </c>
      <c r="N1593" s="464">
        <f t="shared" si="117"/>
        <v>99530</v>
      </c>
    </row>
    <row r="1594" spans="7:14" ht="11.25" customHeight="1" x14ac:dyDescent="0.3">
      <c r="G1594" s="459"/>
      <c r="H1594" s="459">
        <v>1587</v>
      </c>
      <c r="I1594" s="444">
        <f t="shared" ca="1" si="115"/>
        <v>-248181680.25494379</v>
      </c>
      <c r="J1594" s="444">
        <f t="array" ref="J1594">IFERROR(INDEX('Retirement Calculator'!K:K,MATCH('Lorri 401b'!N1594,'Retirement Calculator'!A:A,0),0),0)</f>
        <v>0</v>
      </c>
      <c r="K1594" s="444">
        <f t="shared" ca="1" si="113"/>
        <v>-1034090.3343955992</v>
      </c>
      <c r="L1594" s="444">
        <f t="shared" ca="1" si="114"/>
        <v>-249215770.58933938</v>
      </c>
      <c r="M1594" s="460">
        <f t="shared" si="116"/>
        <v>0.05</v>
      </c>
      <c r="N1594" s="464">
        <f t="shared" si="117"/>
        <v>99561</v>
      </c>
    </row>
    <row r="1595" spans="7:14" ht="11.25" customHeight="1" x14ac:dyDescent="0.3">
      <c r="G1595" s="459"/>
      <c r="H1595" s="459">
        <v>1588</v>
      </c>
      <c r="I1595" s="444">
        <f t="shared" ca="1" si="115"/>
        <v>-249215770.58933938</v>
      </c>
      <c r="J1595" s="444">
        <f t="array" ref="J1595">IFERROR(INDEX('Retirement Calculator'!K:K,MATCH('Lorri 401b'!N1595,'Retirement Calculator'!A:A,0),0),0)</f>
        <v>0</v>
      </c>
      <c r="K1595" s="444">
        <f t="shared" ca="1" si="113"/>
        <v>-1038399.0441222475</v>
      </c>
      <c r="L1595" s="444">
        <f t="shared" ca="1" si="114"/>
        <v>-250254169.63346162</v>
      </c>
      <c r="M1595" s="460">
        <f t="shared" si="116"/>
        <v>0.05</v>
      </c>
      <c r="N1595" s="464">
        <f t="shared" si="117"/>
        <v>99592</v>
      </c>
    </row>
    <row r="1596" spans="7:14" ht="11.25" customHeight="1" x14ac:dyDescent="0.3">
      <c r="G1596" s="459"/>
      <c r="H1596" s="459">
        <v>1589</v>
      </c>
      <c r="I1596" s="444">
        <f t="shared" ca="1" si="115"/>
        <v>-250254169.63346162</v>
      </c>
      <c r="J1596" s="444">
        <f t="array" ref="J1596">IFERROR(INDEX('Retirement Calculator'!K:K,MATCH('Lorri 401b'!N1596,'Retirement Calculator'!A:A,0),0),0)</f>
        <v>0</v>
      </c>
      <c r="K1596" s="444">
        <f t="shared" ca="1" si="113"/>
        <v>-1042725.7068060902</v>
      </c>
      <c r="L1596" s="444">
        <f t="shared" ca="1" si="114"/>
        <v>-251296895.34026772</v>
      </c>
      <c r="M1596" s="460">
        <f t="shared" si="116"/>
        <v>0.05</v>
      </c>
      <c r="N1596" s="464">
        <f t="shared" si="117"/>
        <v>99622</v>
      </c>
    </row>
    <row r="1597" spans="7:14" ht="11.25" customHeight="1" x14ac:dyDescent="0.3">
      <c r="G1597" s="459"/>
      <c r="H1597" s="459">
        <v>1590</v>
      </c>
      <c r="I1597" s="444">
        <f t="shared" ca="1" si="115"/>
        <v>-251296895.34026772</v>
      </c>
      <c r="J1597" s="444">
        <f t="array" ref="J1597">IFERROR(INDEX('Retirement Calculator'!K:K,MATCH('Lorri 401b'!N1597,'Retirement Calculator'!A:A,0),0),0)</f>
        <v>0</v>
      </c>
      <c r="K1597" s="444">
        <f t="shared" ca="1" si="113"/>
        <v>-1047070.3972511155</v>
      </c>
      <c r="L1597" s="444">
        <f t="shared" ca="1" si="114"/>
        <v>-252343965.73751885</v>
      </c>
      <c r="M1597" s="460">
        <f t="shared" si="116"/>
        <v>0.05</v>
      </c>
      <c r="N1597" s="464">
        <f t="shared" si="117"/>
        <v>99653</v>
      </c>
    </row>
    <row r="1598" spans="7:14" ht="11.25" customHeight="1" x14ac:dyDescent="0.3">
      <c r="G1598" s="459"/>
      <c r="H1598" s="459">
        <v>1591</v>
      </c>
      <c r="I1598" s="444">
        <f t="shared" ca="1" si="115"/>
        <v>-252343965.73751885</v>
      </c>
      <c r="J1598" s="444">
        <f t="array" ref="J1598">IFERROR(INDEX('Retirement Calculator'!K:K,MATCH('Lorri 401b'!N1598,'Retirement Calculator'!A:A,0),0),0)</f>
        <v>0</v>
      </c>
      <c r="K1598" s="444">
        <f t="shared" ca="1" si="113"/>
        <v>-1051433.1905729952</v>
      </c>
      <c r="L1598" s="444">
        <f t="shared" ca="1" si="114"/>
        <v>-253395398.92809185</v>
      </c>
      <c r="M1598" s="460">
        <f t="shared" si="116"/>
        <v>0.05</v>
      </c>
      <c r="N1598" s="464">
        <f t="shared" si="117"/>
        <v>99683</v>
      </c>
    </row>
    <row r="1599" spans="7:14" ht="11.25" customHeight="1" x14ac:dyDescent="0.3">
      <c r="G1599" s="459"/>
      <c r="H1599" s="459">
        <v>1592</v>
      </c>
      <c r="I1599" s="444">
        <f t="shared" ca="1" si="115"/>
        <v>-253395398.92809185</v>
      </c>
      <c r="J1599" s="444">
        <f t="array" ref="J1599">IFERROR(INDEX('Retirement Calculator'!K:K,MATCH('Lorri 401b'!N1599,'Retirement Calculator'!A:A,0),0),0)</f>
        <v>0</v>
      </c>
      <c r="K1599" s="444">
        <f t="shared" ca="1" si="113"/>
        <v>-1055814.1622003827</v>
      </c>
      <c r="L1599" s="444">
        <f t="shared" ca="1" si="114"/>
        <v>-254451213.09029225</v>
      </c>
      <c r="M1599" s="460">
        <f t="shared" si="116"/>
        <v>0.05</v>
      </c>
      <c r="N1599" s="464">
        <f t="shared" si="117"/>
        <v>99714</v>
      </c>
    </row>
    <row r="1600" spans="7:14" ht="11.25" customHeight="1" x14ac:dyDescent="0.3">
      <c r="G1600" s="459"/>
      <c r="H1600" s="459">
        <v>1593</v>
      </c>
      <c r="I1600" s="444">
        <f t="shared" ca="1" si="115"/>
        <v>-254451213.09029225</v>
      </c>
      <c r="J1600" s="444">
        <f t="array" ref="J1600">IFERROR(INDEX('Retirement Calculator'!K:K,MATCH('Lorri 401b'!N1600,'Retirement Calculator'!A:A,0),0),0)</f>
        <v>0</v>
      </c>
      <c r="K1600" s="444">
        <f t="shared" ca="1" si="113"/>
        <v>-1060213.3878762177</v>
      </c>
      <c r="L1600" s="444">
        <f t="shared" ca="1" si="114"/>
        <v>-255511426.47816846</v>
      </c>
      <c r="M1600" s="460">
        <f t="shared" si="116"/>
        <v>0.05</v>
      </c>
      <c r="N1600" s="464">
        <f t="shared" si="117"/>
        <v>99745</v>
      </c>
    </row>
    <row r="1601" spans="7:14" ht="11.25" customHeight="1" x14ac:dyDescent="0.3">
      <c r="G1601" s="459"/>
      <c r="H1601" s="459">
        <v>1594</v>
      </c>
      <c r="I1601" s="444">
        <f t="shared" ca="1" si="115"/>
        <v>-255511426.47816846</v>
      </c>
      <c r="J1601" s="444">
        <f t="array" ref="J1601">IFERROR(INDEX('Retirement Calculator'!K:K,MATCH('Lorri 401b'!N1601,'Retirement Calculator'!A:A,0),0),0)</f>
        <v>0</v>
      </c>
      <c r="K1601" s="444">
        <f t="shared" ca="1" si="113"/>
        <v>-1064630.9436590353</v>
      </c>
      <c r="L1601" s="444">
        <f t="shared" ca="1" si="114"/>
        <v>-256576057.4218275</v>
      </c>
      <c r="M1601" s="460">
        <f t="shared" si="116"/>
        <v>0.05</v>
      </c>
      <c r="N1601" s="464">
        <f t="shared" si="117"/>
        <v>99773</v>
      </c>
    </row>
    <row r="1602" spans="7:14" ht="11.25" customHeight="1" x14ac:dyDescent="0.3">
      <c r="G1602" s="459"/>
      <c r="H1602" s="459">
        <v>1595</v>
      </c>
      <c r="I1602" s="444">
        <f t="shared" ca="1" si="115"/>
        <v>-256576057.4218275</v>
      </c>
      <c r="J1602" s="444">
        <f t="array" ref="J1602">IFERROR(INDEX('Retirement Calculator'!K:K,MATCH('Lorri 401b'!N1602,'Retirement Calculator'!A:A,0),0),0)</f>
        <v>0</v>
      </c>
      <c r="K1602" s="444">
        <f t="shared" ca="1" si="113"/>
        <v>-1069066.9059242811</v>
      </c>
      <c r="L1602" s="444">
        <f t="shared" ca="1" si="114"/>
        <v>-257645124.32775179</v>
      </c>
      <c r="M1602" s="460">
        <f t="shared" si="116"/>
        <v>0.05</v>
      </c>
      <c r="N1602" s="464">
        <f t="shared" si="117"/>
        <v>99804</v>
      </c>
    </row>
    <row r="1603" spans="7:14" ht="11.25" customHeight="1" x14ac:dyDescent="0.3">
      <c r="G1603" s="459"/>
      <c r="H1603" s="459">
        <v>1596</v>
      </c>
      <c r="I1603" s="444">
        <f t="shared" ca="1" si="115"/>
        <v>-257645124.32775179</v>
      </c>
      <c r="J1603" s="444">
        <f t="array" ref="J1603">IFERROR(INDEX('Retirement Calculator'!K:K,MATCH('Lorri 401b'!N1603,'Retirement Calculator'!A:A,0),0),0)</f>
        <v>0</v>
      </c>
      <c r="K1603" s="444">
        <f t="shared" ca="1" si="113"/>
        <v>-1073521.3513656324</v>
      </c>
      <c r="L1603" s="444">
        <f t="shared" ca="1" si="114"/>
        <v>-258718645.67911741</v>
      </c>
      <c r="M1603" s="460">
        <f t="shared" si="116"/>
        <v>0.05</v>
      </c>
      <c r="N1603" s="464">
        <f t="shared" si="117"/>
        <v>99834</v>
      </c>
    </row>
    <row r="1604" spans="7:14" ht="11.25" customHeight="1" x14ac:dyDescent="0.3">
      <c r="G1604" s="459"/>
      <c r="H1604" s="459">
        <v>1597</v>
      </c>
      <c r="I1604" s="444">
        <f t="shared" ca="1" si="115"/>
        <v>-258718645.67911741</v>
      </c>
      <c r="J1604" s="444">
        <f t="array" ref="J1604">IFERROR(INDEX('Retirement Calculator'!K:K,MATCH('Lorri 401b'!N1604,'Retirement Calculator'!A:A,0),0),0)</f>
        <v>0</v>
      </c>
      <c r="K1604" s="444">
        <f t="shared" ca="1" si="113"/>
        <v>-1077994.3569963225</v>
      </c>
      <c r="L1604" s="444">
        <f t="shared" ca="1" si="114"/>
        <v>-259796640.03611374</v>
      </c>
      <c r="M1604" s="460">
        <f t="shared" si="116"/>
        <v>0.05</v>
      </c>
      <c r="N1604" s="464">
        <f t="shared" si="117"/>
        <v>99865</v>
      </c>
    </row>
    <row r="1605" spans="7:14" ht="11.25" customHeight="1" x14ac:dyDescent="0.3">
      <c r="G1605" s="459"/>
      <c r="H1605" s="459">
        <v>1598</v>
      </c>
      <c r="I1605" s="444">
        <f t="shared" ca="1" si="115"/>
        <v>-259796640.03611374</v>
      </c>
      <c r="J1605" s="444">
        <f t="array" ref="J1605">IFERROR(INDEX('Retirement Calculator'!K:K,MATCH('Lorri 401b'!N1605,'Retirement Calculator'!A:A,0),0),0)</f>
        <v>0</v>
      </c>
      <c r="K1605" s="444">
        <f t="shared" ca="1" si="113"/>
        <v>-1082486.0001504738</v>
      </c>
      <c r="L1605" s="444">
        <f t="shared" ca="1" si="114"/>
        <v>-260879126.03626421</v>
      </c>
      <c r="M1605" s="460">
        <f t="shared" si="116"/>
        <v>0.05</v>
      </c>
      <c r="N1605" s="464">
        <f t="shared" si="117"/>
        <v>99895</v>
      </c>
    </row>
    <row r="1606" spans="7:14" ht="11.25" customHeight="1" x14ac:dyDescent="0.3">
      <c r="G1606" s="459"/>
      <c r="H1606" s="459">
        <v>1599</v>
      </c>
      <c r="I1606" s="444">
        <f t="shared" ca="1" si="115"/>
        <v>-260879126.03626421</v>
      </c>
      <c r="J1606" s="444">
        <f t="array" ref="J1606">IFERROR(INDEX('Retirement Calculator'!K:K,MATCH('Lorri 401b'!N1606,'Retirement Calculator'!A:A,0),0),0)</f>
        <v>0</v>
      </c>
      <c r="K1606" s="444">
        <f t="shared" ca="1" si="113"/>
        <v>-1086996.3584844342</v>
      </c>
      <c r="L1606" s="444">
        <f t="shared" ca="1" si="114"/>
        <v>-261966122.39474866</v>
      </c>
      <c r="M1606" s="460">
        <f t="shared" si="116"/>
        <v>0.05</v>
      </c>
      <c r="N1606" s="464">
        <f t="shared" si="117"/>
        <v>99926</v>
      </c>
    </row>
    <row r="1607" spans="7:14" ht="11.25" customHeight="1" x14ac:dyDescent="0.3">
      <c r="G1607" s="459"/>
      <c r="H1607" s="459">
        <v>1600</v>
      </c>
      <c r="I1607" s="444">
        <f t="shared" ca="1" si="115"/>
        <v>-261966122.39474866</v>
      </c>
      <c r="J1607" s="444">
        <f t="array" ref="J1607">IFERROR(INDEX('Retirement Calculator'!K:K,MATCH('Lorri 401b'!N1607,'Retirement Calculator'!A:A,0),0),0)</f>
        <v>0</v>
      </c>
      <c r="K1607" s="444">
        <f t="shared" ca="1" si="113"/>
        <v>-1091525.5099781193</v>
      </c>
      <c r="L1607" s="444">
        <f t="shared" ca="1" si="114"/>
        <v>-263057647.90472677</v>
      </c>
      <c r="M1607" s="460">
        <f t="shared" si="116"/>
        <v>0.05</v>
      </c>
      <c r="N1607" s="464">
        <f t="shared" si="117"/>
        <v>99957</v>
      </c>
    </row>
    <row r="1608" spans="7:14" ht="11.25" customHeight="1" x14ac:dyDescent="0.3">
      <c r="G1608" s="459"/>
      <c r="H1608" s="459">
        <v>1601</v>
      </c>
      <c r="I1608" s="444">
        <f t="shared" ca="1" si="115"/>
        <v>-263057647.90472677</v>
      </c>
      <c r="J1608" s="444">
        <f t="array" ref="J1608">IFERROR(INDEX('Retirement Calculator'!K:K,MATCH('Lorri 401b'!N1608,'Retirement Calculator'!A:A,0),0),0)</f>
        <v>0</v>
      </c>
      <c r="K1608" s="444">
        <f t="shared" ca="1" si="113"/>
        <v>-1096073.5329363614</v>
      </c>
      <c r="L1608" s="444">
        <f t="shared" ca="1" si="114"/>
        <v>-264153721.43766314</v>
      </c>
      <c r="M1608" s="460">
        <f t="shared" si="116"/>
        <v>0.05</v>
      </c>
      <c r="N1608" s="464">
        <f t="shared" si="117"/>
        <v>99987</v>
      </c>
    </row>
    <row r="1609" spans="7:14" ht="11.25" customHeight="1" x14ac:dyDescent="0.3">
      <c r="G1609" s="459"/>
      <c r="H1609" s="459">
        <v>1602</v>
      </c>
      <c r="I1609" s="444">
        <f t="shared" ca="1" si="115"/>
        <v>-264153721.43766314</v>
      </c>
      <c r="J1609" s="444">
        <f t="array" ref="J1609">IFERROR(INDEX('Retirement Calculator'!K:K,MATCH('Lorri 401b'!N1609,'Retirement Calculator'!A:A,0),0),0)</f>
        <v>0</v>
      </c>
      <c r="K1609" s="444">
        <f t="shared" ca="1" si="113"/>
        <v>-1100640.5059902631</v>
      </c>
      <c r="L1609" s="444">
        <f t="shared" ca="1" si="114"/>
        <v>-265254361.9436534</v>
      </c>
      <c r="M1609" s="460">
        <f t="shared" si="116"/>
        <v>0.05</v>
      </c>
      <c r="N1609" s="464">
        <f t="shared" si="117"/>
        <v>100018</v>
      </c>
    </row>
    <row r="1610" spans="7:14" ht="11.25" customHeight="1" x14ac:dyDescent="0.3">
      <c r="G1610" s="459"/>
      <c r="H1610" s="459">
        <v>1603</v>
      </c>
      <c r="I1610" s="444">
        <f t="shared" ca="1" si="115"/>
        <v>-265254361.9436534</v>
      </c>
      <c r="J1610" s="444">
        <f t="array" ref="J1610">IFERROR(INDEX('Retirement Calculator'!K:K,MATCH('Lorri 401b'!N1610,'Retirement Calculator'!A:A,0),0),0)</f>
        <v>0</v>
      </c>
      <c r="K1610" s="444">
        <f t="shared" ca="1" si="113"/>
        <v>-1105226.5080985557</v>
      </c>
      <c r="L1610" s="444">
        <f t="shared" ca="1" si="114"/>
        <v>-266359588.45175195</v>
      </c>
      <c r="M1610" s="460">
        <f t="shared" si="116"/>
        <v>0.05</v>
      </c>
      <c r="N1610" s="464">
        <f t="shared" si="117"/>
        <v>100048</v>
      </c>
    </row>
    <row r="1611" spans="7:14" ht="11.25" customHeight="1" x14ac:dyDescent="0.3">
      <c r="G1611" s="459"/>
      <c r="H1611" s="459">
        <v>1604</v>
      </c>
      <c r="I1611" s="444">
        <f t="shared" ca="1" si="115"/>
        <v>-266359588.45175195</v>
      </c>
      <c r="J1611" s="444">
        <f t="array" ref="J1611">IFERROR(INDEX('Retirement Calculator'!K:K,MATCH('Lorri 401b'!N1611,'Retirement Calculator'!A:A,0),0),0)</f>
        <v>0</v>
      </c>
      <c r="K1611" s="444">
        <f t="shared" ca="1" si="113"/>
        <v>-1109831.6185489665</v>
      </c>
      <c r="L1611" s="444">
        <f t="shared" ca="1" si="114"/>
        <v>-267469420.07030091</v>
      </c>
      <c r="M1611" s="460">
        <f t="shared" si="116"/>
        <v>0.05</v>
      </c>
      <c r="N1611" s="464">
        <f t="shared" si="117"/>
        <v>100079</v>
      </c>
    </row>
    <row r="1612" spans="7:14" ht="11.25" customHeight="1" x14ac:dyDescent="0.3">
      <c r="G1612" s="459"/>
      <c r="H1612" s="459">
        <v>1605</v>
      </c>
      <c r="I1612" s="444">
        <f t="shared" ca="1" si="115"/>
        <v>-267469420.07030091</v>
      </c>
      <c r="J1612" s="444">
        <f t="array" ref="J1612">IFERROR(INDEX('Retirement Calculator'!K:K,MATCH('Lorri 401b'!N1612,'Retirement Calculator'!A:A,0),0),0)</f>
        <v>0</v>
      </c>
      <c r="K1612" s="444">
        <f t="shared" ca="1" si="113"/>
        <v>-1114455.9169595873</v>
      </c>
      <c r="L1612" s="444">
        <f t="shared" ca="1" si="114"/>
        <v>-268583875.98726052</v>
      </c>
      <c r="M1612" s="460">
        <f t="shared" si="116"/>
        <v>0.05</v>
      </c>
      <c r="N1612" s="464">
        <f t="shared" si="117"/>
        <v>100110</v>
      </c>
    </row>
    <row r="1613" spans="7:14" ht="11.25" customHeight="1" x14ac:dyDescent="0.3">
      <c r="G1613" s="459"/>
      <c r="H1613" s="459">
        <v>1606</v>
      </c>
      <c r="I1613" s="444">
        <f t="shared" ca="1" si="115"/>
        <v>-268583875.98726052</v>
      </c>
      <c r="J1613" s="444">
        <f t="array" ref="J1613">IFERROR(INDEX('Retirement Calculator'!K:K,MATCH('Lorri 401b'!N1613,'Retirement Calculator'!A:A,0),0),0)</f>
        <v>0</v>
      </c>
      <c r="K1613" s="444">
        <f t="shared" ca="1" si="113"/>
        <v>-1119099.4832802522</v>
      </c>
      <c r="L1613" s="444">
        <f t="shared" ca="1" si="114"/>
        <v>-269702975.47054076</v>
      </c>
      <c r="M1613" s="460">
        <f t="shared" si="116"/>
        <v>0.05</v>
      </c>
      <c r="N1613" s="464">
        <f t="shared" si="117"/>
        <v>100138</v>
      </c>
    </row>
    <row r="1614" spans="7:14" ht="11.25" customHeight="1" x14ac:dyDescent="0.3">
      <c r="G1614" s="459"/>
      <c r="H1614" s="459">
        <v>1607</v>
      </c>
      <c r="I1614" s="444">
        <f t="shared" ca="1" si="115"/>
        <v>-269702975.47054076</v>
      </c>
      <c r="J1614" s="444">
        <f t="array" ref="J1614">IFERROR(INDEX('Retirement Calculator'!K:K,MATCH('Lorri 401b'!N1614,'Retirement Calculator'!A:A,0),0),0)</f>
        <v>0</v>
      </c>
      <c r="K1614" s="444">
        <f t="shared" ca="1" si="113"/>
        <v>-1123762.3977939198</v>
      </c>
      <c r="L1614" s="444">
        <f t="shared" ca="1" si="114"/>
        <v>-270826737.86833471</v>
      </c>
      <c r="M1614" s="460">
        <f t="shared" si="116"/>
        <v>0.05</v>
      </c>
      <c r="N1614" s="464">
        <f t="shared" si="117"/>
        <v>100169</v>
      </c>
    </row>
    <row r="1615" spans="7:14" ht="11.25" customHeight="1" x14ac:dyDescent="0.3">
      <c r="G1615" s="459"/>
      <c r="H1615" s="459">
        <v>1608</v>
      </c>
      <c r="I1615" s="444">
        <f t="shared" ca="1" si="115"/>
        <v>-270826737.86833471</v>
      </c>
      <c r="J1615" s="444">
        <f t="array" ref="J1615">IFERROR(INDEX('Retirement Calculator'!K:K,MATCH('Lorri 401b'!N1615,'Retirement Calculator'!A:A,0),0),0)</f>
        <v>0</v>
      </c>
      <c r="K1615" s="444">
        <f t="shared" ca="1" si="113"/>
        <v>-1128444.7411180614</v>
      </c>
      <c r="L1615" s="444">
        <f t="shared" ca="1" si="114"/>
        <v>-271955182.60945278</v>
      </c>
      <c r="M1615" s="460">
        <f t="shared" si="116"/>
        <v>0.05</v>
      </c>
      <c r="N1615" s="464">
        <f t="shared" si="117"/>
        <v>100199</v>
      </c>
    </row>
    <row r="1616" spans="7:14" ht="11.25" customHeight="1" x14ac:dyDescent="0.3">
      <c r="G1616" s="459"/>
      <c r="H1616" s="459">
        <v>1609</v>
      </c>
      <c r="I1616" s="444">
        <f t="shared" ca="1" si="115"/>
        <v>-271955182.60945278</v>
      </c>
      <c r="J1616" s="444">
        <f t="array" ref="J1616">IFERROR(INDEX('Retirement Calculator'!K:K,MATCH('Lorri 401b'!N1616,'Retirement Calculator'!A:A,0),0),0)</f>
        <v>0</v>
      </c>
      <c r="K1616" s="444">
        <f t="shared" ca="1" si="113"/>
        <v>-1133146.5942060533</v>
      </c>
      <c r="L1616" s="444">
        <f t="shared" ca="1" si="114"/>
        <v>-273088329.20365882</v>
      </c>
      <c r="M1616" s="460">
        <f t="shared" si="116"/>
        <v>0.05</v>
      </c>
      <c r="N1616" s="464">
        <f t="shared" si="117"/>
        <v>100230</v>
      </c>
    </row>
    <row r="1617" spans="7:14" ht="11.25" customHeight="1" x14ac:dyDescent="0.3">
      <c r="G1617" s="459"/>
      <c r="H1617" s="459">
        <v>1610</v>
      </c>
      <c r="I1617" s="444">
        <f t="shared" ca="1" si="115"/>
        <v>-273088329.20365882</v>
      </c>
      <c r="J1617" s="444">
        <f t="array" ref="J1617">IFERROR(INDEX('Retirement Calculator'!K:K,MATCH('Lorri 401b'!N1617,'Retirement Calculator'!A:A,0),0),0)</f>
        <v>0</v>
      </c>
      <c r="K1617" s="444">
        <f t="shared" ca="1" si="113"/>
        <v>-1137868.0383485784</v>
      </c>
      <c r="L1617" s="444">
        <f t="shared" ca="1" si="114"/>
        <v>-274226197.24200737</v>
      </c>
      <c r="M1617" s="460">
        <f t="shared" si="116"/>
        <v>0.05</v>
      </c>
      <c r="N1617" s="464">
        <f t="shared" si="117"/>
        <v>100260</v>
      </c>
    </row>
    <row r="1618" spans="7:14" ht="11.25" customHeight="1" x14ac:dyDescent="0.3">
      <c r="G1618" s="459"/>
      <c r="H1618" s="459">
        <v>1611</v>
      </c>
      <c r="I1618" s="444">
        <f t="shared" ca="1" si="115"/>
        <v>-274226197.24200737</v>
      </c>
      <c r="J1618" s="444">
        <f t="array" ref="J1618">IFERROR(INDEX('Retirement Calculator'!K:K,MATCH('Lorri 401b'!N1618,'Retirement Calculator'!A:A,0),0),0)</f>
        <v>0</v>
      </c>
      <c r="K1618" s="444">
        <f t="shared" ca="1" si="113"/>
        <v>-1142609.1551750307</v>
      </c>
      <c r="L1618" s="444">
        <f t="shared" ca="1" si="114"/>
        <v>-275368806.3971824</v>
      </c>
      <c r="M1618" s="460">
        <f t="shared" si="116"/>
        <v>0.05</v>
      </c>
      <c r="N1618" s="464">
        <f t="shared" si="117"/>
        <v>100291</v>
      </c>
    </row>
    <row r="1619" spans="7:14" ht="11.25" customHeight="1" x14ac:dyDescent="0.3">
      <c r="G1619" s="459"/>
      <c r="H1619" s="459">
        <v>1612</v>
      </c>
      <c r="I1619" s="444">
        <f t="shared" ca="1" si="115"/>
        <v>-275368806.3971824</v>
      </c>
      <c r="J1619" s="444">
        <f t="array" ref="J1619">IFERROR(INDEX('Retirement Calculator'!K:K,MATCH('Lorri 401b'!N1619,'Retirement Calculator'!A:A,0),0),0)</f>
        <v>0</v>
      </c>
      <c r="K1619" s="444">
        <f t="shared" ca="1" si="113"/>
        <v>-1147370.0266549266</v>
      </c>
      <c r="L1619" s="444">
        <f t="shared" ca="1" si="114"/>
        <v>-276516176.4238373</v>
      </c>
      <c r="M1619" s="460">
        <f t="shared" si="116"/>
        <v>0.05</v>
      </c>
      <c r="N1619" s="464">
        <f t="shared" si="117"/>
        <v>100322</v>
      </c>
    </row>
    <row r="1620" spans="7:14" ht="11.25" customHeight="1" x14ac:dyDescent="0.3">
      <c r="G1620" s="459"/>
      <c r="H1620" s="459">
        <v>1613</v>
      </c>
      <c r="I1620" s="444">
        <f t="shared" ca="1" si="115"/>
        <v>-276516176.4238373</v>
      </c>
      <c r="J1620" s="444">
        <f t="array" ref="J1620">IFERROR(INDEX('Retirement Calculator'!K:K,MATCH('Lorri 401b'!N1620,'Retirement Calculator'!A:A,0),0),0)</f>
        <v>0</v>
      </c>
      <c r="K1620" s="444">
        <f t="shared" ca="1" si="113"/>
        <v>-1152150.7350993222</v>
      </c>
      <c r="L1620" s="444">
        <f t="shared" ca="1" si="114"/>
        <v>-277668327.15893662</v>
      </c>
      <c r="M1620" s="460">
        <f t="shared" si="116"/>
        <v>0.05</v>
      </c>
      <c r="N1620" s="464">
        <f t="shared" si="117"/>
        <v>100352</v>
      </c>
    </row>
    <row r="1621" spans="7:14" ht="11.25" customHeight="1" x14ac:dyDescent="0.3">
      <c r="G1621" s="459"/>
      <c r="H1621" s="459">
        <v>1614</v>
      </c>
      <c r="I1621" s="444">
        <f t="shared" ca="1" si="115"/>
        <v>-277668327.15893662</v>
      </c>
      <c r="J1621" s="444">
        <f t="array" ref="J1621">IFERROR(INDEX('Retirement Calculator'!K:K,MATCH('Lorri 401b'!N1621,'Retirement Calculator'!A:A,0),0),0)</f>
        <v>0</v>
      </c>
      <c r="K1621" s="444">
        <f t="shared" ca="1" si="113"/>
        <v>-1156951.3631622358</v>
      </c>
      <c r="L1621" s="444">
        <f t="shared" ca="1" si="114"/>
        <v>-278825278.52209884</v>
      </c>
      <c r="M1621" s="460">
        <f t="shared" si="116"/>
        <v>0.05</v>
      </c>
      <c r="N1621" s="464">
        <f t="shared" si="117"/>
        <v>100383</v>
      </c>
    </row>
    <row r="1622" spans="7:14" ht="11.25" customHeight="1" x14ac:dyDescent="0.3">
      <c r="G1622" s="459"/>
      <c r="H1622" s="459">
        <v>1615</v>
      </c>
      <c r="I1622" s="444">
        <f t="shared" ca="1" si="115"/>
        <v>-278825278.52209884</v>
      </c>
      <c r="J1622" s="444">
        <f t="array" ref="J1622">IFERROR(INDEX('Retirement Calculator'!K:K,MATCH('Lorri 401b'!N1622,'Retirement Calculator'!A:A,0),0),0)</f>
        <v>0</v>
      </c>
      <c r="K1622" s="444">
        <f t="shared" ca="1" si="113"/>
        <v>-1161771.9938420784</v>
      </c>
      <c r="L1622" s="444">
        <f t="shared" ca="1" si="114"/>
        <v>-279987050.5159409</v>
      </c>
      <c r="M1622" s="460">
        <f t="shared" si="116"/>
        <v>0.05</v>
      </c>
      <c r="N1622" s="464">
        <f t="shared" si="117"/>
        <v>100413</v>
      </c>
    </row>
    <row r="1623" spans="7:14" ht="11.25" customHeight="1" x14ac:dyDescent="0.3">
      <c r="G1623" s="459"/>
      <c r="H1623" s="459">
        <v>1616</v>
      </c>
      <c r="I1623" s="444">
        <f t="shared" ca="1" si="115"/>
        <v>-279987050.5159409</v>
      </c>
      <c r="J1623" s="444">
        <f t="array" ref="J1623">IFERROR(INDEX('Retirement Calculator'!K:K,MATCH('Lorri 401b'!N1623,'Retirement Calculator'!A:A,0),0),0)</f>
        <v>0</v>
      </c>
      <c r="K1623" s="444">
        <f t="shared" ca="1" si="113"/>
        <v>-1166612.710483087</v>
      </c>
      <c r="L1623" s="444">
        <f t="shared" ca="1" si="114"/>
        <v>-281153663.22642398</v>
      </c>
      <c r="M1623" s="460">
        <f t="shared" si="116"/>
        <v>0.05</v>
      </c>
      <c r="N1623" s="464">
        <f t="shared" si="117"/>
        <v>100444</v>
      </c>
    </row>
    <row r="1624" spans="7:14" ht="11.25" customHeight="1" x14ac:dyDescent="0.3">
      <c r="G1624" s="459"/>
      <c r="H1624" s="459">
        <v>1617</v>
      </c>
      <c r="I1624" s="444">
        <f t="shared" ca="1" si="115"/>
        <v>-281153663.22642398</v>
      </c>
      <c r="J1624" s="444">
        <f t="array" ref="J1624">IFERROR(INDEX('Retirement Calculator'!K:K,MATCH('Lorri 401b'!N1624,'Retirement Calculator'!A:A,0),0),0)</f>
        <v>0</v>
      </c>
      <c r="K1624" s="444">
        <f t="shared" ca="1" si="113"/>
        <v>-1171473.5967767665</v>
      </c>
      <c r="L1624" s="444">
        <f t="shared" ca="1" si="114"/>
        <v>-282325136.82320076</v>
      </c>
      <c r="M1624" s="460">
        <f t="shared" si="116"/>
        <v>0.05</v>
      </c>
      <c r="N1624" s="464">
        <f t="shared" si="117"/>
        <v>100475</v>
      </c>
    </row>
    <row r="1625" spans="7:14" ht="11.25" customHeight="1" x14ac:dyDescent="0.3">
      <c r="G1625" s="459"/>
      <c r="H1625" s="459">
        <v>1618</v>
      </c>
      <c r="I1625" s="444">
        <f t="shared" ca="1" si="115"/>
        <v>-282325136.82320076</v>
      </c>
      <c r="J1625" s="444">
        <f t="array" ref="J1625">IFERROR(INDEX('Retirement Calculator'!K:K,MATCH('Lorri 401b'!N1625,'Retirement Calculator'!A:A,0),0),0)</f>
        <v>0</v>
      </c>
      <c r="K1625" s="444">
        <f t="shared" ca="1" si="113"/>
        <v>-1176354.7367633365</v>
      </c>
      <c r="L1625" s="444">
        <f t="shared" ca="1" si="114"/>
        <v>-283501491.55996412</v>
      </c>
      <c r="M1625" s="460">
        <f t="shared" si="116"/>
        <v>0.05</v>
      </c>
      <c r="N1625" s="464">
        <f t="shared" si="117"/>
        <v>100503</v>
      </c>
    </row>
    <row r="1626" spans="7:14" ht="11.25" customHeight="1" x14ac:dyDescent="0.3">
      <c r="G1626" s="459"/>
      <c r="H1626" s="459">
        <v>1619</v>
      </c>
      <c r="I1626" s="444">
        <f t="shared" ca="1" si="115"/>
        <v>-283501491.55996412</v>
      </c>
      <c r="J1626" s="444">
        <f t="array" ref="J1626">IFERROR(INDEX('Retirement Calculator'!K:K,MATCH('Lorri 401b'!N1626,'Retirement Calculator'!A:A,0),0),0)</f>
        <v>0</v>
      </c>
      <c r="K1626" s="444">
        <f t="shared" ca="1" si="113"/>
        <v>-1181256.2148331839</v>
      </c>
      <c r="L1626" s="444">
        <f t="shared" ca="1" si="114"/>
        <v>-284682747.77479732</v>
      </c>
      <c r="M1626" s="460">
        <f t="shared" si="116"/>
        <v>0.05</v>
      </c>
      <c r="N1626" s="464">
        <f t="shared" si="117"/>
        <v>100534</v>
      </c>
    </row>
    <row r="1627" spans="7:14" ht="11.25" customHeight="1" x14ac:dyDescent="0.3">
      <c r="G1627" s="459"/>
      <c r="H1627" s="459">
        <v>1620</v>
      </c>
      <c r="I1627" s="444">
        <f t="shared" ca="1" si="115"/>
        <v>-284682747.77479732</v>
      </c>
      <c r="J1627" s="444">
        <f t="array" ref="J1627">IFERROR(INDEX('Retirement Calculator'!K:K,MATCH('Lorri 401b'!N1627,'Retirement Calculator'!A:A,0),0),0)</f>
        <v>0</v>
      </c>
      <c r="K1627" s="444">
        <f t="shared" ca="1" si="113"/>
        <v>-1186178.1157283222</v>
      </c>
      <c r="L1627" s="444">
        <f t="shared" ca="1" si="114"/>
        <v>-285868925.89052564</v>
      </c>
      <c r="M1627" s="460">
        <f t="shared" si="116"/>
        <v>0.05</v>
      </c>
      <c r="N1627" s="464">
        <f t="shared" si="117"/>
        <v>100564</v>
      </c>
    </row>
    <row r="1628" spans="7:14" ht="11.25" customHeight="1" x14ac:dyDescent="0.3">
      <c r="G1628" s="459"/>
      <c r="H1628" s="459">
        <v>1621</v>
      </c>
      <c r="I1628" s="444">
        <f t="shared" ca="1" si="115"/>
        <v>-285868925.89052564</v>
      </c>
      <c r="J1628" s="444">
        <f t="array" ref="J1628">IFERROR(INDEX('Retirement Calculator'!K:K,MATCH('Lorri 401b'!N1628,'Retirement Calculator'!A:A,0),0),0)</f>
        <v>0</v>
      </c>
      <c r="K1628" s="444">
        <f t="shared" ca="1" si="113"/>
        <v>-1191120.5245438567</v>
      </c>
      <c r="L1628" s="444">
        <f t="shared" ca="1" si="114"/>
        <v>-287060046.41506952</v>
      </c>
      <c r="M1628" s="460">
        <f t="shared" si="116"/>
        <v>0.05</v>
      </c>
      <c r="N1628" s="464">
        <f t="shared" si="117"/>
        <v>100595</v>
      </c>
    </row>
    <row r="1629" spans="7:14" ht="11.25" customHeight="1" x14ac:dyDescent="0.3">
      <c r="G1629" s="459"/>
      <c r="H1629" s="459">
        <v>1622</v>
      </c>
      <c r="I1629" s="444">
        <f t="shared" ca="1" si="115"/>
        <v>-287060046.41506952</v>
      </c>
      <c r="J1629" s="444">
        <f t="array" ref="J1629">IFERROR(INDEX('Retirement Calculator'!K:K,MATCH('Lorri 401b'!N1629,'Retirement Calculator'!A:A,0),0),0)</f>
        <v>0</v>
      </c>
      <c r="K1629" s="444">
        <f t="shared" ca="1" si="113"/>
        <v>-1196083.5267294564</v>
      </c>
      <c r="L1629" s="444">
        <f t="shared" ca="1" si="114"/>
        <v>-288256129.94179899</v>
      </c>
      <c r="M1629" s="460">
        <f t="shared" si="116"/>
        <v>0.05</v>
      </c>
      <c r="N1629" s="464">
        <f t="shared" si="117"/>
        <v>100625</v>
      </c>
    </row>
    <row r="1630" spans="7:14" ht="11.25" customHeight="1" x14ac:dyDescent="0.3">
      <c r="G1630" s="459"/>
      <c r="H1630" s="459">
        <v>1623</v>
      </c>
      <c r="I1630" s="444">
        <f t="shared" ca="1" si="115"/>
        <v>-288256129.94179899</v>
      </c>
      <c r="J1630" s="444">
        <f t="array" ref="J1630">IFERROR(INDEX('Retirement Calculator'!K:K,MATCH('Lorri 401b'!N1630,'Retirement Calculator'!A:A,0),0),0)</f>
        <v>0</v>
      </c>
      <c r="K1630" s="444">
        <f t="shared" ca="1" si="113"/>
        <v>-1201067.2080908292</v>
      </c>
      <c r="L1630" s="444">
        <f t="shared" ca="1" si="114"/>
        <v>-289457197.14988983</v>
      </c>
      <c r="M1630" s="460">
        <f t="shared" si="116"/>
        <v>0.05</v>
      </c>
      <c r="N1630" s="464">
        <f t="shared" si="117"/>
        <v>100656</v>
      </c>
    </row>
    <row r="1631" spans="7:14" ht="11.25" customHeight="1" x14ac:dyDescent="0.3">
      <c r="G1631" s="459"/>
      <c r="H1631" s="459">
        <v>1624</v>
      </c>
      <c r="I1631" s="444">
        <f t="shared" ca="1" si="115"/>
        <v>-289457197.14988983</v>
      </c>
      <c r="J1631" s="444">
        <f t="array" ref="J1631">IFERROR(INDEX('Retirement Calculator'!K:K,MATCH('Lorri 401b'!N1631,'Retirement Calculator'!A:A,0),0),0)</f>
        <v>0</v>
      </c>
      <c r="K1631" s="444">
        <f t="shared" ca="1" si="113"/>
        <v>-1206071.6547912075</v>
      </c>
      <c r="L1631" s="444">
        <f t="shared" ca="1" si="114"/>
        <v>-290663268.80468106</v>
      </c>
      <c r="M1631" s="460">
        <f t="shared" si="116"/>
        <v>0.05</v>
      </c>
      <c r="N1631" s="464">
        <f t="shared" si="117"/>
        <v>100687</v>
      </c>
    </row>
    <row r="1632" spans="7:14" ht="11.25" customHeight="1" x14ac:dyDescent="0.3">
      <c r="G1632" s="459"/>
      <c r="H1632" s="459">
        <v>1625</v>
      </c>
      <c r="I1632" s="444">
        <f t="shared" ca="1" si="115"/>
        <v>-290663268.80468106</v>
      </c>
      <c r="J1632" s="444">
        <f t="array" ref="J1632">IFERROR(INDEX('Retirement Calculator'!K:K,MATCH('Lorri 401b'!N1632,'Retirement Calculator'!A:A,0),0),0)</f>
        <v>0</v>
      </c>
      <c r="K1632" s="444">
        <f t="shared" ca="1" si="113"/>
        <v>-1211096.9533528378</v>
      </c>
      <c r="L1632" s="444">
        <f t="shared" ca="1" si="114"/>
        <v>-291874365.75803387</v>
      </c>
      <c r="M1632" s="460">
        <f t="shared" si="116"/>
        <v>0.05</v>
      </c>
      <c r="N1632" s="464">
        <f t="shared" si="117"/>
        <v>100717</v>
      </c>
    </row>
    <row r="1633" spans="7:14" ht="11.25" customHeight="1" x14ac:dyDescent="0.3">
      <c r="G1633" s="459"/>
      <c r="H1633" s="459">
        <v>1626</v>
      </c>
      <c r="I1633" s="444">
        <f t="shared" ca="1" si="115"/>
        <v>-291874365.75803387</v>
      </c>
      <c r="J1633" s="444">
        <f t="array" ref="J1633">IFERROR(INDEX('Retirement Calculator'!K:K,MATCH('Lorri 401b'!N1633,'Retirement Calculator'!A:A,0),0),0)</f>
        <v>0</v>
      </c>
      <c r="K1633" s="444">
        <f t="shared" ca="1" si="113"/>
        <v>-1216143.1906584743</v>
      </c>
      <c r="L1633" s="444">
        <f t="shared" ca="1" si="114"/>
        <v>-293090508.94869232</v>
      </c>
      <c r="M1633" s="460">
        <f t="shared" si="116"/>
        <v>0.05</v>
      </c>
      <c r="N1633" s="464">
        <f t="shared" si="117"/>
        <v>100748</v>
      </c>
    </row>
    <row r="1634" spans="7:14" ht="11.25" customHeight="1" x14ac:dyDescent="0.3">
      <c r="G1634" s="459"/>
      <c r="H1634" s="459">
        <v>1627</v>
      </c>
      <c r="I1634" s="444">
        <f t="shared" ca="1" si="115"/>
        <v>-293090508.94869232</v>
      </c>
      <c r="J1634" s="444">
        <f t="array" ref="J1634">IFERROR(INDEX('Retirement Calculator'!K:K,MATCH('Lorri 401b'!N1634,'Retirement Calculator'!A:A,0),0),0)</f>
        <v>0</v>
      </c>
      <c r="K1634" s="444">
        <f t="shared" ca="1" si="113"/>
        <v>-1221210.4539528848</v>
      </c>
      <c r="L1634" s="444">
        <f t="shared" ca="1" si="114"/>
        <v>-294311719.40264523</v>
      </c>
      <c r="M1634" s="460">
        <f t="shared" si="116"/>
        <v>0.05</v>
      </c>
      <c r="N1634" s="464">
        <f t="shared" si="117"/>
        <v>100778</v>
      </c>
    </row>
    <row r="1635" spans="7:14" ht="11.25" customHeight="1" x14ac:dyDescent="0.3">
      <c r="G1635" s="459"/>
      <c r="H1635" s="459">
        <v>1628</v>
      </c>
      <c r="I1635" s="444">
        <f t="shared" ca="1" si="115"/>
        <v>-294311719.40264523</v>
      </c>
      <c r="J1635" s="444">
        <f t="array" ref="J1635">IFERROR(INDEX('Retirement Calculator'!K:K,MATCH('Lorri 401b'!N1635,'Retirement Calculator'!A:A,0),0),0)</f>
        <v>0</v>
      </c>
      <c r="K1635" s="444">
        <f t="shared" ca="1" si="113"/>
        <v>-1226298.830844355</v>
      </c>
      <c r="L1635" s="444">
        <f t="shared" ca="1" si="114"/>
        <v>-295538018.23348957</v>
      </c>
      <c r="M1635" s="460">
        <f t="shared" si="116"/>
        <v>0.05</v>
      </c>
      <c r="N1635" s="464">
        <f t="shared" si="117"/>
        <v>100809</v>
      </c>
    </row>
    <row r="1636" spans="7:14" ht="11.25" customHeight="1" x14ac:dyDescent="0.3">
      <c r="G1636" s="459"/>
      <c r="H1636" s="459">
        <v>1629</v>
      </c>
      <c r="I1636" s="444">
        <f t="shared" ca="1" si="115"/>
        <v>-295538018.23348957</v>
      </c>
      <c r="J1636" s="444">
        <f t="array" ref="J1636">IFERROR(INDEX('Retirement Calculator'!K:K,MATCH('Lorri 401b'!N1636,'Retirement Calculator'!A:A,0),0),0)</f>
        <v>0</v>
      </c>
      <c r="K1636" s="444">
        <f t="shared" ca="1" si="113"/>
        <v>-1231408.4093062065</v>
      </c>
      <c r="L1636" s="444">
        <f t="shared" ca="1" si="114"/>
        <v>-296769426.6427958</v>
      </c>
      <c r="M1636" s="460">
        <f t="shared" si="116"/>
        <v>0.05</v>
      </c>
      <c r="N1636" s="464">
        <f t="shared" si="117"/>
        <v>100840</v>
      </c>
    </row>
    <row r="1637" spans="7:14" ht="11.25" customHeight="1" x14ac:dyDescent="0.3">
      <c r="G1637" s="459"/>
      <c r="H1637" s="459">
        <v>1630</v>
      </c>
      <c r="I1637" s="444">
        <f t="shared" ca="1" si="115"/>
        <v>-296769426.6427958</v>
      </c>
      <c r="J1637" s="444">
        <f t="array" ref="J1637">IFERROR(INDEX('Retirement Calculator'!K:K,MATCH('Lorri 401b'!N1637,'Retirement Calculator'!A:A,0),0),0)</f>
        <v>0</v>
      </c>
      <c r="K1637" s="444">
        <f t="shared" ca="1" si="113"/>
        <v>-1236539.2776783158</v>
      </c>
      <c r="L1637" s="444">
        <f t="shared" ca="1" si="114"/>
        <v>-298005965.92047411</v>
      </c>
      <c r="M1637" s="460">
        <f t="shared" si="116"/>
        <v>0.05</v>
      </c>
      <c r="N1637" s="464">
        <f t="shared" si="117"/>
        <v>100869</v>
      </c>
    </row>
    <row r="1638" spans="7:14" ht="11.25" customHeight="1" x14ac:dyDescent="0.3">
      <c r="G1638" s="459"/>
      <c r="H1638" s="459">
        <v>1631</v>
      </c>
      <c r="I1638" s="444">
        <f t="shared" ca="1" si="115"/>
        <v>-298005965.92047411</v>
      </c>
      <c r="J1638" s="444">
        <f t="array" ref="J1638">IFERROR(INDEX('Retirement Calculator'!K:K,MATCH('Lorri 401b'!N1638,'Retirement Calculator'!A:A,0),0),0)</f>
        <v>0</v>
      </c>
      <c r="K1638" s="444">
        <f t="shared" ca="1" si="113"/>
        <v>-1241691.5246686421</v>
      </c>
      <c r="L1638" s="444">
        <f t="shared" ca="1" si="114"/>
        <v>-299247657.44514275</v>
      </c>
      <c r="M1638" s="460">
        <f t="shared" si="116"/>
        <v>0.05</v>
      </c>
      <c r="N1638" s="464">
        <f t="shared" si="117"/>
        <v>100900</v>
      </c>
    </row>
    <row r="1639" spans="7:14" ht="11.25" customHeight="1" x14ac:dyDescent="0.3">
      <c r="G1639" s="459"/>
      <c r="H1639" s="459">
        <v>1632</v>
      </c>
      <c r="I1639" s="444">
        <f t="shared" ca="1" si="115"/>
        <v>-299247657.44514275</v>
      </c>
      <c r="J1639" s="444">
        <f t="array" ref="J1639">IFERROR(INDEX('Retirement Calculator'!K:K,MATCH('Lorri 401b'!N1639,'Retirement Calculator'!A:A,0),0),0)</f>
        <v>0</v>
      </c>
      <c r="K1639" s="444">
        <f t="shared" ca="1" si="113"/>
        <v>-1246865.2393547613</v>
      </c>
      <c r="L1639" s="444">
        <f t="shared" ca="1" si="114"/>
        <v>-300494522.68449754</v>
      </c>
      <c r="M1639" s="460">
        <f t="shared" si="116"/>
        <v>0.05</v>
      </c>
      <c r="N1639" s="464">
        <f t="shared" si="117"/>
        <v>100930</v>
      </c>
    </row>
    <row r="1640" spans="7:14" ht="11.25" customHeight="1" x14ac:dyDescent="0.3">
      <c r="G1640" s="459"/>
      <c r="H1640" s="459">
        <v>1633</v>
      </c>
      <c r="I1640" s="444">
        <f t="shared" ca="1" si="115"/>
        <v>-300494522.68449754</v>
      </c>
      <c r="J1640" s="444">
        <f t="array" ref="J1640">IFERROR(INDEX('Retirement Calculator'!K:K,MATCH('Lorri 401b'!N1640,'Retirement Calculator'!A:A,0),0),0)</f>
        <v>0</v>
      </c>
      <c r="K1640" s="444">
        <f t="shared" ca="1" si="113"/>
        <v>-1252060.5111854065</v>
      </c>
      <c r="L1640" s="444">
        <f t="shared" ca="1" si="114"/>
        <v>-301746583.19568294</v>
      </c>
      <c r="M1640" s="460">
        <f t="shared" si="116"/>
        <v>0.05</v>
      </c>
      <c r="N1640" s="464">
        <f t="shared" si="117"/>
        <v>100961</v>
      </c>
    </row>
    <row r="1641" spans="7:14" ht="11.25" customHeight="1" x14ac:dyDescent="0.3">
      <c r="G1641" s="459"/>
      <c r="H1641" s="459">
        <v>1634</v>
      </c>
      <c r="I1641" s="444">
        <f t="shared" ca="1" si="115"/>
        <v>-301746583.19568294</v>
      </c>
      <c r="J1641" s="444">
        <f t="array" ref="J1641">IFERROR(INDEX('Retirement Calculator'!K:K,MATCH('Lorri 401b'!N1641,'Retirement Calculator'!A:A,0),0),0)</f>
        <v>0</v>
      </c>
      <c r="K1641" s="444">
        <f t="shared" ca="1" si="113"/>
        <v>-1257277.4299820121</v>
      </c>
      <c r="L1641" s="444">
        <f t="shared" ca="1" si="114"/>
        <v>-303003860.62566495</v>
      </c>
      <c r="M1641" s="460">
        <f t="shared" si="116"/>
        <v>0.05</v>
      </c>
      <c r="N1641" s="464">
        <f t="shared" si="117"/>
        <v>100991</v>
      </c>
    </row>
    <row r="1642" spans="7:14" ht="11.25" customHeight="1" x14ac:dyDescent="0.3">
      <c r="G1642" s="459"/>
      <c r="H1642" s="459">
        <v>1635</v>
      </c>
      <c r="I1642" s="444">
        <f t="shared" ca="1" si="115"/>
        <v>-303003860.62566495</v>
      </c>
      <c r="J1642" s="444">
        <f t="array" ref="J1642">IFERROR(INDEX('Retirement Calculator'!K:K,MATCH('Lorri 401b'!N1642,'Retirement Calculator'!A:A,0),0),0)</f>
        <v>0</v>
      </c>
      <c r="K1642" s="444">
        <f t="shared" ca="1" si="113"/>
        <v>-1262516.0859402707</v>
      </c>
      <c r="L1642" s="444">
        <f t="shared" ca="1" si="114"/>
        <v>-304266376.71160519</v>
      </c>
      <c r="M1642" s="460">
        <f t="shared" si="116"/>
        <v>0.05</v>
      </c>
      <c r="N1642" s="464">
        <f t="shared" si="117"/>
        <v>101022</v>
      </c>
    </row>
    <row r="1643" spans="7:14" ht="11.25" customHeight="1" x14ac:dyDescent="0.3">
      <c r="G1643" s="459"/>
      <c r="H1643" s="459">
        <v>1636</v>
      </c>
      <c r="I1643" s="444">
        <f t="shared" ca="1" si="115"/>
        <v>-304266376.71160519</v>
      </c>
      <c r="J1643" s="444">
        <f t="array" ref="J1643">IFERROR(INDEX('Retirement Calculator'!K:K,MATCH('Lorri 401b'!N1643,'Retirement Calculator'!A:A,0),0),0)</f>
        <v>0</v>
      </c>
      <c r="K1643" s="444">
        <f t="shared" ca="1" si="113"/>
        <v>-1267776.5696316883</v>
      </c>
      <c r="L1643" s="444">
        <f t="shared" ca="1" si="114"/>
        <v>-305534153.28123689</v>
      </c>
      <c r="M1643" s="460">
        <f t="shared" si="116"/>
        <v>0.05</v>
      </c>
      <c r="N1643" s="464">
        <f t="shared" si="117"/>
        <v>101053</v>
      </c>
    </row>
    <row r="1644" spans="7:14" ht="11.25" customHeight="1" x14ac:dyDescent="0.3">
      <c r="G1644" s="459"/>
      <c r="H1644" s="459">
        <v>1637</v>
      </c>
      <c r="I1644" s="444">
        <f t="shared" ca="1" si="115"/>
        <v>-305534153.28123689</v>
      </c>
      <c r="J1644" s="444">
        <f t="array" ref="J1644">IFERROR(INDEX('Retirement Calculator'!K:K,MATCH('Lorri 401b'!N1644,'Retirement Calculator'!A:A,0),0),0)</f>
        <v>0</v>
      </c>
      <c r="K1644" s="444">
        <f t="shared" ca="1" si="113"/>
        <v>-1273058.9720051538</v>
      </c>
      <c r="L1644" s="444">
        <f t="shared" ca="1" si="114"/>
        <v>-306807212.25324202</v>
      </c>
      <c r="M1644" s="460">
        <f t="shared" si="116"/>
        <v>0.05</v>
      </c>
      <c r="N1644" s="464">
        <f t="shared" si="117"/>
        <v>101083</v>
      </c>
    </row>
    <row r="1645" spans="7:14" ht="11.25" customHeight="1" x14ac:dyDescent="0.3">
      <c r="G1645" s="459"/>
      <c r="H1645" s="459">
        <v>1638</v>
      </c>
      <c r="I1645" s="444">
        <f t="shared" ca="1" si="115"/>
        <v>-306807212.25324202</v>
      </c>
      <c r="J1645" s="444">
        <f t="array" ref="J1645">IFERROR(INDEX('Retirement Calculator'!K:K,MATCH('Lorri 401b'!N1645,'Retirement Calculator'!A:A,0),0),0)</f>
        <v>0</v>
      </c>
      <c r="K1645" s="444">
        <f t="shared" ca="1" si="113"/>
        <v>-1278363.3843885083</v>
      </c>
      <c r="L1645" s="444">
        <f t="shared" ca="1" si="114"/>
        <v>-308085575.63763052</v>
      </c>
      <c r="M1645" s="460">
        <f t="shared" si="116"/>
        <v>0.05</v>
      </c>
      <c r="N1645" s="464">
        <f t="shared" si="117"/>
        <v>101114</v>
      </c>
    </row>
    <row r="1646" spans="7:14" ht="11.25" customHeight="1" x14ac:dyDescent="0.3">
      <c r="G1646" s="459"/>
      <c r="H1646" s="459">
        <v>1639</v>
      </c>
      <c r="I1646" s="444">
        <f t="shared" ca="1" si="115"/>
        <v>-308085575.63763052</v>
      </c>
      <c r="J1646" s="444">
        <f t="array" ref="J1646">IFERROR(INDEX('Retirement Calculator'!K:K,MATCH('Lorri 401b'!N1646,'Retirement Calculator'!A:A,0),0),0)</f>
        <v>0</v>
      </c>
      <c r="K1646" s="444">
        <f t="shared" ca="1" si="113"/>
        <v>-1283689.8984901272</v>
      </c>
      <c r="L1646" s="444">
        <f t="shared" ca="1" si="114"/>
        <v>-309369265.53612065</v>
      </c>
      <c r="M1646" s="460">
        <f t="shared" si="116"/>
        <v>0.05</v>
      </c>
      <c r="N1646" s="464">
        <f t="shared" si="117"/>
        <v>101144</v>
      </c>
    </row>
    <row r="1647" spans="7:14" ht="11.25" customHeight="1" x14ac:dyDescent="0.3">
      <c r="G1647" s="459"/>
      <c r="H1647" s="459">
        <v>1640</v>
      </c>
      <c r="I1647" s="444">
        <f t="shared" ca="1" si="115"/>
        <v>-309369265.53612065</v>
      </c>
      <c r="J1647" s="444">
        <f t="array" ref="J1647">IFERROR(INDEX('Retirement Calculator'!K:K,MATCH('Lorri 401b'!N1647,'Retirement Calculator'!A:A,0),0),0)</f>
        <v>0</v>
      </c>
      <c r="K1647" s="444">
        <f t="shared" ca="1" si="113"/>
        <v>-1289038.6064005026</v>
      </c>
      <c r="L1647" s="444">
        <f t="shared" ca="1" si="114"/>
        <v>-310658304.14252114</v>
      </c>
      <c r="M1647" s="460">
        <f t="shared" si="116"/>
        <v>0.05</v>
      </c>
      <c r="N1647" s="464">
        <f t="shared" si="117"/>
        <v>101175</v>
      </c>
    </row>
    <row r="1648" spans="7:14" ht="11.25" customHeight="1" x14ac:dyDescent="0.3">
      <c r="G1648" s="459"/>
      <c r="H1648" s="459">
        <v>1641</v>
      </c>
      <c r="I1648" s="444">
        <f t="shared" ca="1" si="115"/>
        <v>-310658304.14252114</v>
      </c>
      <c r="J1648" s="444">
        <f t="array" ref="J1648">IFERROR(INDEX('Retirement Calculator'!K:K,MATCH('Lorri 401b'!N1648,'Retirement Calculator'!A:A,0),0),0)</f>
        <v>0</v>
      </c>
      <c r="K1648" s="444">
        <f t="shared" ca="1" si="113"/>
        <v>-1294409.6005938381</v>
      </c>
      <c r="L1648" s="444">
        <f t="shared" ca="1" si="114"/>
        <v>-311952713.74311501</v>
      </c>
      <c r="M1648" s="460">
        <f t="shared" si="116"/>
        <v>0.05</v>
      </c>
      <c r="N1648" s="464">
        <f t="shared" si="117"/>
        <v>101206</v>
      </c>
    </row>
    <row r="1649" spans="7:14" ht="11.25" customHeight="1" x14ac:dyDescent="0.3">
      <c r="G1649" s="459"/>
      <c r="H1649" s="459">
        <v>1642</v>
      </c>
      <c r="I1649" s="444">
        <f t="shared" ca="1" si="115"/>
        <v>-311952713.74311501</v>
      </c>
      <c r="J1649" s="444">
        <f t="array" ref="J1649">IFERROR(INDEX('Retirement Calculator'!K:K,MATCH('Lorri 401b'!N1649,'Retirement Calculator'!A:A,0),0),0)</f>
        <v>0</v>
      </c>
      <c r="K1649" s="444">
        <f t="shared" ca="1" si="113"/>
        <v>-1299802.973929646</v>
      </c>
      <c r="L1649" s="444">
        <f t="shared" ca="1" si="114"/>
        <v>-313252516.71704465</v>
      </c>
      <c r="M1649" s="460">
        <f t="shared" si="116"/>
        <v>0.05</v>
      </c>
      <c r="N1649" s="464">
        <f t="shared" si="117"/>
        <v>101234</v>
      </c>
    </row>
    <row r="1650" spans="7:14" ht="11.25" customHeight="1" x14ac:dyDescent="0.3">
      <c r="G1650" s="459"/>
      <c r="H1650" s="459">
        <v>1643</v>
      </c>
      <c r="I1650" s="444">
        <f t="shared" ca="1" si="115"/>
        <v>-313252516.71704465</v>
      </c>
      <c r="J1650" s="444">
        <f t="array" ref="J1650">IFERROR(INDEX('Retirement Calculator'!K:K,MATCH('Lorri 401b'!N1650,'Retirement Calculator'!A:A,0),0),0)</f>
        <v>0</v>
      </c>
      <c r="K1650" s="444">
        <f t="shared" ca="1" si="113"/>
        <v>-1305218.8196543527</v>
      </c>
      <c r="L1650" s="444">
        <f t="shared" ca="1" si="114"/>
        <v>-314557735.536699</v>
      </c>
      <c r="M1650" s="460">
        <f t="shared" si="116"/>
        <v>0.05</v>
      </c>
      <c r="N1650" s="464">
        <f t="shared" si="117"/>
        <v>101265</v>
      </c>
    </row>
    <row r="1651" spans="7:14" ht="11.25" customHeight="1" x14ac:dyDescent="0.3">
      <c r="G1651" s="459"/>
      <c r="H1651" s="459">
        <v>1644</v>
      </c>
      <c r="I1651" s="444">
        <f t="shared" ca="1" si="115"/>
        <v>-314557735.536699</v>
      </c>
      <c r="J1651" s="444">
        <f t="array" ref="J1651">IFERROR(INDEX('Retirement Calculator'!K:K,MATCH('Lorri 401b'!N1651,'Retirement Calculator'!A:A,0),0),0)</f>
        <v>0</v>
      </c>
      <c r="K1651" s="444">
        <f t="shared" ca="1" si="113"/>
        <v>-1310657.2314029124</v>
      </c>
      <c r="L1651" s="444">
        <f t="shared" ca="1" si="114"/>
        <v>-315868392.76810193</v>
      </c>
      <c r="M1651" s="460">
        <f t="shared" si="116"/>
        <v>0.05</v>
      </c>
      <c r="N1651" s="464">
        <f t="shared" si="117"/>
        <v>101295</v>
      </c>
    </row>
    <row r="1652" spans="7:14" ht="11.25" customHeight="1" x14ac:dyDescent="0.3">
      <c r="G1652" s="459"/>
      <c r="H1652" s="459">
        <v>1645</v>
      </c>
      <c r="I1652" s="444">
        <f t="shared" ca="1" si="115"/>
        <v>-315868392.76810193</v>
      </c>
      <c r="J1652" s="444">
        <f t="array" ref="J1652">IFERROR(INDEX('Retirement Calculator'!K:K,MATCH('Lorri 401b'!N1652,'Retirement Calculator'!A:A,0),0),0)</f>
        <v>0</v>
      </c>
      <c r="K1652" s="444">
        <f t="shared" ca="1" si="113"/>
        <v>-1316118.3032004246</v>
      </c>
      <c r="L1652" s="444">
        <f t="shared" ca="1" si="114"/>
        <v>-317184511.07130235</v>
      </c>
      <c r="M1652" s="460">
        <f t="shared" si="116"/>
        <v>0.05</v>
      </c>
      <c r="N1652" s="464">
        <f t="shared" si="117"/>
        <v>101326</v>
      </c>
    </row>
    <row r="1653" spans="7:14" ht="11.25" customHeight="1" x14ac:dyDescent="0.3">
      <c r="G1653" s="459"/>
      <c r="H1653" s="459">
        <v>1646</v>
      </c>
      <c r="I1653" s="444">
        <f t="shared" ca="1" si="115"/>
        <v>-317184511.07130235</v>
      </c>
      <c r="J1653" s="444">
        <f t="array" ref="J1653">IFERROR(INDEX('Retirement Calculator'!K:K,MATCH('Lorri 401b'!N1653,'Retirement Calculator'!A:A,0),0),0)</f>
        <v>0</v>
      </c>
      <c r="K1653" s="444">
        <f t="shared" ca="1" si="113"/>
        <v>-1321602.1294637597</v>
      </c>
      <c r="L1653" s="444">
        <f t="shared" ca="1" si="114"/>
        <v>-318506113.20076609</v>
      </c>
      <c r="M1653" s="460">
        <f t="shared" si="116"/>
        <v>0.05</v>
      </c>
      <c r="N1653" s="464">
        <f t="shared" si="117"/>
        <v>101356</v>
      </c>
    </row>
    <row r="1654" spans="7:14" ht="11.25" customHeight="1" x14ac:dyDescent="0.3">
      <c r="G1654" s="459"/>
      <c r="H1654" s="459">
        <v>1647</v>
      </c>
      <c r="I1654" s="444">
        <f t="shared" ca="1" si="115"/>
        <v>-318506113.20076609</v>
      </c>
      <c r="J1654" s="444">
        <f t="array" ref="J1654">IFERROR(INDEX('Retirement Calculator'!K:K,MATCH('Lorri 401b'!N1654,'Retirement Calculator'!A:A,0),0),0)</f>
        <v>0</v>
      </c>
      <c r="K1654" s="444">
        <f t="shared" ca="1" si="113"/>
        <v>-1327108.805003192</v>
      </c>
      <c r="L1654" s="444">
        <f t="shared" ca="1" si="114"/>
        <v>-319833222.00576925</v>
      </c>
      <c r="M1654" s="460">
        <f t="shared" si="116"/>
        <v>0.05</v>
      </c>
      <c r="N1654" s="464">
        <f t="shared" si="117"/>
        <v>101387</v>
      </c>
    </row>
    <row r="1655" spans="7:14" ht="11.25" customHeight="1" x14ac:dyDescent="0.3">
      <c r="G1655" s="459"/>
      <c r="H1655" s="459">
        <v>1648</v>
      </c>
      <c r="I1655" s="444">
        <f t="shared" ca="1" si="115"/>
        <v>-319833222.00576925</v>
      </c>
      <c r="J1655" s="444">
        <f t="array" ref="J1655">IFERROR(INDEX('Retirement Calculator'!K:K,MATCH('Lorri 401b'!N1655,'Retirement Calculator'!A:A,0),0),0)</f>
        <v>0</v>
      </c>
      <c r="K1655" s="444">
        <f t="shared" ca="1" si="113"/>
        <v>-1332638.4250240386</v>
      </c>
      <c r="L1655" s="444">
        <f t="shared" ca="1" si="114"/>
        <v>-321165860.43079329</v>
      </c>
      <c r="M1655" s="460">
        <f t="shared" si="116"/>
        <v>0.05</v>
      </c>
      <c r="N1655" s="464">
        <f t="shared" si="117"/>
        <v>101418</v>
      </c>
    </row>
    <row r="1656" spans="7:14" ht="11.25" customHeight="1" x14ac:dyDescent="0.3">
      <c r="G1656" s="459"/>
      <c r="H1656" s="459">
        <v>1649</v>
      </c>
      <c r="I1656" s="444">
        <f t="shared" ca="1" si="115"/>
        <v>-321165860.43079329</v>
      </c>
      <c r="J1656" s="444">
        <f t="array" ref="J1656">IFERROR(INDEX('Retirement Calculator'!K:K,MATCH('Lorri 401b'!N1656,'Retirement Calculator'!A:A,0),0),0)</f>
        <v>0</v>
      </c>
      <c r="K1656" s="444">
        <f t="shared" ca="1" si="113"/>
        <v>-1338191.0851283052</v>
      </c>
      <c r="L1656" s="444">
        <f t="shared" ca="1" si="114"/>
        <v>-322504051.51592159</v>
      </c>
      <c r="M1656" s="460">
        <f t="shared" si="116"/>
        <v>0.05</v>
      </c>
      <c r="N1656" s="464">
        <f t="shared" si="117"/>
        <v>101448</v>
      </c>
    </row>
    <row r="1657" spans="7:14" ht="11.25" customHeight="1" x14ac:dyDescent="0.3">
      <c r="G1657" s="459"/>
      <c r="H1657" s="459">
        <v>1650</v>
      </c>
      <c r="I1657" s="444">
        <f t="shared" ca="1" si="115"/>
        <v>-322504051.51592159</v>
      </c>
      <c r="J1657" s="444">
        <f t="array" ref="J1657">IFERROR(INDEX('Retirement Calculator'!K:K,MATCH('Lorri 401b'!N1657,'Retirement Calculator'!A:A,0),0),0)</f>
        <v>0</v>
      </c>
      <c r="K1657" s="444">
        <f t="shared" ca="1" si="113"/>
        <v>-1343766.8813163401</v>
      </c>
      <c r="L1657" s="444">
        <f t="shared" ca="1" si="114"/>
        <v>-323847818.39723796</v>
      </c>
      <c r="M1657" s="460">
        <f t="shared" si="116"/>
        <v>0.05</v>
      </c>
      <c r="N1657" s="464">
        <f t="shared" si="117"/>
        <v>101479</v>
      </c>
    </row>
    <row r="1658" spans="7:14" ht="11.25" customHeight="1" x14ac:dyDescent="0.3">
      <c r="G1658" s="459"/>
      <c r="H1658" s="459">
        <v>1651</v>
      </c>
      <c r="I1658" s="444">
        <f t="shared" ca="1" si="115"/>
        <v>-323847818.39723796</v>
      </c>
      <c r="J1658" s="444">
        <f t="array" ref="J1658">IFERROR(INDEX('Retirement Calculator'!K:K,MATCH('Lorri 401b'!N1658,'Retirement Calculator'!A:A,0),0),0)</f>
        <v>0</v>
      </c>
      <c r="K1658" s="444">
        <f t="shared" ca="1" si="113"/>
        <v>-1349365.9099884916</v>
      </c>
      <c r="L1658" s="444">
        <f t="shared" ca="1" si="114"/>
        <v>-325197184.30722642</v>
      </c>
      <c r="M1658" s="460">
        <f t="shared" si="116"/>
        <v>0.05</v>
      </c>
      <c r="N1658" s="464">
        <f t="shared" si="117"/>
        <v>101509</v>
      </c>
    </row>
    <row r="1659" spans="7:14" ht="11.25" customHeight="1" x14ac:dyDescent="0.3">
      <c r="G1659" s="459"/>
      <c r="H1659" s="459">
        <v>1652</v>
      </c>
      <c r="I1659" s="444">
        <f t="shared" ca="1" si="115"/>
        <v>-325197184.30722642</v>
      </c>
      <c r="J1659" s="444">
        <f t="array" ref="J1659">IFERROR(INDEX('Retirement Calculator'!K:K,MATCH('Lorri 401b'!N1659,'Retirement Calculator'!A:A,0),0),0)</f>
        <v>0</v>
      </c>
      <c r="K1659" s="444">
        <f t="shared" ca="1" si="113"/>
        <v>-1354988.2679467767</v>
      </c>
      <c r="L1659" s="444">
        <f t="shared" ca="1" si="114"/>
        <v>-326552172.5751732</v>
      </c>
      <c r="M1659" s="460">
        <f t="shared" si="116"/>
        <v>0.05</v>
      </c>
      <c r="N1659" s="464">
        <f t="shared" si="117"/>
        <v>101540</v>
      </c>
    </row>
    <row r="1660" spans="7:14" ht="11.25" customHeight="1" x14ac:dyDescent="0.3">
      <c r="G1660" s="459"/>
      <c r="H1660" s="459">
        <v>1653</v>
      </c>
      <c r="I1660" s="444">
        <f t="shared" ca="1" si="115"/>
        <v>-326552172.5751732</v>
      </c>
      <c r="J1660" s="444">
        <f t="array" ref="J1660">IFERROR(INDEX('Retirement Calculator'!K:K,MATCH('Lorri 401b'!N1660,'Retirement Calculator'!A:A,0),0),0)</f>
        <v>0</v>
      </c>
      <c r="K1660" s="444">
        <f t="shared" ca="1" si="113"/>
        <v>-1360634.052396555</v>
      </c>
      <c r="L1660" s="444">
        <f t="shared" ca="1" si="114"/>
        <v>-327912806.62756974</v>
      </c>
      <c r="M1660" s="460">
        <f t="shared" si="116"/>
        <v>0.05</v>
      </c>
      <c r="N1660" s="464">
        <f t="shared" si="117"/>
        <v>101571</v>
      </c>
    </row>
    <row r="1661" spans="7:14" ht="11.25" customHeight="1" x14ac:dyDescent="0.3">
      <c r="G1661" s="459"/>
      <c r="H1661" s="459">
        <v>1654</v>
      </c>
      <c r="I1661" s="444">
        <f t="shared" ca="1" si="115"/>
        <v>-327912806.62756974</v>
      </c>
      <c r="J1661" s="444">
        <f t="array" ref="J1661">IFERROR(INDEX('Retirement Calculator'!K:K,MATCH('Lorri 401b'!N1661,'Retirement Calculator'!A:A,0),0),0)</f>
        <v>0</v>
      </c>
      <c r="K1661" s="444">
        <f t="shared" ca="1" si="113"/>
        <v>-1366303.3609482073</v>
      </c>
      <c r="L1661" s="444">
        <f t="shared" ca="1" si="114"/>
        <v>-329279109.98851794</v>
      </c>
      <c r="M1661" s="460">
        <f t="shared" si="116"/>
        <v>0.05</v>
      </c>
      <c r="N1661" s="464">
        <f t="shared" si="117"/>
        <v>101599</v>
      </c>
    </row>
    <row r="1662" spans="7:14" ht="11.25" customHeight="1" x14ac:dyDescent="0.3">
      <c r="G1662" s="459"/>
      <c r="H1662" s="459">
        <v>1655</v>
      </c>
      <c r="I1662" s="444">
        <f t="shared" ca="1" si="115"/>
        <v>-329279109.98851794</v>
      </c>
      <c r="J1662" s="444">
        <f t="array" ref="J1662">IFERROR(INDEX('Retirement Calculator'!K:K,MATCH('Lorri 401b'!N1662,'Retirement Calculator'!A:A,0),0),0)</f>
        <v>0</v>
      </c>
      <c r="K1662" s="444">
        <f t="shared" ca="1" si="113"/>
        <v>-1371996.2916188247</v>
      </c>
      <c r="L1662" s="444">
        <f t="shared" ca="1" si="114"/>
        <v>-330651106.28013676</v>
      </c>
      <c r="M1662" s="460">
        <f t="shared" si="116"/>
        <v>0.05</v>
      </c>
      <c r="N1662" s="464">
        <f t="shared" si="117"/>
        <v>101630</v>
      </c>
    </row>
    <row r="1663" spans="7:14" ht="11.25" customHeight="1" x14ac:dyDescent="0.3">
      <c r="G1663" s="459"/>
      <c r="H1663" s="459">
        <v>1656</v>
      </c>
      <c r="I1663" s="444">
        <f t="shared" ca="1" si="115"/>
        <v>-330651106.28013676</v>
      </c>
      <c r="J1663" s="444">
        <f t="array" ref="J1663">IFERROR(INDEX('Retirement Calculator'!K:K,MATCH('Lorri 401b'!N1663,'Retirement Calculator'!A:A,0),0),0)</f>
        <v>0</v>
      </c>
      <c r="K1663" s="444">
        <f t="shared" ca="1" si="113"/>
        <v>-1377712.9428339032</v>
      </c>
      <c r="L1663" s="444">
        <f t="shared" ca="1" si="114"/>
        <v>-332028819.22297066</v>
      </c>
      <c r="M1663" s="460">
        <f t="shared" si="116"/>
        <v>0.05</v>
      </c>
      <c r="N1663" s="464">
        <f t="shared" si="117"/>
        <v>101660</v>
      </c>
    </row>
    <row r="1664" spans="7:14" ht="11.25" customHeight="1" x14ac:dyDescent="0.3">
      <c r="G1664" s="459"/>
      <c r="H1664" s="459">
        <v>1657</v>
      </c>
      <c r="I1664" s="444">
        <f t="shared" ca="1" si="115"/>
        <v>-332028819.22297066</v>
      </c>
      <c r="J1664" s="444">
        <f t="array" ref="J1664">IFERROR(INDEX('Retirement Calculator'!K:K,MATCH('Lorri 401b'!N1664,'Retirement Calculator'!A:A,0),0),0)</f>
        <v>0</v>
      </c>
      <c r="K1664" s="444">
        <f t="shared" ca="1" si="113"/>
        <v>-1383453.4134290444</v>
      </c>
      <c r="L1664" s="444">
        <f t="shared" ca="1" si="114"/>
        <v>-333412272.63639969</v>
      </c>
      <c r="M1664" s="460">
        <f t="shared" si="116"/>
        <v>0.05</v>
      </c>
      <c r="N1664" s="464">
        <f t="shared" si="117"/>
        <v>101691</v>
      </c>
    </row>
    <row r="1665" spans="7:14" ht="11.25" customHeight="1" x14ac:dyDescent="0.3">
      <c r="G1665" s="459"/>
      <c r="H1665" s="459">
        <v>1658</v>
      </c>
      <c r="I1665" s="444">
        <f t="shared" ca="1" si="115"/>
        <v>-333412272.63639969</v>
      </c>
      <c r="J1665" s="444">
        <f t="array" ref="J1665">IFERROR(INDEX('Retirement Calculator'!K:K,MATCH('Lorri 401b'!N1665,'Retirement Calculator'!A:A,0),0),0)</f>
        <v>0</v>
      </c>
      <c r="K1665" s="444">
        <f t="shared" ca="1" si="113"/>
        <v>-1389217.8026516654</v>
      </c>
      <c r="L1665" s="444">
        <f t="shared" ca="1" si="114"/>
        <v>-334801490.43905133</v>
      </c>
      <c r="M1665" s="460">
        <f t="shared" si="116"/>
        <v>0.05</v>
      </c>
      <c r="N1665" s="464">
        <f t="shared" si="117"/>
        <v>101721</v>
      </c>
    </row>
    <row r="1666" spans="7:14" ht="11.25" customHeight="1" x14ac:dyDescent="0.3">
      <c r="G1666" s="459"/>
      <c r="H1666" s="459">
        <v>1659</v>
      </c>
      <c r="I1666" s="444">
        <f t="shared" ca="1" si="115"/>
        <v>-334801490.43905133</v>
      </c>
      <c r="J1666" s="444">
        <f t="array" ref="J1666">IFERROR(INDEX('Retirement Calculator'!K:K,MATCH('Lorri 401b'!N1666,'Retirement Calculator'!A:A,0),0),0)</f>
        <v>0</v>
      </c>
      <c r="K1666" s="444">
        <f t="shared" ca="1" si="113"/>
        <v>-1395006.2101627139</v>
      </c>
      <c r="L1666" s="444">
        <f t="shared" ca="1" si="114"/>
        <v>-336196496.64921403</v>
      </c>
      <c r="M1666" s="460">
        <f t="shared" si="116"/>
        <v>0.05</v>
      </c>
      <c r="N1666" s="464">
        <f t="shared" si="117"/>
        <v>101752</v>
      </c>
    </row>
    <row r="1667" spans="7:14" ht="11.25" customHeight="1" x14ac:dyDescent="0.3">
      <c r="G1667" s="459"/>
      <c r="H1667" s="459">
        <v>1660</v>
      </c>
      <c r="I1667" s="444">
        <f t="shared" ca="1" si="115"/>
        <v>-336196496.64921403</v>
      </c>
      <c r="J1667" s="444">
        <f t="array" ref="J1667">IFERROR(INDEX('Retirement Calculator'!K:K,MATCH('Lorri 401b'!N1667,'Retirement Calculator'!A:A,0),0),0)</f>
        <v>0</v>
      </c>
      <c r="K1667" s="444">
        <f t="shared" ca="1" si="113"/>
        <v>-1400818.7360383917</v>
      </c>
      <c r="L1667" s="444">
        <f t="shared" ca="1" si="114"/>
        <v>-337597315.38525242</v>
      </c>
      <c r="M1667" s="460">
        <f t="shared" si="116"/>
        <v>0.05</v>
      </c>
      <c r="N1667" s="464">
        <f t="shared" si="117"/>
        <v>101783</v>
      </c>
    </row>
    <row r="1668" spans="7:14" ht="11.25" customHeight="1" x14ac:dyDescent="0.3">
      <c r="G1668" s="459"/>
      <c r="H1668" s="459">
        <v>1661</v>
      </c>
      <c r="I1668" s="444">
        <f t="shared" ca="1" si="115"/>
        <v>-337597315.38525242</v>
      </c>
      <c r="J1668" s="444">
        <f t="array" ref="J1668">IFERROR(INDEX('Retirement Calculator'!K:K,MATCH('Lorri 401b'!N1668,'Retirement Calculator'!A:A,0),0),0)</f>
        <v>0</v>
      </c>
      <c r="K1668" s="444">
        <f t="shared" ca="1" si="113"/>
        <v>-1406655.480771885</v>
      </c>
      <c r="L1668" s="444">
        <f t="shared" ca="1" si="114"/>
        <v>-339003970.86602432</v>
      </c>
      <c r="M1668" s="460">
        <f t="shared" si="116"/>
        <v>0.05</v>
      </c>
      <c r="N1668" s="464">
        <f t="shared" si="117"/>
        <v>101813</v>
      </c>
    </row>
    <row r="1669" spans="7:14" ht="11.25" customHeight="1" x14ac:dyDescent="0.3">
      <c r="G1669" s="459"/>
      <c r="H1669" s="459">
        <v>1662</v>
      </c>
      <c r="I1669" s="444">
        <f t="shared" ca="1" si="115"/>
        <v>-339003970.86602432</v>
      </c>
      <c r="J1669" s="444">
        <f t="array" ref="J1669">IFERROR(INDEX('Retirement Calculator'!K:K,MATCH('Lorri 401b'!N1669,'Retirement Calculator'!A:A,0),0),0)</f>
        <v>0</v>
      </c>
      <c r="K1669" s="444">
        <f t="shared" ca="1" si="113"/>
        <v>-1412516.5452751012</v>
      </c>
      <c r="L1669" s="444">
        <f t="shared" ca="1" si="114"/>
        <v>-340416487.41129941</v>
      </c>
      <c r="M1669" s="460">
        <f t="shared" si="116"/>
        <v>0.05</v>
      </c>
      <c r="N1669" s="464">
        <f t="shared" si="117"/>
        <v>101844</v>
      </c>
    </row>
    <row r="1670" spans="7:14" ht="11.25" customHeight="1" x14ac:dyDescent="0.3">
      <c r="G1670" s="459"/>
      <c r="H1670" s="459">
        <v>1663</v>
      </c>
      <c r="I1670" s="444">
        <f t="shared" ca="1" si="115"/>
        <v>-340416487.41129941</v>
      </c>
      <c r="J1670" s="444">
        <f t="array" ref="J1670">IFERROR(INDEX('Retirement Calculator'!K:K,MATCH('Lorri 401b'!N1670,'Retirement Calculator'!A:A,0),0),0)</f>
        <v>0</v>
      </c>
      <c r="K1670" s="444">
        <f t="shared" ca="1" si="113"/>
        <v>-1418402.0308804142</v>
      </c>
      <c r="L1670" s="444">
        <f t="shared" ca="1" si="114"/>
        <v>-341834889.4421798</v>
      </c>
      <c r="M1670" s="460">
        <f t="shared" si="116"/>
        <v>0.05</v>
      </c>
      <c r="N1670" s="464">
        <f t="shared" si="117"/>
        <v>101874</v>
      </c>
    </row>
    <row r="1671" spans="7:14" ht="11.25" customHeight="1" x14ac:dyDescent="0.3">
      <c r="G1671" s="459"/>
      <c r="H1671" s="459">
        <v>1664</v>
      </c>
      <c r="I1671" s="444">
        <f t="shared" ca="1" si="115"/>
        <v>-341834889.4421798</v>
      </c>
      <c r="J1671" s="444">
        <f t="array" ref="J1671">IFERROR(INDEX('Retirement Calculator'!K:K,MATCH('Lorri 401b'!N1671,'Retirement Calculator'!A:A,0),0),0)</f>
        <v>0</v>
      </c>
      <c r="K1671" s="444">
        <f t="shared" ca="1" si="113"/>
        <v>-1424312.0393424158</v>
      </c>
      <c r="L1671" s="444">
        <f t="shared" ca="1" si="114"/>
        <v>-343259201.4815222</v>
      </c>
      <c r="M1671" s="460">
        <f t="shared" si="116"/>
        <v>0.05</v>
      </c>
      <c r="N1671" s="464">
        <f t="shared" si="117"/>
        <v>101905</v>
      </c>
    </row>
    <row r="1672" spans="7:14" ht="11.25" customHeight="1" x14ac:dyDescent="0.3">
      <c r="G1672" s="459"/>
      <c r="H1672" s="459">
        <v>1665</v>
      </c>
      <c r="I1672" s="444">
        <f t="shared" ca="1" si="115"/>
        <v>-343259201.4815222</v>
      </c>
      <c r="J1672" s="444">
        <f t="array" ref="J1672">IFERROR(INDEX('Retirement Calculator'!K:K,MATCH('Lorri 401b'!N1672,'Retirement Calculator'!A:A,0),0),0)</f>
        <v>0</v>
      </c>
      <c r="K1672" s="444">
        <f t="shared" ca="1" si="113"/>
        <v>-1430246.6728396758</v>
      </c>
      <c r="L1672" s="444">
        <f t="shared" ca="1" si="114"/>
        <v>-344689448.1543619</v>
      </c>
      <c r="M1672" s="460">
        <f t="shared" si="116"/>
        <v>0.05</v>
      </c>
      <c r="N1672" s="464">
        <f t="shared" si="117"/>
        <v>101936</v>
      </c>
    </row>
    <row r="1673" spans="7:14" ht="11.25" customHeight="1" x14ac:dyDescent="0.3">
      <c r="G1673" s="459"/>
      <c r="H1673" s="459">
        <v>1666</v>
      </c>
      <c r="I1673" s="444">
        <f t="shared" ca="1" si="115"/>
        <v>-344689448.1543619</v>
      </c>
      <c r="J1673" s="444">
        <f t="array" ref="J1673">IFERROR(INDEX('Retirement Calculator'!K:K,MATCH('Lorri 401b'!N1673,'Retirement Calculator'!A:A,0),0),0)</f>
        <v>0</v>
      </c>
      <c r="K1673" s="444">
        <f t="shared" ca="1" si="113"/>
        <v>-1436206.0339765078</v>
      </c>
      <c r="L1673" s="444">
        <f t="shared" ca="1" si="114"/>
        <v>-346125654.1883384</v>
      </c>
      <c r="M1673" s="460">
        <f t="shared" si="116"/>
        <v>0.05</v>
      </c>
      <c r="N1673" s="464">
        <f t="shared" si="117"/>
        <v>101964</v>
      </c>
    </row>
    <row r="1674" spans="7:14" ht="11.25" customHeight="1" x14ac:dyDescent="0.3">
      <c r="G1674" s="459"/>
      <c r="H1674" s="459">
        <v>1667</v>
      </c>
      <c r="I1674" s="444">
        <f t="shared" ca="1" si="115"/>
        <v>-346125654.1883384</v>
      </c>
      <c r="J1674" s="444">
        <f t="array" ref="J1674">IFERROR(INDEX('Retirement Calculator'!K:K,MATCH('Lorri 401b'!N1674,'Retirement Calculator'!A:A,0),0),0)</f>
        <v>0</v>
      </c>
      <c r="K1674" s="444">
        <f t="shared" ca="1" si="113"/>
        <v>-1442190.2257847432</v>
      </c>
      <c r="L1674" s="444">
        <f t="shared" ca="1" si="114"/>
        <v>-347567844.41412312</v>
      </c>
      <c r="M1674" s="460">
        <f t="shared" si="116"/>
        <v>0.05</v>
      </c>
      <c r="N1674" s="464">
        <f t="shared" si="117"/>
        <v>101995</v>
      </c>
    </row>
    <row r="1675" spans="7:14" ht="11.25" customHeight="1" x14ac:dyDescent="0.3">
      <c r="G1675" s="459"/>
      <c r="H1675" s="459">
        <v>1668</v>
      </c>
      <c r="I1675" s="444">
        <f t="shared" ca="1" si="115"/>
        <v>-347567844.41412312</v>
      </c>
      <c r="J1675" s="444">
        <f t="array" ref="J1675">IFERROR(INDEX('Retirement Calculator'!K:K,MATCH('Lorri 401b'!N1675,'Retirement Calculator'!A:A,0),0),0)</f>
        <v>0</v>
      </c>
      <c r="K1675" s="444">
        <f t="shared" ca="1" si="113"/>
        <v>-1448199.3517255129</v>
      </c>
      <c r="L1675" s="444">
        <f t="shared" ca="1" si="114"/>
        <v>-349016043.76584864</v>
      </c>
      <c r="M1675" s="460">
        <f t="shared" si="116"/>
        <v>0.05</v>
      </c>
      <c r="N1675" s="464">
        <f t="shared" si="117"/>
        <v>102025</v>
      </c>
    </row>
    <row r="1676" spans="7:14" ht="11.25" customHeight="1" x14ac:dyDescent="0.3">
      <c r="G1676" s="459"/>
      <c r="H1676" s="459">
        <v>1669</v>
      </c>
      <c r="I1676" s="444">
        <f t="shared" ca="1" si="115"/>
        <v>-349016043.76584864</v>
      </c>
      <c r="J1676" s="444">
        <f t="array" ref="J1676">IFERROR(INDEX('Retirement Calculator'!K:K,MATCH('Lorri 401b'!N1676,'Retirement Calculator'!A:A,0),0),0)</f>
        <v>0</v>
      </c>
      <c r="K1676" s="444">
        <f t="shared" ca="1" si="113"/>
        <v>-1454233.5156910359</v>
      </c>
      <c r="L1676" s="444">
        <f t="shared" ca="1" si="114"/>
        <v>-350470277.28153968</v>
      </c>
      <c r="M1676" s="460">
        <f t="shared" si="116"/>
        <v>0.05</v>
      </c>
      <c r="N1676" s="464">
        <f t="shared" si="117"/>
        <v>102056</v>
      </c>
    </row>
    <row r="1677" spans="7:14" ht="11.25" customHeight="1" x14ac:dyDescent="0.3">
      <c r="G1677" s="459"/>
      <c r="H1677" s="459">
        <v>1670</v>
      </c>
      <c r="I1677" s="444">
        <f t="shared" ca="1" si="115"/>
        <v>-350470277.28153968</v>
      </c>
      <c r="J1677" s="444">
        <f t="array" ref="J1677">IFERROR(INDEX('Retirement Calculator'!K:K,MATCH('Lorri 401b'!N1677,'Retirement Calculator'!A:A,0),0),0)</f>
        <v>0</v>
      </c>
      <c r="K1677" s="444">
        <f t="shared" ca="1" si="113"/>
        <v>-1460292.8220064153</v>
      </c>
      <c r="L1677" s="444">
        <f t="shared" ca="1" si="114"/>
        <v>-351930570.10354608</v>
      </c>
      <c r="M1677" s="460">
        <f t="shared" si="116"/>
        <v>0.05</v>
      </c>
      <c r="N1677" s="464">
        <f t="shared" si="117"/>
        <v>102086</v>
      </c>
    </row>
    <row r="1678" spans="7:14" ht="11.25" customHeight="1" x14ac:dyDescent="0.3">
      <c r="G1678" s="459"/>
      <c r="H1678" s="459">
        <v>1671</v>
      </c>
      <c r="I1678" s="444">
        <f t="shared" ca="1" si="115"/>
        <v>-351930570.10354608</v>
      </c>
      <c r="J1678" s="444">
        <f t="array" ref="J1678">IFERROR(INDEX('Retirement Calculator'!K:K,MATCH('Lorri 401b'!N1678,'Retirement Calculator'!A:A,0),0),0)</f>
        <v>0</v>
      </c>
      <c r="K1678" s="444">
        <f t="shared" ca="1" si="113"/>
        <v>-1466377.3754314419</v>
      </c>
      <c r="L1678" s="444">
        <f t="shared" ca="1" si="114"/>
        <v>-353396947.4789775</v>
      </c>
      <c r="M1678" s="460">
        <f t="shared" si="116"/>
        <v>0.05</v>
      </c>
      <c r="N1678" s="464">
        <f t="shared" si="117"/>
        <v>102117</v>
      </c>
    </row>
    <row r="1679" spans="7:14" ht="11.25" customHeight="1" x14ac:dyDescent="0.3">
      <c r="G1679" s="459"/>
      <c r="H1679" s="459">
        <v>1672</v>
      </c>
      <c r="I1679" s="444">
        <f t="shared" ca="1" si="115"/>
        <v>-353396947.4789775</v>
      </c>
      <c r="J1679" s="444">
        <f t="array" ref="J1679">IFERROR(INDEX('Retirement Calculator'!K:K,MATCH('Lorri 401b'!N1679,'Retirement Calculator'!A:A,0),0),0)</f>
        <v>0</v>
      </c>
      <c r="K1679" s="444">
        <f t="shared" ca="1" si="113"/>
        <v>-1472487.2811624063</v>
      </c>
      <c r="L1679" s="444">
        <f t="shared" ca="1" si="114"/>
        <v>-354869434.76013988</v>
      </c>
      <c r="M1679" s="460">
        <f t="shared" si="116"/>
        <v>0.05</v>
      </c>
      <c r="N1679" s="464">
        <f t="shared" si="117"/>
        <v>102148</v>
      </c>
    </row>
    <row r="1680" spans="7:14" ht="11.25" customHeight="1" x14ac:dyDescent="0.3">
      <c r="G1680" s="459"/>
      <c r="H1680" s="459">
        <v>1673</v>
      </c>
      <c r="I1680" s="444">
        <f t="shared" ca="1" si="115"/>
        <v>-354869434.76013988</v>
      </c>
      <c r="J1680" s="444">
        <f t="array" ref="J1680">IFERROR(INDEX('Retirement Calculator'!K:K,MATCH('Lorri 401b'!N1680,'Retirement Calculator'!A:A,0),0),0)</f>
        <v>0</v>
      </c>
      <c r="K1680" s="444">
        <f t="shared" ca="1" si="113"/>
        <v>-1478622.6448339161</v>
      </c>
      <c r="L1680" s="444">
        <f t="shared" ca="1" si="114"/>
        <v>-356348057.4049738</v>
      </c>
      <c r="M1680" s="460">
        <f t="shared" si="116"/>
        <v>0.05</v>
      </c>
      <c r="N1680" s="464">
        <f t="shared" si="117"/>
        <v>102178</v>
      </c>
    </row>
    <row r="1681" spans="7:14" ht="11.25" customHeight="1" x14ac:dyDescent="0.3">
      <c r="G1681" s="459"/>
      <c r="H1681" s="459">
        <v>1674</v>
      </c>
      <c r="I1681" s="444">
        <f t="shared" ca="1" si="115"/>
        <v>-356348057.4049738</v>
      </c>
      <c r="J1681" s="444">
        <f t="array" ref="J1681">IFERROR(INDEX('Retirement Calculator'!K:K,MATCH('Lorri 401b'!N1681,'Retirement Calculator'!A:A,0),0),0)</f>
        <v>0</v>
      </c>
      <c r="K1681" s="444">
        <f t="shared" ca="1" si="113"/>
        <v>-1484783.5725207243</v>
      </c>
      <c r="L1681" s="444">
        <f t="shared" ca="1" si="114"/>
        <v>-357832840.97749454</v>
      </c>
      <c r="M1681" s="460">
        <f t="shared" si="116"/>
        <v>0.05</v>
      </c>
      <c r="N1681" s="464">
        <f t="shared" si="117"/>
        <v>102209</v>
      </c>
    </row>
    <row r="1682" spans="7:14" ht="11.25" customHeight="1" x14ac:dyDescent="0.3">
      <c r="G1682" s="459"/>
      <c r="H1682" s="459">
        <v>1675</v>
      </c>
      <c r="I1682" s="444">
        <f t="shared" ca="1" si="115"/>
        <v>-357832840.97749454</v>
      </c>
      <c r="J1682" s="444">
        <f t="array" ref="J1682">IFERROR(INDEX('Retirement Calculator'!K:K,MATCH('Lorri 401b'!N1682,'Retirement Calculator'!A:A,0),0),0)</f>
        <v>0</v>
      </c>
      <c r="K1682" s="444">
        <f t="shared" ca="1" si="113"/>
        <v>-1490970.1707395606</v>
      </c>
      <c r="L1682" s="444">
        <f t="shared" ca="1" si="114"/>
        <v>-359323811.14823407</v>
      </c>
      <c r="M1682" s="460">
        <f t="shared" si="116"/>
        <v>0.05</v>
      </c>
      <c r="N1682" s="464">
        <f t="shared" si="117"/>
        <v>102239</v>
      </c>
    </row>
    <row r="1683" spans="7:14" ht="11.25" customHeight="1" x14ac:dyDescent="0.3">
      <c r="G1683" s="459"/>
      <c r="H1683" s="459">
        <v>1676</v>
      </c>
      <c r="I1683" s="444">
        <f t="shared" ca="1" si="115"/>
        <v>-359323811.14823407</v>
      </c>
      <c r="J1683" s="444">
        <f t="array" ref="J1683">IFERROR(INDEX('Retirement Calculator'!K:K,MATCH('Lorri 401b'!N1683,'Retirement Calculator'!A:A,0),0),0)</f>
        <v>0</v>
      </c>
      <c r="K1683" s="444">
        <f t="shared" ca="1" si="113"/>
        <v>-1497182.5464509754</v>
      </c>
      <c r="L1683" s="444">
        <f t="shared" ca="1" si="114"/>
        <v>-360820993.69468504</v>
      </c>
      <c r="M1683" s="460">
        <f t="shared" si="116"/>
        <v>0.05</v>
      </c>
      <c r="N1683" s="464">
        <f t="shared" si="117"/>
        <v>102270</v>
      </c>
    </row>
    <row r="1684" spans="7:14" ht="11.25" customHeight="1" x14ac:dyDescent="0.3">
      <c r="G1684" s="459"/>
      <c r="H1684" s="459">
        <v>1677</v>
      </c>
      <c r="I1684" s="444">
        <f t="shared" ca="1" si="115"/>
        <v>-360820993.69468504</v>
      </c>
      <c r="J1684" s="444">
        <f t="array" ref="J1684">IFERROR(INDEX('Retirement Calculator'!K:K,MATCH('Lorri 401b'!N1684,'Retirement Calculator'!A:A,0),0),0)</f>
        <v>0</v>
      </c>
      <c r="K1684" s="444">
        <f t="shared" ca="1" si="113"/>
        <v>-1503420.8070611877</v>
      </c>
      <c r="L1684" s="444">
        <f t="shared" ca="1" si="114"/>
        <v>-362324414.50174624</v>
      </c>
      <c r="M1684" s="460">
        <f t="shared" si="116"/>
        <v>0.05</v>
      </c>
      <c r="N1684" s="464">
        <f t="shared" si="117"/>
        <v>102301</v>
      </c>
    </row>
    <row r="1685" spans="7:14" ht="11.25" customHeight="1" x14ac:dyDescent="0.3">
      <c r="G1685" s="459"/>
      <c r="H1685" s="459">
        <v>1678</v>
      </c>
      <c r="I1685" s="444">
        <f t="shared" ca="1" si="115"/>
        <v>-362324414.50174624</v>
      </c>
      <c r="J1685" s="444">
        <f t="array" ref="J1685">IFERROR(INDEX('Retirement Calculator'!K:K,MATCH('Lorri 401b'!N1685,'Retirement Calculator'!A:A,0),0),0)</f>
        <v>0</v>
      </c>
      <c r="K1685" s="444">
        <f t="shared" ca="1" si="113"/>
        <v>-1509685.0604239427</v>
      </c>
      <c r="L1685" s="444">
        <f t="shared" ca="1" si="114"/>
        <v>-363834099.56217021</v>
      </c>
      <c r="M1685" s="460">
        <f t="shared" si="116"/>
        <v>0.05</v>
      </c>
      <c r="N1685" s="464">
        <f t="shared" si="117"/>
        <v>102330</v>
      </c>
    </row>
    <row r="1686" spans="7:14" ht="11.25" customHeight="1" x14ac:dyDescent="0.3">
      <c r="G1686" s="459"/>
      <c r="H1686" s="459">
        <v>1679</v>
      </c>
      <c r="I1686" s="444">
        <f t="shared" ca="1" si="115"/>
        <v>-363834099.56217021</v>
      </c>
      <c r="J1686" s="444">
        <f t="array" ref="J1686">IFERROR(INDEX('Retirement Calculator'!K:K,MATCH('Lorri 401b'!N1686,'Retirement Calculator'!A:A,0),0),0)</f>
        <v>0</v>
      </c>
      <c r="K1686" s="444">
        <f t="shared" ca="1" si="113"/>
        <v>-1515975.4148423758</v>
      </c>
      <c r="L1686" s="444">
        <f t="shared" ca="1" si="114"/>
        <v>-365350074.97701257</v>
      </c>
      <c r="M1686" s="460">
        <f t="shared" si="116"/>
        <v>0.05</v>
      </c>
      <c r="N1686" s="464">
        <f t="shared" si="117"/>
        <v>102361</v>
      </c>
    </row>
    <row r="1687" spans="7:14" ht="11.25" customHeight="1" x14ac:dyDescent="0.3">
      <c r="G1687" s="459"/>
      <c r="H1687" s="459">
        <v>1680</v>
      </c>
      <c r="I1687" s="444">
        <f t="shared" ca="1" si="115"/>
        <v>-365350074.97701257</v>
      </c>
      <c r="J1687" s="444">
        <f t="array" ref="J1687">IFERROR(INDEX('Retirement Calculator'!K:K,MATCH('Lorri 401b'!N1687,'Retirement Calculator'!A:A,0),0),0)</f>
        <v>0</v>
      </c>
      <c r="K1687" s="444">
        <f t="shared" ca="1" si="113"/>
        <v>-1522291.9790708858</v>
      </c>
      <c r="L1687" s="444">
        <f t="shared" ca="1" si="114"/>
        <v>-366872366.95608348</v>
      </c>
      <c r="M1687" s="460">
        <f t="shared" si="116"/>
        <v>0.05</v>
      </c>
      <c r="N1687" s="464">
        <f t="shared" si="117"/>
        <v>102391</v>
      </c>
    </row>
    <row r="1688" spans="7:14" ht="11.25" customHeight="1" x14ac:dyDescent="0.3">
      <c r="G1688" s="459"/>
      <c r="H1688" s="459">
        <v>1681</v>
      </c>
      <c r="I1688" s="444">
        <f t="shared" ca="1" si="115"/>
        <v>-366872366.95608348</v>
      </c>
      <c r="J1688" s="444">
        <f t="array" ref="J1688">IFERROR(INDEX('Retirement Calculator'!K:K,MATCH('Lorri 401b'!N1688,'Retirement Calculator'!A:A,0),0),0)</f>
        <v>0</v>
      </c>
      <c r="K1688" s="444">
        <f t="shared" ca="1" si="113"/>
        <v>-1528634.8623170145</v>
      </c>
      <c r="L1688" s="444">
        <f t="shared" ca="1" si="114"/>
        <v>-368401001.8184005</v>
      </c>
      <c r="M1688" s="460">
        <f t="shared" si="116"/>
        <v>0.05</v>
      </c>
      <c r="N1688" s="464">
        <f t="shared" si="117"/>
        <v>102422</v>
      </c>
    </row>
    <row r="1689" spans="7:14" ht="11.25" customHeight="1" x14ac:dyDescent="0.3">
      <c r="G1689" s="459"/>
      <c r="H1689" s="459">
        <v>1682</v>
      </c>
      <c r="I1689" s="444">
        <f t="shared" ca="1" si="115"/>
        <v>-368401001.8184005</v>
      </c>
      <c r="J1689" s="444">
        <f t="array" ref="J1689">IFERROR(INDEX('Retirement Calculator'!K:K,MATCH('Lorri 401b'!N1689,'Retirement Calculator'!A:A,0),0),0)</f>
        <v>0</v>
      </c>
      <c r="K1689" s="444">
        <f t="shared" ca="1" si="113"/>
        <v>-1535004.1742433354</v>
      </c>
      <c r="L1689" s="444">
        <f t="shared" ca="1" si="114"/>
        <v>-369936005.99264383</v>
      </c>
      <c r="M1689" s="460">
        <f t="shared" si="116"/>
        <v>0.05</v>
      </c>
      <c r="N1689" s="464">
        <f t="shared" si="117"/>
        <v>102452</v>
      </c>
    </row>
    <row r="1690" spans="7:14" ht="11.25" customHeight="1" x14ac:dyDescent="0.3">
      <c r="G1690" s="459"/>
      <c r="H1690" s="459">
        <v>1683</v>
      </c>
      <c r="I1690" s="444">
        <f t="shared" ca="1" si="115"/>
        <v>-369936005.99264383</v>
      </c>
      <c r="J1690" s="444">
        <f t="array" ref="J1690">IFERROR(INDEX('Retirement Calculator'!K:K,MATCH('Lorri 401b'!N1690,'Retirement Calculator'!A:A,0),0),0)</f>
        <v>0</v>
      </c>
      <c r="K1690" s="444">
        <f t="shared" ca="1" si="113"/>
        <v>-1541400.0249693494</v>
      </c>
      <c r="L1690" s="444">
        <f t="shared" ca="1" si="114"/>
        <v>-371477406.01761317</v>
      </c>
      <c r="M1690" s="460">
        <f t="shared" si="116"/>
        <v>0.05</v>
      </c>
      <c r="N1690" s="464">
        <f t="shared" si="117"/>
        <v>102483</v>
      </c>
    </row>
    <row r="1691" spans="7:14" ht="11.25" customHeight="1" x14ac:dyDescent="0.3">
      <c r="G1691" s="459"/>
      <c r="H1691" s="459">
        <v>1684</v>
      </c>
      <c r="I1691" s="444">
        <f t="shared" ca="1" si="115"/>
        <v>-371477406.01761317</v>
      </c>
      <c r="J1691" s="444">
        <f t="array" ref="J1691">IFERROR(INDEX('Retirement Calculator'!K:K,MATCH('Lorri 401b'!N1691,'Retirement Calculator'!A:A,0),0),0)</f>
        <v>0</v>
      </c>
      <c r="K1691" s="444">
        <f t="shared" ca="1" si="113"/>
        <v>-1547822.5250733881</v>
      </c>
      <c r="L1691" s="444">
        <f t="shared" ca="1" si="114"/>
        <v>-373025228.54268658</v>
      </c>
      <c r="M1691" s="460">
        <f t="shared" si="116"/>
        <v>0.05</v>
      </c>
      <c r="N1691" s="464">
        <f t="shared" si="117"/>
        <v>102514</v>
      </c>
    </row>
    <row r="1692" spans="7:14" ht="11.25" customHeight="1" x14ac:dyDescent="0.3">
      <c r="G1692" s="459"/>
      <c r="H1692" s="459">
        <v>1685</v>
      </c>
      <c r="I1692" s="444">
        <f t="shared" ca="1" si="115"/>
        <v>-373025228.54268658</v>
      </c>
      <c r="J1692" s="444">
        <f t="array" ref="J1692">IFERROR(INDEX('Retirement Calculator'!K:K,MATCH('Lorri 401b'!N1692,'Retirement Calculator'!A:A,0),0),0)</f>
        <v>0</v>
      </c>
      <c r="K1692" s="444">
        <f t="shared" ca="1" si="113"/>
        <v>-1554271.7855945274</v>
      </c>
      <c r="L1692" s="444">
        <f t="shared" ca="1" si="114"/>
        <v>-374579500.3282811</v>
      </c>
      <c r="M1692" s="460">
        <f t="shared" si="116"/>
        <v>0.05</v>
      </c>
      <c r="N1692" s="464">
        <f t="shared" si="117"/>
        <v>102544</v>
      </c>
    </row>
    <row r="1693" spans="7:14" ht="11.25" customHeight="1" x14ac:dyDescent="0.3">
      <c r="G1693" s="459"/>
      <c r="H1693" s="459">
        <v>1686</v>
      </c>
      <c r="I1693" s="444">
        <f t="shared" ca="1" si="115"/>
        <v>-374579500.3282811</v>
      </c>
      <c r="J1693" s="444">
        <f t="array" ref="J1693">IFERROR(INDEX('Retirement Calculator'!K:K,MATCH('Lorri 401b'!N1693,'Retirement Calculator'!A:A,0),0),0)</f>
        <v>0</v>
      </c>
      <c r="K1693" s="444">
        <f t="shared" ca="1" si="113"/>
        <v>-1560747.9180345046</v>
      </c>
      <c r="L1693" s="444">
        <f t="shared" ca="1" si="114"/>
        <v>-376140248.2463156</v>
      </c>
      <c r="M1693" s="460">
        <f t="shared" si="116"/>
        <v>0.05</v>
      </c>
      <c r="N1693" s="464">
        <f t="shared" si="117"/>
        <v>102575</v>
      </c>
    </row>
    <row r="1694" spans="7:14" ht="11.25" customHeight="1" x14ac:dyDescent="0.3">
      <c r="G1694" s="459"/>
      <c r="H1694" s="459">
        <v>1687</v>
      </c>
      <c r="I1694" s="444">
        <f t="shared" ca="1" si="115"/>
        <v>-376140248.2463156</v>
      </c>
      <c r="J1694" s="444">
        <f t="array" ref="J1694">IFERROR(INDEX('Retirement Calculator'!K:K,MATCH('Lorri 401b'!N1694,'Retirement Calculator'!A:A,0),0),0)</f>
        <v>0</v>
      </c>
      <c r="K1694" s="444">
        <f t="shared" ca="1" si="113"/>
        <v>-1567251.0343596484</v>
      </c>
      <c r="L1694" s="444">
        <f t="shared" ca="1" si="114"/>
        <v>-377707499.28067523</v>
      </c>
      <c r="M1694" s="460">
        <f t="shared" si="116"/>
        <v>0.05</v>
      </c>
      <c r="N1694" s="464">
        <f t="shared" si="117"/>
        <v>102605</v>
      </c>
    </row>
    <row r="1695" spans="7:14" ht="11.25" customHeight="1" x14ac:dyDescent="0.3">
      <c r="G1695" s="459"/>
      <c r="H1695" s="459">
        <v>1688</v>
      </c>
      <c r="I1695" s="444">
        <f t="shared" ca="1" si="115"/>
        <v>-377707499.28067523</v>
      </c>
      <c r="J1695" s="444">
        <f t="array" ref="J1695">IFERROR(INDEX('Retirement Calculator'!K:K,MATCH('Lorri 401b'!N1695,'Retirement Calculator'!A:A,0),0),0)</f>
        <v>0</v>
      </c>
      <c r="K1695" s="444">
        <f t="shared" ca="1" si="113"/>
        <v>-1573781.2470028135</v>
      </c>
      <c r="L1695" s="444">
        <f t="shared" ca="1" si="114"/>
        <v>-379281280.52767807</v>
      </c>
      <c r="M1695" s="460">
        <f t="shared" si="116"/>
        <v>0.05</v>
      </c>
      <c r="N1695" s="464">
        <f t="shared" si="117"/>
        <v>102636</v>
      </c>
    </row>
    <row r="1696" spans="7:14" ht="11.25" customHeight="1" x14ac:dyDescent="0.3">
      <c r="G1696" s="459"/>
      <c r="H1696" s="459">
        <v>1689</v>
      </c>
      <c r="I1696" s="444">
        <f t="shared" ca="1" si="115"/>
        <v>-379281280.52767807</v>
      </c>
      <c r="J1696" s="444">
        <f t="array" ref="J1696">IFERROR(INDEX('Retirement Calculator'!K:K,MATCH('Lorri 401b'!N1696,'Retirement Calculator'!A:A,0),0),0)</f>
        <v>0</v>
      </c>
      <c r="K1696" s="444">
        <f t="shared" ca="1" si="113"/>
        <v>-1580338.6688653254</v>
      </c>
      <c r="L1696" s="444">
        <f t="shared" ca="1" si="114"/>
        <v>-380861619.1965434</v>
      </c>
      <c r="M1696" s="460">
        <f t="shared" si="116"/>
        <v>0.05</v>
      </c>
      <c r="N1696" s="464">
        <f t="shared" si="117"/>
        <v>102667</v>
      </c>
    </row>
    <row r="1697" spans="7:14" ht="11.25" customHeight="1" x14ac:dyDescent="0.3">
      <c r="G1697" s="459"/>
      <c r="H1697" s="459">
        <v>1690</v>
      </c>
      <c r="I1697" s="444">
        <f t="shared" ca="1" si="115"/>
        <v>-380861619.1965434</v>
      </c>
      <c r="J1697" s="444">
        <f t="array" ref="J1697">IFERROR(INDEX('Retirement Calculator'!K:K,MATCH('Lorri 401b'!N1697,'Retirement Calculator'!A:A,0),0),0)</f>
        <v>0</v>
      </c>
      <c r="K1697" s="444">
        <f t="shared" ca="1" si="113"/>
        <v>-1586923.4133189309</v>
      </c>
      <c r="L1697" s="444">
        <f t="shared" ca="1" si="114"/>
        <v>-382448542.60986233</v>
      </c>
      <c r="M1697" s="460">
        <f t="shared" si="116"/>
        <v>0.05</v>
      </c>
      <c r="N1697" s="464">
        <f t="shared" si="117"/>
        <v>102695</v>
      </c>
    </row>
    <row r="1698" spans="7:14" ht="11.25" customHeight="1" x14ac:dyDescent="0.3">
      <c r="G1698" s="459"/>
      <c r="H1698" s="459">
        <v>1691</v>
      </c>
      <c r="I1698" s="444">
        <f t="shared" ca="1" si="115"/>
        <v>-382448542.60986233</v>
      </c>
      <c r="J1698" s="444">
        <f t="array" ref="J1698">IFERROR(INDEX('Retirement Calculator'!K:K,MATCH('Lorri 401b'!N1698,'Retirement Calculator'!A:A,0),0),0)</f>
        <v>0</v>
      </c>
      <c r="K1698" s="444">
        <f t="shared" ca="1" si="113"/>
        <v>-1593535.5942077597</v>
      </c>
      <c r="L1698" s="444">
        <f t="shared" ca="1" si="114"/>
        <v>-384042078.20407009</v>
      </c>
      <c r="M1698" s="460">
        <f t="shared" si="116"/>
        <v>0.05</v>
      </c>
      <c r="N1698" s="464">
        <f t="shared" si="117"/>
        <v>102726</v>
      </c>
    </row>
    <row r="1699" spans="7:14" ht="11.25" customHeight="1" x14ac:dyDescent="0.3">
      <c r="G1699" s="459"/>
      <c r="H1699" s="459">
        <v>1692</v>
      </c>
      <c r="I1699" s="444">
        <f t="shared" ca="1" si="115"/>
        <v>-384042078.20407009</v>
      </c>
      <c r="J1699" s="444">
        <f t="array" ref="J1699">IFERROR(INDEX('Retirement Calculator'!K:K,MATCH('Lorri 401b'!N1699,'Retirement Calculator'!A:A,0),0),0)</f>
        <v>0</v>
      </c>
      <c r="K1699" s="444">
        <f t="shared" ca="1" si="113"/>
        <v>-1600175.3258502921</v>
      </c>
      <c r="L1699" s="444">
        <f t="shared" ca="1" si="114"/>
        <v>-385642253.5299204</v>
      </c>
      <c r="M1699" s="460">
        <f t="shared" si="116"/>
        <v>0.05</v>
      </c>
      <c r="N1699" s="464">
        <f t="shared" si="117"/>
        <v>102756</v>
      </c>
    </row>
    <row r="1700" spans="7:14" ht="11.25" customHeight="1" x14ac:dyDescent="0.3">
      <c r="G1700" s="459"/>
      <c r="H1700" s="459">
        <v>1693</v>
      </c>
      <c r="I1700" s="444">
        <f t="shared" ca="1" si="115"/>
        <v>-385642253.5299204</v>
      </c>
      <c r="J1700" s="444">
        <f t="array" ref="J1700">IFERROR(INDEX('Retirement Calculator'!K:K,MATCH('Lorri 401b'!N1700,'Retirement Calculator'!A:A,0),0),0)</f>
        <v>0</v>
      </c>
      <c r="K1700" s="444">
        <f t="shared" ca="1" si="113"/>
        <v>-1606842.7230413349</v>
      </c>
      <c r="L1700" s="444">
        <f t="shared" ca="1" si="114"/>
        <v>-387249096.25296175</v>
      </c>
      <c r="M1700" s="460">
        <f t="shared" si="116"/>
        <v>0.05</v>
      </c>
      <c r="N1700" s="464">
        <f t="shared" si="117"/>
        <v>102787</v>
      </c>
    </row>
    <row r="1701" spans="7:14" ht="11.25" customHeight="1" x14ac:dyDescent="0.3">
      <c r="G1701" s="459"/>
      <c r="H1701" s="459">
        <v>1694</v>
      </c>
      <c r="I1701" s="444">
        <f t="shared" ca="1" si="115"/>
        <v>-387249096.25296175</v>
      </c>
      <c r="J1701" s="444">
        <f t="array" ref="J1701">IFERROR(INDEX('Retirement Calculator'!K:K,MATCH('Lorri 401b'!N1701,'Retirement Calculator'!A:A,0),0),0)</f>
        <v>0</v>
      </c>
      <c r="K1701" s="444">
        <f t="shared" ca="1" si="113"/>
        <v>-1613537.9010540072</v>
      </c>
      <c r="L1701" s="444">
        <f t="shared" ca="1" si="114"/>
        <v>-388862634.15401578</v>
      </c>
      <c r="M1701" s="460">
        <f t="shared" si="116"/>
        <v>0.05</v>
      </c>
      <c r="N1701" s="464">
        <f t="shared" si="117"/>
        <v>102817</v>
      </c>
    </row>
    <row r="1702" spans="7:14" ht="11.25" customHeight="1" x14ac:dyDescent="0.3">
      <c r="G1702" s="459"/>
      <c r="H1702" s="459">
        <v>1695</v>
      </c>
      <c r="I1702" s="444">
        <f t="shared" ca="1" si="115"/>
        <v>-388862634.15401578</v>
      </c>
      <c r="J1702" s="444">
        <f t="array" ref="J1702">IFERROR(INDEX('Retirement Calculator'!K:K,MATCH('Lorri 401b'!N1702,'Retirement Calculator'!A:A,0),0),0)</f>
        <v>0</v>
      </c>
      <c r="K1702" s="444">
        <f t="shared" ca="1" si="113"/>
        <v>-1620260.9756417323</v>
      </c>
      <c r="L1702" s="444">
        <f t="shared" ca="1" si="114"/>
        <v>-390482895.12965751</v>
      </c>
      <c r="M1702" s="460">
        <f t="shared" si="116"/>
        <v>0.05</v>
      </c>
      <c r="N1702" s="464">
        <f t="shared" si="117"/>
        <v>102848</v>
      </c>
    </row>
    <row r="1703" spans="7:14" ht="11.25" customHeight="1" x14ac:dyDescent="0.3">
      <c r="G1703" s="459"/>
      <c r="H1703" s="459">
        <v>1696</v>
      </c>
      <c r="I1703" s="444">
        <f t="shared" ca="1" si="115"/>
        <v>-390482895.12965751</v>
      </c>
      <c r="J1703" s="444">
        <f t="array" ref="J1703">IFERROR(INDEX('Retirement Calculator'!K:K,MATCH('Lorri 401b'!N1703,'Retirement Calculator'!A:A,0),0),0)</f>
        <v>0</v>
      </c>
      <c r="K1703" s="444">
        <f t="shared" ca="1" si="113"/>
        <v>-1627012.0630402395</v>
      </c>
      <c r="L1703" s="444">
        <f t="shared" ca="1" si="114"/>
        <v>-392109907.19269776</v>
      </c>
      <c r="M1703" s="460">
        <f t="shared" si="116"/>
        <v>0.05</v>
      </c>
      <c r="N1703" s="464">
        <f t="shared" si="117"/>
        <v>102879</v>
      </c>
    </row>
    <row r="1704" spans="7:14" ht="11.25" customHeight="1" x14ac:dyDescent="0.3">
      <c r="G1704" s="459"/>
      <c r="H1704" s="459">
        <v>1697</v>
      </c>
      <c r="I1704" s="444">
        <f t="shared" ca="1" si="115"/>
        <v>-392109907.19269776</v>
      </c>
      <c r="J1704" s="444">
        <f t="array" ref="J1704">IFERROR(INDEX('Retirement Calculator'!K:K,MATCH('Lorri 401b'!N1704,'Retirement Calculator'!A:A,0),0),0)</f>
        <v>0</v>
      </c>
      <c r="K1704" s="444">
        <f t="shared" ca="1" si="113"/>
        <v>-1633791.279969574</v>
      </c>
      <c r="L1704" s="444">
        <f t="shared" ca="1" si="114"/>
        <v>-393743698.47266734</v>
      </c>
      <c r="M1704" s="460">
        <f t="shared" si="116"/>
        <v>0.05</v>
      </c>
      <c r="N1704" s="464">
        <f t="shared" si="117"/>
        <v>102909</v>
      </c>
    </row>
    <row r="1705" spans="7:14" ht="11.25" customHeight="1" x14ac:dyDescent="0.3">
      <c r="G1705" s="459"/>
      <c r="H1705" s="459">
        <v>1698</v>
      </c>
      <c r="I1705" s="444">
        <f t="shared" ca="1" si="115"/>
        <v>-393743698.47266734</v>
      </c>
      <c r="J1705" s="444">
        <f t="array" ref="J1705">IFERROR(INDEX('Retirement Calculator'!K:K,MATCH('Lorri 401b'!N1705,'Retirement Calculator'!A:A,0),0),0)</f>
        <v>0</v>
      </c>
      <c r="K1705" s="444">
        <f t="shared" ca="1" si="113"/>
        <v>-1640598.7436361138</v>
      </c>
      <c r="L1705" s="444">
        <f t="shared" ca="1" si="114"/>
        <v>-395384297.21630347</v>
      </c>
      <c r="M1705" s="460">
        <f t="shared" si="116"/>
        <v>0.05</v>
      </c>
      <c r="N1705" s="464">
        <f t="shared" si="117"/>
        <v>102940</v>
      </c>
    </row>
    <row r="1706" spans="7:14" ht="11.25" customHeight="1" x14ac:dyDescent="0.3">
      <c r="G1706" s="459"/>
      <c r="H1706" s="459">
        <v>1699</v>
      </c>
      <c r="I1706" s="444">
        <f t="shared" ca="1" si="115"/>
        <v>-395384297.21630347</v>
      </c>
      <c r="J1706" s="444">
        <f t="array" ref="J1706">IFERROR(INDEX('Retirement Calculator'!K:K,MATCH('Lorri 401b'!N1706,'Retirement Calculator'!A:A,0),0),0)</f>
        <v>0</v>
      </c>
      <c r="K1706" s="444">
        <f t="shared" ca="1" si="113"/>
        <v>-1647434.5717345977</v>
      </c>
      <c r="L1706" s="444">
        <f t="shared" ca="1" si="114"/>
        <v>-397031731.78803807</v>
      </c>
      <c r="M1706" s="460">
        <f t="shared" si="116"/>
        <v>0.05</v>
      </c>
      <c r="N1706" s="464">
        <f t="shared" si="117"/>
        <v>102970</v>
      </c>
    </row>
    <row r="1707" spans="7:14" ht="11.25" customHeight="1" x14ac:dyDescent="0.3">
      <c r="G1707" s="459"/>
      <c r="H1707" s="459">
        <v>1700</v>
      </c>
      <c r="I1707" s="444">
        <f t="shared" ca="1" si="115"/>
        <v>-397031731.78803807</v>
      </c>
      <c r="J1707" s="444">
        <f t="array" ref="J1707">IFERROR(INDEX('Retirement Calculator'!K:K,MATCH('Lorri 401b'!N1707,'Retirement Calculator'!A:A,0),0),0)</f>
        <v>0</v>
      </c>
      <c r="K1707" s="444">
        <f t="shared" ca="1" si="113"/>
        <v>-1654298.8824501587</v>
      </c>
      <c r="L1707" s="444">
        <f t="shared" ca="1" si="114"/>
        <v>-398686030.67048824</v>
      </c>
      <c r="M1707" s="460">
        <f t="shared" si="116"/>
        <v>0.05</v>
      </c>
      <c r="N1707" s="464">
        <f t="shared" si="117"/>
        <v>103001</v>
      </c>
    </row>
    <row r="1708" spans="7:14" ht="11.25" customHeight="1" x14ac:dyDescent="0.3">
      <c r="G1708" s="459"/>
      <c r="H1708" s="459">
        <v>1701</v>
      </c>
      <c r="I1708" s="444">
        <f t="shared" ca="1" si="115"/>
        <v>-398686030.67048824</v>
      </c>
      <c r="J1708" s="444">
        <f t="array" ref="J1708">IFERROR(INDEX('Retirement Calculator'!K:K,MATCH('Lorri 401b'!N1708,'Retirement Calculator'!A:A,0),0),0)</f>
        <v>0</v>
      </c>
      <c r="K1708" s="444">
        <f t="shared" ca="1" si="113"/>
        <v>-1661191.7944603676</v>
      </c>
      <c r="L1708" s="444">
        <f t="shared" ca="1" si="114"/>
        <v>-400347222.46494859</v>
      </c>
      <c r="M1708" s="460">
        <f t="shared" si="116"/>
        <v>0.05</v>
      </c>
      <c r="N1708" s="464">
        <f t="shared" si="117"/>
        <v>103032</v>
      </c>
    </row>
    <row r="1709" spans="7:14" ht="11.25" customHeight="1" x14ac:dyDescent="0.3">
      <c r="G1709" s="459"/>
      <c r="H1709" s="459">
        <v>1702</v>
      </c>
      <c r="I1709" s="444">
        <f t="shared" ca="1" si="115"/>
        <v>-400347222.46494859</v>
      </c>
      <c r="J1709" s="444">
        <f t="array" ref="J1709">IFERROR(INDEX('Retirement Calculator'!K:K,MATCH('Lorri 401b'!N1709,'Retirement Calculator'!A:A,0),0),0)</f>
        <v>0</v>
      </c>
      <c r="K1709" s="444">
        <f t="shared" ca="1" si="113"/>
        <v>-1668113.4269372858</v>
      </c>
      <c r="L1709" s="444">
        <f t="shared" ca="1" si="114"/>
        <v>-402015335.89188588</v>
      </c>
      <c r="M1709" s="460">
        <f t="shared" si="116"/>
        <v>0.05</v>
      </c>
      <c r="N1709" s="464">
        <f t="shared" si="117"/>
        <v>103060</v>
      </c>
    </row>
    <row r="1710" spans="7:14" ht="11.25" customHeight="1" x14ac:dyDescent="0.3">
      <c r="G1710" s="459"/>
      <c r="H1710" s="459">
        <v>1703</v>
      </c>
      <c r="I1710" s="444">
        <f t="shared" ca="1" si="115"/>
        <v>-402015335.89188588</v>
      </c>
      <c r="J1710" s="444">
        <f t="array" ref="J1710">IFERROR(INDEX('Retirement Calculator'!K:K,MATCH('Lorri 401b'!N1710,'Retirement Calculator'!A:A,0),0),0)</f>
        <v>0</v>
      </c>
      <c r="K1710" s="444">
        <f t="shared" ca="1" si="113"/>
        <v>-1675063.8995495245</v>
      </c>
      <c r="L1710" s="444">
        <f t="shared" ca="1" si="114"/>
        <v>-403690399.79143542</v>
      </c>
      <c r="M1710" s="460">
        <f t="shared" si="116"/>
        <v>0.05</v>
      </c>
      <c r="N1710" s="464">
        <f t="shared" si="117"/>
        <v>103091</v>
      </c>
    </row>
    <row r="1711" spans="7:14" ht="11.25" customHeight="1" x14ac:dyDescent="0.3">
      <c r="G1711" s="459"/>
      <c r="H1711" s="459">
        <v>1704</v>
      </c>
      <c r="I1711" s="444">
        <f t="shared" ca="1" si="115"/>
        <v>-403690399.79143542</v>
      </c>
      <c r="J1711" s="444">
        <f t="array" ref="J1711">IFERROR(INDEX('Retirement Calculator'!K:K,MATCH('Lorri 401b'!N1711,'Retirement Calculator'!A:A,0),0),0)</f>
        <v>0</v>
      </c>
      <c r="K1711" s="444">
        <f t="shared" ca="1" si="113"/>
        <v>-1682043.3324643143</v>
      </c>
      <c r="L1711" s="444">
        <f t="shared" ca="1" si="114"/>
        <v>-405372443.12389976</v>
      </c>
      <c r="M1711" s="460">
        <f t="shared" si="116"/>
        <v>0.05</v>
      </c>
      <c r="N1711" s="464">
        <f t="shared" si="117"/>
        <v>103121</v>
      </c>
    </row>
    <row r="1712" spans="7:14" ht="11.25" customHeight="1" x14ac:dyDescent="0.3">
      <c r="G1712" s="459"/>
      <c r="H1712" s="459">
        <v>1705</v>
      </c>
      <c r="I1712" s="444">
        <f t="shared" ca="1" si="115"/>
        <v>-405372443.12389976</v>
      </c>
      <c r="J1712" s="444">
        <f t="array" ref="J1712">IFERROR(INDEX('Retirement Calculator'!K:K,MATCH('Lorri 401b'!N1712,'Retirement Calculator'!A:A,0),0),0)</f>
        <v>0</v>
      </c>
      <c r="K1712" s="444">
        <f t="shared" ca="1" si="113"/>
        <v>-1689051.8463495823</v>
      </c>
      <c r="L1712" s="444">
        <f t="shared" ca="1" si="114"/>
        <v>-407061494.97024935</v>
      </c>
      <c r="M1712" s="460">
        <f t="shared" si="116"/>
        <v>0.05</v>
      </c>
      <c r="N1712" s="464">
        <f t="shared" si="117"/>
        <v>103152</v>
      </c>
    </row>
    <row r="1713" spans="7:14" ht="11.25" customHeight="1" x14ac:dyDescent="0.3">
      <c r="G1713" s="459"/>
      <c r="H1713" s="459">
        <v>1706</v>
      </c>
      <c r="I1713" s="444">
        <f t="shared" ca="1" si="115"/>
        <v>-407061494.97024935</v>
      </c>
      <c r="J1713" s="444">
        <f t="array" ref="J1713">IFERROR(INDEX('Retirement Calculator'!K:K,MATCH('Lorri 401b'!N1713,'Retirement Calculator'!A:A,0),0),0)</f>
        <v>0</v>
      </c>
      <c r="K1713" s="444">
        <f t="shared" ca="1" si="113"/>
        <v>-1696089.5623760389</v>
      </c>
      <c r="L1713" s="444">
        <f t="shared" ca="1" si="114"/>
        <v>-408757584.53262538</v>
      </c>
      <c r="M1713" s="460">
        <f t="shared" si="116"/>
        <v>0.05</v>
      </c>
      <c r="N1713" s="464">
        <f t="shared" si="117"/>
        <v>103182</v>
      </c>
    </row>
    <row r="1714" spans="7:14" ht="11.25" customHeight="1" x14ac:dyDescent="0.3">
      <c r="G1714" s="459"/>
      <c r="H1714" s="459">
        <v>1707</v>
      </c>
      <c r="I1714" s="444">
        <f t="shared" ca="1" si="115"/>
        <v>-408757584.53262538</v>
      </c>
      <c r="J1714" s="444">
        <f t="array" ref="J1714">IFERROR(INDEX('Retirement Calculator'!K:K,MATCH('Lorri 401b'!N1714,'Retirement Calculator'!A:A,0),0),0)</f>
        <v>0</v>
      </c>
      <c r="K1714" s="444">
        <f t="shared" ca="1" si="113"/>
        <v>-1703156.6022192724</v>
      </c>
      <c r="L1714" s="444">
        <f t="shared" ca="1" si="114"/>
        <v>-410460741.13484466</v>
      </c>
      <c r="M1714" s="460">
        <f t="shared" si="116"/>
        <v>0.05</v>
      </c>
      <c r="N1714" s="464">
        <f t="shared" si="117"/>
        <v>103213</v>
      </c>
    </row>
    <row r="1715" spans="7:14" ht="11.25" customHeight="1" x14ac:dyDescent="0.3">
      <c r="G1715" s="459"/>
      <c r="H1715" s="459">
        <v>1708</v>
      </c>
      <c r="I1715" s="444">
        <f t="shared" ca="1" si="115"/>
        <v>-410460741.13484466</v>
      </c>
      <c r="J1715" s="444">
        <f t="array" ref="J1715">IFERROR(INDEX('Retirement Calculator'!K:K,MATCH('Lorri 401b'!N1715,'Retirement Calculator'!A:A,0),0),0)</f>
        <v>0</v>
      </c>
      <c r="K1715" s="444">
        <f t="shared" ca="1" si="113"/>
        <v>-1710253.0880618526</v>
      </c>
      <c r="L1715" s="444">
        <f t="shared" ca="1" si="114"/>
        <v>-412170994.22290653</v>
      </c>
      <c r="M1715" s="460">
        <f t="shared" si="116"/>
        <v>0.05</v>
      </c>
      <c r="N1715" s="464">
        <f t="shared" si="117"/>
        <v>103244</v>
      </c>
    </row>
    <row r="1716" spans="7:14" ht="11.25" customHeight="1" x14ac:dyDescent="0.3">
      <c r="G1716" s="459"/>
      <c r="H1716" s="459">
        <v>1709</v>
      </c>
      <c r="I1716" s="444">
        <f t="shared" ca="1" si="115"/>
        <v>-412170994.22290653</v>
      </c>
      <c r="J1716" s="444">
        <f t="array" ref="J1716">IFERROR(INDEX('Retirement Calculator'!K:K,MATCH('Lorri 401b'!N1716,'Retirement Calculator'!A:A,0),0),0)</f>
        <v>0</v>
      </c>
      <c r="K1716" s="444">
        <f t="shared" ca="1" si="113"/>
        <v>-1717379.1425954439</v>
      </c>
      <c r="L1716" s="444">
        <f t="shared" ca="1" si="114"/>
        <v>-413888373.365502</v>
      </c>
      <c r="M1716" s="460">
        <f t="shared" si="116"/>
        <v>0.05</v>
      </c>
      <c r="N1716" s="464">
        <f t="shared" si="117"/>
        <v>103274</v>
      </c>
    </row>
    <row r="1717" spans="7:14" ht="11.25" customHeight="1" x14ac:dyDescent="0.3">
      <c r="G1717" s="459"/>
      <c r="H1717" s="459">
        <v>1710</v>
      </c>
      <c r="I1717" s="444">
        <f t="shared" ca="1" si="115"/>
        <v>-413888373.365502</v>
      </c>
      <c r="J1717" s="444">
        <f t="array" ref="J1717">IFERROR(INDEX('Retirement Calculator'!K:K,MATCH('Lorri 401b'!N1717,'Retirement Calculator'!A:A,0),0),0)</f>
        <v>0</v>
      </c>
      <c r="K1717" s="444">
        <f t="shared" ca="1" si="113"/>
        <v>-1724534.8890229249</v>
      </c>
      <c r="L1717" s="444">
        <f t="shared" ca="1" si="114"/>
        <v>-415612908.25452495</v>
      </c>
      <c r="M1717" s="460">
        <f t="shared" si="116"/>
        <v>0.05</v>
      </c>
      <c r="N1717" s="464">
        <f t="shared" si="117"/>
        <v>103305</v>
      </c>
    </row>
    <row r="1718" spans="7:14" ht="11.25" customHeight="1" x14ac:dyDescent="0.3">
      <c r="G1718" s="459"/>
      <c r="H1718" s="459">
        <v>1711</v>
      </c>
      <c r="I1718" s="444">
        <f t="shared" ca="1" si="115"/>
        <v>-415612908.25452495</v>
      </c>
      <c r="J1718" s="444">
        <f t="array" ref="J1718">IFERROR(INDEX('Retirement Calculator'!K:K,MATCH('Lorri 401b'!N1718,'Retirement Calculator'!A:A,0),0),0)</f>
        <v>0</v>
      </c>
      <c r="K1718" s="444">
        <f t="shared" ca="1" si="113"/>
        <v>-1731720.4510605205</v>
      </c>
      <c r="L1718" s="444">
        <f t="shared" ca="1" si="114"/>
        <v>-417344628.70558548</v>
      </c>
      <c r="M1718" s="460">
        <f t="shared" si="116"/>
        <v>0.05</v>
      </c>
      <c r="N1718" s="464">
        <f t="shared" si="117"/>
        <v>103335</v>
      </c>
    </row>
    <row r="1719" spans="7:14" ht="11.25" customHeight="1" x14ac:dyDescent="0.3">
      <c r="G1719" s="459"/>
      <c r="H1719" s="459">
        <v>1712</v>
      </c>
      <c r="I1719" s="444">
        <f t="shared" ca="1" si="115"/>
        <v>-417344628.70558548</v>
      </c>
      <c r="J1719" s="444">
        <f t="array" ref="J1719">IFERROR(INDEX('Retirement Calculator'!K:K,MATCH('Lorri 401b'!N1719,'Retirement Calculator'!A:A,0),0),0)</f>
        <v>0</v>
      </c>
      <c r="K1719" s="444">
        <f t="shared" ca="1" si="113"/>
        <v>-1738935.9529399395</v>
      </c>
      <c r="L1719" s="444">
        <f t="shared" ca="1" si="114"/>
        <v>-419083564.65852541</v>
      </c>
      <c r="M1719" s="460">
        <f t="shared" si="116"/>
        <v>0.05</v>
      </c>
      <c r="N1719" s="464">
        <f t="shared" si="117"/>
        <v>103366</v>
      </c>
    </row>
    <row r="1720" spans="7:14" ht="11.25" customHeight="1" x14ac:dyDescent="0.3">
      <c r="G1720" s="459"/>
      <c r="H1720" s="459">
        <v>1713</v>
      </c>
      <c r="I1720" s="444">
        <f t="shared" ca="1" si="115"/>
        <v>-419083564.65852541</v>
      </c>
      <c r="J1720" s="444">
        <f t="array" ref="J1720">IFERROR(INDEX('Retirement Calculator'!K:K,MATCH('Lorri 401b'!N1720,'Retirement Calculator'!A:A,0),0),0)</f>
        <v>0</v>
      </c>
      <c r="K1720" s="444">
        <f t="shared" ca="1" si="113"/>
        <v>-1746181.5194105224</v>
      </c>
      <c r="L1720" s="444">
        <f t="shared" ca="1" si="114"/>
        <v>-420829746.17793596</v>
      </c>
      <c r="M1720" s="460">
        <f t="shared" si="116"/>
        <v>0.05</v>
      </c>
      <c r="N1720" s="464">
        <f t="shared" si="117"/>
        <v>103397</v>
      </c>
    </row>
    <row r="1721" spans="7:14" ht="11.25" customHeight="1" x14ac:dyDescent="0.3">
      <c r="G1721" s="459"/>
      <c r="H1721" s="459">
        <v>1714</v>
      </c>
      <c r="I1721" s="444">
        <f t="shared" ca="1" si="115"/>
        <v>-420829746.17793596</v>
      </c>
      <c r="J1721" s="444">
        <f t="array" ref="J1721">IFERROR(INDEX('Retirement Calculator'!K:K,MATCH('Lorri 401b'!N1721,'Retirement Calculator'!A:A,0),0),0)</f>
        <v>0</v>
      </c>
      <c r="K1721" s="444">
        <f t="shared" ca="1" si="113"/>
        <v>-1753457.2757414</v>
      </c>
      <c r="L1721" s="444">
        <f t="shared" ca="1" si="114"/>
        <v>-422583203.45367736</v>
      </c>
      <c r="M1721" s="460">
        <f t="shared" si="116"/>
        <v>0.05</v>
      </c>
      <c r="N1721" s="464">
        <f t="shared" si="117"/>
        <v>103425</v>
      </c>
    </row>
    <row r="1722" spans="7:14" ht="11.25" customHeight="1" x14ac:dyDescent="0.3">
      <c r="G1722" s="459"/>
      <c r="H1722" s="459">
        <v>1715</v>
      </c>
      <c r="I1722" s="444">
        <f t="shared" ca="1" si="115"/>
        <v>-422583203.45367736</v>
      </c>
      <c r="J1722" s="444">
        <f t="array" ref="J1722">IFERROR(INDEX('Retirement Calculator'!K:K,MATCH('Lorri 401b'!N1722,'Retirement Calculator'!A:A,0),0),0)</f>
        <v>0</v>
      </c>
      <c r="K1722" s="444">
        <f t="shared" ca="1" si="113"/>
        <v>-1760763.3477236556</v>
      </c>
      <c r="L1722" s="444">
        <f t="shared" ca="1" si="114"/>
        <v>-424343966.80140102</v>
      </c>
      <c r="M1722" s="460">
        <f t="shared" si="116"/>
        <v>0.05</v>
      </c>
      <c r="N1722" s="464">
        <f t="shared" si="117"/>
        <v>103456</v>
      </c>
    </row>
    <row r="1723" spans="7:14" ht="11.25" customHeight="1" x14ac:dyDescent="0.3">
      <c r="G1723" s="459"/>
      <c r="H1723" s="459">
        <v>1716</v>
      </c>
      <c r="I1723" s="444">
        <f t="shared" ca="1" si="115"/>
        <v>-424343966.80140102</v>
      </c>
      <c r="J1723" s="444">
        <f t="array" ref="J1723">IFERROR(INDEX('Retirement Calculator'!K:K,MATCH('Lorri 401b'!N1723,'Retirement Calculator'!A:A,0),0),0)</f>
        <v>0</v>
      </c>
      <c r="K1723" s="444">
        <f t="shared" ca="1" si="113"/>
        <v>-1768099.8616725041</v>
      </c>
      <c r="L1723" s="444">
        <f t="shared" ca="1" si="114"/>
        <v>-426112066.66307354</v>
      </c>
      <c r="M1723" s="460">
        <f t="shared" si="116"/>
        <v>0.05</v>
      </c>
      <c r="N1723" s="464">
        <f t="shared" si="117"/>
        <v>103486</v>
      </c>
    </row>
    <row r="1724" spans="7:14" ht="11.25" customHeight="1" x14ac:dyDescent="0.3">
      <c r="G1724" s="459"/>
      <c r="H1724" s="459">
        <v>1717</v>
      </c>
      <c r="I1724" s="444">
        <f t="shared" ca="1" si="115"/>
        <v>-426112066.66307354</v>
      </c>
      <c r="J1724" s="444">
        <f t="array" ref="J1724">IFERROR(INDEX('Retirement Calculator'!K:K,MATCH('Lorri 401b'!N1724,'Retirement Calculator'!A:A,0),0),0)</f>
        <v>0</v>
      </c>
      <c r="K1724" s="444">
        <f t="shared" ca="1" si="113"/>
        <v>-1775466.944429473</v>
      </c>
      <c r="L1724" s="444">
        <f t="shared" ca="1" si="114"/>
        <v>-427887533.607503</v>
      </c>
      <c r="M1724" s="460">
        <f t="shared" si="116"/>
        <v>0.05</v>
      </c>
      <c r="N1724" s="464">
        <f t="shared" si="117"/>
        <v>103517</v>
      </c>
    </row>
    <row r="1725" spans="7:14" ht="11.25" customHeight="1" x14ac:dyDescent="0.3">
      <c r="G1725" s="459"/>
      <c r="H1725" s="459">
        <v>1718</v>
      </c>
      <c r="I1725" s="444">
        <f t="shared" ca="1" si="115"/>
        <v>-427887533.607503</v>
      </c>
      <c r="J1725" s="444">
        <f t="array" ref="J1725">IFERROR(INDEX('Retirement Calculator'!K:K,MATCH('Lorri 401b'!N1725,'Retirement Calculator'!A:A,0),0),0)</f>
        <v>0</v>
      </c>
      <c r="K1725" s="444">
        <f t="shared" ca="1" si="113"/>
        <v>-1782864.7233645956</v>
      </c>
      <c r="L1725" s="444">
        <f t="shared" ca="1" si="114"/>
        <v>-429670398.33086759</v>
      </c>
      <c r="M1725" s="460">
        <f t="shared" si="116"/>
        <v>0.05</v>
      </c>
      <c r="N1725" s="464">
        <f t="shared" si="117"/>
        <v>103547</v>
      </c>
    </row>
    <row r="1726" spans="7:14" ht="11.25" customHeight="1" x14ac:dyDescent="0.3">
      <c r="G1726" s="459"/>
      <c r="H1726" s="459">
        <v>1719</v>
      </c>
      <c r="I1726" s="444">
        <f t="shared" ca="1" si="115"/>
        <v>-429670398.33086759</v>
      </c>
      <c r="J1726" s="444">
        <f t="array" ref="J1726">IFERROR(INDEX('Retirement Calculator'!K:K,MATCH('Lorri 401b'!N1726,'Retirement Calculator'!A:A,0),0),0)</f>
        <v>0</v>
      </c>
      <c r="K1726" s="444">
        <f t="shared" ca="1" si="113"/>
        <v>-1790293.3263786151</v>
      </c>
      <c r="L1726" s="444">
        <f t="shared" ca="1" si="114"/>
        <v>-431460691.65724623</v>
      </c>
      <c r="M1726" s="460">
        <f t="shared" si="116"/>
        <v>0.05</v>
      </c>
      <c r="N1726" s="464">
        <f t="shared" si="117"/>
        <v>103578</v>
      </c>
    </row>
    <row r="1727" spans="7:14" ht="11.25" customHeight="1" x14ac:dyDescent="0.3">
      <c r="G1727" s="459"/>
      <c r="H1727" s="459">
        <v>1720</v>
      </c>
      <c r="I1727" s="444">
        <f t="shared" ca="1" si="115"/>
        <v>-431460691.65724623</v>
      </c>
      <c r="J1727" s="444">
        <f t="array" ref="J1727">IFERROR(INDEX('Retirement Calculator'!K:K,MATCH('Lorri 401b'!N1727,'Retirement Calculator'!A:A,0),0),0)</f>
        <v>0</v>
      </c>
      <c r="K1727" s="444">
        <f t="shared" ca="1" si="113"/>
        <v>-1797752.8819051927</v>
      </c>
      <c r="L1727" s="444">
        <f t="shared" ca="1" si="114"/>
        <v>-433258444.53915143</v>
      </c>
      <c r="M1727" s="460">
        <f t="shared" si="116"/>
        <v>0.05</v>
      </c>
      <c r="N1727" s="464">
        <f t="shared" si="117"/>
        <v>103609</v>
      </c>
    </row>
    <row r="1728" spans="7:14" ht="11.25" customHeight="1" x14ac:dyDescent="0.3">
      <c r="G1728" s="459"/>
      <c r="H1728" s="459">
        <v>1721</v>
      </c>
      <c r="I1728" s="444">
        <f t="shared" ca="1" si="115"/>
        <v>-433258444.53915143</v>
      </c>
      <c r="J1728" s="444">
        <f t="array" ref="J1728">IFERROR(INDEX('Retirement Calculator'!K:K,MATCH('Lorri 401b'!N1728,'Retirement Calculator'!A:A,0),0),0)</f>
        <v>0</v>
      </c>
      <c r="K1728" s="444">
        <f t="shared" ca="1" si="113"/>
        <v>-1805243.518913131</v>
      </c>
      <c r="L1728" s="444">
        <f t="shared" ca="1" si="114"/>
        <v>-435063688.05806458</v>
      </c>
      <c r="M1728" s="460">
        <f t="shared" si="116"/>
        <v>0.05</v>
      </c>
      <c r="N1728" s="464">
        <f t="shared" si="117"/>
        <v>103639</v>
      </c>
    </row>
    <row r="1729" spans="7:14" ht="11.25" customHeight="1" x14ac:dyDescent="0.3">
      <c r="G1729" s="459"/>
      <c r="H1729" s="459">
        <v>1722</v>
      </c>
      <c r="I1729" s="444">
        <f t="shared" ca="1" si="115"/>
        <v>-435063688.05806458</v>
      </c>
      <c r="J1729" s="444">
        <f t="array" ref="J1729">IFERROR(INDEX('Retirement Calculator'!K:K,MATCH('Lorri 401b'!N1729,'Retirement Calculator'!A:A,0),0),0)</f>
        <v>0</v>
      </c>
      <c r="K1729" s="444">
        <f t="shared" ca="1" si="113"/>
        <v>-1812765.3669086022</v>
      </c>
      <c r="L1729" s="444">
        <f t="shared" ca="1" si="114"/>
        <v>-436876453.42497319</v>
      </c>
      <c r="M1729" s="460">
        <f t="shared" si="116"/>
        <v>0.05</v>
      </c>
      <c r="N1729" s="464">
        <f t="shared" si="117"/>
        <v>103670</v>
      </c>
    </row>
    <row r="1730" spans="7:14" ht="11.25" customHeight="1" x14ac:dyDescent="0.3">
      <c r="G1730" s="459"/>
      <c r="H1730" s="459">
        <v>1723</v>
      </c>
      <c r="I1730" s="444">
        <f t="shared" ca="1" si="115"/>
        <v>-436876453.42497319</v>
      </c>
      <c r="J1730" s="444">
        <f t="array" ref="J1730">IFERROR(INDEX('Retirement Calculator'!K:K,MATCH('Lorri 401b'!N1730,'Retirement Calculator'!A:A,0),0),0)</f>
        <v>0</v>
      </c>
      <c r="K1730" s="444">
        <f t="shared" ca="1" si="113"/>
        <v>-1820318.5559373882</v>
      </c>
      <c r="L1730" s="444">
        <f t="shared" ca="1" si="114"/>
        <v>-438696771.9809106</v>
      </c>
      <c r="M1730" s="460">
        <f t="shared" si="116"/>
        <v>0.05</v>
      </c>
      <c r="N1730" s="464">
        <f t="shared" si="117"/>
        <v>103700</v>
      </c>
    </row>
    <row r="1731" spans="7:14" ht="11.25" customHeight="1" x14ac:dyDescent="0.3">
      <c r="G1731" s="459"/>
      <c r="H1731" s="459">
        <v>1724</v>
      </c>
      <c r="I1731" s="444">
        <f t="shared" ca="1" si="115"/>
        <v>-438696771.9809106</v>
      </c>
      <c r="J1731" s="444">
        <f t="array" ref="J1731">IFERROR(INDEX('Retirement Calculator'!K:K,MATCH('Lorri 401b'!N1731,'Retirement Calculator'!A:A,0),0),0)</f>
        <v>0</v>
      </c>
      <c r="K1731" s="444">
        <f t="shared" ca="1" si="113"/>
        <v>-1827903.2165871274</v>
      </c>
      <c r="L1731" s="444">
        <f t="shared" ca="1" si="114"/>
        <v>-440524675.19749773</v>
      </c>
      <c r="M1731" s="460">
        <f t="shared" si="116"/>
        <v>0.05</v>
      </c>
      <c r="N1731" s="464">
        <f t="shared" si="117"/>
        <v>103731</v>
      </c>
    </row>
    <row r="1732" spans="7:14" ht="11.25" customHeight="1" x14ac:dyDescent="0.3">
      <c r="G1732" s="459"/>
      <c r="H1732" s="459">
        <v>1725</v>
      </c>
      <c r="I1732" s="444">
        <f t="shared" ca="1" si="115"/>
        <v>-440524675.19749773</v>
      </c>
      <c r="J1732" s="444">
        <f t="array" ref="J1732">IFERROR(INDEX('Retirement Calculator'!K:K,MATCH('Lorri 401b'!N1732,'Retirement Calculator'!A:A,0),0),0)</f>
        <v>0</v>
      </c>
      <c r="K1732" s="444">
        <f t="shared" ca="1" si="113"/>
        <v>-1835519.4799895738</v>
      </c>
      <c r="L1732" s="444">
        <f t="shared" ca="1" si="114"/>
        <v>-442360194.67748731</v>
      </c>
      <c r="M1732" s="460">
        <f t="shared" si="116"/>
        <v>0.05</v>
      </c>
      <c r="N1732" s="464">
        <f t="shared" si="117"/>
        <v>103762</v>
      </c>
    </row>
    <row r="1733" spans="7:14" ht="11.25" customHeight="1" x14ac:dyDescent="0.3">
      <c r="G1733" s="459"/>
      <c r="H1733" s="459">
        <v>1726</v>
      </c>
      <c r="I1733" s="444">
        <f t="shared" ca="1" si="115"/>
        <v>-442360194.67748731</v>
      </c>
      <c r="J1733" s="444">
        <f t="array" ref="J1733">IFERROR(INDEX('Retirement Calculator'!K:K,MATCH('Lorri 401b'!N1733,'Retirement Calculator'!A:A,0),0),0)</f>
        <v>0</v>
      </c>
      <c r="K1733" s="444">
        <f t="shared" ca="1" si="113"/>
        <v>-1843167.4778228637</v>
      </c>
      <c r="L1733" s="444">
        <f t="shared" ca="1" si="114"/>
        <v>-444203362.15531015</v>
      </c>
      <c r="M1733" s="460">
        <f t="shared" si="116"/>
        <v>0.05</v>
      </c>
      <c r="N1733" s="464">
        <f t="shared" si="117"/>
        <v>103791</v>
      </c>
    </row>
    <row r="1734" spans="7:14" ht="11.25" customHeight="1" x14ac:dyDescent="0.3">
      <c r="G1734" s="459"/>
      <c r="H1734" s="459">
        <v>1727</v>
      </c>
      <c r="I1734" s="444">
        <f t="shared" ca="1" si="115"/>
        <v>-444203362.15531015</v>
      </c>
      <c r="J1734" s="444">
        <f t="array" ref="J1734">IFERROR(INDEX('Retirement Calculator'!K:K,MATCH('Lorri 401b'!N1734,'Retirement Calculator'!A:A,0),0),0)</f>
        <v>0</v>
      </c>
      <c r="K1734" s="444">
        <f t="shared" ca="1" si="113"/>
        <v>-1850847.3423137923</v>
      </c>
      <c r="L1734" s="444">
        <f t="shared" ca="1" si="114"/>
        <v>-446054209.49762392</v>
      </c>
      <c r="M1734" s="460">
        <f t="shared" si="116"/>
        <v>0.05</v>
      </c>
      <c r="N1734" s="464">
        <f t="shared" si="117"/>
        <v>103822</v>
      </c>
    </row>
    <row r="1735" spans="7:14" ht="11.25" customHeight="1" x14ac:dyDescent="0.3">
      <c r="G1735" s="459"/>
      <c r="H1735" s="459">
        <v>1728</v>
      </c>
      <c r="I1735" s="444">
        <f t="shared" ca="1" si="115"/>
        <v>-446054209.49762392</v>
      </c>
      <c r="J1735" s="444">
        <f t="array" ref="J1735">IFERROR(INDEX('Retirement Calculator'!K:K,MATCH('Lorri 401b'!N1735,'Retirement Calculator'!A:A,0),0),0)</f>
        <v>0</v>
      </c>
      <c r="K1735" s="444">
        <f t="shared" ca="1" si="113"/>
        <v>-1858559.2062400996</v>
      </c>
      <c r="L1735" s="444">
        <f t="shared" ca="1" si="114"/>
        <v>-447912768.70386404</v>
      </c>
      <c r="M1735" s="460">
        <f t="shared" si="116"/>
        <v>0.05</v>
      </c>
      <c r="N1735" s="464">
        <f t="shared" si="117"/>
        <v>103852</v>
      </c>
    </row>
    <row r="1736" spans="7:14" ht="11.25" customHeight="1" x14ac:dyDescent="0.3">
      <c r="G1736" s="459"/>
      <c r="H1736" s="459">
        <v>1729</v>
      </c>
      <c r="I1736" s="444">
        <f t="shared" ca="1" si="115"/>
        <v>-447912768.70386404</v>
      </c>
      <c r="J1736" s="444">
        <f t="array" ref="J1736">IFERROR(INDEX('Retirement Calculator'!K:K,MATCH('Lorri 401b'!N1736,'Retirement Calculator'!A:A,0),0),0)</f>
        <v>0</v>
      </c>
      <c r="K1736" s="444">
        <f t="shared" ca="1" si="113"/>
        <v>-1866303.2029327669</v>
      </c>
      <c r="L1736" s="444">
        <f t="shared" ca="1" si="114"/>
        <v>-449779071.90679681</v>
      </c>
      <c r="M1736" s="460">
        <f t="shared" si="116"/>
        <v>0.05</v>
      </c>
      <c r="N1736" s="464">
        <f t="shared" si="117"/>
        <v>103883</v>
      </c>
    </row>
    <row r="1737" spans="7:14" ht="11.25" customHeight="1" x14ac:dyDescent="0.3">
      <c r="G1737" s="459"/>
      <c r="H1737" s="459">
        <v>1730</v>
      </c>
      <c r="I1737" s="444">
        <f t="shared" ca="1" si="115"/>
        <v>-449779071.90679681</v>
      </c>
      <c r="J1737" s="444">
        <f t="array" ref="J1737">IFERROR(INDEX('Retirement Calculator'!K:K,MATCH('Lorri 401b'!N1737,'Retirement Calculator'!A:A,0),0),0)</f>
        <v>0</v>
      </c>
      <c r="K1737" s="444">
        <f t="shared" ca="1" si="113"/>
        <v>-1874079.4662783199</v>
      </c>
      <c r="L1737" s="444">
        <f t="shared" ca="1" si="114"/>
        <v>-451653151.37307513</v>
      </c>
      <c r="M1737" s="460">
        <f t="shared" si="116"/>
        <v>0.05</v>
      </c>
      <c r="N1737" s="464">
        <f t="shared" si="117"/>
        <v>103913</v>
      </c>
    </row>
    <row r="1738" spans="7:14" ht="11.25" customHeight="1" x14ac:dyDescent="0.3">
      <c r="G1738" s="459"/>
      <c r="H1738" s="459">
        <v>1731</v>
      </c>
      <c r="I1738" s="444">
        <f t="shared" ca="1" si="115"/>
        <v>-451653151.37307513</v>
      </c>
      <c r="J1738" s="444">
        <f t="array" ref="J1738">IFERROR(INDEX('Retirement Calculator'!K:K,MATCH('Lorri 401b'!N1738,'Retirement Calculator'!A:A,0),0),0)</f>
        <v>0</v>
      </c>
      <c r="K1738" s="444">
        <f t="shared" ca="1" si="113"/>
        <v>-1881888.1307211462</v>
      </c>
      <c r="L1738" s="444">
        <f t="shared" ca="1" si="114"/>
        <v>-453535039.50379628</v>
      </c>
      <c r="M1738" s="460">
        <f t="shared" si="116"/>
        <v>0.05</v>
      </c>
      <c r="N1738" s="464">
        <f t="shared" si="117"/>
        <v>103944</v>
      </c>
    </row>
    <row r="1739" spans="7:14" ht="11.25" customHeight="1" x14ac:dyDescent="0.3">
      <c r="G1739" s="459"/>
      <c r="H1739" s="459">
        <v>1732</v>
      </c>
      <c r="I1739" s="444">
        <f t="shared" ca="1" si="115"/>
        <v>-453535039.50379628</v>
      </c>
      <c r="J1739" s="444">
        <f t="array" ref="J1739">IFERROR(INDEX('Retirement Calculator'!K:K,MATCH('Lorri 401b'!N1739,'Retirement Calculator'!A:A,0),0),0)</f>
        <v>0</v>
      </c>
      <c r="K1739" s="444">
        <f t="shared" ca="1" si="113"/>
        <v>-1889729.3312658176</v>
      </c>
      <c r="L1739" s="444">
        <f t="shared" ca="1" si="114"/>
        <v>-455424768.83506209</v>
      </c>
      <c r="M1739" s="460">
        <f t="shared" si="116"/>
        <v>0.05</v>
      </c>
      <c r="N1739" s="464">
        <f t="shared" si="117"/>
        <v>103975</v>
      </c>
    </row>
    <row r="1740" spans="7:14" ht="11.25" customHeight="1" x14ac:dyDescent="0.3">
      <c r="G1740" s="459"/>
      <c r="H1740" s="459">
        <v>1733</v>
      </c>
      <c r="I1740" s="444">
        <f t="shared" ca="1" si="115"/>
        <v>-455424768.83506209</v>
      </c>
      <c r="J1740" s="444">
        <f t="array" ref="J1740">IFERROR(INDEX('Retirement Calculator'!K:K,MATCH('Lorri 401b'!N1740,'Retirement Calculator'!A:A,0),0),0)</f>
        <v>0</v>
      </c>
      <c r="K1740" s="444">
        <f t="shared" ca="1" si="113"/>
        <v>-1897603.2034794255</v>
      </c>
      <c r="L1740" s="444">
        <f t="shared" ca="1" si="114"/>
        <v>-457322372.0385415</v>
      </c>
      <c r="M1740" s="460">
        <f t="shared" si="116"/>
        <v>0.05</v>
      </c>
      <c r="N1740" s="464">
        <f t="shared" si="117"/>
        <v>104005</v>
      </c>
    </row>
    <row r="1741" spans="7:14" ht="11.25" customHeight="1" x14ac:dyDescent="0.3">
      <c r="G1741" s="459"/>
      <c r="H1741" s="459">
        <v>1734</v>
      </c>
      <c r="I1741" s="444">
        <f t="shared" ca="1" si="115"/>
        <v>-457322372.0385415</v>
      </c>
      <c r="J1741" s="444">
        <f t="array" ref="J1741">IFERROR(INDEX('Retirement Calculator'!K:K,MATCH('Lorri 401b'!N1741,'Retirement Calculator'!A:A,0),0),0)</f>
        <v>0</v>
      </c>
      <c r="K1741" s="444">
        <f t="shared" ca="1" si="113"/>
        <v>-1905509.8834939229</v>
      </c>
      <c r="L1741" s="444">
        <f t="shared" ca="1" si="114"/>
        <v>-459227881.9220354</v>
      </c>
      <c r="M1741" s="460">
        <f t="shared" si="116"/>
        <v>0.05</v>
      </c>
      <c r="N1741" s="464">
        <f t="shared" si="117"/>
        <v>104036</v>
      </c>
    </row>
    <row r="1742" spans="7:14" ht="11.25" customHeight="1" x14ac:dyDescent="0.3">
      <c r="G1742" s="459"/>
      <c r="H1742" s="459">
        <v>1735</v>
      </c>
      <c r="I1742" s="444">
        <f t="shared" ca="1" si="115"/>
        <v>-459227881.9220354</v>
      </c>
      <c r="J1742" s="444">
        <f t="array" ref="J1742">IFERROR(INDEX('Retirement Calculator'!K:K,MATCH('Lorri 401b'!N1742,'Retirement Calculator'!A:A,0),0),0)</f>
        <v>0</v>
      </c>
      <c r="K1742" s="444">
        <f t="shared" ca="1" si="113"/>
        <v>-1913449.5080084808</v>
      </c>
      <c r="L1742" s="444">
        <f t="shared" ca="1" si="114"/>
        <v>-461141331.43004388</v>
      </c>
      <c r="M1742" s="460">
        <f t="shared" si="116"/>
        <v>0.05</v>
      </c>
      <c r="N1742" s="464">
        <f t="shared" si="117"/>
        <v>104066</v>
      </c>
    </row>
    <row r="1743" spans="7:14" ht="11.25" customHeight="1" x14ac:dyDescent="0.3">
      <c r="G1743" s="459"/>
      <c r="H1743" s="459">
        <v>1736</v>
      </c>
      <c r="I1743" s="444">
        <f t="shared" ca="1" si="115"/>
        <v>-461141331.43004388</v>
      </c>
      <c r="J1743" s="444">
        <f t="array" ref="J1743">IFERROR(INDEX('Retirement Calculator'!K:K,MATCH('Lorri 401b'!N1743,'Retirement Calculator'!A:A,0),0),0)</f>
        <v>0</v>
      </c>
      <c r="K1743" s="444">
        <f t="shared" ca="1" si="113"/>
        <v>-1921422.2142918494</v>
      </c>
      <c r="L1743" s="444">
        <f t="shared" ca="1" si="114"/>
        <v>-463062753.64433575</v>
      </c>
      <c r="M1743" s="460">
        <f t="shared" si="116"/>
        <v>0.05</v>
      </c>
      <c r="N1743" s="464">
        <f t="shared" si="117"/>
        <v>104097</v>
      </c>
    </row>
    <row r="1744" spans="7:14" ht="11.25" customHeight="1" x14ac:dyDescent="0.3">
      <c r="G1744" s="459"/>
      <c r="H1744" s="459">
        <v>1737</v>
      </c>
      <c r="I1744" s="444">
        <f t="shared" ca="1" si="115"/>
        <v>-463062753.64433575</v>
      </c>
      <c r="J1744" s="444">
        <f t="array" ref="J1744">IFERROR(INDEX('Retirement Calculator'!K:K,MATCH('Lorri 401b'!N1744,'Retirement Calculator'!A:A,0),0),0)</f>
        <v>0</v>
      </c>
      <c r="K1744" s="444">
        <f t="shared" ca="1" si="113"/>
        <v>-1929428.1401847322</v>
      </c>
      <c r="L1744" s="444">
        <f t="shared" ca="1" si="114"/>
        <v>-464992181.78452051</v>
      </c>
      <c r="M1744" s="460">
        <f t="shared" si="116"/>
        <v>0.05</v>
      </c>
      <c r="N1744" s="464">
        <f t="shared" si="117"/>
        <v>104128</v>
      </c>
    </row>
    <row r="1745" spans="7:14" ht="11.25" customHeight="1" x14ac:dyDescent="0.3">
      <c r="G1745" s="459"/>
      <c r="H1745" s="459">
        <v>1738</v>
      </c>
      <c r="I1745" s="444">
        <f t="shared" ca="1" si="115"/>
        <v>-464992181.78452051</v>
      </c>
      <c r="J1745" s="444">
        <f t="array" ref="J1745">IFERROR(INDEX('Retirement Calculator'!K:K,MATCH('Lorri 401b'!N1745,'Retirement Calculator'!A:A,0),0),0)</f>
        <v>0</v>
      </c>
      <c r="K1745" s="444">
        <f t="shared" ca="1" si="113"/>
        <v>-1937467.4241021685</v>
      </c>
      <c r="L1745" s="444">
        <f t="shared" ca="1" si="114"/>
        <v>-466929649.20862269</v>
      </c>
      <c r="M1745" s="460">
        <f t="shared" si="116"/>
        <v>0.05</v>
      </c>
      <c r="N1745" s="464">
        <f t="shared" si="117"/>
        <v>104156</v>
      </c>
    </row>
    <row r="1746" spans="7:14" ht="11.25" customHeight="1" x14ac:dyDescent="0.3">
      <c r="G1746" s="459"/>
      <c r="H1746" s="459">
        <v>1739</v>
      </c>
      <c r="I1746" s="444">
        <f t="shared" ca="1" si="115"/>
        <v>-466929649.20862269</v>
      </c>
      <c r="J1746" s="444">
        <f t="array" ref="J1746">IFERROR(INDEX('Retirement Calculator'!K:K,MATCH('Lorri 401b'!N1746,'Retirement Calculator'!A:A,0),0),0)</f>
        <v>0</v>
      </c>
      <c r="K1746" s="444">
        <f t="shared" ca="1" si="113"/>
        <v>-1945540.2050359282</v>
      </c>
      <c r="L1746" s="444">
        <f t="shared" ca="1" si="114"/>
        <v>-468875189.41365862</v>
      </c>
      <c r="M1746" s="460">
        <f t="shared" si="116"/>
        <v>0.05</v>
      </c>
      <c r="N1746" s="464">
        <f t="shared" si="117"/>
        <v>104187</v>
      </c>
    </row>
    <row r="1747" spans="7:14" ht="11.25" customHeight="1" x14ac:dyDescent="0.3">
      <c r="G1747" s="459"/>
      <c r="H1747" s="459">
        <v>1740</v>
      </c>
      <c r="I1747" s="444">
        <f t="shared" ca="1" si="115"/>
        <v>-468875189.41365862</v>
      </c>
      <c r="J1747" s="444">
        <f t="array" ref="J1747">IFERROR(INDEX('Retirement Calculator'!K:K,MATCH('Lorri 401b'!N1747,'Retirement Calculator'!A:A,0),0),0)</f>
        <v>0</v>
      </c>
      <c r="K1747" s="444">
        <f t="shared" ca="1" si="113"/>
        <v>-1953646.6225569109</v>
      </c>
      <c r="L1747" s="444">
        <f t="shared" ca="1" si="114"/>
        <v>-470828836.03621554</v>
      </c>
      <c r="M1747" s="460">
        <f t="shared" si="116"/>
        <v>0.05</v>
      </c>
      <c r="N1747" s="464">
        <f t="shared" si="117"/>
        <v>104217</v>
      </c>
    </row>
    <row r="1748" spans="7:14" ht="11.25" customHeight="1" x14ac:dyDescent="0.3">
      <c r="G1748" s="459"/>
      <c r="H1748" s="459">
        <v>1741</v>
      </c>
      <c r="I1748" s="444">
        <f t="shared" ca="1" si="115"/>
        <v>-470828836.03621554</v>
      </c>
      <c r="J1748" s="444">
        <f t="array" ref="J1748">IFERROR(INDEX('Retirement Calculator'!K:K,MATCH('Lorri 401b'!N1748,'Retirement Calculator'!A:A,0),0),0)</f>
        <v>0</v>
      </c>
      <c r="K1748" s="444">
        <f t="shared" ca="1" si="113"/>
        <v>-1961786.8168175649</v>
      </c>
      <c r="L1748" s="444">
        <f t="shared" ca="1" si="114"/>
        <v>-472790622.85303313</v>
      </c>
      <c r="M1748" s="460">
        <f t="shared" si="116"/>
        <v>0.05</v>
      </c>
      <c r="N1748" s="464">
        <f t="shared" si="117"/>
        <v>104248</v>
      </c>
    </row>
    <row r="1749" spans="7:14" ht="11.25" customHeight="1" x14ac:dyDescent="0.3">
      <c r="G1749" s="459"/>
      <c r="H1749" s="459">
        <v>1742</v>
      </c>
      <c r="I1749" s="444">
        <f t="shared" ca="1" si="115"/>
        <v>-472790622.85303313</v>
      </c>
      <c r="J1749" s="444">
        <f t="array" ref="J1749">IFERROR(INDEX('Retirement Calculator'!K:K,MATCH('Lorri 401b'!N1749,'Retirement Calculator'!A:A,0),0),0)</f>
        <v>0</v>
      </c>
      <c r="K1749" s="444">
        <f t="shared" ca="1" si="113"/>
        <v>-1969960.9285543044</v>
      </c>
      <c r="L1749" s="444">
        <f t="shared" ca="1" si="114"/>
        <v>-474760583.78158742</v>
      </c>
      <c r="M1749" s="460">
        <f t="shared" si="116"/>
        <v>0.05</v>
      </c>
      <c r="N1749" s="464">
        <f t="shared" si="117"/>
        <v>104278</v>
      </c>
    </row>
    <row r="1750" spans="7:14" ht="11.25" customHeight="1" x14ac:dyDescent="0.3">
      <c r="G1750" s="459"/>
      <c r="H1750" s="459">
        <v>1743</v>
      </c>
      <c r="I1750" s="444">
        <f t="shared" ca="1" si="115"/>
        <v>-474760583.78158742</v>
      </c>
      <c r="J1750" s="444">
        <f t="array" ref="J1750">IFERROR(INDEX('Retirement Calculator'!K:K,MATCH('Lorri 401b'!N1750,'Retirement Calculator'!A:A,0),0),0)</f>
        <v>0</v>
      </c>
      <c r="K1750" s="444">
        <f t="shared" ca="1" si="113"/>
        <v>-1978169.0990899473</v>
      </c>
      <c r="L1750" s="444">
        <f t="shared" ca="1" si="114"/>
        <v>-476738752.88067734</v>
      </c>
      <c r="M1750" s="460">
        <f t="shared" si="116"/>
        <v>0.05</v>
      </c>
      <c r="N1750" s="464">
        <f t="shared" si="117"/>
        <v>104309</v>
      </c>
    </row>
    <row r="1751" spans="7:14" ht="11.25" customHeight="1" x14ac:dyDescent="0.3">
      <c r="G1751" s="459"/>
      <c r="H1751" s="459">
        <v>1744</v>
      </c>
      <c r="I1751" s="444">
        <f t="shared" ca="1" si="115"/>
        <v>-476738752.88067734</v>
      </c>
      <c r="J1751" s="444">
        <f t="array" ref="J1751">IFERROR(INDEX('Retirement Calculator'!K:K,MATCH('Lorri 401b'!N1751,'Retirement Calculator'!A:A,0),0),0)</f>
        <v>0</v>
      </c>
      <c r="K1751" s="444">
        <f t="shared" ca="1" si="113"/>
        <v>-1986411.4703361555</v>
      </c>
      <c r="L1751" s="444">
        <f t="shared" ca="1" si="114"/>
        <v>-478725164.35101348</v>
      </c>
      <c r="M1751" s="460">
        <f t="shared" si="116"/>
        <v>0.05</v>
      </c>
      <c r="N1751" s="464">
        <f t="shared" si="117"/>
        <v>104340</v>
      </c>
    </row>
    <row r="1752" spans="7:14" ht="11.25" customHeight="1" x14ac:dyDescent="0.3">
      <c r="G1752" s="459"/>
      <c r="H1752" s="459">
        <v>1745</v>
      </c>
      <c r="I1752" s="444">
        <f t="shared" ca="1" si="115"/>
        <v>-478725164.35101348</v>
      </c>
      <c r="J1752" s="444">
        <f t="array" ref="J1752">IFERROR(INDEX('Retirement Calculator'!K:K,MATCH('Lorri 401b'!N1752,'Retirement Calculator'!A:A,0),0),0)</f>
        <v>0</v>
      </c>
      <c r="K1752" s="444">
        <f t="shared" ca="1" si="113"/>
        <v>-1994688.1847958895</v>
      </c>
      <c r="L1752" s="444">
        <f t="shared" ca="1" si="114"/>
        <v>-480719852.5358094</v>
      </c>
      <c r="M1752" s="460">
        <f t="shared" si="116"/>
        <v>0.05</v>
      </c>
      <c r="N1752" s="464">
        <f t="shared" si="117"/>
        <v>104370</v>
      </c>
    </row>
    <row r="1753" spans="7:14" ht="11.25" customHeight="1" x14ac:dyDescent="0.3">
      <c r="G1753" s="459"/>
      <c r="H1753" s="459">
        <v>1746</v>
      </c>
      <c r="I1753" s="444">
        <f t="shared" ca="1" si="115"/>
        <v>-480719852.5358094</v>
      </c>
      <c r="J1753" s="444">
        <f t="array" ref="J1753">IFERROR(INDEX('Retirement Calculator'!K:K,MATCH('Lorri 401b'!N1753,'Retirement Calculator'!A:A,0),0),0)</f>
        <v>0</v>
      </c>
      <c r="K1753" s="444">
        <f t="shared" ca="1" si="113"/>
        <v>-2002999.3855658725</v>
      </c>
      <c r="L1753" s="444">
        <f t="shared" ca="1" si="114"/>
        <v>-482722851.92137527</v>
      </c>
      <c r="M1753" s="460">
        <f t="shared" si="116"/>
        <v>0.05</v>
      </c>
      <c r="N1753" s="464">
        <f t="shared" si="117"/>
        <v>104401</v>
      </c>
    </row>
    <row r="1754" spans="7:14" ht="11.25" customHeight="1" x14ac:dyDescent="0.3">
      <c r="G1754" s="459"/>
      <c r="H1754" s="459">
        <v>1747</v>
      </c>
      <c r="I1754" s="444">
        <f t="shared" ca="1" si="115"/>
        <v>-482722851.92137527</v>
      </c>
      <c r="J1754" s="444">
        <f t="array" ref="J1754">IFERROR(INDEX('Retirement Calculator'!K:K,MATCH('Lorri 401b'!N1754,'Retirement Calculator'!A:A,0),0),0)</f>
        <v>0</v>
      </c>
      <c r="K1754" s="444">
        <f t="shared" ca="1" si="113"/>
        <v>-2011345.2163390636</v>
      </c>
      <c r="L1754" s="444">
        <f t="shared" ca="1" si="114"/>
        <v>-484734197.13771433</v>
      </c>
      <c r="M1754" s="460">
        <f t="shared" si="116"/>
        <v>0.05</v>
      </c>
      <c r="N1754" s="464">
        <f t="shared" si="117"/>
        <v>104431</v>
      </c>
    </row>
    <row r="1755" spans="7:14" ht="11.25" customHeight="1" x14ac:dyDescent="0.3">
      <c r="G1755" s="459"/>
      <c r="H1755" s="459">
        <v>1748</v>
      </c>
      <c r="I1755" s="444">
        <f t="shared" ca="1" si="115"/>
        <v>-484734197.13771433</v>
      </c>
      <c r="J1755" s="444">
        <f t="array" ref="J1755">IFERROR(INDEX('Retirement Calculator'!K:K,MATCH('Lorri 401b'!N1755,'Retirement Calculator'!A:A,0),0),0)</f>
        <v>0</v>
      </c>
      <c r="K1755" s="444">
        <f t="shared" ca="1" si="113"/>
        <v>-2019725.821407143</v>
      </c>
      <c r="L1755" s="444">
        <f t="shared" ca="1" si="114"/>
        <v>-486753922.95912147</v>
      </c>
      <c r="M1755" s="460">
        <f t="shared" si="116"/>
        <v>0.05</v>
      </c>
      <c r="N1755" s="464">
        <f t="shared" si="117"/>
        <v>104462</v>
      </c>
    </row>
    <row r="1756" spans="7:14" ht="11.25" customHeight="1" x14ac:dyDescent="0.3">
      <c r="G1756" s="459"/>
      <c r="H1756" s="459">
        <v>1749</v>
      </c>
      <c r="I1756" s="444">
        <f t="shared" ca="1" si="115"/>
        <v>-486753922.95912147</v>
      </c>
      <c r="J1756" s="444">
        <f t="array" ref="J1756">IFERROR(INDEX('Retirement Calculator'!K:K,MATCH('Lorri 401b'!N1756,'Retirement Calculator'!A:A,0),0),0)</f>
        <v>0</v>
      </c>
      <c r="K1756" s="444">
        <f t="shared" ca="1" si="113"/>
        <v>-2028141.3456630064</v>
      </c>
      <c r="L1756" s="444">
        <f t="shared" ca="1" si="114"/>
        <v>-488782064.30478448</v>
      </c>
      <c r="M1756" s="460">
        <f t="shared" si="116"/>
        <v>0.05</v>
      </c>
      <c r="N1756" s="464">
        <f t="shared" si="117"/>
        <v>104493</v>
      </c>
    </row>
    <row r="1757" spans="7:14" ht="11.25" customHeight="1" x14ac:dyDescent="0.3">
      <c r="G1757" s="459"/>
      <c r="H1757" s="459">
        <v>1750</v>
      </c>
      <c r="I1757" s="444">
        <f t="shared" ca="1" si="115"/>
        <v>-488782064.30478448</v>
      </c>
      <c r="J1757" s="444">
        <f t="array" ref="J1757">IFERROR(INDEX('Retirement Calculator'!K:K,MATCH('Lorri 401b'!N1757,'Retirement Calculator'!A:A,0),0),0)</f>
        <v>0</v>
      </c>
      <c r="K1757" s="444">
        <f t="shared" ca="1" si="113"/>
        <v>-2036591.934603269</v>
      </c>
      <c r="L1757" s="444">
        <f t="shared" ca="1" si="114"/>
        <v>-490818656.23938775</v>
      </c>
      <c r="M1757" s="460">
        <f t="shared" si="116"/>
        <v>0.05</v>
      </c>
      <c r="N1757" s="464">
        <f t="shared" si="117"/>
        <v>104521</v>
      </c>
    </row>
    <row r="1758" spans="7:14" ht="11.25" customHeight="1" x14ac:dyDescent="0.3">
      <c r="G1758" s="459"/>
      <c r="H1758" s="459">
        <v>1751</v>
      </c>
      <c r="I1758" s="444">
        <f t="shared" ca="1" si="115"/>
        <v>-490818656.23938775</v>
      </c>
      <c r="J1758" s="444">
        <f t="array" ref="J1758">IFERROR(INDEX('Retirement Calculator'!K:K,MATCH('Lorri 401b'!N1758,'Retirement Calculator'!A:A,0),0),0)</f>
        <v>0</v>
      </c>
      <c r="K1758" s="444">
        <f t="shared" ca="1" si="113"/>
        <v>-2045077.7343307822</v>
      </c>
      <c r="L1758" s="444">
        <f t="shared" ca="1" si="114"/>
        <v>-492863733.97371852</v>
      </c>
      <c r="M1758" s="460">
        <f t="shared" si="116"/>
        <v>0.05</v>
      </c>
      <c r="N1758" s="464">
        <f t="shared" si="117"/>
        <v>104552</v>
      </c>
    </row>
    <row r="1759" spans="7:14" ht="11.25" customHeight="1" x14ac:dyDescent="0.3">
      <c r="G1759" s="459"/>
      <c r="H1759" s="459">
        <v>1752</v>
      </c>
      <c r="I1759" s="444">
        <f t="shared" ca="1" si="115"/>
        <v>-492863733.97371852</v>
      </c>
      <c r="J1759" s="444">
        <f t="array" ref="J1759">IFERROR(INDEX('Retirement Calculator'!K:K,MATCH('Lorri 401b'!N1759,'Retirement Calculator'!A:A,0),0),0)</f>
        <v>0</v>
      </c>
      <c r="K1759" s="444">
        <f t="shared" ca="1" si="113"/>
        <v>-2053598.8915571605</v>
      </c>
      <c r="L1759" s="444">
        <f t="shared" ca="1" si="114"/>
        <v>-494917332.86527568</v>
      </c>
      <c r="M1759" s="460">
        <f t="shared" si="116"/>
        <v>0.05</v>
      </c>
      <c r="N1759" s="464">
        <f t="shared" si="117"/>
        <v>104582</v>
      </c>
    </row>
    <row r="1760" spans="7:14" ht="11.25" customHeight="1" x14ac:dyDescent="0.3">
      <c r="G1760" s="459"/>
      <c r="H1760" s="459">
        <v>1753</v>
      </c>
      <c r="I1760" s="444">
        <f t="shared" ca="1" si="115"/>
        <v>-494917332.86527568</v>
      </c>
      <c r="J1760" s="444">
        <f t="array" ref="J1760">IFERROR(INDEX('Retirement Calculator'!K:K,MATCH('Lorri 401b'!N1760,'Retirement Calculator'!A:A,0),0),0)</f>
        <v>0</v>
      </c>
      <c r="K1760" s="444">
        <f t="shared" ca="1" si="113"/>
        <v>-2062155.5536053153</v>
      </c>
      <c r="L1760" s="444">
        <f t="shared" ca="1" si="114"/>
        <v>-496979488.418881</v>
      </c>
      <c r="M1760" s="460">
        <f t="shared" si="116"/>
        <v>0.05</v>
      </c>
      <c r="N1760" s="464">
        <f t="shared" si="117"/>
        <v>104613</v>
      </c>
    </row>
    <row r="1761" spans="7:14" ht="11.25" customHeight="1" x14ac:dyDescent="0.3">
      <c r="G1761" s="459"/>
      <c r="H1761" s="459">
        <v>1754</v>
      </c>
      <c r="I1761" s="444">
        <f t="shared" ca="1" si="115"/>
        <v>-496979488.418881</v>
      </c>
      <c r="J1761" s="444">
        <f t="array" ref="J1761">IFERROR(INDEX('Retirement Calculator'!K:K,MATCH('Lorri 401b'!N1761,'Retirement Calculator'!A:A,0),0),0)</f>
        <v>0</v>
      </c>
      <c r="K1761" s="444">
        <f t="shared" ca="1" si="113"/>
        <v>-2070747.8684120039</v>
      </c>
      <c r="L1761" s="444">
        <f t="shared" ca="1" si="114"/>
        <v>-499050236.28729302</v>
      </c>
      <c r="M1761" s="460">
        <f t="shared" si="116"/>
        <v>0.05</v>
      </c>
      <c r="N1761" s="464">
        <f t="shared" si="117"/>
        <v>104643</v>
      </c>
    </row>
    <row r="1762" spans="7:14" ht="11.25" customHeight="1" x14ac:dyDescent="0.3">
      <c r="G1762" s="459"/>
      <c r="H1762" s="459">
        <v>1755</v>
      </c>
      <c r="I1762" s="444">
        <f t="shared" ca="1" si="115"/>
        <v>-499050236.28729302</v>
      </c>
      <c r="J1762" s="444">
        <f t="array" ref="J1762">IFERROR(INDEX('Retirement Calculator'!K:K,MATCH('Lorri 401b'!N1762,'Retirement Calculator'!A:A,0),0),0)</f>
        <v>0</v>
      </c>
      <c r="K1762" s="444">
        <f t="shared" ca="1" si="113"/>
        <v>-2079375.9845303877</v>
      </c>
      <c r="L1762" s="444">
        <f t="shared" ca="1" si="114"/>
        <v>-501129612.27182341</v>
      </c>
      <c r="M1762" s="460">
        <f t="shared" si="116"/>
        <v>0.05</v>
      </c>
      <c r="N1762" s="464">
        <f t="shared" si="117"/>
        <v>104674</v>
      </c>
    </row>
    <row r="1763" spans="7:14" ht="11.25" customHeight="1" x14ac:dyDescent="0.3">
      <c r="G1763" s="459"/>
      <c r="H1763" s="459">
        <v>1756</v>
      </c>
      <c r="I1763" s="444">
        <f t="shared" ca="1" si="115"/>
        <v>-501129612.27182341</v>
      </c>
      <c r="J1763" s="444">
        <f t="array" ref="J1763">IFERROR(INDEX('Retirement Calculator'!K:K,MATCH('Lorri 401b'!N1763,'Retirement Calculator'!A:A,0),0),0)</f>
        <v>0</v>
      </c>
      <c r="K1763" s="444">
        <f t="shared" ca="1" si="113"/>
        <v>-2088040.0511325975</v>
      </c>
      <c r="L1763" s="444">
        <f t="shared" ca="1" si="114"/>
        <v>-503217652.32295603</v>
      </c>
      <c r="M1763" s="460">
        <f t="shared" si="116"/>
        <v>0.05</v>
      </c>
      <c r="N1763" s="464">
        <f t="shared" si="117"/>
        <v>104705</v>
      </c>
    </row>
    <row r="1764" spans="7:14" ht="11.25" customHeight="1" x14ac:dyDescent="0.3">
      <c r="G1764" s="459"/>
      <c r="H1764" s="459">
        <v>1757</v>
      </c>
      <c r="I1764" s="444">
        <f t="shared" ca="1" si="115"/>
        <v>-503217652.32295603</v>
      </c>
      <c r="J1764" s="444">
        <f t="array" ref="J1764">IFERROR(INDEX('Retirement Calculator'!K:K,MATCH('Lorri 401b'!N1764,'Retirement Calculator'!A:A,0),0),0)</f>
        <v>0</v>
      </c>
      <c r="K1764" s="444">
        <f t="shared" ca="1" si="113"/>
        <v>-2096740.2180123164</v>
      </c>
      <c r="L1764" s="444">
        <f t="shared" ca="1" si="114"/>
        <v>-505314392.54096836</v>
      </c>
      <c r="M1764" s="460">
        <f t="shared" si="116"/>
        <v>0.05</v>
      </c>
      <c r="N1764" s="464">
        <f t="shared" si="117"/>
        <v>104735</v>
      </c>
    </row>
    <row r="1765" spans="7:14" ht="11.25" customHeight="1" x14ac:dyDescent="0.3">
      <c r="G1765" s="459"/>
      <c r="H1765" s="459">
        <v>1758</v>
      </c>
      <c r="I1765" s="444">
        <f t="shared" ca="1" si="115"/>
        <v>-505314392.54096836</v>
      </c>
      <c r="J1765" s="444">
        <f t="array" ref="J1765">IFERROR(INDEX('Retirement Calculator'!K:K,MATCH('Lorri 401b'!N1765,'Retirement Calculator'!A:A,0),0),0)</f>
        <v>0</v>
      </c>
      <c r="K1765" s="444">
        <f t="shared" ca="1" si="113"/>
        <v>-2105476.6355873682</v>
      </c>
      <c r="L1765" s="444">
        <f t="shared" ca="1" si="114"/>
        <v>-507419869.17655575</v>
      </c>
      <c r="M1765" s="460">
        <f t="shared" si="116"/>
        <v>0.05</v>
      </c>
      <c r="N1765" s="464">
        <f t="shared" si="117"/>
        <v>104766</v>
      </c>
    </row>
    <row r="1766" spans="7:14" ht="11.25" customHeight="1" x14ac:dyDescent="0.3">
      <c r="G1766" s="459"/>
      <c r="H1766" s="459">
        <v>1759</v>
      </c>
      <c r="I1766" s="444">
        <f t="shared" ca="1" si="115"/>
        <v>-507419869.17655575</v>
      </c>
      <c r="J1766" s="444">
        <f t="array" ref="J1766">IFERROR(INDEX('Retirement Calculator'!K:K,MATCH('Lorri 401b'!N1766,'Retirement Calculator'!A:A,0),0),0)</f>
        <v>0</v>
      </c>
      <c r="K1766" s="444">
        <f t="shared" ca="1" si="113"/>
        <v>-2114249.454902316</v>
      </c>
      <c r="L1766" s="444">
        <f t="shared" ca="1" si="114"/>
        <v>-509534118.63145804</v>
      </c>
      <c r="M1766" s="460">
        <f t="shared" si="116"/>
        <v>0.05</v>
      </c>
      <c r="N1766" s="464">
        <f t="shared" si="117"/>
        <v>104796</v>
      </c>
    </row>
    <row r="1767" spans="7:14" ht="11.25" customHeight="1" x14ac:dyDescent="0.3">
      <c r="G1767" s="459"/>
      <c r="H1767" s="459">
        <v>1760</v>
      </c>
      <c r="I1767" s="444">
        <f t="shared" ca="1" si="115"/>
        <v>-509534118.63145804</v>
      </c>
      <c r="J1767" s="444">
        <f t="array" ref="J1767">IFERROR(INDEX('Retirement Calculator'!K:K,MATCH('Lorri 401b'!N1767,'Retirement Calculator'!A:A,0),0),0)</f>
        <v>0</v>
      </c>
      <c r="K1767" s="444">
        <f t="shared" ca="1" si="113"/>
        <v>-2123058.8276310749</v>
      </c>
      <c r="L1767" s="444">
        <f t="shared" ca="1" si="114"/>
        <v>-511657177.4590891</v>
      </c>
      <c r="M1767" s="460">
        <f t="shared" si="116"/>
        <v>0.05</v>
      </c>
      <c r="N1767" s="464">
        <f t="shared" si="117"/>
        <v>104827</v>
      </c>
    </row>
    <row r="1768" spans="7:14" ht="11.25" customHeight="1" x14ac:dyDescent="0.3">
      <c r="G1768" s="459"/>
      <c r="H1768" s="459">
        <v>1761</v>
      </c>
      <c r="I1768" s="444">
        <f t="shared" ca="1" si="115"/>
        <v>-511657177.4590891</v>
      </c>
      <c r="J1768" s="444">
        <f t="array" ref="J1768">IFERROR(INDEX('Retirement Calculator'!K:K,MATCH('Lorri 401b'!N1768,'Retirement Calculator'!A:A,0),0),0)</f>
        <v>0</v>
      </c>
      <c r="K1768" s="444">
        <f t="shared" ca="1" si="113"/>
        <v>-2131904.9060795377</v>
      </c>
      <c r="L1768" s="444">
        <f t="shared" ca="1" si="114"/>
        <v>-513789082.36516863</v>
      </c>
      <c r="M1768" s="460">
        <f t="shared" si="116"/>
        <v>0.05</v>
      </c>
      <c r="N1768" s="464">
        <f t="shared" si="117"/>
        <v>104858</v>
      </c>
    </row>
    <row r="1769" spans="7:14" ht="11.25" customHeight="1" x14ac:dyDescent="0.3">
      <c r="G1769" s="459"/>
      <c r="H1769" s="459">
        <v>1762</v>
      </c>
      <c r="I1769" s="444">
        <f t="shared" ca="1" si="115"/>
        <v>-513789082.36516863</v>
      </c>
      <c r="J1769" s="444">
        <f t="array" ref="J1769">IFERROR(INDEX('Retirement Calculator'!K:K,MATCH('Lorri 401b'!N1769,'Retirement Calculator'!A:A,0),0),0)</f>
        <v>0</v>
      </c>
      <c r="K1769" s="444">
        <f t="shared" ca="1" si="113"/>
        <v>-2140787.8431882025</v>
      </c>
      <c r="L1769" s="444">
        <f t="shared" ca="1" si="114"/>
        <v>-515929870.20835686</v>
      </c>
      <c r="M1769" s="460">
        <f t="shared" si="116"/>
        <v>0.05</v>
      </c>
      <c r="N1769" s="464">
        <f t="shared" si="117"/>
        <v>104886</v>
      </c>
    </row>
    <row r="1770" spans="7:14" ht="11.25" customHeight="1" x14ac:dyDescent="0.3">
      <c r="G1770" s="459"/>
      <c r="H1770" s="459">
        <v>1763</v>
      </c>
      <c r="I1770" s="444">
        <f t="shared" ca="1" si="115"/>
        <v>-515929870.20835686</v>
      </c>
      <c r="J1770" s="444">
        <f t="array" ref="J1770">IFERROR(INDEX('Retirement Calculator'!K:K,MATCH('Lorri 401b'!N1770,'Retirement Calculator'!A:A,0),0),0)</f>
        <v>0</v>
      </c>
      <c r="K1770" s="444">
        <f t="shared" ca="1" si="113"/>
        <v>-2149707.7925348203</v>
      </c>
      <c r="L1770" s="444">
        <f t="shared" ca="1" si="114"/>
        <v>-518079578.00089169</v>
      </c>
      <c r="M1770" s="460">
        <f t="shared" si="116"/>
        <v>0.05</v>
      </c>
      <c r="N1770" s="464">
        <f t="shared" si="117"/>
        <v>104917</v>
      </c>
    </row>
    <row r="1771" spans="7:14" ht="11.25" customHeight="1" x14ac:dyDescent="0.3">
      <c r="G1771" s="459"/>
      <c r="H1771" s="459">
        <v>1764</v>
      </c>
      <c r="I1771" s="444">
        <f t="shared" ca="1" si="115"/>
        <v>-518079578.00089169</v>
      </c>
      <c r="J1771" s="444">
        <f t="array" ref="J1771">IFERROR(INDEX('Retirement Calculator'!K:K,MATCH('Lorri 401b'!N1771,'Retirement Calculator'!A:A,0),0),0)</f>
        <v>0</v>
      </c>
      <c r="K1771" s="444">
        <f t="shared" ca="1" si="113"/>
        <v>-2158664.9083370487</v>
      </c>
      <c r="L1771" s="444">
        <f t="shared" ca="1" si="114"/>
        <v>-520238242.90922874</v>
      </c>
      <c r="M1771" s="460">
        <f t="shared" si="116"/>
        <v>0.05</v>
      </c>
      <c r="N1771" s="464">
        <f t="shared" si="117"/>
        <v>104947</v>
      </c>
    </row>
    <row r="1772" spans="7:14" ht="11.25" customHeight="1" x14ac:dyDescent="0.3">
      <c r="G1772" s="459"/>
      <c r="H1772" s="459">
        <v>1765</v>
      </c>
      <c r="I1772" s="444">
        <f t="shared" ca="1" si="115"/>
        <v>-520238242.90922874</v>
      </c>
      <c r="J1772" s="444">
        <f t="array" ref="J1772">IFERROR(INDEX('Retirement Calculator'!K:K,MATCH('Lorri 401b'!N1772,'Retirement Calculator'!A:A,0),0),0)</f>
        <v>0</v>
      </c>
      <c r="K1772" s="444">
        <f t="shared" ca="1" si="113"/>
        <v>-2167659.3454551199</v>
      </c>
      <c r="L1772" s="444">
        <f t="shared" ca="1" si="114"/>
        <v>-522405902.25468385</v>
      </c>
      <c r="M1772" s="460">
        <f t="shared" si="116"/>
        <v>0.05</v>
      </c>
      <c r="N1772" s="464">
        <f t="shared" si="117"/>
        <v>104978</v>
      </c>
    </row>
    <row r="1773" spans="7:14" ht="11.25" customHeight="1" x14ac:dyDescent="0.3">
      <c r="G1773" s="459"/>
      <c r="H1773" s="459">
        <v>1766</v>
      </c>
      <c r="I1773" s="444">
        <f t="shared" ca="1" si="115"/>
        <v>-522405902.25468385</v>
      </c>
      <c r="J1773" s="444">
        <f t="array" ref="J1773">IFERROR(INDEX('Retirement Calculator'!K:K,MATCH('Lorri 401b'!N1773,'Retirement Calculator'!A:A,0),0),0)</f>
        <v>0</v>
      </c>
      <c r="K1773" s="444">
        <f t="shared" ca="1" si="113"/>
        <v>-2176691.2593945162</v>
      </c>
      <c r="L1773" s="444">
        <f t="shared" ca="1" si="114"/>
        <v>-524582593.51407838</v>
      </c>
      <c r="M1773" s="460">
        <f t="shared" si="116"/>
        <v>0.05</v>
      </c>
      <c r="N1773" s="464">
        <f t="shared" si="117"/>
        <v>105008</v>
      </c>
    </row>
    <row r="1774" spans="7:14" ht="11.25" customHeight="1" x14ac:dyDescent="0.3">
      <c r="G1774" s="459"/>
      <c r="H1774" s="459">
        <v>1767</v>
      </c>
      <c r="I1774" s="444">
        <f t="shared" ca="1" si="115"/>
        <v>-524582593.51407838</v>
      </c>
      <c r="J1774" s="444">
        <f t="array" ref="J1774">IFERROR(INDEX('Retirement Calculator'!K:K,MATCH('Lorri 401b'!N1774,'Retirement Calculator'!A:A,0),0),0)</f>
        <v>0</v>
      </c>
      <c r="K1774" s="444">
        <f t="shared" ca="1" si="113"/>
        <v>-2185760.8063086597</v>
      </c>
      <c r="L1774" s="444">
        <f t="shared" ca="1" si="114"/>
        <v>-526768354.32038707</v>
      </c>
      <c r="M1774" s="460">
        <f t="shared" si="116"/>
        <v>0.05</v>
      </c>
      <c r="N1774" s="464">
        <f t="shared" si="117"/>
        <v>105039</v>
      </c>
    </row>
    <row r="1775" spans="7:14" ht="11.25" customHeight="1" x14ac:dyDescent="0.3">
      <c r="G1775" s="459"/>
      <c r="H1775" s="459">
        <v>1768</v>
      </c>
      <c r="I1775" s="444">
        <f t="shared" ca="1" si="115"/>
        <v>-526768354.32038707</v>
      </c>
      <c r="J1775" s="444">
        <f t="array" ref="J1775">IFERROR(INDEX('Retirement Calculator'!K:K,MATCH('Lorri 401b'!N1775,'Retirement Calculator'!A:A,0),0),0)</f>
        <v>0</v>
      </c>
      <c r="K1775" s="444">
        <f t="shared" ca="1" si="113"/>
        <v>-2194868.1430016127</v>
      </c>
      <c r="L1775" s="444">
        <f t="shared" ca="1" si="114"/>
        <v>-528963222.46338868</v>
      </c>
      <c r="M1775" s="460">
        <f t="shared" si="116"/>
        <v>0.05</v>
      </c>
      <c r="N1775" s="464">
        <f t="shared" si="117"/>
        <v>105070</v>
      </c>
    </row>
    <row r="1776" spans="7:14" ht="11.25" customHeight="1" x14ac:dyDescent="0.3">
      <c r="G1776" s="459"/>
      <c r="H1776" s="459">
        <v>1769</v>
      </c>
      <c r="I1776" s="444">
        <f t="shared" ca="1" si="115"/>
        <v>-528963222.46338868</v>
      </c>
      <c r="J1776" s="444">
        <f t="array" ref="J1776">IFERROR(INDEX('Retirement Calculator'!K:K,MATCH('Lorri 401b'!N1776,'Retirement Calculator'!A:A,0),0),0)</f>
        <v>0</v>
      </c>
      <c r="K1776" s="444">
        <f t="shared" ca="1" si="113"/>
        <v>-2204013.4269307861</v>
      </c>
      <c r="L1776" s="444">
        <f t="shared" ca="1" si="114"/>
        <v>-531167235.89031947</v>
      </c>
      <c r="M1776" s="460">
        <f t="shared" si="116"/>
        <v>0.05</v>
      </c>
      <c r="N1776" s="464">
        <f t="shared" si="117"/>
        <v>105100</v>
      </c>
    </row>
    <row r="1777" spans="7:14" ht="11.25" customHeight="1" x14ac:dyDescent="0.3">
      <c r="G1777" s="459"/>
      <c r="H1777" s="459">
        <v>1770</v>
      </c>
      <c r="I1777" s="444">
        <f t="shared" ca="1" si="115"/>
        <v>-531167235.89031947</v>
      </c>
      <c r="J1777" s="444">
        <f t="array" ref="J1777">IFERROR(INDEX('Retirement Calculator'!K:K,MATCH('Lorri 401b'!N1777,'Retirement Calculator'!A:A,0),0),0)</f>
        <v>0</v>
      </c>
      <c r="K1777" s="444">
        <f t="shared" ca="1" si="113"/>
        <v>-2213196.8162096646</v>
      </c>
      <c r="L1777" s="444">
        <f t="shared" ca="1" si="114"/>
        <v>-533380432.70652914</v>
      </c>
      <c r="M1777" s="460">
        <f t="shared" si="116"/>
        <v>0.05</v>
      </c>
      <c r="N1777" s="464">
        <f t="shared" si="117"/>
        <v>105131</v>
      </c>
    </row>
    <row r="1778" spans="7:14" ht="11.25" customHeight="1" x14ac:dyDescent="0.3">
      <c r="G1778" s="459"/>
      <c r="H1778" s="459">
        <v>1771</v>
      </c>
      <c r="I1778" s="444">
        <f t="shared" ca="1" si="115"/>
        <v>-533380432.70652914</v>
      </c>
      <c r="J1778" s="444">
        <f t="array" ref="J1778">IFERROR(INDEX('Retirement Calculator'!K:K,MATCH('Lorri 401b'!N1778,'Retirement Calculator'!A:A,0),0),0)</f>
        <v>0</v>
      </c>
      <c r="K1778" s="444">
        <f t="shared" ca="1" si="113"/>
        <v>-2222418.4696105379</v>
      </c>
      <c r="L1778" s="444">
        <f t="shared" ca="1" si="114"/>
        <v>-535602851.17613965</v>
      </c>
      <c r="M1778" s="460">
        <f t="shared" si="116"/>
        <v>0.05</v>
      </c>
      <c r="N1778" s="464">
        <f t="shared" si="117"/>
        <v>105161</v>
      </c>
    </row>
    <row r="1779" spans="7:14" ht="11.25" customHeight="1" x14ac:dyDescent="0.3">
      <c r="G1779" s="459"/>
      <c r="H1779" s="459">
        <v>1772</v>
      </c>
      <c r="I1779" s="444">
        <f t="shared" ca="1" si="115"/>
        <v>-535602851.17613965</v>
      </c>
      <c r="J1779" s="444">
        <f t="array" ref="J1779">IFERROR(INDEX('Retirement Calculator'!K:K,MATCH('Lorri 401b'!N1779,'Retirement Calculator'!A:A,0),0),0)</f>
        <v>0</v>
      </c>
      <c r="K1779" s="444">
        <f t="shared" ca="1" si="113"/>
        <v>-2231678.5465672482</v>
      </c>
      <c r="L1779" s="444">
        <f t="shared" ca="1" si="114"/>
        <v>-537834529.72270691</v>
      </c>
      <c r="M1779" s="460">
        <f t="shared" si="116"/>
        <v>0.05</v>
      </c>
      <c r="N1779" s="464">
        <f t="shared" si="117"/>
        <v>105192</v>
      </c>
    </row>
    <row r="1780" spans="7:14" ht="11.25" customHeight="1" x14ac:dyDescent="0.3">
      <c r="G1780" s="459"/>
      <c r="H1780" s="459">
        <v>1773</v>
      </c>
      <c r="I1780" s="444">
        <f t="shared" ca="1" si="115"/>
        <v>-537834529.72270691</v>
      </c>
      <c r="J1780" s="444">
        <f t="array" ref="J1780">IFERROR(INDEX('Retirement Calculator'!K:K,MATCH('Lorri 401b'!N1780,'Retirement Calculator'!A:A,0),0),0)</f>
        <v>0</v>
      </c>
      <c r="K1780" s="444">
        <f t="shared" ca="1" si="113"/>
        <v>-2240977.2071779454</v>
      </c>
      <c r="L1780" s="444">
        <f t="shared" ca="1" si="114"/>
        <v>-540075506.92988491</v>
      </c>
      <c r="M1780" s="460">
        <f t="shared" si="116"/>
        <v>0.05</v>
      </c>
      <c r="N1780" s="464">
        <f t="shared" si="117"/>
        <v>105223</v>
      </c>
    </row>
    <row r="1781" spans="7:14" ht="11.25" customHeight="1" x14ac:dyDescent="0.3">
      <c r="G1781" s="459"/>
      <c r="H1781" s="459">
        <v>1774</v>
      </c>
      <c r="I1781" s="444">
        <f t="shared" ca="1" si="115"/>
        <v>-540075506.92988491</v>
      </c>
      <c r="J1781" s="444">
        <f t="array" ref="J1781">IFERROR(INDEX('Retirement Calculator'!K:K,MATCH('Lorri 401b'!N1781,'Retirement Calculator'!A:A,0),0),0)</f>
        <v>0</v>
      </c>
      <c r="K1781" s="444">
        <f t="shared" ca="1" si="113"/>
        <v>-2250314.6122078537</v>
      </c>
      <c r="L1781" s="444">
        <f t="shared" ca="1" si="114"/>
        <v>-542325821.5420928</v>
      </c>
      <c r="M1781" s="460">
        <f t="shared" si="116"/>
        <v>0.05</v>
      </c>
      <c r="N1781" s="464">
        <f t="shared" si="117"/>
        <v>105252</v>
      </c>
    </row>
    <row r="1782" spans="7:14" ht="11.25" customHeight="1" x14ac:dyDescent="0.3">
      <c r="G1782" s="459"/>
      <c r="H1782" s="459">
        <v>1775</v>
      </c>
      <c r="I1782" s="444">
        <f t="shared" ca="1" si="115"/>
        <v>-542325821.5420928</v>
      </c>
      <c r="J1782" s="444">
        <f t="array" ref="J1782">IFERROR(INDEX('Retirement Calculator'!K:K,MATCH('Lorri 401b'!N1782,'Retirement Calculator'!A:A,0),0),0)</f>
        <v>0</v>
      </c>
      <c r="K1782" s="444">
        <f t="shared" ca="1" si="113"/>
        <v>-2259690.9230920533</v>
      </c>
      <c r="L1782" s="444">
        <f t="shared" ca="1" si="114"/>
        <v>-544585512.46518481</v>
      </c>
      <c r="M1782" s="460">
        <f t="shared" si="116"/>
        <v>0.05</v>
      </c>
      <c r="N1782" s="464">
        <f t="shared" si="117"/>
        <v>105283</v>
      </c>
    </row>
    <row r="1783" spans="7:14" ht="11.25" customHeight="1" x14ac:dyDescent="0.3">
      <c r="G1783" s="459"/>
      <c r="H1783" s="459">
        <v>1776</v>
      </c>
      <c r="I1783" s="444">
        <f t="shared" ca="1" si="115"/>
        <v>-544585512.46518481</v>
      </c>
      <c r="J1783" s="444">
        <f t="array" ref="J1783">IFERROR(INDEX('Retirement Calculator'!K:K,MATCH('Lorri 401b'!N1783,'Retirement Calculator'!A:A,0),0),0)</f>
        <v>0</v>
      </c>
      <c r="K1783" s="444">
        <f t="shared" ca="1" si="113"/>
        <v>-2269106.3019382702</v>
      </c>
      <c r="L1783" s="444">
        <f t="shared" ca="1" si="114"/>
        <v>-546854618.7671231</v>
      </c>
      <c r="M1783" s="460">
        <f t="shared" si="116"/>
        <v>0.05</v>
      </c>
      <c r="N1783" s="464">
        <f t="shared" si="117"/>
        <v>105313</v>
      </c>
    </row>
    <row r="1784" spans="7:14" ht="11.25" customHeight="1" x14ac:dyDescent="0.3">
      <c r="G1784" s="459"/>
      <c r="H1784" s="459">
        <v>1777</v>
      </c>
      <c r="I1784" s="444">
        <f t="shared" ca="1" si="115"/>
        <v>-546854618.7671231</v>
      </c>
      <c r="J1784" s="444">
        <f t="array" ref="J1784">IFERROR(INDEX('Retirement Calculator'!K:K,MATCH('Lorri 401b'!N1784,'Retirement Calculator'!A:A,0),0),0)</f>
        <v>0</v>
      </c>
      <c r="K1784" s="444">
        <f t="shared" ca="1" si="113"/>
        <v>-2278560.9115296798</v>
      </c>
      <c r="L1784" s="444">
        <f t="shared" ca="1" si="114"/>
        <v>-549133179.67865276</v>
      </c>
      <c r="M1784" s="460">
        <f t="shared" si="116"/>
        <v>0.05</v>
      </c>
      <c r="N1784" s="464">
        <f t="shared" si="117"/>
        <v>105344</v>
      </c>
    </row>
    <row r="1785" spans="7:14" ht="11.25" customHeight="1" x14ac:dyDescent="0.3">
      <c r="G1785" s="459"/>
      <c r="H1785" s="459">
        <v>1778</v>
      </c>
      <c r="I1785" s="444">
        <f t="shared" ca="1" si="115"/>
        <v>-549133179.67865276</v>
      </c>
      <c r="J1785" s="444">
        <f t="array" ref="J1785">IFERROR(INDEX('Retirement Calculator'!K:K,MATCH('Lorri 401b'!N1785,'Retirement Calculator'!A:A,0),0),0)</f>
        <v>0</v>
      </c>
      <c r="K1785" s="444">
        <f t="shared" ca="1" si="113"/>
        <v>-2288054.9153277199</v>
      </c>
      <c r="L1785" s="444">
        <f t="shared" ca="1" si="114"/>
        <v>-551421234.59398043</v>
      </c>
      <c r="M1785" s="460">
        <f t="shared" si="116"/>
        <v>0.05</v>
      </c>
      <c r="N1785" s="464">
        <f t="shared" si="117"/>
        <v>105374</v>
      </c>
    </row>
    <row r="1786" spans="7:14" ht="11.25" customHeight="1" x14ac:dyDescent="0.3">
      <c r="G1786" s="459"/>
      <c r="H1786" s="459">
        <v>1779</v>
      </c>
      <c r="I1786" s="444">
        <f t="shared" ca="1" si="115"/>
        <v>-551421234.59398043</v>
      </c>
      <c r="J1786" s="444">
        <f t="array" ref="J1786">IFERROR(INDEX('Retirement Calculator'!K:K,MATCH('Lorri 401b'!N1786,'Retirement Calculator'!A:A,0),0),0)</f>
        <v>0</v>
      </c>
      <c r="K1786" s="444">
        <f t="shared" ca="1" si="113"/>
        <v>-2297588.4774749186</v>
      </c>
      <c r="L1786" s="444">
        <f t="shared" ca="1" si="114"/>
        <v>-553718823.07145536</v>
      </c>
      <c r="M1786" s="460">
        <f t="shared" si="116"/>
        <v>0.05</v>
      </c>
      <c r="N1786" s="464">
        <f t="shared" si="117"/>
        <v>105405</v>
      </c>
    </row>
    <row r="1787" spans="7:14" ht="11.25" customHeight="1" x14ac:dyDescent="0.3">
      <c r="G1787" s="459"/>
      <c r="H1787" s="459">
        <v>1780</v>
      </c>
      <c r="I1787" s="444">
        <f t="shared" ca="1" si="115"/>
        <v>-553718823.07145536</v>
      </c>
      <c r="J1787" s="444">
        <f t="array" ref="J1787">IFERROR(INDEX('Retirement Calculator'!K:K,MATCH('Lorri 401b'!N1787,'Retirement Calculator'!A:A,0),0),0)</f>
        <v>0</v>
      </c>
      <c r="K1787" s="444">
        <f t="shared" ca="1" si="113"/>
        <v>-2307161.7627977305</v>
      </c>
      <c r="L1787" s="444">
        <f t="shared" ca="1" si="114"/>
        <v>-556025984.83425307</v>
      </c>
      <c r="M1787" s="460">
        <f t="shared" si="116"/>
        <v>0.05</v>
      </c>
      <c r="N1787" s="464">
        <f t="shared" si="117"/>
        <v>105436</v>
      </c>
    </row>
    <row r="1788" spans="7:14" ht="11.25" customHeight="1" x14ac:dyDescent="0.3">
      <c r="G1788" s="459"/>
      <c r="H1788" s="459">
        <v>1781</v>
      </c>
      <c r="I1788" s="444">
        <f t="shared" ca="1" si="115"/>
        <v>-556025984.83425307</v>
      </c>
      <c r="J1788" s="444">
        <f t="array" ref="J1788">IFERROR(INDEX('Retirement Calculator'!K:K,MATCH('Lorri 401b'!N1788,'Retirement Calculator'!A:A,0),0),0)</f>
        <v>0</v>
      </c>
      <c r="K1788" s="444">
        <f t="shared" ca="1" si="113"/>
        <v>-2316774.936809388</v>
      </c>
      <c r="L1788" s="444">
        <f t="shared" ca="1" si="114"/>
        <v>-558342759.77106249</v>
      </c>
      <c r="M1788" s="460">
        <f t="shared" si="116"/>
        <v>0.05</v>
      </c>
      <c r="N1788" s="464">
        <f t="shared" si="117"/>
        <v>105466</v>
      </c>
    </row>
    <row r="1789" spans="7:14" ht="11.25" customHeight="1" x14ac:dyDescent="0.3">
      <c r="G1789" s="459"/>
      <c r="H1789" s="459">
        <v>1782</v>
      </c>
      <c r="I1789" s="444">
        <f t="shared" ca="1" si="115"/>
        <v>-558342759.77106249</v>
      </c>
      <c r="J1789" s="444">
        <f t="array" ref="J1789">IFERROR(INDEX('Retirement Calculator'!K:K,MATCH('Lorri 401b'!N1789,'Retirement Calculator'!A:A,0),0),0)</f>
        <v>0</v>
      </c>
      <c r="K1789" s="444">
        <f t="shared" ca="1" si="113"/>
        <v>-2326428.1657127603</v>
      </c>
      <c r="L1789" s="444">
        <f t="shared" ca="1" si="114"/>
        <v>-560669187.93677521</v>
      </c>
      <c r="M1789" s="460">
        <f t="shared" si="116"/>
        <v>0.05</v>
      </c>
      <c r="N1789" s="464">
        <f t="shared" si="117"/>
        <v>105497</v>
      </c>
    </row>
    <row r="1790" spans="7:14" ht="11.25" customHeight="1" x14ac:dyDescent="0.3">
      <c r="G1790" s="459"/>
      <c r="H1790" s="459">
        <v>1783</v>
      </c>
      <c r="I1790" s="444">
        <f t="shared" ca="1" si="115"/>
        <v>-560669187.93677521</v>
      </c>
      <c r="J1790" s="444">
        <f t="array" ref="J1790">IFERROR(INDEX('Retirement Calculator'!K:K,MATCH('Lorri 401b'!N1790,'Retirement Calculator'!A:A,0),0),0)</f>
        <v>0</v>
      </c>
      <c r="K1790" s="444">
        <f t="shared" ca="1" si="113"/>
        <v>-2336121.61640323</v>
      </c>
      <c r="L1790" s="444">
        <f t="shared" ca="1" si="114"/>
        <v>-563005309.55317843</v>
      </c>
      <c r="M1790" s="460">
        <f t="shared" si="116"/>
        <v>0.05</v>
      </c>
      <c r="N1790" s="464">
        <f t="shared" si="117"/>
        <v>105527</v>
      </c>
    </row>
    <row r="1791" spans="7:14" ht="11.25" customHeight="1" x14ac:dyDescent="0.3">
      <c r="G1791" s="459"/>
      <c r="H1791" s="459">
        <v>1784</v>
      </c>
      <c r="I1791" s="444">
        <f t="shared" ca="1" si="115"/>
        <v>-563005309.55317843</v>
      </c>
      <c r="J1791" s="444">
        <f t="array" ref="J1791">IFERROR(INDEX('Retirement Calculator'!K:K,MATCH('Lorri 401b'!N1791,'Retirement Calculator'!A:A,0),0),0)</f>
        <v>0</v>
      </c>
      <c r="K1791" s="444">
        <f t="shared" ca="1" si="113"/>
        <v>-2345855.4564715768</v>
      </c>
      <c r="L1791" s="444">
        <f t="shared" ca="1" si="114"/>
        <v>-565351165.00964999</v>
      </c>
      <c r="M1791" s="460">
        <f t="shared" si="116"/>
        <v>0.05</v>
      </c>
      <c r="N1791" s="464">
        <f t="shared" si="117"/>
        <v>105558</v>
      </c>
    </row>
    <row r="1792" spans="7:14" ht="11.25" customHeight="1" x14ac:dyDescent="0.3">
      <c r="G1792" s="459"/>
      <c r="H1792" s="459">
        <v>1785</v>
      </c>
      <c r="I1792" s="444">
        <f t="shared" ca="1" si="115"/>
        <v>-565351165.00964999</v>
      </c>
      <c r="J1792" s="444">
        <f t="array" ref="J1792">IFERROR(INDEX('Retirement Calculator'!K:K,MATCH('Lorri 401b'!N1792,'Retirement Calculator'!A:A,0),0),0)</f>
        <v>0</v>
      </c>
      <c r="K1792" s="444">
        <f t="shared" ca="1" si="113"/>
        <v>-2355629.854206875</v>
      </c>
      <c r="L1792" s="444">
        <f t="shared" ca="1" si="114"/>
        <v>-567706794.86385691</v>
      </c>
      <c r="M1792" s="460">
        <f t="shared" si="116"/>
        <v>0.05</v>
      </c>
      <c r="N1792" s="464">
        <f t="shared" si="117"/>
        <v>105589</v>
      </c>
    </row>
    <row r="1793" spans="7:14" ht="11.25" customHeight="1" x14ac:dyDescent="0.3">
      <c r="G1793" s="459"/>
      <c r="H1793" s="459">
        <v>1786</v>
      </c>
      <c r="I1793" s="444">
        <f t="shared" ca="1" si="115"/>
        <v>-567706794.86385691</v>
      </c>
      <c r="J1793" s="444">
        <f t="array" ref="J1793">IFERROR(INDEX('Retirement Calculator'!K:K,MATCH('Lorri 401b'!N1793,'Retirement Calculator'!A:A,0),0),0)</f>
        <v>0</v>
      </c>
      <c r="K1793" s="444">
        <f t="shared" ref="K1793:K2047" ca="1" si="118">IPMT(M1793/12,1,12,-I1793+J1793,,0)</f>
        <v>-2365444.978599404</v>
      </c>
      <c r="L1793" s="444">
        <f t="shared" ref="L1793:L2047" ca="1" si="119">I1793-J1793+K1793</f>
        <v>-570072239.84245634</v>
      </c>
      <c r="M1793" s="460">
        <f t="shared" si="116"/>
        <v>0.05</v>
      </c>
      <c r="N1793" s="464">
        <f t="shared" si="117"/>
        <v>105617</v>
      </c>
    </row>
    <row r="1794" spans="7:14" ht="11.25" customHeight="1" x14ac:dyDescent="0.3">
      <c r="G1794" s="459"/>
      <c r="H1794" s="459">
        <v>1787</v>
      </c>
      <c r="I1794" s="444">
        <f t="shared" ref="I1794:I2048" ca="1" si="120">L1793</f>
        <v>-570072239.84245634</v>
      </c>
      <c r="J1794" s="444">
        <f t="array" ref="J1794">IFERROR(INDEX('Retirement Calculator'!K:K,MATCH('Lorri 401b'!N1794,'Retirement Calculator'!A:A,0),0),0)</f>
        <v>0</v>
      </c>
      <c r="K1794" s="444">
        <f t="shared" ca="1" si="118"/>
        <v>-2375300.999343568</v>
      </c>
      <c r="L1794" s="444">
        <f t="shared" ca="1" si="119"/>
        <v>-572447540.84179986</v>
      </c>
      <c r="M1794" s="460">
        <f t="shared" ref="M1794:M2048" si="121">M1793</f>
        <v>0.05</v>
      </c>
      <c r="N1794" s="464">
        <f t="shared" ref="N1794:N2048" si="122">EDATE(N1793,1)</f>
        <v>105648</v>
      </c>
    </row>
    <row r="1795" spans="7:14" ht="11.25" customHeight="1" x14ac:dyDescent="0.3">
      <c r="G1795" s="459"/>
      <c r="H1795" s="459">
        <v>1788</v>
      </c>
      <c r="I1795" s="444">
        <f t="shared" ca="1" si="120"/>
        <v>-572447540.84179986</v>
      </c>
      <c r="J1795" s="444">
        <f t="array" ref="J1795">IFERROR(INDEX('Retirement Calculator'!K:K,MATCH('Lorri 401b'!N1795,'Retirement Calculator'!A:A,0),0),0)</f>
        <v>0</v>
      </c>
      <c r="K1795" s="444">
        <f t="shared" ca="1" si="118"/>
        <v>-2385198.0868408326</v>
      </c>
      <c r="L1795" s="444">
        <f t="shared" ca="1" si="119"/>
        <v>-574832738.92864072</v>
      </c>
      <c r="M1795" s="460">
        <f t="shared" si="121"/>
        <v>0.05</v>
      </c>
      <c r="N1795" s="464">
        <f t="shared" si="122"/>
        <v>105678</v>
      </c>
    </row>
    <row r="1796" spans="7:14" ht="11.25" customHeight="1" x14ac:dyDescent="0.3">
      <c r="G1796" s="459"/>
      <c r="H1796" s="459">
        <v>1789</v>
      </c>
      <c r="I1796" s="444">
        <f t="shared" ca="1" si="120"/>
        <v>-574832738.92864072</v>
      </c>
      <c r="J1796" s="444">
        <f t="array" ref="J1796">IFERROR(INDEX('Retirement Calculator'!K:K,MATCH('Lorri 401b'!N1796,'Retirement Calculator'!A:A,0),0),0)</f>
        <v>0</v>
      </c>
      <c r="K1796" s="444">
        <f t="shared" ca="1" si="118"/>
        <v>-2395136.4122026698</v>
      </c>
      <c r="L1796" s="444">
        <f t="shared" ca="1" si="119"/>
        <v>-577227875.34084344</v>
      </c>
      <c r="M1796" s="460">
        <f t="shared" si="121"/>
        <v>0.05</v>
      </c>
      <c r="N1796" s="464">
        <f t="shared" si="122"/>
        <v>105709</v>
      </c>
    </row>
    <row r="1797" spans="7:14" ht="11.25" customHeight="1" x14ac:dyDescent="0.3">
      <c r="G1797" s="459"/>
      <c r="H1797" s="459">
        <v>1790</v>
      </c>
      <c r="I1797" s="444">
        <f t="shared" ca="1" si="120"/>
        <v>-577227875.34084344</v>
      </c>
      <c r="J1797" s="444">
        <f t="array" ref="J1797">IFERROR(INDEX('Retirement Calculator'!K:K,MATCH('Lorri 401b'!N1797,'Retirement Calculator'!A:A,0),0),0)</f>
        <v>0</v>
      </c>
      <c r="K1797" s="444">
        <f t="shared" ca="1" si="118"/>
        <v>-2405116.1472535143</v>
      </c>
      <c r="L1797" s="444">
        <f t="shared" ca="1" si="119"/>
        <v>-579632991.48809695</v>
      </c>
      <c r="M1797" s="460">
        <f t="shared" si="121"/>
        <v>0.05</v>
      </c>
      <c r="N1797" s="464">
        <f t="shared" si="122"/>
        <v>105739</v>
      </c>
    </row>
    <row r="1798" spans="7:14" ht="11.25" customHeight="1" x14ac:dyDescent="0.3">
      <c r="G1798" s="459"/>
      <c r="H1798" s="459">
        <v>1791</v>
      </c>
      <c r="I1798" s="444">
        <f t="shared" ca="1" si="120"/>
        <v>-579632991.48809695</v>
      </c>
      <c r="J1798" s="444">
        <f t="array" ref="J1798">IFERROR(INDEX('Retirement Calculator'!K:K,MATCH('Lorri 401b'!N1798,'Retirement Calculator'!A:A,0),0),0)</f>
        <v>0</v>
      </c>
      <c r="K1798" s="444">
        <f t="shared" ca="1" si="118"/>
        <v>-2415137.4645337374</v>
      </c>
      <c r="L1798" s="444">
        <f t="shared" ca="1" si="119"/>
        <v>-582048128.95263064</v>
      </c>
      <c r="M1798" s="460">
        <f t="shared" si="121"/>
        <v>0.05</v>
      </c>
      <c r="N1798" s="464">
        <f t="shared" si="122"/>
        <v>105770</v>
      </c>
    </row>
    <row r="1799" spans="7:14" ht="11.25" customHeight="1" x14ac:dyDescent="0.3">
      <c r="G1799" s="459"/>
      <c r="H1799" s="459">
        <v>1792</v>
      </c>
      <c r="I1799" s="444">
        <f t="shared" ca="1" si="120"/>
        <v>-582048128.95263064</v>
      </c>
      <c r="J1799" s="444">
        <f t="array" ref="J1799">IFERROR(INDEX('Retirement Calculator'!K:K,MATCH('Lorri 401b'!N1799,'Retirement Calculator'!A:A,0),0),0)</f>
        <v>0</v>
      </c>
      <c r="K1799" s="444">
        <f t="shared" ca="1" si="118"/>
        <v>-2425200.5373026277</v>
      </c>
      <c r="L1799" s="444">
        <f t="shared" ca="1" si="119"/>
        <v>-584473329.48993325</v>
      </c>
      <c r="M1799" s="460">
        <f t="shared" si="121"/>
        <v>0.05</v>
      </c>
      <c r="N1799" s="464">
        <f t="shared" si="122"/>
        <v>105801</v>
      </c>
    </row>
    <row r="1800" spans="7:14" ht="11.25" customHeight="1" x14ac:dyDescent="0.3">
      <c r="G1800" s="459"/>
      <c r="H1800" s="459">
        <v>1793</v>
      </c>
      <c r="I1800" s="444">
        <f t="shared" ca="1" si="120"/>
        <v>-584473329.48993325</v>
      </c>
      <c r="J1800" s="444">
        <f t="array" ref="J1800">IFERROR(INDEX('Retirement Calculator'!K:K,MATCH('Lorri 401b'!N1800,'Retirement Calculator'!A:A,0),0),0)</f>
        <v>0</v>
      </c>
      <c r="K1800" s="444">
        <f t="shared" ca="1" si="118"/>
        <v>-2435305.5395413884</v>
      </c>
      <c r="L1800" s="444">
        <f t="shared" ca="1" si="119"/>
        <v>-586908635.02947462</v>
      </c>
      <c r="M1800" s="460">
        <f t="shared" si="121"/>
        <v>0.05</v>
      </c>
      <c r="N1800" s="464">
        <f t="shared" si="122"/>
        <v>105831</v>
      </c>
    </row>
    <row r="1801" spans="7:14" ht="11.25" customHeight="1" x14ac:dyDescent="0.3">
      <c r="G1801" s="459"/>
      <c r="H1801" s="459">
        <v>1794</v>
      </c>
      <c r="I1801" s="444">
        <f t="shared" ca="1" si="120"/>
        <v>-586908635.02947462</v>
      </c>
      <c r="J1801" s="444">
        <f t="array" ref="J1801">IFERROR(INDEX('Retirement Calculator'!K:K,MATCH('Lorri 401b'!N1801,'Retirement Calculator'!A:A,0),0),0)</f>
        <v>0</v>
      </c>
      <c r="K1801" s="444">
        <f t="shared" ca="1" si="118"/>
        <v>-2445452.6459561442</v>
      </c>
      <c r="L1801" s="444">
        <f t="shared" ca="1" si="119"/>
        <v>-589354087.67543077</v>
      </c>
      <c r="M1801" s="460">
        <f t="shared" si="121"/>
        <v>0.05</v>
      </c>
      <c r="N1801" s="464">
        <f t="shared" si="122"/>
        <v>105862</v>
      </c>
    </row>
    <row r="1802" spans="7:14" ht="11.25" customHeight="1" x14ac:dyDescent="0.3">
      <c r="G1802" s="459"/>
      <c r="H1802" s="459">
        <v>1795</v>
      </c>
      <c r="I1802" s="444">
        <f t="shared" ca="1" si="120"/>
        <v>-589354087.67543077</v>
      </c>
      <c r="J1802" s="444">
        <f t="array" ref="J1802">IFERROR(INDEX('Retirement Calculator'!K:K,MATCH('Lorri 401b'!N1802,'Retirement Calculator'!A:A,0),0),0)</f>
        <v>0</v>
      </c>
      <c r="K1802" s="444">
        <f t="shared" ca="1" si="118"/>
        <v>-2455642.0319809616</v>
      </c>
      <c r="L1802" s="444">
        <f t="shared" ca="1" si="119"/>
        <v>-591809729.70741177</v>
      </c>
      <c r="M1802" s="460">
        <f t="shared" si="121"/>
        <v>0.05</v>
      </c>
      <c r="N1802" s="464">
        <f t="shared" si="122"/>
        <v>105892</v>
      </c>
    </row>
    <row r="1803" spans="7:14" ht="11.25" customHeight="1" x14ac:dyDescent="0.3">
      <c r="G1803" s="459"/>
      <c r="H1803" s="459">
        <v>1796</v>
      </c>
      <c r="I1803" s="444">
        <f t="shared" ca="1" si="120"/>
        <v>-591809729.70741177</v>
      </c>
      <c r="J1803" s="444">
        <f t="array" ref="J1803">IFERROR(INDEX('Retirement Calculator'!K:K,MATCH('Lorri 401b'!N1803,'Retirement Calculator'!A:A,0),0),0)</f>
        <v>0</v>
      </c>
      <c r="K1803" s="444">
        <f t="shared" ca="1" si="118"/>
        <v>-2465873.8737808825</v>
      </c>
      <c r="L1803" s="444">
        <f t="shared" ca="1" si="119"/>
        <v>-594275603.58119261</v>
      </c>
      <c r="M1803" s="460">
        <f t="shared" si="121"/>
        <v>0.05</v>
      </c>
      <c r="N1803" s="464">
        <f t="shared" si="122"/>
        <v>105923</v>
      </c>
    </row>
    <row r="1804" spans="7:14" ht="11.25" customHeight="1" x14ac:dyDescent="0.3">
      <c r="G1804" s="459"/>
      <c r="H1804" s="459">
        <v>1797</v>
      </c>
      <c r="I1804" s="444">
        <f t="shared" ca="1" si="120"/>
        <v>-594275603.58119261</v>
      </c>
      <c r="J1804" s="444">
        <f t="array" ref="J1804">IFERROR(INDEX('Retirement Calculator'!K:K,MATCH('Lorri 401b'!N1804,'Retirement Calculator'!A:A,0),0),0)</f>
        <v>0</v>
      </c>
      <c r="K1804" s="444">
        <f t="shared" ca="1" si="118"/>
        <v>-2476148.3482549693</v>
      </c>
      <c r="L1804" s="444">
        <f t="shared" ca="1" si="119"/>
        <v>-596751751.92944753</v>
      </c>
      <c r="M1804" s="460">
        <f t="shared" si="121"/>
        <v>0.05</v>
      </c>
      <c r="N1804" s="464">
        <f t="shared" si="122"/>
        <v>105954</v>
      </c>
    </row>
    <row r="1805" spans="7:14" ht="11.25" customHeight="1" x14ac:dyDescent="0.3">
      <c r="G1805" s="459"/>
      <c r="H1805" s="459">
        <v>1798</v>
      </c>
      <c r="I1805" s="444">
        <f t="shared" ca="1" si="120"/>
        <v>-596751751.92944753</v>
      </c>
      <c r="J1805" s="444">
        <f t="array" ref="J1805">IFERROR(INDEX('Retirement Calculator'!K:K,MATCH('Lorri 401b'!N1805,'Retirement Calculator'!A:A,0),0),0)</f>
        <v>0</v>
      </c>
      <c r="K1805" s="444">
        <f t="shared" ca="1" si="118"/>
        <v>-2486465.6330393646</v>
      </c>
      <c r="L1805" s="444">
        <f t="shared" ca="1" si="119"/>
        <v>-599238217.56248689</v>
      </c>
      <c r="M1805" s="460">
        <f t="shared" si="121"/>
        <v>0.05</v>
      </c>
      <c r="N1805" s="464">
        <f t="shared" si="122"/>
        <v>105982</v>
      </c>
    </row>
    <row r="1806" spans="7:14" ht="11.25" customHeight="1" x14ac:dyDescent="0.3">
      <c r="G1806" s="459"/>
      <c r="H1806" s="459">
        <v>1799</v>
      </c>
      <c r="I1806" s="444">
        <f t="shared" ca="1" si="120"/>
        <v>-599238217.56248689</v>
      </c>
      <c r="J1806" s="444">
        <f t="array" ref="J1806">IFERROR(INDEX('Retirement Calculator'!K:K,MATCH('Lorri 401b'!N1806,'Retirement Calculator'!A:A,0),0),0)</f>
        <v>0</v>
      </c>
      <c r="K1806" s="444">
        <f t="shared" ca="1" si="118"/>
        <v>-2496825.9065103619</v>
      </c>
      <c r="L1806" s="444">
        <f t="shared" ca="1" si="119"/>
        <v>-601735043.46899724</v>
      </c>
      <c r="M1806" s="460">
        <f t="shared" si="121"/>
        <v>0.05</v>
      </c>
      <c r="N1806" s="464">
        <f t="shared" si="122"/>
        <v>106013</v>
      </c>
    </row>
    <row r="1807" spans="7:14" ht="11.25" customHeight="1" x14ac:dyDescent="0.3">
      <c r="G1807" s="459"/>
      <c r="H1807" s="459">
        <v>1800</v>
      </c>
      <c r="I1807" s="444">
        <f t="shared" ca="1" si="120"/>
        <v>-601735043.46899724</v>
      </c>
      <c r="J1807" s="444">
        <f t="array" ref="J1807">IFERROR(INDEX('Retirement Calculator'!K:K,MATCH('Lorri 401b'!N1807,'Retirement Calculator'!A:A,0),0),0)</f>
        <v>0</v>
      </c>
      <c r="K1807" s="444">
        <f t="shared" ca="1" si="118"/>
        <v>-2507229.3477874883</v>
      </c>
      <c r="L1807" s="444">
        <f t="shared" ca="1" si="119"/>
        <v>-604242272.81678474</v>
      </c>
      <c r="M1807" s="460">
        <f t="shared" si="121"/>
        <v>0.05</v>
      </c>
      <c r="N1807" s="464">
        <f t="shared" si="122"/>
        <v>106043</v>
      </c>
    </row>
    <row r="1808" spans="7:14" ht="11.25" customHeight="1" x14ac:dyDescent="0.3">
      <c r="G1808" s="459"/>
      <c r="H1808" s="459">
        <v>1801</v>
      </c>
      <c r="I1808" s="444">
        <f t="shared" ca="1" si="120"/>
        <v>-604242272.81678474</v>
      </c>
      <c r="J1808" s="444">
        <f t="array" ref="J1808">IFERROR(INDEX('Retirement Calculator'!K:K,MATCH('Lorri 401b'!N1808,'Retirement Calculator'!A:A,0),0),0)</f>
        <v>0</v>
      </c>
      <c r="K1808" s="444">
        <f t="shared" ca="1" si="118"/>
        <v>-2517676.136736603</v>
      </c>
      <c r="L1808" s="444">
        <f t="shared" ca="1" si="119"/>
        <v>-606759948.95352137</v>
      </c>
      <c r="M1808" s="460">
        <f t="shared" si="121"/>
        <v>0.05</v>
      </c>
      <c r="N1808" s="464">
        <f t="shared" si="122"/>
        <v>106074</v>
      </c>
    </row>
    <row r="1809" spans="7:14" ht="11.25" customHeight="1" x14ac:dyDescent="0.3">
      <c r="G1809" s="459"/>
      <c r="H1809" s="459">
        <v>1802</v>
      </c>
      <c r="I1809" s="444">
        <f t="shared" ca="1" si="120"/>
        <v>-606759948.95352137</v>
      </c>
      <c r="J1809" s="444">
        <f t="array" ref="J1809">IFERROR(INDEX('Retirement Calculator'!K:K,MATCH('Lorri 401b'!N1809,'Retirement Calculator'!A:A,0),0),0)</f>
        <v>0</v>
      </c>
      <c r="K1809" s="444">
        <f t="shared" ca="1" si="118"/>
        <v>-2528166.4539730055</v>
      </c>
      <c r="L1809" s="444">
        <f t="shared" ca="1" si="119"/>
        <v>-609288115.40749443</v>
      </c>
      <c r="M1809" s="460">
        <f t="shared" si="121"/>
        <v>0.05</v>
      </c>
      <c r="N1809" s="464">
        <f t="shared" si="122"/>
        <v>106104</v>
      </c>
    </row>
    <row r="1810" spans="7:14" ht="11.25" customHeight="1" x14ac:dyDescent="0.3">
      <c r="G1810" s="459"/>
      <c r="H1810" s="459">
        <v>1803</v>
      </c>
      <c r="I1810" s="444">
        <f t="shared" ca="1" si="120"/>
        <v>-609288115.40749443</v>
      </c>
      <c r="J1810" s="444">
        <f t="array" ref="J1810">IFERROR(INDEX('Retirement Calculator'!K:K,MATCH('Lorri 401b'!N1810,'Retirement Calculator'!A:A,0),0),0)</f>
        <v>0</v>
      </c>
      <c r="K1810" s="444">
        <f t="shared" ca="1" si="118"/>
        <v>-2538700.4808645602</v>
      </c>
      <c r="L1810" s="444">
        <f t="shared" ca="1" si="119"/>
        <v>-611826815.88835895</v>
      </c>
      <c r="M1810" s="460">
        <f t="shared" si="121"/>
        <v>0.05</v>
      </c>
      <c r="N1810" s="464">
        <f t="shared" si="122"/>
        <v>106135</v>
      </c>
    </row>
    <row r="1811" spans="7:14" ht="11.25" customHeight="1" x14ac:dyDescent="0.3">
      <c r="G1811" s="459"/>
      <c r="H1811" s="459">
        <v>1804</v>
      </c>
      <c r="I1811" s="444">
        <f t="shared" ca="1" si="120"/>
        <v>-611826815.88835895</v>
      </c>
      <c r="J1811" s="444">
        <f t="array" ref="J1811">IFERROR(INDEX('Retirement Calculator'!K:K,MATCH('Lorri 401b'!N1811,'Retirement Calculator'!A:A,0),0),0)</f>
        <v>0</v>
      </c>
      <c r="K1811" s="444">
        <f t="shared" ca="1" si="118"/>
        <v>-2549278.399534829</v>
      </c>
      <c r="L1811" s="444">
        <f t="shared" ca="1" si="119"/>
        <v>-614376094.28789377</v>
      </c>
      <c r="M1811" s="460">
        <f t="shared" si="121"/>
        <v>0.05</v>
      </c>
      <c r="N1811" s="464">
        <f t="shared" si="122"/>
        <v>106166</v>
      </c>
    </row>
    <row r="1812" spans="7:14" ht="11.25" customHeight="1" x14ac:dyDescent="0.3">
      <c r="G1812" s="459"/>
      <c r="H1812" s="459">
        <v>1805</v>
      </c>
      <c r="I1812" s="444">
        <f t="shared" ca="1" si="120"/>
        <v>-614376094.28789377</v>
      </c>
      <c r="J1812" s="444">
        <f t="array" ref="J1812">IFERROR(INDEX('Retirement Calculator'!K:K,MATCH('Lorri 401b'!N1812,'Retirement Calculator'!A:A,0),0),0)</f>
        <v>0</v>
      </c>
      <c r="K1812" s="444">
        <f t="shared" ca="1" si="118"/>
        <v>-2559900.3928662241</v>
      </c>
      <c r="L1812" s="444">
        <f t="shared" ca="1" si="119"/>
        <v>-616935994.68076003</v>
      </c>
      <c r="M1812" s="460">
        <f t="shared" si="121"/>
        <v>0.05</v>
      </c>
      <c r="N1812" s="464">
        <f t="shared" si="122"/>
        <v>106196</v>
      </c>
    </row>
    <row r="1813" spans="7:14" ht="11.25" customHeight="1" x14ac:dyDescent="0.3">
      <c r="G1813" s="459"/>
      <c r="H1813" s="459">
        <v>1806</v>
      </c>
      <c r="I1813" s="444">
        <f t="shared" ca="1" si="120"/>
        <v>-616935994.68076003</v>
      </c>
      <c r="J1813" s="444">
        <f t="array" ref="J1813">IFERROR(INDEX('Retirement Calculator'!K:K,MATCH('Lorri 401b'!N1813,'Retirement Calculator'!A:A,0),0),0)</f>
        <v>0</v>
      </c>
      <c r="K1813" s="444">
        <f t="shared" ca="1" si="118"/>
        <v>-2570566.6445031669</v>
      </c>
      <c r="L1813" s="444">
        <f t="shared" ca="1" si="119"/>
        <v>-619506561.32526314</v>
      </c>
      <c r="M1813" s="460">
        <f t="shared" si="121"/>
        <v>0.05</v>
      </c>
      <c r="N1813" s="464">
        <f t="shared" si="122"/>
        <v>106227</v>
      </c>
    </row>
    <row r="1814" spans="7:14" ht="11.25" customHeight="1" x14ac:dyDescent="0.3">
      <c r="G1814" s="459"/>
      <c r="H1814" s="459">
        <v>1807</v>
      </c>
      <c r="I1814" s="444">
        <f t="shared" ca="1" si="120"/>
        <v>-619506561.32526314</v>
      </c>
      <c r="J1814" s="444">
        <f t="array" ref="J1814">IFERROR(INDEX('Retirement Calculator'!K:K,MATCH('Lorri 401b'!N1814,'Retirement Calculator'!A:A,0),0),0)</f>
        <v>0</v>
      </c>
      <c r="K1814" s="444">
        <f t="shared" ca="1" si="118"/>
        <v>-2581277.3388552628</v>
      </c>
      <c r="L1814" s="444">
        <f t="shared" ca="1" si="119"/>
        <v>-622087838.66411841</v>
      </c>
      <c r="M1814" s="460">
        <f t="shared" si="121"/>
        <v>0.05</v>
      </c>
      <c r="N1814" s="464">
        <f t="shared" si="122"/>
        <v>106257</v>
      </c>
    </row>
    <row r="1815" spans="7:14" ht="11.25" customHeight="1" x14ac:dyDescent="0.3">
      <c r="G1815" s="459"/>
      <c r="H1815" s="459">
        <v>1808</v>
      </c>
      <c r="I1815" s="444">
        <f t="shared" ca="1" si="120"/>
        <v>-622087838.66411841</v>
      </c>
      <c r="J1815" s="444">
        <f t="array" ref="J1815">IFERROR(INDEX('Retirement Calculator'!K:K,MATCH('Lorri 401b'!N1815,'Retirement Calculator'!A:A,0),0),0)</f>
        <v>0</v>
      </c>
      <c r="K1815" s="444">
        <f t="shared" ca="1" si="118"/>
        <v>-2592032.6611004933</v>
      </c>
      <c r="L1815" s="444">
        <f t="shared" ca="1" si="119"/>
        <v>-624679871.32521892</v>
      </c>
      <c r="M1815" s="460">
        <f t="shared" si="121"/>
        <v>0.05</v>
      </c>
      <c r="N1815" s="464">
        <f t="shared" si="122"/>
        <v>106288</v>
      </c>
    </row>
    <row r="1816" spans="7:14" ht="11.25" customHeight="1" x14ac:dyDescent="0.3">
      <c r="G1816" s="459"/>
      <c r="H1816" s="459">
        <v>1809</v>
      </c>
      <c r="I1816" s="444">
        <f t="shared" ca="1" si="120"/>
        <v>-624679871.32521892</v>
      </c>
      <c r="J1816" s="444">
        <f t="array" ref="J1816">IFERROR(INDEX('Retirement Calculator'!K:K,MATCH('Lorri 401b'!N1816,'Retirement Calculator'!A:A,0),0),0)</f>
        <v>0</v>
      </c>
      <c r="K1816" s="444">
        <f t="shared" ca="1" si="118"/>
        <v>-2602832.7971884119</v>
      </c>
      <c r="L1816" s="444">
        <f t="shared" ca="1" si="119"/>
        <v>-627282704.12240732</v>
      </c>
      <c r="M1816" s="460">
        <f t="shared" si="121"/>
        <v>0.05</v>
      </c>
      <c r="N1816" s="464">
        <f t="shared" si="122"/>
        <v>106319</v>
      </c>
    </row>
    <row r="1817" spans="7:14" ht="11.25" customHeight="1" x14ac:dyDescent="0.3">
      <c r="G1817" s="459"/>
      <c r="H1817" s="459">
        <v>1810</v>
      </c>
      <c r="I1817" s="444">
        <f t="shared" ca="1" si="120"/>
        <v>-627282704.12240732</v>
      </c>
      <c r="J1817" s="444">
        <f t="array" ref="J1817">IFERROR(INDEX('Retirement Calculator'!K:K,MATCH('Lorri 401b'!N1817,'Retirement Calculator'!A:A,0),0),0)</f>
        <v>0</v>
      </c>
      <c r="K1817" s="444">
        <f t="shared" ca="1" si="118"/>
        <v>-2613677.933843364</v>
      </c>
      <c r="L1817" s="444">
        <f t="shared" ca="1" si="119"/>
        <v>-629896382.05625069</v>
      </c>
      <c r="M1817" s="460">
        <f t="shared" si="121"/>
        <v>0.05</v>
      </c>
      <c r="N1817" s="464">
        <f t="shared" si="122"/>
        <v>106347</v>
      </c>
    </row>
    <row r="1818" spans="7:14" ht="11.25" customHeight="1" x14ac:dyDescent="0.3">
      <c r="G1818" s="459"/>
      <c r="H1818" s="459">
        <v>1811</v>
      </c>
      <c r="I1818" s="444">
        <f t="shared" ca="1" si="120"/>
        <v>-629896382.05625069</v>
      </c>
      <c r="J1818" s="444">
        <f t="array" ref="J1818">IFERROR(INDEX('Retirement Calculator'!K:K,MATCH('Lorri 401b'!N1818,'Retirement Calculator'!A:A,0),0),0)</f>
        <v>0</v>
      </c>
      <c r="K1818" s="444">
        <f t="shared" ca="1" si="118"/>
        <v>-2624568.2585677113</v>
      </c>
      <c r="L1818" s="444">
        <f t="shared" ca="1" si="119"/>
        <v>-632520950.31481838</v>
      </c>
      <c r="M1818" s="460">
        <f t="shared" si="121"/>
        <v>0.05</v>
      </c>
      <c r="N1818" s="464">
        <f t="shared" si="122"/>
        <v>106378</v>
      </c>
    </row>
    <row r="1819" spans="7:14" ht="11.25" customHeight="1" x14ac:dyDescent="0.3">
      <c r="G1819" s="459"/>
      <c r="H1819" s="459">
        <v>1812</v>
      </c>
      <c r="I1819" s="444">
        <f t="shared" ca="1" si="120"/>
        <v>-632520950.31481838</v>
      </c>
      <c r="J1819" s="444">
        <f t="array" ref="J1819">IFERROR(INDEX('Retirement Calculator'!K:K,MATCH('Lorri 401b'!N1819,'Retirement Calculator'!A:A,0),0),0)</f>
        <v>0</v>
      </c>
      <c r="K1819" s="444">
        <f t="shared" ca="1" si="118"/>
        <v>-2635503.9596450767</v>
      </c>
      <c r="L1819" s="444">
        <f t="shared" ca="1" si="119"/>
        <v>-635156454.27446342</v>
      </c>
      <c r="M1819" s="460">
        <f t="shared" si="121"/>
        <v>0.05</v>
      </c>
      <c r="N1819" s="464">
        <f t="shared" si="122"/>
        <v>106408</v>
      </c>
    </row>
    <row r="1820" spans="7:14" ht="11.25" customHeight="1" x14ac:dyDescent="0.3">
      <c r="G1820" s="459"/>
      <c r="H1820" s="459">
        <v>1813</v>
      </c>
      <c r="I1820" s="444">
        <f t="shared" ca="1" si="120"/>
        <v>-635156454.27446342</v>
      </c>
      <c r="J1820" s="444">
        <f t="array" ref="J1820">IFERROR(INDEX('Retirement Calculator'!K:K,MATCH('Lorri 401b'!N1820,'Retirement Calculator'!A:A,0),0),0)</f>
        <v>0</v>
      </c>
      <c r="K1820" s="444">
        <f t="shared" ca="1" si="118"/>
        <v>-2646485.2261435976</v>
      </c>
      <c r="L1820" s="444">
        <f t="shared" ca="1" si="119"/>
        <v>-637802939.50060701</v>
      </c>
      <c r="M1820" s="460">
        <f t="shared" si="121"/>
        <v>0.05</v>
      </c>
      <c r="N1820" s="464">
        <f t="shared" si="122"/>
        <v>106439</v>
      </c>
    </row>
    <row r="1821" spans="7:14" ht="11.25" customHeight="1" x14ac:dyDescent="0.3">
      <c r="G1821" s="459"/>
      <c r="H1821" s="459">
        <v>1814</v>
      </c>
      <c r="I1821" s="444">
        <f t="shared" ca="1" si="120"/>
        <v>-637802939.50060701</v>
      </c>
      <c r="J1821" s="444">
        <f t="array" ref="J1821">IFERROR(INDEX('Retirement Calculator'!K:K,MATCH('Lorri 401b'!N1821,'Retirement Calculator'!A:A,0),0),0)</f>
        <v>0</v>
      </c>
      <c r="K1821" s="444">
        <f t="shared" ca="1" si="118"/>
        <v>-2657512.2479191958</v>
      </c>
      <c r="L1821" s="444">
        <f t="shared" ca="1" si="119"/>
        <v>-640460451.74852622</v>
      </c>
      <c r="M1821" s="460">
        <f t="shared" si="121"/>
        <v>0.05</v>
      </c>
      <c r="N1821" s="464">
        <f t="shared" si="122"/>
        <v>106469</v>
      </c>
    </row>
    <row r="1822" spans="7:14" ht="11.25" customHeight="1" x14ac:dyDescent="0.3">
      <c r="G1822" s="459"/>
      <c r="H1822" s="459">
        <v>1815</v>
      </c>
      <c r="I1822" s="444">
        <f t="shared" ca="1" si="120"/>
        <v>-640460451.74852622</v>
      </c>
      <c r="J1822" s="444">
        <f t="array" ref="J1822">IFERROR(INDEX('Retirement Calculator'!K:K,MATCH('Lorri 401b'!N1822,'Retirement Calculator'!A:A,0),0),0)</f>
        <v>0</v>
      </c>
      <c r="K1822" s="444">
        <f t="shared" ca="1" si="118"/>
        <v>-2668585.215618859</v>
      </c>
      <c r="L1822" s="444">
        <f t="shared" ca="1" si="119"/>
        <v>-643129036.96414506</v>
      </c>
      <c r="M1822" s="460">
        <f t="shared" si="121"/>
        <v>0.05</v>
      </c>
      <c r="N1822" s="464">
        <f t="shared" si="122"/>
        <v>106500</v>
      </c>
    </row>
    <row r="1823" spans="7:14" ht="11.25" customHeight="1" x14ac:dyDescent="0.3">
      <c r="G1823" s="459"/>
      <c r="H1823" s="459">
        <v>1816</v>
      </c>
      <c r="I1823" s="444">
        <f t="shared" ca="1" si="120"/>
        <v>-643129036.96414506</v>
      </c>
      <c r="J1823" s="444">
        <f t="array" ref="J1823">IFERROR(INDEX('Retirement Calculator'!K:K,MATCH('Lorri 401b'!N1823,'Retirement Calculator'!A:A,0),0),0)</f>
        <v>0</v>
      </c>
      <c r="K1823" s="444">
        <f t="shared" ca="1" si="118"/>
        <v>-2679704.3206839375</v>
      </c>
      <c r="L1823" s="444">
        <f t="shared" ca="1" si="119"/>
        <v>-645808741.28482902</v>
      </c>
      <c r="M1823" s="460">
        <f t="shared" si="121"/>
        <v>0.05</v>
      </c>
      <c r="N1823" s="464">
        <f t="shared" si="122"/>
        <v>106531</v>
      </c>
    </row>
    <row r="1824" spans="7:14" ht="11.25" customHeight="1" x14ac:dyDescent="0.3">
      <c r="G1824" s="459"/>
      <c r="H1824" s="459">
        <v>1817</v>
      </c>
      <c r="I1824" s="444">
        <f t="shared" ca="1" si="120"/>
        <v>-645808741.28482902</v>
      </c>
      <c r="J1824" s="444">
        <f t="array" ref="J1824">IFERROR(INDEX('Retirement Calculator'!K:K,MATCH('Lorri 401b'!N1824,'Retirement Calculator'!A:A,0),0),0)</f>
        <v>0</v>
      </c>
      <c r="K1824" s="444">
        <f t="shared" ca="1" si="118"/>
        <v>-2690869.755353454</v>
      </c>
      <c r="L1824" s="444">
        <f t="shared" ca="1" si="119"/>
        <v>-648499611.04018247</v>
      </c>
      <c r="M1824" s="460">
        <f t="shared" si="121"/>
        <v>0.05</v>
      </c>
      <c r="N1824" s="464">
        <f t="shared" si="122"/>
        <v>106561</v>
      </c>
    </row>
    <row r="1825" spans="7:14" ht="11.25" customHeight="1" x14ac:dyDescent="0.3">
      <c r="G1825" s="459"/>
      <c r="H1825" s="459">
        <v>1818</v>
      </c>
      <c r="I1825" s="444">
        <f t="shared" ca="1" si="120"/>
        <v>-648499611.04018247</v>
      </c>
      <c r="J1825" s="444">
        <f t="array" ref="J1825">IFERROR(INDEX('Retirement Calculator'!K:K,MATCH('Lorri 401b'!N1825,'Retirement Calculator'!A:A,0),0),0)</f>
        <v>0</v>
      </c>
      <c r="K1825" s="444">
        <f t="shared" ca="1" si="118"/>
        <v>-2702081.712667427</v>
      </c>
      <c r="L1825" s="444">
        <f t="shared" ca="1" si="119"/>
        <v>-651201692.75284994</v>
      </c>
      <c r="M1825" s="460">
        <f t="shared" si="121"/>
        <v>0.05</v>
      </c>
      <c r="N1825" s="464">
        <f t="shared" si="122"/>
        <v>106592</v>
      </c>
    </row>
    <row r="1826" spans="7:14" ht="11.25" customHeight="1" x14ac:dyDescent="0.3">
      <c r="G1826" s="459"/>
      <c r="H1826" s="459">
        <v>1819</v>
      </c>
      <c r="I1826" s="444">
        <f t="shared" ca="1" si="120"/>
        <v>-651201692.75284994</v>
      </c>
      <c r="J1826" s="444">
        <f t="array" ref="J1826">IFERROR(INDEX('Retirement Calculator'!K:K,MATCH('Lorri 401b'!N1826,'Retirement Calculator'!A:A,0),0),0)</f>
        <v>0</v>
      </c>
      <c r="K1826" s="444">
        <f t="shared" ca="1" si="118"/>
        <v>-2713340.3864702079</v>
      </c>
      <c r="L1826" s="444">
        <f t="shared" ca="1" si="119"/>
        <v>-653915033.13932014</v>
      </c>
      <c r="M1826" s="460">
        <f t="shared" si="121"/>
        <v>0.05</v>
      </c>
      <c r="N1826" s="464">
        <f t="shared" si="122"/>
        <v>106622</v>
      </c>
    </row>
    <row r="1827" spans="7:14" ht="11.25" customHeight="1" x14ac:dyDescent="0.3">
      <c r="G1827" s="459"/>
      <c r="H1827" s="459">
        <v>1820</v>
      </c>
      <c r="I1827" s="444">
        <f t="shared" ca="1" si="120"/>
        <v>-653915033.13932014</v>
      </c>
      <c r="J1827" s="444">
        <f t="array" ref="J1827">IFERROR(INDEX('Retirement Calculator'!K:K,MATCH('Lorri 401b'!N1827,'Retirement Calculator'!A:A,0),0),0)</f>
        <v>0</v>
      </c>
      <c r="K1827" s="444">
        <f t="shared" ca="1" si="118"/>
        <v>-2724645.971413834</v>
      </c>
      <c r="L1827" s="444">
        <f t="shared" ca="1" si="119"/>
        <v>-656639679.11073399</v>
      </c>
      <c r="M1827" s="460">
        <f t="shared" si="121"/>
        <v>0.05</v>
      </c>
      <c r="N1827" s="464">
        <f t="shared" si="122"/>
        <v>106653</v>
      </c>
    </row>
    <row r="1828" spans="7:14" ht="11.25" customHeight="1" x14ac:dyDescent="0.3">
      <c r="G1828" s="459"/>
      <c r="H1828" s="459">
        <v>1821</v>
      </c>
      <c r="I1828" s="444">
        <f t="shared" ca="1" si="120"/>
        <v>-656639679.11073399</v>
      </c>
      <c r="J1828" s="444">
        <f t="array" ref="J1828">IFERROR(INDEX('Retirement Calculator'!K:K,MATCH('Lorri 401b'!N1828,'Retirement Calculator'!A:A,0),0),0)</f>
        <v>0</v>
      </c>
      <c r="K1828" s="444">
        <f t="shared" ca="1" si="118"/>
        <v>-2735998.6629613917</v>
      </c>
      <c r="L1828" s="444">
        <f t="shared" ca="1" si="119"/>
        <v>-659375677.77369535</v>
      </c>
      <c r="M1828" s="460">
        <f t="shared" si="121"/>
        <v>0.05</v>
      </c>
      <c r="N1828" s="464">
        <f t="shared" si="122"/>
        <v>106684</v>
      </c>
    </row>
    <row r="1829" spans="7:14" ht="11.25" customHeight="1" x14ac:dyDescent="0.3">
      <c r="G1829" s="459"/>
      <c r="H1829" s="459">
        <v>1822</v>
      </c>
      <c r="I1829" s="444">
        <f t="shared" ca="1" si="120"/>
        <v>-659375677.77369535</v>
      </c>
      <c r="J1829" s="444">
        <f t="array" ref="J1829">IFERROR(INDEX('Retirement Calculator'!K:K,MATCH('Lorri 401b'!N1829,'Retirement Calculator'!A:A,0),0),0)</f>
        <v>0</v>
      </c>
      <c r="K1829" s="444">
        <f t="shared" ca="1" si="118"/>
        <v>-2747398.657390397</v>
      </c>
      <c r="L1829" s="444">
        <f t="shared" ca="1" si="119"/>
        <v>-662123076.43108571</v>
      </c>
      <c r="M1829" s="460">
        <f t="shared" si="121"/>
        <v>0.05</v>
      </c>
      <c r="N1829" s="464">
        <f t="shared" si="122"/>
        <v>106713</v>
      </c>
    </row>
    <row r="1830" spans="7:14" ht="11.25" customHeight="1" x14ac:dyDescent="0.3">
      <c r="G1830" s="459"/>
      <c r="H1830" s="459">
        <v>1823</v>
      </c>
      <c r="I1830" s="444">
        <f t="shared" ca="1" si="120"/>
        <v>-662123076.43108571</v>
      </c>
      <c r="J1830" s="444">
        <f t="array" ref="J1830">IFERROR(INDEX('Retirement Calculator'!K:K,MATCH('Lorri 401b'!N1830,'Retirement Calculator'!A:A,0),0),0)</f>
        <v>0</v>
      </c>
      <c r="K1830" s="444">
        <f t="shared" ca="1" si="118"/>
        <v>-2758846.1517961905</v>
      </c>
      <c r="L1830" s="444">
        <f t="shared" ca="1" si="119"/>
        <v>-664881922.58288193</v>
      </c>
      <c r="M1830" s="460">
        <f t="shared" si="121"/>
        <v>0.05</v>
      </c>
      <c r="N1830" s="464">
        <f t="shared" si="122"/>
        <v>106744</v>
      </c>
    </row>
    <row r="1831" spans="7:14" ht="11.25" customHeight="1" x14ac:dyDescent="0.3">
      <c r="G1831" s="459"/>
      <c r="H1831" s="459">
        <v>1824</v>
      </c>
      <c r="I1831" s="444">
        <f t="shared" ca="1" si="120"/>
        <v>-664881922.58288193</v>
      </c>
      <c r="J1831" s="444">
        <f t="array" ref="J1831">IFERROR(INDEX('Retirement Calculator'!K:K,MATCH('Lorri 401b'!N1831,'Retirement Calculator'!A:A,0),0),0)</f>
        <v>0</v>
      </c>
      <c r="K1831" s="444">
        <f t="shared" ca="1" si="118"/>
        <v>-2770341.3440953414</v>
      </c>
      <c r="L1831" s="444">
        <f t="shared" ca="1" si="119"/>
        <v>-667652263.92697728</v>
      </c>
      <c r="M1831" s="460">
        <f t="shared" si="121"/>
        <v>0.05</v>
      </c>
      <c r="N1831" s="464">
        <f t="shared" si="122"/>
        <v>106774</v>
      </c>
    </row>
    <row r="1832" spans="7:14" ht="11.25" customHeight="1" x14ac:dyDescent="0.3">
      <c r="G1832" s="459"/>
      <c r="H1832" s="459">
        <v>1825</v>
      </c>
      <c r="I1832" s="444">
        <f t="shared" ca="1" si="120"/>
        <v>-667652263.92697728</v>
      </c>
      <c r="J1832" s="444">
        <f t="array" ref="J1832">IFERROR(INDEX('Retirement Calculator'!K:K,MATCH('Lorri 401b'!N1832,'Retirement Calculator'!A:A,0),0),0)</f>
        <v>0</v>
      </c>
      <c r="K1832" s="444">
        <f t="shared" ca="1" si="118"/>
        <v>-2781884.4330290719</v>
      </c>
      <c r="L1832" s="444">
        <f t="shared" ca="1" si="119"/>
        <v>-670434148.36000633</v>
      </c>
      <c r="M1832" s="460">
        <f t="shared" si="121"/>
        <v>0.05</v>
      </c>
      <c r="N1832" s="464">
        <f t="shared" si="122"/>
        <v>106805</v>
      </c>
    </row>
    <row r="1833" spans="7:14" ht="11.25" customHeight="1" x14ac:dyDescent="0.3">
      <c r="G1833" s="459"/>
      <c r="H1833" s="459">
        <v>1826</v>
      </c>
      <c r="I1833" s="444">
        <f t="shared" ca="1" si="120"/>
        <v>-670434148.36000633</v>
      </c>
      <c r="J1833" s="444">
        <f t="array" ref="J1833">IFERROR(INDEX('Retirement Calculator'!K:K,MATCH('Lorri 401b'!N1833,'Retirement Calculator'!A:A,0),0),0)</f>
        <v>0</v>
      </c>
      <c r="K1833" s="444">
        <f t="shared" ca="1" si="118"/>
        <v>-2793475.618166693</v>
      </c>
      <c r="L1833" s="444">
        <f t="shared" ca="1" si="119"/>
        <v>-673227623.97817302</v>
      </c>
      <c r="M1833" s="460">
        <f t="shared" si="121"/>
        <v>0.05</v>
      </c>
      <c r="N1833" s="464">
        <f t="shared" si="122"/>
        <v>106835</v>
      </c>
    </row>
    <row r="1834" spans="7:14" ht="11.25" customHeight="1" x14ac:dyDescent="0.3">
      <c r="G1834" s="459"/>
      <c r="H1834" s="459">
        <v>1827</v>
      </c>
      <c r="I1834" s="444">
        <f t="shared" ca="1" si="120"/>
        <v>-673227623.97817302</v>
      </c>
      <c r="J1834" s="444">
        <f t="array" ref="J1834">IFERROR(INDEX('Retirement Calculator'!K:K,MATCH('Lorri 401b'!N1834,'Retirement Calculator'!A:A,0),0),0)</f>
        <v>0</v>
      </c>
      <c r="K1834" s="444">
        <f t="shared" ca="1" si="118"/>
        <v>-2805115.0999090541</v>
      </c>
      <c r="L1834" s="444">
        <f t="shared" ca="1" si="119"/>
        <v>-676032739.07808208</v>
      </c>
      <c r="M1834" s="460">
        <f t="shared" si="121"/>
        <v>0.05</v>
      </c>
      <c r="N1834" s="464">
        <f t="shared" si="122"/>
        <v>106866</v>
      </c>
    </row>
    <row r="1835" spans="7:14" ht="11.25" customHeight="1" x14ac:dyDescent="0.3">
      <c r="G1835" s="459"/>
      <c r="H1835" s="459">
        <v>1828</v>
      </c>
      <c r="I1835" s="444">
        <f t="shared" ca="1" si="120"/>
        <v>-676032739.07808208</v>
      </c>
      <c r="J1835" s="444">
        <f t="array" ref="J1835">IFERROR(INDEX('Retirement Calculator'!K:K,MATCH('Lorri 401b'!N1835,'Retirement Calculator'!A:A,0),0),0)</f>
        <v>0</v>
      </c>
      <c r="K1835" s="444">
        <f t="shared" ca="1" si="118"/>
        <v>-2816803.0794920088</v>
      </c>
      <c r="L1835" s="444">
        <f t="shared" ca="1" si="119"/>
        <v>-678849542.15757406</v>
      </c>
      <c r="M1835" s="460">
        <f t="shared" si="121"/>
        <v>0.05</v>
      </c>
      <c r="N1835" s="464">
        <f t="shared" si="122"/>
        <v>106897</v>
      </c>
    </row>
    <row r="1836" spans="7:14" ht="11.25" customHeight="1" x14ac:dyDescent="0.3">
      <c r="G1836" s="459"/>
      <c r="H1836" s="459">
        <v>1829</v>
      </c>
      <c r="I1836" s="444">
        <f t="shared" ca="1" si="120"/>
        <v>-678849542.15757406</v>
      </c>
      <c r="J1836" s="444">
        <f t="array" ref="J1836">IFERROR(INDEX('Retirement Calculator'!K:K,MATCH('Lorri 401b'!N1836,'Retirement Calculator'!A:A,0),0),0)</f>
        <v>0</v>
      </c>
      <c r="K1836" s="444">
        <f t="shared" ca="1" si="118"/>
        <v>-2828539.758989892</v>
      </c>
      <c r="L1836" s="444">
        <f t="shared" ca="1" si="119"/>
        <v>-681678081.91656399</v>
      </c>
      <c r="M1836" s="460">
        <f t="shared" si="121"/>
        <v>0.05</v>
      </c>
      <c r="N1836" s="464">
        <f t="shared" si="122"/>
        <v>106927</v>
      </c>
    </row>
    <row r="1837" spans="7:14" ht="11.25" customHeight="1" x14ac:dyDescent="0.3">
      <c r="G1837" s="459"/>
      <c r="H1837" s="459">
        <v>1830</v>
      </c>
      <c r="I1837" s="444">
        <f t="shared" ca="1" si="120"/>
        <v>-681678081.91656399</v>
      </c>
      <c r="J1837" s="444">
        <f t="array" ref="J1837">IFERROR(INDEX('Retirement Calculator'!K:K,MATCH('Lorri 401b'!N1837,'Retirement Calculator'!A:A,0),0),0)</f>
        <v>0</v>
      </c>
      <c r="K1837" s="444">
        <f t="shared" ca="1" si="118"/>
        <v>-2840325.3413190166</v>
      </c>
      <c r="L1837" s="444">
        <f t="shared" ca="1" si="119"/>
        <v>-684518407.25788295</v>
      </c>
      <c r="M1837" s="460">
        <f t="shared" si="121"/>
        <v>0.05</v>
      </c>
      <c r="N1837" s="464">
        <f t="shared" si="122"/>
        <v>106958</v>
      </c>
    </row>
    <row r="1838" spans="7:14" ht="11.25" customHeight="1" x14ac:dyDescent="0.3">
      <c r="G1838" s="459"/>
      <c r="H1838" s="459">
        <v>1831</v>
      </c>
      <c r="I1838" s="444">
        <f t="shared" ca="1" si="120"/>
        <v>-684518407.25788295</v>
      </c>
      <c r="J1838" s="444">
        <f t="array" ref="J1838">IFERROR(INDEX('Retirement Calculator'!K:K,MATCH('Lorri 401b'!N1838,'Retirement Calculator'!A:A,0),0),0)</f>
        <v>0</v>
      </c>
      <c r="K1838" s="444">
        <f t="shared" ca="1" si="118"/>
        <v>-2852160.0302411788</v>
      </c>
      <c r="L1838" s="444">
        <f t="shared" ca="1" si="119"/>
        <v>-687370567.28812408</v>
      </c>
      <c r="M1838" s="460">
        <f t="shared" si="121"/>
        <v>0.05</v>
      </c>
      <c r="N1838" s="464">
        <f t="shared" si="122"/>
        <v>106988</v>
      </c>
    </row>
    <row r="1839" spans="7:14" ht="11.25" customHeight="1" x14ac:dyDescent="0.3">
      <c r="G1839" s="459"/>
      <c r="H1839" s="459">
        <v>1832</v>
      </c>
      <c r="I1839" s="444">
        <f t="shared" ca="1" si="120"/>
        <v>-687370567.28812408</v>
      </c>
      <c r="J1839" s="444">
        <f t="array" ref="J1839">IFERROR(INDEX('Retirement Calculator'!K:K,MATCH('Lorri 401b'!N1839,'Retirement Calculator'!A:A,0),0),0)</f>
        <v>0</v>
      </c>
      <c r="K1839" s="444">
        <f t="shared" ca="1" si="118"/>
        <v>-2864044.0303671835</v>
      </c>
      <c r="L1839" s="444">
        <f t="shared" ca="1" si="119"/>
        <v>-690234611.31849122</v>
      </c>
      <c r="M1839" s="460">
        <f t="shared" si="121"/>
        <v>0.05</v>
      </c>
      <c r="N1839" s="464">
        <f t="shared" si="122"/>
        <v>107019</v>
      </c>
    </row>
    <row r="1840" spans="7:14" ht="11.25" customHeight="1" x14ac:dyDescent="0.3">
      <c r="G1840" s="459"/>
      <c r="H1840" s="459">
        <v>1833</v>
      </c>
      <c r="I1840" s="444">
        <f t="shared" ca="1" si="120"/>
        <v>-690234611.31849122</v>
      </c>
      <c r="J1840" s="444">
        <f t="array" ref="J1840">IFERROR(INDEX('Retirement Calculator'!K:K,MATCH('Lorri 401b'!N1840,'Retirement Calculator'!A:A,0),0),0)</f>
        <v>0</v>
      </c>
      <c r="K1840" s="444">
        <f t="shared" ca="1" si="118"/>
        <v>-2875977.5471603801</v>
      </c>
      <c r="L1840" s="444">
        <f t="shared" ca="1" si="119"/>
        <v>-693110588.86565161</v>
      </c>
      <c r="M1840" s="460">
        <f t="shared" si="121"/>
        <v>0.05</v>
      </c>
      <c r="N1840" s="464">
        <f t="shared" si="122"/>
        <v>107050</v>
      </c>
    </row>
    <row r="1841" spans="7:14" ht="11.25" customHeight="1" x14ac:dyDescent="0.3">
      <c r="G1841" s="459"/>
      <c r="H1841" s="459">
        <v>1834</v>
      </c>
      <c r="I1841" s="444">
        <f t="shared" ca="1" si="120"/>
        <v>-693110588.86565161</v>
      </c>
      <c r="J1841" s="444">
        <f t="array" ref="J1841">IFERROR(INDEX('Retirement Calculator'!K:K,MATCH('Lorri 401b'!N1841,'Retirement Calculator'!A:A,0),0),0)</f>
        <v>0</v>
      </c>
      <c r="K1841" s="444">
        <f t="shared" ca="1" si="118"/>
        <v>-2887960.7869402152</v>
      </c>
      <c r="L1841" s="444">
        <f t="shared" ca="1" si="119"/>
        <v>-695998549.65259182</v>
      </c>
      <c r="M1841" s="460">
        <f t="shared" si="121"/>
        <v>0.05</v>
      </c>
      <c r="N1841" s="464">
        <f t="shared" si="122"/>
        <v>107078</v>
      </c>
    </row>
    <row r="1842" spans="7:14" ht="11.25" customHeight="1" x14ac:dyDescent="0.3">
      <c r="G1842" s="459"/>
      <c r="H1842" s="459">
        <v>1835</v>
      </c>
      <c r="I1842" s="444">
        <f t="shared" ca="1" si="120"/>
        <v>-695998549.65259182</v>
      </c>
      <c r="J1842" s="444">
        <f t="array" ref="J1842">IFERROR(INDEX('Retirement Calculator'!K:K,MATCH('Lorri 401b'!N1842,'Retirement Calculator'!A:A,0),0),0)</f>
        <v>0</v>
      </c>
      <c r="K1842" s="444">
        <f t="shared" ca="1" si="118"/>
        <v>-2899993.9568857993</v>
      </c>
      <c r="L1842" s="444">
        <f t="shared" ca="1" si="119"/>
        <v>-698898543.60947764</v>
      </c>
      <c r="M1842" s="460">
        <f t="shared" si="121"/>
        <v>0.05</v>
      </c>
      <c r="N1842" s="464">
        <f t="shared" si="122"/>
        <v>107109</v>
      </c>
    </row>
    <row r="1843" spans="7:14" ht="11.25" customHeight="1" x14ac:dyDescent="0.3">
      <c r="G1843" s="459"/>
      <c r="H1843" s="459">
        <v>1836</v>
      </c>
      <c r="I1843" s="444">
        <f t="shared" ca="1" si="120"/>
        <v>-698898543.60947764</v>
      </c>
      <c r="J1843" s="444">
        <f t="array" ref="J1843">IFERROR(INDEX('Retirement Calculator'!K:K,MATCH('Lorri 401b'!N1843,'Retirement Calculator'!A:A,0),0),0)</f>
        <v>0</v>
      </c>
      <c r="K1843" s="444">
        <f t="shared" ca="1" si="118"/>
        <v>-2912077.2650394901</v>
      </c>
      <c r="L1843" s="444">
        <f t="shared" ca="1" si="119"/>
        <v>-701810620.87451708</v>
      </c>
      <c r="M1843" s="460">
        <f t="shared" si="121"/>
        <v>0.05</v>
      </c>
      <c r="N1843" s="464">
        <f t="shared" si="122"/>
        <v>107139</v>
      </c>
    </row>
    <row r="1844" spans="7:14" ht="11.25" customHeight="1" x14ac:dyDescent="0.3">
      <c r="G1844" s="459"/>
      <c r="H1844" s="459">
        <v>1837</v>
      </c>
      <c r="I1844" s="444">
        <f t="shared" ca="1" si="120"/>
        <v>-701810620.87451708</v>
      </c>
      <c r="J1844" s="444">
        <f t="array" ref="J1844">IFERROR(INDEX('Retirement Calculator'!K:K,MATCH('Lorri 401b'!N1844,'Retirement Calculator'!A:A,0),0),0)</f>
        <v>0</v>
      </c>
      <c r="K1844" s="444">
        <f t="shared" ca="1" si="118"/>
        <v>-2924210.920310488</v>
      </c>
      <c r="L1844" s="444">
        <f t="shared" ca="1" si="119"/>
        <v>-704734831.79482758</v>
      </c>
      <c r="M1844" s="460">
        <f t="shared" si="121"/>
        <v>0.05</v>
      </c>
      <c r="N1844" s="464">
        <f t="shared" si="122"/>
        <v>107170</v>
      </c>
    </row>
    <row r="1845" spans="7:14" ht="11.25" customHeight="1" x14ac:dyDescent="0.3">
      <c r="G1845" s="459"/>
      <c r="H1845" s="459">
        <v>1838</v>
      </c>
      <c r="I1845" s="444">
        <f t="shared" ca="1" si="120"/>
        <v>-704734831.79482758</v>
      </c>
      <c r="J1845" s="444">
        <f t="array" ref="J1845">IFERROR(INDEX('Retirement Calculator'!K:K,MATCH('Lorri 401b'!N1845,'Retirement Calculator'!A:A,0),0),0)</f>
        <v>0</v>
      </c>
      <c r="K1845" s="444">
        <f t="shared" ca="1" si="118"/>
        <v>-2936395.1324784481</v>
      </c>
      <c r="L1845" s="444">
        <f t="shared" ca="1" si="119"/>
        <v>-707671226.92730606</v>
      </c>
      <c r="M1845" s="460">
        <f t="shared" si="121"/>
        <v>0.05</v>
      </c>
      <c r="N1845" s="464">
        <f t="shared" si="122"/>
        <v>107200</v>
      </c>
    </row>
    <row r="1846" spans="7:14" ht="11.25" customHeight="1" x14ac:dyDescent="0.3">
      <c r="G1846" s="459"/>
      <c r="H1846" s="459">
        <v>1839</v>
      </c>
      <c r="I1846" s="444">
        <f t="shared" ca="1" si="120"/>
        <v>-707671226.92730606</v>
      </c>
      <c r="J1846" s="444">
        <f t="array" ref="J1846">IFERROR(INDEX('Retirement Calculator'!K:K,MATCH('Lorri 401b'!N1846,'Retirement Calculator'!A:A,0),0),0)</f>
        <v>0</v>
      </c>
      <c r="K1846" s="444">
        <f t="shared" ca="1" si="118"/>
        <v>-2948630.1121971086</v>
      </c>
      <c r="L1846" s="444">
        <f t="shared" ca="1" si="119"/>
        <v>-710619857.03950322</v>
      </c>
      <c r="M1846" s="460">
        <f t="shared" si="121"/>
        <v>0.05</v>
      </c>
      <c r="N1846" s="464">
        <f t="shared" si="122"/>
        <v>107231</v>
      </c>
    </row>
    <row r="1847" spans="7:14" ht="11.25" customHeight="1" x14ac:dyDescent="0.3">
      <c r="G1847" s="459"/>
      <c r="H1847" s="459">
        <v>1840</v>
      </c>
      <c r="I1847" s="444">
        <f t="shared" ca="1" si="120"/>
        <v>-710619857.03950322</v>
      </c>
      <c r="J1847" s="444">
        <f t="array" ref="J1847">IFERROR(INDEX('Retirement Calculator'!K:K,MATCH('Lorri 401b'!N1847,'Retirement Calculator'!A:A,0),0),0)</f>
        <v>0</v>
      </c>
      <c r="K1847" s="444">
        <f t="shared" ca="1" si="118"/>
        <v>-2960916.0709979301</v>
      </c>
      <c r="L1847" s="444">
        <f t="shared" ca="1" si="119"/>
        <v>-713580773.11050117</v>
      </c>
      <c r="M1847" s="460">
        <f t="shared" si="121"/>
        <v>0.05</v>
      </c>
      <c r="N1847" s="464">
        <f t="shared" si="122"/>
        <v>107262</v>
      </c>
    </row>
    <row r="1848" spans="7:14" ht="11.25" customHeight="1" x14ac:dyDescent="0.3">
      <c r="G1848" s="459"/>
      <c r="H1848" s="459">
        <v>1841</v>
      </c>
      <c r="I1848" s="444">
        <f t="shared" ca="1" si="120"/>
        <v>-713580773.11050117</v>
      </c>
      <c r="J1848" s="444">
        <f t="array" ref="J1848">IFERROR(INDEX('Retirement Calculator'!K:K,MATCH('Lorri 401b'!N1848,'Retirement Calculator'!A:A,0),0),0)</f>
        <v>0</v>
      </c>
      <c r="K1848" s="444">
        <f t="shared" ca="1" si="118"/>
        <v>-2973253.2212937549</v>
      </c>
      <c r="L1848" s="444">
        <f t="shared" ca="1" si="119"/>
        <v>-716554026.33179498</v>
      </c>
      <c r="M1848" s="460">
        <f t="shared" si="121"/>
        <v>0.05</v>
      </c>
      <c r="N1848" s="464">
        <f t="shared" si="122"/>
        <v>107292</v>
      </c>
    </row>
    <row r="1849" spans="7:14" ht="11.25" customHeight="1" x14ac:dyDescent="0.3">
      <c r="G1849" s="459"/>
      <c r="H1849" s="459">
        <v>1842</v>
      </c>
      <c r="I1849" s="444">
        <f t="shared" ca="1" si="120"/>
        <v>-716554026.33179498</v>
      </c>
      <c r="J1849" s="444">
        <f t="array" ref="J1849">IFERROR(INDEX('Retirement Calculator'!K:K,MATCH('Lorri 401b'!N1849,'Retirement Calculator'!A:A,0),0),0)</f>
        <v>0</v>
      </c>
      <c r="K1849" s="444">
        <f t="shared" ca="1" si="118"/>
        <v>-2985641.7763824789</v>
      </c>
      <c r="L1849" s="444">
        <f t="shared" ca="1" si="119"/>
        <v>-719539668.10817742</v>
      </c>
      <c r="M1849" s="460">
        <f t="shared" si="121"/>
        <v>0.05</v>
      </c>
      <c r="N1849" s="464">
        <f t="shared" si="122"/>
        <v>107323</v>
      </c>
    </row>
    <row r="1850" spans="7:14" ht="11.25" customHeight="1" x14ac:dyDescent="0.3">
      <c r="G1850" s="459"/>
      <c r="H1850" s="459">
        <v>1843</v>
      </c>
      <c r="I1850" s="444">
        <f t="shared" ca="1" si="120"/>
        <v>-719539668.10817742</v>
      </c>
      <c r="J1850" s="444">
        <f t="array" ref="J1850">IFERROR(INDEX('Retirement Calculator'!K:K,MATCH('Lorri 401b'!N1850,'Retirement Calculator'!A:A,0),0),0)</f>
        <v>0</v>
      </c>
      <c r="K1850" s="444">
        <f t="shared" ca="1" si="118"/>
        <v>-2998081.9504507394</v>
      </c>
      <c r="L1850" s="444">
        <f t="shared" ca="1" si="119"/>
        <v>-722537750.0586282</v>
      </c>
      <c r="M1850" s="460">
        <f t="shared" si="121"/>
        <v>0.05</v>
      </c>
      <c r="N1850" s="464">
        <f t="shared" si="122"/>
        <v>107353</v>
      </c>
    </row>
    <row r="1851" spans="7:14" ht="11.25" customHeight="1" x14ac:dyDescent="0.3">
      <c r="G1851" s="459"/>
      <c r="H1851" s="459">
        <v>1844</v>
      </c>
      <c r="I1851" s="444">
        <f t="shared" ca="1" si="120"/>
        <v>-722537750.0586282</v>
      </c>
      <c r="J1851" s="444">
        <f t="array" ref="J1851">IFERROR(INDEX('Retirement Calculator'!K:K,MATCH('Lorri 401b'!N1851,'Retirement Calculator'!A:A,0),0),0)</f>
        <v>0</v>
      </c>
      <c r="K1851" s="444">
        <f t="shared" ca="1" si="118"/>
        <v>-3010573.9585776175</v>
      </c>
      <c r="L1851" s="444">
        <f t="shared" ca="1" si="119"/>
        <v>-725548324.01720583</v>
      </c>
      <c r="M1851" s="460">
        <f t="shared" si="121"/>
        <v>0.05</v>
      </c>
      <c r="N1851" s="464">
        <f t="shared" si="122"/>
        <v>107384</v>
      </c>
    </row>
    <row r="1852" spans="7:14" ht="11.25" customHeight="1" x14ac:dyDescent="0.3">
      <c r="G1852" s="459"/>
      <c r="H1852" s="459">
        <v>1845</v>
      </c>
      <c r="I1852" s="444">
        <f t="shared" ca="1" si="120"/>
        <v>-725548324.01720583</v>
      </c>
      <c r="J1852" s="444">
        <f t="array" ref="J1852">IFERROR(INDEX('Retirement Calculator'!K:K,MATCH('Lorri 401b'!N1852,'Retirement Calculator'!A:A,0),0),0)</f>
        <v>0</v>
      </c>
      <c r="K1852" s="444">
        <f t="shared" ca="1" si="118"/>
        <v>-3023118.0167383575</v>
      </c>
      <c r="L1852" s="444">
        <f t="shared" ca="1" si="119"/>
        <v>-728571442.03394425</v>
      </c>
      <c r="M1852" s="460">
        <f t="shared" si="121"/>
        <v>0.05</v>
      </c>
      <c r="N1852" s="464">
        <f t="shared" si="122"/>
        <v>107415</v>
      </c>
    </row>
    <row r="1853" spans="7:14" ht="11.25" customHeight="1" x14ac:dyDescent="0.3">
      <c r="G1853" s="459"/>
      <c r="H1853" s="459">
        <v>1846</v>
      </c>
      <c r="I1853" s="444">
        <f t="shared" ca="1" si="120"/>
        <v>-728571442.03394425</v>
      </c>
      <c r="J1853" s="444">
        <f t="array" ref="J1853">IFERROR(INDEX('Retirement Calculator'!K:K,MATCH('Lorri 401b'!N1853,'Retirement Calculator'!A:A,0),0),0)</f>
        <v>0</v>
      </c>
      <c r="K1853" s="444">
        <f t="shared" ca="1" si="118"/>
        <v>-3035714.3418081012</v>
      </c>
      <c r="L1853" s="444">
        <f t="shared" ca="1" si="119"/>
        <v>-731607156.37575233</v>
      </c>
      <c r="M1853" s="460">
        <f t="shared" si="121"/>
        <v>0.05</v>
      </c>
      <c r="N1853" s="464">
        <f t="shared" si="122"/>
        <v>107443</v>
      </c>
    </row>
    <row r="1854" spans="7:14" ht="11.25" customHeight="1" x14ac:dyDescent="0.3">
      <c r="G1854" s="459"/>
      <c r="H1854" s="459">
        <v>1847</v>
      </c>
      <c r="I1854" s="444">
        <f t="shared" ca="1" si="120"/>
        <v>-731607156.37575233</v>
      </c>
      <c r="J1854" s="444">
        <f t="array" ref="J1854">IFERROR(INDEX('Retirement Calculator'!K:K,MATCH('Lorri 401b'!N1854,'Retirement Calculator'!A:A,0),0),0)</f>
        <v>0</v>
      </c>
      <c r="K1854" s="444">
        <f t="shared" ca="1" si="118"/>
        <v>-3048363.1515656346</v>
      </c>
      <c r="L1854" s="444">
        <f t="shared" ca="1" si="119"/>
        <v>-734655519.527318</v>
      </c>
      <c r="M1854" s="460">
        <f t="shared" si="121"/>
        <v>0.05</v>
      </c>
      <c r="N1854" s="464">
        <f t="shared" si="122"/>
        <v>107474</v>
      </c>
    </row>
    <row r="1855" spans="7:14" ht="11.25" customHeight="1" x14ac:dyDescent="0.3">
      <c r="G1855" s="459"/>
      <c r="H1855" s="459">
        <v>1848</v>
      </c>
      <c r="I1855" s="444">
        <f t="shared" ca="1" si="120"/>
        <v>-734655519.527318</v>
      </c>
      <c r="J1855" s="444">
        <f t="array" ref="J1855">IFERROR(INDEX('Retirement Calculator'!K:K,MATCH('Lorri 401b'!N1855,'Retirement Calculator'!A:A,0),0),0)</f>
        <v>0</v>
      </c>
      <c r="K1855" s="444">
        <f t="shared" ca="1" si="118"/>
        <v>-3061064.6646971582</v>
      </c>
      <c r="L1855" s="444">
        <f t="shared" ca="1" si="119"/>
        <v>-737716584.19201517</v>
      </c>
      <c r="M1855" s="460">
        <f t="shared" si="121"/>
        <v>0.05</v>
      </c>
      <c r="N1855" s="464">
        <f t="shared" si="122"/>
        <v>107504</v>
      </c>
    </row>
    <row r="1856" spans="7:14" ht="11.25" customHeight="1" x14ac:dyDescent="0.3">
      <c r="G1856" s="459"/>
      <c r="H1856" s="459">
        <v>1849</v>
      </c>
      <c r="I1856" s="444">
        <f t="shared" ca="1" si="120"/>
        <v>-737716584.19201517</v>
      </c>
      <c r="J1856" s="444">
        <f t="array" ref="J1856">IFERROR(INDEX('Retirement Calculator'!K:K,MATCH('Lorri 401b'!N1856,'Retirement Calculator'!A:A,0),0),0)</f>
        <v>0</v>
      </c>
      <c r="K1856" s="444">
        <f t="shared" ca="1" si="118"/>
        <v>-3073819.100800063</v>
      </c>
      <c r="L1856" s="444">
        <f t="shared" ca="1" si="119"/>
        <v>-740790403.29281521</v>
      </c>
      <c r="M1856" s="460">
        <f t="shared" si="121"/>
        <v>0.05</v>
      </c>
      <c r="N1856" s="464">
        <f t="shared" si="122"/>
        <v>107535</v>
      </c>
    </row>
    <row r="1857" spans="7:14" ht="11.25" customHeight="1" x14ac:dyDescent="0.3">
      <c r="G1857" s="459"/>
      <c r="H1857" s="459">
        <v>1850</v>
      </c>
      <c r="I1857" s="444">
        <f t="shared" ca="1" si="120"/>
        <v>-740790403.29281521</v>
      </c>
      <c r="J1857" s="444">
        <f t="array" ref="J1857">IFERROR(INDEX('Retirement Calculator'!K:K,MATCH('Lorri 401b'!N1857,'Retirement Calculator'!A:A,0),0),0)</f>
        <v>0</v>
      </c>
      <c r="K1857" s="444">
        <f t="shared" ca="1" si="118"/>
        <v>-3086626.68038673</v>
      </c>
      <c r="L1857" s="444">
        <f t="shared" ca="1" si="119"/>
        <v>-743877029.97320199</v>
      </c>
      <c r="M1857" s="460">
        <f t="shared" si="121"/>
        <v>0.05</v>
      </c>
      <c r="N1857" s="464">
        <f t="shared" si="122"/>
        <v>107565</v>
      </c>
    </row>
    <row r="1858" spans="7:14" ht="11.25" customHeight="1" x14ac:dyDescent="0.3">
      <c r="G1858" s="459"/>
      <c r="H1858" s="459">
        <v>1851</v>
      </c>
      <c r="I1858" s="444">
        <f t="shared" ca="1" si="120"/>
        <v>-743877029.97320199</v>
      </c>
      <c r="J1858" s="444">
        <f t="array" ref="J1858">IFERROR(INDEX('Retirement Calculator'!K:K,MATCH('Lorri 401b'!N1858,'Retirement Calculator'!A:A,0),0),0)</f>
        <v>0</v>
      </c>
      <c r="K1858" s="444">
        <f t="shared" ca="1" si="118"/>
        <v>-3099487.6248883414</v>
      </c>
      <c r="L1858" s="444">
        <f t="shared" ca="1" si="119"/>
        <v>-746976517.59809029</v>
      </c>
      <c r="M1858" s="460">
        <f t="shared" si="121"/>
        <v>0.05</v>
      </c>
      <c r="N1858" s="464">
        <f t="shared" si="122"/>
        <v>107596</v>
      </c>
    </row>
    <row r="1859" spans="7:14" ht="11.25" customHeight="1" x14ac:dyDescent="0.3">
      <c r="G1859" s="459"/>
      <c r="H1859" s="459">
        <v>1852</v>
      </c>
      <c r="I1859" s="444">
        <f t="shared" ca="1" si="120"/>
        <v>-746976517.59809029</v>
      </c>
      <c r="J1859" s="444">
        <f t="array" ref="J1859">IFERROR(INDEX('Retirement Calculator'!K:K,MATCH('Lorri 401b'!N1859,'Retirement Calculator'!A:A,0),0),0)</f>
        <v>0</v>
      </c>
      <c r="K1859" s="444">
        <f t="shared" ca="1" si="118"/>
        <v>-3112402.1566587095</v>
      </c>
      <c r="L1859" s="444">
        <f t="shared" ca="1" si="119"/>
        <v>-750088919.75474906</v>
      </c>
      <c r="M1859" s="460">
        <f t="shared" si="121"/>
        <v>0.05</v>
      </c>
      <c r="N1859" s="464">
        <f t="shared" si="122"/>
        <v>107627</v>
      </c>
    </row>
    <row r="1860" spans="7:14" ht="11.25" customHeight="1" x14ac:dyDescent="0.3">
      <c r="G1860" s="459"/>
      <c r="H1860" s="459">
        <v>1853</v>
      </c>
      <c r="I1860" s="444">
        <f t="shared" ca="1" si="120"/>
        <v>-750088919.75474906</v>
      </c>
      <c r="J1860" s="444">
        <f t="array" ref="J1860">IFERROR(INDEX('Retirement Calculator'!K:K,MATCH('Lorri 401b'!N1860,'Retirement Calculator'!A:A,0),0),0)</f>
        <v>0</v>
      </c>
      <c r="K1860" s="444">
        <f t="shared" ca="1" si="118"/>
        <v>-3125370.4989781212</v>
      </c>
      <c r="L1860" s="444">
        <f t="shared" ca="1" si="119"/>
        <v>-753214290.2537272</v>
      </c>
      <c r="M1860" s="460">
        <f t="shared" si="121"/>
        <v>0.05</v>
      </c>
      <c r="N1860" s="464">
        <f t="shared" si="122"/>
        <v>107657</v>
      </c>
    </row>
    <row r="1861" spans="7:14" ht="11.25" customHeight="1" x14ac:dyDescent="0.3">
      <c r="G1861" s="459"/>
      <c r="H1861" s="459">
        <v>1854</v>
      </c>
      <c r="I1861" s="444">
        <f t="shared" ca="1" si="120"/>
        <v>-753214290.2537272</v>
      </c>
      <c r="J1861" s="444">
        <f t="array" ref="J1861">IFERROR(INDEX('Retirement Calculator'!K:K,MATCH('Lorri 401b'!N1861,'Retirement Calculator'!A:A,0),0),0)</f>
        <v>0</v>
      </c>
      <c r="K1861" s="444">
        <f t="shared" ca="1" si="118"/>
        <v>-3138392.8760571964</v>
      </c>
      <c r="L1861" s="444">
        <f t="shared" ca="1" si="119"/>
        <v>-756352683.12978435</v>
      </c>
      <c r="M1861" s="460">
        <f t="shared" si="121"/>
        <v>0.05</v>
      </c>
      <c r="N1861" s="464">
        <f t="shared" si="122"/>
        <v>107688</v>
      </c>
    </row>
    <row r="1862" spans="7:14" ht="11.25" customHeight="1" x14ac:dyDescent="0.3">
      <c r="G1862" s="459"/>
      <c r="H1862" s="459">
        <v>1855</v>
      </c>
      <c r="I1862" s="444">
        <f t="shared" ca="1" si="120"/>
        <v>-756352683.12978435</v>
      </c>
      <c r="J1862" s="444">
        <f t="array" ref="J1862">IFERROR(INDEX('Retirement Calculator'!K:K,MATCH('Lorri 401b'!N1862,'Retirement Calculator'!A:A,0),0),0)</f>
        <v>0</v>
      </c>
      <c r="K1862" s="444">
        <f t="shared" ca="1" si="118"/>
        <v>-3151469.513040768</v>
      </c>
      <c r="L1862" s="444">
        <f t="shared" ca="1" si="119"/>
        <v>-759504152.64282513</v>
      </c>
      <c r="M1862" s="460">
        <f t="shared" si="121"/>
        <v>0.05</v>
      </c>
      <c r="N1862" s="464">
        <f t="shared" si="122"/>
        <v>107718</v>
      </c>
    </row>
    <row r="1863" spans="7:14" ht="11.25" customHeight="1" x14ac:dyDescent="0.3">
      <c r="G1863" s="459"/>
      <c r="H1863" s="459">
        <v>1856</v>
      </c>
      <c r="I1863" s="444">
        <f t="shared" ca="1" si="120"/>
        <v>-759504152.64282513</v>
      </c>
      <c r="J1863" s="444">
        <f t="array" ref="J1863">IFERROR(INDEX('Retirement Calculator'!K:K,MATCH('Lorri 401b'!N1863,'Retirement Calculator'!A:A,0),0),0)</f>
        <v>0</v>
      </c>
      <c r="K1863" s="444">
        <f t="shared" ca="1" si="118"/>
        <v>-3164600.6360117714</v>
      </c>
      <c r="L1863" s="444">
        <f t="shared" ca="1" si="119"/>
        <v>-762668753.27883685</v>
      </c>
      <c r="M1863" s="460">
        <f t="shared" si="121"/>
        <v>0.05</v>
      </c>
      <c r="N1863" s="464">
        <f t="shared" si="122"/>
        <v>107749</v>
      </c>
    </row>
    <row r="1864" spans="7:14" ht="11.25" customHeight="1" x14ac:dyDescent="0.3">
      <c r="G1864" s="459"/>
      <c r="H1864" s="459">
        <v>1857</v>
      </c>
      <c r="I1864" s="444">
        <f t="shared" ca="1" si="120"/>
        <v>-762668753.27883685</v>
      </c>
      <c r="J1864" s="444">
        <f t="array" ref="J1864">IFERROR(INDEX('Retirement Calculator'!K:K,MATCH('Lorri 401b'!N1864,'Retirement Calculator'!A:A,0),0),0)</f>
        <v>0</v>
      </c>
      <c r="K1864" s="444">
        <f t="shared" ca="1" si="118"/>
        <v>-3177786.4719951535</v>
      </c>
      <c r="L1864" s="444">
        <f t="shared" ca="1" si="119"/>
        <v>-765846539.75083196</v>
      </c>
      <c r="M1864" s="460">
        <f t="shared" si="121"/>
        <v>0.05</v>
      </c>
      <c r="N1864" s="464">
        <f t="shared" si="122"/>
        <v>107780</v>
      </c>
    </row>
    <row r="1865" spans="7:14" ht="11.25" customHeight="1" x14ac:dyDescent="0.3">
      <c r="G1865" s="459"/>
      <c r="H1865" s="459">
        <v>1858</v>
      </c>
      <c r="I1865" s="444">
        <f t="shared" ca="1" si="120"/>
        <v>-765846539.75083196</v>
      </c>
      <c r="J1865" s="444">
        <f t="array" ref="J1865">IFERROR(INDEX('Retirement Calculator'!K:K,MATCH('Lorri 401b'!N1865,'Retirement Calculator'!A:A,0),0),0)</f>
        <v>0</v>
      </c>
      <c r="K1865" s="444">
        <f t="shared" ca="1" si="118"/>
        <v>-3191027.2489617998</v>
      </c>
      <c r="L1865" s="444">
        <f t="shared" ca="1" si="119"/>
        <v>-769037566.99979377</v>
      </c>
      <c r="M1865" s="460">
        <f t="shared" si="121"/>
        <v>0.05</v>
      </c>
      <c r="N1865" s="464">
        <f t="shared" si="122"/>
        <v>107808</v>
      </c>
    </row>
    <row r="1866" spans="7:14" ht="11.25" customHeight="1" x14ac:dyDescent="0.3">
      <c r="G1866" s="459"/>
      <c r="H1866" s="459">
        <v>1859</v>
      </c>
      <c r="I1866" s="444">
        <f t="shared" ca="1" si="120"/>
        <v>-769037566.99979377</v>
      </c>
      <c r="J1866" s="444">
        <f t="array" ref="J1866">IFERROR(INDEX('Retirement Calculator'!K:K,MATCH('Lorri 401b'!N1866,'Retirement Calculator'!A:A,0),0),0)</f>
        <v>0</v>
      </c>
      <c r="K1866" s="444">
        <f t="shared" ca="1" si="118"/>
        <v>-3204323.1958324742</v>
      </c>
      <c r="L1866" s="444">
        <f t="shared" ca="1" si="119"/>
        <v>-772241890.19562626</v>
      </c>
      <c r="M1866" s="460">
        <f t="shared" si="121"/>
        <v>0.05</v>
      </c>
      <c r="N1866" s="464">
        <f t="shared" si="122"/>
        <v>107839</v>
      </c>
    </row>
    <row r="1867" spans="7:14" ht="11.25" customHeight="1" x14ac:dyDescent="0.3">
      <c r="G1867" s="459"/>
      <c r="H1867" s="459">
        <v>1860</v>
      </c>
      <c r="I1867" s="444">
        <f t="shared" ca="1" si="120"/>
        <v>-772241890.19562626</v>
      </c>
      <c r="J1867" s="444">
        <f t="array" ref="J1867">IFERROR(INDEX('Retirement Calculator'!K:K,MATCH('Lorri 401b'!N1867,'Retirement Calculator'!A:A,0),0),0)</f>
        <v>0</v>
      </c>
      <c r="K1867" s="444">
        <f t="shared" ca="1" si="118"/>
        <v>-3217674.5424817759</v>
      </c>
      <c r="L1867" s="444">
        <f t="shared" ca="1" si="119"/>
        <v>-775459564.73810804</v>
      </c>
      <c r="M1867" s="460">
        <f t="shared" si="121"/>
        <v>0.05</v>
      </c>
      <c r="N1867" s="464">
        <f t="shared" si="122"/>
        <v>107869</v>
      </c>
    </row>
    <row r="1868" spans="7:14" ht="11.25" customHeight="1" x14ac:dyDescent="0.3">
      <c r="G1868" s="459"/>
      <c r="H1868" s="459">
        <v>1861</v>
      </c>
      <c r="I1868" s="444">
        <f t="shared" ca="1" si="120"/>
        <v>-775459564.73810804</v>
      </c>
      <c r="J1868" s="444">
        <f t="array" ref="J1868">IFERROR(INDEX('Retirement Calculator'!K:K,MATCH('Lorri 401b'!N1868,'Retirement Calculator'!A:A,0),0),0)</f>
        <v>0</v>
      </c>
      <c r="K1868" s="444">
        <f t="shared" ca="1" si="118"/>
        <v>-3231081.5197421168</v>
      </c>
      <c r="L1868" s="444">
        <f t="shared" ca="1" si="119"/>
        <v>-778690646.25785017</v>
      </c>
      <c r="M1868" s="460">
        <f t="shared" si="121"/>
        <v>0.05</v>
      </c>
      <c r="N1868" s="464">
        <f t="shared" si="122"/>
        <v>107900</v>
      </c>
    </row>
    <row r="1869" spans="7:14" ht="11.25" customHeight="1" x14ac:dyDescent="0.3">
      <c r="G1869" s="459"/>
      <c r="H1869" s="459">
        <v>1862</v>
      </c>
      <c r="I1869" s="444">
        <f t="shared" ca="1" si="120"/>
        <v>-778690646.25785017</v>
      </c>
      <c r="J1869" s="444">
        <f t="array" ref="J1869">IFERROR(INDEX('Retirement Calculator'!K:K,MATCH('Lorri 401b'!N1869,'Retirement Calculator'!A:A,0),0),0)</f>
        <v>0</v>
      </c>
      <c r="K1869" s="444">
        <f t="shared" ca="1" si="118"/>
        <v>-3244544.359407709</v>
      </c>
      <c r="L1869" s="444">
        <f t="shared" ca="1" si="119"/>
        <v>-781935190.61725783</v>
      </c>
      <c r="M1869" s="460">
        <f t="shared" si="121"/>
        <v>0.05</v>
      </c>
      <c r="N1869" s="464">
        <f t="shared" si="122"/>
        <v>107930</v>
      </c>
    </row>
    <row r="1870" spans="7:14" ht="11.25" customHeight="1" x14ac:dyDescent="0.3">
      <c r="G1870" s="459"/>
      <c r="H1870" s="459">
        <v>1863</v>
      </c>
      <c r="I1870" s="444">
        <f t="shared" ca="1" si="120"/>
        <v>-781935190.61725783</v>
      </c>
      <c r="J1870" s="444">
        <f t="array" ref="J1870">IFERROR(INDEX('Retirement Calculator'!K:K,MATCH('Lorri 401b'!N1870,'Retirement Calculator'!A:A,0),0),0)</f>
        <v>0</v>
      </c>
      <c r="K1870" s="444">
        <f t="shared" ca="1" si="118"/>
        <v>-3258063.2942385743</v>
      </c>
      <c r="L1870" s="444">
        <f t="shared" ca="1" si="119"/>
        <v>-785193253.9114964</v>
      </c>
      <c r="M1870" s="460">
        <f t="shared" si="121"/>
        <v>0.05</v>
      </c>
      <c r="N1870" s="464">
        <f t="shared" si="122"/>
        <v>107961</v>
      </c>
    </row>
    <row r="1871" spans="7:14" ht="11.25" customHeight="1" x14ac:dyDescent="0.3">
      <c r="G1871" s="459"/>
      <c r="H1871" s="459">
        <v>1864</v>
      </c>
      <c r="I1871" s="444">
        <f t="shared" ca="1" si="120"/>
        <v>-785193253.9114964</v>
      </c>
      <c r="J1871" s="444">
        <f t="array" ref="J1871">IFERROR(INDEX('Retirement Calculator'!K:K,MATCH('Lorri 401b'!N1871,'Retirement Calculator'!A:A,0),0),0)</f>
        <v>0</v>
      </c>
      <c r="K1871" s="444">
        <f t="shared" ca="1" si="118"/>
        <v>-3271638.5579645685</v>
      </c>
      <c r="L1871" s="444">
        <f t="shared" ca="1" si="119"/>
        <v>-788464892.46946096</v>
      </c>
      <c r="M1871" s="460">
        <f t="shared" si="121"/>
        <v>0.05</v>
      </c>
      <c r="N1871" s="464">
        <f t="shared" si="122"/>
        <v>107992</v>
      </c>
    </row>
    <row r="1872" spans="7:14" ht="11.25" customHeight="1" x14ac:dyDescent="0.3">
      <c r="G1872" s="459"/>
      <c r="H1872" s="459">
        <v>1865</v>
      </c>
      <c r="I1872" s="444">
        <f t="shared" ca="1" si="120"/>
        <v>-788464892.46946096</v>
      </c>
      <c r="J1872" s="444">
        <f t="array" ref="J1872">IFERROR(INDEX('Retirement Calculator'!K:K,MATCH('Lorri 401b'!N1872,'Retirement Calculator'!A:A,0),0),0)</f>
        <v>0</v>
      </c>
      <c r="K1872" s="444">
        <f t="shared" ca="1" si="118"/>
        <v>-3285270.3852894208</v>
      </c>
      <c r="L1872" s="444">
        <f t="shared" ca="1" si="119"/>
        <v>-791750162.85475039</v>
      </c>
      <c r="M1872" s="460">
        <f t="shared" si="121"/>
        <v>0.05</v>
      </c>
      <c r="N1872" s="464">
        <f t="shared" si="122"/>
        <v>108022</v>
      </c>
    </row>
    <row r="1873" spans="7:14" ht="11.25" customHeight="1" x14ac:dyDescent="0.3">
      <c r="G1873" s="459"/>
      <c r="H1873" s="459">
        <v>1866</v>
      </c>
      <c r="I1873" s="444">
        <f t="shared" ca="1" si="120"/>
        <v>-791750162.85475039</v>
      </c>
      <c r="J1873" s="444">
        <f t="array" ref="J1873">IFERROR(INDEX('Retirement Calculator'!K:K,MATCH('Lorri 401b'!N1873,'Retirement Calculator'!A:A,0),0),0)</f>
        <v>0</v>
      </c>
      <c r="K1873" s="444">
        <f t="shared" ca="1" si="118"/>
        <v>-3298959.0118947932</v>
      </c>
      <c r="L1873" s="444">
        <f t="shared" ca="1" si="119"/>
        <v>-795049121.86664522</v>
      </c>
      <c r="M1873" s="460">
        <f t="shared" si="121"/>
        <v>0.05</v>
      </c>
      <c r="N1873" s="464">
        <f t="shared" si="122"/>
        <v>108053</v>
      </c>
    </row>
    <row r="1874" spans="7:14" ht="11.25" customHeight="1" x14ac:dyDescent="0.3">
      <c r="G1874" s="459"/>
      <c r="H1874" s="459">
        <v>1867</v>
      </c>
      <c r="I1874" s="444">
        <f t="shared" ca="1" si="120"/>
        <v>-795049121.86664522</v>
      </c>
      <c r="J1874" s="444">
        <f t="array" ref="J1874">IFERROR(INDEX('Retirement Calculator'!K:K,MATCH('Lorri 401b'!N1874,'Retirement Calculator'!A:A,0),0),0)</f>
        <v>0</v>
      </c>
      <c r="K1874" s="444">
        <f t="shared" ca="1" si="118"/>
        <v>-3312704.6744443551</v>
      </c>
      <c r="L1874" s="444">
        <f t="shared" ca="1" si="119"/>
        <v>-798361826.54108953</v>
      </c>
      <c r="M1874" s="460">
        <f t="shared" si="121"/>
        <v>0.05</v>
      </c>
      <c r="N1874" s="464">
        <f t="shared" si="122"/>
        <v>108083</v>
      </c>
    </row>
    <row r="1875" spans="7:14" ht="11.25" customHeight="1" x14ac:dyDescent="0.3">
      <c r="G1875" s="459"/>
      <c r="H1875" s="459">
        <v>1868</v>
      </c>
      <c r="I1875" s="444">
        <f t="shared" ca="1" si="120"/>
        <v>-798361826.54108953</v>
      </c>
      <c r="J1875" s="444">
        <f t="array" ref="J1875">IFERROR(INDEX('Retirement Calculator'!K:K,MATCH('Lorri 401b'!N1875,'Retirement Calculator'!A:A,0),0),0)</f>
        <v>0</v>
      </c>
      <c r="K1875" s="444">
        <f t="shared" ca="1" si="118"/>
        <v>-3326507.610587873</v>
      </c>
      <c r="L1875" s="444">
        <f t="shared" ca="1" si="119"/>
        <v>-801688334.15167737</v>
      </c>
      <c r="M1875" s="460">
        <f t="shared" si="121"/>
        <v>0.05</v>
      </c>
      <c r="N1875" s="464">
        <f t="shared" si="122"/>
        <v>108114</v>
      </c>
    </row>
    <row r="1876" spans="7:14" ht="11.25" customHeight="1" x14ac:dyDescent="0.3">
      <c r="G1876" s="459"/>
      <c r="H1876" s="459">
        <v>1869</v>
      </c>
      <c r="I1876" s="444">
        <f t="shared" ca="1" si="120"/>
        <v>-801688334.15167737</v>
      </c>
      <c r="J1876" s="444">
        <f t="array" ref="J1876">IFERROR(INDEX('Retirement Calculator'!K:K,MATCH('Lorri 401b'!N1876,'Retirement Calculator'!A:A,0),0),0)</f>
        <v>0</v>
      </c>
      <c r="K1876" s="444">
        <f t="shared" ca="1" si="118"/>
        <v>-3340368.0589653226</v>
      </c>
      <c r="L1876" s="444">
        <f t="shared" ca="1" si="119"/>
        <v>-805028702.2106427</v>
      </c>
      <c r="M1876" s="460">
        <f t="shared" si="121"/>
        <v>0.05</v>
      </c>
      <c r="N1876" s="464">
        <f t="shared" si="122"/>
        <v>108145</v>
      </c>
    </row>
    <row r="1877" spans="7:14" ht="11.25" customHeight="1" x14ac:dyDescent="0.3">
      <c r="G1877" s="459"/>
      <c r="H1877" s="459">
        <v>1870</v>
      </c>
      <c r="I1877" s="444">
        <f t="shared" ca="1" si="120"/>
        <v>-805028702.2106427</v>
      </c>
      <c r="J1877" s="444">
        <f t="array" ref="J1877">IFERROR(INDEX('Retirement Calculator'!K:K,MATCH('Lorri 401b'!N1877,'Retirement Calculator'!A:A,0),0),0)</f>
        <v>0</v>
      </c>
      <c r="K1877" s="444">
        <f t="shared" ca="1" si="118"/>
        <v>-3354286.2592110112</v>
      </c>
      <c r="L1877" s="444">
        <f t="shared" ca="1" si="119"/>
        <v>-808382988.46985376</v>
      </c>
      <c r="M1877" s="460">
        <f t="shared" si="121"/>
        <v>0.05</v>
      </c>
      <c r="N1877" s="464">
        <f t="shared" si="122"/>
        <v>108174</v>
      </c>
    </row>
    <row r="1878" spans="7:14" ht="11.25" customHeight="1" x14ac:dyDescent="0.3">
      <c r="G1878" s="459"/>
      <c r="H1878" s="459">
        <v>1871</v>
      </c>
      <c r="I1878" s="444">
        <f t="shared" ca="1" si="120"/>
        <v>-808382988.46985376</v>
      </c>
      <c r="J1878" s="444">
        <f t="array" ref="J1878">IFERROR(INDEX('Retirement Calculator'!K:K,MATCH('Lorri 401b'!N1878,'Retirement Calculator'!A:A,0),0),0)</f>
        <v>0</v>
      </c>
      <c r="K1878" s="444">
        <f t="shared" ca="1" si="118"/>
        <v>-3368262.4519577241</v>
      </c>
      <c r="L1878" s="444">
        <f t="shared" ca="1" si="119"/>
        <v>-811751250.92181146</v>
      </c>
      <c r="M1878" s="460">
        <f t="shared" si="121"/>
        <v>0.05</v>
      </c>
      <c r="N1878" s="464">
        <f t="shared" si="122"/>
        <v>108205</v>
      </c>
    </row>
    <row r="1879" spans="7:14" ht="11.25" customHeight="1" x14ac:dyDescent="0.3">
      <c r="G1879" s="459"/>
      <c r="H1879" s="459">
        <v>1872</v>
      </c>
      <c r="I1879" s="444">
        <f t="shared" ca="1" si="120"/>
        <v>-811751250.92181146</v>
      </c>
      <c r="J1879" s="444">
        <f t="array" ref="J1879">IFERROR(INDEX('Retirement Calculator'!K:K,MATCH('Lorri 401b'!N1879,'Retirement Calculator'!A:A,0),0),0)</f>
        <v>0</v>
      </c>
      <c r="K1879" s="444">
        <f t="shared" ca="1" si="118"/>
        <v>-3382296.8788408809</v>
      </c>
      <c r="L1879" s="444">
        <f t="shared" ca="1" si="119"/>
        <v>-815133547.80065238</v>
      </c>
      <c r="M1879" s="460">
        <f t="shared" si="121"/>
        <v>0.05</v>
      </c>
      <c r="N1879" s="464">
        <f t="shared" si="122"/>
        <v>108235</v>
      </c>
    </row>
    <row r="1880" spans="7:14" ht="11.25" customHeight="1" x14ac:dyDescent="0.3">
      <c r="G1880" s="459"/>
      <c r="H1880" s="459">
        <v>1873</v>
      </c>
      <c r="I1880" s="444">
        <f t="shared" ca="1" si="120"/>
        <v>-815133547.80065238</v>
      </c>
      <c r="J1880" s="444">
        <f t="array" ref="J1880">IFERROR(INDEX('Retirement Calculator'!K:K,MATCH('Lorri 401b'!N1880,'Retirement Calculator'!A:A,0),0),0)</f>
        <v>0</v>
      </c>
      <c r="K1880" s="444">
        <f t="shared" ca="1" si="118"/>
        <v>-3396389.7825027183</v>
      </c>
      <c r="L1880" s="444">
        <f t="shared" ca="1" si="119"/>
        <v>-818529937.58315516</v>
      </c>
      <c r="M1880" s="460">
        <f t="shared" si="121"/>
        <v>0.05</v>
      </c>
      <c r="N1880" s="464">
        <f t="shared" si="122"/>
        <v>108266</v>
      </c>
    </row>
    <row r="1881" spans="7:14" ht="11.25" customHeight="1" x14ac:dyDescent="0.3">
      <c r="G1881" s="459"/>
      <c r="H1881" s="459">
        <v>1874</v>
      </c>
      <c r="I1881" s="444">
        <f t="shared" ca="1" si="120"/>
        <v>-818529937.58315516</v>
      </c>
      <c r="J1881" s="444">
        <f t="array" ref="J1881">IFERROR(INDEX('Retirement Calculator'!K:K,MATCH('Lorri 401b'!N1881,'Retirement Calculator'!A:A,0),0),0)</f>
        <v>0</v>
      </c>
      <c r="K1881" s="444">
        <f t="shared" ca="1" si="118"/>
        <v>-3410541.4065964799</v>
      </c>
      <c r="L1881" s="444">
        <f t="shared" ca="1" si="119"/>
        <v>-821940478.98975158</v>
      </c>
      <c r="M1881" s="460">
        <f t="shared" si="121"/>
        <v>0.05</v>
      </c>
      <c r="N1881" s="464">
        <f t="shared" si="122"/>
        <v>108296</v>
      </c>
    </row>
    <row r="1882" spans="7:14" ht="11.25" customHeight="1" x14ac:dyDescent="0.3">
      <c r="G1882" s="459"/>
      <c r="H1882" s="459">
        <v>1875</v>
      </c>
      <c r="I1882" s="444">
        <f t="shared" ca="1" si="120"/>
        <v>-821940478.98975158</v>
      </c>
      <c r="J1882" s="444">
        <f t="array" ref="J1882">IFERROR(INDEX('Retirement Calculator'!K:K,MATCH('Lorri 401b'!N1882,'Retirement Calculator'!A:A,0),0),0)</f>
        <v>0</v>
      </c>
      <c r="K1882" s="444">
        <f t="shared" ca="1" si="118"/>
        <v>-3424751.9957906315</v>
      </c>
      <c r="L1882" s="444">
        <f t="shared" ca="1" si="119"/>
        <v>-825365230.98554218</v>
      </c>
      <c r="M1882" s="460">
        <f t="shared" si="121"/>
        <v>0.05</v>
      </c>
      <c r="N1882" s="464">
        <f t="shared" si="122"/>
        <v>108327</v>
      </c>
    </row>
    <row r="1883" spans="7:14" ht="11.25" customHeight="1" x14ac:dyDescent="0.3">
      <c r="G1883" s="459"/>
      <c r="H1883" s="459">
        <v>1876</v>
      </c>
      <c r="I1883" s="444">
        <f t="shared" ca="1" si="120"/>
        <v>-825365230.98554218</v>
      </c>
      <c r="J1883" s="444">
        <f t="array" ref="J1883">IFERROR(INDEX('Retirement Calculator'!K:K,MATCH('Lorri 401b'!N1883,'Retirement Calculator'!A:A,0),0),0)</f>
        <v>0</v>
      </c>
      <c r="K1883" s="444">
        <f t="shared" ca="1" si="118"/>
        <v>-3439021.7957730922</v>
      </c>
      <c r="L1883" s="444">
        <f t="shared" ca="1" si="119"/>
        <v>-828804252.78131533</v>
      </c>
      <c r="M1883" s="460">
        <f t="shared" si="121"/>
        <v>0.05</v>
      </c>
      <c r="N1883" s="464">
        <f t="shared" si="122"/>
        <v>108358</v>
      </c>
    </row>
    <row r="1884" spans="7:14" ht="11.25" customHeight="1" x14ac:dyDescent="0.3">
      <c r="G1884" s="459"/>
      <c r="H1884" s="459">
        <v>1877</v>
      </c>
      <c r="I1884" s="444">
        <f t="shared" ca="1" si="120"/>
        <v>-828804252.78131533</v>
      </c>
      <c r="J1884" s="444">
        <f t="array" ref="J1884">IFERROR(INDEX('Retirement Calculator'!K:K,MATCH('Lorri 401b'!N1884,'Retirement Calculator'!A:A,0),0),0)</f>
        <v>0</v>
      </c>
      <c r="K1884" s="444">
        <f t="shared" ca="1" si="118"/>
        <v>-3453351.0532554802</v>
      </c>
      <c r="L1884" s="444">
        <f t="shared" ca="1" si="119"/>
        <v>-832257603.83457077</v>
      </c>
      <c r="M1884" s="460">
        <f t="shared" si="121"/>
        <v>0.05</v>
      </c>
      <c r="N1884" s="464">
        <f t="shared" si="122"/>
        <v>108388</v>
      </c>
    </row>
    <row r="1885" spans="7:14" ht="11.25" customHeight="1" x14ac:dyDescent="0.3">
      <c r="G1885" s="459"/>
      <c r="H1885" s="459">
        <v>1878</v>
      </c>
      <c r="I1885" s="444">
        <f t="shared" ca="1" si="120"/>
        <v>-832257603.83457077</v>
      </c>
      <c r="J1885" s="444">
        <f t="array" ref="J1885">IFERROR(INDEX('Retirement Calculator'!K:K,MATCH('Lorri 401b'!N1885,'Retirement Calculator'!A:A,0),0),0)</f>
        <v>0</v>
      </c>
      <c r="K1885" s="444">
        <f t="shared" ca="1" si="118"/>
        <v>-3467740.015977378</v>
      </c>
      <c r="L1885" s="444">
        <f t="shared" ca="1" si="119"/>
        <v>-835725343.85054815</v>
      </c>
      <c r="M1885" s="460">
        <f t="shared" si="121"/>
        <v>0.05</v>
      </c>
      <c r="N1885" s="464">
        <f t="shared" si="122"/>
        <v>108419</v>
      </c>
    </row>
    <row r="1886" spans="7:14" ht="11.25" customHeight="1" x14ac:dyDescent="0.3">
      <c r="G1886" s="459"/>
      <c r="H1886" s="459">
        <v>1879</v>
      </c>
      <c r="I1886" s="444">
        <f t="shared" ca="1" si="120"/>
        <v>-835725343.85054815</v>
      </c>
      <c r="J1886" s="444">
        <f t="array" ref="J1886">IFERROR(INDEX('Retirement Calculator'!K:K,MATCH('Lorri 401b'!N1886,'Retirement Calculator'!A:A,0),0),0)</f>
        <v>0</v>
      </c>
      <c r="K1886" s="444">
        <f t="shared" ca="1" si="118"/>
        <v>-3482188.9327106173</v>
      </c>
      <c r="L1886" s="444">
        <f t="shared" ca="1" si="119"/>
        <v>-839207532.7832588</v>
      </c>
      <c r="M1886" s="460">
        <f t="shared" si="121"/>
        <v>0.05</v>
      </c>
      <c r="N1886" s="464">
        <f t="shared" si="122"/>
        <v>108449</v>
      </c>
    </row>
    <row r="1887" spans="7:14" ht="11.25" customHeight="1" x14ac:dyDescent="0.3">
      <c r="G1887" s="459"/>
      <c r="H1887" s="459">
        <v>1880</v>
      </c>
      <c r="I1887" s="444">
        <f t="shared" ca="1" si="120"/>
        <v>-839207532.7832588</v>
      </c>
      <c r="J1887" s="444">
        <f t="array" ref="J1887">IFERROR(INDEX('Retirement Calculator'!K:K,MATCH('Lorri 401b'!N1887,'Retirement Calculator'!A:A,0),0),0)</f>
        <v>0</v>
      </c>
      <c r="K1887" s="444">
        <f t="shared" ca="1" si="118"/>
        <v>-3496698.0532635781</v>
      </c>
      <c r="L1887" s="444">
        <f t="shared" ca="1" si="119"/>
        <v>-842704230.83652234</v>
      </c>
      <c r="M1887" s="460">
        <f t="shared" si="121"/>
        <v>0.05</v>
      </c>
      <c r="N1887" s="464">
        <f t="shared" si="122"/>
        <v>108480</v>
      </c>
    </row>
    <row r="1888" spans="7:14" ht="11.25" customHeight="1" x14ac:dyDescent="0.3">
      <c r="G1888" s="459"/>
      <c r="H1888" s="459">
        <v>1881</v>
      </c>
      <c r="I1888" s="444">
        <f t="shared" ca="1" si="120"/>
        <v>-842704230.83652234</v>
      </c>
      <c r="J1888" s="444">
        <f t="array" ref="J1888">IFERROR(INDEX('Retirement Calculator'!K:K,MATCH('Lorri 401b'!N1888,'Retirement Calculator'!A:A,0),0),0)</f>
        <v>0</v>
      </c>
      <c r="K1888" s="444">
        <f t="shared" ca="1" si="118"/>
        <v>-3511267.6284855097</v>
      </c>
      <c r="L1888" s="444">
        <f t="shared" ca="1" si="119"/>
        <v>-846215498.4650079</v>
      </c>
      <c r="M1888" s="460">
        <f t="shared" si="121"/>
        <v>0.05</v>
      </c>
      <c r="N1888" s="464">
        <f t="shared" si="122"/>
        <v>108511</v>
      </c>
    </row>
    <row r="1889" spans="7:14" ht="11.25" customHeight="1" x14ac:dyDescent="0.3">
      <c r="G1889" s="459"/>
      <c r="H1889" s="459">
        <v>1882</v>
      </c>
      <c r="I1889" s="444">
        <f t="shared" ca="1" si="120"/>
        <v>-846215498.4650079</v>
      </c>
      <c r="J1889" s="444">
        <f t="array" ref="J1889">IFERROR(INDEX('Retirement Calculator'!K:K,MATCH('Lorri 401b'!N1889,'Retirement Calculator'!A:A,0),0),0)</f>
        <v>0</v>
      </c>
      <c r="K1889" s="444">
        <f t="shared" ca="1" si="118"/>
        <v>-3525897.910270866</v>
      </c>
      <c r="L1889" s="444">
        <f t="shared" ca="1" si="119"/>
        <v>-849741396.37527871</v>
      </c>
      <c r="M1889" s="460">
        <f t="shared" si="121"/>
        <v>0.05</v>
      </c>
      <c r="N1889" s="464">
        <f t="shared" si="122"/>
        <v>108539</v>
      </c>
    </row>
    <row r="1890" spans="7:14" ht="11.25" customHeight="1" x14ac:dyDescent="0.3">
      <c r="G1890" s="459"/>
      <c r="H1890" s="459">
        <v>1883</v>
      </c>
      <c r="I1890" s="444">
        <f t="shared" ca="1" si="120"/>
        <v>-849741396.37527871</v>
      </c>
      <c r="J1890" s="444">
        <f t="array" ref="J1890">IFERROR(INDEX('Retirement Calculator'!K:K,MATCH('Lorri 401b'!N1890,'Retirement Calculator'!A:A,0),0),0)</f>
        <v>0</v>
      </c>
      <c r="K1890" s="444">
        <f t="shared" ca="1" si="118"/>
        <v>-3540589.1515636616</v>
      </c>
      <c r="L1890" s="444">
        <f t="shared" ca="1" si="119"/>
        <v>-853281985.52684236</v>
      </c>
      <c r="M1890" s="460">
        <f t="shared" si="121"/>
        <v>0.05</v>
      </c>
      <c r="N1890" s="464">
        <f t="shared" si="122"/>
        <v>108570</v>
      </c>
    </row>
    <row r="1891" spans="7:14" ht="11.25" customHeight="1" x14ac:dyDescent="0.3">
      <c r="G1891" s="459"/>
      <c r="H1891" s="459">
        <v>1884</v>
      </c>
      <c r="I1891" s="444">
        <f t="shared" ca="1" si="120"/>
        <v>-853281985.52684236</v>
      </c>
      <c r="J1891" s="444">
        <f t="array" ref="J1891">IFERROR(INDEX('Retirement Calculator'!K:K,MATCH('Lorri 401b'!N1891,'Retirement Calculator'!A:A,0),0),0)</f>
        <v>0</v>
      </c>
      <c r="K1891" s="444">
        <f t="shared" ca="1" si="118"/>
        <v>-3555341.6063618432</v>
      </c>
      <c r="L1891" s="444">
        <f t="shared" ca="1" si="119"/>
        <v>-856837327.13320422</v>
      </c>
      <c r="M1891" s="460">
        <f t="shared" si="121"/>
        <v>0.05</v>
      </c>
      <c r="N1891" s="464">
        <f t="shared" si="122"/>
        <v>108600</v>
      </c>
    </row>
    <row r="1892" spans="7:14" ht="11.25" customHeight="1" x14ac:dyDescent="0.3">
      <c r="G1892" s="459"/>
      <c r="H1892" s="459">
        <v>1885</v>
      </c>
      <c r="I1892" s="444">
        <f t="shared" ca="1" si="120"/>
        <v>-856837327.13320422</v>
      </c>
      <c r="J1892" s="444">
        <f t="array" ref="J1892">IFERROR(INDEX('Retirement Calculator'!K:K,MATCH('Lorri 401b'!N1892,'Retirement Calculator'!A:A,0),0),0)</f>
        <v>0</v>
      </c>
      <c r="K1892" s="444">
        <f t="shared" ca="1" si="118"/>
        <v>-3570155.5297216838</v>
      </c>
      <c r="L1892" s="444">
        <f t="shared" ca="1" si="119"/>
        <v>-860407482.66292596</v>
      </c>
      <c r="M1892" s="460">
        <f t="shared" si="121"/>
        <v>0.05</v>
      </c>
      <c r="N1892" s="464">
        <f t="shared" si="122"/>
        <v>108631</v>
      </c>
    </row>
    <row r="1893" spans="7:14" ht="11.25" customHeight="1" x14ac:dyDescent="0.3">
      <c r="G1893" s="459"/>
      <c r="H1893" s="459">
        <v>1886</v>
      </c>
      <c r="I1893" s="444">
        <f t="shared" ca="1" si="120"/>
        <v>-860407482.66292596</v>
      </c>
      <c r="J1893" s="444">
        <f t="array" ref="J1893">IFERROR(INDEX('Retirement Calculator'!K:K,MATCH('Lorri 401b'!N1893,'Retirement Calculator'!A:A,0),0),0)</f>
        <v>0</v>
      </c>
      <c r="K1893" s="444">
        <f t="shared" ca="1" si="118"/>
        <v>-3585031.1777621913</v>
      </c>
      <c r="L1893" s="444">
        <f t="shared" ca="1" si="119"/>
        <v>-863992513.84068811</v>
      </c>
      <c r="M1893" s="460">
        <f t="shared" si="121"/>
        <v>0.05</v>
      </c>
      <c r="N1893" s="464">
        <f t="shared" si="122"/>
        <v>108661</v>
      </c>
    </row>
    <row r="1894" spans="7:14" ht="11.25" customHeight="1" x14ac:dyDescent="0.3">
      <c r="G1894" s="459"/>
      <c r="H1894" s="459">
        <v>1887</v>
      </c>
      <c r="I1894" s="444">
        <f t="shared" ca="1" si="120"/>
        <v>-863992513.84068811</v>
      </c>
      <c r="J1894" s="444">
        <f t="array" ref="J1894">IFERROR(INDEX('Retirement Calculator'!K:K,MATCH('Lorri 401b'!N1894,'Retirement Calculator'!A:A,0),0),0)</f>
        <v>0</v>
      </c>
      <c r="K1894" s="444">
        <f t="shared" ca="1" si="118"/>
        <v>-3599968.8076695339</v>
      </c>
      <c r="L1894" s="444">
        <f t="shared" ca="1" si="119"/>
        <v>-867592482.64835763</v>
      </c>
      <c r="M1894" s="460">
        <f t="shared" si="121"/>
        <v>0.05</v>
      </c>
      <c r="N1894" s="464">
        <f t="shared" si="122"/>
        <v>108692</v>
      </c>
    </row>
    <row r="1895" spans="7:14" ht="11.25" customHeight="1" x14ac:dyDescent="0.3">
      <c r="G1895" s="459"/>
      <c r="H1895" s="459">
        <v>1888</v>
      </c>
      <c r="I1895" s="444">
        <f t="shared" ca="1" si="120"/>
        <v>-867592482.64835763</v>
      </c>
      <c r="J1895" s="444">
        <f t="array" ref="J1895">IFERROR(INDEX('Retirement Calculator'!K:K,MATCH('Lorri 401b'!N1895,'Retirement Calculator'!A:A,0),0),0)</f>
        <v>0</v>
      </c>
      <c r="K1895" s="444">
        <f t="shared" ca="1" si="118"/>
        <v>-3614968.67770149</v>
      </c>
      <c r="L1895" s="444">
        <f t="shared" ca="1" si="119"/>
        <v>-871207451.3260591</v>
      </c>
      <c r="M1895" s="460">
        <f t="shared" si="121"/>
        <v>0.05</v>
      </c>
      <c r="N1895" s="464">
        <f t="shared" si="122"/>
        <v>108723</v>
      </c>
    </row>
    <row r="1896" spans="7:14" ht="11.25" customHeight="1" x14ac:dyDescent="0.3">
      <c r="G1896" s="459"/>
      <c r="H1896" s="459">
        <v>1889</v>
      </c>
      <c r="I1896" s="444">
        <f t="shared" ca="1" si="120"/>
        <v>-871207451.3260591</v>
      </c>
      <c r="J1896" s="444">
        <f t="array" ref="J1896">IFERROR(INDEX('Retirement Calculator'!K:K,MATCH('Lorri 401b'!N1896,'Retirement Calculator'!A:A,0),0),0)</f>
        <v>0</v>
      </c>
      <c r="K1896" s="444">
        <f t="shared" ca="1" si="118"/>
        <v>-3630031.0471919132</v>
      </c>
      <c r="L1896" s="444">
        <f t="shared" ca="1" si="119"/>
        <v>-874837482.37325096</v>
      </c>
      <c r="M1896" s="460">
        <f t="shared" si="121"/>
        <v>0.05</v>
      </c>
      <c r="N1896" s="464">
        <f t="shared" si="122"/>
        <v>108753</v>
      </c>
    </row>
    <row r="1897" spans="7:14" ht="11.25" customHeight="1" x14ac:dyDescent="0.3">
      <c r="G1897" s="459"/>
      <c r="H1897" s="459">
        <v>1890</v>
      </c>
      <c r="I1897" s="444">
        <f t="shared" ca="1" si="120"/>
        <v>-874837482.37325096</v>
      </c>
      <c r="J1897" s="444">
        <f t="array" ref="J1897">IFERROR(INDEX('Retirement Calculator'!K:K,MATCH('Lorri 401b'!N1897,'Retirement Calculator'!A:A,0),0),0)</f>
        <v>0</v>
      </c>
      <c r="K1897" s="444">
        <f t="shared" ca="1" si="118"/>
        <v>-3645156.1765552121</v>
      </c>
      <c r="L1897" s="444">
        <f t="shared" ca="1" si="119"/>
        <v>-878482638.54980612</v>
      </c>
      <c r="M1897" s="460">
        <f t="shared" si="121"/>
        <v>0.05</v>
      </c>
      <c r="N1897" s="464">
        <f t="shared" si="122"/>
        <v>108784</v>
      </c>
    </row>
    <row r="1898" spans="7:14" ht="11.25" customHeight="1" x14ac:dyDescent="0.3">
      <c r="G1898" s="459"/>
      <c r="H1898" s="459">
        <v>1891</v>
      </c>
      <c r="I1898" s="444">
        <f t="shared" ca="1" si="120"/>
        <v>-878482638.54980612</v>
      </c>
      <c r="J1898" s="444">
        <f t="array" ref="J1898">IFERROR(INDEX('Retirement Calculator'!K:K,MATCH('Lorri 401b'!N1898,'Retirement Calculator'!A:A,0),0),0)</f>
        <v>0</v>
      </c>
      <c r="K1898" s="444">
        <f t="shared" ca="1" si="118"/>
        <v>-3660344.3272908591</v>
      </c>
      <c r="L1898" s="444">
        <f t="shared" ca="1" si="119"/>
        <v>-882142982.87709701</v>
      </c>
      <c r="M1898" s="460">
        <f t="shared" si="121"/>
        <v>0.05</v>
      </c>
      <c r="N1898" s="464">
        <f t="shared" si="122"/>
        <v>108814</v>
      </c>
    </row>
    <row r="1899" spans="7:14" ht="11.25" customHeight="1" x14ac:dyDescent="0.3">
      <c r="G1899" s="459"/>
      <c r="H1899" s="459">
        <v>1892</v>
      </c>
      <c r="I1899" s="444">
        <f t="shared" ca="1" si="120"/>
        <v>-882142982.87709701</v>
      </c>
      <c r="J1899" s="444">
        <f t="array" ref="J1899">IFERROR(INDEX('Retirement Calculator'!K:K,MATCH('Lorri 401b'!N1899,'Retirement Calculator'!A:A,0),0),0)</f>
        <v>0</v>
      </c>
      <c r="K1899" s="444">
        <f t="shared" ca="1" si="118"/>
        <v>-3675595.7619879041</v>
      </c>
      <c r="L1899" s="444">
        <f t="shared" ca="1" si="119"/>
        <v>-885818578.63908494</v>
      </c>
      <c r="M1899" s="460">
        <f t="shared" si="121"/>
        <v>0.05</v>
      </c>
      <c r="N1899" s="464">
        <f t="shared" si="122"/>
        <v>108845</v>
      </c>
    </row>
    <row r="1900" spans="7:14" ht="11.25" customHeight="1" x14ac:dyDescent="0.3">
      <c r="G1900" s="459"/>
      <c r="H1900" s="459">
        <v>1893</v>
      </c>
      <c r="I1900" s="444">
        <f t="shared" ca="1" si="120"/>
        <v>-885818578.63908494</v>
      </c>
      <c r="J1900" s="444">
        <f t="array" ref="J1900">IFERROR(INDEX('Retirement Calculator'!K:K,MATCH('Lorri 401b'!N1900,'Retirement Calculator'!A:A,0),0),0)</f>
        <v>0</v>
      </c>
      <c r="K1900" s="444">
        <f t="shared" ca="1" si="118"/>
        <v>-3690910.7443295205</v>
      </c>
      <c r="L1900" s="444">
        <f t="shared" ca="1" si="119"/>
        <v>-889509489.38341451</v>
      </c>
      <c r="M1900" s="460">
        <f t="shared" si="121"/>
        <v>0.05</v>
      </c>
      <c r="N1900" s="464">
        <f t="shared" si="122"/>
        <v>108876</v>
      </c>
    </row>
    <row r="1901" spans="7:14" ht="11.25" customHeight="1" x14ac:dyDescent="0.3">
      <c r="G1901" s="459"/>
      <c r="H1901" s="459">
        <v>1894</v>
      </c>
      <c r="I1901" s="444">
        <f t="shared" ca="1" si="120"/>
        <v>-889509489.38341451</v>
      </c>
      <c r="J1901" s="444">
        <f t="array" ref="J1901">IFERROR(INDEX('Retirement Calculator'!K:K,MATCH('Lorri 401b'!N1901,'Retirement Calculator'!A:A,0),0),0)</f>
        <v>0</v>
      </c>
      <c r="K1901" s="444">
        <f t="shared" ca="1" si="118"/>
        <v>-3706289.5390975601</v>
      </c>
      <c r="L1901" s="444">
        <f t="shared" ca="1" si="119"/>
        <v>-893215778.92251205</v>
      </c>
      <c r="M1901" s="460">
        <f t="shared" si="121"/>
        <v>0.05</v>
      </c>
      <c r="N1901" s="464">
        <f t="shared" si="122"/>
        <v>108904</v>
      </c>
    </row>
    <row r="1902" spans="7:14" ht="11.25" customHeight="1" x14ac:dyDescent="0.3">
      <c r="G1902" s="459"/>
      <c r="H1902" s="459">
        <v>1895</v>
      </c>
      <c r="I1902" s="444">
        <f t="shared" ca="1" si="120"/>
        <v>-893215778.92251205</v>
      </c>
      <c r="J1902" s="444">
        <f t="array" ref="J1902">IFERROR(INDEX('Retirement Calculator'!K:K,MATCH('Lorri 401b'!N1902,'Retirement Calculator'!A:A,0),0),0)</f>
        <v>0</v>
      </c>
      <c r="K1902" s="444">
        <f t="shared" ca="1" si="118"/>
        <v>-3721732.4121771329</v>
      </c>
      <c r="L1902" s="444">
        <f t="shared" ca="1" si="119"/>
        <v>-896937511.33468914</v>
      </c>
      <c r="M1902" s="460">
        <f t="shared" si="121"/>
        <v>0.05</v>
      </c>
      <c r="N1902" s="464">
        <f t="shared" si="122"/>
        <v>108935</v>
      </c>
    </row>
    <row r="1903" spans="7:14" ht="11.25" customHeight="1" x14ac:dyDescent="0.3">
      <c r="G1903" s="459"/>
      <c r="H1903" s="459">
        <v>1896</v>
      </c>
      <c r="I1903" s="444">
        <f t="shared" ca="1" si="120"/>
        <v>-896937511.33468914</v>
      </c>
      <c r="J1903" s="444">
        <f t="array" ref="J1903">IFERROR(INDEX('Retirement Calculator'!K:K,MATCH('Lorri 401b'!N1903,'Retirement Calculator'!A:A,0),0),0)</f>
        <v>0</v>
      </c>
      <c r="K1903" s="444">
        <f t="shared" ca="1" si="118"/>
        <v>-3737239.6305612051</v>
      </c>
      <c r="L1903" s="444">
        <f t="shared" ca="1" si="119"/>
        <v>-900674750.96525037</v>
      </c>
      <c r="M1903" s="460">
        <f t="shared" si="121"/>
        <v>0.05</v>
      </c>
      <c r="N1903" s="464">
        <f t="shared" si="122"/>
        <v>108965</v>
      </c>
    </row>
    <row r="1904" spans="7:14" ht="11.25" customHeight="1" x14ac:dyDescent="0.3">
      <c r="G1904" s="459"/>
      <c r="H1904" s="459">
        <v>1897</v>
      </c>
      <c r="I1904" s="444">
        <f t="shared" ca="1" si="120"/>
        <v>-900674750.96525037</v>
      </c>
      <c r="J1904" s="444">
        <f t="array" ref="J1904">IFERROR(INDEX('Retirement Calculator'!K:K,MATCH('Lorri 401b'!N1904,'Retirement Calculator'!A:A,0),0),0)</f>
        <v>0</v>
      </c>
      <c r="K1904" s="444">
        <f t="shared" ca="1" si="118"/>
        <v>-3752811.46235521</v>
      </c>
      <c r="L1904" s="444">
        <f t="shared" ca="1" si="119"/>
        <v>-904427562.42760563</v>
      </c>
      <c r="M1904" s="460">
        <f t="shared" si="121"/>
        <v>0.05</v>
      </c>
      <c r="N1904" s="464">
        <f t="shared" si="122"/>
        <v>108996</v>
      </c>
    </row>
    <row r="1905" spans="7:14" ht="11.25" customHeight="1" x14ac:dyDescent="0.3">
      <c r="G1905" s="459"/>
      <c r="H1905" s="459">
        <v>1898</v>
      </c>
      <c r="I1905" s="444">
        <f t="shared" ca="1" si="120"/>
        <v>-904427562.42760563</v>
      </c>
      <c r="J1905" s="444">
        <f t="array" ref="J1905">IFERROR(INDEX('Retirement Calculator'!K:K,MATCH('Lorri 401b'!N1905,'Retirement Calculator'!A:A,0),0),0)</f>
        <v>0</v>
      </c>
      <c r="K1905" s="444">
        <f t="shared" ca="1" si="118"/>
        <v>-3768448.1767816907</v>
      </c>
      <c r="L1905" s="444">
        <f t="shared" ca="1" si="119"/>
        <v>-908196010.60438728</v>
      </c>
      <c r="M1905" s="460">
        <f t="shared" si="121"/>
        <v>0.05</v>
      </c>
      <c r="N1905" s="464">
        <f t="shared" si="122"/>
        <v>109026</v>
      </c>
    </row>
    <row r="1906" spans="7:14" ht="11.25" customHeight="1" x14ac:dyDescent="0.3">
      <c r="G1906" s="459"/>
      <c r="H1906" s="459">
        <v>1899</v>
      </c>
      <c r="I1906" s="444">
        <f t="shared" ca="1" si="120"/>
        <v>-908196010.60438728</v>
      </c>
      <c r="J1906" s="444">
        <f t="array" ref="J1906">IFERROR(INDEX('Retirement Calculator'!K:K,MATCH('Lorri 401b'!N1906,'Retirement Calculator'!A:A,0),0),0)</f>
        <v>0</v>
      </c>
      <c r="K1906" s="444">
        <f t="shared" ca="1" si="118"/>
        <v>-3784150.0441849469</v>
      </c>
      <c r="L1906" s="444">
        <f t="shared" ca="1" si="119"/>
        <v>-911980160.64857221</v>
      </c>
      <c r="M1906" s="460">
        <f t="shared" si="121"/>
        <v>0.05</v>
      </c>
      <c r="N1906" s="464">
        <f t="shared" si="122"/>
        <v>109057</v>
      </c>
    </row>
    <row r="1907" spans="7:14" ht="11.25" customHeight="1" x14ac:dyDescent="0.3">
      <c r="G1907" s="459"/>
      <c r="H1907" s="459">
        <v>1900</v>
      </c>
      <c r="I1907" s="444">
        <f t="shared" ca="1" si="120"/>
        <v>-911980160.64857221</v>
      </c>
      <c r="J1907" s="444">
        <f t="array" ref="J1907">IFERROR(INDEX('Retirement Calculator'!K:K,MATCH('Lorri 401b'!N1907,'Retirement Calculator'!A:A,0),0),0)</f>
        <v>0</v>
      </c>
      <c r="K1907" s="444">
        <f t="shared" ca="1" si="118"/>
        <v>-3799917.3360357173</v>
      </c>
      <c r="L1907" s="444">
        <f t="shared" ca="1" si="119"/>
        <v>-915780077.98460793</v>
      </c>
      <c r="M1907" s="460">
        <f t="shared" si="121"/>
        <v>0.05</v>
      </c>
      <c r="N1907" s="464">
        <f t="shared" si="122"/>
        <v>109088</v>
      </c>
    </row>
    <row r="1908" spans="7:14" ht="11.25" customHeight="1" x14ac:dyDescent="0.3">
      <c r="G1908" s="459"/>
      <c r="H1908" s="459">
        <v>1901</v>
      </c>
      <c r="I1908" s="444">
        <f t="shared" ca="1" si="120"/>
        <v>-915780077.98460793</v>
      </c>
      <c r="J1908" s="444">
        <f t="array" ref="J1908">IFERROR(INDEX('Retirement Calculator'!K:K,MATCH('Lorri 401b'!N1908,'Retirement Calculator'!A:A,0),0),0)</f>
        <v>0</v>
      </c>
      <c r="K1908" s="444">
        <f t="shared" ca="1" si="118"/>
        <v>-3815750.3249358661</v>
      </c>
      <c r="L1908" s="444">
        <f t="shared" ca="1" si="119"/>
        <v>-919595828.30954385</v>
      </c>
      <c r="M1908" s="460">
        <f t="shared" si="121"/>
        <v>0.05</v>
      </c>
      <c r="N1908" s="464">
        <f t="shared" si="122"/>
        <v>109118</v>
      </c>
    </row>
    <row r="1909" spans="7:14" ht="11.25" customHeight="1" x14ac:dyDescent="0.3">
      <c r="G1909" s="459"/>
      <c r="H1909" s="459">
        <v>1902</v>
      </c>
      <c r="I1909" s="444">
        <f t="shared" ca="1" si="120"/>
        <v>-919595828.30954385</v>
      </c>
      <c r="J1909" s="444">
        <f t="array" ref="J1909">IFERROR(INDEX('Retirement Calculator'!K:K,MATCH('Lorri 401b'!N1909,'Retirement Calculator'!A:A,0),0),0)</f>
        <v>0</v>
      </c>
      <c r="K1909" s="444">
        <f t="shared" ca="1" si="118"/>
        <v>-3831649.2846231</v>
      </c>
      <c r="L1909" s="444">
        <f t="shared" ca="1" si="119"/>
        <v>-923427477.59416699</v>
      </c>
      <c r="M1909" s="460">
        <f t="shared" si="121"/>
        <v>0.05</v>
      </c>
      <c r="N1909" s="464">
        <f t="shared" si="122"/>
        <v>109149</v>
      </c>
    </row>
    <row r="1910" spans="7:14" ht="11.25" customHeight="1" x14ac:dyDescent="0.3">
      <c r="G1910" s="459"/>
      <c r="H1910" s="459">
        <v>1903</v>
      </c>
      <c r="I1910" s="444">
        <f t="shared" ca="1" si="120"/>
        <v>-923427477.59416699</v>
      </c>
      <c r="J1910" s="444">
        <f t="array" ref="J1910">IFERROR(INDEX('Retirement Calculator'!K:K,MATCH('Lorri 401b'!N1910,'Retirement Calculator'!A:A,0),0),0)</f>
        <v>0</v>
      </c>
      <c r="K1910" s="444">
        <f t="shared" ca="1" si="118"/>
        <v>-3847614.489975696</v>
      </c>
      <c r="L1910" s="444">
        <f t="shared" ca="1" si="119"/>
        <v>-927275092.08414268</v>
      </c>
      <c r="M1910" s="460">
        <f t="shared" si="121"/>
        <v>0.05</v>
      </c>
      <c r="N1910" s="464">
        <f t="shared" si="122"/>
        <v>109179</v>
      </c>
    </row>
    <row r="1911" spans="7:14" ht="11.25" customHeight="1" x14ac:dyDescent="0.3">
      <c r="G1911" s="459"/>
      <c r="H1911" s="459">
        <v>1904</v>
      </c>
      <c r="I1911" s="444">
        <f t="shared" ca="1" si="120"/>
        <v>-927275092.08414268</v>
      </c>
      <c r="J1911" s="444">
        <f t="array" ref="J1911">IFERROR(INDEX('Retirement Calculator'!K:K,MATCH('Lorri 401b'!N1911,'Retirement Calculator'!A:A,0),0),0)</f>
        <v>0</v>
      </c>
      <c r="K1911" s="444">
        <f t="shared" ca="1" si="118"/>
        <v>-3863646.2170172613</v>
      </c>
      <c r="L1911" s="444">
        <f t="shared" ca="1" si="119"/>
        <v>-931138738.30115998</v>
      </c>
      <c r="M1911" s="460">
        <f t="shared" si="121"/>
        <v>0.05</v>
      </c>
      <c r="N1911" s="464">
        <f t="shared" si="122"/>
        <v>109210</v>
      </c>
    </row>
    <row r="1912" spans="7:14" ht="11.25" customHeight="1" x14ac:dyDescent="0.3">
      <c r="G1912" s="459"/>
      <c r="H1912" s="459">
        <v>1905</v>
      </c>
      <c r="I1912" s="444">
        <f t="shared" ca="1" si="120"/>
        <v>-931138738.30115998</v>
      </c>
      <c r="J1912" s="444">
        <f t="array" ref="J1912">IFERROR(INDEX('Retirement Calculator'!K:K,MATCH('Lorri 401b'!N1912,'Retirement Calculator'!A:A,0),0),0)</f>
        <v>0</v>
      </c>
      <c r="K1912" s="444">
        <f t="shared" ca="1" si="118"/>
        <v>-3879744.7429215</v>
      </c>
      <c r="L1912" s="444">
        <f t="shared" ca="1" si="119"/>
        <v>-935018483.04408145</v>
      </c>
      <c r="M1912" s="460">
        <f t="shared" si="121"/>
        <v>0.05</v>
      </c>
      <c r="N1912" s="464">
        <f t="shared" si="122"/>
        <v>109241</v>
      </c>
    </row>
    <row r="1913" spans="7:14" ht="11.25" customHeight="1" x14ac:dyDescent="0.3">
      <c r="G1913" s="459"/>
      <c r="H1913" s="459">
        <v>1906</v>
      </c>
      <c r="I1913" s="444">
        <f t="shared" ca="1" si="120"/>
        <v>-935018483.04408145</v>
      </c>
      <c r="J1913" s="444">
        <f t="array" ref="J1913">IFERROR(INDEX('Retirement Calculator'!K:K,MATCH('Lorri 401b'!N1913,'Retirement Calculator'!A:A,0),0),0)</f>
        <v>0</v>
      </c>
      <c r="K1913" s="444">
        <f t="shared" ca="1" si="118"/>
        <v>-3895910.3460170054</v>
      </c>
      <c r="L1913" s="444">
        <f t="shared" ca="1" si="119"/>
        <v>-938914393.39009845</v>
      </c>
      <c r="M1913" s="460">
        <f t="shared" si="121"/>
        <v>0.05</v>
      </c>
      <c r="N1913" s="464">
        <f t="shared" si="122"/>
        <v>109269</v>
      </c>
    </row>
    <row r="1914" spans="7:14" ht="11.25" customHeight="1" x14ac:dyDescent="0.3">
      <c r="G1914" s="459"/>
      <c r="H1914" s="459">
        <v>1907</v>
      </c>
      <c r="I1914" s="444">
        <f t="shared" ca="1" si="120"/>
        <v>-938914393.39009845</v>
      </c>
      <c r="J1914" s="444">
        <f t="array" ref="J1914">IFERROR(INDEX('Retirement Calculator'!K:K,MATCH('Lorri 401b'!N1914,'Retirement Calculator'!A:A,0),0),0)</f>
        <v>0</v>
      </c>
      <c r="K1914" s="444">
        <f t="shared" ca="1" si="118"/>
        <v>-3912143.305792077</v>
      </c>
      <c r="L1914" s="444">
        <f t="shared" ca="1" si="119"/>
        <v>-942826536.69589055</v>
      </c>
      <c r="M1914" s="460">
        <f t="shared" si="121"/>
        <v>0.05</v>
      </c>
      <c r="N1914" s="464">
        <f t="shared" si="122"/>
        <v>109300</v>
      </c>
    </row>
    <row r="1915" spans="7:14" ht="11.25" customHeight="1" x14ac:dyDescent="0.3">
      <c r="G1915" s="459"/>
      <c r="H1915" s="459">
        <v>1908</v>
      </c>
      <c r="I1915" s="444">
        <f t="shared" ca="1" si="120"/>
        <v>-942826536.69589055</v>
      </c>
      <c r="J1915" s="444">
        <f t="array" ref="J1915">IFERROR(INDEX('Retirement Calculator'!K:K,MATCH('Lorri 401b'!N1915,'Retirement Calculator'!A:A,0),0),0)</f>
        <v>0</v>
      </c>
      <c r="K1915" s="444">
        <f t="shared" ca="1" si="118"/>
        <v>-3928443.9028995438</v>
      </c>
      <c r="L1915" s="444">
        <f t="shared" ca="1" si="119"/>
        <v>-946754980.59879005</v>
      </c>
      <c r="M1915" s="460">
        <f t="shared" si="121"/>
        <v>0.05</v>
      </c>
      <c r="N1915" s="464">
        <f t="shared" si="122"/>
        <v>109330</v>
      </c>
    </row>
    <row r="1916" spans="7:14" ht="11.25" customHeight="1" x14ac:dyDescent="0.3">
      <c r="G1916" s="459"/>
      <c r="H1916" s="459">
        <v>1909</v>
      </c>
      <c r="I1916" s="444">
        <f t="shared" ca="1" si="120"/>
        <v>-946754980.59879005</v>
      </c>
      <c r="J1916" s="444">
        <f t="array" ref="J1916">IFERROR(INDEX('Retirement Calculator'!K:K,MATCH('Lorri 401b'!N1916,'Retirement Calculator'!A:A,0),0),0)</f>
        <v>0</v>
      </c>
      <c r="K1916" s="444">
        <f t="shared" ca="1" si="118"/>
        <v>-3944812.4191616247</v>
      </c>
      <c r="L1916" s="444">
        <f t="shared" ca="1" si="119"/>
        <v>-950699793.01795173</v>
      </c>
      <c r="M1916" s="460">
        <f t="shared" si="121"/>
        <v>0.05</v>
      </c>
      <c r="N1916" s="464">
        <f t="shared" si="122"/>
        <v>109361</v>
      </c>
    </row>
    <row r="1917" spans="7:14" ht="11.25" customHeight="1" x14ac:dyDescent="0.3">
      <c r="G1917" s="459"/>
      <c r="H1917" s="459">
        <v>1910</v>
      </c>
      <c r="I1917" s="444">
        <f t="shared" ca="1" si="120"/>
        <v>-950699793.01795173</v>
      </c>
      <c r="J1917" s="444">
        <f t="array" ref="J1917">IFERROR(INDEX('Retirement Calculator'!K:K,MATCH('Lorri 401b'!N1917,'Retirement Calculator'!A:A,0),0),0)</f>
        <v>0</v>
      </c>
      <c r="K1917" s="444">
        <f t="shared" ca="1" si="118"/>
        <v>-3961249.1375747989</v>
      </c>
      <c r="L1917" s="444">
        <f t="shared" ca="1" si="119"/>
        <v>-954661042.15552652</v>
      </c>
      <c r="M1917" s="460">
        <f t="shared" si="121"/>
        <v>0.05</v>
      </c>
      <c r="N1917" s="464">
        <f t="shared" si="122"/>
        <v>109391</v>
      </c>
    </row>
    <row r="1918" spans="7:14" ht="11.25" customHeight="1" x14ac:dyDescent="0.3">
      <c r="G1918" s="459"/>
      <c r="H1918" s="459">
        <v>1911</v>
      </c>
      <c r="I1918" s="444">
        <f t="shared" ca="1" si="120"/>
        <v>-954661042.15552652</v>
      </c>
      <c r="J1918" s="444">
        <f t="array" ref="J1918">IFERROR(INDEX('Retirement Calculator'!K:K,MATCH('Lorri 401b'!N1918,'Retirement Calculator'!A:A,0),0),0)</f>
        <v>0</v>
      </c>
      <c r="K1918" s="444">
        <f t="shared" ca="1" si="118"/>
        <v>-3977754.3423146936</v>
      </c>
      <c r="L1918" s="444">
        <f t="shared" ca="1" si="119"/>
        <v>-958638796.49784124</v>
      </c>
      <c r="M1918" s="460">
        <f t="shared" si="121"/>
        <v>0.05</v>
      </c>
      <c r="N1918" s="464">
        <f t="shared" si="122"/>
        <v>109422</v>
      </c>
    </row>
    <row r="1919" spans="7:14" ht="11.25" customHeight="1" x14ac:dyDescent="0.3">
      <c r="G1919" s="459"/>
      <c r="H1919" s="459">
        <v>1912</v>
      </c>
      <c r="I1919" s="444">
        <f t="shared" ca="1" si="120"/>
        <v>-958638796.49784124</v>
      </c>
      <c r="J1919" s="444">
        <f t="array" ref="J1919">IFERROR(INDEX('Retirement Calculator'!K:K,MATCH('Lorri 401b'!N1919,'Retirement Calculator'!A:A,0),0),0)</f>
        <v>0</v>
      </c>
      <c r="K1919" s="444">
        <f t="shared" ca="1" si="118"/>
        <v>-3994328.3187410054</v>
      </c>
      <c r="L1919" s="444">
        <f t="shared" ca="1" si="119"/>
        <v>-962633124.8165822</v>
      </c>
      <c r="M1919" s="460">
        <f t="shared" si="121"/>
        <v>0.05</v>
      </c>
      <c r="N1919" s="464">
        <f t="shared" si="122"/>
        <v>109453</v>
      </c>
    </row>
    <row r="1920" spans="7:14" ht="11.25" customHeight="1" x14ac:dyDescent="0.3">
      <c r="G1920" s="459"/>
      <c r="H1920" s="459">
        <v>1913</v>
      </c>
      <c r="I1920" s="444">
        <f t="shared" ca="1" si="120"/>
        <v>-962633124.8165822</v>
      </c>
      <c r="J1920" s="444">
        <f t="array" ref="J1920">IFERROR(INDEX('Retirement Calculator'!K:K,MATCH('Lorri 401b'!N1920,'Retirement Calculator'!A:A,0),0),0)</f>
        <v>0</v>
      </c>
      <c r="K1920" s="444">
        <f t="shared" ca="1" si="118"/>
        <v>-4010971.353402426</v>
      </c>
      <c r="L1920" s="444">
        <f t="shared" ca="1" si="119"/>
        <v>-966644096.16998458</v>
      </c>
      <c r="M1920" s="460">
        <f t="shared" si="121"/>
        <v>0.05</v>
      </c>
      <c r="N1920" s="464">
        <f t="shared" si="122"/>
        <v>109483</v>
      </c>
    </row>
    <row r="1921" spans="7:14" ht="11.25" customHeight="1" x14ac:dyDescent="0.3">
      <c r="G1921" s="459"/>
      <c r="H1921" s="459">
        <v>1914</v>
      </c>
      <c r="I1921" s="444">
        <f t="shared" ca="1" si="120"/>
        <v>-966644096.16998458</v>
      </c>
      <c r="J1921" s="444">
        <f t="array" ref="J1921">IFERROR(INDEX('Retirement Calculator'!K:K,MATCH('Lorri 401b'!N1921,'Retirement Calculator'!A:A,0),0),0)</f>
        <v>0</v>
      </c>
      <c r="K1921" s="444">
        <f t="shared" ca="1" si="118"/>
        <v>-4027683.7340416024</v>
      </c>
      <c r="L1921" s="444">
        <f t="shared" ca="1" si="119"/>
        <v>-970671779.90402615</v>
      </c>
      <c r="M1921" s="460">
        <f t="shared" si="121"/>
        <v>0.05</v>
      </c>
      <c r="N1921" s="464">
        <f t="shared" si="122"/>
        <v>109514</v>
      </c>
    </row>
    <row r="1922" spans="7:14" ht="11.25" customHeight="1" x14ac:dyDescent="0.3">
      <c r="G1922" s="459"/>
      <c r="H1922" s="459">
        <v>1915</v>
      </c>
      <c r="I1922" s="444">
        <f t="shared" ca="1" si="120"/>
        <v>-970671779.90402615</v>
      </c>
      <c r="J1922" s="444">
        <f t="array" ref="J1922">IFERROR(INDEX('Retirement Calculator'!K:K,MATCH('Lorri 401b'!N1922,'Retirement Calculator'!A:A,0),0),0)</f>
        <v>0</v>
      </c>
      <c r="K1922" s="444">
        <f t="shared" ca="1" si="118"/>
        <v>-4044465.7496001092</v>
      </c>
      <c r="L1922" s="444">
        <f t="shared" ca="1" si="119"/>
        <v>-974716245.6536262</v>
      </c>
      <c r="M1922" s="460">
        <f t="shared" si="121"/>
        <v>0.05</v>
      </c>
      <c r="N1922" s="464">
        <f t="shared" si="122"/>
        <v>109544</v>
      </c>
    </row>
    <row r="1923" spans="7:14" ht="11.25" customHeight="1" x14ac:dyDescent="0.3">
      <c r="G1923" s="459"/>
      <c r="H1923" s="459">
        <v>1916</v>
      </c>
      <c r="I1923" s="444">
        <f t="shared" ca="1" si="120"/>
        <v>-974716245.6536262</v>
      </c>
      <c r="J1923" s="444">
        <f t="array" ref="J1923">IFERROR(INDEX('Retirement Calculator'!K:K,MATCH('Lorri 401b'!N1923,'Retirement Calculator'!A:A,0),0),0)</f>
        <v>0</v>
      </c>
      <c r="K1923" s="444">
        <f t="shared" ca="1" si="118"/>
        <v>-4061317.6902234424</v>
      </c>
      <c r="L1923" s="444">
        <f t="shared" ca="1" si="119"/>
        <v>-978777563.34384966</v>
      </c>
      <c r="M1923" s="460">
        <f t="shared" si="121"/>
        <v>0.05</v>
      </c>
      <c r="N1923" s="464">
        <f t="shared" si="122"/>
        <v>109575</v>
      </c>
    </row>
    <row r="1924" spans="7:14" ht="11.25" customHeight="1" x14ac:dyDescent="0.3">
      <c r="G1924" s="459"/>
      <c r="H1924" s="459">
        <v>1917</v>
      </c>
      <c r="I1924" s="444">
        <f t="shared" ca="1" si="120"/>
        <v>-978777563.34384966</v>
      </c>
      <c r="J1924" s="444">
        <f t="array" ref="J1924">IFERROR(INDEX('Retirement Calculator'!K:K,MATCH('Lorri 401b'!N1924,'Retirement Calculator'!A:A,0),0),0)</f>
        <v>0</v>
      </c>
      <c r="K1924" s="444">
        <f t="shared" ca="1" si="118"/>
        <v>-4078239.8472660403</v>
      </c>
      <c r="L1924" s="444">
        <f t="shared" ca="1" si="119"/>
        <v>-982855803.19111574</v>
      </c>
      <c r="M1924" s="460">
        <f t="shared" si="121"/>
        <v>0.05</v>
      </c>
      <c r="N1924" s="464">
        <f t="shared" si="122"/>
        <v>109606</v>
      </c>
    </row>
    <row r="1925" spans="7:14" ht="11.25" customHeight="1" x14ac:dyDescent="0.3">
      <c r="G1925" s="459"/>
      <c r="H1925" s="459">
        <v>1918</v>
      </c>
      <c r="I1925" s="444">
        <f t="shared" ca="1" si="120"/>
        <v>-982855803.19111574</v>
      </c>
      <c r="J1925" s="444">
        <f t="array" ref="J1925">IFERROR(INDEX('Retirement Calculator'!K:K,MATCH('Lorri 401b'!N1925,'Retirement Calculator'!A:A,0),0),0)</f>
        <v>0</v>
      </c>
      <c r="K1925" s="444">
        <f t="shared" ca="1" si="118"/>
        <v>-4095232.5132963154</v>
      </c>
      <c r="L1925" s="444">
        <f t="shared" ca="1" si="119"/>
        <v>-986951035.7044121</v>
      </c>
      <c r="M1925" s="460">
        <f t="shared" si="121"/>
        <v>0.05</v>
      </c>
      <c r="N1925" s="464">
        <f t="shared" si="122"/>
        <v>109634</v>
      </c>
    </row>
    <row r="1926" spans="7:14" ht="11.25" customHeight="1" x14ac:dyDescent="0.3">
      <c r="G1926" s="459"/>
      <c r="H1926" s="459">
        <v>1919</v>
      </c>
      <c r="I1926" s="444">
        <f t="shared" ca="1" si="120"/>
        <v>-986951035.7044121</v>
      </c>
      <c r="J1926" s="444">
        <f t="array" ref="J1926">IFERROR(INDEX('Retirement Calculator'!K:K,MATCH('Lorri 401b'!N1926,'Retirement Calculator'!A:A,0),0),0)</f>
        <v>0</v>
      </c>
      <c r="K1926" s="444">
        <f t="shared" ca="1" si="118"/>
        <v>-4112295.982101717</v>
      </c>
      <c r="L1926" s="444">
        <f t="shared" ca="1" si="119"/>
        <v>-991063331.68651378</v>
      </c>
      <c r="M1926" s="460">
        <f t="shared" si="121"/>
        <v>0.05</v>
      </c>
      <c r="N1926" s="464">
        <f t="shared" si="122"/>
        <v>109665</v>
      </c>
    </row>
    <row r="1927" spans="7:14" ht="11.25" customHeight="1" x14ac:dyDescent="0.3">
      <c r="G1927" s="459"/>
      <c r="H1927" s="459">
        <v>1920</v>
      </c>
      <c r="I1927" s="444">
        <f t="shared" ca="1" si="120"/>
        <v>-991063331.68651378</v>
      </c>
      <c r="J1927" s="444">
        <f t="array" ref="J1927">IFERROR(INDEX('Retirement Calculator'!K:K,MATCH('Lorri 401b'!N1927,'Retirement Calculator'!A:A,0),0),0)</f>
        <v>0</v>
      </c>
      <c r="K1927" s="444">
        <f t="shared" ca="1" si="118"/>
        <v>-4129430.5486938073</v>
      </c>
      <c r="L1927" s="444">
        <f t="shared" ca="1" si="119"/>
        <v>-995192762.23520756</v>
      </c>
      <c r="M1927" s="460">
        <f t="shared" si="121"/>
        <v>0.05</v>
      </c>
      <c r="N1927" s="464">
        <f t="shared" si="122"/>
        <v>109695</v>
      </c>
    </row>
    <row r="1928" spans="7:14" ht="11.25" customHeight="1" x14ac:dyDescent="0.3">
      <c r="G1928" s="459"/>
      <c r="H1928" s="459">
        <v>1921</v>
      </c>
      <c r="I1928" s="444">
        <f t="shared" ca="1" si="120"/>
        <v>-995192762.23520756</v>
      </c>
      <c r="J1928" s="444">
        <f t="array" ref="J1928">IFERROR(INDEX('Retirement Calculator'!K:K,MATCH('Lorri 401b'!N1928,'Retirement Calculator'!A:A,0),0),0)</f>
        <v>0</v>
      </c>
      <c r="K1928" s="444">
        <f t="shared" ca="1" si="118"/>
        <v>-4146636.509313364</v>
      </c>
      <c r="L1928" s="444">
        <f t="shared" ca="1" si="119"/>
        <v>-999339398.7445209</v>
      </c>
      <c r="M1928" s="460">
        <f t="shared" si="121"/>
        <v>0.05</v>
      </c>
      <c r="N1928" s="464">
        <f t="shared" si="122"/>
        <v>109726</v>
      </c>
    </row>
    <row r="1929" spans="7:14" ht="11.25" customHeight="1" x14ac:dyDescent="0.3">
      <c r="G1929" s="459"/>
      <c r="H1929" s="459">
        <v>1922</v>
      </c>
      <c r="I1929" s="444">
        <f t="shared" ca="1" si="120"/>
        <v>-999339398.7445209</v>
      </c>
      <c r="J1929" s="444">
        <f t="array" ref="J1929">IFERROR(INDEX('Retirement Calculator'!K:K,MATCH('Lorri 401b'!N1929,'Retirement Calculator'!A:A,0),0),0)</f>
        <v>0</v>
      </c>
      <c r="K1929" s="444">
        <f t="shared" ca="1" si="118"/>
        <v>-4163914.1614355035</v>
      </c>
      <c r="L1929" s="444">
        <f t="shared" ca="1" si="119"/>
        <v>-1003503312.9059564</v>
      </c>
      <c r="M1929" s="460">
        <f t="shared" si="121"/>
        <v>0.05</v>
      </c>
      <c r="N1929" s="464">
        <f t="shared" si="122"/>
        <v>109756</v>
      </c>
    </row>
    <row r="1930" spans="7:14" ht="11.25" customHeight="1" x14ac:dyDescent="0.3">
      <c r="G1930" s="459"/>
      <c r="H1930" s="459">
        <v>1923</v>
      </c>
      <c r="I1930" s="444">
        <f t="shared" ca="1" si="120"/>
        <v>-1003503312.9059564</v>
      </c>
      <c r="J1930" s="444">
        <f t="array" ref="J1930">IFERROR(INDEX('Retirement Calculator'!K:K,MATCH('Lorri 401b'!N1930,'Retirement Calculator'!A:A,0),0),0)</f>
        <v>0</v>
      </c>
      <c r="K1930" s="444">
        <f t="shared" ca="1" si="118"/>
        <v>-4181263.8037748178</v>
      </c>
      <c r="L1930" s="444">
        <f t="shared" ca="1" si="119"/>
        <v>-1007684576.7097312</v>
      </c>
      <c r="M1930" s="460">
        <f t="shared" si="121"/>
        <v>0.05</v>
      </c>
      <c r="N1930" s="464">
        <f t="shared" si="122"/>
        <v>109787</v>
      </c>
    </row>
    <row r="1931" spans="7:14" ht="11.25" customHeight="1" x14ac:dyDescent="0.3">
      <c r="G1931" s="459"/>
      <c r="H1931" s="459">
        <v>1924</v>
      </c>
      <c r="I1931" s="444">
        <f t="shared" ca="1" si="120"/>
        <v>-1007684576.7097312</v>
      </c>
      <c r="J1931" s="444">
        <f t="array" ref="J1931">IFERROR(INDEX('Retirement Calculator'!K:K,MATCH('Lorri 401b'!N1931,'Retirement Calculator'!A:A,0),0),0)</f>
        <v>0</v>
      </c>
      <c r="K1931" s="444">
        <f t="shared" ca="1" si="118"/>
        <v>-4198685.7362905471</v>
      </c>
      <c r="L1931" s="444">
        <f t="shared" ca="1" si="119"/>
        <v>-1011883262.4460218</v>
      </c>
      <c r="M1931" s="460">
        <f t="shared" si="121"/>
        <v>0.05</v>
      </c>
      <c r="N1931" s="464">
        <f t="shared" si="122"/>
        <v>109818</v>
      </c>
    </row>
    <row r="1932" spans="7:14" ht="11.25" customHeight="1" x14ac:dyDescent="0.3">
      <c r="G1932" s="459"/>
      <c r="H1932" s="459">
        <v>1925</v>
      </c>
      <c r="I1932" s="444">
        <f t="shared" ca="1" si="120"/>
        <v>-1011883262.4460218</v>
      </c>
      <c r="J1932" s="444">
        <f t="array" ref="J1932">IFERROR(INDEX('Retirement Calculator'!K:K,MATCH('Lorri 401b'!N1932,'Retirement Calculator'!A:A,0),0),0)</f>
        <v>0</v>
      </c>
      <c r="K1932" s="444">
        <f t="shared" ca="1" si="118"/>
        <v>-4216180.2601917582</v>
      </c>
      <c r="L1932" s="444">
        <f t="shared" ca="1" si="119"/>
        <v>-1016099442.7062136</v>
      </c>
      <c r="M1932" s="460">
        <f t="shared" si="121"/>
        <v>0.05</v>
      </c>
      <c r="N1932" s="464">
        <f t="shared" si="122"/>
        <v>109848</v>
      </c>
    </row>
    <row r="1933" spans="7:14" ht="11.25" customHeight="1" x14ac:dyDescent="0.3">
      <c r="G1933" s="459"/>
      <c r="H1933" s="459">
        <v>1926</v>
      </c>
      <c r="I1933" s="444">
        <f t="shared" ca="1" si="120"/>
        <v>-1016099442.7062136</v>
      </c>
      <c r="J1933" s="444">
        <f t="array" ref="J1933">IFERROR(INDEX('Retirement Calculator'!K:K,MATCH('Lorri 401b'!N1933,'Retirement Calculator'!A:A,0),0),0)</f>
        <v>0</v>
      </c>
      <c r="K1933" s="444">
        <f t="shared" ca="1" si="118"/>
        <v>-4233747.6779425563</v>
      </c>
      <c r="L1933" s="444">
        <f t="shared" ca="1" si="119"/>
        <v>-1020333190.3841561</v>
      </c>
      <c r="M1933" s="460">
        <f t="shared" si="121"/>
        <v>0.05</v>
      </c>
      <c r="N1933" s="464">
        <f t="shared" si="122"/>
        <v>109879</v>
      </c>
    </row>
    <row r="1934" spans="7:14" ht="11.25" customHeight="1" x14ac:dyDescent="0.3">
      <c r="G1934" s="459"/>
      <c r="H1934" s="459">
        <v>1927</v>
      </c>
      <c r="I1934" s="444">
        <f t="shared" ca="1" si="120"/>
        <v>-1020333190.3841561</v>
      </c>
      <c r="J1934" s="444">
        <f t="array" ref="J1934">IFERROR(INDEX('Retirement Calculator'!K:K,MATCH('Lorri 401b'!N1934,'Retirement Calculator'!A:A,0),0),0)</f>
        <v>0</v>
      </c>
      <c r="K1934" s="444">
        <f t="shared" ca="1" si="118"/>
        <v>-4251388.2932673171</v>
      </c>
      <c r="L1934" s="444">
        <f t="shared" ca="1" si="119"/>
        <v>-1024584578.6774235</v>
      </c>
      <c r="M1934" s="460">
        <f t="shared" si="121"/>
        <v>0.05</v>
      </c>
      <c r="N1934" s="464">
        <f t="shared" si="122"/>
        <v>109909</v>
      </c>
    </row>
    <row r="1935" spans="7:14" ht="11.25" customHeight="1" x14ac:dyDescent="0.3">
      <c r="G1935" s="459"/>
      <c r="H1935" s="459">
        <v>1928</v>
      </c>
      <c r="I1935" s="444">
        <f t="shared" ca="1" si="120"/>
        <v>-1024584578.6774235</v>
      </c>
      <c r="J1935" s="444">
        <f t="array" ref="J1935">IFERROR(INDEX('Retirement Calculator'!K:K,MATCH('Lorri 401b'!N1935,'Retirement Calculator'!A:A,0),0),0)</f>
        <v>0</v>
      </c>
      <c r="K1935" s="444">
        <f t="shared" ca="1" si="118"/>
        <v>-4269102.4111559307</v>
      </c>
      <c r="L1935" s="444">
        <f t="shared" ca="1" si="119"/>
        <v>-1028853681.0885794</v>
      </c>
      <c r="M1935" s="460">
        <f t="shared" si="121"/>
        <v>0.05</v>
      </c>
      <c r="N1935" s="464">
        <f t="shared" si="122"/>
        <v>109940</v>
      </c>
    </row>
    <row r="1936" spans="7:14" ht="11.25" customHeight="1" x14ac:dyDescent="0.3">
      <c r="G1936" s="459"/>
      <c r="H1936" s="459">
        <v>1929</v>
      </c>
      <c r="I1936" s="444">
        <f t="shared" ca="1" si="120"/>
        <v>-1028853681.0885794</v>
      </c>
      <c r="J1936" s="444">
        <f t="array" ref="J1936">IFERROR(INDEX('Retirement Calculator'!K:K,MATCH('Lorri 401b'!N1936,'Retirement Calculator'!A:A,0),0),0)</f>
        <v>0</v>
      </c>
      <c r="K1936" s="444">
        <f t="shared" ca="1" si="118"/>
        <v>-4286890.3378690807</v>
      </c>
      <c r="L1936" s="444">
        <f t="shared" ca="1" si="119"/>
        <v>-1033140571.4264485</v>
      </c>
      <c r="M1936" s="460">
        <f t="shared" si="121"/>
        <v>0.05</v>
      </c>
      <c r="N1936" s="464">
        <f t="shared" si="122"/>
        <v>109971</v>
      </c>
    </row>
    <row r="1937" spans="7:14" ht="11.25" customHeight="1" x14ac:dyDescent="0.3">
      <c r="G1937" s="459"/>
      <c r="H1937" s="459">
        <v>1930</v>
      </c>
      <c r="I1937" s="444">
        <f t="shared" ca="1" si="120"/>
        <v>-1033140571.4264485</v>
      </c>
      <c r="J1937" s="444">
        <f t="array" ref="J1937">IFERROR(INDEX('Retirement Calculator'!K:K,MATCH('Lorri 401b'!N1937,'Retirement Calculator'!A:A,0),0),0)</f>
        <v>0</v>
      </c>
      <c r="K1937" s="444">
        <f t="shared" ca="1" si="118"/>
        <v>-4304752.3809435349</v>
      </c>
      <c r="L1937" s="444">
        <f t="shared" ca="1" si="119"/>
        <v>-1037445323.807392</v>
      </c>
      <c r="M1937" s="460">
        <f t="shared" si="121"/>
        <v>0.05</v>
      </c>
      <c r="N1937" s="464">
        <f t="shared" si="122"/>
        <v>109999</v>
      </c>
    </row>
    <row r="1938" spans="7:14" ht="11.25" customHeight="1" x14ac:dyDescent="0.3">
      <c r="G1938" s="459"/>
      <c r="H1938" s="459">
        <v>1931</v>
      </c>
      <c r="I1938" s="444">
        <f t="shared" ca="1" si="120"/>
        <v>-1037445323.807392</v>
      </c>
      <c r="J1938" s="444">
        <f t="array" ref="J1938">IFERROR(INDEX('Retirement Calculator'!K:K,MATCH('Lorri 401b'!N1938,'Retirement Calculator'!A:A,0),0),0)</f>
        <v>0</v>
      </c>
      <c r="K1938" s="444">
        <f t="shared" ca="1" si="118"/>
        <v>-4322688.8491974669</v>
      </c>
      <c r="L1938" s="444">
        <f t="shared" ca="1" si="119"/>
        <v>-1041768012.6565895</v>
      </c>
      <c r="M1938" s="460">
        <f t="shared" si="121"/>
        <v>0.05</v>
      </c>
      <c r="N1938" s="464">
        <f t="shared" si="122"/>
        <v>110030</v>
      </c>
    </row>
    <row r="1939" spans="7:14" ht="11.25" customHeight="1" x14ac:dyDescent="0.3">
      <c r="G1939" s="459"/>
      <c r="H1939" s="459">
        <v>1932</v>
      </c>
      <c r="I1939" s="444">
        <f t="shared" ca="1" si="120"/>
        <v>-1041768012.6565895</v>
      </c>
      <c r="J1939" s="444">
        <f t="array" ref="J1939">IFERROR(INDEX('Retirement Calculator'!K:K,MATCH('Lorri 401b'!N1939,'Retirement Calculator'!A:A,0),0),0)</f>
        <v>0</v>
      </c>
      <c r="K1939" s="444">
        <f t="shared" ca="1" si="118"/>
        <v>-4340700.0527357897</v>
      </c>
      <c r="L1939" s="444">
        <f t="shared" ca="1" si="119"/>
        <v>-1046108712.7093253</v>
      </c>
      <c r="M1939" s="460">
        <f t="shared" si="121"/>
        <v>0.05</v>
      </c>
      <c r="N1939" s="464">
        <f t="shared" si="122"/>
        <v>110060</v>
      </c>
    </row>
    <row r="1940" spans="7:14" ht="11.25" customHeight="1" x14ac:dyDescent="0.3">
      <c r="G1940" s="459"/>
      <c r="H1940" s="459">
        <v>1933</v>
      </c>
      <c r="I1940" s="444">
        <f t="shared" ca="1" si="120"/>
        <v>-1046108712.7093253</v>
      </c>
      <c r="J1940" s="444">
        <f t="array" ref="J1940">IFERROR(INDEX('Retirement Calculator'!K:K,MATCH('Lorri 401b'!N1940,'Retirement Calculator'!A:A,0),0),0)</f>
        <v>0</v>
      </c>
      <c r="K1940" s="444">
        <f t="shared" ca="1" si="118"/>
        <v>-4358786.3029555222</v>
      </c>
      <c r="L1940" s="444">
        <f t="shared" ca="1" si="119"/>
        <v>-1050467499.0122808</v>
      </c>
      <c r="M1940" s="460">
        <f t="shared" si="121"/>
        <v>0.05</v>
      </c>
      <c r="N1940" s="464">
        <f t="shared" si="122"/>
        <v>110091</v>
      </c>
    </row>
    <row r="1941" spans="7:14" ht="11.25" customHeight="1" x14ac:dyDescent="0.3">
      <c r="G1941" s="459"/>
      <c r="H1941" s="459">
        <v>1934</v>
      </c>
      <c r="I1941" s="444">
        <f t="shared" ca="1" si="120"/>
        <v>-1050467499.0122808</v>
      </c>
      <c r="J1941" s="444">
        <f t="array" ref="J1941">IFERROR(INDEX('Retirement Calculator'!K:K,MATCH('Lorri 401b'!N1941,'Retirement Calculator'!A:A,0),0),0)</f>
        <v>0</v>
      </c>
      <c r="K1941" s="444">
        <f t="shared" ca="1" si="118"/>
        <v>-4376947.9125511702</v>
      </c>
      <c r="L1941" s="444">
        <f t="shared" ca="1" si="119"/>
        <v>-1054844446.924832</v>
      </c>
      <c r="M1941" s="460">
        <f t="shared" si="121"/>
        <v>0.05</v>
      </c>
      <c r="N1941" s="464">
        <f t="shared" si="122"/>
        <v>110121</v>
      </c>
    </row>
    <row r="1942" spans="7:14" ht="11.25" customHeight="1" x14ac:dyDescent="0.3">
      <c r="G1942" s="459"/>
      <c r="H1942" s="459">
        <v>1935</v>
      </c>
      <c r="I1942" s="444">
        <f t="shared" ca="1" si="120"/>
        <v>-1054844446.924832</v>
      </c>
      <c r="J1942" s="444">
        <f t="array" ref="J1942">IFERROR(INDEX('Retirement Calculator'!K:K,MATCH('Lorri 401b'!N1942,'Retirement Calculator'!A:A,0),0),0)</f>
        <v>0</v>
      </c>
      <c r="K1942" s="444">
        <f t="shared" ca="1" si="118"/>
        <v>-4395185.1955201328</v>
      </c>
      <c r="L1942" s="444">
        <f t="shared" ca="1" si="119"/>
        <v>-1059239632.1203521</v>
      </c>
      <c r="M1942" s="460">
        <f t="shared" si="121"/>
        <v>0.05</v>
      </c>
      <c r="N1942" s="464">
        <f t="shared" si="122"/>
        <v>110152</v>
      </c>
    </row>
    <row r="1943" spans="7:14" ht="11.25" customHeight="1" x14ac:dyDescent="0.3">
      <c r="G1943" s="459"/>
      <c r="H1943" s="459">
        <v>1936</v>
      </c>
      <c r="I1943" s="444">
        <f t="shared" ca="1" si="120"/>
        <v>-1059239632.1203521</v>
      </c>
      <c r="J1943" s="444">
        <f t="array" ref="J1943">IFERROR(INDEX('Retirement Calculator'!K:K,MATCH('Lorri 401b'!N1943,'Retirement Calculator'!A:A,0),0),0)</f>
        <v>0</v>
      </c>
      <c r="K1943" s="444">
        <f t="shared" ca="1" si="118"/>
        <v>-4413498.4671681337</v>
      </c>
      <c r="L1943" s="444">
        <f t="shared" ca="1" si="119"/>
        <v>-1063653130.5875202</v>
      </c>
      <c r="M1943" s="460">
        <f t="shared" si="121"/>
        <v>0.05</v>
      </c>
      <c r="N1943" s="464">
        <f t="shared" si="122"/>
        <v>110183</v>
      </c>
    </row>
    <row r="1944" spans="7:14" ht="11.25" customHeight="1" x14ac:dyDescent="0.3">
      <c r="G1944" s="459"/>
      <c r="H1944" s="459">
        <v>1937</v>
      </c>
      <c r="I1944" s="444">
        <f t="shared" ca="1" si="120"/>
        <v>-1063653130.5875202</v>
      </c>
      <c r="J1944" s="444">
        <f t="array" ref="J1944">IFERROR(INDEX('Retirement Calculator'!K:K,MATCH('Lorri 401b'!N1944,'Retirement Calculator'!A:A,0),0),0)</f>
        <v>0</v>
      </c>
      <c r="K1944" s="444">
        <f t="shared" ca="1" si="118"/>
        <v>-4431888.0441146679</v>
      </c>
      <c r="L1944" s="444">
        <f t="shared" ca="1" si="119"/>
        <v>-1068085018.631635</v>
      </c>
      <c r="M1944" s="460">
        <f t="shared" si="121"/>
        <v>0.05</v>
      </c>
      <c r="N1944" s="464">
        <f t="shared" si="122"/>
        <v>110213</v>
      </c>
    </row>
    <row r="1945" spans="7:14" ht="11.25" customHeight="1" x14ac:dyDescent="0.3">
      <c r="G1945" s="459"/>
      <c r="H1945" s="459">
        <v>1938</v>
      </c>
      <c r="I1945" s="444">
        <f t="shared" ca="1" si="120"/>
        <v>-1068085018.631635</v>
      </c>
      <c r="J1945" s="444">
        <f t="array" ref="J1945">IFERROR(INDEX('Retirement Calculator'!K:K,MATCH('Lorri 401b'!N1945,'Retirement Calculator'!A:A,0),0),0)</f>
        <v>0</v>
      </c>
      <c r="K1945" s="444">
        <f t="shared" ca="1" si="118"/>
        <v>-4450354.2442984786</v>
      </c>
      <c r="L1945" s="444">
        <f t="shared" ca="1" si="119"/>
        <v>-1072535372.8759334</v>
      </c>
      <c r="M1945" s="460">
        <f t="shared" si="121"/>
        <v>0.05</v>
      </c>
      <c r="N1945" s="464">
        <f t="shared" si="122"/>
        <v>110244</v>
      </c>
    </row>
    <row r="1946" spans="7:14" ht="11.25" customHeight="1" x14ac:dyDescent="0.3">
      <c r="G1946" s="459"/>
      <c r="H1946" s="459">
        <v>1939</v>
      </c>
      <c r="I1946" s="444">
        <f t="shared" ca="1" si="120"/>
        <v>-1072535372.8759334</v>
      </c>
      <c r="J1946" s="444">
        <f t="array" ref="J1946">IFERROR(INDEX('Retirement Calculator'!K:K,MATCH('Lorri 401b'!N1946,'Retirement Calculator'!A:A,0),0),0)</f>
        <v>0</v>
      </c>
      <c r="K1946" s="444">
        <f t="shared" ca="1" si="118"/>
        <v>-4468897.3869830556</v>
      </c>
      <c r="L1946" s="444">
        <f t="shared" ca="1" si="119"/>
        <v>-1077004270.2629166</v>
      </c>
      <c r="M1946" s="460">
        <f t="shared" si="121"/>
        <v>0.05</v>
      </c>
      <c r="N1946" s="464">
        <f t="shared" si="122"/>
        <v>110274</v>
      </c>
    </row>
    <row r="1947" spans="7:14" ht="11.25" customHeight="1" x14ac:dyDescent="0.3">
      <c r="G1947" s="459"/>
      <c r="H1947" s="459">
        <v>1940</v>
      </c>
      <c r="I1947" s="444">
        <f t="shared" ca="1" si="120"/>
        <v>-1077004270.2629166</v>
      </c>
      <c r="J1947" s="444">
        <f t="array" ref="J1947">IFERROR(INDEX('Retirement Calculator'!K:K,MATCH('Lorri 401b'!N1947,'Retirement Calculator'!A:A,0),0),0)</f>
        <v>0</v>
      </c>
      <c r="K1947" s="444">
        <f t="shared" ca="1" si="118"/>
        <v>-4487517.7927621519</v>
      </c>
      <c r="L1947" s="444">
        <f t="shared" ca="1" si="119"/>
        <v>-1081491788.0556786</v>
      </c>
      <c r="M1947" s="460">
        <f t="shared" si="121"/>
        <v>0.05</v>
      </c>
      <c r="N1947" s="464">
        <f t="shared" si="122"/>
        <v>110305</v>
      </c>
    </row>
    <row r="1948" spans="7:14" ht="11.25" customHeight="1" x14ac:dyDescent="0.3">
      <c r="G1948" s="459"/>
      <c r="H1948" s="459">
        <v>1941</v>
      </c>
      <c r="I1948" s="444">
        <f t="shared" ca="1" si="120"/>
        <v>-1081491788.0556786</v>
      </c>
      <c r="J1948" s="444">
        <f t="array" ref="J1948">IFERROR(INDEX('Retirement Calculator'!K:K,MATCH('Lorri 401b'!N1948,'Retirement Calculator'!A:A,0),0),0)</f>
        <v>0</v>
      </c>
      <c r="K1948" s="444">
        <f t="shared" ca="1" si="118"/>
        <v>-4506215.7835653275</v>
      </c>
      <c r="L1948" s="444">
        <f t="shared" ca="1" si="119"/>
        <v>-1085998003.8392439</v>
      </c>
      <c r="M1948" s="460">
        <f t="shared" si="121"/>
        <v>0.05</v>
      </c>
      <c r="N1948" s="464">
        <f t="shared" si="122"/>
        <v>110336</v>
      </c>
    </row>
    <row r="1949" spans="7:14" ht="11.25" customHeight="1" x14ac:dyDescent="0.3">
      <c r="G1949" s="459"/>
      <c r="H1949" s="459">
        <v>1942</v>
      </c>
      <c r="I1949" s="444">
        <f t="shared" ca="1" si="120"/>
        <v>-1085998003.8392439</v>
      </c>
      <c r="J1949" s="444">
        <f t="array" ref="J1949">IFERROR(INDEX('Retirement Calculator'!K:K,MATCH('Lorri 401b'!N1949,'Retirement Calculator'!A:A,0),0),0)</f>
        <v>0</v>
      </c>
      <c r="K1949" s="444">
        <f t="shared" ca="1" si="118"/>
        <v>-4524991.6826635161</v>
      </c>
      <c r="L1949" s="444">
        <f t="shared" ca="1" si="119"/>
        <v>-1090522995.5219073</v>
      </c>
      <c r="M1949" s="460">
        <f t="shared" si="121"/>
        <v>0.05</v>
      </c>
      <c r="N1949" s="464">
        <f t="shared" si="122"/>
        <v>110364</v>
      </c>
    </row>
    <row r="1950" spans="7:14" ht="11.25" customHeight="1" x14ac:dyDescent="0.3">
      <c r="G1950" s="459"/>
      <c r="H1950" s="459">
        <v>1943</v>
      </c>
      <c r="I1950" s="444">
        <f t="shared" ca="1" si="120"/>
        <v>-1090522995.5219073</v>
      </c>
      <c r="J1950" s="444">
        <f t="array" ref="J1950">IFERROR(INDEX('Retirement Calculator'!K:K,MATCH('Lorri 401b'!N1950,'Retirement Calculator'!A:A,0),0),0)</f>
        <v>0</v>
      </c>
      <c r="K1950" s="444">
        <f t="shared" ca="1" si="118"/>
        <v>-4543845.814674614</v>
      </c>
      <c r="L1950" s="444">
        <f t="shared" ca="1" si="119"/>
        <v>-1095066841.3365819</v>
      </c>
      <c r="M1950" s="460">
        <f t="shared" si="121"/>
        <v>0.05</v>
      </c>
      <c r="N1950" s="464">
        <f t="shared" si="122"/>
        <v>110395</v>
      </c>
    </row>
    <row r="1951" spans="7:14" ht="11.25" customHeight="1" x14ac:dyDescent="0.3">
      <c r="G1951" s="459"/>
      <c r="H1951" s="459">
        <v>1944</v>
      </c>
      <c r="I1951" s="444">
        <f t="shared" ca="1" si="120"/>
        <v>-1095066841.3365819</v>
      </c>
      <c r="J1951" s="444">
        <f t="array" ref="J1951">IFERROR(INDEX('Retirement Calculator'!K:K,MATCH('Lorri 401b'!N1951,'Retirement Calculator'!A:A,0),0),0)</f>
        <v>0</v>
      </c>
      <c r="K1951" s="444">
        <f t="shared" ca="1" si="118"/>
        <v>-4562778.5055690911</v>
      </c>
      <c r="L1951" s="444">
        <f t="shared" ca="1" si="119"/>
        <v>-1099629619.8421509</v>
      </c>
      <c r="M1951" s="460">
        <f t="shared" si="121"/>
        <v>0.05</v>
      </c>
      <c r="N1951" s="464">
        <f t="shared" si="122"/>
        <v>110425</v>
      </c>
    </row>
    <row r="1952" spans="7:14" ht="11.25" customHeight="1" x14ac:dyDescent="0.3">
      <c r="G1952" s="459"/>
      <c r="H1952" s="459">
        <v>1945</v>
      </c>
      <c r="I1952" s="444">
        <f t="shared" ca="1" si="120"/>
        <v>-1099629619.8421509</v>
      </c>
      <c r="J1952" s="444">
        <f t="array" ref="J1952">IFERROR(INDEX('Retirement Calculator'!K:K,MATCH('Lorri 401b'!N1952,'Retirement Calculator'!A:A,0),0),0)</f>
        <v>0</v>
      </c>
      <c r="K1952" s="444">
        <f t="shared" ca="1" si="118"/>
        <v>-4581790.0826756284</v>
      </c>
      <c r="L1952" s="444">
        <f t="shared" ca="1" si="119"/>
        <v>-1104211409.9248266</v>
      </c>
      <c r="M1952" s="460">
        <f t="shared" si="121"/>
        <v>0.05</v>
      </c>
      <c r="N1952" s="464">
        <f t="shared" si="122"/>
        <v>110456</v>
      </c>
    </row>
    <row r="1953" spans="7:14" ht="11.25" customHeight="1" x14ac:dyDescent="0.3">
      <c r="G1953" s="459"/>
      <c r="H1953" s="459">
        <v>1946</v>
      </c>
      <c r="I1953" s="444">
        <f t="shared" ca="1" si="120"/>
        <v>-1104211409.9248266</v>
      </c>
      <c r="J1953" s="444">
        <f t="array" ref="J1953">IFERROR(INDEX('Retirement Calculator'!K:K,MATCH('Lorri 401b'!N1953,'Retirement Calculator'!A:A,0),0),0)</f>
        <v>0</v>
      </c>
      <c r="K1953" s="444">
        <f t="shared" ca="1" si="118"/>
        <v>-4600880.8746867776</v>
      </c>
      <c r="L1953" s="444">
        <f t="shared" ca="1" si="119"/>
        <v>-1108812290.7995133</v>
      </c>
      <c r="M1953" s="460">
        <f t="shared" si="121"/>
        <v>0.05</v>
      </c>
      <c r="N1953" s="464">
        <f t="shared" si="122"/>
        <v>110486</v>
      </c>
    </row>
    <row r="1954" spans="7:14" ht="11.25" customHeight="1" x14ac:dyDescent="0.3">
      <c r="G1954" s="459"/>
      <c r="H1954" s="459">
        <v>1947</v>
      </c>
      <c r="I1954" s="444">
        <f t="shared" ca="1" si="120"/>
        <v>-1108812290.7995133</v>
      </c>
      <c r="J1954" s="444">
        <f t="array" ref="J1954">IFERROR(INDEX('Retirement Calculator'!K:K,MATCH('Lorri 401b'!N1954,'Retirement Calculator'!A:A,0),0),0)</f>
        <v>0</v>
      </c>
      <c r="K1954" s="444">
        <f t="shared" ca="1" si="118"/>
        <v>-4620051.2116646385</v>
      </c>
      <c r="L1954" s="444">
        <f t="shared" ca="1" si="119"/>
        <v>-1113432342.011178</v>
      </c>
      <c r="M1954" s="460">
        <f t="shared" si="121"/>
        <v>0.05</v>
      </c>
      <c r="N1954" s="464">
        <f t="shared" si="122"/>
        <v>110517</v>
      </c>
    </row>
    <row r="1955" spans="7:14" ht="11.25" customHeight="1" x14ac:dyDescent="0.3">
      <c r="G1955" s="459"/>
      <c r="H1955" s="459">
        <v>1948</v>
      </c>
      <c r="I1955" s="444">
        <f t="shared" ca="1" si="120"/>
        <v>-1113432342.011178</v>
      </c>
      <c r="J1955" s="444">
        <f t="array" ref="J1955">IFERROR(INDEX('Retirement Calculator'!K:K,MATCH('Lorri 401b'!N1955,'Retirement Calculator'!A:A,0),0),0)</f>
        <v>0</v>
      </c>
      <c r="K1955" s="444">
        <f t="shared" ca="1" si="118"/>
        <v>-4639301.4250465753</v>
      </c>
      <c r="L1955" s="444">
        <f t="shared" ca="1" si="119"/>
        <v>-1118071643.4362247</v>
      </c>
      <c r="M1955" s="460">
        <f t="shared" si="121"/>
        <v>0.05</v>
      </c>
      <c r="N1955" s="464">
        <f t="shared" si="122"/>
        <v>110548</v>
      </c>
    </row>
    <row r="1956" spans="7:14" ht="11.25" customHeight="1" x14ac:dyDescent="0.3">
      <c r="G1956" s="459"/>
      <c r="H1956" s="459">
        <v>1949</v>
      </c>
      <c r="I1956" s="444">
        <f t="shared" ca="1" si="120"/>
        <v>-1118071643.4362247</v>
      </c>
      <c r="J1956" s="444">
        <f t="array" ref="J1956">IFERROR(INDEX('Retirement Calculator'!K:K,MATCH('Lorri 401b'!N1956,'Retirement Calculator'!A:A,0),0),0)</f>
        <v>0</v>
      </c>
      <c r="K1956" s="444">
        <f t="shared" ca="1" si="118"/>
        <v>-4658631.8476509359</v>
      </c>
      <c r="L1956" s="444">
        <f t="shared" ca="1" si="119"/>
        <v>-1122730275.2838757</v>
      </c>
      <c r="M1956" s="460">
        <f t="shared" si="121"/>
        <v>0.05</v>
      </c>
      <c r="N1956" s="464">
        <f t="shared" si="122"/>
        <v>110578</v>
      </c>
    </row>
    <row r="1957" spans="7:14" ht="11.25" customHeight="1" x14ac:dyDescent="0.3">
      <c r="G1957" s="459"/>
      <c r="H1957" s="459">
        <v>1950</v>
      </c>
      <c r="I1957" s="444">
        <f t="shared" ca="1" si="120"/>
        <v>-1122730275.2838757</v>
      </c>
      <c r="J1957" s="444">
        <f t="array" ref="J1957">IFERROR(INDEX('Retirement Calculator'!K:K,MATCH('Lorri 401b'!N1957,'Retirement Calculator'!A:A,0),0),0)</f>
        <v>0</v>
      </c>
      <c r="K1957" s="444">
        <f t="shared" ca="1" si="118"/>
        <v>-4678042.8136828151</v>
      </c>
      <c r="L1957" s="444">
        <f t="shared" ca="1" si="119"/>
        <v>-1127408318.0975585</v>
      </c>
      <c r="M1957" s="460">
        <f t="shared" si="121"/>
        <v>0.05</v>
      </c>
      <c r="N1957" s="464">
        <f t="shared" si="122"/>
        <v>110609</v>
      </c>
    </row>
    <row r="1958" spans="7:14" ht="11.25" customHeight="1" x14ac:dyDescent="0.3">
      <c r="G1958" s="459"/>
      <c r="H1958" s="459">
        <v>1951</v>
      </c>
      <c r="I1958" s="444">
        <f t="shared" ca="1" si="120"/>
        <v>-1127408318.0975585</v>
      </c>
      <c r="J1958" s="444">
        <f t="array" ref="J1958">IFERROR(INDEX('Retirement Calculator'!K:K,MATCH('Lorri 401b'!N1958,'Retirement Calculator'!A:A,0),0),0)</f>
        <v>0</v>
      </c>
      <c r="K1958" s="444">
        <f t="shared" ca="1" si="118"/>
        <v>-4697534.6587398266</v>
      </c>
      <c r="L1958" s="444">
        <f t="shared" ca="1" si="119"/>
        <v>-1132105852.7562983</v>
      </c>
      <c r="M1958" s="460">
        <f t="shared" si="121"/>
        <v>0.05</v>
      </c>
      <c r="N1958" s="464">
        <f t="shared" si="122"/>
        <v>110639</v>
      </c>
    </row>
    <row r="1959" spans="7:14" ht="11.25" customHeight="1" x14ac:dyDescent="0.3">
      <c r="G1959" s="459"/>
      <c r="H1959" s="459">
        <v>1952</v>
      </c>
      <c r="I1959" s="444">
        <f t="shared" ca="1" si="120"/>
        <v>-1132105852.7562983</v>
      </c>
      <c r="J1959" s="444">
        <f t="array" ref="J1959">IFERROR(INDEX('Retirement Calculator'!K:K,MATCH('Lorri 401b'!N1959,'Retirement Calculator'!A:A,0),0),0)</f>
        <v>0</v>
      </c>
      <c r="K1959" s="444">
        <f t="shared" ca="1" si="118"/>
        <v>-4717107.7198179094</v>
      </c>
      <c r="L1959" s="444">
        <f t="shared" ca="1" si="119"/>
        <v>-1136822960.4761162</v>
      </c>
      <c r="M1959" s="460">
        <f t="shared" si="121"/>
        <v>0.05</v>
      </c>
      <c r="N1959" s="464">
        <f t="shared" si="122"/>
        <v>110670</v>
      </c>
    </row>
    <row r="1960" spans="7:14" ht="11.25" customHeight="1" x14ac:dyDescent="0.3">
      <c r="G1960" s="459"/>
      <c r="H1960" s="459">
        <v>1953</v>
      </c>
      <c r="I1960" s="444">
        <f t="shared" ca="1" si="120"/>
        <v>-1136822960.4761162</v>
      </c>
      <c r="J1960" s="444">
        <f t="array" ref="J1960">IFERROR(INDEX('Retirement Calculator'!K:K,MATCH('Lorri 401b'!N1960,'Retirement Calculator'!A:A,0),0),0)</f>
        <v>0</v>
      </c>
      <c r="K1960" s="444">
        <f t="shared" ca="1" si="118"/>
        <v>-4736762.3353171507</v>
      </c>
      <c r="L1960" s="444">
        <f t="shared" ca="1" si="119"/>
        <v>-1141559722.8114333</v>
      </c>
      <c r="M1960" s="460">
        <f t="shared" si="121"/>
        <v>0.05</v>
      </c>
      <c r="N1960" s="464">
        <f t="shared" si="122"/>
        <v>110701</v>
      </c>
    </row>
    <row r="1961" spans="7:14" ht="11.25" customHeight="1" x14ac:dyDescent="0.3">
      <c r="G1961" s="459"/>
      <c r="H1961" s="459">
        <v>1954</v>
      </c>
      <c r="I1961" s="444">
        <f t="shared" ca="1" si="120"/>
        <v>-1141559722.8114333</v>
      </c>
      <c r="J1961" s="444">
        <f t="array" ref="J1961">IFERROR(INDEX('Retirement Calculator'!K:K,MATCH('Lorri 401b'!N1961,'Retirement Calculator'!A:A,0),0),0)</f>
        <v>0</v>
      </c>
      <c r="K1961" s="444">
        <f t="shared" ca="1" si="118"/>
        <v>-4756498.8450476388</v>
      </c>
      <c r="L1961" s="444">
        <f t="shared" ca="1" si="119"/>
        <v>-1146316221.656481</v>
      </c>
      <c r="M1961" s="460">
        <f t="shared" si="121"/>
        <v>0.05</v>
      </c>
      <c r="N1961" s="464">
        <f t="shared" si="122"/>
        <v>110729</v>
      </c>
    </row>
    <row r="1962" spans="7:14" ht="11.25" customHeight="1" x14ac:dyDescent="0.3">
      <c r="G1962" s="459"/>
      <c r="H1962" s="459">
        <v>1955</v>
      </c>
      <c r="I1962" s="444">
        <f t="shared" ca="1" si="120"/>
        <v>-1146316221.656481</v>
      </c>
      <c r="J1962" s="444">
        <f t="array" ref="J1962">IFERROR(INDEX('Retirement Calculator'!K:K,MATCH('Lorri 401b'!N1962,'Retirement Calculator'!A:A,0),0),0)</f>
        <v>0</v>
      </c>
      <c r="K1962" s="444">
        <f t="shared" ca="1" si="118"/>
        <v>-4776317.5902353376</v>
      </c>
      <c r="L1962" s="444">
        <f t="shared" ca="1" si="119"/>
        <v>-1151092539.2467163</v>
      </c>
      <c r="M1962" s="460">
        <f t="shared" si="121"/>
        <v>0.05</v>
      </c>
      <c r="N1962" s="464">
        <f t="shared" si="122"/>
        <v>110760</v>
      </c>
    </row>
    <row r="1963" spans="7:14" ht="11.25" customHeight="1" x14ac:dyDescent="0.3">
      <c r="G1963" s="459"/>
      <c r="H1963" s="459">
        <v>1956</v>
      </c>
      <c r="I1963" s="444">
        <f t="shared" ca="1" si="120"/>
        <v>-1151092539.2467163</v>
      </c>
      <c r="J1963" s="444">
        <f t="array" ref="J1963">IFERROR(INDEX('Retirement Calculator'!K:K,MATCH('Lorri 401b'!N1963,'Retirement Calculator'!A:A,0),0),0)</f>
        <v>0</v>
      </c>
      <c r="K1963" s="444">
        <f t="shared" ca="1" si="118"/>
        <v>-4796218.9135279842</v>
      </c>
      <c r="L1963" s="444">
        <f t="shared" ca="1" si="119"/>
        <v>-1155888758.1602442</v>
      </c>
      <c r="M1963" s="460">
        <f t="shared" si="121"/>
        <v>0.05</v>
      </c>
      <c r="N1963" s="464">
        <f t="shared" si="122"/>
        <v>110790</v>
      </c>
    </row>
    <row r="1964" spans="7:14" ht="11.25" customHeight="1" x14ac:dyDescent="0.3">
      <c r="G1964" s="459"/>
      <c r="H1964" s="459">
        <v>1957</v>
      </c>
      <c r="I1964" s="444">
        <f t="shared" ca="1" si="120"/>
        <v>-1155888758.1602442</v>
      </c>
      <c r="J1964" s="444">
        <f t="array" ref="J1964">IFERROR(INDEX('Retirement Calculator'!K:K,MATCH('Lorri 401b'!N1964,'Retirement Calculator'!A:A,0),0),0)</f>
        <v>0</v>
      </c>
      <c r="K1964" s="444">
        <f t="shared" ca="1" si="118"/>
        <v>-4816203.1590010179</v>
      </c>
      <c r="L1964" s="444">
        <f t="shared" ca="1" si="119"/>
        <v>-1160704961.3192453</v>
      </c>
      <c r="M1964" s="460">
        <f t="shared" si="121"/>
        <v>0.05</v>
      </c>
      <c r="N1964" s="464">
        <f t="shared" si="122"/>
        <v>110821</v>
      </c>
    </row>
    <row r="1965" spans="7:14" ht="11.25" customHeight="1" x14ac:dyDescent="0.3">
      <c r="G1965" s="459"/>
      <c r="H1965" s="459">
        <v>1958</v>
      </c>
      <c r="I1965" s="444">
        <f t="shared" ca="1" si="120"/>
        <v>-1160704961.3192453</v>
      </c>
      <c r="J1965" s="444">
        <f t="array" ref="J1965">IFERROR(INDEX('Retirement Calculator'!K:K,MATCH('Lorri 401b'!N1965,'Retirement Calculator'!A:A,0),0),0)</f>
        <v>0</v>
      </c>
      <c r="K1965" s="444">
        <f t="shared" ca="1" si="118"/>
        <v>-4836270.6721635219</v>
      </c>
      <c r="L1965" s="444">
        <f t="shared" ca="1" si="119"/>
        <v>-1165541231.9914088</v>
      </c>
      <c r="M1965" s="460">
        <f t="shared" si="121"/>
        <v>0.05</v>
      </c>
      <c r="N1965" s="464">
        <f t="shared" si="122"/>
        <v>110851</v>
      </c>
    </row>
    <row r="1966" spans="7:14" ht="11.25" customHeight="1" x14ac:dyDescent="0.3">
      <c r="G1966" s="459"/>
      <c r="H1966" s="459">
        <v>1959</v>
      </c>
      <c r="I1966" s="444">
        <f t="shared" ca="1" si="120"/>
        <v>-1165541231.9914088</v>
      </c>
      <c r="J1966" s="444">
        <f t="array" ref="J1966">IFERROR(INDEX('Retirement Calculator'!K:K,MATCH('Lorri 401b'!N1966,'Retirement Calculator'!A:A,0),0),0)</f>
        <v>0</v>
      </c>
      <c r="K1966" s="444">
        <f t="shared" ca="1" si="118"/>
        <v>-4856421.7999642035</v>
      </c>
      <c r="L1966" s="444">
        <f t="shared" ca="1" si="119"/>
        <v>-1170397653.791373</v>
      </c>
      <c r="M1966" s="460">
        <f t="shared" si="121"/>
        <v>0.05</v>
      </c>
      <c r="N1966" s="464">
        <f t="shared" si="122"/>
        <v>110882</v>
      </c>
    </row>
    <row r="1967" spans="7:14" ht="11.25" customHeight="1" x14ac:dyDescent="0.3">
      <c r="G1967" s="459"/>
      <c r="H1967" s="459">
        <v>1960</v>
      </c>
      <c r="I1967" s="444">
        <f t="shared" ca="1" si="120"/>
        <v>-1170397653.791373</v>
      </c>
      <c r="J1967" s="444">
        <f t="array" ref="J1967">IFERROR(INDEX('Retirement Calculator'!K:K,MATCH('Lorri 401b'!N1967,'Retirement Calculator'!A:A,0),0),0)</f>
        <v>0</v>
      </c>
      <c r="K1967" s="444">
        <f t="shared" ca="1" si="118"/>
        <v>-4876656.8907973878</v>
      </c>
      <c r="L1967" s="444">
        <f t="shared" ca="1" si="119"/>
        <v>-1175274310.6821704</v>
      </c>
      <c r="M1967" s="460">
        <f t="shared" si="121"/>
        <v>0.05</v>
      </c>
      <c r="N1967" s="464">
        <f t="shared" si="122"/>
        <v>110913</v>
      </c>
    </row>
    <row r="1968" spans="7:14" ht="11.25" customHeight="1" x14ac:dyDescent="0.3">
      <c r="G1968" s="459"/>
      <c r="H1968" s="459">
        <v>1961</v>
      </c>
      <c r="I1968" s="444">
        <f t="shared" ca="1" si="120"/>
        <v>-1175274310.6821704</v>
      </c>
      <c r="J1968" s="444">
        <f t="array" ref="J1968">IFERROR(INDEX('Retirement Calculator'!K:K,MATCH('Lorri 401b'!N1968,'Retirement Calculator'!A:A,0),0),0)</f>
        <v>0</v>
      </c>
      <c r="K1968" s="444">
        <f t="shared" ca="1" si="118"/>
        <v>-4896976.294509043</v>
      </c>
      <c r="L1968" s="444">
        <f t="shared" ca="1" si="119"/>
        <v>-1180171286.9766793</v>
      </c>
      <c r="M1968" s="460">
        <f t="shared" si="121"/>
        <v>0.05</v>
      </c>
      <c r="N1968" s="464">
        <f t="shared" si="122"/>
        <v>110943</v>
      </c>
    </row>
    <row r="1969" spans="7:14" ht="11.25" customHeight="1" x14ac:dyDescent="0.3">
      <c r="G1969" s="459"/>
      <c r="H1969" s="459">
        <v>1962</v>
      </c>
      <c r="I1969" s="444">
        <f t="shared" ca="1" si="120"/>
        <v>-1180171286.9766793</v>
      </c>
      <c r="J1969" s="444">
        <f t="array" ref="J1969">IFERROR(INDEX('Retirement Calculator'!K:K,MATCH('Lorri 401b'!N1969,'Retirement Calculator'!A:A,0),0),0)</f>
        <v>0</v>
      </c>
      <c r="K1969" s="444">
        <f t="shared" ca="1" si="118"/>
        <v>-4917380.3624028303</v>
      </c>
      <c r="L1969" s="444">
        <f t="shared" ca="1" si="119"/>
        <v>-1185088667.3390822</v>
      </c>
      <c r="M1969" s="460">
        <f t="shared" si="121"/>
        <v>0.05</v>
      </c>
      <c r="N1969" s="464">
        <f t="shared" si="122"/>
        <v>110974</v>
      </c>
    </row>
    <row r="1970" spans="7:14" ht="11.25" customHeight="1" x14ac:dyDescent="0.3">
      <c r="G1970" s="459"/>
      <c r="H1970" s="459">
        <v>1963</v>
      </c>
      <c r="I1970" s="444">
        <f t="shared" ca="1" si="120"/>
        <v>-1185088667.3390822</v>
      </c>
      <c r="J1970" s="444">
        <f t="array" ref="J1970">IFERROR(INDEX('Retirement Calculator'!K:K,MATCH('Lorri 401b'!N1970,'Retirement Calculator'!A:A,0),0),0)</f>
        <v>0</v>
      </c>
      <c r="K1970" s="444">
        <f t="shared" ca="1" si="118"/>
        <v>-4937869.4472461762</v>
      </c>
      <c r="L1970" s="444">
        <f t="shared" ca="1" si="119"/>
        <v>-1190026536.7863283</v>
      </c>
      <c r="M1970" s="460">
        <f t="shared" si="121"/>
        <v>0.05</v>
      </c>
      <c r="N1970" s="464">
        <f t="shared" si="122"/>
        <v>111004</v>
      </c>
    </row>
    <row r="1971" spans="7:14" ht="11.25" customHeight="1" x14ac:dyDescent="0.3">
      <c r="G1971" s="459"/>
      <c r="H1971" s="459">
        <v>1964</v>
      </c>
      <c r="I1971" s="444">
        <f t="shared" ca="1" si="120"/>
        <v>-1190026536.7863283</v>
      </c>
      <c r="J1971" s="444">
        <f t="array" ref="J1971">IFERROR(INDEX('Retirement Calculator'!K:K,MATCH('Lorri 401b'!N1971,'Retirement Calculator'!A:A,0),0),0)</f>
        <v>0</v>
      </c>
      <c r="K1971" s="444">
        <f t="shared" ca="1" si="118"/>
        <v>-4958443.903276368</v>
      </c>
      <c r="L1971" s="444">
        <f t="shared" ca="1" si="119"/>
        <v>-1194984980.6896048</v>
      </c>
      <c r="M1971" s="460">
        <f t="shared" si="121"/>
        <v>0.05</v>
      </c>
      <c r="N1971" s="464">
        <f t="shared" si="122"/>
        <v>111035</v>
      </c>
    </row>
    <row r="1972" spans="7:14" ht="11.25" customHeight="1" x14ac:dyDescent="0.3">
      <c r="G1972" s="459"/>
      <c r="H1972" s="459">
        <v>1965</v>
      </c>
      <c r="I1972" s="444">
        <f t="shared" ca="1" si="120"/>
        <v>-1194984980.6896048</v>
      </c>
      <c r="J1972" s="444">
        <f t="array" ref="J1972">IFERROR(INDEX('Retirement Calculator'!K:K,MATCH('Lorri 401b'!N1972,'Retirement Calculator'!A:A,0),0),0)</f>
        <v>0</v>
      </c>
      <c r="K1972" s="444">
        <f t="shared" ca="1" si="118"/>
        <v>-4979104.0862066867</v>
      </c>
      <c r="L1972" s="444">
        <f t="shared" ca="1" si="119"/>
        <v>-1199964084.7758114</v>
      </c>
      <c r="M1972" s="460">
        <f t="shared" si="121"/>
        <v>0.05</v>
      </c>
      <c r="N1972" s="464">
        <f t="shared" si="122"/>
        <v>111066</v>
      </c>
    </row>
    <row r="1973" spans="7:14" ht="11.25" customHeight="1" x14ac:dyDescent="0.3">
      <c r="G1973" s="459"/>
      <c r="H1973" s="459">
        <v>1966</v>
      </c>
      <c r="I1973" s="444">
        <f t="shared" ca="1" si="120"/>
        <v>-1199964084.7758114</v>
      </c>
      <c r="J1973" s="444">
        <f t="array" ref="J1973">IFERROR(INDEX('Retirement Calculator'!K:K,MATCH('Lorri 401b'!N1973,'Retirement Calculator'!A:A,0),0),0)</f>
        <v>0</v>
      </c>
      <c r="K1973" s="444">
        <f t="shared" ca="1" si="118"/>
        <v>-4999850.3532325476</v>
      </c>
      <c r="L1973" s="444">
        <f t="shared" ca="1" si="119"/>
        <v>-1204963935.1290441</v>
      </c>
      <c r="M1973" s="460">
        <f t="shared" si="121"/>
        <v>0.05</v>
      </c>
      <c r="N1973" s="464">
        <f t="shared" si="122"/>
        <v>111095</v>
      </c>
    </row>
    <row r="1974" spans="7:14" ht="11.25" customHeight="1" x14ac:dyDescent="0.3">
      <c r="G1974" s="459"/>
      <c r="H1974" s="459">
        <v>1967</v>
      </c>
      <c r="I1974" s="444">
        <f t="shared" ca="1" si="120"/>
        <v>-1204963935.1290441</v>
      </c>
      <c r="J1974" s="444">
        <f t="array" ref="J1974">IFERROR(INDEX('Retirement Calculator'!K:K,MATCH('Lorri 401b'!N1974,'Retirement Calculator'!A:A,0),0),0)</f>
        <v>0</v>
      </c>
      <c r="K1974" s="444">
        <f t="shared" ca="1" si="118"/>
        <v>-5020683.0630376833</v>
      </c>
      <c r="L1974" s="444">
        <f t="shared" ca="1" si="119"/>
        <v>-1209984618.1920817</v>
      </c>
      <c r="M1974" s="460">
        <f t="shared" si="121"/>
        <v>0.05</v>
      </c>
      <c r="N1974" s="464">
        <f t="shared" si="122"/>
        <v>111126</v>
      </c>
    </row>
    <row r="1975" spans="7:14" ht="11.25" customHeight="1" x14ac:dyDescent="0.3">
      <c r="G1975" s="459"/>
      <c r="H1975" s="459">
        <v>1968</v>
      </c>
      <c r="I1975" s="444">
        <f t="shared" ca="1" si="120"/>
        <v>-1209984618.1920817</v>
      </c>
      <c r="J1975" s="444">
        <f t="array" ref="J1975">IFERROR(INDEX('Retirement Calculator'!K:K,MATCH('Lorri 401b'!N1975,'Retirement Calculator'!A:A,0),0),0)</f>
        <v>0</v>
      </c>
      <c r="K1975" s="444">
        <f t="shared" ca="1" si="118"/>
        <v>-5041602.5758003406</v>
      </c>
      <c r="L1975" s="444">
        <f t="shared" ca="1" si="119"/>
        <v>-1215026220.7678821</v>
      </c>
      <c r="M1975" s="460">
        <f t="shared" si="121"/>
        <v>0.05</v>
      </c>
      <c r="N1975" s="464">
        <f t="shared" si="122"/>
        <v>111156</v>
      </c>
    </row>
    <row r="1976" spans="7:14" ht="11.25" customHeight="1" x14ac:dyDescent="0.3">
      <c r="G1976" s="459"/>
      <c r="H1976" s="459">
        <v>1969</v>
      </c>
      <c r="I1976" s="444">
        <f t="shared" ca="1" si="120"/>
        <v>-1215026220.7678821</v>
      </c>
      <c r="J1976" s="444">
        <f t="array" ref="J1976">IFERROR(INDEX('Retirement Calculator'!K:K,MATCH('Lorri 401b'!N1976,'Retirement Calculator'!A:A,0),0),0)</f>
        <v>0</v>
      </c>
      <c r="K1976" s="444">
        <f t="shared" ca="1" si="118"/>
        <v>-5062609.2531995084</v>
      </c>
      <c r="L1976" s="444">
        <f t="shared" ca="1" si="119"/>
        <v>-1220088830.0210817</v>
      </c>
      <c r="M1976" s="460">
        <f t="shared" si="121"/>
        <v>0.05</v>
      </c>
      <c r="N1976" s="464">
        <f t="shared" si="122"/>
        <v>111187</v>
      </c>
    </row>
    <row r="1977" spans="7:14" ht="11.25" customHeight="1" x14ac:dyDescent="0.3">
      <c r="G1977" s="459"/>
      <c r="H1977" s="459">
        <v>1970</v>
      </c>
      <c r="I1977" s="444">
        <f t="shared" ca="1" si="120"/>
        <v>-1220088830.0210817</v>
      </c>
      <c r="J1977" s="444">
        <f t="array" ref="J1977">IFERROR(INDEX('Retirement Calculator'!K:K,MATCH('Lorri 401b'!N1977,'Retirement Calculator'!A:A,0),0),0)</f>
        <v>0</v>
      </c>
      <c r="K1977" s="444">
        <f t="shared" ca="1" si="118"/>
        <v>-5083703.4584211735</v>
      </c>
      <c r="L1977" s="444">
        <f t="shared" ca="1" si="119"/>
        <v>-1225172533.4795029</v>
      </c>
      <c r="M1977" s="460">
        <f t="shared" si="121"/>
        <v>0.05</v>
      </c>
      <c r="N1977" s="464">
        <f t="shared" si="122"/>
        <v>111217</v>
      </c>
    </row>
    <row r="1978" spans="7:14" ht="11.25" customHeight="1" x14ac:dyDescent="0.3">
      <c r="G1978" s="459"/>
      <c r="H1978" s="459">
        <v>1971</v>
      </c>
      <c r="I1978" s="444">
        <f t="shared" ca="1" si="120"/>
        <v>-1225172533.4795029</v>
      </c>
      <c r="J1978" s="444">
        <f t="array" ref="J1978">IFERROR(INDEX('Retirement Calculator'!K:K,MATCH('Lorri 401b'!N1978,'Retirement Calculator'!A:A,0),0),0)</f>
        <v>0</v>
      </c>
      <c r="K1978" s="444">
        <f t="shared" ca="1" si="118"/>
        <v>-5104885.5561645953</v>
      </c>
      <c r="L1978" s="444">
        <f t="shared" ca="1" si="119"/>
        <v>-1230277419.0356674</v>
      </c>
      <c r="M1978" s="460">
        <f t="shared" si="121"/>
        <v>0.05</v>
      </c>
      <c r="N1978" s="464">
        <f t="shared" si="122"/>
        <v>111248</v>
      </c>
    </row>
    <row r="1979" spans="7:14" ht="11.25" customHeight="1" x14ac:dyDescent="0.3">
      <c r="G1979" s="459"/>
      <c r="H1979" s="459">
        <v>1972</v>
      </c>
      <c r="I1979" s="444">
        <f t="shared" ca="1" si="120"/>
        <v>-1230277419.0356674</v>
      </c>
      <c r="J1979" s="444">
        <f t="array" ref="J1979">IFERROR(INDEX('Retirement Calculator'!K:K,MATCH('Lorri 401b'!N1979,'Retirement Calculator'!A:A,0),0),0)</f>
        <v>0</v>
      </c>
      <c r="K1979" s="444">
        <f t="shared" ca="1" si="118"/>
        <v>-5126155.9126486145</v>
      </c>
      <c r="L1979" s="444">
        <f t="shared" ca="1" si="119"/>
        <v>-1235403574.9483161</v>
      </c>
      <c r="M1979" s="460">
        <f t="shared" si="121"/>
        <v>0.05</v>
      </c>
      <c r="N1979" s="464">
        <f t="shared" si="122"/>
        <v>111279</v>
      </c>
    </row>
    <row r="1980" spans="7:14" ht="11.25" customHeight="1" x14ac:dyDescent="0.3">
      <c r="G1980" s="459"/>
      <c r="H1980" s="459">
        <v>1973</v>
      </c>
      <c r="I1980" s="444">
        <f t="shared" ca="1" si="120"/>
        <v>-1235403574.9483161</v>
      </c>
      <c r="J1980" s="444">
        <f t="array" ref="J1980">IFERROR(INDEX('Retirement Calculator'!K:K,MATCH('Lorri 401b'!N1980,'Retirement Calculator'!A:A,0),0),0)</f>
        <v>0</v>
      </c>
      <c r="K1980" s="444">
        <f t="shared" ca="1" si="118"/>
        <v>-5147514.8956179833</v>
      </c>
      <c r="L1980" s="444">
        <f t="shared" ca="1" si="119"/>
        <v>-1240551089.8439341</v>
      </c>
      <c r="M1980" s="460">
        <f t="shared" si="121"/>
        <v>0.05</v>
      </c>
      <c r="N1980" s="464">
        <f t="shared" si="122"/>
        <v>111309</v>
      </c>
    </row>
    <row r="1981" spans="7:14" ht="11.25" customHeight="1" x14ac:dyDescent="0.3">
      <c r="G1981" s="459"/>
      <c r="H1981" s="459">
        <v>1974</v>
      </c>
      <c r="I1981" s="444">
        <f t="shared" ca="1" si="120"/>
        <v>-1240551089.8439341</v>
      </c>
      <c r="J1981" s="444">
        <f t="array" ref="J1981">IFERROR(INDEX('Retirement Calculator'!K:K,MATCH('Lorri 401b'!N1981,'Retirement Calculator'!A:A,0),0),0)</f>
        <v>0</v>
      </c>
      <c r="K1981" s="444">
        <f t="shared" ca="1" si="118"/>
        <v>-5168962.8743497254</v>
      </c>
      <c r="L1981" s="444">
        <f t="shared" ca="1" si="119"/>
        <v>-1245720052.7182839</v>
      </c>
      <c r="M1981" s="460">
        <f t="shared" si="121"/>
        <v>0.05</v>
      </c>
      <c r="N1981" s="464">
        <f t="shared" si="122"/>
        <v>111340</v>
      </c>
    </row>
    <row r="1982" spans="7:14" ht="11.25" customHeight="1" x14ac:dyDescent="0.3">
      <c r="G1982" s="459"/>
      <c r="H1982" s="459">
        <v>1975</v>
      </c>
      <c r="I1982" s="444">
        <f t="shared" ca="1" si="120"/>
        <v>-1245720052.7182839</v>
      </c>
      <c r="J1982" s="444">
        <f t="array" ref="J1982">IFERROR(INDEX('Retirement Calculator'!K:K,MATCH('Lorri 401b'!N1982,'Retirement Calculator'!A:A,0),0),0)</f>
        <v>0</v>
      </c>
      <c r="K1982" s="444">
        <f t="shared" ca="1" si="118"/>
        <v>-5190500.2196595166</v>
      </c>
      <c r="L1982" s="444">
        <f t="shared" ca="1" si="119"/>
        <v>-1250910552.9379435</v>
      </c>
      <c r="M1982" s="460">
        <f t="shared" si="121"/>
        <v>0.05</v>
      </c>
      <c r="N1982" s="464">
        <f t="shared" si="122"/>
        <v>111370</v>
      </c>
    </row>
    <row r="1983" spans="7:14" ht="11.25" customHeight="1" x14ac:dyDescent="0.3">
      <c r="G1983" s="459"/>
      <c r="H1983" s="459">
        <v>1976</v>
      </c>
      <c r="I1983" s="444">
        <f t="shared" ca="1" si="120"/>
        <v>-1250910552.9379435</v>
      </c>
      <c r="J1983" s="444">
        <f t="array" ref="J1983">IFERROR(INDEX('Retirement Calculator'!K:K,MATCH('Lorri 401b'!N1983,'Retirement Calculator'!A:A,0),0),0)</f>
        <v>0</v>
      </c>
      <c r="K1983" s="444">
        <f t="shared" ca="1" si="118"/>
        <v>-5212127.3039080976</v>
      </c>
      <c r="L1983" s="444">
        <f t="shared" ca="1" si="119"/>
        <v>-1256122680.2418516</v>
      </c>
      <c r="M1983" s="460">
        <f t="shared" si="121"/>
        <v>0.05</v>
      </c>
      <c r="N1983" s="464">
        <f t="shared" si="122"/>
        <v>111401</v>
      </c>
    </row>
    <row r="1984" spans="7:14" ht="11.25" customHeight="1" x14ac:dyDescent="0.3">
      <c r="G1984" s="459"/>
      <c r="H1984" s="459">
        <v>1977</v>
      </c>
      <c r="I1984" s="444">
        <f t="shared" ca="1" si="120"/>
        <v>-1256122680.2418516</v>
      </c>
      <c r="J1984" s="444">
        <f t="array" ref="J1984">IFERROR(INDEX('Retirement Calculator'!K:K,MATCH('Lorri 401b'!N1984,'Retirement Calculator'!A:A,0),0),0)</f>
        <v>0</v>
      </c>
      <c r="K1984" s="444">
        <f t="shared" ca="1" si="118"/>
        <v>-5233844.5010077152</v>
      </c>
      <c r="L1984" s="444">
        <f t="shared" ca="1" si="119"/>
        <v>-1261356524.7428594</v>
      </c>
      <c r="M1984" s="460">
        <f t="shared" si="121"/>
        <v>0.05</v>
      </c>
      <c r="N1984" s="464">
        <f t="shared" si="122"/>
        <v>111432</v>
      </c>
    </row>
    <row r="1985" spans="7:14" ht="11.25" customHeight="1" x14ac:dyDescent="0.3">
      <c r="G1985" s="459"/>
      <c r="H1985" s="459">
        <v>1978</v>
      </c>
      <c r="I1985" s="444">
        <f t="shared" ca="1" si="120"/>
        <v>-1261356524.7428594</v>
      </c>
      <c r="J1985" s="444">
        <f t="array" ref="J1985">IFERROR(INDEX('Retirement Calculator'!K:K,MATCH('Lorri 401b'!N1985,'Retirement Calculator'!A:A,0),0),0)</f>
        <v>0</v>
      </c>
      <c r="K1985" s="444">
        <f t="shared" ca="1" si="118"/>
        <v>-5255652.1864285804</v>
      </c>
      <c r="L1985" s="444">
        <f t="shared" ca="1" si="119"/>
        <v>-1266612176.9292879</v>
      </c>
      <c r="M1985" s="460">
        <f t="shared" si="121"/>
        <v>0.05</v>
      </c>
      <c r="N1985" s="464">
        <f t="shared" si="122"/>
        <v>111460</v>
      </c>
    </row>
    <row r="1986" spans="7:14" ht="11.25" customHeight="1" x14ac:dyDescent="0.3">
      <c r="G1986" s="459"/>
      <c r="H1986" s="459">
        <v>1979</v>
      </c>
      <c r="I1986" s="444">
        <f t="shared" ca="1" si="120"/>
        <v>-1266612176.9292879</v>
      </c>
      <c r="J1986" s="444">
        <f t="array" ref="J1986">IFERROR(INDEX('Retirement Calculator'!K:K,MATCH('Lorri 401b'!N1986,'Retirement Calculator'!A:A,0),0),0)</f>
        <v>0</v>
      </c>
      <c r="K1986" s="444">
        <f t="shared" ca="1" si="118"/>
        <v>-5277550.7372053666</v>
      </c>
      <c r="L1986" s="444">
        <f t="shared" ca="1" si="119"/>
        <v>-1271889727.6664932</v>
      </c>
      <c r="M1986" s="460">
        <f t="shared" si="121"/>
        <v>0.05</v>
      </c>
      <c r="N1986" s="464">
        <f t="shared" si="122"/>
        <v>111491</v>
      </c>
    </row>
    <row r="1987" spans="7:14" ht="11.25" customHeight="1" x14ac:dyDescent="0.3">
      <c r="G1987" s="459"/>
      <c r="H1987" s="459">
        <v>1980</v>
      </c>
      <c r="I1987" s="444">
        <f t="shared" ca="1" si="120"/>
        <v>-1271889727.6664932</v>
      </c>
      <c r="J1987" s="444">
        <f t="array" ref="J1987">IFERROR(INDEX('Retirement Calculator'!K:K,MATCH('Lorri 401b'!N1987,'Retirement Calculator'!A:A,0),0),0)</f>
        <v>0</v>
      </c>
      <c r="K1987" s="444">
        <f t="shared" ca="1" si="118"/>
        <v>-5299540.5319437217</v>
      </c>
      <c r="L1987" s="444">
        <f t="shared" ca="1" si="119"/>
        <v>-1277189268.198437</v>
      </c>
      <c r="M1987" s="460">
        <f t="shared" si="121"/>
        <v>0.05</v>
      </c>
      <c r="N1987" s="464">
        <f t="shared" si="122"/>
        <v>111521</v>
      </c>
    </row>
    <row r="1988" spans="7:14" ht="11.25" customHeight="1" x14ac:dyDescent="0.3">
      <c r="G1988" s="459"/>
      <c r="H1988" s="459">
        <v>1981</v>
      </c>
      <c r="I1988" s="444">
        <f t="shared" ca="1" si="120"/>
        <v>-1277189268.198437</v>
      </c>
      <c r="J1988" s="444">
        <f t="array" ref="J1988">IFERROR(INDEX('Retirement Calculator'!K:K,MATCH('Lorri 401b'!N1988,'Retirement Calculator'!A:A,0),0),0)</f>
        <v>0</v>
      </c>
      <c r="K1988" s="444">
        <f t="shared" ca="1" si="118"/>
        <v>-5321621.9508268209</v>
      </c>
      <c r="L1988" s="444">
        <f t="shared" ca="1" si="119"/>
        <v>-1282510890.1492639</v>
      </c>
      <c r="M1988" s="460">
        <f t="shared" si="121"/>
        <v>0.05</v>
      </c>
      <c r="N1988" s="464">
        <f t="shared" si="122"/>
        <v>111552</v>
      </c>
    </row>
    <row r="1989" spans="7:14" ht="11.25" customHeight="1" x14ac:dyDescent="0.3">
      <c r="G1989" s="459"/>
      <c r="H1989" s="459">
        <v>1982</v>
      </c>
      <c r="I1989" s="444">
        <f t="shared" ca="1" si="120"/>
        <v>-1282510890.1492639</v>
      </c>
      <c r="J1989" s="444">
        <f t="array" ref="J1989">IFERROR(INDEX('Retirement Calculator'!K:K,MATCH('Lorri 401b'!N1989,'Retirement Calculator'!A:A,0),0),0)</f>
        <v>0</v>
      </c>
      <c r="K1989" s="444">
        <f t="shared" ca="1" si="118"/>
        <v>-5343795.3756219326</v>
      </c>
      <c r="L1989" s="444">
        <f t="shared" ca="1" si="119"/>
        <v>-1287854685.5248859</v>
      </c>
      <c r="M1989" s="460">
        <f t="shared" si="121"/>
        <v>0.05</v>
      </c>
      <c r="N1989" s="464">
        <f t="shared" si="122"/>
        <v>111582</v>
      </c>
    </row>
    <row r="1990" spans="7:14" ht="11.25" customHeight="1" x14ac:dyDescent="0.3">
      <c r="G1990" s="459"/>
      <c r="H1990" s="459">
        <v>1983</v>
      </c>
      <c r="I1990" s="444">
        <f t="shared" ca="1" si="120"/>
        <v>-1287854685.5248859</v>
      </c>
      <c r="J1990" s="444">
        <f t="array" ref="J1990">IFERROR(INDEX('Retirement Calculator'!K:K,MATCH('Lorri 401b'!N1990,'Retirement Calculator'!A:A,0),0),0)</f>
        <v>0</v>
      </c>
      <c r="K1990" s="444">
        <f t="shared" ca="1" si="118"/>
        <v>-5366061.1896870248</v>
      </c>
      <c r="L1990" s="444">
        <f t="shared" ca="1" si="119"/>
        <v>-1293220746.7145729</v>
      </c>
      <c r="M1990" s="460">
        <f t="shared" si="121"/>
        <v>0.05</v>
      </c>
      <c r="N1990" s="464">
        <f t="shared" si="122"/>
        <v>111613</v>
      </c>
    </row>
    <row r="1991" spans="7:14" ht="11.25" customHeight="1" x14ac:dyDescent="0.3">
      <c r="G1991" s="459"/>
      <c r="H1991" s="459">
        <v>1984</v>
      </c>
      <c r="I1991" s="444">
        <f t="shared" ca="1" si="120"/>
        <v>-1293220746.7145729</v>
      </c>
      <c r="J1991" s="444">
        <f t="array" ref="J1991">IFERROR(INDEX('Retirement Calculator'!K:K,MATCH('Lorri 401b'!N1991,'Retirement Calculator'!A:A,0),0),0)</f>
        <v>0</v>
      </c>
      <c r="K1991" s="444">
        <f t="shared" ca="1" si="118"/>
        <v>-5388419.7779773874</v>
      </c>
      <c r="L1991" s="444">
        <f t="shared" ca="1" si="119"/>
        <v>-1298609166.4925504</v>
      </c>
      <c r="M1991" s="460">
        <f t="shared" si="121"/>
        <v>0.05</v>
      </c>
      <c r="N1991" s="464">
        <f t="shared" si="122"/>
        <v>111644</v>
      </c>
    </row>
    <row r="1992" spans="7:14" ht="11.25" customHeight="1" x14ac:dyDescent="0.3">
      <c r="G1992" s="459"/>
      <c r="H1992" s="459">
        <v>1985</v>
      </c>
      <c r="I1992" s="444">
        <f t="shared" ca="1" si="120"/>
        <v>-1298609166.4925504</v>
      </c>
      <c r="J1992" s="444">
        <f t="array" ref="J1992">IFERROR(INDEX('Retirement Calculator'!K:K,MATCH('Lorri 401b'!N1992,'Retirement Calculator'!A:A,0),0),0)</f>
        <v>0</v>
      </c>
      <c r="K1992" s="444">
        <f t="shared" ca="1" si="118"/>
        <v>-5410871.5270522935</v>
      </c>
      <c r="L1992" s="444">
        <f t="shared" ca="1" si="119"/>
        <v>-1304020038.0196028</v>
      </c>
      <c r="M1992" s="460">
        <f t="shared" si="121"/>
        <v>0.05</v>
      </c>
      <c r="N1992" s="464">
        <f t="shared" si="122"/>
        <v>111674</v>
      </c>
    </row>
    <row r="1993" spans="7:14" ht="11.25" customHeight="1" x14ac:dyDescent="0.3">
      <c r="G1993" s="459"/>
      <c r="H1993" s="459">
        <v>1986</v>
      </c>
      <c r="I1993" s="444">
        <f t="shared" ca="1" si="120"/>
        <v>-1304020038.0196028</v>
      </c>
      <c r="J1993" s="444">
        <f t="array" ref="J1993">IFERROR(INDEX('Retirement Calculator'!K:K,MATCH('Lorri 401b'!N1993,'Retirement Calculator'!A:A,0),0),0)</f>
        <v>0</v>
      </c>
      <c r="K1993" s="444">
        <f t="shared" ca="1" si="118"/>
        <v>-5433416.8250816781</v>
      </c>
      <c r="L1993" s="444">
        <f t="shared" ca="1" si="119"/>
        <v>-1309453454.8446844</v>
      </c>
      <c r="M1993" s="460">
        <f t="shared" si="121"/>
        <v>0.05</v>
      </c>
      <c r="N1993" s="464">
        <f t="shared" si="122"/>
        <v>111705</v>
      </c>
    </row>
    <row r="1994" spans="7:14" ht="11.25" customHeight="1" x14ac:dyDescent="0.3">
      <c r="G1994" s="459"/>
      <c r="H1994" s="459">
        <v>1987</v>
      </c>
      <c r="I1994" s="444">
        <f t="shared" ca="1" si="120"/>
        <v>-1309453454.8446844</v>
      </c>
      <c r="J1994" s="444">
        <f t="array" ref="J1994">IFERROR(INDEX('Retirement Calculator'!K:K,MATCH('Lorri 401b'!N1994,'Retirement Calculator'!A:A,0),0),0)</f>
        <v>0</v>
      </c>
      <c r="K1994" s="444">
        <f t="shared" ca="1" si="118"/>
        <v>-5456056.0618528519</v>
      </c>
      <c r="L1994" s="444">
        <f t="shared" ca="1" si="119"/>
        <v>-1314909510.9065373</v>
      </c>
      <c r="M1994" s="460">
        <f t="shared" si="121"/>
        <v>0.05</v>
      </c>
      <c r="N1994" s="464">
        <f t="shared" si="122"/>
        <v>111735</v>
      </c>
    </row>
    <row r="1995" spans="7:14" ht="11.25" customHeight="1" x14ac:dyDescent="0.3">
      <c r="G1995" s="459"/>
      <c r="H1995" s="459">
        <v>1988</v>
      </c>
      <c r="I1995" s="444">
        <f t="shared" ca="1" si="120"/>
        <v>-1314909510.9065373</v>
      </c>
      <c r="J1995" s="444">
        <f t="array" ref="J1995">IFERROR(INDEX('Retirement Calculator'!K:K,MATCH('Lorri 401b'!N1995,'Retirement Calculator'!A:A,0),0),0)</f>
        <v>0</v>
      </c>
      <c r="K1995" s="444">
        <f t="shared" ca="1" si="118"/>
        <v>-5478789.6287772385</v>
      </c>
      <c r="L1995" s="444">
        <f t="shared" ca="1" si="119"/>
        <v>-1320388300.5353146</v>
      </c>
      <c r="M1995" s="460">
        <f t="shared" si="121"/>
        <v>0.05</v>
      </c>
      <c r="N1995" s="464">
        <f t="shared" si="122"/>
        <v>111766</v>
      </c>
    </row>
    <row r="1996" spans="7:14" ht="11.25" customHeight="1" x14ac:dyDescent="0.3">
      <c r="G1996" s="459"/>
      <c r="H1996" s="459">
        <v>1989</v>
      </c>
      <c r="I1996" s="444">
        <f t="shared" ca="1" si="120"/>
        <v>-1320388300.5353146</v>
      </c>
      <c r="J1996" s="444">
        <f t="array" ref="J1996">IFERROR(INDEX('Retirement Calculator'!K:K,MATCH('Lorri 401b'!N1996,'Retirement Calculator'!A:A,0),0),0)</f>
        <v>0</v>
      </c>
      <c r="K1996" s="444">
        <f t="shared" ca="1" si="118"/>
        <v>-5501617.9188971436</v>
      </c>
      <c r="L1996" s="444">
        <f t="shared" ca="1" si="119"/>
        <v>-1325889918.4542117</v>
      </c>
      <c r="M1996" s="460">
        <f t="shared" si="121"/>
        <v>0.05</v>
      </c>
      <c r="N1996" s="464">
        <f t="shared" si="122"/>
        <v>111797</v>
      </c>
    </row>
    <row r="1997" spans="7:14" ht="11.25" customHeight="1" x14ac:dyDescent="0.3">
      <c r="G1997" s="459"/>
      <c r="H1997" s="459">
        <v>1990</v>
      </c>
      <c r="I1997" s="444">
        <f t="shared" ca="1" si="120"/>
        <v>-1325889918.4542117</v>
      </c>
      <c r="J1997" s="444">
        <f t="array" ref="J1997">IFERROR(INDEX('Retirement Calculator'!K:K,MATCH('Lorri 401b'!N1997,'Retirement Calculator'!A:A,0),0),0)</f>
        <v>0</v>
      </c>
      <c r="K1997" s="444">
        <f t="shared" ca="1" si="118"/>
        <v>-5524541.3268925492</v>
      </c>
      <c r="L1997" s="444">
        <f t="shared" ca="1" si="119"/>
        <v>-1331414459.7811043</v>
      </c>
      <c r="M1997" s="460">
        <f t="shared" si="121"/>
        <v>0.05</v>
      </c>
      <c r="N1997" s="464">
        <f t="shared" si="122"/>
        <v>111825</v>
      </c>
    </row>
    <row r="1998" spans="7:14" ht="11.25" customHeight="1" x14ac:dyDescent="0.3">
      <c r="G1998" s="459"/>
      <c r="H1998" s="459">
        <v>1991</v>
      </c>
      <c r="I1998" s="444">
        <f t="shared" ca="1" si="120"/>
        <v>-1331414459.7811043</v>
      </c>
      <c r="J1998" s="444">
        <f t="array" ref="J1998">IFERROR(INDEX('Retirement Calculator'!K:K,MATCH('Lorri 401b'!N1998,'Retirement Calculator'!A:A,0),0),0)</f>
        <v>0</v>
      </c>
      <c r="K1998" s="444">
        <f t="shared" ca="1" si="118"/>
        <v>-5547560.2490879344</v>
      </c>
      <c r="L1998" s="444">
        <f t="shared" ca="1" si="119"/>
        <v>-1336962020.0301924</v>
      </c>
      <c r="M1998" s="460">
        <f t="shared" si="121"/>
        <v>0.05</v>
      </c>
      <c r="N1998" s="464">
        <f t="shared" si="122"/>
        <v>111856</v>
      </c>
    </row>
    <row r="1999" spans="7:14" ht="11.25" customHeight="1" x14ac:dyDescent="0.3">
      <c r="G1999" s="459"/>
      <c r="H1999" s="459">
        <v>1992</v>
      </c>
      <c r="I1999" s="444">
        <f t="shared" ca="1" si="120"/>
        <v>-1336962020.0301924</v>
      </c>
      <c r="J1999" s="444">
        <f t="array" ref="J1999">IFERROR(INDEX('Retirement Calculator'!K:K,MATCH('Lorri 401b'!N1999,'Retirement Calculator'!A:A,0),0),0)</f>
        <v>0</v>
      </c>
      <c r="K1999" s="444">
        <f t="shared" ca="1" si="118"/>
        <v>-5570675.0834591351</v>
      </c>
      <c r="L1999" s="444">
        <f t="shared" ca="1" si="119"/>
        <v>-1342532695.1136515</v>
      </c>
      <c r="M1999" s="460">
        <f t="shared" si="121"/>
        <v>0.05</v>
      </c>
      <c r="N1999" s="464">
        <f t="shared" si="122"/>
        <v>111886</v>
      </c>
    </row>
    <row r="2000" spans="7:14" ht="11.25" customHeight="1" x14ac:dyDescent="0.3">
      <c r="G2000" s="459"/>
      <c r="H2000" s="459">
        <v>1993</v>
      </c>
      <c r="I2000" s="444">
        <f t="shared" ca="1" si="120"/>
        <v>-1342532695.1136515</v>
      </c>
      <c r="J2000" s="444">
        <f t="array" ref="J2000">IFERROR(INDEX('Retirement Calculator'!K:K,MATCH('Lorri 401b'!N2000,'Retirement Calculator'!A:A,0),0),0)</f>
        <v>0</v>
      </c>
      <c r="K2000" s="444">
        <f t="shared" ca="1" si="118"/>
        <v>-5593886.2296402147</v>
      </c>
      <c r="L2000" s="444">
        <f t="shared" ca="1" si="119"/>
        <v>-1348126581.3432918</v>
      </c>
      <c r="M2000" s="460">
        <f t="shared" si="121"/>
        <v>0.05</v>
      </c>
      <c r="N2000" s="464">
        <f t="shared" si="122"/>
        <v>111917</v>
      </c>
    </row>
    <row r="2001" spans="7:14" ht="11.25" customHeight="1" x14ac:dyDescent="0.3">
      <c r="G2001" s="459"/>
      <c r="H2001" s="459">
        <v>1994</v>
      </c>
      <c r="I2001" s="444">
        <f t="shared" ca="1" si="120"/>
        <v>-1348126581.3432918</v>
      </c>
      <c r="J2001" s="444">
        <f t="array" ref="J2001">IFERROR(INDEX('Retirement Calculator'!K:K,MATCH('Lorri 401b'!N2001,'Retirement Calculator'!A:A,0),0),0)</f>
        <v>0</v>
      </c>
      <c r="K2001" s="444">
        <f t="shared" ca="1" si="118"/>
        <v>-5617194.0889303824</v>
      </c>
      <c r="L2001" s="444">
        <f t="shared" ca="1" si="119"/>
        <v>-1353743775.4322221</v>
      </c>
      <c r="M2001" s="460">
        <f t="shared" si="121"/>
        <v>0.05</v>
      </c>
      <c r="N2001" s="464">
        <f t="shared" si="122"/>
        <v>111947</v>
      </c>
    </row>
    <row r="2002" spans="7:14" ht="11.25" customHeight="1" x14ac:dyDescent="0.3">
      <c r="G2002" s="459"/>
      <c r="H2002" s="459">
        <v>1995</v>
      </c>
      <c r="I2002" s="444">
        <f t="shared" ca="1" si="120"/>
        <v>-1353743775.4322221</v>
      </c>
      <c r="J2002" s="444">
        <f t="array" ref="J2002">IFERROR(INDEX('Retirement Calculator'!K:K,MATCH('Lorri 401b'!N2002,'Retirement Calculator'!A:A,0),0),0)</f>
        <v>0</v>
      </c>
      <c r="K2002" s="444">
        <f t="shared" ca="1" si="118"/>
        <v>-5640599.0643009255</v>
      </c>
      <c r="L2002" s="444">
        <f t="shared" ca="1" si="119"/>
        <v>-1359384374.4965231</v>
      </c>
      <c r="M2002" s="460">
        <f t="shared" si="121"/>
        <v>0.05</v>
      </c>
      <c r="N2002" s="464">
        <f t="shared" si="122"/>
        <v>111978</v>
      </c>
    </row>
    <row r="2003" spans="7:14" ht="11.25" customHeight="1" x14ac:dyDescent="0.3">
      <c r="G2003" s="459"/>
      <c r="H2003" s="459">
        <v>1996</v>
      </c>
      <c r="I2003" s="444">
        <f t="shared" ca="1" si="120"/>
        <v>-1359384374.4965231</v>
      </c>
      <c r="J2003" s="444">
        <f t="array" ref="J2003">IFERROR(INDEX('Retirement Calculator'!K:K,MATCH('Lorri 401b'!N2003,'Retirement Calculator'!A:A,0),0),0)</f>
        <v>0</v>
      </c>
      <c r="K2003" s="444">
        <f t="shared" ca="1" si="118"/>
        <v>-5664101.5604021801</v>
      </c>
      <c r="L2003" s="444">
        <f t="shared" ca="1" si="119"/>
        <v>-1365048476.0569253</v>
      </c>
      <c r="M2003" s="460">
        <f t="shared" si="121"/>
        <v>0.05</v>
      </c>
      <c r="N2003" s="464">
        <f t="shared" si="122"/>
        <v>112009</v>
      </c>
    </row>
    <row r="2004" spans="7:14" ht="11.25" customHeight="1" x14ac:dyDescent="0.3">
      <c r="G2004" s="459"/>
      <c r="H2004" s="459">
        <v>1997</v>
      </c>
      <c r="I2004" s="444">
        <f t="shared" ca="1" si="120"/>
        <v>-1365048476.0569253</v>
      </c>
      <c r="J2004" s="444">
        <f t="array" ref="J2004">IFERROR(INDEX('Retirement Calculator'!K:K,MATCH('Lorri 401b'!N2004,'Retirement Calculator'!A:A,0),0),0)</f>
        <v>0</v>
      </c>
      <c r="K2004" s="444">
        <f t="shared" ca="1" si="118"/>
        <v>-5687701.9835705217</v>
      </c>
      <c r="L2004" s="444">
        <f t="shared" ca="1" si="119"/>
        <v>-1370736178.0404959</v>
      </c>
      <c r="M2004" s="460">
        <f t="shared" si="121"/>
        <v>0.05</v>
      </c>
      <c r="N2004" s="464">
        <f t="shared" si="122"/>
        <v>112039</v>
      </c>
    </row>
    <row r="2005" spans="7:14" ht="11.25" customHeight="1" x14ac:dyDescent="0.3">
      <c r="G2005" s="459"/>
      <c r="H2005" s="459">
        <v>1998</v>
      </c>
      <c r="I2005" s="444">
        <f t="shared" ca="1" si="120"/>
        <v>-1370736178.0404959</v>
      </c>
      <c r="J2005" s="444">
        <f t="array" ref="J2005">IFERROR(INDEX('Retirement Calculator'!K:K,MATCH('Lorri 401b'!N2005,'Retirement Calculator'!A:A,0),0),0)</f>
        <v>0</v>
      </c>
      <c r="K2005" s="444">
        <f t="shared" ca="1" si="118"/>
        <v>-5711400.7418353995</v>
      </c>
      <c r="L2005" s="444">
        <f t="shared" ca="1" si="119"/>
        <v>-1376447578.7823312</v>
      </c>
      <c r="M2005" s="460">
        <f t="shared" si="121"/>
        <v>0.05</v>
      </c>
      <c r="N2005" s="464">
        <f t="shared" si="122"/>
        <v>112070</v>
      </c>
    </row>
    <row r="2006" spans="7:14" ht="11.25" customHeight="1" x14ac:dyDescent="0.3">
      <c r="G2006" s="459"/>
      <c r="H2006" s="459">
        <v>1999</v>
      </c>
      <c r="I2006" s="444">
        <f t="shared" ca="1" si="120"/>
        <v>-1376447578.7823312</v>
      </c>
      <c r="J2006" s="444">
        <f t="array" ref="J2006">IFERROR(INDEX('Retirement Calculator'!K:K,MATCH('Lorri 401b'!N2006,'Retirement Calculator'!A:A,0),0),0)</f>
        <v>0</v>
      </c>
      <c r="K2006" s="444">
        <f t="shared" ca="1" si="118"/>
        <v>-5735198.24492638</v>
      </c>
      <c r="L2006" s="444">
        <f t="shared" ca="1" si="119"/>
        <v>-1382182777.0272577</v>
      </c>
      <c r="M2006" s="460">
        <f t="shared" si="121"/>
        <v>0.05</v>
      </c>
      <c r="N2006" s="464">
        <f t="shared" si="122"/>
        <v>112100</v>
      </c>
    </row>
    <row r="2007" spans="7:14" ht="11.25" customHeight="1" x14ac:dyDescent="0.3">
      <c r="G2007" s="459"/>
      <c r="H2007" s="459">
        <v>2000</v>
      </c>
      <c r="I2007" s="444">
        <f t="shared" ca="1" si="120"/>
        <v>-1382182777.0272577</v>
      </c>
      <c r="J2007" s="444">
        <f t="array" ref="J2007">IFERROR(INDEX('Retirement Calculator'!K:K,MATCH('Lorri 401b'!N2007,'Retirement Calculator'!A:A,0),0),0)</f>
        <v>0</v>
      </c>
      <c r="K2007" s="444">
        <f t="shared" ca="1" si="118"/>
        <v>-5759094.9042802406</v>
      </c>
      <c r="L2007" s="444">
        <f t="shared" ca="1" si="119"/>
        <v>-1387941871.9315379</v>
      </c>
      <c r="M2007" s="460">
        <f t="shared" si="121"/>
        <v>0.05</v>
      </c>
      <c r="N2007" s="464">
        <f t="shared" si="122"/>
        <v>112131</v>
      </c>
    </row>
    <row r="2008" spans="7:14" ht="11.25" customHeight="1" x14ac:dyDescent="0.3">
      <c r="G2008" s="459"/>
      <c r="H2008" s="459">
        <v>2001</v>
      </c>
      <c r="I2008" s="444">
        <f t="shared" ca="1" si="120"/>
        <v>-1387941871.9315379</v>
      </c>
      <c r="J2008" s="444">
        <f t="array" ref="J2008">IFERROR(INDEX('Retirement Calculator'!K:K,MATCH('Lorri 401b'!N2008,'Retirement Calculator'!A:A,0),0),0)</f>
        <v>0</v>
      </c>
      <c r="K2008" s="444">
        <f t="shared" ca="1" si="118"/>
        <v>-5783091.1330480743</v>
      </c>
      <c r="L2008" s="444">
        <f t="shared" ca="1" si="119"/>
        <v>-1393724963.0645859</v>
      </c>
      <c r="M2008" s="460">
        <f t="shared" si="121"/>
        <v>0.05</v>
      </c>
      <c r="N2008" s="464">
        <f t="shared" si="122"/>
        <v>112162</v>
      </c>
    </row>
    <row r="2009" spans="7:14" ht="11.25" customHeight="1" x14ac:dyDescent="0.3">
      <c r="G2009" s="459"/>
      <c r="H2009" s="459">
        <v>2002</v>
      </c>
      <c r="I2009" s="444">
        <f t="shared" ca="1" si="120"/>
        <v>-1393724963.0645859</v>
      </c>
      <c r="J2009" s="444">
        <f t="array" ref="J2009">IFERROR(INDEX('Retirement Calculator'!K:K,MATCH('Lorri 401b'!N2009,'Retirement Calculator'!A:A,0),0),0)</f>
        <v>0</v>
      </c>
      <c r="K2009" s="444">
        <f t="shared" ca="1" si="118"/>
        <v>-5807187.3461024417</v>
      </c>
      <c r="L2009" s="444">
        <f t="shared" ca="1" si="119"/>
        <v>-1399532150.4106884</v>
      </c>
      <c r="M2009" s="460">
        <f t="shared" si="121"/>
        <v>0.05</v>
      </c>
      <c r="N2009" s="464">
        <f t="shared" si="122"/>
        <v>112190</v>
      </c>
    </row>
    <row r="2010" spans="7:14" ht="11.25" customHeight="1" x14ac:dyDescent="0.3">
      <c r="G2010" s="459"/>
      <c r="H2010" s="459">
        <v>2003</v>
      </c>
      <c r="I2010" s="444">
        <f t="shared" ca="1" si="120"/>
        <v>-1399532150.4106884</v>
      </c>
      <c r="J2010" s="444">
        <f t="array" ref="J2010">IFERROR(INDEX('Retirement Calculator'!K:K,MATCH('Lorri 401b'!N2010,'Retirement Calculator'!A:A,0),0),0)</f>
        <v>0</v>
      </c>
      <c r="K2010" s="444">
        <f t="shared" ca="1" si="118"/>
        <v>-5831383.9600445349</v>
      </c>
      <c r="L2010" s="444">
        <f t="shared" ca="1" si="119"/>
        <v>-1405363534.370733</v>
      </c>
      <c r="M2010" s="460">
        <f t="shared" si="121"/>
        <v>0.05</v>
      </c>
      <c r="N2010" s="464">
        <f t="shared" si="122"/>
        <v>112221</v>
      </c>
    </row>
    <row r="2011" spans="7:14" ht="11.25" customHeight="1" x14ac:dyDescent="0.3">
      <c r="G2011" s="459"/>
      <c r="H2011" s="459">
        <v>2004</v>
      </c>
      <c r="I2011" s="444">
        <f t="shared" ca="1" si="120"/>
        <v>-1405363534.370733</v>
      </c>
      <c r="J2011" s="444">
        <f t="array" ref="J2011">IFERROR(INDEX('Retirement Calculator'!K:K,MATCH('Lorri 401b'!N2011,'Retirement Calculator'!A:A,0),0),0)</f>
        <v>0</v>
      </c>
      <c r="K2011" s="444">
        <f t="shared" ca="1" si="118"/>
        <v>-5855681.3932113871</v>
      </c>
      <c r="L2011" s="444">
        <f t="shared" ca="1" si="119"/>
        <v>-1411219215.7639444</v>
      </c>
      <c r="M2011" s="460">
        <f t="shared" si="121"/>
        <v>0.05</v>
      </c>
      <c r="N2011" s="464">
        <f t="shared" si="122"/>
        <v>112251</v>
      </c>
    </row>
    <row r="2012" spans="7:14" ht="11.25" customHeight="1" x14ac:dyDescent="0.3">
      <c r="G2012" s="459"/>
      <c r="H2012" s="459">
        <v>2005</v>
      </c>
      <c r="I2012" s="444">
        <f t="shared" ca="1" si="120"/>
        <v>-1411219215.7639444</v>
      </c>
      <c r="J2012" s="444">
        <f t="array" ref="J2012">IFERROR(INDEX('Retirement Calculator'!K:K,MATCH('Lorri 401b'!N2012,'Retirement Calculator'!A:A,0),0),0)</f>
        <v>0</v>
      </c>
      <c r="K2012" s="444">
        <f t="shared" ca="1" si="118"/>
        <v>-5880080.0656831013</v>
      </c>
      <c r="L2012" s="444">
        <f t="shared" ca="1" si="119"/>
        <v>-1417099295.8296275</v>
      </c>
      <c r="M2012" s="460">
        <f t="shared" si="121"/>
        <v>0.05</v>
      </c>
      <c r="N2012" s="464">
        <f t="shared" si="122"/>
        <v>112282</v>
      </c>
    </row>
    <row r="2013" spans="7:14" ht="11.25" customHeight="1" x14ac:dyDescent="0.3">
      <c r="G2013" s="459"/>
      <c r="H2013" s="459">
        <v>2006</v>
      </c>
      <c r="I2013" s="444">
        <f t="shared" ca="1" si="120"/>
        <v>-1417099295.8296275</v>
      </c>
      <c r="J2013" s="444">
        <f t="array" ref="J2013">IFERROR(INDEX('Retirement Calculator'!K:K,MATCH('Lorri 401b'!N2013,'Retirement Calculator'!A:A,0),0),0)</f>
        <v>0</v>
      </c>
      <c r="K2013" s="444">
        <f t="shared" ca="1" si="118"/>
        <v>-5904580.3992901146</v>
      </c>
      <c r="L2013" s="444">
        <f t="shared" ca="1" si="119"/>
        <v>-1423003876.2289176</v>
      </c>
      <c r="M2013" s="460">
        <f t="shared" si="121"/>
        <v>0.05</v>
      </c>
      <c r="N2013" s="464">
        <f t="shared" si="122"/>
        <v>112312</v>
      </c>
    </row>
    <row r="2014" spans="7:14" ht="11.25" customHeight="1" x14ac:dyDescent="0.3">
      <c r="G2014" s="459"/>
      <c r="H2014" s="459">
        <v>2007</v>
      </c>
      <c r="I2014" s="444">
        <f t="shared" ca="1" si="120"/>
        <v>-1423003876.2289176</v>
      </c>
      <c r="J2014" s="444">
        <f t="array" ref="J2014">IFERROR(INDEX('Retirement Calculator'!K:K,MATCH('Lorri 401b'!N2014,'Retirement Calculator'!A:A,0),0),0)</f>
        <v>0</v>
      </c>
      <c r="K2014" s="444">
        <f t="shared" ca="1" si="118"/>
        <v>-5929182.8176204897</v>
      </c>
      <c r="L2014" s="444">
        <f t="shared" ca="1" si="119"/>
        <v>-1428933059.0465381</v>
      </c>
      <c r="M2014" s="460">
        <f t="shared" si="121"/>
        <v>0.05</v>
      </c>
      <c r="N2014" s="464">
        <f t="shared" si="122"/>
        <v>112343</v>
      </c>
    </row>
    <row r="2015" spans="7:14" ht="11.25" customHeight="1" x14ac:dyDescent="0.3">
      <c r="G2015" s="459"/>
      <c r="H2015" s="459">
        <v>2008</v>
      </c>
      <c r="I2015" s="444">
        <f t="shared" ca="1" si="120"/>
        <v>-1428933059.0465381</v>
      </c>
      <c r="J2015" s="444">
        <f t="array" ref="J2015">IFERROR(INDEX('Retirement Calculator'!K:K,MATCH('Lorri 401b'!N2015,'Retirement Calculator'!A:A,0),0),0)</f>
        <v>0</v>
      </c>
      <c r="K2015" s="444">
        <f t="shared" ca="1" si="118"/>
        <v>-5953887.7460272424</v>
      </c>
      <c r="L2015" s="444">
        <f t="shared" ca="1" si="119"/>
        <v>-1434886946.7925653</v>
      </c>
      <c r="M2015" s="460">
        <f t="shared" si="121"/>
        <v>0.05</v>
      </c>
      <c r="N2015" s="464">
        <f t="shared" si="122"/>
        <v>112374</v>
      </c>
    </row>
    <row r="2016" spans="7:14" ht="11.25" customHeight="1" x14ac:dyDescent="0.3">
      <c r="G2016" s="459"/>
      <c r="H2016" s="459">
        <v>2009</v>
      </c>
      <c r="I2016" s="444">
        <f t="shared" ca="1" si="120"/>
        <v>-1434886946.7925653</v>
      </c>
      <c r="J2016" s="444">
        <f t="array" ref="J2016">IFERROR(INDEX('Retirement Calculator'!K:K,MATCH('Lorri 401b'!N2016,'Retirement Calculator'!A:A,0),0),0)</f>
        <v>0</v>
      </c>
      <c r="K2016" s="444">
        <f t="shared" ca="1" si="118"/>
        <v>-5978695.6116356887</v>
      </c>
      <c r="L2016" s="444">
        <f t="shared" ca="1" si="119"/>
        <v>-1440865642.404201</v>
      </c>
      <c r="M2016" s="460">
        <f t="shared" si="121"/>
        <v>0.05</v>
      </c>
      <c r="N2016" s="464">
        <f t="shared" si="122"/>
        <v>112404</v>
      </c>
    </row>
    <row r="2017" spans="7:14" ht="11.25" customHeight="1" x14ac:dyDescent="0.3">
      <c r="G2017" s="459"/>
      <c r="H2017" s="459">
        <v>2010</v>
      </c>
      <c r="I2017" s="444">
        <f t="shared" ca="1" si="120"/>
        <v>-1440865642.404201</v>
      </c>
      <c r="J2017" s="444">
        <f t="array" ref="J2017">IFERROR(INDEX('Retirement Calculator'!K:K,MATCH('Lorri 401b'!N2017,'Retirement Calculator'!A:A,0),0),0)</f>
        <v>0</v>
      </c>
      <c r="K2017" s="444">
        <f t="shared" ca="1" si="118"/>
        <v>-6003606.8433508379</v>
      </c>
      <c r="L2017" s="444">
        <f t="shared" ca="1" si="119"/>
        <v>-1446869249.2475519</v>
      </c>
      <c r="M2017" s="460">
        <f t="shared" si="121"/>
        <v>0.05</v>
      </c>
      <c r="N2017" s="464">
        <f t="shared" si="122"/>
        <v>112435</v>
      </c>
    </row>
    <row r="2018" spans="7:14" ht="11.25" customHeight="1" x14ac:dyDescent="0.3">
      <c r="G2018" s="459"/>
      <c r="H2018" s="459">
        <v>2011</v>
      </c>
      <c r="I2018" s="444">
        <f t="shared" ca="1" si="120"/>
        <v>-1446869249.2475519</v>
      </c>
      <c r="J2018" s="444">
        <f t="array" ref="J2018">IFERROR(INDEX('Retirement Calculator'!K:K,MATCH('Lorri 401b'!N2018,'Retirement Calculator'!A:A,0),0),0)</f>
        <v>0</v>
      </c>
      <c r="K2018" s="444">
        <f t="shared" ca="1" si="118"/>
        <v>-6028621.8718647994</v>
      </c>
      <c r="L2018" s="444">
        <f t="shared" ca="1" si="119"/>
        <v>-1452897871.1194167</v>
      </c>
      <c r="M2018" s="460">
        <f t="shared" si="121"/>
        <v>0.05</v>
      </c>
      <c r="N2018" s="464">
        <f t="shared" si="122"/>
        <v>112465</v>
      </c>
    </row>
    <row r="2019" spans="7:14" ht="11.25" customHeight="1" x14ac:dyDescent="0.3">
      <c r="G2019" s="459"/>
      <c r="H2019" s="459">
        <v>2012</v>
      </c>
      <c r="I2019" s="444">
        <f t="shared" ca="1" si="120"/>
        <v>-1452897871.1194167</v>
      </c>
      <c r="J2019" s="444">
        <f t="array" ref="J2019">IFERROR(INDEX('Retirement Calculator'!K:K,MATCH('Lorri 401b'!N2019,'Retirement Calculator'!A:A,0),0),0)</f>
        <v>0</v>
      </c>
      <c r="K2019" s="444">
        <f t="shared" ca="1" si="118"/>
        <v>-6053741.1296642367</v>
      </c>
      <c r="L2019" s="444">
        <f t="shared" ca="1" si="119"/>
        <v>-1458951612.2490809</v>
      </c>
      <c r="M2019" s="460">
        <f t="shared" si="121"/>
        <v>0.05</v>
      </c>
      <c r="N2019" s="464">
        <f t="shared" si="122"/>
        <v>112496</v>
      </c>
    </row>
    <row r="2020" spans="7:14" ht="11.25" customHeight="1" x14ac:dyDescent="0.3">
      <c r="G2020" s="459"/>
      <c r="H2020" s="459">
        <v>2013</v>
      </c>
      <c r="I2020" s="444">
        <f t="shared" ca="1" si="120"/>
        <v>-1458951612.2490809</v>
      </c>
      <c r="J2020" s="444">
        <f t="array" ref="J2020">IFERROR(INDEX('Retirement Calculator'!K:K,MATCH('Lorri 401b'!N2020,'Retirement Calculator'!A:A,0),0),0)</f>
        <v>0</v>
      </c>
      <c r="K2020" s="444">
        <f t="shared" ca="1" si="118"/>
        <v>-6078965.0510378368</v>
      </c>
      <c r="L2020" s="444">
        <f t="shared" ca="1" si="119"/>
        <v>-1465030577.3001187</v>
      </c>
      <c r="M2020" s="460">
        <f t="shared" si="121"/>
        <v>0.05</v>
      </c>
      <c r="N2020" s="464">
        <f t="shared" si="122"/>
        <v>112527</v>
      </c>
    </row>
    <row r="2021" spans="7:14" ht="11.25" customHeight="1" x14ac:dyDescent="0.3">
      <c r="G2021" s="459"/>
      <c r="H2021" s="459">
        <v>2014</v>
      </c>
      <c r="I2021" s="444">
        <f t="shared" ca="1" si="120"/>
        <v>-1465030577.3001187</v>
      </c>
      <c r="J2021" s="444">
        <f t="array" ref="J2021">IFERROR(INDEX('Retirement Calculator'!K:K,MATCH('Lorri 401b'!N2021,'Retirement Calculator'!A:A,0),0),0)</f>
        <v>0</v>
      </c>
      <c r="K2021" s="444">
        <f t="shared" ca="1" si="118"/>
        <v>-6104294.072083828</v>
      </c>
      <c r="L2021" s="444">
        <f t="shared" ca="1" si="119"/>
        <v>-1471134871.3722024</v>
      </c>
      <c r="M2021" s="460">
        <f t="shared" si="121"/>
        <v>0.05</v>
      </c>
      <c r="N2021" s="464">
        <f t="shared" si="122"/>
        <v>112556</v>
      </c>
    </row>
    <row r="2022" spans="7:14" ht="11.25" customHeight="1" x14ac:dyDescent="0.3">
      <c r="G2022" s="459"/>
      <c r="H2022" s="459">
        <v>2015</v>
      </c>
      <c r="I2022" s="444">
        <f t="shared" ca="1" si="120"/>
        <v>-1471134871.3722024</v>
      </c>
      <c r="J2022" s="444">
        <f t="array" ref="J2022">IFERROR(INDEX('Retirement Calculator'!K:K,MATCH('Lorri 401b'!N2022,'Retirement Calculator'!A:A,0),0),0)</f>
        <v>0</v>
      </c>
      <c r="K2022" s="444">
        <f t="shared" ca="1" si="118"/>
        <v>-6129728.6307175104</v>
      </c>
      <c r="L2022" s="444">
        <f t="shared" ca="1" si="119"/>
        <v>-1477264600.0029199</v>
      </c>
      <c r="M2022" s="460">
        <f t="shared" si="121"/>
        <v>0.05</v>
      </c>
      <c r="N2022" s="464">
        <f t="shared" si="122"/>
        <v>112587</v>
      </c>
    </row>
    <row r="2023" spans="7:14" ht="11.25" customHeight="1" x14ac:dyDescent="0.3">
      <c r="G2023" s="459"/>
      <c r="H2023" s="459">
        <v>2016</v>
      </c>
      <c r="I2023" s="444">
        <f t="shared" ca="1" si="120"/>
        <v>-1477264600.0029199</v>
      </c>
      <c r="J2023" s="444">
        <f t="array" ref="J2023">IFERROR(INDEX('Retirement Calculator'!K:K,MATCH('Lorri 401b'!N2023,'Retirement Calculator'!A:A,0),0),0)</f>
        <v>0</v>
      </c>
      <c r="K2023" s="444">
        <f t="shared" ca="1" si="118"/>
        <v>-6155269.1666788328</v>
      </c>
      <c r="L2023" s="444">
        <f t="shared" ca="1" si="119"/>
        <v>-1483419869.1695988</v>
      </c>
      <c r="M2023" s="460">
        <f t="shared" si="121"/>
        <v>0.05</v>
      </c>
      <c r="N2023" s="464">
        <f t="shared" si="122"/>
        <v>112617</v>
      </c>
    </row>
    <row r="2024" spans="7:14" ht="11.25" customHeight="1" x14ac:dyDescent="0.3">
      <c r="G2024" s="459"/>
      <c r="H2024" s="459">
        <v>2017</v>
      </c>
      <c r="I2024" s="444">
        <f t="shared" ca="1" si="120"/>
        <v>-1483419869.1695988</v>
      </c>
      <c r="J2024" s="444">
        <f t="array" ref="J2024">IFERROR(INDEX('Retirement Calculator'!K:K,MATCH('Lorri 401b'!N2024,'Retirement Calculator'!A:A,0),0),0)</f>
        <v>0</v>
      </c>
      <c r="K2024" s="444">
        <f t="shared" ca="1" si="118"/>
        <v>-6180916.1215399951</v>
      </c>
      <c r="L2024" s="444">
        <f t="shared" ca="1" si="119"/>
        <v>-1489600785.2911389</v>
      </c>
      <c r="M2024" s="460">
        <f t="shared" si="121"/>
        <v>0.05</v>
      </c>
      <c r="N2024" s="464">
        <f t="shared" si="122"/>
        <v>112648</v>
      </c>
    </row>
    <row r="2025" spans="7:14" ht="11.25" customHeight="1" x14ac:dyDescent="0.3">
      <c r="G2025" s="459"/>
      <c r="H2025" s="459">
        <v>2018</v>
      </c>
      <c r="I2025" s="444">
        <f t="shared" ca="1" si="120"/>
        <v>-1489600785.2911389</v>
      </c>
      <c r="J2025" s="444">
        <f t="array" ref="J2025">IFERROR(INDEX('Retirement Calculator'!K:K,MATCH('Lorri 401b'!N2025,'Retirement Calculator'!A:A,0),0),0)</f>
        <v>0</v>
      </c>
      <c r="K2025" s="444">
        <f t="shared" ca="1" si="118"/>
        <v>-6206669.9387130784</v>
      </c>
      <c r="L2025" s="444">
        <f t="shared" ca="1" si="119"/>
        <v>-1495807455.229852</v>
      </c>
      <c r="M2025" s="460">
        <f t="shared" si="121"/>
        <v>0.05</v>
      </c>
      <c r="N2025" s="464">
        <f t="shared" si="122"/>
        <v>112678</v>
      </c>
    </row>
    <row r="2026" spans="7:14" ht="11.25" customHeight="1" x14ac:dyDescent="0.3">
      <c r="G2026" s="459"/>
      <c r="H2026" s="459">
        <v>2019</v>
      </c>
      <c r="I2026" s="444">
        <f t="shared" ca="1" si="120"/>
        <v>-1495807455.229852</v>
      </c>
      <c r="J2026" s="444">
        <f t="array" ref="J2026">IFERROR(INDEX('Retirement Calculator'!K:K,MATCH('Lorri 401b'!N2026,'Retirement Calculator'!A:A,0),0),0)</f>
        <v>0</v>
      </c>
      <c r="K2026" s="444">
        <f t="shared" ca="1" si="118"/>
        <v>-6232531.0634577163</v>
      </c>
      <c r="L2026" s="444">
        <f t="shared" ca="1" si="119"/>
        <v>-1502039986.2933097</v>
      </c>
      <c r="M2026" s="460">
        <f t="shared" si="121"/>
        <v>0.05</v>
      </c>
      <c r="N2026" s="464">
        <f t="shared" si="122"/>
        <v>112709</v>
      </c>
    </row>
    <row r="2027" spans="7:14" ht="11.25" customHeight="1" x14ac:dyDescent="0.3">
      <c r="G2027" s="459"/>
      <c r="H2027" s="459">
        <v>2020</v>
      </c>
      <c r="I2027" s="444">
        <f t="shared" ca="1" si="120"/>
        <v>-1502039986.2933097</v>
      </c>
      <c r="J2027" s="444">
        <f t="array" ref="J2027">IFERROR(INDEX('Retirement Calculator'!K:K,MATCH('Lorri 401b'!N2027,'Retirement Calculator'!A:A,0),0),0)</f>
        <v>0</v>
      </c>
      <c r="K2027" s="444">
        <f t="shared" ca="1" si="118"/>
        <v>-6258499.9428887907</v>
      </c>
      <c r="L2027" s="444">
        <f t="shared" ca="1" si="119"/>
        <v>-1508298486.2361984</v>
      </c>
      <c r="M2027" s="460">
        <f t="shared" si="121"/>
        <v>0.05</v>
      </c>
      <c r="N2027" s="464">
        <f t="shared" si="122"/>
        <v>112740</v>
      </c>
    </row>
    <row r="2028" spans="7:14" ht="11.25" customHeight="1" x14ac:dyDescent="0.3">
      <c r="G2028" s="459"/>
      <c r="H2028" s="459">
        <v>2021</v>
      </c>
      <c r="I2028" s="444">
        <f t="shared" ca="1" si="120"/>
        <v>-1508298486.2361984</v>
      </c>
      <c r="J2028" s="444">
        <f t="array" ref="J2028">IFERROR(INDEX('Retirement Calculator'!K:K,MATCH('Lorri 401b'!N2028,'Retirement Calculator'!A:A,0),0),0)</f>
        <v>0</v>
      </c>
      <c r="K2028" s="444">
        <f t="shared" ca="1" si="118"/>
        <v>-6284577.0259841597</v>
      </c>
      <c r="L2028" s="444">
        <f t="shared" ca="1" si="119"/>
        <v>-1514583063.2621825</v>
      </c>
      <c r="M2028" s="460">
        <f t="shared" si="121"/>
        <v>0.05</v>
      </c>
      <c r="N2028" s="464">
        <f t="shared" si="122"/>
        <v>112770</v>
      </c>
    </row>
    <row r="2029" spans="7:14" ht="11.25" customHeight="1" x14ac:dyDescent="0.3">
      <c r="G2029" s="459"/>
      <c r="H2029" s="459">
        <v>2022</v>
      </c>
      <c r="I2029" s="444">
        <f t="shared" ca="1" si="120"/>
        <v>-1514583063.2621825</v>
      </c>
      <c r="J2029" s="444">
        <f t="array" ref="J2029">IFERROR(INDEX('Retirement Calculator'!K:K,MATCH('Lorri 401b'!N2029,'Retirement Calculator'!A:A,0),0),0)</f>
        <v>0</v>
      </c>
      <c r="K2029" s="444">
        <f t="shared" ca="1" si="118"/>
        <v>-6310762.7635924267</v>
      </c>
      <c r="L2029" s="444">
        <f t="shared" ca="1" si="119"/>
        <v>-1520893826.025775</v>
      </c>
      <c r="M2029" s="460">
        <f t="shared" si="121"/>
        <v>0.05</v>
      </c>
      <c r="N2029" s="464">
        <f t="shared" si="122"/>
        <v>112801</v>
      </c>
    </row>
    <row r="2030" spans="7:14" ht="11.25" customHeight="1" x14ac:dyDescent="0.3">
      <c r="G2030" s="459"/>
      <c r="H2030" s="459">
        <v>2023</v>
      </c>
      <c r="I2030" s="444">
        <f t="shared" ca="1" si="120"/>
        <v>-1520893826.025775</v>
      </c>
      <c r="J2030" s="444">
        <f t="array" ref="J2030">IFERROR(INDEX('Retirement Calculator'!K:K,MATCH('Lorri 401b'!N2030,'Retirement Calculator'!A:A,0),0),0)</f>
        <v>0</v>
      </c>
      <c r="K2030" s="444">
        <f t="shared" ca="1" si="118"/>
        <v>-6337057.6084407289</v>
      </c>
      <c r="L2030" s="444">
        <f t="shared" ca="1" si="119"/>
        <v>-1527230883.6342156</v>
      </c>
      <c r="M2030" s="460">
        <f t="shared" si="121"/>
        <v>0.05</v>
      </c>
      <c r="N2030" s="464">
        <f t="shared" si="122"/>
        <v>112831</v>
      </c>
    </row>
    <row r="2031" spans="7:14" ht="11.25" customHeight="1" x14ac:dyDescent="0.3">
      <c r="G2031" s="459"/>
      <c r="H2031" s="459">
        <v>2024</v>
      </c>
      <c r="I2031" s="444">
        <f t="shared" ca="1" si="120"/>
        <v>-1527230883.6342156</v>
      </c>
      <c r="J2031" s="444">
        <f t="array" ref="J2031">IFERROR(INDEX('Retirement Calculator'!K:K,MATCH('Lorri 401b'!N2031,'Retirement Calculator'!A:A,0),0),0)</f>
        <v>0</v>
      </c>
      <c r="K2031" s="444">
        <f t="shared" ca="1" si="118"/>
        <v>-6363462.0151425647</v>
      </c>
      <c r="L2031" s="444">
        <f t="shared" ca="1" si="119"/>
        <v>-1533594345.6493583</v>
      </c>
      <c r="M2031" s="460">
        <f t="shared" si="121"/>
        <v>0.05</v>
      </c>
      <c r="N2031" s="464">
        <f t="shared" si="122"/>
        <v>112862</v>
      </c>
    </row>
    <row r="2032" spans="7:14" ht="11.25" customHeight="1" x14ac:dyDescent="0.3">
      <c r="G2032" s="459"/>
      <c r="H2032" s="459">
        <v>2025</v>
      </c>
      <c r="I2032" s="444">
        <f t="shared" ca="1" si="120"/>
        <v>-1533594345.6493583</v>
      </c>
      <c r="J2032" s="444">
        <f t="array" ref="J2032">IFERROR(INDEX('Retirement Calculator'!K:K,MATCH('Lorri 401b'!N2032,'Retirement Calculator'!A:A,0),0),0)</f>
        <v>0</v>
      </c>
      <c r="K2032" s="444">
        <f t="shared" ca="1" si="118"/>
        <v>-6389976.4402056597</v>
      </c>
      <c r="L2032" s="444">
        <f t="shared" ca="1" si="119"/>
        <v>-1539984322.0895638</v>
      </c>
      <c r="M2032" s="460">
        <f t="shared" si="121"/>
        <v>0.05</v>
      </c>
      <c r="N2032" s="464">
        <f t="shared" si="122"/>
        <v>112893</v>
      </c>
    </row>
    <row r="2033" spans="7:14" ht="11.25" customHeight="1" x14ac:dyDescent="0.3">
      <c r="G2033" s="459"/>
      <c r="H2033" s="459">
        <v>2026</v>
      </c>
      <c r="I2033" s="444">
        <f t="shared" ca="1" si="120"/>
        <v>-1539984322.0895638</v>
      </c>
      <c r="J2033" s="444">
        <f t="array" ref="J2033">IFERROR(INDEX('Retirement Calculator'!K:K,MATCH('Lorri 401b'!N2033,'Retirement Calculator'!A:A,0),0),0)</f>
        <v>0</v>
      </c>
      <c r="K2033" s="444">
        <f t="shared" ca="1" si="118"/>
        <v>-6416601.3420398496</v>
      </c>
      <c r="L2033" s="444">
        <f t="shared" ca="1" si="119"/>
        <v>-1546400923.4316037</v>
      </c>
      <c r="M2033" s="460">
        <f t="shared" si="121"/>
        <v>0.05</v>
      </c>
      <c r="N2033" s="464">
        <f t="shared" si="122"/>
        <v>112921</v>
      </c>
    </row>
    <row r="2034" spans="7:14" ht="11.25" customHeight="1" x14ac:dyDescent="0.3">
      <c r="G2034" s="459"/>
      <c r="H2034" s="459">
        <v>2027</v>
      </c>
      <c r="I2034" s="444">
        <f t="shared" ca="1" si="120"/>
        <v>-1546400923.4316037</v>
      </c>
      <c r="J2034" s="444">
        <f t="array" ref="J2034">IFERROR(INDEX('Retirement Calculator'!K:K,MATCH('Lorri 401b'!N2034,'Retirement Calculator'!A:A,0),0),0)</f>
        <v>0</v>
      </c>
      <c r="K2034" s="444">
        <f t="shared" ca="1" si="118"/>
        <v>-6443337.1809650157</v>
      </c>
      <c r="L2034" s="444">
        <f t="shared" ca="1" si="119"/>
        <v>-1552844260.6125686</v>
      </c>
      <c r="M2034" s="460">
        <f t="shared" si="121"/>
        <v>0.05</v>
      </c>
      <c r="N2034" s="464">
        <f t="shared" si="122"/>
        <v>112952</v>
      </c>
    </row>
    <row r="2035" spans="7:14" ht="11.25" customHeight="1" x14ac:dyDescent="0.3">
      <c r="G2035" s="459"/>
      <c r="H2035" s="459">
        <v>2028</v>
      </c>
      <c r="I2035" s="444">
        <f t="shared" ca="1" si="120"/>
        <v>-1552844260.6125686</v>
      </c>
      <c r="J2035" s="444">
        <f t="array" ref="J2035">IFERROR(INDEX('Retirement Calculator'!K:K,MATCH('Lorri 401b'!N2035,'Retirement Calculator'!A:A,0),0),0)</f>
        <v>0</v>
      </c>
      <c r="K2035" s="444">
        <f t="shared" ca="1" si="118"/>
        <v>-6470184.4192190357</v>
      </c>
      <c r="L2035" s="444">
        <f t="shared" ca="1" si="119"/>
        <v>-1559314445.0317876</v>
      </c>
      <c r="M2035" s="460">
        <f t="shared" si="121"/>
        <v>0.05</v>
      </c>
      <c r="N2035" s="464">
        <f t="shared" si="122"/>
        <v>112982</v>
      </c>
    </row>
    <row r="2036" spans="7:14" ht="11.25" customHeight="1" x14ac:dyDescent="0.3">
      <c r="G2036" s="459"/>
      <c r="H2036" s="459">
        <v>2029</v>
      </c>
      <c r="I2036" s="444">
        <f t="shared" ca="1" si="120"/>
        <v>-1559314445.0317876</v>
      </c>
      <c r="J2036" s="444">
        <f t="array" ref="J2036">IFERROR(INDEX('Retirement Calculator'!K:K,MATCH('Lorri 401b'!N2036,'Retirement Calculator'!A:A,0),0),0)</f>
        <v>0</v>
      </c>
      <c r="K2036" s="444">
        <f t="shared" ca="1" si="118"/>
        <v>-6497143.520965782</v>
      </c>
      <c r="L2036" s="444">
        <f t="shared" ca="1" si="119"/>
        <v>-1565811588.5527534</v>
      </c>
      <c r="M2036" s="460">
        <f t="shared" si="121"/>
        <v>0.05</v>
      </c>
      <c r="N2036" s="464">
        <f t="shared" si="122"/>
        <v>113013</v>
      </c>
    </row>
    <row r="2037" spans="7:14" ht="11.25" customHeight="1" x14ac:dyDescent="0.3">
      <c r="G2037" s="459"/>
      <c r="H2037" s="459">
        <v>2030</v>
      </c>
      <c r="I2037" s="444">
        <f t="shared" ca="1" si="120"/>
        <v>-1565811588.5527534</v>
      </c>
      <c r="J2037" s="444">
        <f t="array" ref="J2037">IFERROR(INDEX('Retirement Calculator'!K:K,MATCH('Lorri 401b'!N2037,'Retirement Calculator'!A:A,0),0),0)</f>
        <v>0</v>
      </c>
      <c r="K2037" s="444">
        <f t="shared" ca="1" si="118"/>
        <v>-6524214.9523031395</v>
      </c>
      <c r="L2037" s="444">
        <f t="shared" ca="1" si="119"/>
        <v>-1572335803.5050566</v>
      </c>
      <c r="M2037" s="460">
        <f t="shared" si="121"/>
        <v>0.05</v>
      </c>
      <c r="N2037" s="464">
        <f t="shared" si="122"/>
        <v>113043</v>
      </c>
    </row>
    <row r="2038" spans="7:14" ht="11.25" customHeight="1" x14ac:dyDescent="0.3">
      <c r="G2038" s="459"/>
      <c r="H2038" s="459">
        <v>2031</v>
      </c>
      <c r="I2038" s="444">
        <f t="shared" ca="1" si="120"/>
        <v>-1572335803.5050566</v>
      </c>
      <c r="J2038" s="444">
        <f t="array" ref="J2038">IFERROR(INDEX('Retirement Calculator'!K:K,MATCH('Lorri 401b'!N2038,'Retirement Calculator'!A:A,0),0),0)</f>
        <v>0</v>
      </c>
      <c r="K2038" s="444">
        <f t="shared" ca="1" si="118"/>
        <v>-6551399.1812710688</v>
      </c>
      <c r="L2038" s="444">
        <f t="shared" ca="1" si="119"/>
        <v>-1578887202.6863277</v>
      </c>
      <c r="M2038" s="460">
        <f t="shared" si="121"/>
        <v>0.05</v>
      </c>
      <c r="N2038" s="464">
        <f t="shared" si="122"/>
        <v>113074</v>
      </c>
    </row>
    <row r="2039" spans="7:14" ht="11.25" customHeight="1" x14ac:dyDescent="0.3">
      <c r="G2039" s="459"/>
      <c r="H2039" s="459">
        <v>2032</v>
      </c>
      <c r="I2039" s="444">
        <f t="shared" ca="1" si="120"/>
        <v>-1578887202.6863277</v>
      </c>
      <c r="J2039" s="444">
        <f t="array" ref="J2039">IFERROR(INDEX('Retirement Calculator'!K:K,MATCH('Lorri 401b'!N2039,'Retirement Calculator'!A:A,0),0),0)</f>
        <v>0</v>
      </c>
      <c r="K2039" s="444">
        <f t="shared" ca="1" si="118"/>
        <v>-6578696.6778596984</v>
      </c>
      <c r="L2039" s="444">
        <f t="shared" ca="1" si="119"/>
        <v>-1585465899.3641875</v>
      </c>
      <c r="M2039" s="460">
        <f t="shared" si="121"/>
        <v>0.05</v>
      </c>
      <c r="N2039" s="464">
        <f t="shared" si="122"/>
        <v>113105</v>
      </c>
    </row>
    <row r="2040" spans="7:14" ht="11.25" customHeight="1" x14ac:dyDescent="0.3">
      <c r="G2040" s="459"/>
      <c r="H2040" s="459">
        <v>2033</v>
      </c>
      <c r="I2040" s="444">
        <f t="shared" ca="1" si="120"/>
        <v>-1585465899.3641875</v>
      </c>
      <c r="J2040" s="444">
        <f t="array" ref="J2040">IFERROR(INDEX('Retirement Calculator'!K:K,MATCH('Lorri 401b'!N2040,'Retirement Calculator'!A:A,0),0),0)</f>
        <v>0</v>
      </c>
      <c r="K2040" s="444">
        <f t="shared" ca="1" si="118"/>
        <v>-6606107.9140174482</v>
      </c>
      <c r="L2040" s="444">
        <f t="shared" ca="1" si="119"/>
        <v>-1592072007.2782049</v>
      </c>
      <c r="M2040" s="460">
        <f t="shared" si="121"/>
        <v>0.05</v>
      </c>
      <c r="N2040" s="464">
        <f t="shared" si="122"/>
        <v>113135</v>
      </c>
    </row>
    <row r="2041" spans="7:14" ht="11.25" customHeight="1" x14ac:dyDescent="0.3">
      <c r="G2041" s="459"/>
      <c r="H2041" s="459">
        <v>2034</v>
      </c>
      <c r="I2041" s="444">
        <f t="shared" ca="1" si="120"/>
        <v>-1592072007.2782049</v>
      </c>
      <c r="J2041" s="444">
        <f t="array" ref="J2041">IFERROR(INDEX('Retirement Calculator'!K:K,MATCH('Lorri 401b'!N2041,'Retirement Calculator'!A:A,0),0),0)</f>
        <v>0</v>
      </c>
      <c r="K2041" s="444">
        <f t="shared" ca="1" si="118"/>
        <v>-6633633.3636591872</v>
      </c>
      <c r="L2041" s="444">
        <f t="shared" ca="1" si="119"/>
        <v>-1598705640.6418641</v>
      </c>
      <c r="M2041" s="460">
        <f t="shared" si="121"/>
        <v>0.05</v>
      </c>
      <c r="N2041" s="464">
        <f t="shared" si="122"/>
        <v>113166</v>
      </c>
    </row>
    <row r="2042" spans="7:14" ht="11.25" customHeight="1" x14ac:dyDescent="0.3">
      <c r="G2042" s="459"/>
      <c r="H2042" s="459">
        <v>2035</v>
      </c>
      <c r="I2042" s="444">
        <f t="shared" ca="1" si="120"/>
        <v>-1598705640.6418641</v>
      </c>
      <c r="J2042" s="444">
        <f t="array" ref="J2042">IFERROR(INDEX('Retirement Calculator'!K:K,MATCH('Lorri 401b'!N2042,'Retirement Calculator'!A:A,0),0),0)</f>
        <v>0</v>
      </c>
      <c r="K2042" s="444">
        <f t="shared" ca="1" si="118"/>
        <v>-6661273.5026744334</v>
      </c>
      <c r="L2042" s="444">
        <f t="shared" ca="1" si="119"/>
        <v>-1605366914.1445384</v>
      </c>
      <c r="M2042" s="460">
        <f t="shared" si="121"/>
        <v>0.05</v>
      </c>
      <c r="N2042" s="464">
        <f t="shared" si="122"/>
        <v>113196</v>
      </c>
    </row>
    <row r="2043" spans="7:14" ht="11.25" customHeight="1" x14ac:dyDescent="0.3">
      <c r="G2043" s="459"/>
      <c r="H2043" s="459">
        <v>2036</v>
      </c>
      <c r="I2043" s="444">
        <f t="shared" ca="1" si="120"/>
        <v>-1605366914.1445384</v>
      </c>
      <c r="J2043" s="444">
        <f t="array" ref="J2043">IFERROR(INDEX('Retirement Calculator'!K:K,MATCH('Lorri 401b'!N2043,'Retirement Calculator'!A:A,0),0),0)</f>
        <v>0</v>
      </c>
      <c r="K2043" s="444">
        <f t="shared" ca="1" si="118"/>
        <v>-6689028.808935577</v>
      </c>
      <c r="L2043" s="444">
        <f t="shared" ca="1" si="119"/>
        <v>-1612055942.953474</v>
      </c>
      <c r="M2043" s="460">
        <f t="shared" si="121"/>
        <v>0.05</v>
      </c>
      <c r="N2043" s="464">
        <f t="shared" si="122"/>
        <v>113227</v>
      </c>
    </row>
    <row r="2044" spans="7:14" ht="11.25" customHeight="1" x14ac:dyDescent="0.3">
      <c r="G2044" s="459"/>
      <c r="H2044" s="459">
        <v>2037</v>
      </c>
      <c r="I2044" s="444">
        <f t="shared" ca="1" si="120"/>
        <v>-1612055942.953474</v>
      </c>
      <c r="J2044" s="444">
        <f t="array" ref="J2044">IFERROR(INDEX('Retirement Calculator'!K:K,MATCH('Lorri 401b'!N2044,'Retirement Calculator'!A:A,0),0),0)</f>
        <v>0</v>
      </c>
      <c r="K2044" s="444">
        <f t="shared" ca="1" si="118"/>
        <v>-6716899.7623061417</v>
      </c>
      <c r="L2044" s="444">
        <f t="shared" ca="1" si="119"/>
        <v>-1618772842.7157803</v>
      </c>
      <c r="M2044" s="460">
        <f t="shared" si="121"/>
        <v>0.05</v>
      </c>
      <c r="N2044" s="464">
        <f t="shared" si="122"/>
        <v>113258</v>
      </c>
    </row>
    <row r="2045" spans="7:14" ht="11.25" customHeight="1" x14ac:dyDescent="0.3">
      <c r="G2045" s="459"/>
      <c r="H2045" s="459">
        <v>2038</v>
      </c>
      <c r="I2045" s="444">
        <f t="shared" ca="1" si="120"/>
        <v>-1618772842.7157803</v>
      </c>
      <c r="J2045" s="444">
        <f t="array" ref="J2045">IFERROR(INDEX('Retirement Calculator'!K:K,MATCH('Lorri 401b'!N2045,'Retirement Calculator'!A:A,0),0),0)</f>
        <v>0</v>
      </c>
      <c r="K2045" s="444">
        <f t="shared" ca="1" si="118"/>
        <v>-6744886.8446490839</v>
      </c>
      <c r="L2045" s="444">
        <f t="shared" ca="1" si="119"/>
        <v>-1625517729.5604293</v>
      </c>
      <c r="M2045" s="460">
        <f t="shared" si="121"/>
        <v>0.05</v>
      </c>
      <c r="N2045" s="464">
        <f t="shared" si="122"/>
        <v>113286</v>
      </c>
    </row>
    <row r="2046" spans="7:14" ht="11.25" customHeight="1" x14ac:dyDescent="0.3">
      <c r="G2046" s="459"/>
      <c r="H2046" s="459">
        <v>2039</v>
      </c>
      <c r="I2046" s="444">
        <f t="shared" ca="1" si="120"/>
        <v>-1625517729.5604293</v>
      </c>
      <c r="J2046" s="444">
        <f t="array" ref="J2046">IFERROR(INDEX('Retirement Calculator'!K:K,MATCH('Lorri 401b'!N2046,'Retirement Calculator'!A:A,0),0),0)</f>
        <v>0</v>
      </c>
      <c r="K2046" s="444">
        <f t="shared" ca="1" si="118"/>
        <v>-6772990.5398351224</v>
      </c>
      <c r="L2046" s="444">
        <f t="shared" ca="1" si="119"/>
        <v>-1632290720.1002645</v>
      </c>
      <c r="M2046" s="460">
        <f t="shared" si="121"/>
        <v>0.05</v>
      </c>
      <c r="N2046" s="464">
        <f t="shared" si="122"/>
        <v>113317</v>
      </c>
    </row>
    <row r="2047" spans="7:14" ht="11.25" customHeight="1" x14ac:dyDescent="0.3">
      <c r="G2047" s="459"/>
      <c r="H2047" s="459">
        <v>2040</v>
      </c>
      <c r="I2047" s="444">
        <f t="shared" ca="1" si="120"/>
        <v>-1632290720.1002645</v>
      </c>
      <c r="J2047" s="444">
        <f t="array" ref="J2047">IFERROR(INDEX('Retirement Calculator'!K:K,MATCH('Lorri 401b'!N2047,'Retirement Calculator'!A:A,0),0),0)</f>
        <v>0</v>
      </c>
      <c r="K2047" s="444">
        <f t="shared" ca="1" si="118"/>
        <v>-6801211.333751102</v>
      </c>
      <c r="L2047" s="444">
        <f t="shared" ca="1" si="119"/>
        <v>-1639091931.4340158</v>
      </c>
      <c r="M2047" s="460">
        <f t="shared" si="121"/>
        <v>0.05</v>
      </c>
      <c r="N2047" s="464">
        <f t="shared" si="122"/>
        <v>113347</v>
      </c>
    </row>
    <row r="2048" spans="7:14" ht="11.25" customHeight="1" x14ac:dyDescent="0.3">
      <c r="G2048" s="459"/>
      <c r="H2048" s="459">
        <v>2041</v>
      </c>
      <c r="I2048" s="444">
        <f t="shared" ca="1" si="120"/>
        <v>-1639091931.4340158</v>
      </c>
      <c r="J2048" s="444">
        <f t="array" ref="J2048">IFERROR(INDEX('Retirement Calculator'!K:K,MATCH('Lorri 401b'!N2048,'Retirement Calculator'!A:A,0),0),0)</f>
        <v>0</v>
      </c>
      <c r="K2048" s="444">
        <f t="shared" ref="K2048:K2302" ca="1" si="123">IPMT(M2048/12,1,12,-I2048+J2048,,0)</f>
        <v>-6829549.7143083988</v>
      </c>
      <c r="L2048" s="444">
        <f t="shared" ref="L2048:L2302" ca="1" si="124">I2048-J2048+K2048</f>
        <v>-1645921481.1483243</v>
      </c>
      <c r="M2048" s="460">
        <f t="shared" si="121"/>
        <v>0.05</v>
      </c>
      <c r="N2048" s="464">
        <f t="shared" si="122"/>
        <v>113378</v>
      </c>
    </row>
    <row r="2049" spans="7:14" ht="11.25" customHeight="1" x14ac:dyDescent="0.3">
      <c r="G2049" s="459"/>
      <c r="H2049" s="459">
        <v>2042</v>
      </c>
      <c r="I2049" s="444">
        <f t="shared" ref="I2049:I2303" ca="1" si="125">L2048</f>
        <v>-1645921481.1483243</v>
      </c>
      <c r="J2049" s="444">
        <f t="array" ref="J2049">IFERROR(INDEX('Retirement Calculator'!K:K,MATCH('Lorri 401b'!N2049,'Retirement Calculator'!A:A,0),0),0)</f>
        <v>0</v>
      </c>
      <c r="K2049" s="444">
        <f t="shared" ca="1" si="123"/>
        <v>-6858006.1714513507</v>
      </c>
      <c r="L2049" s="444">
        <f t="shared" ca="1" si="124"/>
        <v>-1652779487.3197756</v>
      </c>
      <c r="M2049" s="460">
        <f t="shared" ref="M2049:M2303" si="126">M2048</f>
        <v>0.05</v>
      </c>
      <c r="N2049" s="464">
        <f t="shared" ref="N2049:N2303" si="127">EDATE(N2048,1)</f>
        <v>113408</v>
      </c>
    </row>
    <row r="2050" spans="7:14" ht="11.25" customHeight="1" x14ac:dyDescent="0.3">
      <c r="G2050" s="459"/>
      <c r="H2050" s="459">
        <v>2043</v>
      </c>
      <c r="I2050" s="444">
        <f t="shared" ca="1" si="125"/>
        <v>-1652779487.3197756</v>
      </c>
      <c r="J2050" s="444">
        <f t="array" ref="J2050">IFERROR(INDEX('Retirement Calculator'!K:K,MATCH('Lorri 401b'!N2050,'Retirement Calculator'!A:A,0),0),0)</f>
        <v>0</v>
      </c>
      <c r="K2050" s="444">
        <f t="shared" ca="1" si="123"/>
        <v>-6886581.1971657313</v>
      </c>
      <c r="L2050" s="444">
        <f t="shared" ca="1" si="124"/>
        <v>-1659666068.5169413</v>
      </c>
      <c r="M2050" s="460">
        <f t="shared" si="126"/>
        <v>0.05</v>
      </c>
      <c r="N2050" s="464">
        <f t="shared" si="127"/>
        <v>113439</v>
      </c>
    </row>
    <row r="2051" spans="7:14" ht="11.25" customHeight="1" x14ac:dyDescent="0.3">
      <c r="G2051" s="459"/>
      <c r="H2051" s="459">
        <v>2044</v>
      </c>
      <c r="I2051" s="444">
        <f t="shared" ca="1" si="125"/>
        <v>-1659666068.5169413</v>
      </c>
      <c r="J2051" s="444">
        <f t="array" ref="J2051">IFERROR(INDEX('Retirement Calculator'!K:K,MATCH('Lorri 401b'!N2051,'Retirement Calculator'!A:A,0),0),0)</f>
        <v>0</v>
      </c>
      <c r="K2051" s="444">
        <f t="shared" ca="1" si="123"/>
        <v>-6915275.2854872551</v>
      </c>
      <c r="L2051" s="444">
        <f t="shared" ca="1" si="124"/>
        <v>-1666581343.8024285</v>
      </c>
      <c r="M2051" s="460">
        <f t="shared" si="126"/>
        <v>0.05</v>
      </c>
      <c r="N2051" s="464">
        <f t="shared" si="127"/>
        <v>113470</v>
      </c>
    </row>
    <row r="2052" spans="7:14" ht="11.25" customHeight="1" x14ac:dyDescent="0.3">
      <c r="G2052" s="459"/>
      <c r="H2052" s="459">
        <v>2045</v>
      </c>
      <c r="I2052" s="444">
        <f t="shared" ca="1" si="125"/>
        <v>-1666581343.8024285</v>
      </c>
      <c r="J2052" s="444">
        <f t="array" ref="J2052">IFERROR(INDEX('Retirement Calculator'!K:K,MATCH('Lorri 401b'!N2052,'Retirement Calculator'!A:A,0),0),0)</f>
        <v>0</v>
      </c>
      <c r="K2052" s="444">
        <f t="shared" ca="1" si="123"/>
        <v>-6944088.9325101189</v>
      </c>
      <c r="L2052" s="444">
        <f t="shared" ca="1" si="124"/>
        <v>-1673525432.7349386</v>
      </c>
      <c r="M2052" s="460">
        <f t="shared" si="126"/>
        <v>0.05</v>
      </c>
      <c r="N2052" s="464">
        <f t="shared" si="127"/>
        <v>113500</v>
      </c>
    </row>
    <row r="2053" spans="7:14" ht="11.25" customHeight="1" x14ac:dyDescent="0.3">
      <c r="G2053" s="459"/>
      <c r="H2053" s="459">
        <v>2046</v>
      </c>
      <c r="I2053" s="444">
        <f t="shared" ca="1" si="125"/>
        <v>-1673525432.7349386</v>
      </c>
      <c r="J2053" s="444">
        <f t="array" ref="J2053">IFERROR(INDEX('Retirement Calculator'!K:K,MATCH('Lorri 401b'!N2053,'Retirement Calculator'!A:A,0),0),0)</f>
        <v>0</v>
      </c>
      <c r="K2053" s="444">
        <f t="shared" ca="1" si="123"/>
        <v>-6973022.6363955773</v>
      </c>
      <c r="L2053" s="444">
        <f t="shared" ca="1" si="124"/>
        <v>-1680498455.3713343</v>
      </c>
      <c r="M2053" s="460">
        <f t="shared" si="126"/>
        <v>0.05</v>
      </c>
      <c r="N2053" s="464">
        <f t="shared" si="127"/>
        <v>113531</v>
      </c>
    </row>
    <row r="2054" spans="7:14" ht="11.25" customHeight="1" x14ac:dyDescent="0.3">
      <c r="G2054" s="459"/>
      <c r="H2054" s="459">
        <v>2047</v>
      </c>
      <c r="I2054" s="444">
        <f t="shared" ca="1" si="125"/>
        <v>-1680498455.3713343</v>
      </c>
      <c r="J2054" s="444">
        <f t="array" ref="J2054">IFERROR(INDEX('Retirement Calculator'!K:K,MATCH('Lorri 401b'!N2054,'Retirement Calculator'!A:A,0),0),0)</f>
        <v>0</v>
      </c>
      <c r="K2054" s="444">
        <f t="shared" ca="1" si="123"/>
        <v>-7002076.8973805597</v>
      </c>
      <c r="L2054" s="444">
        <f t="shared" ca="1" si="124"/>
        <v>-1687500532.2687149</v>
      </c>
      <c r="M2054" s="460">
        <f t="shared" si="126"/>
        <v>0.05</v>
      </c>
      <c r="N2054" s="464">
        <f t="shared" si="127"/>
        <v>113561</v>
      </c>
    </row>
    <row r="2055" spans="7:14" ht="11.25" customHeight="1" x14ac:dyDescent="0.3">
      <c r="G2055" s="459"/>
      <c r="H2055" s="459">
        <v>2048</v>
      </c>
      <c r="I2055" s="444">
        <f t="shared" ca="1" si="125"/>
        <v>-1687500532.2687149</v>
      </c>
      <c r="J2055" s="444">
        <f t="array" ref="J2055">IFERROR(INDEX('Retirement Calculator'!K:K,MATCH('Lorri 401b'!N2055,'Retirement Calculator'!A:A,0),0),0)</f>
        <v>0</v>
      </c>
      <c r="K2055" s="444">
        <f t="shared" ca="1" si="123"/>
        <v>-7031252.2177863121</v>
      </c>
      <c r="L2055" s="444">
        <f t="shared" ca="1" si="124"/>
        <v>-1694531784.4865012</v>
      </c>
      <c r="M2055" s="460">
        <f t="shared" si="126"/>
        <v>0.05</v>
      </c>
      <c r="N2055" s="464">
        <f t="shared" si="127"/>
        <v>113592</v>
      </c>
    </row>
    <row r="2056" spans="7:14" ht="11.25" customHeight="1" x14ac:dyDescent="0.3">
      <c r="G2056" s="459"/>
      <c r="H2056" s="459">
        <v>2049</v>
      </c>
      <c r="I2056" s="444">
        <f t="shared" ca="1" si="125"/>
        <v>-1694531784.4865012</v>
      </c>
      <c r="J2056" s="444">
        <f t="array" ref="J2056">IFERROR(INDEX('Retirement Calculator'!K:K,MATCH('Lorri 401b'!N2056,'Retirement Calculator'!A:A,0),0),0)</f>
        <v>0</v>
      </c>
      <c r="K2056" s="444">
        <f t="shared" ca="1" si="123"/>
        <v>-7060549.1020270884</v>
      </c>
      <c r="L2056" s="444">
        <f t="shared" ca="1" si="124"/>
        <v>-1701592333.5885284</v>
      </c>
      <c r="M2056" s="460">
        <f t="shared" si="126"/>
        <v>0.05</v>
      </c>
      <c r="N2056" s="464">
        <f t="shared" si="127"/>
        <v>113623</v>
      </c>
    </row>
    <row r="2057" spans="7:14" ht="11.25" customHeight="1" x14ac:dyDescent="0.3">
      <c r="G2057" s="459"/>
      <c r="H2057" s="459">
        <v>2050</v>
      </c>
      <c r="I2057" s="444">
        <f t="shared" ca="1" si="125"/>
        <v>-1701592333.5885284</v>
      </c>
      <c r="J2057" s="444">
        <f t="array" ref="J2057">IFERROR(INDEX('Retirement Calculator'!K:K,MATCH('Lorri 401b'!N2057,'Retirement Calculator'!A:A,0),0),0)</f>
        <v>0</v>
      </c>
      <c r="K2057" s="444">
        <f t="shared" ca="1" si="123"/>
        <v>-7089968.0566188684</v>
      </c>
      <c r="L2057" s="444">
        <f t="shared" ca="1" si="124"/>
        <v>-1708682301.6451473</v>
      </c>
      <c r="M2057" s="460">
        <f t="shared" si="126"/>
        <v>0.05</v>
      </c>
      <c r="N2057" s="464">
        <f t="shared" si="127"/>
        <v>113651</v>
      </c>
    </row>
    <row r="2058" spans="7:14" ht="11.25" customHeight="1" x14ac:dyDescent="0.3">
      <c r="G2058" s="459"/>
      <c r="H2058" s="459">
        <v>2051</v>
      </c>
      <c r="I2058" s="444">
        <f t="shared" ca="1" si="125"/>
        <v>-1708682301.6451473</v>
      </c>
      <c r="J2058" s="444">
        <f t="array" ref="J2058">IFERROR(INDEX('Retirement Calculator'!K:K,MATCH('Lorri 401b'!N2058,'Retirement Calculator'!A:A,0),0),0)</f>
        <v>0</v>
      </c>
      <c r="K2058" s="444">
        <f t="shared" ca="1" si="123"/>
        <v>-7119509.590188114</v>
      </c>
      <c r="L2058" s="444">
        <f t="shared" ca="1" si="124"/>
        <v>-1715801811.2353354</v>
      </c>
      <c r="M2058" s="460">
        <f t="shared" si="126"/>
        <v>0.05</v>
      </c>
      <c r="N2058" s="464">
        <f t="shared" si="127"/>
        <v>113682</v>
      </c>
    </row>
    <row r="2059" spans="7:14" ht="11.25" customHeight="1" x14ac:dyDescent="0.3">
      <c r="G2059" s="459"/>
      <c r="H2059" s="459">
        <v>2052</v>
      </c>
      <c r="I2059" s="444">
        <f t="shared" ca="1" si="125"/>
        <v>-1715801811.2353354</v>
      </c>
      <c r="J2059" s="444">
        <f t="array" ref="J2059">IFERROR(INDEX('Retirement Calculator'!K:K,MATCH('Lorri 401b'!N2059,'Retirement Calculator'!A:A,0),0),0)</f>
        <v>0</v>
      </c>
      <c r="K2059" s="444">
        <f t="shared" ca="1" si="123"/>
        <v>-7149174.2134805638</v>
      </c>
      <c r="L2059" s="444">
        <f t="shared" ca="1" si="124"/>
        <v>-1722950985.4488158</v>
      </c>
      <c r="M2059" s="460">
        <f t="shared" si="126"/>
        <v>0.05</v>
      </c>
      <c r="N2059" s="464">
        <f t="shared" si="127"/>
        <v>113712</v>
      </c>
    </row>
    <row r="2060" spans="7:14" ht="11.25" customHeight="1" x14ac:dyDescent="0.3">
      <c r="G2060" s="459"/>
      <c r="H2060" s="459">
        <v>2053</v>
      </c>
      <c r="I2060" s="444">
        <f t="shared" ca="1" si="125"/>
        <v>-1722950985.4488158</v>
      </c>
      <c r="J2060" s="444">
        <f t="array" ref="J2060">IFERROR(INDEX('Retirement Calculator'!K:K,MATCH('Lorri 401b'!N2060,'Retirement Calculator'!A:A,0),0),0)</f>
        <v>0</v>
      </c>
      <c r="K2060" s="444">
        <f t="shared" ca="1" si="123"/>
        <v>-7178962.4393700659</v>
      </c>
      <c r="L2060" s="444">
        <f t="shared" ca="1" si="124"/>
        <v>-1730129947.888186</v>
      </c>
      <c r="M2060" s="460">
        <f t="shared" si="126"/>
        <v>0.05</v>
      </c>
      <c r="N2060" s="464">
        <f t="shared" si="127"/>
        <v>113743</v>
      </c>
    </row>
    <row r="2061" spans="7:14" ht="11.25" customHeight="1" x14ac:dyDescent="0.3">
      <c r="G2061" s="459"/>
      <c r="H2061" s="459">
        <v>2054</v>
      </c>
      <c r="I2061" s="444">
        <f t="shared" ca="1" si="125"/>
        <v>-1730129947.888186</v>
      </c>
      <c r="J2061" s="444">
        <f t="array" ref="J2061">IFERROR(INDEX('Retirement Calculator'!K:K,MATCH('Lorri 401b'!N2061,'Retirement Calculator'!A:A,0),0),0)</f>
        <v>0</v>
      </c>
      <c r="K2061" s="444">
        <f t="shared" ca="1" si="123"/>
        <v>-7208874.78286744</v>
      </c>
      <c r="L2061" s="444">
        <f t="shared" ca="1" si="124"/>
        <v>-1737338822.6710534</v>
      </c>
      <c r="M2061" s="460">
        <f t="shared" si="126"/>
        <v>0.05</v>
      </c>
      <c r="N2061" s="464">
        <f t="shared" si="127"/>
        <v>113773</v>
      </c>
    </row>
    <row r="2062" spans="7:14" ht="11.25" customHeight="1" x14ac:dyDescent="0.3">
      <c r="G2062" s="459"/>
      <c r="H2062" s="459">
        <v>2055</v>
      </c>
      <c r="I2062" s="444">
        <f t="shared" ca="1" si="125"/>
        <v>-1737338822.6710534</v>
      </c>
      <c r="J2062" s="444">
        <f t="array" ref="J2062">IFERROR(INDEX('Retirement Calculator'!K:K,MATCH('Lorri 401b'!N2062,'Retirement Calculator'!A:A,0),0),0)</f>
        <v>0</v>
      </c>
      <c r="K2062" s="444">
        <f t="shared" ca="1" si="123"/>
        <v>-7238911.7611293895</v>
      </c>
      <c r="L2062" s="444">
        <f t="shared" ca="1" si="124"/>
        <v>-1744577734.4321828</v>
      </c>
      <c r="M2062" s="460">
        <f t="shared" si="126"/>
        <v>0.05</v>
      </c>
      <c r="N2062" s="464">
        <f t="shared" si="127"/>
        <v>113804</v>
      </c>
    </row>
    <row r="2063" spans="7:14" ht="11.25" customHeight="1" x14ac:dyDescent="0.3">
      <c r="G2063" s="459"/>
      <c r="H2063" s="459">
        <v>2056</v>
      </c>
      <c r="I2063" s="444">
        <f t="shared" ca="1" si="125"/>
        <v>-1744577734.4321828</v>
      </c>
      <c r="J2063" s="444">
        <f t="array" ref="J2063">IFERROR(INDEX('Retirement Calculator'!K:K,MATCH('Lorri 401b'!N2063,'Retirement Calculator'!A:A,0),0),0)</f>
        <v>0</v>
      </c>
      <c r="K2063" s="444">
        <f t="shared" ca="1" si="123"/>
        <v>-7269073.8934674282</v>
      </c>
      <c r="L2063" s="444">
        <f t="shared" ca="1" si="124"/>
        <v>-1751846808.3256502</v>
      </c>
      <c r="M2063" s="460">
        <f t="shared" si="126"/>
        <v>0.05</v>
      </c>
      <c r="N2063" s="464">
        <f t="shared" si="127"/>
        <v>113835</v>
      </c>
    </row>
    <row r="2064" spans="7:14" ht="11.25" customHeight="1" x14ac:dyDescent="0.3">
      <c r="G2064" s="459"/>
      <c r="H2064" s="459">
        <v>2057</v>
      </c>
      <c r="I2064" s="444">
        <f t="shared" ca="1" si="125"/>
        <v>-1751846808.3256502</v>
      </c>
      <c r="J2064" s="444">
        <f t="array" ref="J2064">IFERROR(INDEX('Retirement Calculator'!K:K,MATCH('Lorri 401b'!N2064,'Retirement Calculator'!A:A,0),0),0)</f>
        <v>0</v>
      </c>
      <c r="K2064" s="444">
        <f t="shared" ca="1" si="123"/>
        <v>-7299361.7013568757</v>
      </c>
      <c r="L2064" s="444">
        <f t="shared" ca="1" si="124"/>
        <v>-1759146170.0270071</v>
      </c>
      <c r="M2064" s="460">
        <f t="shared" si="126"/>
        <v>0.05</v>
      </c>
      <c r="N2064" s="464">
        <f t="shared" si="127"/>
        <v>113865</v>
      </c>
    </row>
    <row r="2065" spans="7:14" ht="11.25" customHeight="1" x14ac:dyDescent="0.3">
      <c r="G2065" s="459"/>
      <c r="H2065" s="459">
        <v>2058</v>
      </c>
      <c r="I2065" s="444">
        <f t="shared" ca="1" si="125"/>
        <v>-1759146170.0270071</v>
      </c>
      <c r="J2065" s="444">
        <f t="array" ref="J2065">IFERROR(INDEX('Retirement Calculator'!K:K,MATCH('Lorri 401b'!N2065,'Retirement Calculator'!A:A,0),0),0)</f>
        <v>0</v>
      </c>
      <c r="K2065" s="444">
        <f t="shared" ca="1" si="123"/>
        <v>-7329775.7084458629</v>
      </c>
      <c r="L2065" s="444">
        <f t="shared" ca="1" si="124"/>
        <v>-1766475945.7354529</v>
      </c>
      <c r="M2065" s="460">
        <f t="shared" si="126"/>
        <v>0.05</v>
      </c>
      <c r="N2065" s="464">
        <f t="shared" si="127"/>
        <v>113896</v>
      </c>
    </row>
    <row r="2066" spans="7:14" ht="11.25" customHeight="1" x14ac:dyDescent="0.3">
      <c r="G2066" s="459"/>
      <c r="H2066" s="459">
        <v>2059</v>
      </c>
      <c r="I2066" s="444">
        <f t="shared" ca="1" si="125"/>
        <v>-1766475945.7354529</v>
      </c>
      <c r="J2066" s="444">
        <f t="array" ref="J2066">IFERROR(INDEX('Retirement Calculator'!K:K,MATCH('Lorri 401b'!N2066,'Retirement Calculator'!A:A,0),0),0)</f>
        <v>0</v>
      </c>
      <c r="K2066" s="444">
        <f t="shared" ca="1" si="123"/>
        <v>-7360316.4405643865</v>
      </c>
      <c r="L2066" s="444">
        <f t="shared" ca="1" si="124"/>
        <v>-1773836262.1760173</v>
      </c>
      <c r="M2066" s="460">
        <f t="shared" si="126"/>
        <v>0.05</v>
      </c>
      <c r="N2066" s="464">
        <f t="shared" si="127"/>
        <v>113926</v>
      </c>
    </row>
    <row r="2067" spans="7:14" ht="11.25" customHeight="1" x14ac:dyDescent="0.3">
      <c r="G2067" s="459"/>
      <c r="H2067" s="459">
        <v>2060</v>
      </c>
      <c r="I2067" s="444">
        <f t="shared" ca="1" si="125"/>
        <v>-1773836262.1760173</v>
      </c>
      <c r="J2067" s="444">
        <f t="array" ref="J2067">IFERROR(INDEX('Retirement Calculator'!K:K,MATCH('Lorri 401b'!N2067,'Retirement Calculator'!A:A,0),0),0)</f>
        <v>0</v>
      </c>
      <c r="K2067" s="444">
        <f t="shared" ca="1" si="123"/>
        <v>-7390984.4257334052</v>
      </c>
      <c r="L2067" s="444">
        <f t="shared" ca="1" si="124"/>
        <v>-1781227246.6017506</v>
      </c>
      <c r="M2067" s="460">
        <f t="shared" si="126"/>
        <v>0.05</v>
      </c>
      <c r="N2067" s="464">
        <f t="shared" si="127"/>
        <v>113957</v>
      </c>
    </row>
    <row r="2068" spans="7:14" ht="11.25" customHeight="1" x14ac:dyDescent="0.3">
      <c r="G2068" s="459"/>
      <c r="H2068" s="459">
        <v>2061</v>
      </c>
      <c r="I2068" s="444">
        <f t="shared" ca="1" si="125"/>
        <v>-1781227246.6017506</v>
      </c>
      <c r="J2068" s="444">
        <f t="array" ref="J2068">IFERROR(INDEX('Retirement Calculator'!K:K,MATCH('Lorri 401b'!N2068,'Retirement Calculator'!A:A,0),0),0)</f>
        <v>0</v>
      </c>
      <c r="K2068" s="444">
        <f t="shared" ca="1" si="123"/>
        <v>-7421780.1941739619</v>
      </c>
      <c r="L2068" s="444">
        <f t="shared" ca="1" si="124"/>
        <v>-1788649026.7959247</v>
      </c>
      <c r="M2068" s="460">
        <f t="shared" si="126"/>
        <v>0.05</v>
      </c>
      <c r="N2068" s="464">
        <f t="shared" si="127"/>
        <v>113988</v>
      </c>
    </row>
    <row r="2069" spans="7:14" ht="11.25" customHeight="1" x14ac:dyDescent="0.3">
      <c r="G2069" s="459"/>
      <c r="H2069" s="459">
        <v>2062</v>
      </c>
      <c r="I2069" s="444">
        <f t="shared" ca="1" si="125"/>
        <v>-1788649026.7959247</v>
      </c>
      <c r="J2069" s="444">
        <f t="array" ref="J2069">IFERROR(INDEX('Retirement Calculator'!K:K,MATCH('Lorri 401b'!N2069,'Retirement Calculator'!A:A,0),0),0)</f>
        <v>0</v>
      </c>
      <c r="K2069" s="444">
        <f t="shared" ca="1" si="123"/>
        <v>-7452704.2783163525</v>
      </c>
      <c r="L2069" s="444">
        <f t="shared" ca="1" si="124"/>
        <v>-1796101731.0742409</v>
      </c>
      <c r="M2069" s="460">
        <f t="shared" si="126"/>
        <v>0.05</v>
      </c>
      <c r="N2069" s="464">
        <f t="shared" si="127"/>
        <v>114017</v>
      </c>
    </row>
    <row r="2070" spans="7:14" ht="11.25" customHeight="1" x14ac:dyDescent="0.3">
      <c r="G2070" s="459"/>
      <c r="H2070" s="459">
        <v>2063</v>
      </c>
      <c r="I2070" s="444">
        <f t="shared" ca="1" si="125"/>
        <v>-1796101731.0742409</v>
      </c>
      <c r="J2070" s="444">
        <f t="array" ref="J2070">IFERROR(INDEX('Retirement Calculator'!K:K,MATCH('Lorri 401b'!N2070,'Retirement Calculator'!A:A,0),0),0)</f>
        <v>0</v>
      </c>
      <c r="K2070" s="444">
        <f t="shared" ca="1" si="123"/>
        <v>-7483757.2128093364</v>
      </c>
      <c r="L2070" s="444">
        <f t="shared" ca="1" si="124"/>
        <v>-1803585488.2870502</v>
      </c>
      <c r="M2070" s="460">
        <f t="shared" si="126"/>
        <v>0.05</v>
      </c>
      <c r="N2070" s="464">
        <f t="shared" si="127"/>
        <v>114048</v>
      </c>
    </row>
    <row r="2071" spans="7:14" ht="11.25" customHeight="1" x14ac:dyDescent="0.3">
      <c r="G2071" s="459"/>
      <c r="H2071" s="459">
        <v>2064</v>
      </c>
      <c r="I2071" s="444">
        <f t="shared" ca="1" si="125"/>
        <v>-1803585488.2870502</v>
      </c>
      <c r="J2071" s="444">
        <f t="array" ref="J2071">IFERROR(INDEX('Retirement Calculator'!K:K,MATCH('Lorri 401b'!N2071,'Retirement Calculator'!A:A,0),0),0)</f>
        <v>0</v>
      </c>
      <c r="K2071" s="444">
        <f t="shared" ca="1" si="123"/>
        <v>-7514939.5345293758</v>
      </c>
      <c r="L2071" s="444">
        <f t="shared" ca="1" si="124"/>
        <v>-1811100427.8215797</v>
      </c>
      <c r="M2071" s="460">
        <f t="shared" si="126"/>
        <v>0.05</v>
      </c>
      <c r="N2071" s="464">
        <f t="shared" si="127"/>
        <v>114078</v>
      </c>
    </row>
    <row r="2072" spans="7:14" ht="11.25" customHeight="1" x14ac:dyDescent="0.3">
      <c r="G2072" s="459"/>
      <c r="H2072" s="459">
        <v>2065</v>
      </c>
      <c r="I2072" s="444">
        <f t="shared" ca="1" si="125"/>
        <v>-1811100427.8215797</v>
      </c>
      <c r="J2072" s="444">
        <f t="array" ref="J2072">IFERROR(INDEX('Retirement Calculator'!K:K,MATCH('Lorri 401b'!N2072,'Retirement Calculator'!A:A,0),0),0)</f>
        <v>0</v>
      </c>
      <c r="K2072" s="444">
        <f t="shared" ca="1" si="123"/>
        <v>-7546251.7825899152</v>
      </c>
      <c r="L2072" s="444">
        <f t="shared" ca="1" si="124"/>
        <v>-1818646679.6041696</v>
      </c>
      <c r="M2072" s="460">
        <f t="shared" si="126"/>
        <v>0.05</v>
      </c>
      <c r="N2072" s="464">
        <f t="shared" si="127"/>
        <v>114109</v>
      </c>
    </row>
    <row r="2073" spans="7:14" ht="11.25" customHeight="1" x14ac:dyDescent="0.3">
      <c r="G2073" s="459"/>
      <c r="H2073" s="459">
        <v>2066</v>
      </c>
      <c r="I2073" s="444">
        <f t="shared" ca="1" si="125"/>
        <v>-1818646679.6041696</v>
      </c>
      <c r="J2073" s="444">
        <f t="array" ref="J2073">IFERROR(INDEX('Retirement Calculator'!K:K,MATCH('Lorri 401b'!N2073,'Retirement Calculator'!A:A,0),0),0)</f>
        <v>0</v>
      </c>
      <c r="K2073" s="444">
        <f t="shared" ca="1" si="123"/>
        <v>-7577694.4983507069</v>
      </c>
      <c r="L2073" s="444">
        <f t="shared" ca="1" si="124"/>
        <v>-1826224374.1025202</v>
      </c>
      <c r="M2073" s="460">
        <f t="shared" si="126"/>
        <v>0.05</v>
      </c>
      <c r="N2073" s="464">
        <f t="shared" si="127"/>
        <v>114139</v>
      </c>
    </row>
    <row r="2074" spans="7:14" ht="11.25" customHeight="1" x14ac:dyDescent="0.3">
      <c r="G2074" s="459"/>
      <c r="H2074" s="459">
        <v>2067</v>
      </c>
      <c r="I2074" s="444">
        <f t="shared" ca="1" si="125"/>
        <v>-1826224374.1025202</v>
      </c>
      <c r="J2074" s="444">
        <f t="array" ref="J2074">IFERROR(INDEX('Retirement Calculator'!K:K,MATCH('Lorri 401b'!N2074,'Retirement Calculator'!A:A,0),0),0)</f>
        <v>0</v>
      </c>
      <c r="K2074" s="444">
        <f t="shared" ca="1" si="123"/>
        <v>-7609268.2254271675</v>
      </c>
      <c r="L2074" s="444">
        <f t="shared" ca="1" si="124"/>
        <v>-1833833642.3279474</v>
      </c>
      <c r="M2074" s="460">
        <f t="shared" si="126"/>
        <v>0.05</v>
      </c>
      <c r="N2074" s="464">
        <f t="shared" si="127"/>
        <v>114170</v>
      </c>
    </row>
    <row r="2075" spans="7:14" ht="11.25" customHeight="1" x14ac:dyDescent="0.3">
      <c r="G2075" s="459"/>
      <c r="H2075" s="459">
        <v>2068</v>
      </c>
      <c r="I2075" s="444">
        <f t="shared" ca="1" si="125"/>
        <v>-1833833642.3279474</v>
      </c>
      <c r="J2075" s="444">
        <f t="array" ref="J2075">IFERROR(INDEX('Retirement Calculator'!K:K,MATCH('Lorri 401b'!N2075,'Retirement Calculator'!A:A,0),0),0)</f>
        <v>0</v>
      </c>
      <c r="K2075" s="444">
        <f t="shared" ca="1" si="123"/>
        <v>-7640973.5096997805</v>
      </c>
      <c r="L2075" s="444">
        <f t="shared" ca="1" si="124"/>
        <v>-1841474615.8376472</v>
      </c>
      <c r="M2075" s="460">
        <f t="shared" si="126"/>
        <v>0.05</v>
      </c>
      <c r="N2075" s="464">
        <f t="shared" si="127"/>
        <v>114201</v>
      </c>
    </row>
    <row r="2076" spans="7:14" ht="11.25" customHeight="1" x14ac:dyDescent="0.3">
      <c r="G2076" s="459"/>
      <c r="H2076" s="459">
        <v>2069</v>
      </c>
      <c r="I2076" s="444">
        <f t="shared" ca="1" si="125"/>
        <v>-1841474615.8376472</v>
      </c>
      <c r="J2076" s="444">
        <f t="array" ref="J2076">IFERROR(INDEX('Retirement Calculator'!K:K,MATCH('Lorri 401b'!N2076,'Retirement Calculator'!A:A,0),0),0)</f>
        <v>0</v>
      </c>
      <c r="K2076" s="444">
        <f t="shared" ca="1" si="123"/>
        <v>-7672810.8993235296</v>
      </c>
      <c r="L2076" s="444">
        <f t="shared" ca="1" si="124"/>
        <v>-1849147426.7369707</v>
      </c>
      <c r="M2076" s="460">
        <f t="shared" si="126"/>
        <v>0.05</v>
      </c>
      <c r="N2076" s="464">
        <f t="shared" si="127"/>
        <v>114231</v>
      </c>
    </row>
    <row r="2077" spans="7:14" ht="11.25" customHeight="1" x14ac:dyDescent="0.3">
      <c r="G2077" s="459"/>
      <c r="H2077" s="459">
        <v>2070</v>
      </c>
      <c r="I2077" s="444">
        <f t="shared" ca="1" si="125"/>
        <v>-1849147426.7369707</v>
      </c>
      <c r="J2077" s="444">
        <f t="array" ref="J2077">IFERROR(INDEX('Retirement Calculator'!K:K,MATCH('Lorri 401b'!N2077,'Retirement Calculator'!A:A,0),0),0)</f>
        <v>0</v>
      </c>
      <c r="K2077" s="444">
        <f t="shared" ca="1" si="123"/>
        <v>-7704780.9447373776</v>
      </c>
      <c r="L2077" s="444">
        <f t="shared" ca="1" si="124"/>
        <v>-1856852207.6817081</v>
      </c>
      <c r="M2077" s="460">
        <f t="shared" si="126"/>
        <v>0.05</v>
      </c>
      <c r="N2077" s="464">
        <f t="shared" si="127"/>
        <v>114262</v>
      </c>
    </row>
    <row r="2078" spans="7:14" ht="11.25" customHeight="1" x14ac:dyDescent="0.3">
      <c r="G2078" s="459"/>
      <c r="H2078" s="459">
        <v>2071</v>
      </c>
      <c r="I2078" s="444">
        <f t="shared" ca="1" si="125"/>
        <v>-1856852207.6817081</v>
      </c>
      <c r="J2078" s="444">
        <f t="array" ref="J2078">IFERROR(INDEX('Retirement Calculator'!K:K,MATCH('Lorri 401b'!N2078,'Retirement Calculator'!A:A,0),0),0)</f>
        <v>0</v>
      </c>
      <c r="K2078" s="444">
        <f t="shared" ca="1" si="123"/>
        <v>-7736884.1986737838</v>
      </c>
      <c r="L2078" s="444">
        <f t="shared" ca="1" si="124"/>
        <v>-1864589091.8803818</v>
      </c>
      <c r="M2078" s="460">
        <f t="shared" si="126"/>
        <v>0.05</v>
      </c>
      <c r="N2078" s="464">
        <f t="shared" si="127"/>
        <v>114292</v>
      </c>
    </row>
    <row r="2079" spans="7:14" ht="11.25" customHeight="1" x14ac:dyDescent="0.3">
      <c r="G2079" s="459"/>
      <c r="H2079" s="459">
        <v>2072</v>
      </c>
      <c r="I2079" s="444">
        <f t="shared" ca="1" si="125"/>
        <v>-1864589091.8803818</v>
      </c>
      <c r="J2079" s="444">
        <f t="array" ref="J2079">IFERROR(INDEX('Retirement Calculator'!K:K,MATCH('Lorri 401b'!N2079,'Retirement Calculator'!A:A,0),0),0)</f>
        <v>0</v>
      </c>
      <c r="K2079" s="444">
        <f t="shared" ca="1" si="123"/>
        <v>-7769121.2161682574</v>
      </c>
      <c r="L2079" s="444">
        <f t="shared" ca="1" si="124"/>
        <v>-1872358213.09655</v>
      </c>
      <c r="M2079" s="460">
        <f t="shared" si="126"/>
        <v>0.05</v>
      </c>
      <c r="N2079" s="464">
        <f t="shared" si="127"/>
        <v>114323</v>
      </c>
    </row>
    <row r="2080" spans="7:14" ht="11.25" customHeight="1" x14ac:dyDescent="0.3">
      <c r="G2080" s="459"/>
      <c r="H2080" s="459">
        <v>2073</v>
      </c>
      <c r="I2080" s="444">
        <f t="shared" ca="1" si="125"/>
        <v>-1872358213.09655</v>
      </c>
      <c r="J2080" s="444">
        <f t="array" ref="J2080">IFERROR(INDEX('Retirement Calculator'!K:K,MATCH('Lorri 401b'!N2080,'Retirement Calculator'!A:A,0),0),0)</f>
        <v>0</v>
      </c>
      <c r="K2080" s="444">
        <f t="shared" ca="1" si="123"/>
        <v>-7801492.5545689585</v>
      </c>
      <c r="L2080" s="444">
        <f t="shared" ca="1" si="124"/>
        <v>-1880159705.651119</v>
      </c>
      <c r="M2080" s="460">
        <f t="shared" si="126"/>
        <v>0.05</v>
      </c>
      <c r="N2080" s="464">
        <f t="shared" si="127"/>
        <v>114354</v>
      </c>
    </row>
    <row r="2081" spans="7:14" ht="11.25" customHeight="1" x14ac:dyDescent="0.3">
      <c r="G2081" s="459"/>
      <c r="H2081" s="459">
        <v>2074</v>
      </c>
      <c r="I2081" s="444">
        <f t="shared" ca="1" si="125"/>
        <v>-1880159705.651119</v>
      </c>
      <c r="J2081" s="444">
        <f t="array" ref="J2081">IFERROR(INDEX('Retirement Calculator'!K:K,MATCH('Lorri 401b'!N2081,'Retirement Calculator'!A:A,0),0),0)</f>
        <v>0</v>
      </c>
      <c r="K2081" s="444">
        <f t="shared" ca="1" si="123"/>
        <v>-7833998.7735463288</v>
      </c>
      <c r="L2081" s="444">
        <f t="shared" ca="1" si="124"/>
        <v>-1887993704.4246652</v>
      </c>
      <c r="M2081" s="460">
        <f t="shared" si="126"/>
        <v>0.05</v>
      </c>
      <c r="N2081" s="464">
        <f t="shared" si="127"/>
        <v>114382</v>
      </c>
    </row>
    <row r="2082" spans="7:14" ht="11.25" customHeight="1" x14ac:dyDescent="0.3">
      <c r="G2082" s="459"/>
      <c r="H2082" s="459">
        <v>2075</v>
      </c>
      <c r="I2082" s="444">
        <f t="shared" ca="1" si="125"/>
        <v>-1887993704.4246652</v>
      </c>
      <c r="J2082" s="444">
        <f t="array" ref="J2082">IFERROR(INDEX('Retirement Calculator'!K:K,MATCH('Lorri 401b'!N2082,'Retirement Calculator'!A:A,0),0),0)</f>
        <v>0</v>
      </c>
      <c r="K2082" s="444">
        <f t="shared" ca="1" si="123"/>
        <v>-7866640.4351027729</v>
      </c>
      <c r="L2082" s="444">
        <f t="shared" ca="1" si="124"/>
        <v>-1895860344.8597679</v>
      </c>
      <c r="M2082" s="460">
        <f t="shared" si="126"/>
        <v>0.05</v>
      </c>
      <c r="N2082" s="464">
        <f t="shared" si="127"/>
        <v>114413</v>
      </c>
    </row>
    <row r="2083" spans="7:14" ht="11.25" customHeight="1" x14ac:dyDescent="0.3">
      <c r="G2083" s="459"/>
      <c r="H2083" s="459">
        <v>2076</v>
      </c>
      <c r="I2083" s="444">
        <f t="shared" ca="1" si="125"/>
        <v>-1895860344.8597679</v>
      </c>
      <c r="J2083" s="444">
        <f t="array" ref="J2083">IFERROR(INDEX('Retirement Calculator'!K:K,MATCH('Lorri 401b'!N2083,'Retirement Calculator'!A:A,0),0),0)</f>
        <v>0</v>
      </c>
      <c r="K2083" s="444">
        <f t="shared" ca="1" si="123"/>
        <v>-7899418.1035823673</v>
      </c>
      <c r="L2083" s="444">
        <f t="shared" ca="1" si="124"/>
        <v>-1903759762.9633503</v>
      </c>
      <c r="M2083" s="460">
        <f t="shared" si="126"/>
        <v>0.05</v>
      </c>
      <c r="N2083" s="464">
        <f t="shared" si="127"/>
        <v>114443</v>
      </c>
    </row>
    <row r="2084" spans="7:14" ht="11.25" customHeight="1" x14ac:dyDescent="0.3">
      <c r="G2084" s="459"/>
      <c r="H2084" s="459">
        <v>2077</v>
      </c>
      <c r="I2084" s="444">
        <f t="shared" ca="1" si="125"/>
        <v>-1903759762.9633503</v>
      </c>
      <c r="J2084" s="444">
        <f t="array" ref="J2084">IFERROR(INDEX('Retirement Calculator'!K:K,MATCH('Lorri 401b'!N2084,'Retirement Calculator'!A:A,0),0),0)</f>
        <v>0</v>
      </c>
      <c r="K2084" s="444">
        <f t="shared" ca="1" si="123"/>
        <v>-7932332.3456806252</v>
      </c>
      <c r="L2084" s="444">
        <f t="shared" ca="1" si="124"/>
        <v>-1911692095.309031</v>
      </c>
      <c r="M2084" s="460">
        <f t="shared" si="126"/>
        <v>0.05</v>
      </c>
      <c r="N2084" s="464">
        <f t="shared" si="127"/>
        <v>114474</v>
      </c>
    </row>
    <row r="2085" spans="7:14" ht="11.25" customHeight="1" x14ac:dyDescent="0.3">
      <c r="G2085" s="459"/>
      <c r="H2085" s="459">
        <v>2078</v>
      </c>
      <c r="I2085" s="444">
        <f t="shared" ca="1" si="125"/>
        <v>-1911692095.309031</v>
      </c>
      <c r="J2085" s="444">
        <f t="array" ref="J2085">IFERROR(INDEX('Retirement Calculator'!K:K,MATCH('Lorri 401b'!N2085,'Retirement Calculator'!A:A,0),0),0)</f>
        <v>0</v>
      </c>
      <c r="K2085" s="444">
        <f t="shared" ca="1" si="123"/>
        <v>-7965383.7304542968</v>
      </c>
      <c r="L2085" s="444">
        <f t="shared" ca="1" si="124"/>
        <v>-1919657479.0394852</v>
      </c>
      <c r="M2085" s="460">
        <f t="shared" si="126"/>
        <v>0.05</v>
      </c>
      <c r="N2085" s="464">
        <f t="shared" si="127"/>
        <v>114504</v>
      </c>
    </row>
    <row r="2086" spans="7:14" ht="11.25" customHeight="1" x14ac:dyDescent="0.3">
      <c r="G2086" s="459"/>
      <c r="H2086" s="459">
        <v>2079</v>
      </c>
      <c r="I2086" s="444">
        <f t="shared" ca="1" si="125"/>
        <v>-1919657479.0394852</v>
      </c>
      <c r="J2086" s="444">
        <f t="array" ref="J2086">IFERROR(INDEX('Retirement Calculator'!K:K,MATCH('Lorri 401b'!N2086,'Retirement Calculator'!A:A,0),0),0)</f>
        <v>0</v>
      </c>
      <c r="K2086" s="444">
        <f t="shared" ca="1" si="123"/>
        <v>-7998572.8293311894</v>
      </c>
      <c r="L2086" s="444">
        <f t="shared" ca="1" si="124"/>
        <v>-1927656051.8688164</v>
      </c>
      <c r="M2086" s="460">
        <f t="shared" si="126"/>
        <v>0.05</v>
      </c>
      <c r="N2086" s="464">
        <f t="shared" si="127"/>
        <v>114535</v>
      </c>
    </row>
    <row r="2087" spans="7:14" ht="11.25" customHeight="1" x14ac:dyDescent="0.3">
      <c r="G2087" s="459"/>
      <c r="H2087" s="459">
        <v>2080</v>
      </c>
      <c r="I2087" s="444">
        <f t="shared" ca="1" si="125"/>
        <v>-1927656051.8688164</v>
      </c>
      <c r="J2087" s="444">
        <f t="array" ref="J2087">IFERROR(INDEX('Retirement Calculator'!K:K,MATCH('Lorri 401b'!N2087,'Retirement Calculator'!A:A,0),0),0)</f>
        <v>0</v>
      </c>
      <c r="K2087" s="444">
        <f t="shared" ca="1" si="123"/>
        <v>-8031900.216120068</v>
      </c>
      <c r="L2087" s="444">
        <f t="shared" ca="1" si="124"/>
        <v>-1935687952.0849364</v>
      </c>
      <c r="M2087" s="460">
        <f t="shared" si="126"/>
        <v>0.05</v>
      </c>
      <c r="N2087" s="464">
        <f t="shared" si="127"/>
        <v>114566</v>
      </c>
    </row>
    <row r="2088" spans="7:14" ht="11.25" customHeight="1" x14ac:dyDescent="0.3">
      <c r="G2088" s="459"/>
      <c r="H2088" s="459">
        <v>2081</v>
      </c>
      <c r="I2088" s="444">
        <f t="shared" ca="1" si="125"/>
        <v>-1935687952.0849364</v>
      </c>
      <c r="J2088" s="444">
        <f t="array" ref="J2088">IFERROR(INDEX('Retirement Calculator'!K:K,MATCH('Lorri 401b'!N2088,'Retirement Calculator'!A:A,0),0),0)</f>
        <v>0</v>
      </c>
      <c r="K2088" s="444">
        <f t="shared" ca="1" si="123"/>
        <v>-8065366.4670205694</v>
      </c>
      <c r="L2088" s="444">
        <f t="shared" ca="1" si="124"/>
        <v>-1943753318.5519569</v>
      </c>
      <c r="M2088" s="460">
        <f t="shared" si="126"/>
        <v>0.05</v>
      </c>
      <c r="N2088" s="464">
        <f t="shared" si="127"/>
        <v>114596</v>
      </c>
    </row>
    <row r="2089" spans="7:14" ht="11.25" customHeight="1" x14ac:dyDescent="0.3">
      <c r="G2089" s="459"/>
      <c r="H2089" s="459">
        <v>2082</v>
      </c>
      <c r="I2089" s="444">
        <f t="shared" ca="1" si="125"/>
        <v>-1943753318.5519569</v>
      </c>
      <c r="J2089" s="444">
        <f t="array" ref="J2089">IFERROR(INDEX('Retirement Calculator'!K:K,MATCH('Lorri 401b'!N2089,'Retirement Calculator'!A:A,0),0),0)</f>
        <v>0</v>
      </c>
      <c r="K2089" s="444">
        <f t="shared" ca="1" si="123"/>
        <v>-8098972.1606331533</v>
      </c>
      <c r="L2089" s="444">
        <f t="shared" ca="1" si="124"/>
        <v>-1951852290.71259</v>
      </c>
      <c r="M2089" s="460">
        <f t="shared" si="126"/>
        <v>0.05</v>
      </c>
      <c r="N2089" s="464">
        <f t="shared" si="127"/>
        <v>114627</v>
      </c>
    </row>
    <row r="2090" spans="7:14" ht="11.25" customHeight="1" x14ac:dyDescent="0.3">
      <c r="G2090" s="459"/>
      <c r="H2090" s="459">
        <v>2083</v>
      </c>
      <c r="I2090" s="444">
        <f t="shared" ca="1" si="125"/>
        <v>-1951852290.71259</v>
      </c>
      <c r="J2090" s="444">
        <f t="array" ref="J2090">IFERROR(INDEX('Retirement Calculator'!K:K,MATCH('Lorri 401b'!N2090,'Retirement Calculator'!A:A,0),0),0)</f>
        <v>0</v>
      </c>
      <c r="K2090" s="444">
        <f t="shared" ca="1" si="123"/>
        <v>-8132717.8779691244</v>
      </c>
      <c r="L2090" s="444">
        <f t="shared" ca="1" si="124"/>
        <v>-1959985008.590559</v>
      </c>
      <c r="M2090" s="460">
        <f t="shared" si="126"/>
        <v>0.05</v>
      </c>
      <c r="N2090" s="464">
        <f t="shared" si="127"/>
        <v>114657</v>
      </c>
    </row>
    <row r="2091" spans="7:14" ht="11.25" customHeight="1" x14ac:dyDescent="0.3">
      <c r="G2091" s="459"/>
      <c r="H2091" s="459">
        <v>2084</v>
      </c>
      <c r="I2091" s="444">
        <f t="shared" ca="1" si="125"/>
        <v>-1959985008.590559</v>
      </c>
      <c r="J2091" s="444">
        <f t="array" ref="J2091">IFERROR(INDEX('Retirement Calculator'!K:K,MATCH('Lorri 401b'!N2091,'Retirement Calculator'!A:A,0),0),0)</f>
        <v>0</v>
      </c>
      <c r="K2091" s="444">
        <f t="shared" ca="1" si="123"/>
        <v>-8166604.2024606625</v>
      </c>
      <c r="L2091" s="444">
        <f t="shared" ca="1" si="124"/>
        <v>-1968151612.7930198</v>
      </c>
      <c r="M2091" s="460">
        <f t="shared" si="126"/>
        <v>0.05</v>
      </c>
      <c r="N2091" s="464">
        <f t="shared" si="127"/>
        <v>114688</v>
      </c>
    </row>
    <row r="2092" spans="7:14" ht="11.25" customHeight="1" x14ac:dyDescent="0.3">
      <c r="G2092" s="459"/>
      <c r="H2092" s="459">
        <v>2085</v>
      </c>
      <c r="I2092" s="444">
        <f t="shared" ca="1" si="125"/>
        <v>-1968151612.7930198</v>
      </c>
      <c r="J2092" s="444">
        <f t="array" ref="J2092">IFERROR(INDEX('Retirement Calculator'!K:K,MATCH('Lorri 401b'!N2092,'Retirement Calculator'!A:A,0),0),0)</f>
        <v>0</v>
      </c>
      <c r="K2092" s="444">
        <f t="shared" ca="1" si="123"/>
        <v>-8200631.7199709155</v>
      </c>
      <c r="L2092" s="444">
        <f t="shared" ca="1" si="124"/>
        <v>-1976352244.5129907</v>
      </c>
      <c r="M2092" s="460">
        <f t="shared" si="126"/>
        <v>0.05</v>
      </c>
      <c r="N2092" s="464">
        <f t="shared" si="127"/>
        <v>114719</v>
      </c>
    </row>
    <row r="2093" spans="7:14" ht="11.25" customHeight="1" x14ac:dyDescent="0.3">
      <c r="G2093" s="459"/>
      <c r="H2093" s="459">
        <v>2086</v>
      </c>
      <c r="I2093" s="444">
        <f t="shared" ca="1" si="125"/>
        <v>-1976352244.5129907</v>
      </c>
      <c r="J2093" s="444">
        <f t="array" ref="J2093">IFERROR(INDEX('Retirement Calculator'!K:K,MATCH('Lorri 401b'!N2093,'Retirement Calculator'!A:A,0),0),0)</f>
        <v>0</v>
      </c>
      <c r="K2093" s="444">
        <f t="shared" ca="1" si="123"/>
        <v>-8234801.0188041283</v>
      </c>
      <c r="L2093" s="444">
        <f t="shared" ca="1" si="124"/>
        <v>-1984587045.5317948</v>
      </c>
      <c r="M2093" s="460">
        <f t="shared" si="126"/>
        <v>0.05</v>
      </c>
      <c r="N2093" s="464">
        <f t="shared" si="127"/>
        <v>114747</v>
      </c>
    </row>
    <row r="2094" spans="7:14" ht="11.25" customHeight="1" x14ac:dyDescent="0.3">
      <c r="G2094" s="459"/>
      <c r="H2094" s="459">
        <v>2087</v>
      </c>
      <c r="I2094" s="444">
        <f t="shared" ca="1" si="125"/>
        <v>-1984587045.5317948</v>
      </c>
      <c r="J2094" s="444">
        <f t="array" ref="J2094">IFERROR(INDEX('Retirement Calculator'!K:K,MATCH('Lorri 401b'!N2094,'Retirement Calculator'!A:A,0),0),0)</f>
        <v>0</v>
      </c>
      <c r="K2094" s="444">
        <f t="shared" ca="1" si="123"/>
        <v>-8269112.6897158111</v>
      </c>
      <c r="L2094" s="444">
        <f t="shared" ca="1" si="124"/>
        <v>-1992856158.2215106</v>
      </c>
      <c r="M2094" s="460">
        <f t="shared" si="126"/>
        <v>0.05</v>
      </c>
      <c r="N2094" s="464">
        <f t="shared" si="127"/>
        <v>114778</v>
      </c>
    </row>
    <row r="2095" spans="7:14" ht="11.25" customHeight="1" x14ac:dyDescent="0.3">
      <c r="G2095" s="459"/>
      <c r="H2095" s="459">
        <v>2088</v>
      </c>
      <c r="I2095" s="444">
        <f t="shared" ca="1" si="125"/>
        <v>-1992856158.2215106</v>
      </c>
      <c r="J2095" s="444">
        <f t="array" ref="J2095">IFERROR(INDEX('Retirement Calculator'!K:K,MATCH('Lorri 401b'!N2095,'Retirement Calculator'!A:A,0),0),0)</f>
        <v>0</v>
      </c>
      <c r="K2095" s="444">
        <f t="shared" ca="1" si="123"/>
        <v>-8303567.3259229613</v>
      </c>
      <c r="L2095" s="444">
        <f t="shared" ca="1" si="124"/>
        <v>-2001159725.5474336</v>
      </c>
      <c r="M2095" s="460">
        <f t="shared" si="126"/>
        <v>0.05</v>
      </c>
      <c r="N2095" s="464">
        <f t="shared" si="127"/>
        <v>114808</v>
      </c>
    </row>
    <row r="2096" spans="7:14" ht="11.25" customHeight="1" x14ac:dyDescent="0.3">
      <c r="G2096" s="459"/>
      <c r="H2096" s="459">
        <v>2089</v>
      </c>
      <c r="I2096" s="444">
        <f t="shared" ca="1" si="125"/>
        <v>-2001159725.5474336</v>
      </c>
      <c r="J2096" s="444">
        <f t="array" ref="J2096">IFERROR(INDEX('Retirement Calculator'!K:K,MATCH('Lorri 401b'!N2096,'Retirement Calculator'!A:A,0),0),0)</f>
        <v>0</v>
      </c>
      <c r="K2096" s="444">
        <f t="shared" ca="1" si="123"/>
        <v>-8338165.5231143069</v>
      </c>
      <c r="L2096" s="444">
        <f t="shared" ca="1" si="124"/>
        <v>-2009497891.0705478</v>
      </c>
      <c r="M2096" s="460">
        <f t="shared" si="126"/>
        <v>0.05</v>
      </c>
      <c r="N2096" s="464">
        <f t="shared" si="127"/>
        <v>114839</v>
      </c>
    </row>
    <row r="2097" spans="7:14" ht="11.25" customHeight="1" x14ac:dyDescent="0.3">
      <c r="G2097" s="459"/>
      <c r="H2097" s="459">
        <v>2090</v>
      </c>
      <c r="I2097" s="444">
        <f t="shared" ca="1" si="125"/>
        <v>-2009497891.0705478</v>
      </c>
      <c r="J2097" s="444">
        <f t="array" ref="J2097">IFERROR(INDEX('Retirement Calculator'!K:K,MATCH('Lorri 401b'!N2097,'Retirement Calculator'!A:A,0),0),0)</f>
        <v>0</v>
      </c>
      <c r="K2097" s="444">
        <f t="shared" ca="1" si="123"/>
        <v>-8372907.8794606151</v>
      </c>
      <c r="L2097" s="444">
        <f t="shared" ca="1" si="124"/>
        <v>-2017870798.9500084</v>
      </c>
      <c r="M2097" s="460">
        <f t="shared" si="126"/>
        <v>0.05</v>
      </c>
      <c r="N2097" s="464">
        <f t="shared" si="127"/>
        <v>114869</v>
      </c>
    </row>
    <row r="2098" spans="7:14" ht="11.25" customHeight="1" x14ac:dyDescent="0.3">
      <c r="G2098" s="459"/>
      <c r="H2098" s="459">
        <v>2091</v>
      </c>
      <c r="I2098" s="444">
        <f t="shared" ca="1" si="125"/>
        <v>-2017870798.9500084</v>
      </c>
      <c r="J2098" s="444">
        <f t="array" ref="J2098">IFERROR(INDEX('Retirement Calculator'!K:K,MATCH('Lorri 401b'!N2098,'Retirement Calculator'!A:A,0),0),0)</f>
        <v>0</v>
      </c>
      <c r="K2098" s="444">
        <f t="shared" ca="1" si="123"/>
        <v>-8407794.995625034</v>
      </c>
      <c r="L2098" s="444">
        <f t="shared" ca="1" si="124"/>
        <v>-2026278593.9456334</v>
      </c>
      <c r="M2098" s="460">
        <f t="shared" si="126"/>
        <v>0.05</v>
      </c>
      <c r="N2098" s="464">
        <f t="shared" si="127"/>
        <v>114900</v>
      </c>
    </row>
    <row r="2099" spans="7:14" ht="11.25" customHeight="1" x14ac:dyDescent="0.3">
      <c r="G2099" s="459"/>
      <c r="H2099" s="459">
        <v>2092</v>
      </c>
      <c r="I2099" s="444">
        <f t="shared" ca="1" si="125"/>
        <v>-2026278593.9456334</v>
      </c>
      <c r="J2099" s="444">
        <f t="array" ref="J2099">IFERROR(INDEX('Retirement Calculator'!K:K,MATCH('Lorri 401b'!N2099,'Retirement Calculator'!A:A,0),0),0)</f>
        <v>0</v>
      </c>
      <c r="K2099" s="444">
        <f t="shared" ca="1" si="123"/>
        <v>-8442827.4747734722</v>
      </c>
      <c r="L2099" s="444">
        <f t="shared" ca="1" si="124"/>
        <v>-2034721421.4204068</v>
      </c>
      <c r="M2099" s="460">
        <f t="shared" si="126"/>
        <v>0.05</v>
      </c>
      <c r="N2099" s="464">
        <f t="shared" si="127"/>
        <v>114931</v>
      </c>
    </row>
    <row r="2100" spans="7:14" ht="11.25" customHeight="1" x14ac:dyDescent="0.3">
      <c r="G2100" s="459"/>
      <c r="H2100" s="459">
        <v>2093</v>
      </c>
      <c r="I2100" s="444">
        <f t="shared" ca="1" si="125"/>
        <v>-2034721421.4204068</v>
      </c>
      <c r="J2100" s="444">
        <f t="array" ref="J2100">IFERROR(INDEX('Retirement Calculator'!K:K,MATCH('Lorri 401b'!N2100,'Retirement Calculator'!A:A,0),0),0)</f>
        <v>0</v>
      </c>
      <c r="K2100" s="444">
        <f t="shared" ca="1" si="123"/>
        <v>-8478005.9225850273</v>
      </c>
      <c r="L2100" s="444">
        <f t="shared" ca="1" si="124"/>
        <v>-2043199427.3429918</v>
      </c>
      <c r="M2100" s="460">
        <f t="shared" si="126"/>
        <v>0.05</v>
      </c>
      <c r="N2100" s="464">
        <f t="shared" si="127"/>
        <v>114961</v>
      </c>
    </row>
    <row r="2101" spans="7:14" ht="11.25" customHeight="1" x14ac:dyDescent="0.3">
      <c r="G2101" s="459"/>
      <c r="H2101" s="459">
        <v>2094</v>
      </c>
      <c r="I2101" s="444">
        <f t="shared" ca="1" si="125"/>
        <v>-2043199427.3429918</v>
      </c>
      <c r="J2101" s="444">
        <f t="array" ref="J2101">IFERROR(INDEX('Retirement Calculator'!K:K,MATCH('Lorri 401b'!N2101,'Retirement Calculator'!A:A,0),0),0)</f>
        <v>0</v>
      </c>
      <c r="K2101" s="444">
        <f t="shared" ca="1" si="123"/>
        <v>-8513330.947262466</v>
      </c>
      <c r="L2101" s="444">
        <f t="shared" ca="1" si="124"/>
        <v>-2051712758.2902544</v>
      </c>
      <c r="M2101" s="460">
        <f t="shared" si="126"/>
        <v>0.05</v>
      </c>
      <c r="N2101" s="464">
        <f t="shared" si="127"/>
        <v>114992</v>
      </c>
    </row>
    <row r="2102" spans="7:14" ht="11.25" customHeight="1" x14ac:dyDescent="0.3">
      <c r="G2102" s="459"/>
      <c r="H2102" s="459">
        <v>2095</v>
      </c>
      <c r="I2102" s="444">
        <f t="shared" ca="1" si="125"/>
        <v>-2051712758.2902544</v>
      </c>
      <c r="J2102" s="444">
        <f t="array" ref="J2102">IFERROR(INDEX('Retirement Calculator'!K:K,MATCH('Lorri 401b'!N2102,'Retirement Calculator'!A:A,0),0),0)</f>
        <v>0</v>
      </c>
      <c r="K2102" s="444">
        <f t="shared" ca="1" si="123"/>
        <v>-8548803.1595427264</v>
      </c>
      <c r="L2102" s="444">
        <f t="shared" ca="1" si="124"/>
        <v>-2060261561.4497972</v>
      </c>
      <c r="M2102" s="460">
        <f t="shared" si="126"/>
        <v>0.05</v>
      </c>
      <c r="N2102" s="464">
        <f t="shared" si="127"/>
        <v>115022</v>
      </c>
    </row>
    <row r="2103" spans="7:14" ht="11.25" customHeight="1" x14ac:dyDescent="0.3">
      <c r="G2103" s="459"/>
      <c r="H2103" s="459">
        <v>2096</v>
      </c>
      <c r="I2103" s="444">
        <f t="shared" ca="1" si="125"/>
        <v>-2060261561.4497972</v>
      </c>
      <c r="J2103" s="444">
        <f t="array" ref="J2103">IFERROR(INDEX('Retirement Calculator'!K:K,MATCH('Lorri 401b'!N2103,'Retirement Calculator'!A:A,0),0),0)</f>
        <v>0</v>
      </c>
      <c r="K2103" s="444">
        <f t="shared" ca="1" si="123"/>
        <v>-8584423.1727074888</v>
      </c>
      <c r="L2103" s="444">
        <f t="shared" ca="1" si="124"/>
        <v>-2068845984.6225047</v>
      </c>
      <c r="M2103" s="460">
        <f t="shared" si="126"/>
        <v>0.05</v>
      </c>
      <c r="N2103" s="464">
        <f t="shared" si="127"/>
        <v>115053</v>
      </c>
    </row>
    <row r="2104" spans="7:14" ht="11.25" customHeight="1" x14ac:dyDescent="0.3">
      <c r="G2104" s="459"/>
      <c r="H2104" s="459">
        <v>2097</v>
      </c>
      <c r="I2104" s="444">
        <f t="shared" ca="1" si="125"/>
        <v>-2068845984.6225047</v>
      </c>
      <c r="J2104" s="444">
        <f t="array" ref="J2104">IFERROR(INDEX('Retirement Calculator'!K:K,MATCH('Lorri 401b'!N2104,'Retirement Calculator'!A:A,0),0),0)</f>
        <v>0</v>
      </c>
      <c r="K2104" s="444">
        <f t="shared" ca="1" si="123"/>
        <v>-8620191.6025937703</v>
      </c>
      <c r="L2104" s="444">
        <f t="shared" ca="1" si="124"/>
        <v>-2077466176.2250984</v>
      </c>
      <c r="M2104" s="460">
        <f t="shared" si="126"/>
        <v>0.05</v>
      </c>
      <c r="N2104" s="464">
        <f t="shared" si="127"/>
        <v>115084</v>
      </c>
    </row>
    <row r="2105" spans="7:14" ht="11.25" customHeight="1" x14ac:dyDescent="0.3">
      <c r="G2105" s="459"/>
      <c r="H2105" s="459">
        <v>2098</v>
      </c>
      <c r="I2105" s="444">
        <f t="shared" ca="1" si="125"/>
        <v>-2077466176.2250984</v>
      </c>
      <c r="J2105" s="444">
        <f t="array" ref="J2105">IFERROR(INDEX('Retirement Calculator'!K:K,MATCH('Lorri 401b'!N2105,'Retirement Calculator'!A:A,0),0),0)</f>
        <v>0</v>
      </c>
      <c r="K2105" s="444">
        <f t="shared" ca="1" si="123"/>
        <v>-8656109.0676045772</v>
      </c>
      <c r="L2105" s="444">
        <f t="shared" ca="1" si="124"/>
        <v>-2086122285.2927029</v>
      </c>
      <c r="M2105" s="460">
        <f t="shared" si="126"/>
        <v>0.05</v>
      </c>
      <c r="N2105" s="464">
        <f t="shared" si="127"/>
        <v>115112</v>
      </c>
    </row>
    <row r="2106" spans="7:14" ht="11.25" customHeight="1" x14ac:dyDescent="0.3">
      <c r="G2106" s="459"/>
      <c r="H2106" s="459">
        <v>2099</v>
      </c>
      <c r="I2106" s="444">
        <f t="shared" ca="1" si="125"/>
        <v>-2086122285.2927029</v>
      </c>
      <c r="J2106" s="444">
        <f t="array" ref="J2106">IFERROR(INDEX('Retirement Calculator'!K:K,MATCH('Lorri 401b'!N2106,'Retirement Calculator'!A:A,0),0),0)</f>
        <v>0</v>
      </c>
      <c r="K2106" s="444">
        <f t="shared" ca="1" si="123"/>
        <v>-8692176.1887195949</v>
      </c>
      <c r="L2106" s="444">
        <f t="shared" ca="1" si="124"/>
        <v>-2094814461.4814224</v>
      </c>
      <c r="M2106" s="460">
        <f t="shared" si="126"/>
        <v>0.05</v>
      </c>
      <c r="N2106" s="464">
        <f t="shared" si="127"/>
        <v>115143</v>
      </c>
    </row>
    <row r="2107" spans="7:14" ht="11.25" customHeight="1" x14ac:dyDescent="0.3">
      <c r="G2107" s="459"/>
      <c r="H2107" s="459">
        <v>2100</v>
      </c>
      <c r="I2107" s="444">
        <f t="shared" ca="1" si="125"/>
        <v>-2094814461.4814224</v>
      </c>
      <c r="J2107" s="444">
        <f t="array" ref="J2107">IFERROR(INDEX('Retirement Calculator'!K:K,MATCH('Lorri 401b'!N2107,'Retirement Calculator'!A:A,0),0),0)</f>
        <v>0</v>
      </c>
      <c r="K2107" s="444">
        <f t="shared" ca="1" si="123"/>
        <v>-8728393.5895059258</v>
      </c>
      <c r="L2107" s="444">
        <f t="shared" ca="1" si="124"/>
        <v>-2103542855.0709283</v>
      </c>
      <c r="M2107" s="460">
        <f t="shared" si="126"/>
        <v>0.05</v>
      </c>
      <c r="N2107" s="464">
        <f t="shared" si="127"/>
        <v>115173</v>
      </c>
    </row>
    <row r="2108" spans="7:14" ht="11.25" customHeight="1" x14ac:dyDescent="0.3">
      <c r="G2108" s="459"/>
      <c r="H2108" s="459">
        <v>2101</v>
      </c>
      <c r="I2108" s="444">
        <f t="shared" ca="1" si="125"/>
        <v>-2103542855.0709283</v>
      </c>
      <c r="J2108" s="444">
        <f t="array" ref="J2108">IFERROR(INDEX('Retirement Calculator'!K:K,MATCH('Lorri 401b'!N2108,'Retirement Calculator'!A:A,0),0),0)</f>
        <v>0</v>
      </c>
      <c r="K2108" s="444">
        <f t="shared" ca="1" si="123"/>
        <v>-8764761.8961288687</v>
      </c>
      <c r="L2108" s="444">
        <f t="shared" ca="1" si="124"/>
        <v>-2112307616.9670572</v>
      </c>
      <c r="M2108" s="460">
        <f t="shared" si="126"/>
        <v>0.05</v>
      </c>
      <c r="N2108" s="464">
        <f t="shared" si="127"/>
        <v>115204</v>
      </c>
    </row>
    <row r="2109" spans="7:14" ht="11.25" customHeight="1" x14ac:dyDescent="0.3">
      <c r="G2109" s="459"/>
      <c r="H2109" s="459">
        <v>2102</v>
      </c>
      <c r="I2109" s="444">
        <f t="shared" ca="1" si="125"/>
        <v>-2112307616.9670572</v>
      </c>
      <c r="J2109" s="444">
        <f t="array" ref="J2109">IFERROR(INDEX('Retirement Calculator'!K:K,MATCH('Lorri 401b'!N2109,'Retirement Calculator'!A:A,0),0),0)</f>
        <v>0</v>
      </c>
      <c r="K2109" s="444">
        <f t="shared" ca="1" si="123"/>
        <v>-8801281.7373627387</v>
      </c>
      <c r="L2109" s="444">
        <f t="shared" ca="1" si="124"/>
        <v>-2121108898.7044199</v>
      </c>
      <c r="M2109" s="460">
        <f t="shared" si="126"/>
        <v>0.05</v>
      </c>
      <c r="N2109" s="464">
        <f t="shared" si="127"/>
        <v>115234</v>
      </c>
    </row>
    <row r="2110" spans="7:14" ht="11.25" customHeight="1" x14ac:dyDescent="0.3">
      <c r="G2110" s="459"/>
      <c r="H2110" s="459">
        <v>2103</v>
      </c>
      <c r="I2110" s="444">
        <f t="shared" ca="1" si="125"/>
        <v>-2121108898.7044199</v>
      </c>
      <c r="J2110" s="444">
        <f t="array" ref="J2110">IFERROR(INDEX('Retirement Calculator'!K:K,MATCH('Lorri 401b'!N2110,'Retirement Calculator'!A:A,0),0),0)</f>
        <v>0</v>
      </c>
      <c r="K2110" s="444">
        <f t="shared" ca="1" si="123"/>
        <v>-8837953.7446017489</v>
      </c>
      <c r="L2110" s="444">
        <f t="shared" ca="1" si="124"/>
        <v>-2129946852.4490216</v>
      </c>
      <c r="M2110" s="460">
        <f t="shared" si="126"/>
        <v>0.05</v>
      </c>
      <c r="N2110" s="464">
        <f t="shared" si="127"/>
        <v>115265</v>
      </c>
    </row>
    <row r="2111" spans="7:14" ht="11.25" customHeight="1" x14ac:dyDescent="0.3">
      <c r="G2111" s="459"/>
      <c r="H2111" s="459">
        <v>2104</v>
      </c>
      <c r="I2111" s="444">
        <f t="shared" ca="1" si="125"/>
        <v>-2129946852.4490216</v>
      </c>
      <c r="J2111" s="444">
        <f t="array" ref="J2111">IFERROR(INDEX('Retirement Calculator'!K:K,MATCH('Lorri 401b'!N2111,'Retirement Calculator'!A:A,0),0),0)</f>
        <v>0</v>
      </c>
      <c r="K2111" s="444">
        <f t="shared" ca="1" si="123"/>
        <v>-8874778.5518709235</v>
      </c>
      <c r="L2111" s="444">
        <f t="shared" ca="1" si="124"/>
        <v>-2138821631.0008924</v>
      </c>
      <c r="M2111" s="460">
        <f t="shared" si="126"/>
        <v>0.05</v>
      </c>
      <c r="N2111" s="464">
        <f t="shared" si="127"/>
        <v>115296</v>
      </c>
    </row>
    <row r="2112" spans="7:14" ht="11.25" customHeight="1" x14ac:dyDescent="0.3">
      <c r="G2112" s="459"/>
      <c r="H2112" s="459">
        <v>2105</v>
      </c>
      <c r="I2112" s="444">
        <f t="shared" ca="1" si="125"/>
        <v>-2138821631.0008924</v>
      </c>
      <c r="J2112" s="444">
        <f t="array" ref="J2112">IFERROR(INDEX('Retirement Calculator'!K:K,MATCH('Lorri 401b'!N2112,'Retirement Calculator'!A:A,0),0),0)</f>
        <v>0</v>
      </c>
      <c r="K2112" s="444">
        <f t="shared" ca="1" si="123"/>
        <v>-8911756.7958370522</v>
      </c>
      <c r="L2112" s="444">
        <f t="shared" ca="1" si="124"/>
        <v>-2147733387.7967296</v>
      </c>
      <c r="M2112" s="460">
        <f t="shared" si="126"/>
        <v>0.05</v>
      </c>
      <c r="N2112" s="464">
        <f t="shared" si="127"/>
        <v>115326</v>
      </c>
    </row>
    <row r="2113" spans="7:14" ht="11.25" customHeight="1" x14ac:dyDescent="0.3">
      <c r="G2113" s="459"/>
      <c r="H2113" s="459">
        <v>2106</v>
      </c>
      <c r="I2113" s="444">
        <f t="shared" ca="1" si="125"/>
        <v>-2147733387.7967296</v>
      </c>
      <c r="J2113" s="444">
        <f t="array" ref="J2113">IFERROR(INDEX('Retirement Calculator'!K:K,MATCH('Lorri 401b'!N2113,'Retirement Calculator'!A:A,0),0),0)</f>
        <v>0</v>
      </c>
      <c r="K2113" s="444">
        <f t="shared" ca="1" si="123"/>
        <v>-8948889.1158197057</v>
      </c>
      <c r="L2113" s="444">
        <f t="shared" ca="1" si="124"/>
        <v>-2156682276.9125495</v>
      </c>
      <c r="M2113" s="460">
        <f t="shared" si="126"/>
        <v>0.05</v>
      </c>
      <c r="N2113" s="464">
        <f t="shared" si="127"/>
        <v>115357</v>
      </c>
    </row>
    <row r="2114" spans="7:14" ht="11.25" customHeight="1" x14ac:dyDescent="0.3">
      <c r="G2114" s="459"/>
      <c r="H2114" s="459">
        <v>2107</v>
      </c>
      <c r="I2114" s="444">
        <f t="shared" ca="1" si="125"/>
        <v>-2156682276.9125495</v>
      </c>
      <c r="J2114" s="444">
        <f t="array" ref="J2114">IFERROR(INDEX('Retirement Calculator'!K:K,MATCH('Lorri 401b'!N2114,'Retirement Calculator'!A:A,0),0),0)</f>
        <v>0</v>
      </c>
      <c r="K2114" s="444">
        <f t="shared" ca="1" si="123"/>
        <v>-8986176.1538022887</v>
      </c>
      <c r="L2114" s="444">
        <f t="shared" ca="1" si="124"/>
        <v>-2165668453.0663519</v>
      </c>
      <c r="M2114" s="460">
        <f t="shared" si="126"/>
        <v>0.05</v>
      </c>
      <c r="N2114" s="464">
        <f t="shared" si="127"/>
        <v>115387</v>
      </c>
    </row>
    <row r="2115" spans="7:14" ht="11.25" customHeight="1" x14ac:dyDescent="0.3">
      <c r="G2115" s="459"/>
      <c r="H2115" s="459">
        <v>2108</v>
      </c>
      <c r="I2115" s="444">
        <f t="shared" ca="1" si="125"/>
        <v>-2165668453.0663519</v>
      </c>
      <c r="J2115" s="444">
        <f t="array" ref="J2115">IFERROR(INDEX('Retirement Calculator'!K:K,MATCH('Lorri 401b'!N2115,'Retirement Calculator'!A:A,0),0),0)</f>
        <v>0</v>
      </c>
      <c r="K2115" s="444">
        <f t="shared" ca="1" si="123"/>
        <v>-9023618.5544431321</v>
      </c>
      <c r="L2115" s="444">
        <f t="shared" ca="1" si="124"/>
        <v>-2174692071.6207952</v>
      </c>
      <c r="M2115" s="460">
        <f t="shared" si="126"/>
        <v>0.05</v>
      </c>
      <c r="N2115" s="464">
        <f t="shared" si="127"/>
        <v>115418</v>
      </c>
    </row>
    <row r="2116" spans="7:14" ht="11.25" customHeight="1" x14ac:dyDescent="0.3">
      <c r="G2116" s="459"/>
      <c r="H2116" s="459">
        <v>2109</v>
      </c>
      <c r="I2116" s="444">
        <f t="shared" ca="1" si="125"/>
        <v>-2174692071.6207952</v>
      </c>
      <c r="J2116" s="444">
        <f t="array" ref="J2116">IFERROR(INDEX('Retirement Calculator'!K:K,MATCH('Lorri 401b'!N2116,'Retirement Calculator'!A:A,0),0),0)</f>
        <v>0</v>
      </c>
      <c r="K2116" s="444">
        <f t="shared" ca="1" si="123"/>
        <v>-9061216.9650866464</v>
      </c>
      <c r="L2116" s="444">
        <f t="shared" ca="1" si="124"/>
        <v>-2183753288.5858817</v>
      </c>
      <c r="M2116" s="460">
        <f t="shared" si="126"/>
        <v>0.05</v>
      </c>
      <c r="N2116" s="464">
        <f t="shared" si="127"/>
        <v>115449</v>
      </c>
    </row>
    <row r="2117" spans="7:14" ht="11.25" customHeight="1" x14ac:dyDescent="0.3">
      <c r="G2117" s="459"/>
      <c r="H2117" s="459">
        <v>2110</v>
      </c>
      <c r="I2117" s="444">
        <f t="shared" ca="1" si="125"/>
        <v>-2183753288.5858817</v>
      </c>
      <c r="J2117" s="444">
        <f t="array" ref="J2117">IFERROR(INDEX('Retirement Calculator'!K:K,MATCH('Lorri 401b'!N2117,'Retirement Calculator'!A:A,0),0),0)</f>
        <v>0</v>
      </c>
      <c r="K2117" s="444">
        <f t="shared" ca="1" si="123"/>
        <v>-9098972.0357745066</v>
      </c>
      <c r="L2117" s="444">
        <f t="shared" ca="1" si="124"/>
        <v>-2192852260.6216564</v>
      </c>
      <c r="M2117" s="460">
        <f t="shared" si="126"/>
        <v>0.05</v>
      </c>
      <c r="N2117" s="464">
        <f t="shared" si="127"/>
        <v>115478</v>
      </c>
    </row>
    <row r="2118" spans="7:14" ht="11.25" customHeight="1" x14ac:dyDescent="0.3">
      <c r="G2118" s="459"/>
      <c r="H2118" s="459">
        <v>2111</v>
      </c>
      <c r="I2118" s="444">
        <f t="shared" ca="1" si="125"/>
        <v>-2192852260.6216564</v>
      </c>
      <c r="J2118" s="444">
        <f t="array" ref="J2118">IFERROR(INDEX('Retirement Calculator'!K:K,MATCH('Lorri 401b'!N2118,'Retirement Calculator'!A:A,0),0),0)</f>
        <v>0</v>
      </c>
      <c r="K2118" s="444">
        <f t="shared" ca="1" si="123"/>
        <v>-9136884.4192569014</v>
      </c>
      <c r="L2118" s="444">
        <f t="shared" ca="1" si="124"/>
        <v>-2201989145.0409131</v>
      </c>
      <c r="M2118" s="460">
        <f t="shared" si="126"/>
        <v>0.05</v>
      </c>
      <c r="N2118" s="464">
        <f t="shared" si="127"/>
        <v>115509</v>
      </c>
    </row>
    <row r="2119" spans="7:14" ht="11.25" customHeight="1" x14ac:dyDescent="0.3">
      <c r="G2119" s="459"/>
      <c r="H2119" s="459">
        <v>2112</v>
      </c>
      <c r="I2119" s="444">
        <f t="shared" ca="1" si="125"/>
        <v>-2201989145.0409131</v>
      </c>
      <c r="J2119" s="444">
        <f t="array" ref="J2119">IFERROR(INDEX('Retirement Calculator'!K:K,MATCH('Lorri 401b'!N2119,'Retirement Calculator'!A:A,0),0),0)</f>
        <v>0</v>
      </c>
      <c r="K2119" s="444">
        <f t="shared" ca="1" si="123"/>
        <v>-9174954.7710038051</v>
      </c>
      <c r="L2119" s="444">
        <f t="shared" ca="1" si="124"/>
        <v>-2211164099.8119168</v>
      </c>
      <c r="M2119" s="460">
        <f t="shared" si="126"/>
        <v>0.05</v>
      </c>
      <c r="N2119" s="464">
        <f t="shared" si="127"/>
        <v>115539</v>
      </c>
    </row>
    <row r="2120" spans="7:14" ht="11.25" customHeight="1" x14ac:dyDescent="0.3">
      <c r="G2120" s="459"/>
      <c r="H2120" s="459">
        <v>2113</v>
      </c>
      <c r="I2120" s="444">
        <f t="shared" ca="1" si="125"/>
        <v>-2211164099.8119168</v>
      </c>
      <c r="J2120" s="444">
        <f t="array" ref="J2120">IFERROR(INDEX('Retirement Calculator'!K:K,MATCH('Lorri 401b'!N2120,'Retirement Calculator'!A:A,0),0),0)</f>
        <v>0</v>
      </c>
      <c r="K2120" s="444">
        <f t="shared" ca="1" si="123"/>
        <v>-9213183.74921632</v>
      </c>
      <c r="L2120" s="444">
        <f t="shared" ca="1" si="124"/>
        <v>-2220377283.5611334</v>
      </c>
      <c r="M2120" s="460">
        <f t="shared" si="126"/>
        <v>0.05</v>
      </c>
      <c r="N2120" s="464">
        <f t="shared" si="127"/>
        <v>115570</v>
      </c>
    </row>
    <row r="2121" spans="7:14" ht="11.25" customHeight="1" x14ac:dyDescent="0.3">
      <c r="G2121" s="459"/>
      <c r="H2121" s="459">
        <v>2114</v>
      </c>
      <c r="I2121" s="444">
        <f t="shared" ca="1" si="125"/>
        <v>-2220377283.5611334</v>
      </c>
      <c r="J2121" s="444">
        <f t="array" ref="J2121">IFERROR(INDEX('Retirement Calculator'!K:K,MATCH('Lorri 401b'!N2121,'Retirement Calculator'!A:A,0),0),0)</f>
        <v>0</v>
      </c>
      <c r="K2121" s="444">
        <f t="shared" ca="1" si="123"/>
        <v>-9251572.0148380548</v>
      </c>
      <c r="L2121" s="444">
        <f t="shared" ca="1" si="124"/>
        <v>-2229628855.5759716</v>
      </c>
      <c r="M2121" s="460">
        <f t="shared" si="126"/>
        <v>0.05</v>
      </c>
      <c r="N2121" s="464">
        <f t="shared" si="127"/>
        <v>115600</v>
      </c>
    </row>
    <row r="2122" spans="7:14" ht="11.25" customHeight="1" x14ac:dyDescent="0.3">
      <c r="G2122" s="459"/>
      <c r="H2122" s="459">
        <v>2115</v>
      </c>
      <c r="I2122" s="444">
        <f t="shared" ca="1" si="125"/>
        <v>-2229628855.5759716</v>
      </c>
      <c r="J2122" s="444">
        <f t="array" ref="J2122">IFERROR(INDEX('Retirement Calculator'!K:K,MATCH('Lorri 401b'!N2122,'Retirement Calculator'!A:A,0),0),0)</f>
        <v>0</v>
      </c>
      <c r="K2122" s="444">
        <f t="shared" ca="1" si="123"/>
        <v>-9290120.2315665483</v>
      </c>
      <c r="L2122" s="444">
        <f t="shared" ca="1" si="124"/>
        <v>-2238918975.807538</v>
      </c>
      <c r="M2122" s="460">
        <f t="shared" si="126"/>
        <v>0.05</v>
      </c>
      <c r="N2122" s="464">
        <f t="shared" si="127"/>
        <v>115631</v>
      </c>
    </row>
    <row r="2123" spans="7:14" ht="11.25" customHeight="1" x14ac:dyDescent="0.3">
      <c r="G2123" s="459"/>
      <c r="H2123" s="459">
        <v>2116</v>
      </c>
      <c r="I2123" s="444">
        <f t="shared" ca="1" si="125"/>
        <v>-2238918975.807538</v>
      </c>
      <c r="J2123" s="444">
        <f t="array" ref="J2123">IFERROR(INDEX('Retirement Calculator'!K:K,MATCH('Lorri 401b'!N2123,'Retirement Calculator'!A:A,0),0),0)</f>
        <v>0</v>
      </c>
      <c r="K2123" s="444">
        <f t="shared" ca="1" si="123"/>
        <v>-9328829.0658647418</v>
      </c>
      <c r="L2123" s="444">
        <f t="shared" ca="1" si="124"/>
        <v>-2248247804.8734026</v>
      </c>
      <c r="M2123" s="460">
        <f t="shared" si="126"/>
        <v>0.05</v>
      </c>
      <c r="N2123" s="464">
        <f t="shared" si="127"/>
        <v>115662</v>
      </c>
    </row>
    <row r="2124" spans="7:14" ht="11.25" customHeight="1" x14ac:dyDescent="0.3">
      <c r="G2124" s="459"/>
      <c r="H2124" s="459">
        <v>2117</v>
      </c>
      <c r="I2124" s="444">
        <f t="shared" ca="1" si="125"/>
        <v>-2248247804.8734026</v>
      </c>
      <c r="J2124" s="444">
        <f t="array" ref="J2124">IFERROR(INDEX('Retirement Calculator'!K:K,MATCH('Lorri 401b'!N2124,'Retirement Calculator'!A:A,0),0),0)</f>
        <v>0</v>
      </c>
      <c r="K2124" s="444">
        <f t="shared" ca="1" si="123"/>
        <v>-9367699.1869725101</v>
      </c>
      <c r="L2124" s="444">
        <f t="shared" ca="1" si="124"/>
        <v>-2257615504.0603752</v>
      </c>
      <c r="M2124" s="460">
        <f t="shared" si="126"/>
        <v>0.05</v>
      </c>
      <c r="N2124" s="464">
        <f t="shared" si="127"/>
        <v>115692</v>
      </c>
    </row>
    <row r="2125" spans="7:14" ht="11.25" customHeight="1" x14ac:dyDescent="0.3">
      <c r="G2125" s="459"/>
      <c r="H2125" s="459">
        <v>2118</v>
      </c>
      <c r="I2125" s="444">
        <f t="shared" ca="1" si="125"/>
        <v>-2257615504.0603752</v>
      </c>
      <c r="J2125" s="444">
        <f t="array" ref="J2125">IFERROR(INDEX('Retirement Calculator'!K:K,MATCH('Lorri 401b'!N2125,'Retirement Calculator'!A:A,0),0),0)</f>
        <v>0</v>
      </c>
      <c r="K2125" s="444">
        <f t="shared" ca="1" si="123"/>
        <v>-9406731.2669182308</v>
      </c>
      <c r="L2125" s="444">
        <f t="shared" ca="1" si="124"/>
        <v>-2267022235.3272934</v>
      </c>
      <c r="M2125" s="460">
        <f t="shared" si="126"/>
        <v>0.05</v>
      </c>
      <c r="N2125" s="464">
        <f t="shared" si="127"/>
        <v>115723</v>
      </c>
    </row>
    <row r="2126" spans="7:14" ht="11.25" customHeight="1" x14ac:dyDescent="0.3">
      <c r="G2126" s="459"/>
      <c r="H2126" s="459">
        <v>2119</v>
      </c>
      <c r="I2126" s="444">
        <f t="shared" ca="1" si="125"/>
        <v>-2267022235.3272934</v>
      </c>
      <c r="J2126" s="444">
        <f t="array" ref="J2126">IFERROR(INDEX('Retirement Calculator'!K:K,MATCH('Lorri 401b'!N2126,'Retirement Calculator'!A:A,0),0),0)</f>
        <v>0</v>
      </c>
      <c r="K2126" s="444">
        <f t="shared" ca="1" si="123"/>
        <v>-9445925.9805303887</v>
      </c>
      <c r="L2126" s="444">
        <f t="shared" ca="1" si="124"/>
        <v>-2276468161.3078237</v>
      </c>
      <c r="M2126" s="460">
        <f t="shared" si="126"/>
        <v>0.05</v>
      </c>
      <c r="N2126" s="464">
        <f t="shared" si="127"/>
        <v>115753</v>
      </c>
    </row>
    <row r="2127" spans="7:14" ht="11.25" customHeight="1" x14ac:dyDescent="0.3">
      <c r="G2127" s="459"/>
      <c r="H2127" s="459">
        <v>2120</v>
      </c>
      <c r="I2127" s="444">
        <f t="shared" ca="1" si="125"/>
        <v>-2276468161.3078237</v>
      </c>
      <c r="J2127" s="444">
        <f t="array" ref="J2127">IFERROR(INDEX('Retirement Calculator'!K:K,MATCH('Lorri 401b'!N2127,'Retirement Calculator'!A:A,0),0),0)</f>
        <v>0</v>
      </c>
      <c r="K2127" s="444">
        <f t="shared" ca="1" si="123"/>
        <v>-9485284.0054492652</v>
      </c>
      <c r="L2127" s="444">
        <f t="shared" ca="1" si="124"/>
        <v>-2285953445.313273</v>
      </c>
      <c r="M2127" s="460">
        <f t="shared" si="126"/>
        <v>0.05</v>
      </c>
      <c r="N2127" s="464">
        <f t="shared" si="127"/>
        <v>115784</v>
      </c>
    </row>
    <row r="2128" spans="7:14" ht="11.25" customHeight="1" x14ac:dyDescent="0.3">
      <c r="G2128" s="459"/>
      <c r="H2128" s="459">
        <v>2121</v>
      </c>
      <c r="I2128" s="444">
        <f t="shared" ca="1" si="125"/>
        <v>-2285953445.313273</v>
      </c>
      <c r="J2128" s="444">
        <f t="array" ref="J2128">IFERROR(INDEX('Retirement Calculator'!K:K,MATCH('Lorri 401b'!N2128,'Retirement Calculator'!A:A,0),0),0)</f>
        <v>0</v>
      </c>
      <c r="K2128" s="444">
        <f t="shared" ca="1" si="123"/>
        <v>-9524806.0221386366</v>
      </c>
      <c r="L2128" s="444">
        <f t="shared" ca="1" si="124"/>
        <v>-2295478251.3354115</v>
      </c>
      <c r="M2128" s="460">
        <f t="shared" si="126"/>
        <v>0.05</v>
      </c>
      <c r="N2128" s="464">
        <f t="shared" si="127"/>
        <v>115815</v>
      </c>
    </row>
    <row r="2129" spans="7:14" ht="11.25" customHeight="1" x14ac:dyDescent="0.3">
      <c r="G2129" s="459"/>
      <c r="H2129" s="459">
        <v>2122</v>
      </c>
      <c r="I2129" s="444">
        <f t="shared" ca="1" si="125"/>
        <v>-2295478251.3354115</v>
      </c>
      <c r="J2129" s="444">
        <f t="array" ref="J2129">IFERROR(INDEX('Retirement Calculator'!K:K,MATCH('Lorri 401b'!N2129,'Retirement Calculator'!A:A,0),0),0)</f>
        <v>0</v>
      </c>
      <c r="K2129" s="444">
        <f t="shared" ca="1" si="123"/>
        <v>-9564492.7138975486</v>
      </c>
      <c r="L2129" s="444">
        <f t="shared" ca="1" si="124"/>
        <v>-2305042744.0493093</v>
      </c>
      <c r="M2129" s="460">
        <f t="shared" si="126"/>
        <v>0.05</v>
      </c>
      <c r="N2129" s="464">
        <f t="shared" si="127"/>
        <v>115843</v>
      </c>
    </row>
    <row r="2130" spans="7:14" ht="11.25" customHeight="1" x14ac:dyDescent="0.3">
      <c r="G2130" s="459"/>
      <c r="H2130" s="459">
        <v>2123</v>
      </c>
      <c r="I2130" s="444">
        <f t="shared" ca="1" si="125"/>
        <v>-2305042744.0493093</v>
      </c>
      <c r="J2130" s="444">
        <f t="array" ref="J2130">IFERROR(INDEX('Retirement Calculator'!K:K,MATCH('Lorri 401b'!N2130,'Retirement Calculator'!A:A,0),0),0)</f>
        <v>0</v>
      </c>
      <c r="K2130" s="444">
        <f t="shared" ca="1" si="123"/>
        <v>-9604344.766872121</v>
      </c>
      <c r="L2130" s="444">
        <f t="shared" ca="1" si="124"/>
        <v>-2314647088.8161812</v>
      </c>
      <c r="M2130" s="460">
        <f t="shared" si="126"/>
        <v>0.05</v>
      </c>
      <c r="N2130" s="464">
        <f t="shared" si="127"/>
        <v>115874</v>
      </c>
    </row>
    <row r="2131" spans="7:14" ht="11.25" customHeight="1" x14ac:dyDescent="0.3">
      <c r="G2131" s="459"/>
      <c r="H2131" s="459">
        <v>2124</v>
      </c>
      <c r="I2131" s="444">
        <f t="shared" ca="1" si="125"/>
        <v>-2314647088.8161812</v>
      </c>
      <c r="J2131" s="444">
        <f t="array" ref="J2131">IFERROR(INDEX('Retirement Calculator'!K:K,MATCH('Lorri 401b'!N2131,'Retirement Calculator'!A:A,0),0),0)</f>
        <v>0</v>
      </c>
      <c r="K2131" s="444">
        <f t="shared" ca="1" si="123"/>
        <v>-9644362.8700674213</v>
      </c>
      <c r="L2131" s="444">
        <f t="shared" ca="1" si="124"/>
        <v>-2324291451.6862488</v>
      </c>
      <c r="M2131" s="460">
        <f t="shared" si="126"/>
        <v>0.05</v>
      </c>
      <c r="N2131" s="464">
        <f t="shared" si="127"/>
        <v>115904</v>
      </c>
    </row>
    <row r="2132" spans="7:14" ht="11.25" customHeight="1" x14ac:dyDescent="0.3">
      <c r="G2132" s="459"/>
      <c r="H2132" s="459">
        <v>2125</v>
      </c>
      <c r="I2132" s="444">
        <f t="shared" ca="1" si="125"/>
        <v>-2324291451.6862488</v>
      </c>
      <c r="J2132" s="444">
        <f t="array" ref="J2132">IFERROR(INDEX('Retirement Calculator'!K:K,MATCH('Lorri 401b'!N2132,'Retirement Calculator'!A:A,0),0),0)</f>
        <v>0</v>
      </c>
      <c r="K2132" s="444">
        <f t="shared" ca="1" si="123"/>
        <v>-9684547.7153593693</v>
      </c>
      <c r="L2132" s="444">
        <f t="shared" ca="1" si="124"/>
        <v>-2333975999.401608</v>
      </c>
      <c r="M2132" s="460">
        <f t="shared" si="126"/>
        <v>0.05</v>
      </c>
      <c r="N2132" s="464">
        <f t="shared" si="127"/>
        <v>115935</v>
      </c>
    </row>
    <row r="2133" spans="7:14" ht="11.25" customHeight="1" x14ac:dyDescent="0.3">
      <c r="G2133" s="459"/>
      <c r="H2133" s="459">
        <v>2126</v>
      </c>
      <c r="I2133" s="444">
        <f t="shared" ca="1" si="125"/>
        <v>-2333975999.401608</v>
      </c>
      <c r="J2133" s="444">
        <f t="array" ref="J2133">IFERROR(INDEX('Retirement Calculator'!K:K,MATCH('Lorri 401b'!N2133,'Retirement Calculator'!A:A,0),0),0)</f>
        <v>0</v>
      </c>
      <c r="K2133" s="444">
        <f t="shared" ca="1" si="123"/>
        <v>-9724899.9975067005</v>
      </c>
      <c r="L2133" s="444">
        <f t="shared" ca="1" si="124"/>
        <v>-2343700899.3991146</v>
      </c>
      <c r="M2133" s="460">
        <f t="shared" si="126"/>
        <v>0.05</v>
      </c>
      <c r="N2133" s="464">
        <f t="shared" si="127"/>
        <v>115965</v>
      </c>
    </row>
    <row r="2134" spans="7:14" ht="11.25" customHeight="1" x14ac:dyDescent="0.3">
      <c r="G2134" s="459"/>
      <c r="H2134" s="459">
        <v>2127</v>
      </c>
      <c r="I2134" s="444">
        <f t="shared" ca="1" si="125"/>
        <v>-2343700899.3991146</v>
      </c>
      <c r="J2134" s="444">
        <f t="array" ref="J2134">IFERROR(INDEX('Retirement Calculator'!K:K,MATCH('Lorri 401b'!N2134,'Retirement Calculator'!A:A,0),0),0)</f>
        <v>0</v>
      </c>
      <c r="K2134" s="444">
        <f t="shared" ca="1" si="123"/>
        <v>-9765420.4141629767</v>
      </c>
      <c r="L2134" s="444">
        <f t="shared" ca="1" si="124"/>
        <v>-2353466319.8132777</v>
      </c>
      <c r="M2134" s="460">
        <f t="shared" si="126"/>
        <v>0.05</v>
      </c>
      <c r="N2134" s="464">
        <f t="shared" si="127"/>
        <v>115996</v>
      </c>
    </row>
    <row r="2135" spans="7:14" ht="11.25" customHeight="1" x14ac:dyDescent="0.3">
      <c r="G2135" s="459"/>
      <c r="H2135" s="459">
        <v>2128</v>
      </c>
      <c r="I2135" s="444">
        <f t="shared" ca="1" si="125"/>
        <v>-2353466319.8132777</v>
      </c>
      <c r="J2135" s="444">
        <f t="array" ref="J2135">IFERROR(INDEX('Retirement Calculator'!K:K,MATCH('Lorri 401b'!N2135,'Retirement Calculator'!A:A,0),0),0)</f>
        <v>0</v>
      </c>
      <c r="K2135" s="444">
        <f t="shared" ca="1" si="123"/>
        <v>-9806109.6658886578</v>
      </c>
      <c r="L2135" s="444">
        <f t="shared" ca="1" si="124"/>
        <v>-2363272429.4791665</v>
      </c>
      <c r="M2135" s="460">
        <f t="shared" si="126"/>
        <v>0.05</v>
      </c>
      <c r="N2135" s="464">
        <f t="shared" si="127"/>
        <v>116027</v>
      </c>
    </row>
    <row r="2136" spans="7:14" ht="11.25" customHeight="1" x14ac:dyDescent="0.3">
      <c r="G2136" s="459"/>
      <c r="H2136" s="459">
        <v>2129</v>
      </c>
      <c r="I2136" s="444">
        <f t="shared" ca="1" si="125"/>
        <v>-2363272429.4791665</v>
      </c>
      <c r="J2136" s="444">
        <f t="array" ref="J2136">IFERROR(INDEX('Retirement Calculator'!K:K,MATCH('Lorri 401b'!N2136,'Retirement Calculator'!A:A,0),0),0)</f>
        <v>0</v>
      </c>
      <c r="K2136" s="444">
        <f t="shared" ca="1" si="123"/>
        <v>-9846968.456163194</v>
      </c>
      <c r="L2136" s="444">
        <f t="shared" ca="1" si="124"/>
        <v>-2373119397.9353299</v>
      </c>
      <c r="M2136" s="460">
        <f t="shared" si="126"/>
        <v>0.05</v>
      </c>
      <c r="N2136" s="464">
        <f t="shared" si="127"/>
        <v>116057</v>
      </c>
    </row>
    <row r="2137" spans="7:14" ht="11.25" customHeight="1" x14ac:dyDescent="0.3">
      <c r="G2137" s="459"/>
      <c r="H2137" s="459">
        <v>2130</v>
      </c>
      <c r="I2137" s="444">
        <f t="shared" ca="1" si="125"/>
        <v>-2373119397.9353299</v>
      </c>
      <c r="J2137" s="444">
        <f t="array" ref="J2137">IFERROR(INDEX('Retirement Calculator'!K:K,MATCH('Lorri 401b'!N2137,'Retirement Calculator'!A:A,0),0),0)</f>
        <v>0</v>
      </c>
      <c r="K2137" s="444">
        <f t="shared" ca="1" si="123"/>
        <v>-9887997.4913972076</v>
      </c>
      <c r="L2137" s="444">
        <f t="shared" ca="1" si="124"/>
        <v>-2383007395.4267273</v>
      </c>
      <c r="M2137" s="460">
        <f t="shared" si="126"/>
        <v>0.05</v>
      </c>
      <c r="N2137" s="464">
        <f t="shared" si="127"/>
        <v>116088</v>
      </c>
    </row>
    <row r="2138" spans="7:14" ht="11.25" customHeight="1" x14ac:dyDescent="0.3">
      <c r="G2138" s="459"/>
      <c r="H2138" s="459">
        <v>2131</v>
      </c>
      <c r="I2138" s="444">
        <f t="shared" ca="1" si="125"/>
        <v>-2383007395.4267273</v>
      </c>
      <c r="J2138" s="444">
        <f t="array" ref="J2138">IFERROR(INDEX('Retirement Calculator'!K:K,MATCH('Lorri 401b'!N2138,'Retirement Calculator'!A:A,0),0),0)</f>
        <v>0</v>
      </c>
      <c r="K2138" s="444">
        <f t="shared" ca="1" si="123"/>
        <v>-9929197.4809446968</v>
      </c>
      <c r="L2138" s="444">
        <f t="shared" ca="1" si="124"/>
        <v>-2392936592.9076719</v>
      </c>
      <c r="M2138" s="460">
        <f t="shared" si="126"/>
        <v>0.05</v>
      </c>
      <c r="N2138" s="464">
        <f t="shared" si="127"/>
        <v>116118</v>
      </c>
    </row>
    <row r="2139" spans="7:14" ht="11.25" customHeight="1" x14ac:dyDescent="0.3">
      <c r="G2139" s="459"/>
      <c r="H2139" s="459">
        <v>2132</v>
      </c>
      <c r="I2139" s="444">
        <f t="shared" ca="1" si="125"/>
        <v>-2392936592.9076719</v>
      </c>
      <c r="J2139" s="444">
        <f t="array" ref="J2139">IFERROR(INDEX('Retirement Calculator'!K:K,MATCH('Lorri 401b'!N2139,'Retirement Calculator'!A:A,0),0),0)</f>
        <v>0</v>
      </c>
      <c r="K2139" s="444">
        <f t="shared" ca="1" si="123"/>
        <v>-9970569.1371152997</v>
      </c>
      <c r="L2139" s="444">
        <f t="shared" ca="1" si="124"/>
        <v>-2402907162.0447874</v>
      </c>
      <c r="M2139" s="460">
        <f t="shared" si="126"/>
        <v>0.05</v>
      </c>
      <c r="N2139" s="464">
        <f t="shared" si="127"/>
        <v>116149</v>
      </c>
    </row>
    <row r="2140" spans="7:14" ht="11.25" customHeight="1" x14ac:dyDescent="0.3">
      <c r="G2140" s="459"/>
      <c r="H2140" s="459">
        <v>2133</v>
      </c>
      <c r="I2140" s="444">
        <f t="shared" ca="1" si="125"/>
        <v>-2402907162.0447874</v>
      </c>
      <c r="J2140" s="444">
        <f t="array" ref="J2140">IFERROR(INDEX('Retirement Calculator'!K:K,MATCH('Lorri 401b'!N2140,'Retirement Calculator'!A:A,0),0),0)</f>
        <v>0</v>
      </c>
      <c r="K2140" s="444">
        <f t="shared" ca="1" si="123"/>
        <v>-10012113.175186614</v>
      </c>
      <c r="L2140" s="444">
        <f t="shared" ca="1" si="124"/>
        <v>-2412919275.219974</v>
      </c>
      <c r="M2140" s="460">
        <f t="shared" si="126"/>
        <v>0.05</v>
      </c>
      <c r="N2140" s="464">
        <f t="shared" si="127"/>
        <v>116180</v>
      </c>
    </row>
    <row r="2141" spans="7:14" ht="11.25" customHeight="1" x14ac:dyDescent="0.3">
      <c r="G2141" s="459"/>
      <c r="H2141" s="459">
        <v>2134</v>
      </c>
      <c r="I2141" s="444">
        <f t="shared" ca="1" si="125"/>
        <v>-2412919275.219974</v>
      </c>
      <c r="J2141" s="444">
        <f t="array" ref="J2141">IFERROR(INDEX('Retirement Calculator'!K:K,MATCH('Lorri 401b'!N2141,'Retirement Calculator'!A:A,0),0),0)</f>
        <v>0</v>
      </c>
      <c r="K2141" s="444">
        <f t="shared" ca="1" si="123"/>
        <v>-10053830.313416559</v>
      </c>
      <c r="L2141" s="444">
        <f t="shared" ca="1" si="124"/>
        <v>-2422973105.5333905</v>
      </c>
      <c r="M2141" s="460">
        <f t="shared" si="126"/>
        <v>0.05</v>
      </c>
      <c r="N2141" s="464">
        <f t="shared" si="127"/>
        <v>116208</v>
      </c>
    </row>
    <row r="2142" spans="7:14" ht="11.25" customHeight="1" x14ac:dyDescent="0.3">
      <c r="G2142" s="459"/>
      <c r="H2142" s="459">
        <v>2135</v>
      </c>
      <c r="I2142" s="444">
        <f t="shared" ca="1" si="125"/>
        <v>-2422973105.5333905</v>
      </c>
      <c r="J2142" s="444">
        <f t="array" ref="J2142">IFERROR(INDEX('Retirement Calculator'!K:K,MATCH('Lorri 401b'!N2142,'Retirement Calculator'!A:A,0),0),0)</f>
        <v>0</v>
      </c>
      <c r="K2142" s="444">
        <f t="shared" ca="1" si="123"/>
        <v>-10095721.273055794</v>
      </c>
      <c r="L2142" s="444">
        <f t="shared" ca="1" si="124"/>
        <v>-2433068826.8064466</v>
      </c>
      <c r="M2142" s="460">
        <f t="shared" si="126"/>
        <v>0.05</v>
      </c>
      <c r="N2142" s="464">
        <f t="shared" si="127"/>
        <v>116239</v>
      </c>
    </row>
    <row r="2143" spans="7:14" ht="11.25" customHeight="1" x14ac:dyDescent="0.3">
      <c r="G2143" s="459"/>
      <c r="H2143" s="459">
        <v>2136</v>
      </c>
      <c r="I2143" s="444">
        <f t="shared" ca="1" si="125"/>
        <v>-2433068826.8064466</v>
      </c>
      <c r="J2143" s="444">
        <f t="array" ref="J2143">IFERROR(INDEX('Retirement Calculator'!K:K,MATCH('Lorri 401b'!N2143,'Retirement Calculator'!A:A,0),0),0)</f>
        <v>0</v>
      </c>
      <c r="K2143" s="444">
        <f t="shared" ca="1" si="123"/>
        <v>-10137786.778360194</v>
      </c>
      <c r="L2143" s="444">
        <f t="shared" ca="1" si="124"/>
        <v>-2443206613.5848069</v>
      </c>
      <c r="M2143" s="460">
        <f t="shared" si="126"/>
        <v>0.05</v>
      </c>
      <c r="N2143" s="464">
        <f t="shared" si="127"/>
        <v>116269</v>
      </c>
    </row>
    <row r="2144" spans="7:14" ht="11.25" customHeight="1" x14ac:dyDescent="0.3">
      <c r="G2144" s="459"/>
      <c r="H2144" s="459">
        <v>2137</v>
      </c>
      <c r="I2144" s="444">
        <f t="shared" ca="1" si="125"/>
        <v>-2443206613.5848069</v>
      </c>
      <c r="J2144" s="444">
        <f t="array" ref="J2144">IFERROR(INDEX('Retirement Calculator'!K:K,MATCH('Lorri 401b'!N2144,'Retirement Calculator'!A:A,0),0),0)</f>
        <v>0</v>
      </c>
      <c r="K2144" s="444">
        <f t="shared" ca="1" si="123"/>
        <v>-10180027.556603363</v>
      </c>
      <c r="L2144" s="444">
        <f t="shared" ca="1" si="124"/>
        <v>-2453386641.1414104</v>
      </c>
      <c r="M2144" s="460">
        <f t="shared" si="126"/>
        <v>0.05</v>
      </c>
      <c r="N2144" s="464">
        <f t="shared" si="127"/>
        <v>116300</v>
      </c>
    </row>
    <row r="2145" spans="7:14" ht="11.25" customHeight="1" x14ac:dyDescent="0.3">
      <c r="G2145" s="459"/>
      <c r="H2145" s="459">
        <v>2138</v>
      </c>
      <c r="I2145" s="444">
        <f t="shared" ca="1" si="125"/>
        <v>-2453386641.1414104</v>
      </c>
      <c r="J2145" s="444">
        <f t="array" ref="J2145">IFERROR(INDEX('Retirement Calculator'!K:K,MATCH('Lorri 401b'!N2145,'Retirement Calculator'!A:A,0),0),0)</f>
        <v>0</v>
      </c>
      <c r="K2145" s="444">
        <f t="shared" ca="1" si="123"/>
        <v>-10222444.338089209</v>
      </c>
      <c r="L2145" s="444">
        <f t="shared" ca="1" si="124"/>
        <v>-2463609085.4794993</v>
      </c>
      <c r="M2145" s="460">
        <f t="shared" si="126"/>
        <v>0.05</v>
      </c>
      <c r="N2145" s="464">
        <f t="shared" si="127"/>
        <v>116330</v>
      </c>
    </row>
    <row r="2146" spans="7:14" ht="11.25" customHeight="1" x14ac:dyDescent="0.3">
      <c r="G2146" s="459"/>
      <c r="H2146" s="459">
        <v>2139</v>
      </c>
      <c r="I2146" s="444">
        <f t="shared" ca="1" si="125"/>
        <v>-2463609085.4794993</v>
      </c>
      <c r="J2146" s="444">
        <f t="array" ref="J2146">IFERROR(INDEX('Retirement Calculator'!K:K,MATCH('Lorri 401b'!N2146,'Retirement Calculator'!A:A,0),0),0)</f>
        <v>0</v>
      </c>
      <c r="K2146" s="444">
        <f t="shared" ca="1" si="123"/>
        <v>-10265037.85616458</v>
      </c>
      <c r="L2146" s="444">
        <f t="shared" ca="1" si="124"/>
        <v>-2473874123.3356638</v>
      </c>
      <c r="M2146" s="460">
        <f t="shared" si="126"/>
        <v>0.05</v>
      </c>
      <c r="N2146" s="464">
        <f t="shared" si="127"/>
        <v>116361</v>
      </c>
    </row>
    <row r="2147" spans="7:14" ht="11.25" customHeight="1" x14ac:dyDescent="0.3">
      <c r="G2147" s="459"/>
      <c r="H2147" s="459">
        <v>2140</v>
      </c>
      <c r="I2147" s="444">
        <f t="shared" ca="1" si="125"/>
        <v>-2473874123.3356638</v>
      </c>
      <c r="J2147" s="444">
        <f t="array" ref="J2147">IFERROR(INDEX('Retirement Calculator'!K:K,MATCH('Lorri 401b'!N2147,'Retirement Calculator'!A:A,0),0),0)</f>
        <v>0</v>
      </c>
      <c r="K2147" s="444">
        <f t="shared" ca="1" si="123"/>
        <v>-10307808.847231932</v>
      </c>
      <c r="L2147" s="444">
        <f t="shared" ca="1" si="124"/>
        <v>-2484181932.1828957</v>
      </c>
      <c r="M2147" s="460">
        <f t="shared" si="126"/>
        <v>0.05</v>
      </c>
      <c r="N2147" s="464">
        <f t="shared" si="127"/>
        <v>116392</v>
      </c>
    </row>
    <row r="2148" spans="7:14" ht="11.25" customHeight="1" x14ac:dyDescent="0.3">
      <c r="G2148" s="459"/>
      <c r="H2148" s="459">
        <v>2141</v>
      </c>
      <c r="I2148" s="444">
        <f t="shared" ca="1" si="125"/>
        <v>-2484181932.1828957</v>
      </c>
      <c r="J2148" s="444">
        <f t="array" ref="J2148">IFERROR(INDEX('Retirement Calculator'!K:K,MATCH('Lorri 401b'!N2148,'Retirement Calculator'!A:A,0),0),0)</f>
        <v>0</v>
      </c>
      <c r="K2148" s="444">
        <f t="shared" ca="1" si="123"/>
        <v>-10350758.050762065</v>
      </c>
      <c r="L2148" s="444">
        <f t="shared" ca="1" si="124"/>
        <v>-2494532690.2336578</v>
      </c>
      <c r="M2148" s="460">
        <f t="shared" si="126"/>
        <v>0.05</v>
      </c>
      <c r="N2148" s="464">
        <f t="shared" si="127"/>
        <v>116422</v>
      </c>
    </row>
    <row r="2149" spans="7:14" ht="11.25" customHeight="1" x14ac:dyDescent="0.3">
      <c r="G2149" s="459"/>
      <c r="H2149" s="459">
        <v>2142</v>
      </c>
      <c r="I2149" s="444">
        <f t="shared" ca="1" si="125"/>
        <v>-2494532690.2336578</v>
      </c>
      <c r="J2149" s="444">
        <f t="array" ref="J2149">IFERROR(INDEX('Retirement Calculator'!K:K,MATCH('Lorri 401b'!N2149,'Retirement Calculator'!A:A,0),0),0)</f>
        <v>0</v>
      </c>
      <c r="K2149" s="444">
        <f t="shared" ca="1" si="123"/>
        <v>-10393886.209306907</v>
      </c>
      <c r="L2149" s="444">
        <f t="shared" ca="1" si="124"/>
        <v>-2504926576.4429646</v>
      </c>
      <c r="M2149" s="460">
        <f t="shared" si="126"/>
        <v>0.05</v>
      </c>
      <c r="N2149" s="464">
        <f t="shared" si="127"/>
        <v>116453</v>
      </c>
    </row>
    <row r="2150" spans="7:14" ht="11.25" customHeight="1" x14ac:dyDescent="0.3">
      <c r="G2150" s="459"/>
      <c r="H2150" s="459">
        <v>2143</v>
      </c>
      <c r="I2150" s="444">
        <f t="shared" ca="1" si="125"/>
        <v>-2504926576.4429646</v>
      </c>
      <c r="J2150" s="444">
        <f t="array" ref="J2150">IFERROR(INDEX('Retirement Calculator'!K:K,MATCH('Lorri 401b'!N2150,'Retirement Calculator'!A:A,0),0),0)</f>
        <v>0</v>
      </c>
      <c r="K2150" s="444">
        <f t="shared" ca="1" si="123"/>
        <v>-10437194.068512352</v>
      </c>
      <c r="L2150" s="444">
        <f t="shared" ca="1" si="124"/>
        <v>-2515363770.511477</v>
      </c>
      <c r="M2150" s="460">
        <f t="shared" si="126"/>
        <v>0.05</v>
      </c>
      <c r="N2150" s="464">
        <f t="shared" si="127"/>
        <v>116483</v>
      </c>
    </row>
    <row r="2151" spans="7:14" ht="11.25" customHeight="1" x14ac:dyDescent="0.3">
      <c r="G2151" s="459"/>
      <c r="H2151" s="459">
        <v>2144</v>
      </c>
      <c r="I2151" s="444">
        <f t="shared" ca="1" si="125"/>
        <v>-2515363770.511477</v>
      </c>
      <c r="J2151" s="444">
        <f t="array" ref="J2151">IFERROR(INDEX('Retirement Calculator'!K:K,MATCH('Lorri 401b'!N2151,'Retirement Calculator'!A:A,0),0),0)</f>
        <v>0</v>
      </c>
      <c r="K2151" s="444">
        <f t="shared" ca="1" si="123"/>
        <v>-10480682.377131155</v>
      </c>
      <c r="L2151" s="444">
        <f t="shared" ca="1" si="124"/>
        <v>-2525844452.888608</v>
      </c>
      <c r="M2151" s="460">
        <f t="shared" si="126"/>
        <v>0.05</v>
      </c>
      <c r="N2151" s="464">
        <f t="shared" si="127"/>
        <v>116514</v>
      </c>
    </row>
    <row r="2152" spans="7:14" ht="11.25" customHeight="1" x14ac:dyDescent="0.3">
      <c r="G2152" s="459"/>
      <c r="H2152" s="459">
        <v>2145</v>
      </c>
      <c r="I2152" s="444">
        <f t="shared" ca="1" si="125"/>
        <v>-2525844452.888608</v>
      </c>
      <c r="J2152" s="444">
        <f t="array" ref="J2152">IFERROR(INDEX('Retirement Calculator'!K:K,MATCH('Lorri 401b'!N2152,'Retirement Calculator'!A:A,0),0),0)</f>
        <v>0</v>
      </c>
      <c r="K2152" s="444">
        <f t="shared" ca="1" si="123"/>
        <v>-10524351.887035867</v>
      </c>
      <c r="L2152" s="444">
        <f t="shared" ca="1" si="124"/>
        <v>-2536368804.7756438</v>
      </c>
      <c r="M2152" s="460">
        <f t="shared" si="126"/>
        <v>0.05</v>
      </c>
      <c r="N2152" s="464">
        <f t="shared" si="127"/>
        <v>116545</v>
      </c>
    </row>
    <row r="2153" spans="7:14" ht="11.25" customHeight="1" x14ac:dyDescent="0.3">
      <c r="G2153" s="459"/>
      <c r="H2153" s="459">
        <v>2146</v>
      </c>
      <c r="I2153" s="444">
        <f t="shared" ca="1" si="125"/>
        <v>-2536368804.7756438</v>
      </c>
      <c r="J2153" s="444">
        <f t="array" ref="J2153">IFERROR(INDEX('Retirement Calculator'!K:K,MATCH('Lorri 401b'!N2153,'Retirement Calculator'!A:A,0),0),0)</f>
        <v>0</v>
      </c>
      <c r="K2153" s="444">
        <f t="shared" ca="1" si="123"/>
        <v>-10568203.353231849</v>
      </c>
      <c r="L2153" s="444">
        <f t="shared" ca="1" si="124"/>
        <v>-2546937008.1288757</v>
      </c>
      <c r="M2153" s="460">
        <f t="shared" si="126"/>
        <v>0.05</v>
      </c>
      <c r="N2153" s="464">
        <f t="shared" si="127"/>
        <v>116573</v>
      </c>
    </row>
    <row r="2154" spans="7:14" ht="11.25" customHeight="1" x14ac:dyDescent="0.3">
      <c r="G2154" s="459"/>
      <c r="H2154" s="459">
        <v>2147</v>
      </c>
      <c r="I2154" s="444">
        <f t="shared" ca="1" si="125"/>
        <v>-2546937008.1288757</v>
      </c>
      <c r="J2154" s="444">
        <f t="array" ref="J2154">IFERROR(INDEX('Retirement Calculator'!K:K,MATCH('Lorri 401b'!N2154,'Retirement Calculator'!A:A,0),0),0)</f>
        <v>0</v>
      </c>
      <c r="K2154" s="444">
        <f t="shared" ca="1" si="123"/>
        <v>-10612237.533870315</v>
      </c>
      <c r="L2154" s="444">
        <f t="shared" ca="1" si="124"/>
        <v>-2557549245.662746</v>
      </c>
      <c r="M2154" s="460">
        <f t="shared" si="126"/>
        <v>0.05</v>
      </c>
      <c r="N2154" s="464">
        <f t="shared" si="127"/>
        <v>116604</v>
      </c>
    </row>
    <row r="2155" spans="7:14" ht="11.25" customHeight="1" x14ac:dyDescent="0.3">
      <c r="G2155" s="459"/>
      <c r="H2155" s="459">
        <v>2148</v>
      </c>
      <c r="I2155" s="444">
        <f t="shared" ca="1" si="125"/>
        <v>-2557549245.662746</v>
      </c>
      <c r="J2155" s="444">
        <f t="array" ref="J2155">IFERROR(INDEX('Retirement Calculator'!K:K,MATCH('Lorri 401b'!N2155,'Retirement Calculator'!A:A,0),0),0)</f>
        <v>0</v>
      </c>
      <c r="K2155" s="444">
        <f t="shared" ca="1" si="123"/>
        <v>-10656455.190261442</v>
      </c>
      <c r="L2155" s="444">
        <f t="shared" ca="1" si="124"/>
        <v>-2568205700.8530073</v>
      </c>
      <c r="M2155" s="460">
        <f t="shared" si="126"/>
        <v>0.05</v>
      </c>
      <c r="N2155" s="464">
        <f t="shared" si="127"/>
        <v>116634</v>
      </c>
    </row>
    <row r="2156" spans="7:14" ht="11.25" customHeight="1" x14ac:dyDescent="0.3">
      <c r="G2156" s="459"/>
      <c r="H2156" s="459">
        <v>2149</v>
      </c>
      <c r="I2156" s="444">
        <f t="shared" ca="1" si="125"/>
        <v>-2568205700.8530073</v>
      </c>
      <c r="J2156" s="444">
        <f t="array" ref="J2156">IFERROR(INDEX('Retirement Calculator'!K:K,MATCH('Lorri 401b'!N2156,'Retirement Calculator'!A:A,0),0),0)</f>
        <v>0</v>
      </c>
      <c r="K2156" s="444">
        <f t="shared" ca="1" si="123"/>
        <v>-10700857.086887531</v>
      </c>
      <c r="L2156" s="444">
        <f t="shared" ca="1" si="124"/>
        <v>-2578906557.9398947</v>
      </c>
      <c r="M2156" s="460">
        <f t="shared" si="126"/>
        <v>0.05</v>
      </c>
      <c r="N2156" s="464">
        <f t="shared" si="127"/>
        <v>116665</v>
      </c>
    </row>
    <row r="2157" spans="7:14" ht="11.25" customHeight="1" x14ac:dyDescent="0.3">
      <c r="G2157" s="459"/>
      <c r="H2157" s="459">
        <v>2150</v>
      </c>
      <c r="I2157" s="444">
        <f t="shared" ca="1" si="125"/>
        <v>-2578906557.9398947</v>
      </c>
      <c r="J2157" s="444">
        <f t="array" ref="J2157">IFERROR(INDEX('Retirement Calculator'!K:K,MATCH('Lorri 401b'!N2157,'Retirement Calculator'!A:A,0),0),0)</f>
        <v>0</v>
      </c>
      <c r="K2157" s="444">
        <f t="shared" ca="1" si="123"/>
        <v>-10745443.991416227</v>
      </c>
      <c r="L2157" s="444">
        <f t="shared" ca="1" si="124"/>
        <v>-2589652001.9313111</v>
      </c>
      <c r="M2157" s="460">
        <f t="shared" si="126"/>
        <v>0.05</v>
      </c>
      <c r="N2157" s="464">
        <f t="shared" si="127"/>
        <v>116695</v>
      </c>
    </row>
    <row r="2158" spans="7:14" ht="11.25" customHeight="1" x14ac:dyDescent="0.3">
      <c r="G2158" s="459"/>
      <c r="H2158" s="459">
        <v>2151</v>
      </c>
      <c r="I2158" s="444">
        <f t="shared" ca="1" si="125"/>
        <v>-2589652001.9313111</v>
      </c>
      <c r="J2158" s="444">
        <f t="array" ref="J2158">IFERROR(INDEX('Retirement Calculator'!K:K,MATCH('Lorri 401b'!N2158,'Retirement Calculator'!A:A,0),0),0)</f>
        <v>0</v>
      </c>
      <c r="K2158" s="444">
        <f t="shared" ca="1" si="123"/>
        <v>-10790216.674713796</v>
      </c>
      <c r="L2158" s="444">
        <f t="shared" ca="1" si="124"/>
        <v>-2600442218.6060247</v>
      </c>
      <c r="M2158" s="460">
        <f t="shared" si="126"/>
        <v>0.05</v>
      </c>
      <c r="N2158" s="464">
        <f t="shared" si="127"/>
        <v>116726</v>
      </c>
    </row>
    <row r="2159" spans="7:14" ht="11.25" customHeight="1" x14ac:dyDescent="0.3">
      <c r="G2159" s="459"/>
      <c r="H2159" s="459">
        <v>2152</v>
      </c>
      <c r="I2159" s="444">
        <f t="shared" ca="1" si="125"/>
        <v>-2600442218.6060247</v>
      </c>
      <c r="J2159" s="444">
        <f t="array" ref="J2159">IFERROR(INDEX('Retirement Calculator'!K:K,MATCH('Lorri 401b'!N2159,'Retirement Calculator'!A:A,0),0),0)</f>
        <v>0</v>
      </c>
      <c r="K2159" s="444">
        <f t="shared" ca="1" si="123"/>
        <v>-10835175.910858436</v>
      </c>
      <c r="L2159" s="444">
        <f t="shared" ca="1" si="124"/>
        <v>-2611277394.5168834</v>
      </c>
      <c r="M2159" s="460">
        <f t="shared" si="126"/>
        <v>0.05</v>
      </c>
      <c r="N2159" s="464">
        <f t="shared" si="127"/>
        <v>116757</v>
      </c>
    </row>
    <row r="2160" spans="7:14" ht="11.25" customHeight="1" x14ac:dyDescent="0.3">
      <c r="G2160" s="459"/>
      <c r="H2160" s="459">
        <v>2153</v>
      </c>
      <c r="I2160" s="444">
        <f t="shared" ca="1" si="125"/>
        <v>-2611277394.5168834</v>
      </c>
      <c r="J2160" s="444">
        <f t="array" ref="J2160">IFERROR(INDEX('Retirement Calculator'!K:K,MATCH('Lorri 401b'!N2160,'Retirement Calculator'!A:A,0),0),0)</f>
        <v>0</v>
      </c>
      <c r="K2160" s="444">
        <f t="shared" ca="1" si="123"/>
        <v>-10880322.477153681</v>
      </c>
      <c r="L2160" s="444">
        <f t="shared" ca="1" si="124"/>
        <v>-2622157716.9940372</v>
      </c>
      <c r="M2160" s="460">
        <f t="shared" si="126"/>
        <v>0.05</v>
      </c>
      <c r="N2160" s="464">
        <f t="shared" si="127"/>
        <v>116787</v>
      </c>
    </row>
    <row r="2161" spans="7:14" ht="11.25" customHeight="1" x14ac:dyDescent="0.3">
      <c r="G2161" s="459"/>
      <c r="H2161" s="459">
        <v>2154</v>
      </c>
      <c r="I2161" s="444">
        <f t="shared" ca="1" si="125"/>
        <v>-2622157716.9940372</v>
      </c>
      <c r="J2161" s="444">
        <f t="array" ref="J2161">IFERROR(INDEX('Retirement Calculator'!K:K,MATCH('Lorri 401b'!N2161,'Retirement Calculator'!A:A,0),0),0)</f>
        <v>0</v>
      </c>
      <c r="K2161" s="444">
        <f t="shared" ca="1" si="123"/>
        <v>-10925657.154141821</v>
      </c>
      <c r="L2161" s="444">
        <f t="shared" ca="1" si="124"/>
        <v>-2633083374.1481791</v>
      </c>
      <c r="M2161" s="460">
        <f t="shared" si="126"/>
        <v>0.05</v>
      </c>
      <c r="N2161" s="464">
        <f t="shared" si="127"/>
        <v>116818</v>
      </c>
    </row>
    <row r="2162" spans="7:14" ht="11.25" customHeight="1" x14ac:dyDescent="0.3">
      <c r="G2162" s="459"/>
      <c r="H2162" s="459">
        <v>2155</v>
      </c>
      <c r="I2162" s="444">
        <f t="shared" ca="1" si="125"/>
        <v>-2633083374.1481791</v>
      </c>
      <c r="J2162" s="444">
        <f t="array" ref="J2162">IFERROR(INDEX('Retirement Calculator'!K:K,MATCH('Lorri 401b'!N2162,'Retirement Calculator'!A:A,0),0),0)</f>
        <v>0</v>
      </c>
      <c r="K2162" s="444">
        <f t="shared" ca="1" si="123"/>
        <v>-10971180.725617412</v>
      </c>
      <c r="L2162" s="444">
        <f t="shared" ca="1" si="124"/>
        <v>-2644054554.8737965</v>
      </c>
      <c r="M2162" s="460">
        <f t="shared" si="126"/>
        <v>0.05</v>
      </c>
      <c r="N2162" s="464">
        <f t="shared" si="127"/>
        <v>116848</v>
      </c>
    </row>
    <row r="2163" spans="7:14" ht="11.25" customHeight="1" x14ac:dyDescent="0.3">
      <c r="G2163" s="459"/>
      <c r="H2163" s="459">
        <v>2156</v>
      </c>
      <c r="I2163" s="444">
        <f t="shared" ca="1" si="125"/>
        <v>-2644054554.8737965</v>
      </c>
      <c r="J2163" s="444">
        <f t="array" ref="J2163">IFERROR(INDEX('Retirement Calculator'!K:K,MATCH('Lorri 401b'!N2163,'Retirement Calculator'!A:A,0),0),0)</f>
        <v>0</v>
      </c>
      <c r="K2163" s="444">
        <f t="shared" ca="1" si="123"/>
        <v>-11016893.978640819</v>
      </c>
      <c r="L2163" s="444">
        <f t="shared" ca="1" si="124"/>
        <v>-2655071448.8524375</v>
      </c>
      <c r="M2163" s="460">
        <f t="shared" si="126"/>
        <v>0.05</v>
      </c>
      <c r="N2163" s="464">
        <f t="shared" si="127"/>
        <v>116879</v>
      </c>
    </row>
    <row r="2164" spans="7:14" ht="11.25" customHeight="1" x14ac:dyDescent="0.3">
      <c r="G2164" s="459"/>
      <c r="H2164" s="459">
        <v>2157</v>
      </c>
      <c r="I2164" s="444">
        <f t="shared" ca="1" si="125"/>
        <v>-2655071448.8524375</v>
      </c>
      <c r="J2164" s="444">
        <f t="array" ref="J2164">IFERROR(INDEX('Retirement Calculator'!K:K,MATCH('Lorri 401b'!N2164,'Retirement Calculator'!A:A,0),0),0)</f>
        <v>0</v>
      </c>
      <c r="K2164" s="444">
        <f t="shared" ca="1" si="123"/>
        <v>-11062797.703551823</v>
      </c>
      <c r="L2164" s="444">
        <f t="shared" ca="1" si="124"/>
        <v>-2666134246.5559893</v>
      </c>
      <c r="M2164" s="460">
        <f t="shared" si="126"/>
        <v>0.05</v>
      </c>
      <c r="N2164" s="464">
        <f t="shared" si="127"/>
        <v>116910</v>
      </c>
    </row>
    <row r="2165" spans="7:14" ht="11.25" customHeight="1" x14ac:dyDescent="0.3">
      <c r="G2165" s="459"/>
      <c r="H2165" s="459">
        <v>2158</v>
      </c>
      <c r="I2165" s="444">
        <f t="shared" ca="1" si="125"/>
        <v>-2666134246.5559893</v>
      </c>
      <c r="J2165" s="444">
        <f t="array" ref="J2165">IFERROR(INDEX('Retirement Calculator'!K:K,MATCH('Lorri 401b'!N2165,'Retirement Calculator'!A:A,0),0),0)</f>
        <v>0</v>
      </c>
      <c r="K2165" s="444">
        <f t="shared" ca="1" si="123"/>
        <v>-11108892.693983288</v>
      </c>
      <c r="L2165" s="444">
        <f t="shared" ca="1" si="124"/>
        <v>-2677243139.2499723</v>
      </c>
      <c r="M2165" s="460">
        <f t="shared" si="126"/>
        <v>0.05</v>
      </c>
      <c r="N2165" s="464">
        <f t="shared" si="127"/>
        <v>116939</v>
      </c>
    </row>
    <row r="2166" spans="7:14" ht="11.25" customHeight="1" x14ac:dyDescent="0.3">
      <c r="G2166" s="459"/>
      <c r="H2166" s="459">
        <v>2159</v>
      </c>
      <c r="I2166" s="444">
        <f t="shared" ca="1" si="125"/>
        <v>-2677243139.2499723</v>
      </c>
      <c r="J2166" s="444">
        <f t="array" ref="J2166">IFERROR(INDEX('Retirement Calculator'!K:K,MATCH('Lorri 401b'!N2166,'Retirement Calculator'!A:A,0),0),0)</f>
        <v>0</v>
      </c>
      <c r="K2166" s="444">
        <f t="shared" ca="1" si="123"/>
        <v>-11155179.746874884</v>
      </c>
      <c r="L2166" s="444">
        <f t="shared" ca="1" si="124"/>
        <v>-2688398318.9968472</v>
      </c>
      <c r="M2166" s="460">
        <f t="shared" si="126"/>
        <v>0.05</v>
      </c>
      <c r="N2166" s="464">
        <f t="shared" si="127"/>
        <v>116970</v>
      </c>
    </row>
    <row r="2167" spans="7:14" ht="11.25" customHeight="1" x14ac:dyDescent="0.3">
      <c r="G2167" s="459"/>
      <c r="H2167" s="459">
        <v>2160</v>
      </c>
      <c r="I2167" s="444">
        <f t="shared" ca="1" si="125"/>
        <v>-2688398318.9968472</v>
      </c>
      <c r="J2167" s="444">
        <f t="array" ref="J2167">IFERROR(INDEX('Retirement Calculator'!K:K,MATCH('Lorri 401b'!N2167,'Retirement Calculator'!A:A,0),0),0)</f>
        <v>0</v>
      </c>
      <c r="K2167" s="444">
        <f t="shared" ca="1" si="123"/>
        <v>-11201659.662486862</v>
      </c>
      <c r="L2167" s="444">
        <f t="shared" ca="1" si="124"/>
        <v>-2699599978.6593342</v>
      </c>
      <c r="M2167" s="460">
        <f t="shared" si="126"/>
        <v>0.05</v>
      </c>
      <c r="N2167" s="464">
        <f t="shared" si="127"/>
        <v>117000</v>
      </c>
    </row>
    <row r="2168" spans="7:14" ht="11.25" customHeight="1" x14ac:dyDescent="0.3">
      <c r="G2168" s="459"/>
      <c r="H2168" s="459">
        <v>2161</v>
      </c>
      <c r="I2168" s="444">
        <f t="shared" ca="1" si="125"/>
        <v>-2699599978.6593342</v>
      </c>
      <c r="J2168" s="444">
        <f t="array" ref="J2168">IFERROR(INDEX('Retirement Calculator'!K:K,MATCH('Lorri 401b'!N2168,'Retirement Calculator'!A:A,0),0),0)</f>
        <v>0</v>
      </c>
      <c r="K2168" s="444">
        <f t="shared" ca="1" si="123"/>
        <v>-11248333.244413892</v>
      </c>
      <c r="L2168" s="444">
        <f t="shared" ca="1" si="124"/>
        <v>-2710848311.903748</v>
      </c>
      <c r="M2168" s="460">
        <f t="shared" si="126"/>
        <v>0.05</v>
      </c>
      <c r="N2168" s="464">
        <f t="shared" si="127"/>
        <v>117031</v>
      </c>
    </row>
    <row r="2169" spans="7:14" ht="11.25" customHeight="1" x14ac:dyDescent="0.3">
      <c r="G2169" s="459"/>
      <c r="H2169" s="459">
        <v>2162</v>
      </c>
      <c r="I2169" s="444">
        <f t="shared" ca="1" si="125"/>
        <v>-2710848311.903748</v>
      </c>
      <c r="J2169" s="444">
        <f t="array" ref="J2169">IFERROR(INDEX('Retirement Calculator'!K:K,MATCH('Lorri 401b'!N2169,'Retirement Calculator'!A:A,0),0),0)</f>
        <v>0</v>
      </c>
      <c r="K2169" s="444">
        <f t="shared" ca="1" si="123"/>
        <v>-11295201.299598951</v>
      </c>
      <c r="L2169" s="444">
        <f t="shared" ca="1" si="124"/>
        <v>-2722143513.2033472</v>
      </c>
      <c r="M2169" s="460">
        <f t="shared" si="126"/>
        <v>0.05</v>
      </c>
      <c r="N2169" s="464">
        <f t="shared" si="127"/>
        <v>117061</v>
      </c>
    </row>
    <row r="2170" spans="7:14" ht="11.25" customHeight="1" x14ac:dyDescent="0.3">
      <c r="G2170" s="459"/>
      <c r="H2170" s="459">
        <v>2163</v>
      </c>
      <c r="I2170" s="444">
        <f t="shared" ca="1" si="125"/>
        <v>-2722143513.2033472</v>
      </c>
      <c r="J2170" s="444">
        <f t="array" ref="J2170">IFERROR(INDEX('Retirement Calculator'!K:K,MATCH('Lorri 401b'!N2170,'Retirement Calculator'!A:A,0),0),0)</f>
        <v>0</v>
      </c>
      <c r="K2170" s="444">
        <f t="shared" ca="1" si="123"/>
        <v>-11342264.638347279</v>
      </c>
      <c r="L2170" s="444">
        <f t="shared" ca="1" si="124"/>
        <v>-2733485777.8416944</v>
      </c>
      <c r="M2170" s="460">
        <f t="shared" si="126"/>
        <v>0.05</v>
      </c>
      <c r="N2170" s="464">
        <f t="shared" si="127"/>
        <v>117092</v>
      </c>
    </row>
    <row r="2171" spans="7:14" ht="11.25" customHeight="1" x14ac:dyDescent="0.3">
      <c r="G2171" s="459"/>
      <c r="H2171" s="459">
        <v>2164</v>
      </c>
      <c r="I2171" s="444">
        <f t="shared" ca="1" si="125"/>
        <v>-2733485777.8416944</v>
      </c>
      <c r="J2171" s="444">
        <f t="array" ref="J2171">IFERROR(INDEX('Retirement Calculator'!K:K,MATCH('Lorri 401b'!N2171,'Retirement Calculator'!A:A,0),0),0)</f>
        <v>0</v>
      </c>
      <c r="K2171" s="444">
        <f t="shared" ca="1" si="123"/>
        <v>-11389524.074340394</v>
      </c>
      <c r="L2171" s="444">
        <f t="shared" ca="1" si="124"/>
        <v>-2744875301.9160347</v>
      </c>
      <c r="M2171" s="460">
        <f t="shared" si="126"/>
        <v>0.05</v>
      </c>
      <c r="N2171" s="464">
        <f t="shared" si="127"/>
        <v>117123</v>
      </c>
    </row>
    <row r="2172" spans="7:14" ht="11.25" customHeight="1" x14ac:dyDescent="0.3">
      <c r="G2172" s="459"/>
      <c r="H2172" s="459">
        <v>2165</v>
      </c>
      <c r="I2172" s="444">
        <f t="shared" ca="1" si="125"/>
        <v>-2744875301.9160347</v>
      </c>
      <c r="J2172" s="444">
        <f t="array" ref="J2172">IFERROR(INDEX('Retirement Calculator'!K:K,MATCH('Lorri 401b'!N2172,'Retirement Calculator'!A:A,0),0),0)</f>
        <v>0</v>
      </c>
      <c r="K2172" s="444">
        <f t="shared" ca="1" si="123"/>
        <v>-11436980.424650144</v>
      </c>
      <c r="L2172" s="444">
        <f t="shared" ca="1" si="124"/>
        <v>-2756312282.3406849</v>
      </c>
      <c r="M2172" s="460">
        <f t="shared" si="126"/>
        <v>0.05</v>
      </c>
      <c r="N2172" s="464">
        <f t="shared" si="127"/>
        <v>117153</v>
      </c>
    </row>
    <row r="2173" spans="7:14" ht="11.25" customHeight="1" x14ac:dyDescent="0.3">
      <c r="G2173" s="459"/>
      <c r="H2173" s="459">
        <v>2166</v>
      </c>
      <c r="I2173" s="444">
        <f t="shared" ca="1" si="125"/>
        <v>-2756312282.3406849</v>
      </c>
      <c r="J2173" s="444">
        <f t="array" ref="J2173">IFERROR(INDEX('Retirement Calculator'!K:K,MATCH('Lorri 401b'!N2173,'Retirement Calculator'!A:A,0),0),0)</f>
        <v>0</v>
      </c>
      <c r="K2173" s="444">
        <f t="shared" ca="1" si="123"/>
        <v>-11484634.509752853</v>
      </c>
      <c r="L2173" s="444">
        <f t="shared" ca="1" si="124"/>
        <v>-2767796916.8504376</v>
      </c>
      <c r="M2173" s="460">
        <f t="shared" si="126"/>
        <v>0.05</v>
      </c>
      <c r="N2173" s="464">
        <f t="shared" si="127"/>
        <v>117184</v>
      </c>
    </row>
    <row r="2174" spans="7:14" ht="11.25" customHeight="1" x14ac:dyDescent="0.3">
      <c r="G2174" s="459"/>
      <c r="H2174" s="459">
        <v>2167</v>
      </c>
      <c r="I2174" s="444">
        <f t="shared" ca="1" si="125"/>
        <v>-2767796916.8504376</v>
      </c>
      <c r="J2174" s="444">
        <f t="array" ref="J2174">IFERROR(INDEX('Retirement Calculator'!K:K,MATCH('Lorri 401b'!N2174,'Retirement Calculator'!A:A,0),0),0)</f>
        <v>0</v>
      </c>
      <c r="K2174" s="444">
        <f t="shared" ca="1" si="123"/>
        <v>-11532487.153543491</v>
      </c>
      <c r="L2174" s="444">
        <f t="shared" ca="1" si="124"/>
        <v>-2779329404.0039811</v>
      </c>
      <c r="M2174" s="460">
        <f t="shared" si="126"/>
        <v>0.05</v>
      </c>
      <c r="N2174" s="464">
        <f t="shared" si="127"/>
        <v>117214</v>
      </c>
    </row>
    <row r="2175" spans="7:14" ht="11.25" customHeight="1" x14ac:dyDescent="0.3">
      <c r="G2175" s="459"/>
      <c r="H2175" s="459">
        <v>2168</v>
      </c>
      <c r="I2175" s="444">
        <f t="shared" ca="1" si="125"/>
        <v>-2779329404.0039811</v>
      </c>
      <c r="J2175" s="444">
        <f t="array" ref="J2175">IFERROR(INDEX('Retirement Calculator'!K:K,MATCH('Lorri 401b'!N2175,'Retirement Calculator'!A:A,0),0),0)</f>
        <v>0</v>
      </c>
      <c r="K2175" s="444">
        <f t="shared" ca="1" si="123"/>
        <v>-11580539.18334992</v>
      </c>
      <c r="L2175" s="444">
        <f t="shared" ca="1" si="124"/>
        <v>-2790909943.1873312</v>
      </c>
      <c r="M2175" s="460">
        <f t="shared" si="126"/>
        <v>0.05</v>
      </c>
      <c r="N2175" s="464">
        <f t="shared" si="127"/>
        <v>117245</v>
      </c>
    </row>
    <row r="2176" spans="7:14" ht="11.25" customHeight="1" x14ac:dyDescent="0.3">
      <c r="G2176" s="459"/>
      <c r="H2176" s="459">
        <v>2169</v>
      </c>
      <c r="I2176" s="444">
        <f t="shared" ca="1" si="125"/>
        <v>-2790909943.1873312</v>
      </c>
      <c r="J2176" s="444">
        <f t="array" ref="J2176">IFERROR(INDEX('Retirement Calculator'!K:K,MATCH('Lorri 401b'!N2176,'Retirement Calculator'!A:A,0),0),0)</f>
        <v>0</v>
      </c>
      <c r="K2176" s="444">
        <f t="shared" ca="1" si="123"/>
        <v>-11628791.429947212</v>
      </c>
      <c r="L2176" s="444">
        <f t="shared" ca="1" si="124"/>
        <v>-2802538734.6172786</v>
      </c>
      <c r="M2176" s="460">
        <f t="shared" si="126"/>
        <v>0.05</v>
      </c>
      <c r="N2176" s="464">
        <f t="shared" si="127"/>
        <v>117276</v>
      </c>
    </row>
    <row r="2177" spans="7:14" ht="11.25" customHeight="1" x14ac:dyDescent="0.3">
      <c r="G2177" s="459"/>
      <c r="H2177" s="459">
        <v>2170</v>
      </c>
      <c r="I2177" s="444">
        <f t="shared" ca="1" si="125"/>
        <v>-2802538734.6172786</v>
      </c>
      <c r="J2177" s="444">
        <f t="array" ref="J2177">IFERROR(INDEX('Retirement Calculator'!K:K,MATCH('Lorri 401b'!N2177,'Retirement Calculator'!A:A,0),0),0)</f>
        <v>0</v>
      </c>
      <c r="K2177" s="444">
        <f t="shared" ca="1" si="123"/>
        <v>-11677244.727571994</v>
      </c>
      <c r="L2177" s="444">
        <f t="shared" ca="1" si="124"/>
        <v>-2814215979.3448505</v>
      </c>
      <c r="M2177" s="460">
        <f t="shared" si="126"/>
        <v>0.05</v>
      </c>
      <c r="N2177" s="464">
        <f t="shared" si="127"/>
        <v>117304</v>
      </c>
    </row>
    <row r="2178" spans="7:14" ht="11.25" customHeight="1" x14ac:dyDescent="0.3">
      <c r="G2178" s="459"/>
      <c r="H2178" s="459">
        <v>2171</v>
      </c>
      <c r="I2178" s="444">
        <f t="shared" ca="1" si="125"/>
        <v>-2814215979.3448505</v>
      </c>
      <c r="J2178" s="444">
        <f t="array" ref="J2178">IFERROR(INDEX('Retirement Calculator'!K:K,MATCH('Lorri 401b'!N2178,'Retirement Calculator'!A:A,0),0),0)</f>
        <v>0</v>
      </c>
      <c r="K2178" s="444">
        <f t="shared" ca="1" si="123"/>
        <v>-11725899.913936878</v>
      </c>
      <c r="L2178" s="444">
        <f t="shared" ca="1" si="124"/>
        <v>-2825941879.2587876</v>
      </c>
      <c r="M2178" s="460">
        <f t="shared" si="126"/>
        <v>0.05</v>
      </c>
      <c r="N2178" s="464">
        <f t="shared" si="127"/>
        <v>117335</v>
      </c>
    </row>
    <row r="2179" spans="7:14" ht="11.25" customHeight="1" x14ac:dyDescent="0.3">
      <c r="G2179" s="459"/>
      <c r="H2179" s="459">
        <v>2172</v>
      </c>
      <c r="I2179" s="444">
        <f t="shared" ca="1" si="125"/>
        <v>-2825941879.2587876</v>
      </c>
      <c r="J2179" s="444">
        <f t="array" ref="J2179">IFERROR(INDEX('Retirement Calculator'!K:K,MATCH('Lorri 401b'!N2179,'Retirement Calculator'!A:A,0),0),0)</f>
        <v>0</v>
      </c>
      <c r="K2179" s="444">
        <f t="shared" ca="1" si="123"/>
        <v>-11774757.830244949</v>
      </c>
      <c r="L2179" s="444">
        <f t="shared" ca="1" si="124"/>
        <v>-2837716637.0890326</v>
      </c>
      <c r="M2179" s="460">
        <f t="shared" si="126"/>
        <v>0.05</v>
      </c>
      <c r="N2179" s="464">
        <f t="shared" si="127"/>
        <v>117365</v>
      </c>
    </row>
    <row r="2180" spans="7:14" ht="11.25" customHeight="1" x14ac:dyDescent="0.3">
      <c r="G2180" s="459"/>
      <c r="H2180" s="459">
        <v>2173</v>
      </c>
      <c r="I2180" s="444">
        <f t="shared" ca="1" si="125"/>
        <v>-2837716637.0890326</v>
      </c>
      <c r="J2180" s="444">
        <f t="array" ref="J2180">IFERROR(INDEX('Retirement Calculator'!K:K,MATCH('Lorri 401b'!N2180,'Retirement Calculator'!A:A,0),0),0)</f>
        <v>0</v>
      </c>
      <c r="K2180" s="444">
        <f t="shared" ca="1" si="123"/>
        <v>-11823819.321204303</v>
      </c>
      <c r="L2180" s="444">
        <f t="shared" ca="1" si="124"/>
        <v>-2849540456.4102368</v>
      </c>
      <c r="M2180" s="460">
        <f t="shared" si="126"/>
        <v>0.05</v>
      </c>
      <c r="N2180" s="464">
        <f t="shared" si="127"/>
        <v>117396</v>
      </c>
    </row>
    <row r="2181" spans="7:14" ht="11.25" customHeight="1" x14ac:dyDescent="0.3">
      <c r="G2181" s="459"/>
      <c r="H2181" s="459">
        <v>2174</v>
      </c>
      <c r="I2181" s="444">
        <f t="shared" ca="1" si="125"/>
        <v>-2849540456.4102368</v>
      </c>
      <c r="J2181" s="444">
        <f t="array" ref="J2181">IFERROR(INDEX('Retirement Calculator'!K:K,MATCH('Lorri 401b'!N2181,'Retirement Calculator'!A:A,0),0),0)</f>
        <v>0</v>
      </c>
      <c r="K2181" s="444">
        <f t="shared" ca="1" si="123"/>
        <v>-11873085.235042654</v>
      </c>
      <c r="L2181" s="444">
        <f t="shared" ca="1" si="124"/>
        <v>-2861413541.6452794</v>
      </c>
      <c r="M2181" s="460">
        <f t="shared" si="126"/>
        <v>0.05</v>
      </c>
      <c r="N2181" s="464">
        <f t="shared" si="127"/>
        <v>117426</v>
      </c>
    </row>
    <row r="2182" spans="7:14" ht="11.25" customHeight="1" x14ac:dyDescent="0.3">
      <c r="G2182" s="459"/>
      <c r="H2182" s="459">
        <v>2175</v>
      </c>
      <c r="I2182" s="444">
        <f t="shared" ca="1" si="125"/>
        <v>-2861413541.6452794</v>
      </c>
      <c r="J2182" s="444">
        <f t="array" ref="J2182">IFERROR(INDEX('Retirement Calculator'!K:K,MATCH('Lorri 401b'!N2182,'Retirement Calculator'!A:A,0),0),0)</f>
        <v>0</v>
      </c>
      <c r="K2182" s="444">
        <f t="shared" ca="1" si="123"/>
        <v>-11922556.423521997</v>
      </c>
      <c r="L2182" s="444">
        <f t="shared" ca="1" si="124"/>
        <v>-2873336098.0688014</v>
      </c>
      <c r="M2182" s="460">
        <f t="shared" si="126"/>
        <v>0.05</v>
      </c>
      <c r="N2182" s="464">
        <f t="shared" si="127"/>
        <v>117457</v>
      </c>
    </row>
    <row r="2183" spans="7:14" ht="11.25" customHeight="1" x14ac:dyDescent="0.3">
      <c r="G2183" s="459"/>
      <c r="H2183" s="459">
        <v>2176</v>
      </c>
      <c r="I2183" s="444">
        <f t="shared" ca="1" si="125"/>
        <v>-2873336098.0688014</v>
      </c>
      <c r="J2183" s="444">
        <f t="array" ref="J2183">IFERROR(INDEX('Retirement Calculator'!K:K,MATCH('Lorri 401b'!N2183,'Retirement Calculator'!A:A,0),0),0)</f>
        <v>0</v>
      </c>
      <c r="K2183" s="444">
        <f t="shared" ca="1" si="123"/>
        <v>-11972233.741953339</v>
      </c>
      <c r="L2183" s="444">
        <f t="shared" ca="1" si="124"/>
        <v>-2885308331.8107548</v>
      </c>
      <c r="M2183" s="460">
        <f t="shared" si="126"/>
        <v>0.05</v>
      </c>
      <c r="N2183" s="464">
        <f t="shared" si="127"/>
        <v>117488</v>
      </c>
    </row>
    <row r="2184" spans="7:14" ht="11.25" customHeight="1" x14ac:dyDescent="0.3">
      <c r="G2184" s="459"/>
      <c r="H2184" s="459">
        <v>2177</v>
      </c>
      <c r="I2184" s="444">
        <f t="shared" ca="1" si="125"/>
        <v>-2885308331.8107548</v>
      </c>
      <c r="J2184" s="444">
        <f t="array" ref="J2184">IFERROR(INDEX('Retirement Calculator'!K:K,MATCH('Lorri 401b'!N2184,'Retirement Calculator'!A:A,0),0),0)</f>
        <v>0</v>
      </c>
      <c r="K2184" s="444">
        <f t="shared" ca="1" si="123"/>
        <v>-12022118.049211478</v>
      </c>
      <c r="L2184" s="444">
        <f t="shared" ca="1" si="124"/>
        <v>-2897330449.8599663</v>
      </c>
      <c r="M2184" s="460">
        <f t="shared" si="126"/>
        <v>0.05</v>
      </c>
      <c r="N2184" s="464">
        <f t="shared" si="127"/>
        <v>117518</v>
      </c>
    </row>
    <row r="2185" spans="7:14" ht="11.25" customHeight="1" x14ac:dyDescent="0.3">
      <c r="G2185" s="459"/>
      <c r="H2185" s="459">
        <v>2178</v>
      </c>
      <c r="I2185" s="444">
        <f t="shared" ca="1" si="125"/>
        <v>-2897330449.8599663</v>
      </c>
      <c r="J2185" s="444">
        <f t="array" ref="J2185">IFERROR(INDEX('Retirement Calculator'!K:K,MATCH('Lorri 401b'!N2185,'Retirement Calculator'!A:A,0),0),0)</f>
        <v>0</v>
      </c>
      <c r="K2185" s="444">
        <f t="shared" ca="1" si="123"/>
        <v>-12072210.207749858</v>
      </c>
      <c r="L2185" s="444">
        <f t="shared" ca="1" si="124"/>
        <v>-2909402660.0677161</v>
      </c>
      <c r="M2185" s="460">
        <f t="shared" si="126"/>
        <v>0.05</v>
      </c>
      <c r="N2185" s="464">
        <f t="shared" si="127"/>
        <v>117549</v>
      </c>
    </row>
    <row r="2186" spans="7:14" ht="11.25" customHeight="1" x14ac:dyDescent="0.3">
      <c r="G2186" s="459"/>
      <c r="H2186" s="459">
        <v>2179</v>
      </c>
      <c r="I2186" s="444">
        <f t="shared" ca="1" si="125"/>
        <v>-2909402660.0677161</v>
      </c>
      <c r="J2186" s="444">
        <f t="array" ref="J2186">IFERROR(INDEX('Retirement Calculator'!K:K,MATCH('Lorri 401b'!N2186,'Retirement Calculator'!A:A,0),0),0)</f>
        <v>0</v>
      </c>
      <c r="K2186" s="444">
        <f t="shared" ca="1" si="123"/>
        <v>-12122511.083615484</v>
      </c>
      <c r="L2186" s="444">
        <f t="shared" ca="1" si="124"/>
        <v>-2921525171.1513314</v>
      </c>
      <c r="M2186" s="460">
        <f t="shared" si="126"/>
        <v>0.05</v>
      </c>
      <c r="N2186" s="464">
        <f t="shared" si="127"/>
        <v>117579</v>
      </c>
    </row>
    <row r="2187" spans="7:14" ht="11.25" customHeight="1" x14ac:dyDescent="0.3">
      <c r="G2187" s="459"/>
      <c r="H2187" s="459">
        <v>2180</v>
      </c>
      <c r="I2187" s="444">
        <f t="shared" ca="1" si="125"/>
        <v>-2921525171.1513314</v>
      </c>
      <c r="J2187" s="444">
        <f t="array" ref="J2187">IFERROR(INDEX('Retirement Calculator'!K:K,MATCH('Lorri 401b'!N2187,'Retirement Calculator'!A:A,0),0),0)</f>
        <v>0</v>
      </c>
      <c r="K2187" s="444">
        <f t="shared" ca="1" si="123"/>
        <v>-12173021.546463881</v>
      </c>
      <c r="L2187" s="444">
        <f t="shared" ca="1" si="124"/>
        <v>-2933698192.6977954</v>
      </c>
      <c r="M2187" s="460">
        <f t="shared" si="126"/>
        <v>0.05</v>
      </c>
      <c r="N2187" s="464">
        <f t="shared" si="127"/>
        <v>117610</v>
      </c>
    </row>
    <row r="2188" spans="7:14" ht="11.25" customHeight="1" x14ac:dyDescent="0.3">
      <c r="G2188" s="459"/>
      <c r="H2188" s="459">
        <v>2181</v>
      </c>
      <c r="I2188" s="444">
        <f t="shared" ca="1" si="125"/>
        <v>-2933698192.6977954</v>
      </c>
      <c r="J2188" s="444">
        <f t="array" ref="J2188">IFERROR(INDEX('Retirement Calculator'!K:K,MATCH('Lorri 401b'!N2188,'Retirement Calculator'!A:A,0),0),0)</f>
        <v>0</v>
      </c>
      <c r="K2188" s="444">
        <f t="shared" ca="1" si="123"/>
        <v>-12223742.469574148</v>
      </c>
      <c r="L2188" s="444">
        <f t="shared" ca="1" si="124"/>
        <v>-2945921935.1673694</v>
      </c>
      <c r="M2188" s="460">
        <f t="shared" si="126"/>
        <v>0.05</v>
      </c>
      <c r="N2188" s="464">
        <f t="shared" si="127"/>
        <v>117641</v>
      </c>
    </row>
    <row r="2189" spans="7:14" ht="11.25" customHeight="1" x14ac:dyDescent="0.3">
      <c r="G2189" s="459"/>
      <c r="H2189" s="459">
        <v>2182</v>
      </c>
      <c r="I2189" s="444">
        <f t="shared" ca="1" si="125"/>
        <v>-2945921935.1673694</v>
      </c>
      <c r="J2189" s="444">
        <f t="array" ref="J2189">IFERROR(INDEX('Retirement Calculator'!K:K,MATCH('Lorri 401b'!N2189,'Retirement Calculator'!A:A,0),0),0)</f>
        <v>0</v>
      </c>
      <c r="K2189" s="444">
        <f t="shared" ca="1" si="123"/>
        <v>-12274674.729864039</v>
      </c>
      <c r="L2189" s="444">
        <f t="shared" ca="1" si="124"/>
        <v>-2958196609.8972335</v>
      </c>
      <c r="M2189" s="460">
        <f t="shared" si="126"/>
        <v>0.05</v>
      </c>
      <c r="N2189" s="464">
        <f t="shared" si="127"/>
        <v>117669</v>
      </c>
    </row>
    <row r="2190" spans="7:14" ht="11.25" customHeight="1" x14ac:dyDescent="0.3">
      <c r="G2190" s="459"/>
      <c r="H2190" s="459">
        <v>2183</v>
      </c>
      <c r="I2190" s="444">
        <f t="shared" ca="1" si="125"/>
        <v>-2958196609.8972335</v>
      </c>
      <c r="J2190" s="444">
        <f t="array" ref="J2190">IFERROR(INDEX('Retirement Calculator'!K:K,MATCH('Lorri 401b'!N2190,'Retirement Calculator'!A:A,0),0),0)</f>
        <v>0</v>
      </c>
      <c r="K2190" s="444">
        <f t="shared" ca="1" si="123"/>
        <v>-12325819.20790514</v>
      </c>
      <c r="L2190" s="444">
        <f t="shared" ca="1" si="124"/>
        <v>-2970522429.1051388</v>
      </c>
      <c r="M2190" s="460">
        <f t="shared" si="126"/>
        <v>0.05</v>
      </c>
      <c r="N2190" s="464">
        <f t="shared" si="127"/>
        <v>117700</v>
      </c>
    </row>
    <row r="2191" spans="7:14" ht="11.25" customHeight="1" x14ac:dyDescent="0.3">
      <c r="G2191" s="459"/>
      <c r="H2191" s="459">
        <v>2184</v>
      </c>
      <c r="I2191" s="444">
        <f t="shared" ca="1" si="125"/>
        <v>-2970522429.1051388</v>
      </c>
      <c r="J2191" s="444">
        <f t="array" ref="J2191">IFERROR(INDEX('Retirement Calculator'!K:K,MATCH('Lorri 401b'!N2191,'Retirement Calculator'!A:A,0),0),0)</f>
        <v>0</v>
      </c>
      <c r="K2191" s="444">
        <f t="shared" ca="1" si="123"/>
        <v>-12377176.787938079</v>
      </c>
      <c r="L2191" s="444">
        <f t="shared" ca="1" si="124"/>
        <v>-2982899605.8930769</v>
      </c>
      <c r="M2191" s="460">
        <f t="shared" si="126"/>
        <v>0.05</v>
      </c>
      <c r="N2191" s="464">
        <f t="shared" si="127"/>
        <v>117730</v>
      </c>
    </row>
    <row r="2192" spans="7:14" ht="11.25" customHeight="1" x14ac:dyDescent="0.3">
      <c r="G2192" s="459"/>
      <c r="H2192" s="459">
        <v>2185</v>
      </c>
      <c r="I2192" s="444">
        <f t="shared" ca="1" si="125"/>
        <v>-2982899605.8930769</v>
      </c>
      <c r="J2192" s="444">
        <f t="array" ref="J2192">IFERROR(INDEX('Retirement Calculator'!K:K,MATCH('Lorri 401b'!N2192,'Retirement Calculator'!A:A,0),0),0)</f>
        <v>0</v>
      </c>
      <c r="K2192" s="444">
        <f t="shared" ca="1" si="123"/>
        <v>-12428748.357887819</v>
      </c>
      <c r="L2192" s="444">
        <f t="shared" ca="1" si="124"/>
        <v>-2995328354.2509646</v>
      </c>
      <c r="M2192" s="460">
        <f t="shared" si="126"/>
        <v>0.05</v>
      </c>
      <c r="N2192" s="464">
        <f t="shared" si="127"/>
        <v>117761</v>
      </c>
    </row>
    <row r="2193" spans="7:14" ht="11.25" customHeight="1" x14ac:dyDescent="0.3">
      <c r="G2193" s="459"/>
      <c r="H2193" s="459">
        <v>2186</v>
      </c>
      <c r="I2193" s="444">
        <f t="shared" ca="1" si="125"/>
        <v>-2995328354.2509646</v>
      </c>
      <c r="J2193" s="444">
        <f t="array" ref="J2193">IFERROR(INDEX('Retirement Calculator'!K:K,MATCH('Lorri 401b'!N2193,'Retirement Calculator'!A:A,0),0),0)</f>
        <v>0</v>
      </c>
      <c r="K2193" s="444">
        <f t="shared" ca="1" si="123"/>
        <v>-12480534.809379019</v>
      </c>
      <c r="L2193" s="444">
        <f t="shared" ca="1" si="124"/>
        <v>-3007808889.0603437</v>
      </c>
      <c r="M2193" s="460">
        <f t="shared" si="126"/>
        <v>0.05</v>
      </c>
      <c r="N2193" s="464">
        <f t="shared" si="127"/>
        <v>117791</v>
      </c>
    </row>
    <row r="2194" spans="7:14" ht="11.25" customHeight="1" x14ac:dyDescent="0.3">
      <c r="G2194" s="459"/>
      <c r="H2194" s="459">
        <v>2187</v>
      </c>
      <c r="I2194" s="444">
        <f t="shared" ca="1" si="125"/>
        <v>-3007808889.0603437</v>
      </c>
      <c r="J2194" s="444">
        <f t="array" ref="J2194">IFERROR(INDEX('Retirement Calculator'!K:K,MATCH('Lorri 401b'!N2194,'Retirement Calculator'!A:A,0),0),0)</f>
        <v>0</v>
      </c>
      <c r="K2194" s="444">
        <f t="shared" ca="1" si="123"/>
        <v>-12532537.037751433</v>
      </c>
      <c r="L2194" s="444">
        <f t="shared" ca="1" si="124"/>
        <v>-3020341426.0980949</v>
      </c>
      <c r="M2194" s="460">
        <f t="shared" si="126"/>
        <v>0.05</v>
      </c>
      <c r="N2194" s="464">
        <f t="shared" si="127"/>
        <v>117822</v>
      </c>
    </row>
    <row r="2195" spans="7:14" ht="11.25" customHeight="1" x14ac:dyDescent="0.3">
      <c r="G2195" s="459"/>
      <c r="H2195" s="459">
        <v>2188</v>
      </c>
      <c r="I2195" s="444">
        <f t="shared" ca="1" si="125"/>
        <v>-3020341426.0980949</v>
      </c>
      <c r="J2195" s="444">
        <f t="array" ref="J2195">IFERROR(INDEX('Retirement Calculator'!K:K,MATCH('Lorri 401b'!N2195,'Retirement Calculator'!A:A,0),0),0)</f>
        <v>0</v>
      </c>
      <c r="K2195" s="444">
        <f t="shared" ca="1" si="123"/>
        <v>-12584755.942075396</v>
      </c>
      <c r="L2195" s="444">
        <f t="shared" ca="1" si="124"/>
        <v>-3032926182.0401702</v>
      </c>
      <c r="M2195" s="460">
        <f t="shared" si="126"/>
        <v>0.05</v>
      </c>
      <c r="N2195" s="464">
        <f t="shared" si="127"/>
        <v>117853</v>
      </c>
    </row>
    <row r="2196" spans="7:14" ht="11.25" customHeight="1" x14ac:dyDescent="0.3">
      <c r="G2196" s="459"/>
      <c r="H2196" s="459">
        <v>2189</v>
      </c>
      <c r="I2196" s="444">
        <f t="shared" ca="1" si="125"/>
        <v>-3032926182.0401702</v>
      </c>
      <c r="J2196" s="444">
        <f t="array" ref="J2196">IFERROR(INDEX('Retirement Calculator'!K:K,MATCH('Lorri 401b'!N2196,'Retirement Calculator'!A:A,0),0),0)</f>
        <v>0</v>
      </c>
      <c r="K2196" s="444">
        <f t="shared" ca="1" si="123"/>
        <v>-12637192.425167376</v>
      </c>
      <c r="L2196" s="444">
        <f t="shared" ca="1" si="124"/>
        <v>-3045563374.4653378</v>
      </c>
      <c r="M2196" s="460">
        <f t="shared" si="126"/>
        <v>0.05</v>
      </c>
      <c r="N2196" s="464">
        <f t="shared" si="127"/>
        <v>117883</v>
      </c>
    </row>
    <row r="2197" spans="7:14" ht="11.25" customHeight="1" x14ac:dyDescent="0.3">
      <c r="G2197" s="459"/>
      <c r="H2197" s="459">
        <v>2190</v>
      </c>
      <c r="I2197" s="444">
        <f t="shared" ca="1" si="125"/>
        <v>-3045563374.4653378</v>
      </c>
      <c r="J2197" s="444">
        <f t="array" ref="J2197">IFERROR(INDEX('Retirement Calculator'!K:K,MATCH('Lorri 401b'!N2197,'Retirement Calculator'!A:A,0),0),0)</f>
        <v>0</v>
      </c>
      <c r="K2197" s="444">
        <f t="shared" ca="1" si="123"/>
        <v>-12689847.393605573</v>
      </c>
      <c r="L2197" s="444">
        <f t="shared" ca="1" si="124"/>
        <v>-3058253221.8589435</v>
      </c>
      <c r="M2197" s="460">
        <f t="shared" si="126"/>
        <v>0.05</v>
      </c>
      <c r="N2197" s="464">
        <f t="shared" si="127"/>
        <v>117914</v>
      </c>
    </row>
    <row r="2198" spans="7:14" ht="11.25" customHeight="1" x14ac:dyDescent="0.3">
      <c r="G2198" s="459"/>
      <c r="H2198" s="459">
        <v>2191</v>
      </c>
      <c r="I2198" s="444">
        <f t="shared" ca="1" si="125"/>
        <v>-3058253221.8589435</v>
      </c>
      <c r="J2198" s="444">
        <f t="array" ref="J2198">IFERROR(INDEX('Retirement Calculator'!K:K,MATCH('Lorri 401b'!N2198,'Retirement Calculator'!A:A,0),0),0)</f>
        <v>0</v>
      </c>
      <c r="K2198" s="444">
        <f t="shared" ca="1" si="123"/>
        <v>-12742721.757745598</v>
      </c>
      <c r="L2198" s="444">
        <f t="shared" ca="1" si="124"/>
        <v>-3070995943.6166892</v>
      </c>
      <c r="M2198" s="460">
        <f t="shared" si="126"/>
        <v>0.05</v>
      </c>
      <c r="N2198" s="464">
        <f t="shared" si="127"/>
        <v>117944</v>
      </c>
    </row>
    <row r="2199" spans="7:14" ht="11.25" customHeight="1" x14ac:dyDescent="0.3">
      <c r="G2199" s="459"/>
      <c r="H2199" s="459">
        <v>2192</v>
      </c>
      <c r="I2199" s="444">
        <f t="shared" ca="1" si="125"/>
        <v>-3070995943.6166892</v>
      </c>
      <c r="J2199" s="444">
        <f t="array" ref="J2199">IFERROR(INDEX('Retirement Calculator'!K:K,MATCH('Lorri 401b'!N2199,'Retirement Calculator'!A:A,0),0),0)</f>
        <v>0</v>
      </c>
      <c r="K2199" s="444">
        <f t="shared" ca="1" si="123"/>
        <v>-12795816.431736205</v>
      </c>
      <c r="L2199" s="444">
        <f t="shared" ca="1" si="124"/>
        <v>-3083791760.0484252</v>
      </c>
      <c r="M2199" s="460">
        <f t="shared" si="126"/>
        <v>0.05</v>
      </c>
      <c r="N2199" s="464">
        <f t="shared" si="127"/>
        <v>117975</v>
      </c>
    </row>
    <row r="2200" spans="7:14" ht="11.25" customHeight="1" x14ac:dyDescent="0.3">
      <c r="G2200" s="459"/>
      <c r="H2200" s="459">
        <v>2193</v>
      </c>
      <c r="I2200" s="444">
        <f t="shared" ca="1" si="125"/>
        <v>-3083791760.0484252</v>
      </c>
      <c r="J2200" s="444">
        <f t="array" ref="J2200">IFERROR(INDEX('Retirement Calculator'!K:K,MATCH('Lorri 401b'!N2200,'Retirement Calculator'!A:A,0),0),0)</f>
        <v>0</v>
      </c>
      <c r="K2200" s="444">
        <f t="shared" ca="1" si="123"/>
        <v>-12849132.333535105</v>
      </c>
      <c r="L2200" s="444">
        <f t="shared" ca="1" si="124"/>
        <v>-3096640892.3819604</v>
      </c>
      <c r="M2200" s="460">
        <f t="shared" si="126"/>
        <v>0.05</v>
      </c>
      <c r="N2200" s="464">
        <f t="shared" si="127"/>
        <v>118006</v>
      </c>
    </row>
    <row r="2201" spans="7:14" ht="11.25" customHeight="1" x14ac:dyDescent="0.3">
      <c r="G2201" s="459"/>
      <c r="H2201" s="459">
        <v>2194</v>
      </c>
      <c r="I2201" s="444">
        <f t="shared" ca="1" si="125"/>
        <v>-3096640892.3819604</v>
      </c>
      <c r="J2201" s="444">
        <f t="array" ref="J2201">IFERROR(INDEX('Retirement Calculator'!K:K,MATCH('Lorri 401b'!N2201,'Retirement Calculator'!A:A,0),0),0)</f>
        <v>0</v>
      </c>
      <c r="K2201" s="444">
        <f t="shared" ca="1" si="123"/>
        <v>-12902670.384924835</v>
      </c>
      <c r="L2201" s="444">
        <f t="shared" ca="1" si="124"/>
        <v>-3109543562.7668853</v>
      </c>
      <c r="M2201" s="460">
        <f t="shared" si="126"/>
        <v>0.05</v>
      </c>
      <c r="N2201" s="464">
        <f t="shared" si="127"/>
        <v>118034</v>
      </c>
    </row>
    <row r="2202" spans="7:14" ht="11.25" customHeight="1" x14ac:dyDescent="0.3">
      <c r="G2202" s="459"/>
      <c r="H2202" s="459">
        <v>2195</v>
      </c>
      <c r="I2202" s="444">
        <f t="shared" ca="1" si="125"/>
        <v>-3109543562.7668853</v>
      </c>
      <c r="J2202" s="444">
        <f t="array" ref="J2202">IFERROR(INDEX('Retirement Calculator'!K:K,MATCH('Lorri 401b'!N2202,'Retirement Calculator'!A:A,0),0),0)</f>
        <v>0</v>
      </c>
      <c r="K2202" s="444">
        <f t="shared" ca="1" si="123"/>
        <v>-12956431.511528689</v>
      </c>
      <c r="L2202" s="444">
        <f t="shared" ca="1" si="124"/>
        <v>-3122499994.2784138</v>
      </c>
      <c r="M2202" s="460">
        <f t="shared" si="126"/>
        <v>0.05</v>
      </c>
      <c r="N2202" s="464">
        <f t="shared" si="127"/>
        <v>118065</v>
      </c>
    </row>
    <row r="2203" spans="7:14" ht="11.25" customHeight="1" x14ac:dyDescent="0.3">
      <c r="G2203" s="459"/>
      <c r="H2203" s="459">
        <v>2196</v>
      </c>
      <c r="I2203" s="444">
        <f t="shared" ca="1" si="125"/>
        <v>-3122499994.2784138</v>
      </c>
      <c r="J2203" s="444">
        <f t="array" ref="J2203">IFERROR(INDEX('Retirement Calculator'!K:K,MATCH('Lorri 401b'!N2203,'Retirement Calculator'!A:A,0),0),0)</f>
        <v>0</v>
      </c>
      <c r="K2203" s="444">
        <f t="shared" ca="1" si="123"/>
        <v>-13010416.642826725</v>
      </c>
      <c r="L2203" s="444">
        <f t="shared" ca="1" si="124"/>
        <v>-3135510410.9212403</v>
      </c>
      <c r="M2203" s="460">
        <f t="shared" si="126"/>
        <v>0.05</v>
      </c>
      <c r="N2203" s="464">
        <f t="shared" si="127"/>
        <v>118095</v>
      </c>
    </row>
    <row r="2204" spans="7:14" ht="11.25" customHeight="1" x14ac:dyDescent="0.3">
      <c r="G2204" s="459"/>
      <c r="H2204" s="459">
        <v>2197</v>
      </c>
      <c r="I2204" s="444">
        <f t="shared" ca="1" si="125"/>
        <v>-3135510410.9212403</v>
      </c>
      <c r="J2204" s="444">
        <f t="array" ref="J2204">IFERROR(INDEX('Retirement Calculator'!K:K,MATCH('Lorri 401b'!N2204,'Retirement Calculator'!A:A,0),0),0)</f>
        <v>0</v>
      </c>
      <c r="K2204" s="444">
        <f t="shared" ca="1" si="123"/>
        <v>-13064626.712171834</v>
      </c>
      <c r="L2204" s="444">
        <f t="shared" ca="1" si="124"/>
        <v>-3148575037.6334124</v>
      </c>
      <c r="M2204" s="460">
        <f t="shared" si="126"/>
        <v>0.05</v>
      </c>
      <c r="N2204" s="464">
        <f t="shared" si="127"/>
        <v>118126</v>
      </c>
    </row>
    <row r="2205" spans="7:14" ht="11.25" customHeight="1" x14ac:dyDescent="0.3">
      <c r="G2205" s="459"/>
      <c r="H2205" s="459">
        <v>2198</v>
      </c>
      <c r="I2205" s="444">
        <f t="shared" ca="1" si="125"/>
        <v>-3148575037.6334124</v>
      </c>
      <c r="J2205" s="444">
        <f t="array" ref="J2205">IFERROR(INDEX('Retirement Calculator'!K:K,MATCH('Lorri 401b'!N2205,'Retirement Calculator'!A:A,0),0),0)</f>
        <v>0</v>
      </c>
      <c r="K2205" s="444">
        <f t="shared" ca="1" si="123"/>
        <v>-13119062.656805884</v>
      </c>
      <c r="L2205" s="444">
        <f t="shared" ca="1" si="124"/>
        <v>-3161694100.2902184</v>
      </c>
      <c r="M2205" s="460">
        <f t="shared" si="126"/>
        <v>0.05</v>
      </c>
      <c r="N2205" s="464">
        <f t="shared" si="127"/>
        <v>118156</v>
      </c>
    </row>
    <row r="2206" spans="7:14" ht="11.25" customHeight="1" x14ac:dyDescent="0.3">
      <c r="G2206" s="459"/>
      <c r="H2206" s="459">
        <v>2199</v>
      </c>
      <c r="I2206" s="444">
        <f t="shared" ca="1" si="125"/>
        <v>-3161694100.2902184</v>
      </c>
      <c r="J2206" s="444">
        <f t="array" ref="J2206">IFERROR(INDEX('Retirement Calculator'!K:K,MATCH('Lorri 401b'!N2206,'Retirement Calculator'!A:A,0),0),0)</f>
        <v>0</v>
      </c>
      <c r="K2206" s="444">
        <f t="shared" ca="1" si="123"/>
        <v>-13173725.41787591</v>
      </c>
      <c r="L2206" s="444">
        <f t="shared" ca="1" si="124"/>
        <v>-3174867825.7080941</v>
      </c>
      <c r="M2206" s="460">
        <f t="shared" si="126"/>
        <v>0.05</v>
      </c>
      <c r="N2206" s="464">
        <f t="shared" si="127"/>
        <v>118187</v>
      </c>
    </row>
    <row r="2207" spans="7:14" ht="11.25" customHeight="1" x14ac:dyDescent="0.3">
      <c r="G2207" s="459"/>
      <c r="H2207" s="459">
        <v>2200</v>
      </c>
      <c r="I2207" s="444">
        <f t="shared" ca="1" si="125"/>
        <v>-3174867825.7080941</v>
      </c>
      <c r="J2207" s="444">
        <f t="array" ref="J2207">IFERROR(INDEX('Retirement Calculator'!K:K,MATCH('Lorri 401b'!N2207,'Retirement Calculator'!A:A,0),0),0)</f>
        <v>0</v>
      </c>
      <c r="K2207" s="444">
        <f t="shared" ca="1" si="123"/>
        <v>-13228615.940450393</v>
      </c>
      <c r="L2207" s="444">
        <f t="shared" ca="1" si="124"/>
        <v>-3188096441.6485443</v>
      </c>
      <c r="M2207" s="460">
        <f t="shared" si="126"/>
        <v>0.05</v>
      </c>
      <c r="N2207" s="464">
        <f t="shared" si="127"/>
        <v>118218</v>
      </c>
    </row>
    <row r="2208" spans="7:14" ht="11.25" customHeight="1" x14ac:dyDescent="0.3">
      <c r="G2208" s="459"/>
      <c r="H2208" s="459">
        <v>2201</v>
      </c>
      <c r="I2208" s="444">
        <f t="shared" ca="1" si="125"/>
        <v>-3188096441.6485443</v>
      </c>
      <c r="J2208" s="444">
        <f t="array" ref="J2208">IFERROR(INDEX('Retirement Calculator'!K:K,MATCH('Lorri 401b'!N2208,'Retirement Calculator'!A:A,0),0),0)</f>
        <v>0</v>
      </c>
      <c r="K2208" s="444">
        <f t="shared" ca="1" si="123"/>
        <v>-13283735.1735356</v>
      </c>
      <c r="L2208" s="444">
        <f t="shared" ca="1" si="124"/>
        <v>-3201380176.8220801</v>
      </c>
      <c r="M2208" s="460">
        <f t="shared" si="126"/>
        <v>0.05</v>
      </c>
      <c r="N2208" s="464">
        <f t="shared" si="127"/>
        <v>118248</v>
      </c>
    </row>
    <row r="2209" spans="7:14" ht="11.25" customHeight="1" x14ac:dyDescent="0.3">
      <c r="G2209" s="459"/>
      <c r="H2209" s="459">
        <v>2202</v>
      </c>
      <c r="I2209" s="444">
        <f t="shared" ca="1" si="125"/>
        <v>-3201380176.8220801</v>
      </c>
      <c r="J2209" s="444">
        <f t="array" ref="J2209">IFERROR(INDEX('Retirement Calculator'!K:K,MATCH('Lorri 401b'!N2209,'Retirement Calculator'!A:A,0),0),0)</f>
        <v>0</v>
      </c>
      <c r="K2209" s="444">
        <f t="shared" ca="1" si="123"/>
        <v>-13339084.070092</v>
      </c>
      <c r="L2209" s="444">
        <f t="shared" ca="1" si="124"/>
        <v>-3214719260.8921723</v>
      </c>
      <c r="M2209" s="460">
        <f t="shared" si="126"/>
        <v>0.05</v>
      </c>
      <c r="N2209" s="464">
        <f t="shared" si="127"/>
        <v>118279</v>
      </c>
    </row>
    <row r="2210" spans="7:14" ht="11.25" customHeight="1" x14ac:dyDescent="0.3">
      <c r="G2210" s="459"/>
      <c r="H2210" s="459">
        <v>2203</v>
      </c>
      <c r="I2210" s="444">
        <f t="shared" ca="1" si="125"/>
        <v>-3214719260.8921723</v>
      </c>
      <c r="J2210" s="444">
        <f t="array" ref="J2210">IFERROR(INDEX('Retirement Calculator'!K:K,MATCH('Lorri 401b'!N2210,'Retirement Calculator'!A:A,0),0),0)</f>
        <v>0</v>
      </c>
      <c r="K2210" s="444">
        <f t="shared" ca="1" si="123"/>
        <v>-13394663.587050717</v>
      </c>
      <c r="L2210" s="444">
        <f t="shared" ca="1" si="124"/>
        <v>-3228113924.4792233</v>
      </c>
      <c r="M2210" s="460">
        <f t="shared" si="126"/>
        <v>0.05</v>
      </c>
      <c r="N2210" s="464">
        <f t="shared" si="127"/>
        <v>118309</v>
      </c>
    </row>
    <row r="2211" spans="7:14" ht="11.25" customHeight="1" x14ac:dyDescent="0.3">
      <c r="G2211" s="459"/>
      <c r="H2211" s="459">
        <v>2204</v>
      </c>
      <c r="I2211" s="444">
        <f t="shared" ca="1" si="125"/>
        <v>-3228113924.4792233</v>
      </c>
      <c r="J2211" s="444">
        <f t="array" ref="J2211">IFERROR(INDEX('Retirement Calculator'!K:K,MATCH('Lorri 401b'!N2211,'Retirement Calculator'!A:A,0),0),0)</f>
        <v>0</v>
      </c>
      <c r="K2211" s="444">
        <f t="shared" ca="1" si="123"/>
        <v>-13450474.685330097</v>
      </c>
      <c r="L2211" s="444">
        <f t="shared" ca="1" si="124"/>
        <v>-3241564399.1645532</v>
      </c>
      <c r="M2211" s="460">
        <f t="shared" si="126"/>
        <v>0.05</v>
      </c>
      <c r="N2211" s="464">
        <f t="shared" si="127"/>
        <v>118340</v>
      </c>
    </row>
    <row r="2212" spans="7:14" ht="11.25" customHeight="1" x14ac:dyDescent="0.3">
      <c r="G2212" s="459"/>
      <c r="H2212" s="459">
        <v>2205</v>
      </c>
      <c r="I2212" s="444">
        <f t="shared" ca="1" si="125"/>
        <v>-3241564399.1645532</v>
      </c>
      <c r="J2212" s="444">
        <f t="array" ref="J2212">IFERROR(INDEX('Retirement Calculator'!K:K,MATCH('Lorri 401b'!N2212,'Retirement Calculator'!A:A,0),0),0)</f>
        <v>0</v>
      </c>
      <c r="K2212" s="444">
        <f t="shared" ca="1" si="123"/>
        <v>-13506518.329852305</v>
      </c>
      <c r="L2212" s="444">
        <f t="shared" ca="1" si="124"/>
        <v>-3255070917.4944053</v>
      </c>
      <c r="M2212" s="460">
        <f t="shared" si="126"/>
        <v>0.05</v>
      </c>
      <c r="N2212" s="464">
        <f t="shared" si="127"/>
        <v>118371</v>
      </c>
    </row>
    <row r="2213" spans="7:14" ht="11.25" customHeight="1" x14ac:dyDescent="0.3">
      <c r="G2213" s="459"/>
      <c r="H2213" s="459">
        <v>2206</v>
      </c>
      <c r="I2213" s="444">
        <f t="shared" ca="1" si="125"/>
        <v>-3255070917.4944053</v>
      </c>
      <c r="J2213" s="444">
        <f t="array" ref="J2213">IFERROR(INDEX('Retirement Calculator'!K:K,MATCH('Lorri 401b'!N2213,'Retirement Calculator'!A:A,0),0),0)</f>
        <v>0</v>
      </c>
      <c r="K2213" s="444">
        <f t="shared" ca="1" si="123"/>
        <v>-13562795.489560021</v>
      </c>
      <c r="L2213" s="444">
        <f t="shared" ca="1" si="124"/>
        <v>-3268633712.9839654</v>
      </c>
      <c r="M2213" s="460">
        <f t="shared" si="126"/>
        <v>0.05</v>
      </c>
      <c r="N2213" s="464">
        <f t="shared" si="127"/>
        <v>118400</v>
      </c>
    </row>
    <row r="2214" spans="7:14" ht="11.25" customHeight="1" x14ac:dyDescent="0.3">
      <c r="G2214" s="459"/>
      <c r="H2214" s="459">
        <v>2207</v>
      </c>
      <c r="I2214" s="444">
        <f t="shared" ca="1" si="125"/>
        <v>-3268633712.9839654</v>
      </c>
      <c r="J2214" s="444">
        <f t="array" ref="J2214">IFERROR(INDEX('Retirement Calculator'!K:K,MATCH('Lorri 401b'!N2214,'Retirement Calculator'!A:A,0),0),0)</f>
        <v>0</v>
      </c>
      <c r="K2214" s="444">
        <f t="shared" ca="1" si="123"/>
        <v>-13619307.137433188</v>
      </c>
      <c r="L2214" s="444">
        <f t="shared" ca="1" si="124"/>
        <v>-3282253020.1213984</v>
      </c>
      <c r="M2214" s="460">
        <f t="shared" si="126"/>
        <v>0.05</v>
      </c>
      <c r="N2214" s="464">
        <f t="shared" si="127"/>
        <v>118431</v>
      </c>
    </row>
    <row r="2215" spans="7:14" ht="11.25" customHeight="1" x14ac:dyDescent="0.3">
      <c r="G2215" s="459"/>
      <c r="H2215" s="459">
        <v>2208</v>
      </c>
      <c r="I2215" s="444">
        <f t="shared" ca="1" si="125"/>
        <v>-3282253020.1213984</v>
      </c>
      <c r="J2215" s="444">
        <f t="array" ref="J2215">IFERROR(INDEX('Retirement Calculator'!K:K,MATCH('Lorri 401b'!N2215,'Retirement Calculator'!A:A,0),0),0)</f>
        <v>0</v>
      </c>
      <c r="K2215" s="444">
        <f t="shared" ca="1" si="123"/>
        <v>-13676054.250505827</v>
      </c>
      <c r="L2215" s="444">
        <f t="shared" ca="1" si="124"/>
        <v>-3295929074.3719044</v>
      </c>
      <c r="M2215" s="460">
        <f t="shared" si="126"/>
        <v>0.05</v>
      </c>
      <c r="N2215" s="464">
        <f t="shared" si="127"/>
        <v>118461</v>
      </c>
    </row>
    <row r="2216" spans="7:14" ht="11.25" customHeight="1" x14ac:dyDescent="0.3">
      <c r="G2216" s="459"/>
      <c r="H2216" s="459">
        <v>2209</v>
      </c>
      <c r="I2216" s="444">
        <f t="shared" ca="1" si="125"/>
        <v>-3295929074.3719044</v>
      </c>
      <c r="J2216" s="444">
        <f t="array" ref="J2216">IFERROR(INDEX('Retirement Calculator'!K:K,MATCH('Lorri 401b'!N2216,'Retirement Calculator'!A:A,0),0),0)</f>
        <v>0</v>
      </c>
      <c r="K2216" s="444">
        <f t="shared" ca="1" si="123"/>
        <v>-13733037.809882935</v>
      </c>
      <c r="L2216" s="444">
        <f t="shared" ca="1" si="124"/>
        <v>-3309662112.1817875</v>
      </c>
      <c r="M2216" s="460">
        <f t="shared" si="126"/>
        <v>0.05</v>
      </c>
      <c r="N2216" s="464">
        <f t="shared" si="127"/>
        <v>118492</v>
      </c>
    </row>
    <row r="2217" spans="7:14" ht="11.25" customHeight="1" x14ac:dyDescent="0.3">
      <c r="G2217" s="459"/>
      <c r="H2217" s="459">
        <v>2210</v>
      </c>
      <c r="I2217" s="444">
        <f t="shared" ca="1" si="125"/>
        <v>-3309662112.1817875</v>
      </c>
      <c r="J2217" s="444">
        <f t="array" ref="J2217">IFERROR(INDEX('Retirement Calculator'!K:K,MATCH('Lorri 401b'!N2217,'Retirement Calculator'!A:A,0),0),0)</f>
        <v>0</v>
      </c>
      <c r="K2217" s="444">
        <f t="shared" ca="1" si="123"/>
        <v>-13790258.800757447</v>
      </c>
      <c r="L2217" s="444">
        <f t="shared" ca="1" si="124"/>
        <v>-3323452370.9825449</v>
      </c>
      <c r="M2217" s="460">
        <f t="shared" si="126"/>
        <v>0.05</v>
      </c>
      <c r="N2217" s="464">
        <f t="shared" si="127"/>
        <v>118522</v>
      </c>
    </row>
    <row r="2218" spans="7:14" ht="11.25" customHeight="1" x14ac:dyDescent="0.3">
      <c r="G2218" s="459"/>
      <c r="H2218" s="459">
        <v>2211</v>
      </c>
      <c r="I2218" s="444">
        <f t="shared" ca="1" si="125"/>
        <v>-3323452370.9825449</v>
      </c>
      <c r="J2218" s="444">
        <f t="array" ref="J2218">IFERROR(INDEX('Retirement Calculator'!K:K,MATCH('Lorri 401b'!N2218,'Retirement Calculator'!A:A,0),0),0)</f>
        <v>0</v>
      </c>
      <c r="K2218" s="444">
        <f t="shared" ca="1" si="123"/>
        <v>-13847718.21242727</v>
      </c>
      <c r="L2218" s="444">
        <f t="shared" ca="1" si="124"/>
        <v>-3337300089.194972</v>
      </c>
      <c r="M2218" s="460">
        <f t="shared" si="126"/>
        <v>0.05</v>
      </c>
      <c r="N2218" s="464">
        <f t="shared" si="127"/>
        <v>118553</v>
      </c>
    </row>
    <row r="2219" spans="7:14" ht="11.25" customHeight="1" x14ac:dyDescent="0.3">
      <c r="G2219" s="459"/>
      <c r="H2219" s="459">
        <v>2212</v>
      </c>
      <c r="I2219" s="444">
        <f t="shared" ca="1" si="125"/>
        <v>-3337300089.194972</v>
      </c>
      <c r="J2219" s="444">
        <f t="array" ref="J2219">IFERROR(INDEX('Retirement Calculator'!K:K,MATCH('Lorri 401b'!N2219,'Retirement Calculator'!A:A,0),0),0)</f>
        <v>0</v>
      </c>
      <c r="K2219" s="444">
        <f t="shared" ca="1" si="123"/>
        <v>-13905417.038312383</v>
      </c>
      <c r="L2219" s="444">
        <f t="shared" ca="1" si="124"/>
        <v>-3351205506.2332845</v>
      </c>
      <c r="M2219" s="460">
        <f t="shared" si="126"/>
        <v>0.05</v>
      </c>
      <c r="N2219" s="464">
        <f t="shared" si="127"/>
        <v>118584</v>
      </c>
    </row>
    <row r="2220" spans="7:14" ht="11.25" customHeight="1" x14ac:dyDescent="0.3">
      <c r="G2220" s="459"/>
      <c r="H2220" s="459">
        <v>2213</v>
      </c>
      <c r="I2220" s="444">
        <f t="shared" ca="1" si="125"/>
        <v>-3351205506.2332845</v>
      </c>
      <c r="J2220" s="444">
        <f t="array" ref="J2220">IFERROR(INDEX('Retirement Calculator'!K:K,MATCH('Lorri 401b'!N2220,'Retirement Calculator'!A:A,0),0),0)</f>
        <v>0</v>
      </c>
      <c r="K2220" s="444">
        <f t="shared" ca="1" si="123"/>
        <v>-13963356.275972018</v>
      </c>
      <c r="L2220" s="444">
        <f t="shared" ca="1" si="124"/>
        <v>-3365168862.5092564</v>
      </c>
      <c r="M2220" s="460">
        <f t="shared" si="126"/>
        <v>0.05</v>
      </c>
      <c r="N2220" s="464">
        <f t="shared" si="127"/>
        <v>118614</v>
      </c>
    </row>
    <row r="2221" spans="7:14" ht="11.25" customHeight="1" x14ac:dyDescent="0.3">
      <c r="G2221" s="459"/>
      <c r="H2221" s="459">
        <v>2214</v>
      </c>
      <c r="I2221" s="444">
        <f t="shared" ca="1" si="125"/>
        <v>-3365168862.5092564</v>
      </c>
      <c r="J2221" s="444">
        <f t="array" ref="J2221">IFERROR(INDEX('Retirement Calculator'!K:K,MATCH('Lorri 401b'!N2221,'Retirement Calculator'!A:A,0),0),0)</f>
        <v>0</v>
      </c>
      <c r="K2221" s="444">
        <f t="shared" ca="1" si="123"/>
        <v>-14021536.927121902</v>
      </c>
      <c r="L2221" s="444">
        <f t="shared" ca="1" si="124"/>
        <v>-3379190399.4363785</v>
      </c>
      <c r="M2221" s="460">
        <f t="shared" si="126"/>
        <v>0.05</v>
      </c>
      <c r="N2221" s="464">
        <f t="shared" si="127"/>
        <v>118645</v>
      </c>
    </row>
    <row r="2222" spans="7:14" ht="11.25" customHeight="1" x14ac:dyDescent="0.3">
      <c r="G2222" s="459"/>
      <c r="H2222" s="459">
        <v>2215</v>
      </c>
      <c r="I2222" s="444">
        <f t="shared" ca="1" si="125"/>
        <v>-3379190399.4363785</v>
      </c>
      <c r="J2222" s="444">
        <f t="array" ref="J2222">IFERROR(INDEX('Retirement Calculator'!K:K,MATCH('Lorri 401b'!N2222,'Retirement Calculator'!A:A,0),0),0)</f>
        <v>0</v>
      </c>
      <c r="K2222" s="444">
        <f t="shared" ca="1" si="123"/>
        <v>-14079959.997651577</v>
      </c>
      <c r="L2222" s="444">
        <f t="shared" ca="1" si="124"/>
        <v>-3393270359.4340301</v>
      </c>
      <c r="M2222" s="460">
        <f t="shared" si="126"/>
        <v>0.05</v>
      </c>
      <c r="N2222" s="464">
        <f t="shared" si="127"/>
        <v>118675</v>
      </c>
    </row>
    <row r="2223" spans="7:14" ht="11.25" customHeight="1" x14ac:dyDescent="0.3">
      <c r="G2223" s="459"/>
      <c r="H2223" s="459">
        <v>2216</v>
      </c>
      <c r="I2223" s="444">
        <f t="shared" ca="1" si="125"/>
        <v>-3393270359.4340301</v>
      </c>
      <c r="J2223" s="444">
        <f t="array" ref="J2223">IFERROR(INDEX('Retirement Calculator'!K:K,MATCH('Lorri 401b'!N2223,'Retirement Calculator'!A:A,0),0),0)</f>
        <v>0</v>
      </c>
      <c r="K2223" s="444">
        <f t="shared" ca="1" si="123"/>
        <v>-14138626.497641793</v>
      </c>
      <c r="L2223" s="444">
        <f t="shared" ca="1" si="124"/>
        <v>-3407408985.9316716</v>
      </c>
      <c r="M2223" s="460">
        <f t="shared" si="126"/>
        <v>0.05</v>
      </c>
      <c r="N2223" s="464">
        <f t="shared" si="127"/>
        <v>118706</v>
      </c>
    </row>
    <row r="2224" spans="7:14" ht="11.25" customHeight="1" x14ac:dyDescent="0.3">
      <c r="G2224" s="459"/>
      <c r="H2224" s="459">
        <v>2217</v>
      </c>
      <c r="I2224" s="444">
        <f t="shared" ca="1" si="125"/>
        <v>-3407408985.9316716</v>
      </c>
      <c r="J2224" s="444">
        <f t="array" ref="J2224">IFERROR(INDEX('Retirement Calculator'!K:K,MATCH('Lorri 401b'!N2224,'Retirement Calculator'!A:A,0),0),0)</f>
        <v>0</v>
      </c>
      <c r="K2224" s="444">
        <f t="shared" ca="1" si="123"/>
        <v>-14197537.441381965</v>
      </c>
      <c r="L2224" s="444">
        <f t="shared" ca="1" si="124"/>
        <v>-3421606523.3730536</v>
      </c>
      <c r="M2224" s="460">
        <f t="shared" si="126"/>
        <v>0.05</v>
      </c>
      <c r="N2224" s="464">
        <f t="shared" si="127"/>
        <v>118737</v>
      </c>
    </row>
    <row r="2225" spans="7:14" ht="11.25" customHeight="1" x14ac:dyDescent="0.3">
      <c r="G2225" s="459"/>
      <c r="H2225" s="459">
        <v>2218</v>
      </c>
      <c r="I2225" s="444">
        <f t="shared" ca="1" si="125"/>
        <v>-3421606523.3730536</v>
      </c>
      <c r="J2225" s="444">
        <f t="array" ref="J2225">IFERROR(INDEX('Retirement Calculator'!K:K,MATCH('Lorri 401b'!N2225,'Retirement Calculator'!A:A,0),0),0)</f>
        <v>0</v>
      </c>
      <c r="K2225" s="444">
        <f t="shared" ca="1" si="123"/>
        <v>-14256693.847387724</v>
      </c>
      <c r="L2225" s="444">
        <f t="shared" ca="1" si="124"/>
        <v>-3435863217.2204413</v>
      </c>
      <c r="M2225" s="460">
        <f t="shared" si="126"/>
        <v>0.05</v>
      </c>
      <c r="N2225" s="464">
        <f t="shared" si="127"/>
        <v>118765</v>
      </c>
    </row>
    <row r="2226" spans="7:14" ht="11.25" customHeight="1" x14ac:dyDescent="0.3">
      <c r="G2226" s="459"/>
      <c r="H2226" s="459">
        <v>2219</v>
      </c>
      <c r="I2226" s="444">
        <f t="shared" ca="1" si="125"/>
        <v>-3435863217.2204413</v>
      </c>
      <c r="J2226" s="444">
        <f t="array" ref="J2226">IFERROR(INDEX('Retirement Calculator'!K:K,MATCH('Lorri 401b'!N2226,'Retirement Calculator'!A:A,0),0),0)</f>
        <v>0</v>
      </c>
      <c r="K2226" s="444">
        <f t="shared" ca="1" si="123"/>
        <v>-14316096.738418505</v>
      </c>
      <c r="L2226" s="444">
        <f t="shared" ca="1" si="124"/>
        <v>-3450179313.9588599</v>
      </c>
      <c r="M2226" s="460">
        <f t="shared" si="126"/>
        <v>0.05</v>
      </c>
      <c r="N2226" s="464">
        <f t="shared" si="127"/>
        <v>118796</v>
      </c>
    </row>
    <row r="2227" spans="7:14" ht="11.25" customHeight="1" x14ac:dyDescent="0.3">
      <c r="G2227" s="459"/>
      <c r="H2227" s="459">
        <v>2220</v>
      </c>
      <c r="I2227" s="444">
        <f t="shared" ca="1" si="125"/>
        <v>-3450179313.9588599</v>
      </c>
      <c r="J2227" s="444">
        <f t="array" ref="J2227">IFERROR(INDEX('Retirement Calculator'!K:K,MATCH('Lorri 401b'!N2227,'Retirement Calculator'!A:A,0),0),0)</f>
        <v>0</v>
      </c>
      <c r="K2227" s="444">
        <f t="shared" ca="1" si="123"/>
        <v>-14375747.141495252</v>
      </c>
      <c r="L2227" s="444">
        <f t="shared" ca="1" si="124"/>
        <v>-3464555061.1003551</v>
      </c>
      <c r="M2227" s="460">
        <f t="shared" si="126"/>
        <v>0.05</v>
      </c>
      <c r="N2227" s="464">
        <f t="shared" si="127"/>
        <v>118826</v>
      </c>
    </row>
    <row r="2228" spans="7:14" ht="11.25" customHeight="1" x14ac:dyDescent="0.3">
      <c r="G2228" s="459"/>
      <c r="H2228" s="459">
        <v>2221</v>
      </c>
      <c r="I2228" s="444">
        <f t="shared" ca="1" si="125"/>
        <v>-3464555061.1003551</v>
      </c>
      <c r="J2228" s="444">
        <f t="array" ref="J2228">IFERROR(INDEX('Retirement Calculator'!K:K,MATCH('Lorri 401b'!N2228,'Retirement Calculator'!A:A,0),0),0)</f>
        <v>0</v>
      </c>
      <c r="K2228" s="444">
        <f t="shared" ca="1" si="123"/>
        <v>-14435646.087918144</v>
      </c>
      <c r="L2228" s="444">
        <f t="shared" ca="1" si="124"/>
        <v>-3478990707.1882734</v>
      </c>
      <c r="M2228" s="460">
        <f t="shared" si="126"/>
        <v>0.05</v>
      </c>
      <c r="N2228" s="464">
        <f t="shared" si="127"/>
        <v>118857</v>
      </c>
    </row>
    <row r="2229" spans="7:14" ht="11.25" customHeight="1" x14ac:dyDescent="0.3">
      <c r="G2229" s="459"/>
      <c r="H2229" s="459">
        <v>2222</v>
      </c>
      <c r="I2229" s="444">
        <f t="shared" ca="1" si="125"/>
        <v>-3478990707.1882734</v>
      </c>
      <c r="J2229" s="444">
        <f t="array" ref="J2229">IFERROR(INDEX('Retirement Calculator'!K:K,MATCH('Lorri 401b'!N2229,'Retirement Calculator'!A:A,0),0),0)</f>
        <v>0</v>
      </c>
      <c r="K2229" s="444">
        <f t="shared" ca="1" si="123"/>
        <v>-14495794.613284472</v>
      </c>
      <c r="L2229" s="444">
        <f t="shared" ca="1" si="124"/>
        <v>-3493486501.801558</v>
      </c>
      <c r="M2229" s="460">
        <f t="shared" si="126"/>
        <v>0.05</v>
      </c>
      <c r="N2229" s="464">
        <f t="shared" si="127"/>
        <v>118887</v>
      </c>
    </row>
    <row r="2230" spans="7:14" ht="11.25" customHeight="1" x14ac:dyDescent="0.3">
      <c r="G2230" s="459"/>
      <c r="H2230" s="459">
        <v>2223</v>
      </c>
      <c r="I2230" s="444">
        <f t="shared" ca="1" si="125"/>
        <v>-3493486501.801558</v>
      </c>
      <c r="J2230" s="444">
        <f t="array" ref="J2230">IFERROR(INDEX('Retirement Calculator'!K:K,MATCH('Lorri 401b'!N2230,'Retirement Calculator'!A:A,0),0),0)</f>
        <v>0</v>
      </c>
      <c r="K2230" s="444">
        <f t="shared" ca="1" si="123"/>
        <v>-14556193.757506493</v>
      </c>
      <c r="L2230" s="444">
        <f t="shared" ca="1" si="124"/>
        <v>-3508042695.5590644</v>
      </c>
      <c r="M2230" s="460">
        <f t="shared" si="126"/>
        <v>0.05</v>
      </c>
      <c r="N2230" s="464">
        <f t="shared" si="127"/>
        <v>118918</v>
      </c>
    </row>
    <row r="2231" spans="7:14" ht="11.25" customHeight="1" x14ac:dyDescent="0.3">
      <c r="G2231" s="459"/>
      <c r="H2231" s="459">
        <v>2224</v>
      </c>
      <c r="I2231" s="444">
        <f t="shared" ca="1" si="125"/>
        <v>-3508042695.5590644</v>
      </c>
      <c r="J2231" s="444">
        <f t="array" ref="J2231">IFERROR(INDEX('Retirement Calculator'!K:K,MATCH('Lorri 401b'!N2231,'Retirement Calculator'!A:A,0),0),0)</f>
        <v>0</v>
      </c>
      <c r="K2231" s="444">
        <f t="shared" ca="1" si="123"/>
        <v>-14616844.564829435</v>
      </c>
      <c r="L2231" s="444">
        <f t="shared" ca="1" si="124"/>
        <v>-3522659540.1238937</v>
      </c>
      <c r="M2231" s="460">
        <f t="shared" si="126"/>
        <v>0.05</v>
      </c>
      <c r="N2231" s="464">
        <f t="shared" si="127"/>
        <v>118949</v>
      </c>
    </row>
    <row r="2232" spans="7:14" ht="11.25" customHeight="1" x14ac:dyDescent="0.3">
      <c r="G2232" s="459"/>
      <c r="H2232" s="459">
        <v>2225</v>
      </c>
      <c r="I2232" s="444">
        <f t="shared" ca="1" si="125"/>
        <v>-3522659540.1238937</v>
      </c>
      <c r="J2232" s="444">
        <f t="array" ref="J2232">IFERROR(INDEX('Retirement Calculator'!K:K,MATCH('Lorri 401b'!N2232,'Retirement Calculator'!A:A,0),0),0)</f>
        <v>0</v>
      </c>
      <c r="K2232" s="444">
        <f t="shared" ca="1" si="123"/>
        <v>-14677748.083849557</v>
      </c>
      <c r="L2232" s="444">
        <f t="shared" ca="1" si="124"/>
        <v>-3537337288.2077432</v>
      </c>
      <c r="M2232" s="460">
        <f t="shared" si="126"/>
        <v>0.05</v>
      </c>
      <c r="N2232" s="464">
        <f t="shared" si="127"/>
        <v>118979</v>
      </c>
    </row>
    <row r="2233" spans="7:14" ht="11.25" customHeight="1" x14ac:dyDescent="0.3">
      <c r="G2233" s="459"/>
      <c r="H2233" s="459">
        <v>2226</v>
      </c>
      <c r="I2233" s="444">
        <f t="shared" ca="1" si="125"/>
        <v>-3537337288.2077432</v>
      </c>
      <c r="J2233" s="444">
        <f t="array" ref="J2233">IFERROR(INDEX('Retirement Calculator'!K:K,MATCH('Lorri 401b'!N2233,'Retirement Calculator'!A:A,0),0),0)</f>
        <v>0</v>
      </c>
      <c r="K2233" s="444">
        <f t="shared" ca="1" si="123"/>
        <v>-14738905.367532263</v>
      </c>
      <c r="L2233" s="444">
        <f t="shared" ca="1" si="124"/>
        <v>-3552076193.5752754</v>
      </c>
      <c r="M2233" s="460">
        <f t="shared" si="126"/>
        <v>0.05</v>
      </c>
      <c r="N2233" s="464">
        <f t="shared" si="127"/>
        <v>119010</v>
      </c>
    </row>
    <row r="2234" spans="7:14" ht="11.25" customHeight="1" x14ac:dyDescent="0.3">
      <c r="G2234" s="459"/>
      <c r="H2234" s="459">
        <v>2227</v>
      </c>
      <c r="I2234" s="444">
        <f t="shared" ca="1" si="125"/>
        <v>-3552076193.5752754</v>
      </c>
      <c r="J2234" s="444">
        <f t="array" ref="J2234">IFERROR(INDEX('Retirement Calculator'!K:K,MATCH('Lorri 401b'!N2234,'Retirement Calculator'!A:A,0),0),0)</f>
        <v>0</v>
      </c>
      <c r="K2234" s="444">
        <f t="shared" ca="1" si="123"/>
        <v>-14800317.473230314</v>
      </c>
      <c r="L2234" s="444">
        <f t="shared" ca="1" si="124"/>
        <v>-3566876511.0485058</v>
      </c>
      <c r="M2234" s="460">
        <f t="shared" si="126"/>
        <v>0.05</v>
      </c>
      <c r="N2234" s="464">
        <f t="shared" si="127"/>
        <v>119040</v>
      </c>
    </row>
    <row r="2235" spans="7:14" ht="11.25" customHeight="1" x14ac:dyDescent="0.3">
      <c r="G2235" s="459"/>
      <c r="H2235" s="459">
        <v>2228</v>
      </c>
      <c r="I2235" s="444">
        <f t="shared" ca="1" si="125"/>
        <v>-3566876511.0485058</v>
      </c>
      <c r="J2235" s="444">
        <f t="array" ref="J2235">IFERROR(INDEX('Retirement Calculator'!K:K,MATCH('Lorri 401b'!N2235,'Retirement Calculator'!A:A,0),0),0)</f>
        <v>0</v>
      </c>
      <c r="K2235" s="444">
        <f t="shared" ca="1" si="123"/>
        <v>-14861985.462702107</v>
      </c>
      <c r="L2235" s="444">
        <f t="shared" ca="1" si="124"/>
        <v>-3581738496.5112081</v>
      </c>
      <c r="M2235" s="460">
        <f t="shared" si="126"/>
        <v>0.05</v>
      </c>
      <c r="N2235" s="464">
        <f t="shared" si="127"/>
        <v>119071</v>
      </c>
    </row>
    <row r="2236" spans="7:14" ht="11.25" customHeight="1" x14ac:dyDescent="0.3">
      <c r="G2236" s="459"/>
      <c r="H2236" s="459">
        <v>2229</v>
      </c>
      <c r="I2236" s="444">
        <f t="shared" ca="1" si="125"/>
        <v>-3581738496.5112081</v>
      </c>
      <c r="J2236" s="444">
        <f t="array" ref="J2236">IFERROR(INDEX('Retirement Calculator'!K:K,MATCH('Lorri 401b'!N2236,'Retirement Calculator'!A:A,0),0),0)</f>
        <v>0</v>
      </c>
      <c r="K2236" s="444">
        <f t="shared" ca="1" si="123"/>
        <v>-14923910.402130036</v>
      </c>
      <c r="L2236" s="444">
        <f t="shared" ca="1" si="124"/>
        <v>-3596662406.9133382</v>
      </c>
      <c r="M2236" s="460">
        <f t="shared" si="126"/>
        <v>0.05</v>
      </c>
      <c r="N2236" s="464">
        <f t="shared" si="127"/>
        <v>119102</v>
      </c>
    </row>
    <row r="2237" spans="7:14" ht="11.25" customHeight="1" x14ac:dyDescent="0.3">
      <c r="G2237" s="459"/>
      <c r="H2237" s="459">
        <v>2230</v>
      </c>
      <c r="I2237" s="444">
        <f t="shared" ca="1" si="125"/>
        <v>-3596662406.9133382</v>
      </c>
      <c r="J2237" s="444">
        <f t="array" ref="J2237">IFERROR(INDEX('Retirement Calculator'!K:K,MATCH('Lorri 401b'!N2237,'Retirement Calculator'!A:A,0),0),0)</f>
        <v>0</v>
      </c>
      <c r="K2237" s="444">
        <f t="shared" ca="1" si="123"/>
        <v>-14986093.362138908</v>
      </c>
      <c r="L2237" s="444">
        <f t="shared" ca="1" si="124"/>
        <v>-3611648500.2754769</v>
      </c>
      <c r="M2237" s="460">
        <f t="shared" si="126"/>
        <v>0.05</v>
      </c>
      <c r="N2237" s="464">
        <f t="shared" si="127"/>
        <v>119130</v>
      </c>
    </row>
    <row r="2238" spans="7:14" ht="11.25" customHeight="1" x14ac:dyDescent="0.3">
      <c r="G2238" s="459"/>
      <c r="H2238" s="459">
        <v>2231</v>
      </c>
      <c r="I2238" s="444">
        <f t="shared" ca="1" si="125"/>
        <v>-3611648500.2754769</v>
      </c>
      <c r="J2238" s="444">
        <f t="array" ref="J2238">IFERROR(INDEX('Retirement Calculator'!K:K,MATCH('Lorri 401b'!N2238,'Retirement Calculator'!A:A,0),0),0)</f>
        <v>0</v>
      </c>
      <c r="K2238" s="444">
        <f t="shared" ca="1" si="123"/>
        <v>-15048535.417814489</v>
      </c>
      <c r="L2238" s="444">
        <f t="shared" ca="1" si="124"/>
        <v>-3626697035.6932912</v>
      </c>
      <c r="M2238" s="460">
        <f t="shared" si="126"/>
        <v>0.05</v>
      </c>
      <c r="N2238" s="464">
        <f t="shared" si="127"/>
        <v>119161</v>
      </c>
    </row>
    <row r="2239" spans="7:14" ht="11.25" customHeight="1" x14ac:dyDescent="0.3">
      <c r="G2239" s="459"/>
      <c r="H2239" s="459">
        <v>2232</v>
      </c>
      <c r="I2239" s="444">
        <f t="shared" ca="1" si="125"/>
        <v>-3626697035.6932912</v>
      </c>
      <c r="J2239" s="444">
        <f t="array" ref="J2239">IFERROR(INDEX('Retirement Calculator'!K:K,MATCH('Lorri 401b'!N2239,'Retirement Calculator'!A:A,0),0),0)</f>
        <v>0</v>
      </c>
      <c r="K2239" s="444">
        <f t="shared" ca="1" si="123"/>
        <v>-15111237.648722047</v>
      </c>
      <c r="L2239" s="444">
        <f t="shared" ca="1" si="124"/>
        <v>-3641808273.3420134</v>
      </c>
      <c r="M2239" s="460">
        <f t="shared" si="126"/>
        <v>0.05</v>
      </c>
      <c r="N2239" s="464">
        <f t="shared" si="127"/>
        <v>119191</v>
      </c>
    </row>
    <row r="2240" spans="7:14" ht="11.25" customHeight="1" x14ac:dyDescent="0.3">
      <c r="G2240" s="459"/>
      <c r="H2240" s="459">
        <v>2233</v>
      </c>
      <c r="I2240" s="444">
        <f t="shared" ca="1" si="125"/>
        <v>-3641808273.3420134</v>
      </c>
      <c r="J2240" s="444">
        <f t="array" ref="J2240">IFERROR(INDEX('Retirement Calculator'!K:K,MATCH('Lorri 401b'!N2240,'Retirement Calculator'!A:A,0),0),0)</f>
        <v>0</v>
      </c>
      <c r="K2240" s="444">
        <f t="shared" ca="1" si="123"/>
        <v>-15174201.138925057</v>
      </c>
      <c r="L2240" s="444">
        <f t="shared" ca="1" si="124"/>
        <v>-3656982474.4809384</v>
      </c>
      <c r="M2240" s="460">
        <f t="shared" si="126"/>
        <v>0.05</v>
      </c>
      <c r="N2240" s="464">
        <f t="shared" si="127"/>
        <v>119222</v>
      </c>
    </row>
    <row r="2241" spans="7:14" ht="11.25" customHeight="1" x14ac:dyDescent="0.3">
      <c r="G2241" s="459"/>
      <c r="H2241" s="459">
        <v>2234</v>
      </c>
      <c r="I2241" s="444">
        <f t="shared" ca="1" si="125"/>
        <v>-3656982474.4809384</v>
      </c>
      <c r="J2241" s="444">
        <f t="array" ref="J2241">IFERROR(INDEX('Retirement Calculator'!K:K,MATCH('Lorri 401b'!N2241,'Retirement Calculator'!A:A,0),0),0)</f>
        <v>0</v>
      </c>
      <c r="K2241" s="444">
        <f t="shared" ca="1" si="123"/>
        <v>-15237426.97700391</v>
      </c>
      <c r="L2241" s="444">
        <f t="shared" ca="1" si="124"/>
        <v>-3672219901.4579425</v>
      </c>
      <c r="M2241" s="460">
        <f t="shared" si="126"/>
        <v>0.05</v>
      </c>
      <c r="N2241" s="464">
        <f t="shared" si="127"/>
        <v>119252</v>
      </c>
    </row>
    <row r="2242" spans="7:14" ht="11.25" customHeight="1" x14ac:dyDescent="0.3">
      <c r="G2242" s="459"/>
      <c r="H2242" s="459">
        <v>2235</v>
      </c>
      <c r="I2242" s="444">
        <f t="shared" ca="1" si="125"/>
        <v>-3672219901.4579425</v>
      </c>
      <c r="J2242" s="444">
        <f t="array" ref="J2242">IFERROR(INDEX('Retirement Calculator'!K:K,MATCH('Lorri 401b'!N2242,'Retirement Calculator'!A:A,0),0),0)</f>
        <v>0</v>
      </c>
      <c r="K2242" s="444">
        <f t="shared" ca="1" si="123"/>
        <v>-15300916.25607476</v>
      </c>
      <c r="L2242" s="444">
        <f t="shared" ca="1" si="124"/>
        <v>-3687520817.7140174</v>
      </c>
      <c r="M2242" s="460">
        <f t="shared" si="126"/>
        <v>0.05</v>
      </c>
      <c r="N2242" s="464">
        <f t="shared" si="127"/>
        <v>119283</v>
      </c>
    </row>
    <row r="2243" spans="7:14" ht="11.25" customHeight="1" x14ac:dyDescent="0.3">
      <c r="G2243" s="459"/>
      <c r="H2243" s="459">
        <v>2236</v>
      </c>
      <c r="I2243" s="444">
        <f t="shared" ca="1" si="125"/>
        <v>-3687520817.7140174</v>
      </c>
      <c r="J2243" s="444">
        <f t="array" ref="J2243">IFERROR(INDEX('Retirement Calculator'!K:K,MATCH('Lorri 401b'!N2243,'Retirement Calculator'!A:A,0),0),0)</f>
        <v>0</v>
      </c>
      <c r="K2243" s="444">
        <f t="shared" ca="1" si="123"/>
        <v>-15364670.073808406</v>
      </c>
      <c r="L2243" s="444">
        <f t="shared" ca="1" si="124"/>
        <v>-3702885487.7878256</v>
      </c>
      <c r="M2243" s="460">
        <f t="shared" si="126"/>
        <v>0.05</v>
      </c>
      <c r="N2243" s="464">
        <f t="shared" si="127"/>
        <v>119314</v>
      </c>
    </row>
    <row r="2244" spans="7:14" ht="11.25" customHeight="1" x14ac:dyDescent="0.3">
      <c r="G2244" s="459"/>
      <c r="H2244" s="459">
        <v>2237</v>
      </c>
      <c r="I2244" s="444">
        <f t="shared" ca="1" si="125"/>
        <v>-3702885487.7878256</v>
      </c>
      <c r="J2244" s="444">
        <f t="array" ref="J2244">IFERROR(INDEX('Retirement Calculator'!K:K,MATCH('Lorri 401b'!N2244,'Retirement Calculator'!A:A,0),0),0)</f>
        <v>0</v>
      </c>
      <c r="K2244" s="444">
        <f t="shared" ca="1" si="123"/>
        <v>-15428689.532449273</v>
      </c>
      <c r="L2244" s="444">
        <f t="shared" ca="1" si="124"/>
        <v>-3718314177.3202748</v>
      </c>
      <c r="M2244" s="460">
        <f t="shared" si="126"/>
        <v>0.05</v>
      </c>
      <c r="N2244" s="464">
        <f t="shared" si="127"/>
        <v>119344</v>
      </c>
    </row>
    <row r="2245" spans="7:14" ht="11.25" customHeight="1" x14ac:dyDescent="0.3">
      <c r="G2245" s="459"/>
      <c r="H2245" s="459">
        <v>2238</v>
      </c>
      <c r="I2245" s="444">
        <f t="shared" ca="1" si="125"/>
        <v>-3718314177.3202748</v>
      </c>
      <c r="J2245" s="444">
        <f t="array" ref="J2245">IFERROR(INDEX('Retirement Calculator'!K:K,MATCH('Lorri 401b'!N2245,'Retirement Calculator'!A:A,0),0),0)</f>
        <v>0</v>
      </c>
      <c r="K2245" s="444">
        <f t="shared" ca="1" si="123"/>
        <v>-15492975.73883448</v>
      </c>
      <c r="L2245" s="444">
        <f t="shared" ca="1" si="124"/>
        <v>-3733807153.0591092</v>
      </c>
      <c r="M2245" s="460">
        <f t="shared" si="126"/>
        <v>0.05</v>
      </c>
      <c r="N2245" s="464">
        <f t="shared" si="127"/>
        <v>119375</v>
      </c>
    </row>
    <row r="2246" spans="7:14" ht="11.25" customHeight="1" x14ac:dyDescent="0.3">
      <c r="G2246" s="459"/>
      <c r="H2246" s="459">
        <v>2239</v>
      </c>
      <c r="I2246" s="444">
        <f t="shared" ca="1" si="125"/>
        <v>-3733807153.0591092</v>
      </c>
      <c r="J2246" s="444">
        <f t="array" ref="J2246">IFERROR(INDEX('Retirement Calculator'!K:K,MATCH('Lorri 401b'!N2246,'Retirement Calculator'!A:A,0),0),0)</f>
        <v>0</v>
      </c>
      <c r="K2246" s="444">
        <f t="shared" ca="1" si="123"/>
        <v>-15557529.804412955</v>
      </c>
      <c r="L2246" s="444">
        <f t="shared" ca="1" si="124"/>
        <v>-3749364682.8635221</v>
      </c>
      <c r="M2246" s="460">
        <f t="shared" si="126"/>
        <v>0.05</v>
      </c>
      <c r="N2246" s="464">
        <f t="shared" si="127"/>
        <v>119405</v>
      </c>
    </row>
    <row r="2247" spans="7:14" ht="11.25" customHeight="1" x14ac:dyDescent="0.3">
      <c r="G2247" s="459"/>
      <c r="H2247" s="459">
        <v>2240</v>
      </c>
      <c r="I2247" s="444">
        <f t="shared" ca="1" si="125"/>
        <v>-3749364682.8635221</v>
      </c>
      <c r="J2247" s="444">
        <f t="array" ref="J2247">IFERROR(INDEX('Retirement Calculator'!K:K,MATCH('Lorri 401b'!N2247,'Retirement Calculator'!A:A,0),0),0)</f>
        <v>0</v>
      </c>
      <c r="K2247" s="444">
        <f t="shared" ca="1" si="123"/>
        <v>-15622352.845264673</v>
      </c>
      <c r="L2247" s="444">
        <f t="shared" ca="1" si="124"/>
        <v>-3764987035.708787</v>
      </c>
      <c r="M2247" s="460">
        <f t="shared" si="126"/>
        <v>0.05</v>
      </c>
      <c r="N2247" s="464">
        <f t="shared" si="127"/>
        <v>119436</v>
      </c>
    </row>
    <row r="2248" spans="7:14" ht="11.25" customHeight="1" x14ac:dyDescent="0.3">
      <c r="G2248" s="459"/>
      <c r="H2248" s="459">
        <v>2241</v>
      </c>
      <c r="I2248" s="444">
        <f t="shared" ca="1" si="125"/>
        <v>-3764987035.708787</v>
      </c>
      <c r="J2248" s="444">
        <f t="array" ref="J2248">IFERROR(INDEX('Retirement Calculator'!K:K,MATCH('Lorri 401b'!N2248,'Retirement Calculator'!A:A,0),0),0)</f>
        <v>0</v>
      </c>
      <c r="K2248" s="444">
        <f t="shared" ca="1" si="123"/>
        <v>-15687445.982119948</v>
      </c>
      <c r="L2248" s="444">
        <f t="shared" ca="1" si="124"/>
        <v>-3780674481.690907</v>
      </c>
      <c r="M2248" s="460">
        <f t="shared" si="126"/>
        <v>0.05</v>
      </c>
      <c r="N2248" s="464">
        <f t="shared" si="127"/>
        <v>119467</v>
      </c>
    </row>
    <row r="2249" spans="7:14" ht="11.25" customHeight="1" x14ac:dyDescent="0.3">
      <c r="G2249" s="459"/>
      <c r="H2249" s="459">
        <v>2242</v>
      </c>
      <c r="I2249" s="444">
        <f t="shared" ca="1" si="125"/>
        <v>-3780674481.690907</v>
      </c>
      <c r="J2249" s="444">
        <f t="array" ref="J2249">IFERROR(INDEX('Retirement Calculator'!K:K,MATCH('Lorri 401b'!N2249,'Retirement Calculator'!A:A,0),0),0)</f>
        <v>0</v>
      </c>
      <c r="K2249" s="444">
        <f t="shared" ca="1" si="123"/>
        <v>-15752810.340378778</v>
      </c>
      <c r="L2249" s="444">
        <f t="shared" ca="1" si="124"/>
        <v>-3796427292.0312858</v>
      </c>
      <c r="M2249" s="460">
        <f t="shared" si="126"/>
        <v>0.05</v>
      </c>
      <c r="N2249" s="464">
        <f t="shared" si="127"/>
        <v>119495</v>
      </c>
    </row>
    <row r="2250" spans="7:14" ht="11.25" customHeight="1" x14ac:dyDescent="0.3">
      <c r="G2250" s="459"/>
      <c r="H2250" s="459">
        <v>2243</v>
      </c>
      <c r="I2250" s="444">
        <f t="shared" ca="1" si="125"/>
        <v>-3796427292.0312858</v>
      </c>
      <c r="J2250" s="444">
        <f t="array" ref="J2250">IFERROR(INDEX('Retirement Calculator'!K:K,MATCH('Lorri 401b'!N2250,'Retirement Calculator'!A:A,0),0),0)</f>
        <v>0</v>
      </c>
      <c r="K2250" s="444">
        <f t="shared" ca="1" si="123"/>
        <v>-15818447.050130358</v>
      </c>
      <c r="L2250" s="444">
        <f t="shared" ca="1" si="124"/>
        <v>-3812245739.0814161</v>
      </c>
      <c r="M2250" s="460">
        <f t="shared" si="126"/>
        <v>0.05</v>
      </c>
      <c r="N2250" s="464">
        <f t="shared" si="127"/>
        <v>119526</v>
      </c>
    </row>
    <row r="2251" spans="7:14" ht="11.25" customHeight="1" x14ac:dyDescent="0.3">
      <c r="G2251" s="459"/>
      <c r="H2251" s="459">
        <v>2244</v>
      </c>
      <c r="I2251" s="444">
        <f t="shared" ca="1" si="125"/>
        <v>-3812245739.0814161</v>
      </c>
      <c r="J2251" s="444">
        <f t="array" ref="J2251">IFERROR(INDEX('Retirement Calculator'!K:K,MATCH('Lorri 401b'!N2251,'Retirement Calculator'!A:A,0),0),0)</f>
        <v>0</v>
      </c>
      <c r="K2251" s="444">
        <f t="shared" ca="1" si="123"/>
        <v>-15884357.246172568</v>
      </c>
      <c r="L2251" s="444">
        <f t="shared" ca="1" si="124"/>
        <v>-3828130096.3275886</v>
      </c>
      <c r="M2251" s="460">
        <f t="shared" si="126"/>
        <v>0.05</v>
      </c>
      <c r="N2251" s="464">
        <f t="shared" si="127"/>
        <v>119556</v>
      </c>
    </row>
    <row r="2252" spans="7:14" ht="11.25" customHeight="1" x14ac:dyDescent="0.3">
      <c r="G2252" s="459"/>
      <c r="H2252" s="459">
        <v>2245</v>
      </c>
      <c r="I2252" s="444">
        <f t="shared" ca="1" si="125"/>
        <v>-3828130096.3275886</v>
      </c>
      <c r="J2252" s="444">
        <f t="array" ref="J2252">IFERROR(INDEX('Retirement Calculator'!K:K,MATCH('Lorri 401b'!N2252,'Retirement Calculator'!A:A,0),0),0)</f>
        <v>0</v>
      </c>
      <c r="K2252" s="444">
        <f t="shared" ca="1" si="123"/>
        <v>-15950542.068031617</v>
      </c>
      <c r="L2252" s="444">
        <f t="shared" ca="1" si="124"/>
        <v>-3844080638.3956203</v>
      </c>
      <c r="M2252" s="460">
        <f t="shared" si="126"/>
        <v>0.05</v>
      </c>
      <c r="N2252" s="464">
        <f t="shared" si="127"/>
        <v>119587</v>
      </c>
    </row>
    <row r="2253" spans="7:14" ht="11.25" customHeight="1" x14ac:dyDescent="0.3">
      <c r="G2253" s="459"/>
      <c r="H2253" s="459">
        <v>2246</v>
      </c>
      <c r="I2253" s="444">
        <f t="shared" ca="1" si="125"/>
        <v>-3844080638.3956203</v>
      </c>
      <c r="J2253" s="444">
        <f t="array" ref="J2253">IFERROR(INDEX('Retirement Calculator'!K:K,MATCH('Lorri 401b'!N2253,'Retirement Calculator'!A:A,0),0),0)</f>
        <v>0</v>
      </c>
      <c r="K2253" s="444">
        <f t="shared" ca="1" si="123"/>
        <v>-16017002.659981754</v>
      </c>
      <c r="L2253" s="444">
        <f t="shared" ca="1" si="124"/>
        <v>-3860097641.0556021</v>
      </c>
      <c r="M2253" s="460">
        <f t="shared" si="126"/>
        <v>0.05</v>
      </c>
      <c r="N2253" s="464">
        <f t="shared" si="127"/>
        <v>119617</v>
      </c>
    </row>
    <row r="2254" spans="7:14" ht="11.25" customHeight="1" x14ac:dyDescent="0.3">
      <c r="G2254" s="459"/>
      <c r="H2254" s="459">
        <v>2247</v>
      </c>
      <c r="I2254" s="444">
        <f t="shared" ca="1" si="125"/>
        <v>-3860097641.0556021</v>
      </c>
      <c r="J2254" s="444">
        <f t="array" ref="J2254">IFERROR(INDEX('Retirement Calculator'!K:K,MATCH('Lorri 401b'!N2254,'Retirement Calculator'!A:A,0),0),0)</f>
        <v>0</v>
      </c>
      <c r="K2254" s="444">
        <f t="shared" ca="1" si="123"/>
        <v>-16083740.171065008</v>
      </c>
      <c r="L2254" s="444">
        <f t="shared" ca="1" si="124"/>
        <v>-3876181381.2266669</v>
      </c>
      <c r="M2254" s="460">
        <f t="shared" si="126"/>
        <v>0.05</v>
      </c>
      <c r="N2254" s="464">
        <f t="shared" si="127"/>
        <v>119648</v>
      </c>
    </row>
    <row r="2255" spans="7:14" ht="11.25" customHeight="1" x14ac:dyDescent="0.3">
      <c r="G2255" s="459"/>
      <c r="H2255" s="459">
        <v>2248</v>
      </c>
      <c r="I2255" s="444">
        <f t="shared" ca="1" si="125"/>
        <v>-3876181381.2266669</v>
      </c>
      <c r="J2255" s="444">
        <f t="array" ref="J2255">IFERROR(INDEX('Retirement Calculator'!K:K,MATCH('Lorri 401b'!N2255,'Retirement Calculator'!A:A,0),0),0)</f>
        <v>0</v>
      </c>
      <c r="K2255" s="444">
        <f t="shared" ca="1" si="123"/>
        <v>-16150755.755111113</v>
      </c>
      <c r="L2255" s="444">
        <f t="shared" ca="1" si="124"/>
        <v>-3892332136.9817781</v>
      </c>
      <c r="M2255" s="460">
        <f t="shared" si="126"/>
        <v>0.05</v>
      </c>
      <c r="N2255" s="464">
        <f t="shared" si="127"/>
        <v>119679</v>
      </c>
    </row>
    <row r="2256" spans="7:14" ht="11.25" customHeight="1" x14ac:dyDescent="0.3">
      <c r="G2256" s="459"/>
      <c r="H2256" s="459">
        <v>2249</v>
      </c>
      <c r="I2256" s="444">
        <f t="shared" ca="1" si="125"/>
        <v>-3892332136.9817781</v>
      </c>
      <c r="J2256" s="444">
        <f t="array" ref="J2256">IFERROR(INDEX('Retirement Calculator'!K:K,MATCH('Lorri 401b'!N2256,'Retirement Calculator'!A:A,0),0),0)</f>
        <v>0</v>
      </c>
      <c r="K2256" s="444">
        <f t="shared" ca="1" si="123"/>
        <v>-16218050.57075741</v>
      </c>
      <c r="L2256" s="444">
        <f t="shared" ca="1" si="124"/>
        <v>-3908550187.5525355</v>
      </c>
      <c r="M2256" s="460">
        <f t="shared" si="126"/>
        <v>0.05</v>
      </c>
      <c r="N2256" s="464">
        <f t="shared" si="127"/>
        <v>119709</v>
      </c>
    </row>
    <row r="2257" spans="7:14" ht="11.25" customHeight="1" x14ac:dyDescent="0.3">
      <c r="G2257" s="459"/>
      <c r="H2257" s="459">
        <v>2250</v>
      </c>
      <c r="I2257" s="444">
        <f t="shared" ca="1" si="125"/>
        <v>-3908550187.5525355</v>
      </c>
      <c r="J2257" s="444">
        <f t="array" ref="J2257">IFERROR(INDEX('Retirement Calculator'!K:K,MATCH('Lorri 401b'!N2257,'Retirement Calculator'!A:A,0),0),0)</f>
        <v>0</v>
      </c>
      <c r="K2257" s="444">
        <f t="shared" ca="1" si="123"/>
        <v>-16285625.7814689</v>
      </c>
      <c r="L2257" s="444">
        <f t="shared" ca="1" si="124"/>
        <v>-3924835813.3340044</v>
      </c>
      <c r="M2257" s="460">
        <f t="shared" si="126"/>
        <v>0.05</v>
      </c>
      <c r="N2257" s="464">
        <f t="shared" si="127"/>
        <v>119740</v>
      </c>
    </row>
    <row r="2258" spans="7:14" ht="11.25" customHeight="1" x14ac:dyDescent="0.3">
      <c r="G2258" s="459"/>
      <c r="H2258" s="459">
        <v>2251</v>
      </c>
      <c r="I2258" s="444">
        <f t="shared" ca="1" si="125"/>
        <v>-3924835813.3340044</v>
      </c>
      <c r="J2258" s="444">
        <f t="array" ref="J2258">IFERROR(INDEX('Retirement Calculator'!K:K,MATCH('Lorri 401b'!N2258,'Retirement Calculator'!A:A,0),0),0)</f>
        <v>0</v>
      </c>
      <c r="K2258" s="444">
        <f t="shared" ca="1" si="123"/>
        <v>-16353482.555558354</v>
      </c>
      <c r="L2258" s="444">
        <f t="shared" ca="1" si="124"/>
        <v>-3941189295.8895626</v>
      </c>
      <c r="M2258" s="460">
        <f t="shared" si="126"/>
        <v>0.05</v>
      </c>
      <c r="N2258" s="464">
        <f t="shared" si="127"/>
        <v>119770</v>
      </c>
    </row>
    <row r="2259" spans="7:14" ht="11.25" customHeight="1" x14ac:dyDescent="0.3">
      <c r="G2259" s="459"/>
      <c r="H2259" s="459">
        <v>2252</v>
      </c>
      <c r="I2259" s="444">
        <f t="shared" ca="1" si="125"/>
        <v>-3941189295.8895626</v>
      </c>
      <c r="J2259" s="444">
        <f t="array" ref="J2259">IFERROR(INDEX('Retirement Calculator'!K:K,MATCH('Lorri 401b'!N2259,'Retirement Calculator'!A:A,0),0),0)</f>
        <v>0</v>
      </c>
      <c r="K2259" s="444">
        <f t="shared" ca="1" si="123"/>
        <v>-16421622.066206511</v>
      </c>
      <c r="L2259" s="444">
        <f t="shared" ca="1" si="124"/>
        <v>-3957610917.9557691</v>
      </c>
      <c r="M2259" s="460">
        <f t="shared" si="126"/>
        <v>0.05</v>
      </c>
      <c r="N2259" s="464">
        <f t="shared" si="127"/>
        <v>119801</v>
      </c>
    </row>
    <row r="2260" spans="7:14" ht="11.25" customHeight="1" x14ac:dyDescent="0.3">
      <c r="G2260" s="459"/>
      <c r="H2260" s="459">
        <v>2253</v>
      </c>
      <c r="I2260" s="444">
        <f t="shared" ca="1" si="125"/>
        <v>-3957610917.9557691</v>
      </c>
      <c r="J2260" s="444">
        <f t="array" ref="J2260">IFERROR(INDEX('Retirement Calculator'!K:K,MATCH('Lorri 401b'!N2260,'Retirement Calculator'!A:A,0),0),0)</f>
        <v>0</v>
      </c>
      <c r="K2260" s="444">
        <f t="shared" ca="1" si="123"/>
        <v>-16490045.491482373</v>
      </c>
      <c r="L2260" s="444">
        <f t="shared" ca="1" si="124"/>
        <v>-3974100963.4472513</v>
      </c>
      <c r="M2260" s="460">
        <f t="shared" si="126"/>
        <v>0.05</v>
      </c>
      <c r="N2260" s="464">
        <f t="shared" si="127"/>
        <v>119832</v>
      </c>
    </row>
    <row r="2261" spans="7:14" ht="11.25" customHeight="1" x14ac:dyDescent="0.3">
      <c r="G2261" s="459"/>
      <c r="H2261" s="459">
        <v>2254</v>
      </c>
      <c r="I2261" s="444">
        <f t="shared" ca="1" si="125"/>
        <v>-3974100963.4472513</v>
      </c>
      <c r="J2261" s="444">
        <f t="array" ref="J2261">IFERROR(INDEX('Retirement Calculator'!K:K,MATCH('Lorri 401b'!N2261,'Retirement Calculator'!A:A,0),0),0)</f>
        <v>0</v>
      </c>
      <c r="K2261" s="444">
        <f t="shared" ca="1" si="123"/>
        <v>-16558754.014363548</v>
      </c>
      <c r="L2261" s="444">
        <f t="shared" ca="1" si="124"/>
        <v>-3990659717.4616151</v>
      </c>
      <c r="M2261" s="460">
        <f t="shared" si="126"/>
        <v>0.05</v>
      </c>
      <c r="N2261" s="464">
        <f t="shared" si="127"/>
        <v>119861</v>
      </c>
    </row>
    <row r="2262" spans="7:14" ht="11.25" customHeight="1" x14ac:dyDescent="0.3">
      <c r="G2262" s="459"/>
      <c r="H2262" s="459">
        <v>2255</v>
      </c>
      <c r="I2262" s="444">
        <f t="shared" ca="1" si="125"/>
        <v>-3990659717.4616151</v>
      </c>
      <c r="J2262" s="444">
        <f t="array" ref="J2262">IFERROR(INDEX('Retirement Calculator'!K:K,MATCH('Lorri 401b'!N2262,'Retirement Calculator'!A:A,0),0),0)</f>
        <v>0</v>
      </c>
      <c r="K2262" s="444">
        <f t="shared" ca="1" si="123"/>
        <v>-16627748.822756728</v>
      </c>
      <c r="L2262" s="444">
        <f t="shared" ca="1" si="124"/>
        <v>-4007287466.2843719</v>
      </c>
      <c r="M2262" s="460">
        <f t="shared" si="126"/>
        <v>0.05</v>
      </c>
      <c r="N2262" s="464">
        <f t="shared" si="127"/>
        <v>119892</v>
      </c>
    </row>
    <row r="2263" spans="7:14" ht="11.25" customHeight="1" x14ac:dyDescent="0.3">
      <c r="G2263" s="459"/>
      <c r="H2263" s="459">
        <v>2256</v>
      </c>
      <c r="I2263" s="444">
        <f t="shared" ca="1" si="125"/>
        <v>-4007287466.2843719</v>
      </c>
      <c r="J2263" s="444">
        <f t="array" ref="J2263">IFERROR(INDEX('Retirement Calculator'!K:K,MATCH('Lorri 401b'!N2263,'Retirement Calculator'!A:A,0),0),0)</f>
        <v>0</v>
      </c>
      <c r="K2263" s="444">
        <f t="shared" ca="1" si="123"/>
        <v>-16697031.109518213</v>
      </c>
      <c r="L2263" s="444">
        <f t="shared" ca="1" si="124"/>
        <v>-4023984497.3938899</v>
      </c>
      <c r="M2263" s="460">
        <f t="shared" si="126"/>
        <v>0.05</v>
      </c>
      <c r="N2263" s="464">
        <f t="shared" si="127"/>
        <v>119922</v>
      </c>
    </row>
    <row r="2264" spans="7:14" ht="11.25" customHeight="1" x14ac:dyDescent="0.3">
      <c r="G2264" s="459"/>
      <c r="H2264" s="459">
        <v>2257</v>
      </c>
      <c r="I2264" s="444">
        <f t="shared" ca="1" si="125"/>
        <v>-4023984497.3938899</v>
      </c>
      <c r="J2264" s="444">
        <f t="array" ref="J2264">IFERROR(INDEX('Retirement Calculator'!K:K,MATCH('Lorri 401b'!N2264,'Retirement Calculator'!A:A,0),0),0)</f>
        <v>0</v>
      </c>
      <c r="K2264" s="444">
        <f t="shared" ca="1" si="123"/>
        <v>-16766602.072474541</v>
      </c>
      <c r="L2264" s="444">
        <f t="shared" ca="1" si="124"/>
        <v>-4040751099.4663644</v>
      </c>
      <c r="M2264" s="460">
        <f t="shared" si="126"/>
        <v>0.05</v>
      </c>
      <c r="N2264" s="464">
        <f t="shared" si="127"/>
        <v>119953</v>
      </c>
    </row>
    <row r="2265" spans="7:14" ht="11.25" customHeight="1" x14ac:dyDescent="0.3">
      <c r="G2265" s="459"/>
      <c r="H2265" s="459">
        <v>2258</v>
      </c>
      <c r="I2265" s="444">
        <f t="shared" ca="1" si="125"/>
        <v>-4040751099.4663644</v>
      </c>
      <c r="J2265" s="444">
        <f t="array" ref="J2265">IFERROR(INDEX('Retirement Calculator'!K:K,MATCH('Lorri 401b'!N2265,'Retirement Calculator'!A:A,0),0),0)</f>
        <v>0</v>
      </c>
      <c r="K2265" s="444">
        <f t="shared" ca="1" si="123"/>
        <v>-16836462.914443184</v>
      </c>
      <c r="L2265" s="444">
        <f t="shared" ca="1" si="124"/>
        <v>-4057587562.3808074</v>
      </c>
      <c r="M2265" s="460">
        <f t="shared" si="126"/>
        <v>0.05</v>
      </c>
      <c r="N2265" s="464">
        <f t="shared" si="127"/>
        <v>119983</v>
      </c>
    </row>
    <row r="2266" spans="7:14" ht="11.25" customHeight="1" x14ac:dyDescent="0.3">
      <c r="G2266" s="459"/>
      <c r="H2266" s="459">
        <v>2259</v>
      </c>
      <c r="I2266" s="444">
        <f t="shared" ca="1" si="125"/>
        <v>-4057587562.3808074</v>
      </c>
      <c r="J2266" s="444">
        <f t="array" ref="J2266">IFERROR(INDEX('Retirement Calculator'!K:K,MATCH('Lorri 401b'!N2266,'Retirement Calculator'!A:A,0),0),0)</f>
        <v>0</v>
      </c>
      <c r="K2266" s="444">
        <f t="shared" ca="1" si="123"/>
        <v>-16906614.843253363</v>
      </c>
      <c r="L2266" s="444">
        <f t="shared" ca="1" si="124"/>
        <v>-4074494177.2240605</v>
      </c>
      <c r="M2266" s="460">
        <f t="shared" si="126"/>
        <v>0.05</v>
      </c>
      <c r="N2266" s="464">
        <f t="shared" si="127"/>
        <v>120014</v>
      </c>
    </row>
    <row r="2267" spans="7:14" ht="11.25" customHeight="1" x14ac:dyDescent="0.3">
      <c r="G2267" s="459"/>
      <c r="H2267" s="459">
        <v>2260</v>
      </c>
      <c r="I2267" s="444">
        <f t="shared" ca="1" si="125"/>
        <v>-4074494177.2240605</v>
      </c>
      <c r="J2267" s="444">
        <f t="array" ref="J2267">IFERROR(INDEX('Retirement Calculator'!K:K,MATCH('Lorri 401b'!N2267,'Retirement Calculator'!A:A,0),0),0)</f>
        <v>0</v>
      </c>
      <c r="K2267" s="444">
        <f t="shared" ca="1" si="123"/>
        <v>-16977059.07176692</v>
      </c>
      <c r="L2267" s="444">
        <f t="shared" ca="1" si="124"/>
        <v>-4091471236.2958274</v>
      </c>
      <c r="M2267" s="460">
        <f t="shared" si="126"/>
        <v>0.05</v>
      </c>
      <c r="N2267" s="464">
        <f t="shared" si="127"/>
        <v>120045</v>
      </c>
    </row>
    <row r="2268" spans="7:14" ht="11.25" customHeight="1" x14ac:dyDescent="0.3">
      <c r="G2268" s="459"/>
      <c r="H2268" s="459">
        <v>2261</v>
      </c>
      <c r="I2268" s="444">
        <f t="shared" ca="1" si="125"/>
        <v>-4091471236.2958274</v>
      </c>
      <c r="J2268" s="444">
        <f t="array" ref="J2268">IFERROR(INDEX('Retirement Calculator'!K:K,MATCH('Lorri 401b'!N2268,'Retirement Calculator'!A:A,0),0),0)</f>
        <v>0</v>
      </c>
      <c r="K2268" s="444">
        <f t="shared" ca="1" si="123"/>
        <v>-17047796.817899283</v>
      </c>
      <c r="L2268" s="444">
        <f t="shared" ca="1" si="124"/>
        <v>-4108519033.1137266</v>
      </c>
      <c r="M2268" s="460">
        <f t="shared" si="126"/>
        <v>0.05</v>
      </c>
      <c r="N2268" s="464">
        <f t="shared" si="127"/>
        <v>120075</v>
      </c>
    </row>
    <row r="2269" spans="7:14" ht="11.25" customHeight="1" x14ac:dyDescent="0.3">
      <c r="G2269" s="459"/>
      <c r="H2269" s="459">
        <v>2262</v>
      </c>
      <c r="I2269" s="444">
        <f t="shared" ca="1" si="125"/>
        <v>-4108519033.1137266</v>
      </c>
      <c r="J2269" s="444">
        <f t="array" ref="J2269">IFERROR(INDEX('Retirement Calculator'!K:K,MATCH('Lorri 401b'!N2269,'Retirement Calculator'!A:A,0),0),0)</f>
        <v>0</v>
      </c>
      <c r="K2269" s="444">
        <f t="shared" ca="1" si="123"/>
        <v>-17118829.304640528</v>
      </c>
      <c r="L2269" s="444">
        <f t="shared" ca="1" si="124"/>
        <v>-4125637862.4183669</v>
      </c>
      <c r="M2269" s="460">
        <f t="shared" si="126"/>
        <v>0.05</v>
      </c>
      <c r="N2269" s="464">
        <f t="shared" si="127"/>
        <v>120106</v>
      </c>
    </row>
    <row r="2270" spans="7:14" ht="11.25" customHeight="1" x14ac:dyDescent="0.3">
      <c r="G2270" s="459"/>
      <c r="H2270" s="459">
        <v>2263</v>
      </c>
      <c r="I2270" s="444">
        <f t="shared" ca="1" si="125"/>
        <v>-4125637862.4183669</v>
      </c>
      <c r="J2270" s="444">
        <f t="array" ref="J2270">IFERROR(INDEX('Retirement Calculator'!K:K,MATCH('Lorri 401b'!N2270,'Retirement Calculator'!A:A,0),0),0)</f>
        <v>0</v>
      </c>
      <c r="K2270" s="444">
        <f t="shared" ca="1" si="123"/>
        <v>-17190157.76007653</v>
      </c>
      <c r="L2270" s="444">
        <f t="shared" ca="1" si="124"/>
        <v>-4142828020.1784434</v>
      </c>
      <c r="M2270" s="460">
        <f t="shared" si="126"/>
        <v>0.05</v>
      </c>
      <c r="N2270" s="464">
        <f t="shared" si="127"/>
        <v>120136</v>
      </c>
    </row>
    <row r="2271" spans="7:14" ht="11.25" customHeight="1" x14ac:dyDescent="0.3">
      <c r="G2271" s="459"/>
      <c r="H2271" s="459">
        <v>2264</v>
      </c>
      <c r="I2271" s="444">
        <f t="shared" ca="1" si="125"/>
        <v>-4142828020.1784434</v>
      </c>
      <c r="J2271" s="444">
        <f t="array" ref="J2271">IFERROR(INDEX('Retirement Calculator'!K:K,MATCH('Lorri 401b'!N2271,'Retirement Calculator'!A:A,0),0),0)</f>
        <v>0</v>
      </c>
      <c r="K2271" s="444">
        <f t="shared" ca="1" si="123"/>
        <v>-17261783.41741018</v>
      </c>
      <c r="L2271" s="444">
        <f t="shared" ca="1" si="124"/>
        <v>-4160089803.5958538</v>
      </c>
      <c r="M2271" s="460">
        <f t="shared" si="126"/>
        <v>0.05</v>
      </c>
      <c r="N2271" s="464">
        <f t="shared" si="127"/>
        <v>120167</v>
      </c>
    </row>
    <row r="2272" spans="7:14" ht="11.25" customHeight="1" x14ac:dyDescent="0.3">
      <c r="G2272" s="459"/>
      <c r="H2272" s="459">
        <v>2265</v>
      </c>
      <c r="I2272" s="444">
        <f t="shared" ca="1" si="125"/>
        <v>-4160089803.5958538</v>
      </c>
      <c r="J2272" s="444">
        <f t="array" ref="J2272">IFERROR(INDEX('Retirement Calculator'!K:K,MATCH('Lorri 401b'!N2272,'Retirement Calculator'!A:A,0),0),0)</f>
        <v>0</v>
      </c>
      <c r="K2272" s="444">
        <f t="shared" ca="1" si="123"/>
        <v>-17333707.514982726</v>
      </c>
      <c r="L2272" s="444">
        <f t="shared" ca="1" si="124"/>
        <v>-4177423511.1108365</v>
      </c>
      <c r="M2272" s="460">
        <f t="shared" si="126"/>
        <v>0.05</v>
      </c>
      <c r="N2272" s="464">
        <f t="shared" si="127"/>
        <v>120198</v>
      </c>
    </row>
    <row r="2273" spans="7:14" ht="11.25" customHeight="1" x14ac:dyDescent="0.3">
      <c r="G2273" s="459"/>
      <c r="H2273" s="459">
        <v>2266</v>
      </c>
      <c r="I2273" s="444">
        <f t="shared" ca="1" si="125"/>
        <v>-4177423511.1108365</v>
      </c>
      <c r="J2273" s="444">
        <f t="array" ref="J2273">IFERROR(INDEX('Retirement Calculator'!K:K,MATCH('Lorri 401b'!N2273,'Retirement Calculator'!A:A,0),0),0)</f>
        <v>0</v>
      </c>
      <c r="K2273" s="444">
        <f t="shared" ca="1" si="123"/>
        <v>-17405931.296295151</v>
      </c>
      <c r="L2273" s="444">
        <f t="shared" ca="1" si="124"/>
        <v>-4194829442.4071317</v>
      </c>
      <c r="M2273" s="460">
        <f t="shared" si="126"/>
        <v>0.05</v>
      </c>
      <c r="N2273" s="464">
        <f t="shared" si="127"/>
        <v>120226</v>
      </c>
    </row>
    <row r="2274" spans="7:14" ht="11.25" customHeight="1" x14ac:dyDescent="0.3">
      <c r="G2274" s="459"/>
      <c r="H2274" s="459">
        <v>2267</v>
      </c>
      <c r="I2274" s="444">
        <f t="shared" ca="1" si="125"/>
        <v>-4194829442.4071317</v>
      </c>
      <c r="J2274" s="444">
        <f t="array" ref="J2274">IFERROR(INDEX('Retirement Calculator'!K:K,MATCH('Lorri 401b'!N2274,'Retirement Calculator'!A:A,0),0),0)</f>
        <v>0</v>
      </c>
      <c r="K2274" s="444">
        <f t="shared" ca="1" si="123"/>
        <v>-17478456.010029715</v>
      </c>
      <c r="L2274" s="444">
        <f t="shared" ca="1" si="124"/>
        <v>-4212307898.4171615</v>
      </c>
      <c r="M2274" s="460">
        <f t="shared" si="126"/>
        <v>0.05</v>
      </c>
      <c r="N2274" s="464">
        <f t="shared" si="127"/>
        <v>120257</v>
      </c>
    </row>
    <row r="2275" spans="7:14" ht="11.25" customHeight="1" x14ac:dyDescent="0.3">
      <c r="G2275" s="459"/>
      <c r="H2275" s="459">
        <v>2268</v>
      </c>
      <c r="I2275" s="444">
        <f t="shared" ca="1" si="125"/>
        <v>-4212307898.4171615</v>
      </c>
      <c r="J2275" s="444">
        <f t="array" ref="J2275">IFERROR(INDEX('Retirement Calculator'!K:K,MATCH('Lorri 401b'!N2275,'Retirement Calculator'!A:A,0),0),0)</f>
        <v>0</v>
      </c>
      <c r="K2275" s="444">
        <f t="shared" ca="1" si="123"/>
        <v>-17551282.910071507</v>
      </c>
      <c r="L2275" s="444">
        <f t="shared" ca="1" si="124"/>
        <v>-4229859181.3272328</v>
      </c>
      <c r="M2275" s="460">
        <f t="shared" si="126"/>
        <v>0.05</v>
      </c>
      <c r="N2275" s="464">
        <f t="shared" si="127"/>
        <v>120287</v>
      </c>
    </row>
    <row r="2276" spans="7:14" ht="11.25" customHeight="1" x14ac:dyDescent="0.3">
      <c r="G2276" s="459"/>
      <c r="H2276" s="459">
        <v>2269</v>
      </c>
      <c r="I2276" s="444">
        <f t="shared" ca="1" si="125"/>
        <v>-4229859181.3272328</v>
      </c>
      <c r="J2276" s="444">
        <f t="array" ref="J2276">IFERROR(INDEX('Retirement Calculator'!K:K,MATCH('Lorri 401b'!N2276,'Retirement Calculator'!A:A,0),0),0)</f>
        <v>0</v>
      </c>
      <c r="K2276" s="444">
        <f t="shared" ca="1" si="123"/>
        <v>-17624413.255530138</v>
      </c>
      <c r="L2276" s="444">
        <f t="shared" ca="1" si="124"/>
        <v>-4247483594.5827632</v>
      </c>
      <c r="M2276" s="460">
        <f t="shared" si="126"/>
        <v>0.05</v>
      </c>
      <c r="N2276" s="464">
        <f t="shared" si="127"/>
        <v>120318</v>
      </c>
    </row>
    <row r="2277" spans="7:14" ht="11.25" customHeight="1" x14ac:dyDescent="0.3">
      <c r="G2277" s="459"/>
      <c r="H2277" s="459">
        <v>2270</v>
      </c>
      <c r="I2277" s="444">
        <f t="shared" ca="1" si="125"/>
        <v>-4247483594.5827632</v>
      </c>
      <c r="J2277" s="444">
        <f t="array" ref="J2277">IFERROR(INDEX('Retirement Calculator'!K:K,MATCH('Lorri 401b'!N2277,'Retirement Calculator'!A:A,0),0),0)</f>
        <v>0</v>
      </c>
      <c r="K2277" s="444">
        <f t="shared" ca="1" si="123"/>
        <v>-17697848.310761511</v>
      </c>
      <c r="L2277" s="444">
        <f t="shared" ca="1" si="124"/>
        <v>-4265181442.8935246</v>
      </c>
      <c r="M2277" s="460">
        <f t="shared" si="126"/>
        <v>0.05</v>
      </c>
      <c r="N2277" s="464">
        <f t="shared" si="127"/>
        <v>120348</v>
      </c>
    </row>
    <row r="2278" spans="7:14" ht="11.25" customHeight="1" x14ac:dyDescent="0.3">
      <c r="G2278" s="459"/>
      <c r="H2278" s="459">
        <v>2271</v>
      </c>
      <c r="I2278" s="444">
        <f t="shared" ca="1" si="125"/>
        <v>-4265181442.8935246</v>
      </c>
      <c r="J2278" s="444">
        <f t="array" ref="J2278">IFERROR(INDEX('Retirement Calculator'!K:K,MATCH('Lorri 401b'!N2278,'Retirement Calculator'!A:A,0),0),0)</f>
        <v>0</v>
      </c>
      <c r="K2278" s="444">
        <f t="shared" ca="1" si="123"/>
        <v>-17771589.345389687</v>
      </c>
      <c r="L2278" s="444">
        <f t="shared" ca="1" si="124"/>
        <v>-4282953032.2389145</v>
      </c>
      <c r="M2278" s="460">
        <f t="shared" si="126"/>
        <v>0.05</v>
      </c>
      <c r="N2278" s="464">
        <f t="shared" si="127"/>
        <v>120379</v>
      </c>
    </row>
    <row r="2279" spans="7:14" ht="11.25" customHeight="1" x14ac:dyDescent="0.3">
      <c r="G2279" s="459"/>
      <c r="H2279" s="459">
        <v>2272</v>
      </c>
      <c r="I2279" s="444">
        <f t="shared" ca="1" si="125"/>
        <v>-4282953032.2389145</v>
      </c>
      <c r="J2279" s="444">
        <f t="array" ref="J2279">IFERROR(INDEX('Retirement Calculator'!K:K,MATCH('Lorri 401b'!N2279,'Retirement Calculator'!A:A,0),0),0)</f>
        <v>0</v>
      </c>
      <c r="K2279" s="444">
        <f t="shared" ca="1" si="123"/>
        <v>-17845637.634328812</v>
      </c>
      <c r="L2279" s="444">
        <f t="shared" ca="1" si="124"/>
        <v>-4300798669.8732433</v>
      </c>
      <c r="M2279" s="460">
        <f t="shared" si="126"/>
        <v>0.05</v>
      </c>
      <c r="N2279" s="464">
        <f t="shared" si="127"/>
        <v>120410</v>
      </c>
    </row>
    <row r="2280" spans="7:14" ht="11.25" customHeight="1" x14ac:dyDescent="0.3">
      <c r="G2280" s="459"/>
      <c r="H2280" s="459">
        <v>2273</v>
      </c>
      <c r="I2280" s="444">
        <f t="shared" ca="1" si="125"/>
        <v>-4300798669.8732433</v>
      </c>
      <c r="J2280" s="444">
        <f t="array" ref="J2280">IFERROR(INDEX('Retirement Calculator'!K:K,MATCH('Lorri 401b'!N2280,'Retirement Calculator'!A:A,0),0),0)</f>
        <v>0</v>
      </c>
      <c r="K2280" s="444">
        <f t="shared" ca="1" si="123"/>
        <v>-17919994.457805179</v>
      </c>
      <c r="L2280" s="444">
        <f t="shared" ca="1" si="124"/>
        <v>-4318718664.331049</v>
      </c>
      <c r="M2280" s="460">
        <f t="shared" si="126"/>
        <v>0.05</v>
      </c>
      <c r="N2280" s="464">
        <f t="shared" si="127"/>
        <v>120440</v>
      </c>
    </row>
    <row r="2281" spans="7:14" ht="11.25" customHeight="1" x14ac:dyDescent="0.3">
      <c r="G2281" s="459"/>
      <c r="H2281" s="459">
        <v>2274</v>
      </c>
      <c r="I2281" s="444">
        <f t="shared" ca="1" si="125"/>
        <v>-4318718664.331049</v>
      </c>
      <c r="J2281" s="444">
        <f t="array" ref="J2281">IFERROR(INDEX('Retirement Calculator'!K:K,MATCH('Lorri 401b'!N2281,'Retirement Calculator'!A:A,0),0),0)</f>
        <v>0</v>
      </c>
      <c r="K2281" s="444">
        <f t="shared" ca="1" si="123"/>
        <v>-17994661.101379372</v>
      </c>
      <c r="L2281" s="444">
        <f t="shared" ca="1" si="124"/>
        <v>-4336713325.4324284</v>
      </c>
      <c r="M2281" s="460">
        <f t="shared" si="126"/>
        <v>0.05</v>
      </c>
      <c r="N2281" s="464">
        <f t="shared" si="127"/>
        <v>120471</v>
      </c>
    </row>
    <row r="2282" spans="7:14" ht="11.25" customHeight="1" x14ac:dyDescent="0.3">
      <c r="G2282" s="459"/>
      <c r="H2282" s="459">
        <v>2275</v>
      </c>
      <c r="I2282" s="444">
        <f t="shared" ca="1" si="125"/>
        <v>-4336713325.4324284</v>
      </c>
      <c r="J2282" s="444">
        <f t="array" ref="J2282">IFERROR(INDEX('Retirement Calculator'!K:K,MATCH('Lorri 401b'!N2282,'Retirement Calculator'!A:A,0),0),0)</f>
        <v>0</v>
      </c>
      <c r="K2282" s="444">
        <f t="shared" ca="1" si="123"/>
        <v>-18069638.855968453</v>
      </c>
      <c r="L2282" s="444">
        <f t="shared" ca="1" si="124"/>
        <v>-4354782964.2883968</v>
      </c>
      <c r="M2282" s="460">
        <f t="shared" si="126"/>
        <v>0.05</v>
      </c>
      <c r="N2282" s="464">
        <f t="shared" si="127"/>
        <v>120501</v>
      </c>
    </row>
    <row r="2283" spans="7:14" ht="11.25" customHeight="1" x14ac:dyDescent="0.3">
      <c r="G2283" s="459"/>
      <c r="H2283" s="459">
        <v>2276</v>
      </c>
      <c r="I2283" s="444">
        <f t="shared" ca="1" si="125"/>
        <v>-4354782964.2883968</v>
      </c>
      <c r="J2283" s="444">
        <f t="array" ref="J2283">IFERROR(INDEX('Retirement Calculator'!K:K,MATCH('Lorri 401b'!N2283,'Retirement Calculator'!A:A,0),0),0)</f>
        <v>0</v>
      </c>
      <c r="K2283" s="444">
        <f t="shared" ca="1" si="123"/>
        <v>-18144929.017868321</v>
      </c>
      <c r="L2283" s="444">
        <f t="shared" ca="1" si="124"/>
        <v>-4372927893.3062649</v>
      </c>
      <c r="M2283" s="460">
        <f t="shared" si="126"/>
        <v>0.05</v>
      </c>
      <c r="N2283" s="464">
        <f t="shared" si="127"/>
        <v>120532</v>
      </c>
    </row>
    <row r="2284" spans="7:14" ht="11.25" customHeight="1" x14ac:dyDescent="0.3">
      <c r="G2284" s="459"/>
      <c r="H2284" s="459">
        <v>2277</v>
      </c>
      <c r="I2284" s="444">
        <f t="shared" ca="1" si="125"/>
        <v>-4372927893.3062649</v>
      </c>
      <c r="J2284" s="444">
        <f t="array" ref="J2284">IFERROR(INDEX('Retirement Calculator'!K:K,MATCH('Lorri 401b'!N2284,'Retirement Calculator'!A:A,0),0),0)</f>
        <v>0</v>
      </c>
      <c r="K2284" s="444">
        <f t="shared" ca="1" si="123"/>
        <v>-18220532.888776105</v>
      </c>
      <c r="L2284" s="444">
        <f t="shared" ca="1" si="124"/>
        <v>-4391148426.1950407</v>
      </c>
      <c r="M2284" s="460">
        <f t="shared" si="126"/>
        <v>0.05</v>
      </c>
      <c r="N2284" s="464">
        <f t="shared" si="127"/>
        <v>120563</v>
      </c>
    </row>
    <row r="2285" spans="7:14" ht="11.25" customHeight="1" x14ac:dyDescent="0.3">
      <c r="G2285" s="459"/>
      <c r="H2285" s="459">
        <v>2278</v>
      </c>
      <c r="I2285" s="444">
        <f t="shared" ca="1" si="125"/>
        <v>-4391148426.1950407</v>
      </c>
      <c r="J2285" s="444">
        <f t="array" ref="J2285">IFERROR(INDEX('Retirement Calculator'!K:K,MATCH('Lorri 401b'!N2285,'Retirement Calculator'!A:A,0),0),0)</f>
        <v>0</v>
      </c>
      <c r="K2285" s="444">
        <f t="shared" ca="1" si="123"/>
        <v>-18296451.775812671</v>
      </c>
      <c r="L2285" s="444">
        <f t="shared" ca="1" si="124"/>
        <v>-4409444877.9708538</v>
      </c>
      <c r="M2285" s="460">
        <f t="shared" si="126"/>
        <v>0.05</v>
      </c>
      <c r="N2285" s="464">
        <f t="shared" si="127"/>
        <v>120591</v>
      </c>
    </row>
    <row r="2286" spans="7:14" ht="11.25" customHeight="1" x14ac:dyDescent="0.3">
      <c r="G2286" s="459"/>
      <c r="H2286" s="459">
        <v>2279</v>
      </c>
      <c r="I2286" s="444">
        <f t="shared" ca="1" si="125"/>
        <v>-4409444877.9708538</v>
      </c>
      <c r="J2286" s="444">
        <f t="array" ref="J2286">IFERROR(INDEX('Retirement Calculator'!K:K,MATCH('Lorri 401b'!N2286,'Retirement Calculator'!A:A,0),0),0)</f>
        <v>0</v>
      </c>
      <c r="K2286" s="444">
        <f t="shared" ca="1" si="123"/>
        <v>-18372686.991545223</v>
      </c>
      <c r="L2286" s="444">
        <f t="shared" ca="1" si="124"/>
        <v>-4427817564.9623995</v>
      </c>
      <c r="M2286" s="460">
        <f t="shared" si="126"/>
        <v>0.05</v>
      </c>
      <c r="N2286" s="464">
        <f t="shared" si="127"/>
        <v>120622</v>
      </c>
    </row>
    <row r="2287" spans="7:14" ht="11.25" customHeight="1" x14ac:dyDescent="0.3">
      <c r="G2287" s="459"/>
      <c r="H2287" s="459">
        <v>2280</v>
      </c>
      <c r="I2287" s="444">
        <f t="shared" ca="1" si="125"/>
        <v>-4427817564.9623995</v>
      </c>
      <c r="J2287" s="444">
        <f t="array" ref="J2287">IFERROR(INDEX('Retirement Calculator'!K:K,MATCH('Lorri 401b'!N2287,'Retirement Calculator'!A:A,0),0),0)</f>
        <v>0</v>
      </c>
      <c r="K2287" s="444">
        <f t="shared" ca="1" si="123"/>
        <v>-18449239.854009997</v>
      </c>
      <c r="L2287" s="444">
        <f t="shared" ca="1" si="124"/>
        <v>-4446266804.8164091</v>
      </c>
      <c r="M2287" s="460">
        <f t="shared" si="126"/>
        <v>0.05</v>
      </c>
      <c r="N2287" s="464">
        <f t="shared" si="127"/>
        <v>120652</v>
      </c>
    </row>
    <row r="2288" spans="7:14" ht="11.25" customHeight="1" x14ac:dyDescent="0.3">
      <c r="G2288" s="459"/>
      <c r="H2288" s="459">
        <v>2281</v>
      </c>
      <c r="I2288" s="444">
        <f t="shared" ca="1" si="125"/>
        <v>-4446266804.8164091</v>
      </c>
      <c r="J2288" s="444">
        <f t="array" ref="J2288">IFERROR(INDEX('Retirement Calculator'!K:K,MATCH('Lorri 401b'!N2288,'Retirement Calculator'!A:A,0),0),0)</f>
        <v>0</v>
      </c>
      <c r="K2288" s="444">
        <f t="shared" ca="1" si="123"/>
        <v>-18526111.686735038</v>
      </c>
      <c r="L2288" s="444">
        <f t="shared" ca="1" si="124"/>
        <v>-4464792916.5031443</v>
      </c>
      <c r="M2288" s="460">
        <f t="shared" si="126"/>
        <v>0.05</v>
      </c>
      <c r="N2288" s="464">
        <f t="shared" si="127"/>
        <v>120683</v>
      </c>
    </row>
    <row r="2289" spans="7:14" ht="11.25" customHeight="1" x14ac:dyDescent="0.3">
      <c r="G2289" s="459"/>
      <c r="H2289" s="459">
        <v>2282</v>
      </c>
      <c r="I2289" s="444">
        <f t="shared" ca="1" si="125"/>
        <v>-4464792916.5031443</v>
      </c>
      <c r="J2289" s="444">
        <f t="array" ref="J2289">IFERROR(INDEX('Retirement Calculator'!K:K,MATCH('Lorri 401b'!N2289,'Retirement Calculator'!A:A,0),0),0)</f>
        <v>0</v>
      </c>
      <c r="K2289" s="444">
        <f t="shared" ca="1" si="123"/>
        <v>-18603303.8187631</v>
      </c>
      <c r="L2289" s="444">
        <f t="shared" ca="1" si="124"/>
        <v>-4483396220.321907</v>
      </c>
      <c r="M2289" s="460">
        <f t="shared" si="126"/>
        <v>0.05</v>
      </c>
      <c r="N2289" s="464">
        <f t="shared" si="127"/>
        <v>120713</v>
      </c>
    </row>
    <row r="2290" spans="7:14" ht="11.25" customHeight="1" x14ac:dyDescent="0.3">
      <c r="G2290" s="459"/>
      <c r="H2290" s="459">
        <v>2283</v>
      </c>
      <c r="I2290" s="444">
        <f t="shared" ca="1" si="125"/>
        <v>-4483396220.321907</v>
      </c>
      <c r="J2290" s="444">
        <f t="array" ref="J2290">IFERROR(INDEX('Retirement Calculator'!K:K,MATCH('Lorri 401b'!N2290,'Retirement Calculator'!A:A,0),0),0)</f>
        <v>0</v>
      </c>
      <c r="K2290" s="444">
        <f t="shared" ca="1" si="123"/>
        <v>-18680817.584674612</v>
      </c>
      <c r="L2290" s="444">
        <f t="shared" ca="1" si="124"/>
        <v>-4502077037.9065819</v>
      </c>
      <c r="M2290" s="460">
        <f t="shared" si="126"/>
        <v>0.05</v>
      </c>
      <c r="N2290" s="464">
        <f t="shared" si="127"/>
        <v>120744</v>
      </c>
    </row>
    <row r="2291" spans="7:14" ht="11.25" customHeight="1" x14ac:dyDescent="0.3">
      <c r="G2291" s="459"/>
      <c r="H2291" s="459">
        <v>2284</v>
      </c>
      <c r="I2291" s="444">
        <f t="shared" ca="1" si="125"/>
        <v>-4502077037.9065819</v>
      </c>
      <c r="J2291" s="444">
        <f t="array" ref="J2291">IFERROR(INDEX('Retirement Calculator'!K:K,MATCH('Lorri 401b'!N2291,'Retirement Calculator'!A:A,0),0),0)</f>
        <v>0</v>
      </c>
      <c r="K2291" s="444">
        <f t="shared" ca="1" si="123"/>
        <v>-18758654.324610759</v>
      </c>
      <c r="L2291" s="444">
        <f t="shared" ca="1" si="124"/>
        <v>-4520835692.2311926</v>
      </c>
      <c r="M2291" s="460">
        <f t="shared" si="126"/>
        <v>0.05</v>
      </c>
      <c r="N2291" s="464">
        <f t="shared" si="127"/>
        <v>120775</v>
      </c>
    </row>
    <row r="2292" spans="7:14" ht="11.25" customHeight="1" x14ac:dyDescent="0.3">
      <c r="G2292" s="459"/>
      <c r="H2292" s="459">
        <v>2285</v>
      </c>
      <c r="I2292" s="444">
        <f t="shared" ca="1" si="125"/>
        <v>-4520835692.2311926</v>
      </c>
      <c r="J2292" s="444">
        <f t="array" ref="J2292">IFERROR(INDEX('Retirement Calculator'!K:K,MATCH('Lorri 401b'!N2292,'Retirement Calculator'!A:A,0),0),0)</f>
        <v>0</v>
      </c>
      <c r="K2292" s="444">
        <f t="shared" ca="1" si="123"/>
        <v>-18836815.384296637</v>
      </c>
      <c r="L2292" s="444">
        <f t="shared" ca="1" si="124"/>
        <v>-4539672507.615489</v>
      </c>
      <c r="M2292" s="460">
        <f t="shared" si="126"/>
        <v>0.05</v>
      </c>
      <c r="N2292" s="464">
        <f t="shared" si="127"/>
        <v>120805</v>
      </c>
    </row>
    <row r="2293" spans="7:14" ht="11.25" customHeight="1" x14ac:dyDescent="0.3">
      <c r="G2293" s="459"/>
      <c r="H2293" s="459">
        <v>2286</v>
      </c>
      <c r="I2293" s="444">
        <f t="shared" ca="1" si="125"/>
        <v>-4539672507.615489</v>
      </c>
      <c r="J2293" s="444">
        <f t="array" ref="J2293">IFERROR(INDEX('Retirement Calculator'!K:K,MATCH('Lorri 401b'!N2293,'Retirement Calculator'!A:A,0),0),0)</f>
        <v>0</v>
      </c>
      <c r="K2293" s="444">
        <f t="shared" ca="1" si="123"/>
        <v>-18915302.115064539</v>
      </c>
      <c r="L2293" s="444">
        <f t="shared" ca="1" si="124"/>
        <v>-4558587809.7305536</v>
      </c>
      <c r="M2293" s="460">
        <f t="shared" si="126"/>
        <v>0.05</v>
      </c>
      <c r="N2293" s="464">
        <f t="shared" si="127"/>
        <v>120836</v>
      </c>
    </row>
    <row r="2294" spans="7:14" ht="11.25" customHeight="1" x14ac:dyDescent="0.3">
      <c r="G2294" s="459"/>
      <c r="H2294" s="459">
        <v>2287</v>
      </c>
      <c r="I2294" s="444">
        <f t="shared" ca="1" si="125"/>
        <v>-4558587809.7305536</v>
      </c>
      <c r="J2294" s="444">
        <f t="array" ref="J2294">IFERROR(INDEX('Retirement Calculator'!K:K,MATCH('Lorri 401b'!N2294,'Retirement Calculator'!A:A,0),0),0)</f>
        <v>0</v>
      </c>
      <c r="K2294" s="444">
        <f t="shared" ca="1" si="123"/>
        <v>-18994115.873877306</v>
      </c>
      <c r="L2294" s="444">
        <f t="shared" ca="1" si="124"/>
        <v>-4577581925.6044312</v>
      </c>
      <c r="M2294" s="460">
        <f t="shared" si="126"/>
        <v>0.05</v>
      </c>
      <c r="N2294" s="464">
        <f t="shared" si="127"/>
        <v>120866</v>
      </c>
    </row>
    <row r="2295" spans="7:14" ht="11.25" customHeight="1" x14ac:dyDescent="0.3">
      <c r="G2295" s="459"/>
      <c r="H2295" s="459">
        <v>2288</v>
      </c>
      <c r="I2295" s="444">
        <f t="shared" ca="1" si="125"/>
        <v>-4577581925.6044312</v>
      </c>
      <c r="J2295" s="444">
        <f t="array" ref="J2295">IFERROR(INDEX('Retirement Calculator'!K:K,MATCH('Lorri 401b'!N2295,'Retirement Calculator'!A:A,0),0),0)</f>
        <v>0</v>
      </c>
      <c r="K2295" s="444">
        <f t="shared" ca="1" si="123"/>
        <v>-19073258.023351796</v>
      </c>
      <c r="L2295" s="444">
        <f t="shared" ca="1" si="124"/>
        <v>-4596655183.6277828</v>
      </c>
      <c r="M2295" s="460">
        <f t="shared" si="126"/>
        <v>0.05</v>
      </c>
      <c r="N2295" s="464">
        <f t="shared" si="127"/>
        <v>120897</v>
      </c>
    </row>
    <row r="2296" spans="7:14" ht="11.25" customHeight="1" x14ac:dyDescent="0.3">
      <c r="G2296" s="459"/>
      <c r="H2296" s="459">
        <v>2289</v>
      </c>
      <c r="I2296" s="444">
        <f t="shared" ca="1" si="125"/>
        <v>-4596655183.6277828</v>
      </c>
      <c r="J2296" s="444">
        <f t="array" ref="J2296">IFERROR(INDEX('Retirement Calculator'!K:K,MATCH('Lorri 401b'!N2296,'Retirement Calculator'!A:A,0),0),0)</f>
        <v>0</v>
      </c>
      <c r="K2296" s="444">
        <f t="shared" ca="1" si="123"/>
        <v>-19152729.931782428</v>
      </c>
      <c r="L2296" s="444">
        <f t="shared" ca="1" si="124"/>
        <v>-4615807913.5595655</v>
      </c>
      <c r="M2296" s="460">
        <f t="shared" si="126"/>
        <v>0.05</v>
      </c>
      <c r="N2296" s="464">
        <f t="shared" si="127"/>
        <v>120928</v>
      </c>
    </row>
    <row r="2297" spans="7:14" ht="11.25" customHeight="1" x14ac:dyDescent="0.3">
      <c r="G2297" s="459"/>
      <c r="H2297" s="459">
        <v>2290</v>
      </c>
      <c r="I2297" s="444">
        <f t="shared" ca="1" si="125"/>
        <v>-4615807913.5595655</v>
      </c>
      <c r="J2297" s="444">
        <f t="array" ref="J2297">IFERROR(INDEX('Retirement Calculator'!K:K,MATCH('Lorri 401b'!N2297,'Retirement Calculator'!A:A,0),0),0)</f>
        <v>0</v>
      </c>
      <c r="K2297" s="444">
        <f t="shared" ca="1" si="123"/>
        <v>-19232532.973164856</v>
      </c>
      <c r="L2297" s="444">
        <f t="shared" ca="1" si="124"/>
        <v>-4635040446.5327301</v>
      </c>
      <c r="M2297" s="460">
        <f t="shared" si="126"/>
        <v>0.05</v>
      </c>
      <c r="N2297" s="464">
        <f t="shared" si="127"/>
        <v>120956</v>
      </c>
    </row>
    <row r="2298" spans="7:14" ht="11.25" customHeight="1" x14ac:dyDescent="0.3">
      <c r="G2298" s="459"/>
      <c r="H2298" s="459">
        <v>2291</v>
      </c>
      <c r="I2298" s="444">
        <f t="shared" ca="1" si="125"/>
        <v>-4635040446.5327301</v>
      </c>
      <c r="J2298" s="444">
        <f t="array" ref="J2298">IFERROR(INDEX('Retirement Calculator'!K:K,MATCH('Lorri 401b'!N2298,'Retirement Calculator'!A:A,0),0),0)</f>
        <v>0</v>
      </c>
      <c r="K2298" s="444">
        <f t="shared" ca="1" si="123"/>
        <v>-19312668.527219709</v>
      </c>
      <c r="L2298" s="444">
        <f t="shared" ca="1" si="124"/>
        <v>-4654353115.0599499</v>
      </c>
      <c r="M2298" s="460">
        <f t="shared" si="126"/>
        <v>0.05</v>
      </c>
      <c r="N2298" s="464">
        <f t="shared" si="127"/>
        <v>120987</v>
      </c>
    </row>
    <row r="2299" spans="7:14" ht="11.25" customHeight="1" x14ac:dyDescent="0.3">
      <c r="G2299" s="459"/>
      <c r="H2299" s="459">
        <v>2292</v>
      </c>
      <c r="I2299" s="444">
        <f t="shared" ca="1" si="125"/>
        <v>-4654353115.0599499</v>
      </c>
      <c r="J2299" s="444">
        <f t="array" ref="J2299">IFERROR(INDEX('Retirement Calculator'!K:K,MATCH('Lorri 401b'!N2299,'Retirement Calculator'!A:A,0),0),0)</f>
        <v>0</v>
      </c>
      <c r="K2299" s="444">
        <f t="shared" ca="1" si="123"/>
        <v>-19393137.979416456</v>
      </c>
      <c r="L2299" s="444">
        <f t="shared" ca="1" si="124"/>
        <v>-4673746253.0393667</v>
      </c>
      <c r="M2299" s="460">
        <f t="shared" si="126"/>
        <v>0.05</v>
      </c>
      <c r="N2299" s="464">
        <f t="shared" si="127"/>
        <v>121017</v>
      </c>
    </row>
    <row r="2300" spans="7:14" ht="11.25" customHeight="1" x14ac:dyDescent="0.3">
      <c r="G2300" s="459"/>
      <c r="H2300" s="459">
        <v>2293</v>
      </c>
      <c r="I2300" s="444">
        <f t="shared" ca="1" si="125"/>
        <v>-4673746253.0393667</v>
      </c>
      <c r="J2300" s="444">
        <f t="array" ref="J2300">IFERROR(INDEX('Retirement Calculator'!K:K,MATCH('Lorri 401b'!N2300,'Retirement Calculator'!A:A,0),0),0)</f>
        <v>0</v>
      </c>
      <c r="K2300" s="444">
        <f t="shared" ca="1" si="123"/>
        <v>-19473942.72099736</v>
      </c>
      <c r="L2300" s="444">
        <f t="shared" ca="1" si="124"/>
        <v>-4693220195.7603645</v>
      </c>
      <c r="M2300" s="460">
        <f t="shared" si="126"/>
        <v>0.05</v>
      </c>
      <c r="N2300" s="464">
        <f t="shared" si="127"/>
        <v>121048</v>
      </c>
    </row>
    <row r="2301" spans="7:14" ht="11.25" customHeight="1" x14ac:dyDescent="0.3">
      <c r="G2301" s="459"/>
      <c r="H2301" s="459">
        <v>2294</v>
      </c>
      <c r="I2301" s="444">
        <f t="shared" ca="1" si="125"/>
        <v>-4693220195.7603645</v>
      </c>
      <c r="J2301" s="444">
        <f t="array" ref="J2301">IFERROR(INDEX('Retirement Calculator'!K:K,MATCH('Lorri 401b'!N2301,'Retirement Calculator'!A:A,0),0),0)</f>
        <v>0</v>
      </c>
      <c r="K2301" s="444">
        <f t="shared" ca="1" si="123"/>
        <v>-19555084.14900152</v>
      </c>
      <c r="L2301" s="444">
        <f t="shared" ca="1" si="124"/>
        <v>-4712775279.9093657</v>
      </c>
      <c r="M2301" s="460">
        <f t="shared" si="126"/>
        <v>0.05</v>
      </c>
      <c r="N2301" s="464">
        <f t="shared" si="127"/>
        <v>121078</v>
      </c>
    </row>
    <row r="2302" spans="7:14" ht="11.25" customHeight="1" x14ac:dyDescent="0.3">
      <c r="G2302" s="459"/>
      <c r="H2302" s="459">
        <v>2295</v>
      </c>
      <c r="I2302" s="444">
        <f t="shared" ca="1" si="125"/>
        <v>-4712775279.9093657</v>
      </c>
      <c r="J2302" s="444">
        <f t="array" ref="J2302">IFERROR(INDEX('Retirement Calculator'!K:K,MATCH('Lorri 401b'!N2302,'Retirement Calculator'!A:A,0),0),0)</f>
        <v>0</v>
      </c>
      <c r="K2302" s="444">
        <f t="shared" ca="1" si="123"/>
        <v>-19636563.666289024</v>
      </c>
      <c r="L2302" s="444">
        <f t="shared" ca="1" si="124"/>
        <v>-4732411843.575655</v>
      </c>
      <c r="M2302" s="460">
        <f t="shared" si="126"/>
        <v>0.05</v>
      </c>
      <c r="N2302" s="464">
        <f t="shared" si="127"/>
        <v>121109</v>
      </c>
    </row>
    <row r="2303" spans="7:14" ht="11.25" customHeight="1" x14ac:dyDescent="0.3">
      <c r="G2303" s="459"/>
      <c r="H2303" s="459">
        <v>2296</v>
      </c>
      <c r="I2303" s="444">
        <f t="shared" ca="1" si="125"/>
        <v>-4732411843.575655</v>
      </c>
      <c r="J2303" s="444">
        <f t="array" ref="J2303">IFERROR(INDEX('Retirement Calculator'!K:K,MATCH('Lorri 401b'!N2303,'Retirement Calculator'!A:A,0),0),0)</f>
        <v>0</v>
      </c>
      <c r="K2303" s="444">
        <f t="shared" ref="K2303:K2557" ca="1" si="128">IPMT(M2303/12,1,12,-I2303+J2303,,0)</f>
        <v>-19718382.681565229</v>
      </c>
      <c r="L2303" s="444">
        <f t="shared" ref="L2303:L2557" ca="1" si="129">I2303-J2303+K2303</f>
        <v>-4752130226.2572203</v>
      </c>
      <c r="M2303" s="460">
        <f t="shared" si="126"/>
        <v>0.05</v>
      </c>
      <c r="N2303" s="464">
        <f t="shared" si="127"/>
        <v>121140</v>
      </c>
    </row>
    <row r="2304" spans="7:14" ht="11.25" customHeight="1" x14ac:dyDescent="0.3">
      <c r="G2304" s="459"/>
      <c r="H2304" s="459">
        <v>2297</v>
      </c>
      <c r="I2304" s="444">
        <f t="shared" ref="I2304:I2558" ca="1" si="130">L2303</f>
        <v>-4752130226.2572203</v>
      </c>
      <c r="J2304" s="444">
        <f t="array" ref="J2304">IFERROR(INDEX('Retirement Calculator'!K:K,MATCH('Lorri 401b'!N2304,'Retirement Calculator'!A:A,0),0),0)</f>
        <v>0</v>
      </c>
      <c r="K2304" s="444">
        <f t="shared" ca="1" si="128"/>
        <v>-19800542.609405085</v>
      </c>
      <c r="L2304" s="444">
        <f t="shared" ca="1" si="129"/>
        <v>-4771930768.8666258</v>
      </c>
      <c r="M2304" s="460">
        <f t="shared" ref="M2304:M2558" si="131">M2303</f>
        <v>0.05</v>
      </c>
      <c r="N2304" s="464">
        <f t="shared" ref="N2304:N2558" si="132">EDATE(N2303,1)</f>
        <v>121170</v>
      </c>
    </row>
    <row r="2305" spans="7:14" ht="11.25" customHeight="1" x14ac:dyDescent="0.3">
      <c r="G2305" s="459"/>
      <c r="H2305" s="459">
        <v>2298</v>
      </c>
      <c r="I2305" s="444">
        <f t="shared" ca="1" si="130"/>
        <v>-4771930768.8666258</v>
      </c>
      <c r="J2305" s="444">
        <f t="array" ref="J2305">IFERROR(INDEX('Retirement Calculator'!K:K,MATCH('Lorri 401b'!N2305,'Retirement Calculator'!A:A,0),0),0)</f>
        <v>0</v>
      </c>
      <c r="K2305" s="444">
        <f t="shared" ca="1" si="128"/>
        <v>-19883044.870277606</v>
      </c>
      <c r="L2305" s="444">
        <f t="shared" ca="1" si="129"/>
        <v>-4791813813.7369032</v>
      </c>
      <c r="M2305" s="460">
        <f t="shared" si="131"/>
        <v>0.05</v>
      </c>
      <c r="N2305" s="464">
        <f t="shared" si="132"/>
        <v>121201</v>
      </c>
    </row>
    <row r="2306" spans="7:14" ht="11.25" customHeight="1" x14ac:dyDescent="0.3">
      <c r="G2306" s="459"/>
      <c r="H2306" s="459">
        <v>2299</v>
      </c>
      <c r="I2306" s="444">
        <f t="shared" ca="1" si="130"/>
        <v>-4791813813.7369032</v>
      </c>
      <c r="J2306" s="444">
        <f t="array" ref="J2306">IFERROR(INDEX('Retirement Calculator'!K:K,MATCH('Lorri 401b'!N2306,'Retirement Calculator'!A:A,0),0),0)</f>
        <v>0</v>
      </c>
      <c r="K2306" s="444">
        <f t="shared" ca="1" si="128"/>
        <v>-19965890.890570428</v>
      </c>
      <c r="L2306" s="444">
        <f t="shared" ca="1" si="129"/>
        <v>-4811779704.6274738</v>
      </c>
      <c r="M2306" s="460">
        <f t="shared" si="131"/>
        <v>0.05</v>
      </c>
      <c r="N2306" s="464">
        <f t="shared" si="132"/>
        <v>121231</v>
      </c>
    </row>
    <row r="2307" spans="7:14" ht="11.25" customHeight="1" x14ac:dyDescent="0.3">
      <c r="G2307" s="459"/>
      <c r="H2307" s="459">
        <v>2300</v>
      </c>
      <c r="I2307" s="444">
        <f t="shared" ca="1" si="130"/>
        <v>-4811779704.6274738</v>
      </c>
      <c r="J2307" s="444">
        <f t="array" ref="J2307">IFERROR(INDEX('Retirement Calculator'!K:K,MATCH('Lorri 401b'!N2307,'Retirement Calculator'!A:A,0),0),0)</f>
        <v>0</v>
      </c>
      <c r="K2307" s="444">
        <f t="shared" ca="1" si="128"/>
        <v>-20049082.102614474</v>
      </c>
      <c r="L2307" s="444">
        <f t="shared" ca="1" si="129"/>
        <v>-4831828786.7300882</v>
      </c>
      <c r="M2307" s="460">
        <f t="shared" si="131"/>
        <v>0.05</v>
      </c>
      <c r="N2307" s="464">
        <f t="shared" si="132"/>
        <v>121262</v>
      </c>
    </row>
    <row r="2308" spans="7:14" ht="11.25" customHeight="1" x14ac:dyDescent="0.3">
      <c r="G2308" s="459"/>
      <c r="H2308" s="459">
        <v>2301</v>
      </c>
      <c r="I2308" s="444">
        <f t="shared" ca="1" si="130"/>
        <v>-4831828786.7300882</v>
      </c>
      <c r="J2308" s="444">
        <f t="array" ref="J2308">IFERROR(INDEX('Retirement Calculator'!K:K,MATCH('Lorri 401b'!N2308,'Retirement Calculator'!A:A,0),0),0)</f>
        <v>0</v>
      </c>
      <c r="K2308" s="444">
        <f t="shared" ca="1" si="128"/>
        <v>-20132619.944708701</v>
      </c>
      <c r="L2308" s="444">
        <f t="shared" ca="1" si="129"/>
        <v>-4851961406.6747971</v>
      </c>
      <c r="M2308" s="460">
        <f t="shared" si="131"/>
        <v>0.05</v>
      </c>
      <c r="N2308" s="464">
        <f t="shared" si="132"/>
        <v>121293</v>
      </c>
    </row>
    <row r="2309" spans="7:14" ht="11.25" customHeight="1" x14ac:dyDescent="0.3">
      <c r="G2309" s="459"/>
      <c r="H2309" s="459">
        <v>2302</v>
      </c>
      <c r="I2309" s="444">
        <f t="shared" ca="1" si="130"/>
        <v>-4851961406.6747971</v>
      </c>
      <c r="J2309" s="444">
        <f t="array" ref="J2309">IFERROR(INDEX('Retirement Calculator'!K:K,MATCH('Lorri 401b'!N2309,'Retirement Calculator'!A:A,0),0),0)</f>
        <v>0</v>
      </c>
      <c r="K2309" s="444">
        <f t="shared" ca="1" si="128"/>
        <v>-20216505.861144986</v>
      </c>
      <c r="L2309" s="444">
        <f t="shared" ca="1" si="129"/>
        <v>-4872177912.5359421</v>
      </c>
      <c r="M2309" s="460">
        <f t="shared" si="131"/>
        <v>0.05</v>
      </c>
      <c r="N2309" s="464">
        <f t="shared" si="132"/>
        <v>121322</v>
      </c>
    </row>
    <row r="2310" spans="7:14" ht="11.25" customHeight="1" x14ac:dyDescent="0.3">
      <c r="G2310" s="459"/>
      <c r="H2310" s="459">
        <v>2303</v>
      </c>
      <c r="I2310" s="444">
        <f t="shared" ca="1" si="130"/>
        <v>-4872177912.5359421</v>
      </c>
      <c r="J2310" s="444">
        <f t="array" ref="J2310">IFERROR(INDEX('Retirement Calculator'!K:K,MATCH('Lorri 401b'!N2310,'Retirement Calculator'!A:A,0),0),0)</f>
        <v>0</v>
      </c>
      <c r="K2310" s="444">
        <f t="shared" ca="1" si="128"/>
        <v>-20300741.302233092</v>
      </c>
      <c r="L2310" s="444">
        <f t="shared" ca="1" si="129"/>
        <v>-4892478653.8381748</v>
      </c>
      <c r="M2310" s="460">
        <f t="shared" si="131"/>
        <v>0.05</v>
      </c>
      <c r="N2310" s="464">
        <f t="shared" si="132"/>
        <v>121353</v>
      </c>
    </row>
    <row r="2311" spans="7:14" ht="11.25" customHeight="1" x14ac:dyDescent="0.3">
      <c r="G2311" s="459"/>
      <c r="H2311" s="459">
        <v>2304</v>
      </c>
      <c r="I2311" s="444">
        <f t="shared" ca="1" si="130"/>
        <v>-4892478653.8381748</v>
      </c>
      <c r="J2311" s="444">
        <f t="array" ref="J2311">IFERROR(INDEX('Retirement Calculator'!K:K,MATCH('Lorri 401b'!N2311,'Retirement Calculator'!A:A,0),0),0)</f>
        <v>0</v>
      </c>
      <c r="K2311" s="444">
        <f t="shared" ca="1" si="128"/>
        <v>-20385327.724325728</v>
      </c>
      <c r="L2311" s="444">
        <f t="shared" ca="1" si="129"/>
        <v>-4912863981.562501</v>
      </c>
      <c r="M2311" s="460">
        <f t="shared" si="131"/>
        <v>0.05</v>
      </c>
      <c r="N2311" s="464">
        <f t="shared" si="132"/>
        <v>121383</v>
      </c>
    </row>
    <row r="2312" spans="7:14" ht="11.25" customHeight="1" x14ac:dyDescent="0.3">
      <c r="G2312" s="459"/>
      <c r="H2312" s="459">
        <v>2305</v>
      </c>
      <c r="I2312" s="444">
        <f t="shared" ca="1" si="130"/>
        <v>-4912863981.562501</v>
      </c>
      <c r="J2312" s="444">
        <f t="array" ref="J2312">IFERROR(INDEX('Retirement Calculator'!K:K,MATCH('Lorri 401b'!N2312,'Retirement Calculator'!A:A,0),0),0)</f>
        <v>0</v>
      </c>
      <c r="K2312" s="444">
        <f t="shared" ca="1" si="128"/>
        <v>-20470266.589843754</v>
      </c>
      <c r="L2312" s="444">
        <f t="shared" ca="1" si="129"/>
        <v>-4933334248.1523447</v>
      </c>
      <c r="M2312" s="460">
        <f t="shared" si="131"/>
        <v>0.05</v>
      </c>
      <c r="N2312" s="464">
        <f t="shared" si="132"/>
        <v>121414</v>
      </c>
    </row>
    <row r="2313" spans="7:14" ht="11.25" customHeight="1" x14ac:dyDescent="0.3">
      <c r="G2313" s="459"/>
      <c r="H2313" s="459">
        <v>2306</v>
      </c>
      <c r="I2313" s="444">
        <f t="shared" ca="1" si="130"/>
        <v>-4933334248.1523447</v>
      </c>
      <c r="J2313" s="444">
        <f t="array" ref="J2313">IFERROR(INDEX('Retirement Calculator'!K:K,MATCH('Lorri 401b'!N2313,'Retirement Calculator'!A:A,0),0),0)</f>
        <v>0</v>
      </c>
      <c r="K2313" s="444">
        <f t="shared" ca="1" si="128"/>
        <v>-20555559.367301434</v>
      </c>
      <c r="L2313" s="444">
        <f t="shared" ca="1" si="129"/>
        <v>-4953889807.5196457</v>
      </c>
      <c r="M2313" s="460">
        <f t="shared" si="131"/>
        <v>0.05</v>
      </c>
      <c r="N2313" s="464">
        <f t="shared" si="132"/>
        <v>121444</v>
      </c>
    </row>
    <row r="2314" spans="7:14" ht="11.25" customHeight="1" x14ac:dyDescent="0.3">
      <c r="G2314" s="459"/>
      <c r="H2314" s="459">
        <v>2307</v>
      </c>
      <c r="I2314" s="444">
        <f t="shared" ca="1" si="130"/>
        <v>-4953889807.5196457</v>
      </c>
      <c r="J2314" s="444">
        <f t="array" ref="J2314">IFERROR(INDEX('Retirement Calculator'!K:K,MATCH('Lorri 401b'!N2314,'Retirement Calculator'!A:A,0),0),0)</f>
        <v>0</v>
      </c>
      <c r="K2314" s="444">
        <f t="shared" ca="1" si="128"/>
        <v>-20641207.531331856</v>
      </c>
      <c r="L2314" s="444">
        <f t="shared" ca="1" si="129"/>
        <v>-4974531015.0509777</v>
      </c>
      <c r="M2314" s="460">
        <f t="shared" si="131"/>
        <v>0.05</v>
      </c>
      <c r="N2314" s="464">
        <f t="shared" si="132"/>
        <v>121475</v>
      </c>
    </row>
    <row r="2315" spans="7:14" ht="11.25" customHeight="1" x14ac:dyDescent="0.3">
      <c r="G2315" s="459"/>
      <c r="H2315" s="459">
        <v>2308</v>
      </c>
      <c r="I2315" s="444">
        <f t="shared" ca="1" si="130"/>
        <v>-4974531015.0509777</v>
      </c>
      <c r="J2315" s="444">
        <f t="array" ref="J2315">IFERROR(INDEX('Retirement Calculator'!K:K,MATCH('Lorri 401b'!N2315,'Retirement Calculator'!A:A,0),0),0)</f>
        <v>0</v>
      </c>
      <c r="K2315" s="444">
        <f t="shared" ca="1" si="128"/>
        <v>-20727212.562712409</v>
      </c>
      <c r="L2315" s="444">
        <f t="shared" ca="1" si="129"/>
        <v>-4995258227.6136904</v>
      </c>
      <c r="M2315" s="460">
        <f t="shared" si="131"/>
        <v>0.05</v>
      </c>
      <c r="N2315" s="464">
        <f t="shared" si="132"/>
        <v>121506</v>
      </c>
    </row>
    <row r="2316" spans="7:14" ht="11.25" customHeight="1" x14ac:dyDescent="0.3">
      <c r="G2316" s="459"/>
      <c r="H2316" s="459">
        <v>2309</v>
      </c>
      <c r="I2316" s="444">
        <f t="shared" ca="1" si="130"/>
        <v>-4995258227.6136904</v>
      </c>
      <c r="J2316" s="444">
        <f t="array" ref="J2316">IFERROR(INDEX('Retirement Calculator'!K:K,MATCH('Lorri 401b'!N2316,'Retirement Calculator'!A:A,0),0),0)</f>
        <v>0</v>
      </c>
      <c r="K2316" s="444">
        <f t="shared" ca="1" si="128"/>
        <v>-20813575.948390376</v>
      </c>
      <c r="L2316" s="444">
        <f t="shared" ca="1" si="129"/>
        <v>-5016071803.5620804</v>
      </c>
      <c r="M2316" s="460">
        <f t="shared" si="131"/>
        <v>0.05</v>
      </c>
      <c r="N2316" s="464">
        <f t="shared" si="132"/>
        <v>121536</v>
      </c>
    </row>
    <row r="2317" spans="7:14" ht="11.25" customHeight="1" x14ac:dyDescent="0.3">
      <c r="G2317" s="459"/>
      <c r="H2317" s="459">
        <v>2310</v>
      </c>
      <c r="I2317" s="444">
        <f t="shared" ca="1" si="130"/>
        <v>-5016071803.5620804</v>
      </c>
      <c r="J2317" s="444">
        <f t="array" ref="J2317">IFERROR(INDEX('Retirement Calculator'!K:K,MATCH('Lorri 401b'!N2317,'Retirement Calculator'!A:A,0),0),0)</f>
        <v>0</v>
      </c>
      <c r="K2317" s="444">
        <f t="shared" ca="1" si="128"/>
        <v>-20900299.181508668</v>
      </c>
      <c r="L2317" s="444">
        <f t="shared" ca="1" si="129"/>
        <v>-5036972102.7435894</v>
      </c>
      <c r="M2317" s="460">
        <f t="shared" si="131"/>
        <v>0.05</v>
      </c>
      <c r="N2317" s="464">
        <f t="shared" si="132"/>
        <v>121567</v>
      </c>
    </row>
    <row r="2318" spans="7:14" ht="11.25" customHeight="1" x14ac:dyDescent="0.3">
      <c r="G2318" s="459"/>
      <c r="H2318" s="459">
        <v>2311</v>
      </c>
      <c r="I2318" s="444">
        <f t="shared" ca="1" si="130"/>
        <v>-5036972102.7435894</v>
      </c>
      <c r="J2318" s="444">
        <f t="array" ref="J2318">IFERROR(INDEX('Retirement Calculator'!K:K,MATCH('Lorri 401b'!N2318,'Retirement Calculator'!A:A,0),0),0)</f>
        <v>0</v>
      </c>
      <c r="K2318" s="444">
        <f t="shared" ca="1" si="128"/>
        <v>-20987383.761431623</v>
      </c>
      <c r="L2318" s="444">
        <f t="shared" ca="1" si="129"/>
        <v>-5057959486.5050211</v>
      </c>
      <c r="M2318" s="460">
        <f t="shared" si="131"/>
        <v>0.05</v>
      </c>
      <c r="N2318" s="464">
        <f t="shared" si="132"/>
        <v>121597</v>
      </c>
    </row>
    <row r="2319" spans="7:14" ht="11.25" customHeight="1" x14ac:dyDescent="0.3">
      <c r="G2319" s="459"/>
      <c r="H2319" s="459">
        <v>2312</v>
      </c>
      <c r="I2319" s="444">
        <f t="shared" ca="1" si="130"/>
        <v>-5057959486.5050211</v>
      </c>
      <c r="J2319" s="444">
        <f t="array" ref="J2319">IFERROR(INDEX('Retirement Calculator'!K:K,MATCH('Lorri 401b'!N2319,'Retirement Calculator'!A:A,0),0),0)</f>
        <v>0</v>
      </c>
      <c r="K2319" s="444">
        <f t="shared" ca="1" si="128"/>
        <v>-21074831.193770923</v>
      </c>
      <c r="L2319" s="444">
        <f t="shared" ca="1" si="129"/>
        <v>-5079034317.6987925</v>
      </c>
      <c r="M2319" s="460">
        <f t="shared" si="131"/>
        <v>0.05</v>
      </c>
      <c r="N2319" s="464">
        <f t="shared" si="132"/>
        <v>121628</v>
      </c>
    </row>
    <row r="2320" spans="7:14" ht="11.25" customHeight="1" x14ac:dyDescent="0.3">
      <c r="G2320" s="459"/>
      <c r="H2320" s="459">
        <v>2313</v>
      </c>
      <c r="I2320" s="444">
        <f t="shared" ca="1" si="130"/>
        <v>-5079034317.6987925</v>
      </c>
      <c r="J2320" s="444">
        <f t="array" ref="J2320">IFERROR(INDEX('Retirement Calculator'!K:K,MATCH('Lorri 401b'!N2320,'Retirement Calculator'!A:A,0),0),0)</f>
        <v>0</v>
      </c>
      <c r="K2320" s="444">
        <f t="shared" ca="1" si="128"/>
        <v>-21162642.990411635</v>
      </c>
      <c r="L2320" s="444">
        <f t="shared" ca="1" si="129"/>
        <v>-5100196960.6892042</v>
      </c>
      <c r="M2320" s="460">
        <f t="shared" si="131"/>
        <v>0.05</v>
      </c>
      <c r="N2320" s="464">
        <f t="shared" si="132"/>
        <v>121659</v>
      </c>
    </row>
    <row r="2321" spans="7:14" ht="11.25" customHeight="1" x14ac:dyDescent="0.3">
      <c r="G2321" s="459"/>
      <c r="H2321" s="459">
        <v>2314</v>
      </c>
      <c r="I2321" s="444">
        <f t="shared" ca="1" si="130"/>
        <v>-5100196960.6892042</v>
      </c>
      <c r="J2321" s="444">
        <f t="array" ref="J2321">IFERROR(INDEX('Retirement Calculator'!K:K,MATCH('Lorri 401b'!N2321,'Retirement Calculator'!A:A,0),0),0)</f>
        <v>0</v>
      </c>
      <c r="K2321" s="444">
        <f t="shared" ca="1" si="128"/>
        <v>-21250820.669538349</v>
      </c>
      <c r="L2321" s="444">
        <f t="shared" ca="1" si="129"/>
        <v>-5121447781.3587427</v>
      </c>
      <c r="M2321" s="460">
        <f t="shared" si="131"/>
        <v>0.05</v>
      </c>
      <c r="N2321" s="464">
        <f t="shared" si="132"/>
        <v>121687</v>
      </c>
    </row>
    <row r="2322" spans="7:14" ht="11.25" customHeight="1" x14ac:dyDescent="0.3">
      <c r="G2322" s="459"/>
      <c r="H2322" s="459">
        <v>2315</v>
      </c>
      <c r="I2322" s="444">
        <f t="shared" ca="1" si="130"/>
        <v>-5121447781.3587427</v>
      </c>
      <c r="J2322" s="444">
        <f t="array" ref="J2322">IFERROR(INDEX('Retirement Calculator'!K:K,MATCH('Lorri 401b'!N2322,'Retirement Calculator'!A:A,0),0),0)</f>
        <v>0</v>
      </c>
      <c r="K2322" s="444">
        <f t="shared" ca="1" si="128"/>
        <v>-21339365.755661428</v>
      </c>
      <c r="L2322" s="444">
        <f t="shared" ca="1" si="129"/>
        <v>-5142787147.1144037</v>
      </c>
      <c r="M2322" s="460">
        <f t="shared" si="131"/>
        <v>0.05</v>
      </c>
      <c r="N2322" s="464">
        <f t="shared" si="132"/>
        <v>121718</v>
      </c>
    </row>
    <row r="2323" spans="7:14" ht="11.25" customHeight="1" x14ac:dyDescent="0.3">
      <c r="G2323" s="459"/>
      <c r="H2323" s="459">
        <v>2316</v>
      </c>
      <c r="I2323" s="444">
        <f t="shared" ca="1" si="130"/>
        <v>-5142787147.1144037</v>
      </c>
      <c r="J2323" s="444">
        <f t="array" ref="J2323">IFERROR(INDEX('Retirement Calculator'!K:K,MATCH('Lorri 401b'!N2323,'Retirement Calculator'!A:A,0),0),0)</f>
        <v>0</v>
      </c>
      <c r="K2323" s="444">
        <f t="shared" ca="1" si="128"/>
        <v>-21428279.779643349</v>
      </c>
      <c r="L2323" s="444">
        <f t="shared" ca="1" si="129"/>
        <v>-5164215426.8940468</v>
      </c>
      <c r="M2323" s="460">
        <f t="shared" si="131"/>
        <v>0.05</v>
      </c>
      <c r="N2323" s="464">
        <f t="shared" si="132"/>
        <v>121748</v>
      </c>
    </row>
    <row r="2324" spans="7:14" ht="11.25" customHeight="1" x14ac:dyDescent="0.3">
      <c r="G2324" s="459"/>
      <c r="H2324" s="459">
        <v>2317</v>
      </c>
      <c r="I2324" s="444">
        <f t="shared" ca="1" si="130"/>
        <v>-5164215426.8940468</v>
      </c>
      <c r="J2324" s="444">
        <f t="array" ref="J2324">IFERROR(INDEX('Retirement Calculator'!K:K,MATCH('Lorri 401b'!N2324,'Retirement Calculator'!A:A,0),0),0)</f>
        <v>0</v>
      </c>
      <c r="K2324" s="444">
        <f t="shared" ca="1" si="128"/>
        <v>-21517564.278725196</v>
      </c>
      <c r="L2324" s="444">
        <f t="shared" ca="1" si="129"/>
        <v>-5185732991.1727724</v>
      </c>
      <c r="M2324" s="460">
        <f t="shared" si="131"/>
        <v>0.05</v>
      </c>
      <c r="N2324" s="464">
        <f t="shared" si="132"/>
        <v>121779</v>
      </c>
    </row>
    <row r="2325" spans="7:14" ht="11.25" customHeight="1" x14ac:dyDescent="0.3">
      <c r="G2325" s="459"/>
      <c r="H2325" s="459">
        <v>2318</v>
      </c>
      <c r="I2325" s="444">
        <f t="shared" ca="1" si="130"/>
        <v>-5185732991.1727724</v>
      </c>
      <c r="J2325" s="444">
        <f t="array" ref="J2325">IFERROR(INDEX('Retirement Calculator'!K:K,MATCH('Lorri 401b'!N2325,'Retirement Calculator'!A:A,0),0),0)</f>
        <v>0</v>
      </c>
      <c r="K2325" s="444">
        <f t="shared" ca="1" si="128"/>
        <v>-21607220.796553217</v>
      </c>
      <c r="L2325" s="444">
        <f t="shared" ca="1" si="129"/>
        <v>-5207340211.969326</v>
      </c>
      <c r="M2325" s="460">
        <f t="shared" si="131"/>
        <v>0.05</v>
      </c>
      <c r="N2325" s="464">
        <f t="shared" si="132"/>
        <v>121809</v>
      </c>
    </row>
    <row r="2326" spans="7:14" ht="11.25" customHeight="1" x14ac:dyDescent="0.3">
      <c r="G2326" s="459"/>
      <c r="H2326" s="459">
        <v>2319</v>
      </c>
      <c r="I2326" s="444">
        <f t="shared" ca="1" si="130"/>
        <v>-5207340211.969326</v>
      </c>
      <c r="J2326" s="444">
        <f t="array" ref="J2326">IFERROR(INDEX('Retirement Calculator'!K:K,MATCH('Lorri 401b'!N2326,'Retirement Calculator'!A:A,0),0),0)</f>
        <v>0</v>
      </c>
      <c r="K2326" s="444">
        <f t="shared" ca="1" si="128"/>
        <v>-21697250.883205526</v>
      </c>
      <c r="L2326" s="444">
        <f t="shared" ca="1" si="129"/>
        <v>-5229037462.8525314</v>
      </c>
      <c r="M2326" s="460">
        <f t="shared" si="131"/>
        <v>0.05</v>
      </c>
      <c r="N2326" s="464">
        <f t="shared" si="132"/>
        <v>121840</v>
      </c>
    </row>
    <row r="2327" spans="7:14" ht="11.25" customHeight="1" x14ac:dyDescent="0.3">
      <c r="G2327" s="459"/>
      <c r="H2327" s="459">
        <v>2320</v>
      </c>
      <c r="I2327" s="444">
        <f t="shared" ca="1" si="130"/>
        <v>-5229037462.8525314</v>
      </c>
      <c r="J2327" s="444">
        <f t="array" ref="J2327">IFERROR(INDEX('Retirement Calculator'!K:K,MATCH('Lorri 401b'!N2327,'Retirement Calculator'!A:A,0),0),0)</f>
        <v>0</v>
      </c>
      <c r="K2327" s="444">
        <f t="shared" ca="1" si="128"/>
        <v>-21787656.095218882</v>
      </c>
      <c r="L2327" s="444">
        <f t="shared" ca="1" si="129"/>
        <v>-5250825118.9477501</v>
      </c>
      <c r="M2327" s="460">
        <f t="shared" si="131"/>
        <v>0.05</v>
      </c>
      <c r="N2327" s="464">
        <f t="shared" si="132"/>
        <v>121871</v>
      </c>
    </row>
    <row r="2328" spans="7:14" ht="11.25" customHeight="1" x14ac:dyDescent="0.3">
      <c r="G2328" s="459"/>
      <c r="H2328" s="459">
        <v>2321</v>
      </c>
      <c r="I2328" s="444">
        <f t="shared" ca="1" si="130"/>
        <v>-5250825118.9477501</v>
      </c>
      <c r="J2328" s="444">
        <f t="array" ref="J2328">IFERROR(INDEX('Retirement Calculator'!K:K,MATCH('Lorri 401b'!N2328,'Retirement Calculator'!A:A,0),0),0)</f>
        <v>0</v>
      </c>
      <c r="K2328" s="444">
        <f t="shared" ca="1" si="128"/>
        <v>-21878437.995615624</v>
      </c>
      <c r="L2328" s="444">
        <f t="shared" ca="1" si="129"/>
        <v>-5272703556.9433661</v>
      </c>
      <c r="M2328" s="460">
        <f t="shared" si="131"/>
        <v>0.05</v>
      </c>
      <c r="N2328" s="464">
        <f t="shared" si="132"/>
        <v>121901</v>
      </c>
    </row>
    <row r="2329" spans="7:14" ht="11.25" customHeight="1" x14ac:dyDescent="0.3">
      <c r="G2329" s="459"/>
      <c r="H2329" s="459">
        <v>2322</v>
      </c>
      <c r="I2329" s="444">
        <f t="shared" ca="1" si="130"/>
        <v>-5272703556.9433661</v>
      </c>
      <c r="J2329" s="444">
        <f t="array" ref="J2329">IFERROR(INDEX('Retirement Calculator'!K:K,MATCH('Lorri 401b'!N2329,'Retirement Calculator'!A:A,0),0),0)</f>
        <v>0</v>
      </c>
      <c r="K2329" s="444">
        <f t="shared" ca="1" si="128"/>
        <v>-21969598.15393069</v>
      </c>
      <c r="L2329" s="444">
        <f t="shared" ca="1" si="129"/>
        <v>-5294673155.0972967</v>
      </c>
      <c r="M2329" s="460">
        <f t="shared" si="131"/>
        <v>0.05</v>
      </c>
      <c r="N2329" s="464">
        <f t="shared" si="132"/>
        <v>121932</v>
      </c>
    </row>
    <row r="2330" spans="7:14" ht="11.25" customHeight="1" x14ac:dyDescent="0.3">
      <c r="G2330" s="459"/>
      <c r="H2330" s="459">
        <v>2323</v>
      </c>
      <c r="I2330" s="444">
        <f t="shared" ca="1" si="130"/>
        <v>-5294673155.0972967</v>
      </c>
      <c r="J2330" s="444">
        <f t="array" ref="J2330">IFERROR(INDEX('Retirement Calculator'!K:K,MATCH('Lorri 401b'!N2330,'Retirement Calculator'!A:A,0),0),0)</f>
        <v>0</v>
      </c>
      <c r="K2330" s="444">
        <f t="shared" ca="1" si="128"/>
        <v>-22061138.146238737</v>
      </c>
      <c r="L2330" s="444">
        <f t="shared" ca="1" si="129"/>
        <v>-5316734293.243535</v>
      </c>
      <c r="M2330" s="460">
        <f t="shared" si="131"/>
        <v>0.05</v>
      </c>
      <c r="N2330" s="464">
        <f t="shared" si="132"/>
        <v>121962</v>
      </c>
    </row>
    <row r="2331" spans="7:14" ht="11.25" customHeight="1" x14ac:dyDescent="0.3">
      <c r="G2331" s="459"/>
      <c r="H2331" s="459">
        <v>2324</v>
      </c>
      <c r="I2331" s="444">
        <f t="shared" ca="1" si="130"/>
        <v>-5316734293.243535</v>
      </c>
      <c r="J2331" s="444">
        <f t="array" ref="J2331">IFERROR(INDEX('Retirement Calculator'!K:K,MATCH('Lorri 401b'!N2331,'Retirement Calculator'!A:A,0),0),0)</f>
        <v>0</v>
      </c>
      <c r="K2331" s="444">
        <f t="shared" ca="1" si="128"/>
        <v>-22153059.555181395</v>
      </c>
      <c r="L2331" s="444">
        <f t="shared" ca="1" si="129"/>
        <v>-5338887352.7987165</v>
      </c>
      <c r="M2331" s="460">
        <f t="shared" si="131"/>
        <v>0.05</v>
      </c>
      <c r="N2331" s="464">
        <f t="shared" si="132"/>
        <v>121993</v>
      </c>
    </row>
    <row r="2332" spans="7:14" ht="11.25" customHeight="1" x14ac:dyDescent="0.3">
      <c r="G2332" s="459"/>
      <c r="H2332" s="459">
        <v>2325</v>
      </c>
      <c r="I2332" s="444">
        <f t="shared" ca="1" si="130"/>
        <v>-5338887352.7987165</v>
      </c>
      <c r="J2332" s="444">
        <f t="array" ref="J2332">IFERROR(INDEX('Retirement Calculator'!K:K,MATCH('Lorri 401b'!N2332,'Retirement Calculator'!A:A,0),0),0)</f>
        <v>0</v>
      </c>
      <c r="K2332" s="444">
        <f t="shared" ca="1" si="128"/>
        <v>-22245363.969994653</v>
      </c>
      <c r="L2332" s="444">
        <f t="shared" ca="1" si="129"/>
        <v>-5361132716.7687111</v>
      </c>
      <c r="M2332" s="460">
        <f t="shared" si="131"/>
        <v>0.05</v>
      </c>
      <c r="N2332" s="464">
        <f t="shared" si="132"/>
        <v>122024</v>
      </c>
    </row>
    <row r="2333" spans="7:14" ht="11.25" customHeight="1" x14ac:dyDescent="0.3">
      <c r="G2333" s="459"/>
      <c r="H2333" s="459">
        <v>2326</v>
      </c>
      <c r="I2333" s="444">
        <f t="shared" ca="1" si="130"/>
        <v>-5361132716.7687111</v>
      </c>
      <c r="J2333" s="444">
        <f t="array" ref="J2333">IFERROR(INDEX('Retirement Calculator'!K:K,MATCH('Lorri 401b'!N2333,'Retirement Calculator'!A:A,0),0),0)</f>
        <v>0</v>
      </c>
      <c r="K2333" s="444">
        <f t="shared" ca="1" si="128"/>
        <v>-22338052.986536294</v>
      </c>
      <c r="L2333" s="444">
        <f t="shared" ca="1" si="129"/>
        <v>-5383470769.7552471</v>
      </c>
      <c r="M2333" s="460">
        <f t="shared" si="131"/>
        <v>0.05</v>
      </c>
      <c r="N2333" s="464">
        <f t="shared" si="132"/>
        <v>122052</v>
      </c>
    </row>
    <row r="2334" spans="7:14" ht="11.25" customHeight="1" x14ac:dyDescent="0.3">
      <c r="G2334" s="459"/>
      <c r="H2334" s="459">
        <v>2327</v>
      </c>
      <c r="I2334" s="444">
        <f t="shared" ca="1" si="130"/>
        <v>-5383470769.7552471</v>
      </c>
      <c r="J2334" s="444">
        <f t="array" ref="J2334">IFERROR(INDEX('Retirement Calculator'!K:K,MATCH('Lorri 401b'!N2334,'Retirement Calculator'!A:A,0),0),0)</f>
        <v>0</v>
      </c>
      <c r="K2334" s="444">
        <f t="shared" ca="1" si="128"/>
        <v>-22431128.20731353</v>
      </c>
      <c r="L2334" s="444">
        <f t="shared" ca="1" si="129"/>
        <v>-5405901897.9625607</v>
      </c>
      <c r="M2334" s="460">
        <f t="shared" si="131"/>
        <v>0.05</v>
      </c>
      <c r="N2334" s="464">
        <f t="shared" si="132"/>
        <v>122083</v>
      </c>
    </row>
    <row r="2335" spans="7:14" ht="11.25" customHeight="1" x14ac:dyDescent="0.3">
      <c r="G2335" s="459"/>
      <c r="H2335" s="459">
        <v>2328</v>
      </c>
      <c r="I2335" s="444">
        <f t="shared" ca="1" si="130"/>
        <v>-5405901897.9625607</v>
      </c>
      <c r="J2335" s="444">
        <f t="array" ref="J2335">IFERROR(INDEX('Retirement Calculator'!K:K,MATCH('Lorri 401b'!N2335,'Retirement Calculator'!A:A,0),0),0)</f>
        <v>0</v>
      </c>
      <c r="K2335" s="444">
        <f t="shared" ca="1" si="128"/>
        <v>-22524591.241510671</v>
      </c>
      <c r="L2335" s="444">
        <f t="shared" ca="1" si="129"/>
        <v>-5428426489.204071</v>
      </c>
      <c r="M2335" s="460">
        <f t="shared" si="131"/>
        <v>0.05</v>
      </c>
      <c r="N2335" s="464">
        <f t="shared" si="132"/>
        <v>122113</v>
      </c>
    </row>
    <row r="2336" spans="7:14" ht="11.25" customHeight="1" x14ac:dyDescent="0.3">
      <c r="G2336" s="459"/>
      <c r="H2336" s="459">
        <v>2329</v>
      </c>
      <c r="I2336" s="444">
        <f t="shared" ca="1" si="130"/>
        <v>-5428426489.204071</v>
      </c>
      <c r="J2336" s="444">
        <f t="array" ref="J2336">IFERROR(INDEX('Retirement Calculator'!K:K,MATCH('Lorri 401b'!N2336,'Retirement Calculator'!A:A,0),0),0)</f>
        <v>0</v>
      </c>
      <c r="K2336" s="444">
        <f t="shared" ca="1" si="128"/>
        <v>-22618443.705016963</v>
      </c>
      <c r="L2336" s="444">
        <f t="shared" ca="1" si="129"/>
        <v>-5451044932.9090881</v>
      </c>
      <c r="M2336" s="460">
        <f t="shared" si="131"/>
        <v>0.05</v>
      </c>
      <c r="N2336" s="464">
        <f t="shared" si="132"/>
        <v>122144</v>
      </c>
    </row>
    <row r="2337" spans="7:14" ht="11.25" customHeight="1" x14ac:dyDescent="0.3">
      <c r="G2337" s="459"/>
      <c r="H2337" s="459">
        <v>2330</v>
      </c>
      <c r="I2337" s="444">
        <f t="shared" ca="1" si="130"/>
        <v>-5451044932.9090881</v>
      </c>
      <c r="J2337" s="444">
        <f t="array" ref="J2337">IFERROR(INDEX('Retirement Calculator'!K:K,MATCH('Lorri 401b'!N2337,'Retirement Calculator'!A:A,0),0),0)</f>
        <v>0</v>
      </c>
      <c r="K2337" s="444">
        <f t="shared" ca="1" si="128"/>
        <v>-22712687.220454533</v>
      </c>
      <c r="L2337" s="444">
        <f t="shared" ca="1" si="129"/>
        <v>-5473757620.1295424</v>
      </c>
      <c r="M2337" s="460">
        <f t="shared" si="131"/>
        <v>0.05</v>
      </c>
      <c r="N2337" s="464">
        <f t="shared" si="132"/>
        <v>122174</v>
      </c>
    </row>
    <row r="2338" spans="7:14" ht="11.25" customHeight="1" x14ac:dyDescent="0.3">
      <c r="G2338" s="459"/>
      <c r="H2338" s="459">
        <v>2331</v>
      </c>
      <c r="I2338" s="444">
        <f t="shared" ca="1" si="130"/>
        <v>-5473757620.1295424</v>
      </c>
      <c r="J2338" s="444">
        <f t="array" ref="J2338">IFERROR(INDEX('Retirement Calculator'!K:K,MATCH('Lorri 401b'!N2338,'Retirement Calculator'!A:A,0),0),0)</f>
        <v>0</v>
      </c>
      <c r="K2338" s="444">
        <f t="shared" ca="1" si="128"/>
        <v>-22807323.417206425</v>
      </c>
      <c r="L2338" s="444">
        <f t="shared" ca="1" si="129"/>
        <v>-5496564943.5467491</v>
      </c>
      <c r="M2338" s="460">
        <f t="shared" si="131"/>
        <v>0.05</v>
      </c>
      <c r="N2338" s="464">
        <f t="shared" si="132"/>
        <v>122205</v>
      </c>
    </row>
    <row r="2339" spans="7:14" ht="11.25" customHeight="1" x14ac:dyDescent="0.3">
      <c r="G2339" s="459"/>
      <c r="H2339" s="459">
        <v>2332</v>
      </c>
      <c r="I2339" s="444">
        <f t="shared" ca="1" si="130"/>
        <v>-5496564943.5467491</v>
      </c>
      <c r="J2339" s="444">
        <f t="array" ref="J2339">IFERROR(INDEX('Retirement Calculator'!K:K,MATCH('Lorri 401b'!N2339,'Retirement Calculator'!A:A,0),0),0)</f>
        <v>0</v>
      </c>
      <c r="K2339" s="444">
        <f t="shared" ca="1" si="128"/>
        <v>-22902353.931444786</v>
      </c>
      <c r="L2339" s="444">
        <f t="shared" ca="1" si="129"/>
        <v>-5519467297.4781942</v>
      </c>
      <c r="M2339" s="460">
        <f t="shared" si="131"/>
        <v>0.05</v>
      </c>
      <c r="N2339" s="464">
        <f t="shared" si="132"/>
        <v>122236</v>
      </c>
    </row>
    <row r="2340" spans="7:14" ht="11.25" customHeight="1" x14ac:dyDescent="0.3">
      <c r="G2340" s="459"/>
      <c r="H2340" s="459">
        <v>2333</v>
      </c>
      <c r="I2340" s="444">
        <f t="shared" ca="1" si="130"/>
        <v>-5519467297.4781942</v>
      </c>
      <c r="J2340" s="444">
        <f t="array" ref="J2340">IFERROR(INDEX('Retirement Calculator'!K:K,MATCH('Lorri 401b'!N2340,'Retirement Calculator'!A:A,0),0),0)</f>
        <v>0</v>
      </c>
      <c r="K2340" s="444">
        <f t="shared" ca="1" si="128"/>
        <v>-22997780.406159144</v>
      </c>
      <c r="L2340" s="444">
        <f t="shared" ca="1" si="129"/>
        <v>-5542465077.8843536</v>
      </c>
      <c r="M2340" s="460">
        <f t="shared" si="131"/>
        <v>0.05</v>
      </c>
      <c r="N2340" s="464">
        <f t="shared" si="132"/>
        <v>122266</v>
      </c>
    </row>
    <row r="2341" spans="7:14" ht="11.25" customHeight="1" x14ac:dyDescent="0.3">
      <c r="G2341" s="459"/>
      <c r="H2341" s="459">
        <v>2334</v>
      </c>
      <c r="I2341" s="444">
        <f t="shared" ca="1" si="130"/>
        <v>-5542465077.8843536</v>
      </c>
      <c r="J2341" s="444">
        <f t="array" ref="J2341">IFERROR(INDEX('Retirement Calculator'!K:K,MATCH('Lorri 401b'!N2341,'Retirement Calculator'!A:A,0),0),0)</f>
        <v>0</v>
      </c>
      <c r="K2341" s="444">
        <f t="shared" ca="1" si="128"/>
        <v>-23093604.491184808</v>
      </c>
      <c r="L2341" s="444">
        <f t="shared" ca="1" si="129"/>
        <v>-5565558682.3755388</v>
      </c>
      <c r="M2341" s="460">
        <f t="shared" si="131"/>
        <v>0.05</v>
      </c>
      <c r="N2341" s="464">
        <f t="shared" si="132"/>
        <v>122297</v>
      </c>
    </row>
    <row r="2342" spans="7:14" ht="11.25" customHeight="1" x14ac:dyDescent="0.3">
      <c r="G2342" s="459"/>
      <c r="H2342" s="459">
        <v>2335</v>
      </c>
      <c r="I2342" s="444">
        <f t="shared" ca="1" si="130"/>
        <v>-5565558682.3755388</v>
      </c>
      <c r="J2342" s="444">
        <f t="array" ref="J2342">IFERROR(INDEX('Retirement Calculator'!K:K,MATCH('Lorri 401b'!N2342,'Retirement Calculator'!A:A,0),0),0)</f>
        <v>0</v>
      </c>
      <c r="K2342" s="444">
        <f t="shared" ca="1" si="128"/>
        <v>-23189827.84323141</v>
      </c>
      <c r="L2342" s="444">
        <f t="shared" ca="1" si="129"/>
        <v>-5588748510.21877</v>
      </c>
      <c r="M2342" s="460">
        <f t="shared" si="131"/>
        <v>0.05</v>
      </c>
      <c r="N2342" s="464">
        <f t="shared" si="132"/>
        <v>122327</v>
      </c>
    </row>
    <row r="2343" spans="7:14" ht="11.25" customHeight="1" x14ac:dyDescent="0.3">
      <c r="G2343" s="459"/>
      <c r="H2343" s="459">
        <v>2336</v>
      </c>
      <c r="I2343" s="444">
        <f t="shared" ca="1" si="130"/>
        <v>-5588748510.21877</v>
      </c>
      <c r="J2343" s="444">
        <f t="array" ref="J2343">IFERROR(INDEX('Retirement Calculator'!K:K,MATCH('Lorri 401b'!N2343,'Retirement Calculator'!A:A,0),0),0)</f>
        <v>0</v>
      </c>
      <c r="K2343" s="444">
        <f t="shared" ca="1" si="128"/>
        <v>-23286452.125911541</v>
      </c>
      <c r="L2343" s="444">
        <f t="shared" ca="1" si="129"/>
        <v>-5612034962.3446817</v>
      </c>
      <c r="M2343" s="460">
        <f t="shared" si="131"/>
        <v>0.05</v>
      </c>
      <c r="N2343" s="464">
        <f t="shared" si="132"/>
        <v>122358</v>
      </c>
    </row>
    <row r="2344" spans="7:14" ht="11.25" customHeight="1" x14ac:dyDescent="0.3">
      <c r="G2344" s="459"/>
      <c r="H2344" s="459">
        <v>2337</v>
      </c>
      <c r="I2344" s="444">
        <f t="shared" ca="1" si="130"/>
        <v>-5612034962.3446817</v>
      </c>
      <c r="J2344" s="444">
        <f t="array" ref="J2344">IFERROR(INDEX('Retirement Calculator'!K:K,MATCH('Lorri 401b'!N2344,'Retirement Calculator'!A:A,0),0),0)</f>
        <v>0</v>
      </c>
      <c r="K2344" s="444">
        <f t="shared" ca="1" si="128"/>
        <v>-23383479.009769507</v>
      </c>
      <c r="L2344" s="444">
        <f t="shared" ca="1" si="129"/>
        <v>-5635418441.3544512</v>
      </c>
      <c r="M2344" s="460">
        <f t="shared" si="131"/>
        <v>0.05</v>
      </c>
      <c r="N2344" s="464">
        <f t="shared" si="132"/>
        <v>122389</v>
      </c>
    </row>
    <row r="2345" spans="7:14" ht="11.25" customHeight="1" x14ac:dyDescent="0.3">
      <c r="G2345" s="459"/>
      <c r="H2345" s="459">
        <v>2338</v>
      </c>
      <c r="I2345" s="444">
        <f t="shared" ca="1" si="130"/>
        <v>-5635418441.3544512</v>
      </c>
      <c r="J2345" s="444">
        <f t="array" ref="J2345">IFERROR(INDEX('Retirement Calculator'!K:K,MATCH('Lorri 401b'!N2345,'Retirement Calculator'!A:A,0),0),0)</f>
        <v>0</v>
      </c>
      <c r="K2345" s="444">
        <f t="shared" ca="1" si="128"/>
        <v>-23480910.172310214</v>
      </c>
      <c r="L2345" s="444">
        <f t="shared" ca="1" si="129"/>
        <v>-5658899351.5267611</v>
      </c>
      <c r="M2345" s="460">
        <f t="shared" si="131"/>
        <v>0.05</v>
      </c>
      <c r="N2345" s="464">
        <f t="shared" si="132"/>
        <v>122417</v>
      </c>
    </row>
    <row r="2346" spans="7:14" ht="11.25" customHeight="1" x14ac:dyDescent="0.3">
      <c r="G2346" s="459"/>
      <c r="H2346" s="459">
        <v>2339</v>
      </c>
      <c r="I2346" s="444">
        <f t="shared" ca="1" si="130"/>
        <v>-5658899351.5267611</v>
      </c>
      <c r="J2346" s="444">
        <f t="array" ref="J2346">IFERROR(INDEX('Retirement Calculator'!K:K,MATCH('Lorri 401b'!N2346,'Retirement Calculator'!A:A,0),0),0)</f>
        <v>0</v>
      </c>
      <c r="K2346" s="444">
        <f t="shared" ca="1" si="128"/>
        <v>-23578747.298028171</v>
      </c>
      <c r="L2346" s="444">
        <f t="shared" ca="1" si="129"/>
        <v>-5682478098.824789</v>
      </c>
      <c r="M2346" s="460">
        <f t="shared" si="131"/>
        <v>0.05</v>
      </c>
      <c r="N2346" s="464">
        <f t="shared" si="132"/>
        <v>122448</v>
      </c>
    </row>
    <row r="2347" spans="7:14" ht="11.25" customHeight="1" x14ac:dyDescent="0.3">
      <c r="G2347" s="459"/>
      <c r="H2347" s="459">
        <v>2340</v>
      </c>
      <c r="I2347" s="444">
        <f t="shared" ca="1" si="130"/>
        <v>-5682478098.824789</v>
      </c>
      <c r="J2347" s="444">
        <f t="array" ref="J2347">IFERROR(INDEX('Retirement Calculator'!K:K,MATCH('Lorri 401b'!N2347,'Retirement Calculator'!A:A,0),0),0)</f>
        <v>0</v>
      </c>
      <c r="K2347" s="444">
        <f t="shared" ca="1" si="128"/>
        <v>-23676992.078436621</v>
      </c>
      <c r="L2347" s="444">
        <f t="shared" ca="1" si="129"/>
        <v>-5706155090.9032259</v>
      </c>
      <c r="M2347" s="460">
        <f t="shared" si="131"/>
        <v>0.05</v>
      </c>
      <c r="N2347" s="464">
        <f t="shared" si="132"/>
        <v>122478</v>
      </c>
    </row>
    <row r="2348" spans="7:14" ht="11.25" customHeight="1" x14ac:dyDescent="0.3">
      <c r="G2348" s="459"/>
      <c r="H2348" s="459">
        <v>2341</v>
      </c>
      <c r="I2348" s="444">
        <f t="shared" ca="1" si="130"/>
        <v>-5706155090.9032259</v>
      </c>
      <c r="J2348" s="444">
        <f t="array" ref="J2348">IFERROR(INDEX('Retirement Calculator'!K:K,MATCH('Lorri 401b'!N2348,'Retirement Calculator'!A:A,0),0),0)</f>
        <v>0</v>
      </c>
      <c r="K2348" s="444">
        <f t="shared" ca="1" si="128"/>
        <v>-23775646.212096773</v>
      </c>
      <c r="L2348" s="444">
        <f t="shared" ca="1" si="129"/>
        <v>-5729930737.1153231</v>
      </c>
      <c r="M2348" s="460">
        <f t="shared" si="131"/>
        <v>0.05</v>
      </c>
      <c r="N2348" s="464">
        <f t="shared" si="132"/>
        <v>122509</v>
      </c>
    </row>
    <row r="2349" spans="7:14" ht="11.25" customHeight="1" x14ac:dyDescent="0.3">
      <c r="G2349" s="459"/>
      <c r="H2349" s="459">
        <v>2342</v>
      </c>
      <c r="I2349" s="444">
        <f t="shared" ca="1" si="130"/>
        <v>-5729930737.1153231</v>
      </c>
      <c r="J2349" s="444">
        <f t="array" ref="J2349">IFERROR(INDEX('Retirement Calculator'!K:K,MATCH('Lorri 401b'!N2349,'Retirement Calculator'!A:A,0),0),0)</f>
        <v>0</v>
      </c>
      <c r="K2349" s="444">
        <f t="shared" ca="1" si="128"/>
        <v>-23874711.404647179</v>
      </c>
      <c r="L2349" s="444">
        <f t="shared" ca="1" si="129"/>
        <v>-5753805448.5199699</v>
      </c>
      <c r="M2349" s="460">
        <f t="shared" si="131"/>
        <v>0.05</v>
      </c>
      <c r="N2349" s="464">
        <f t="shared" si="132"/>
        <v>122539</v>
      </c>
    </row>
    <row r="2350" spans="7:14" ht="11.25" customHeight="1" x14ac:dyDescent="0.3">
      <c r="G2350" s="459"/>
      <c r="H2350" s="459">
        <v>2343</v>
      </c>
      <c r="I2350" s="444">
        <f t="shared" ca="1" si="130"/>
        <v>-5753805448.5199699</v>
      </c>
      <c r="J2350" s="444">
        <f t="array" ref="J2350">IFERROR(INDEX('Retirement Calculator'!K:K,MATCH('Lorri 401b'!N2350,'Retirement Calculator'!A:A,0),0),0)</f>
        <v>0</v>
      </c>
      <c r="K2350" s="444">
        <f t="shared" ca="1" si="128"/>
        <v>-23974189.368833207</v>
      </c>
      <c r="L2350" s="444">
        <f t="shared" ca="1" si="129"/>
        <v>-5777779637.8888035</v>
      </c>
      <c r="M2350" s="460">
        <f t="shared" si="131"/>
        <v>0.05</v>
      </c>
      <c r="N2350" s="464">
        <f t="shared" si="132"/>
        <v>122570</v>
      </c>
    </row>
    <row r="2351" spans="7:14" ht="11.25" customHeight="1" x14ac:dyDescent="0.3">
      <c r="G2351" s="459"/>
      <c r="H2351" s="459">
        <v>2344</v>
      </c>
      <c r="I2351" s="444">
        <f t="shared" ca="1" si="130"/>
        <v>-5777779637.8888035</v>
      </c>
      <c r="J2351" s="444">
        <f t="array" ref="J2351">IFERROR(INDEX('Retirement Calculator'!K:K,MATCH('Lorri 401b'!N2351,'Retirement Calculator'!A:A,0),0),0)</f>
        <v>0</v>
      </c>
      <c r="K2351" s="444">
        <f t="shared" ca="1" si="128"/>
        <v>-24074081.824536681</v>
      </c>
      <c r="L2351" s="444">
        <f t="shared" ca="1" si="129"/>
        <v>-5801853719.7133398</v>
      </c>
      <c r="M2351" s="460">
        <f t="shared" si="131"/>
        <v>0.05</v>
      </c>
      <c r="N2351" s="464">
        <f t="shared" si="132"/>
        <v>122601</v>
      </c>
    </row>
    <row r="2352" spans="7:14" ht="11.25" customHeight="1" x14ac:dyDescent="0.3">
      <c r="G2352" s="459"/>
      <c r="H2352" s="459">
        <v>2345</v>
      </c>
      <c r="I2352" s="444">
        <f t="shared" ca="1" si="130"/>
        <v>-5801853719.7133398</v>
      </c>
      <c r="J2352" s="444">
        <f t="array" ref="J2352">IFERROR(INDEX('Retirement Calculator'!K:K,MATCH('Lorri 401b'!N2352,'Retirement Calculator'!A:A,0),0),0)</f>
        <v>0</v>
      </c>
      <c r="K2352" s="444">
        <f t="shared" ca="1" si="128"/>
        <v>-24174390.498805583</v>
      </c>
      <c r="L2352" s="444">
        <f t="shared" ca="1" si="129"/>
        <v>-5826028110.2121458</v>
      </c>
      <c r="M2352" s="460">
        <f t="shared" si="131"/>
        <v>0.05</v>
      </c>
      <c r="N2352" s="464">
        <f t="shared" si="132"/>
        <v>122631</v>
      </c>
    </row>
    <row r="2353" spans="7:14" ht="11.25" customHeight="1" x14ac:dyDescent="0.3">
      <c r="G2353" s="459"/>
      <c r="H2353" s="459">
        <v>2346</v>
      </c>
      <c r="I2353" s="444">
        <f t="shared" ca="1" si="130"/>
        <v>-5826028110.2121458</v>
      </c>
      <c r="J2353" s="444">
        <f t="array" ref="J2353">IFERROR(INDEX('Retirement Calculator'!K:K,MATCH('Lorri 401b'!N2353,'Retirement Calculator'!A:A,0),0),0)</f>
        <v>0</v>
      </c>
      <c r="K2353" s="444">
        <f t="shared" ca="1" si="128"/>
        <v>-24275117.125883941</v>
      </c>
      <c r="L2353" s="444">
        <f t="shared" ca="1" si="129"/>
        <v>-5850303227.3380299</v>
      </c>
      <c r="M2353" s="460">
        <f t="shared" si="131"/>
        <v>0.05</v>
      </c>
      <c r="N2353" s="464">
        <f t="shared" si="132"/>
        <v>122662</v>
      </c>
    </row>
    <row r="2354" spans="7:14" ht="11.25" customHeight="1" x14ac:dyDescent="0.3">
      <c r="G2354" s="459"/>
      <c r="H2354" s="459">
        <v>2347</v>
      </c>
      <c r="I2354" s="444">
        <f t="shared" ca="1" si="130"/>
        <v>-5850303227.3380299</v>
      </c>
      <c r="J2354" s="444">
        <f t="array" ref="J2354">IFERROR(INDEX('Retirement Calculator'!K:K,MATCH('Lorri 401b'!N2354,'Retirement Calculator'!A:A,0),0),0)</f>
        <v>0</v>
      </c>
      <c r="K2354" s="444">
        <f t="shared" ca="1" si="128"/>
        <v>-24376263.447241791</v>
      </c>
      <c r="L2354" s="444">
        <f t="shared" ca="1" si="129"/>
        <v>-5874679490.7852716</v>
      </c>
      <c r="M2354" s="460">
        <f t="shared" si="131"/>
        <v>0.05</v>
      </c>
      <c r="N2354" s="464">
        <f t="shared" si="132"/>
        <v>122692</v>
      </c>
    </row>
    <row r="2355" spans="7:14" ht="11.25" customHeight="1" x14ac:dyDescent="0.3">
      <c r="G2355" s="459"/>
      <c r="H2355" s="459">
        <v>2348</v>
      </c>
      <c r="I2355" s="444">
        <f t="shared" ca="1" si="130"/>
        <v>-5874679490.7852716</v>
      </c>
      <c r="J2355" s="444">
        <f t="array" ref="J2355">IFERROR(INDEX('Retirement Calculator'!K:K,MATCH('Lorri 401b'!N2355,'Retirement Calculator'!A:A,0),0),0)</f>
        <v>0</v>
      </c>
      <c r="K2355" s="444">
        <f t="shared" ca="1" si="128"/>
        <v>-24477831.211605299</v>
      </c>
      <c r="L2355" s="444">
        <f t="shared" ca="1" si="129"/>
        <v>-5899157321.9968767</v>
      </c>
      <c r="M2355" s="460">
        <f t="shared" si="131"/>
        <v>0.05</v>
      </c>
      <c r="N2355" s="464">
        <f t="shared" si="132"/>
        <v>122723</v>
      </c>
    </row>
    <row r="2356" spans="7:14" ht="11.25" customHeight="1" x14ac:dyDescent="0.3">
      <c r="G2356" s="459"/>
      <c r="H2356" s="459">
        <v>2349</v>
      </c>
      <c r="I2356" s="444">
        <f t="shared" ca="1" si="130"/>
        <v>-5899157321.9968767</v>
      </c>
      <c r="J2356" s="444">
        <f t="array" ref="J2356">IFERROR(INDEX('Retirement Calculator'!K:K,MATCH('Lorri 401b'!N2356,'Retirement Calculator'!A:A,0),0),0)</f>
        <v>0</v>
      </c>
      <c r="K2356" s="444">
        <f t="shared" ca="1" si="128"/>
        <v>-24579822.174986985</v>
      </c>
      <c r="L2356" s="444">
        <f t="shared" ca="1" si="129"/>
        <v>-5923737144.1718636</v>
      </c>
      <c r="M2356" s="460">
        <f t="shared" si="131"/>
        <v>0.05</v>
      </c>
      <c r="N2356" s="464">
        <f t="shared" si="132"/>
        <v>122754</v>
      </c>
    </row>
    <row r="2357" spans="7:14" ht="11.25" customHeight="1" x14ac:dyDescent="0.3">
      <c r="G2357" s="459"/>
      <c r="H2357" s="459">
        <v>2350</v>
      </c>
      <c r="I2357" s="444">
        <f t="shared" ca="1" si="130"/>
        <v>-5923737144.1718636</v>
      </c>
      <c r="J2357" s="444">
        <f t="array" ref="J2357">IFERROR(INDEX('Retirement Calculator'!K:K,MATCH('Lorri 401b'!N2357,'Retirement Calculator'!A:A,0),0),0)</f>
        <v>0</v>
      </c>
      <c r="K2357" s="444">
        <f t="shared" ca="1" si="128"/>
        <v>-24682238.100716099</v>
      </c>
      <c r="L2357" s="444">
        <f t="shared" ca="1" si="129"/>
        <v>-5948419382.2725792</v>
      </c>
      <c r="M2357" s="460">
        <f t="shared" si="131"/>
        <v>0.05</v>
      </c>
      <c r="N2357" s="464">
        <f t="shared" si="132"/>
        <v>122783</v>
      </c>
    </row>
    <row r="2358" spans="7:14" ht="11.25" customHeight="1" x14ac:dyDescent="0.3">
      <c r="G2358" s="459"/>
      <c r="H2358" s="459">
        <v>2351</v>
      </c>
      <c r="I2358" s="444">
        <f t="shared" ca="1" si="130"/>
        <v>-5948419382.2725792</v>
      </c>
      <c r="J2358" s="444">
        <f t="array" ref="J2358">IFERROR(INDEX('Retirement Calculator'!K:K,MATCH('Lorri 401b'!N2358,'Retirement Calculator'!A:A,0),0),0)</f>
        <v>0</v>
      </c>
      <c r="K2358" s="444">
        <f t="shared" ca="1" si="128"/>
        <v>-24785080.759469081</v>
      </c>
      <c r="L2358" s="444">
        <f t="shared" ca="1" si="129"/>
        <v>-5973204463.0320482</v>
      </c>
      <c r="M2358" s="460">
        <f t="shared" si="131"/>
        <v>0.05</v>
      </c>
      <c r="N2358" s="464">
        <f t="shared" si="132"/>
        <v>122814</v>
      </c>
    </row>
    <row r="2359" spans="7:14" ht="11.25" customHeight="1" x14ac:dyDescent="0.3">
      <c r="G2359" s="459"/>
      <c r="H2359" s="459">
        <v>2352</v>
      </c>
      <c r="I2359" s="444">
        <f t="shared" ca="1" si="130"/>
        <v>-5973204463.0320482</v>
      </c>
      <c r="J2359" s="444">
        <f t="array" ref="J2359">IFERROR(INDEX('Retirement Calculator'!K:K,MATCH('Lorri 401b'!N2359,'Retirement Calculator'!A:A,0),0),0)</f>
        <v>0</v>
      </c>
      <c r="K2359" s="444">
        <f t="shared" ca="1" si="128"/>
        <v>-24888351.9293002</v>
      </c>
      <c r="L2359" s="444">
        <f t="shared" ca="1" si="129"/>
        <v>-5998092814.9613485</v>
      </c>
      <c r="M2359" s="460">
        <f t="shared" si="131"/>
        <v>0.05</v>
      </c>
      <c r="N2359" s="464">
        <f t="shared" si="132"/>
        <v>122844</v>
      </c>
    </row>
    <row r="2360" spans="7:14" ht="11.25" customHeight="1" x14ac:dyDescent="0.3">
      <c r="G2360" s="459"/>
      <c r="H2360" s="459">
        <v>2353</v>
      </c>
      <c r="I2360" s="444">
        <f t="shared" ca="1" si="130"/>
        <v>-5998092814.9613485</v>
      </c>
      <c r="J2360" s="444">
        <f t="array" ref="J2360">IFERROR(INDEX('Retirement Calculator'!K:K,MATCH('Lorri 401b'!N2360,'Retirement Calculator'!A:A,0),0),0)</f>
        <v>0</v>
      </c>
      <c r="K2360" s="444">
        <f t="shared" ca="1" si="128"/>
        <v>-24992053.395672284</v>
      </c>
      <c r="L2360" s="444">
        <f t="shared" ca="1" si="129"/>
        <v>-6023084868.3570204</v>
      </c>
      <c r="M2360" s="460">
        <f t="shared" si="131"/>
        <v>0.05</v>
      </c>
      <c r="N2360" s="464">
        <f t="shared" si="132"/>
        <v>122875</v>
      </c>
    </row>
    <row r="2361" spans="7:14" ht="11.25" customHeight="1" x14ac:dyDescent="0.3">
      <c r="G2361" s="459"/>
      <c r="H2361" s="459">
        <v>2354</v>
      </c>
      <c r="I2361" s="444">
        <f t="shared" ca="1" si="130"/>
        <v>-6023084868.3570204</v>
      </c>
      <c r="J2361" s="444">
        <f t="array" ref="J2361">IFERROR(INDEX('Retirement Calculator'!K:K,MATCH('Lorri 401b'!N2361,'Retirement Calculator'!A:A,0),0),0)</f>
        <v>0</v>
      </c>
      <c r="K2361" s="444">
        <f t="shared" ca="1" si="128"/>
        <v>-25096186.951487586</v>
      </c>
      <c r="L2361" s="444">
        <f t="shared" ca="1" si="129"/>
        <v>-6048181055.3085079</v>
      </c>
      <c r="M2361" s="460">
        <f t="shared" si="131"/>
        <v>0.05</v>
      </c>
      <c r="N2361" s="464">
        <f t="shared" si="132"/>
        <v>122905</v>
      </c>
    </row>
    <row r="2362" spans="7:14" ht="11.25" customHeight="1" x14ac:dyDescent="0.3">
      <c r="G2362" s="459"/>
      <c r="H2362" s="459">
        <v>2355</v>
      </c>
      <c r="I2362" s="444">
        <f t="shared" ca="1" si="130"/>
        <v>-6048181055.3085079</v>
      </c>
      <c r="J2362" s="444">
        <f t="array" ref="J2362">IFERROR(INDEX('Retirement Calculator'!K:K,MATCH('Lorri 401b'!N2362,'Retirement Calculator'!A:A,0),0),0)</f>
        <v>0</v>
      </c>
      <c r="K2362" s="444">
        <f t="shared" ca="1" si="128"/>
        <v>-25200754.397118784</v>
      </c>
      <c r="L2362" s="444">
        <f t="shared" ca="1" si="129"/>
        <v>-6073381809.7056265</v>
      </c>
      <c r="M2362" s="460">
        <f t="shared" si="131"/>
        <v>0.05</v>
      </c>
      <c r="N2362" s="464">
        <f t="shared" si="132"/>
        <v>122936</v>
      </c>
    </row>
    <row r="2363" spans="7:14" ht="11.25" customHeight="1" x14ac:dyDescent="0.3">
      <c r="G2363" s="459"/>
      <c r="H2363" s="459">
        <v>2356</v>
      </c>
      <c r="I2363" s="444">
        <f t="shared" ca="1" si="130"/>
        <v>-6073381809.7056265</v>
      </c>
      <c r="J2363" s="444">
        <f t="array" ref="J2363">IFERROR(INDEX('Retirement Calculator'!K:K,MATCH('Lorri 401b'!N2363,'Retirement Calculator'!A:A,0),0),0)</f>
        <v>0</v>
      </c>
      <c r="K2363" s="444">
        <f t="shared" ca="1" si="128"/>
        <v>-25305757.540440109</v>
      </c>
      <c r="L2363" s="444">
        <f t="shared" ca="1" si="129"/>
        <v>-6098687567.246067</v>
      </c>
      <c r="M2363" s="460">
        <f t="shared" si="131"/>
        <v>0.05</v>
      </c>
      <c r="N2363" s="464">
        <f t="shared" si="132"/>
        <v>122967</v>
      </c>
    </row>
    <row r="2364" spans="7:14" ht="11.25" customHeight="1" x14ac:dyDescent="0.3">
      <c r="G2364" s="459"/>
      <c r="H2364" s="459">
        <v>2357</v>
      </c>
      <c r="I2364" s="444">
        <f t="shared" ca="1" si="130"/>
        <v>-6098687567.246067</v>
      </c>
      <c r="J2364" s="444">
        <f t="array" ref="J2364">IFERROR(INDEX('Retirement Calculator'!K:K,MATCH('Lorri 401b'!N2364,'Retirement Calculator'!A:A,0),0),0)</f>
        <v>0</v>
      </c>
      <c r="K2364" s="444">
        <f t="shared" ca="1" si="128"/>
        <v>-25411198.196858611</v>
      </c>
      <c r="L2364" s="444">
        <f t="shared" ca="1" si="129"/>
        <v>-6124098765.4429255</v>
      </c>
      <c r="M2364" s="460">
        <f t="shared" si="131"/>
        <v>0.05</v>
      </c>
      <c r="N2364" s="464">
        <f t="shared" si="132"/>
        <v>122997</v>
      </c>
    </row>
    <row r="2365" spans="7:14" ht="11.25" customHeight="1" x14ac:dyDescent="0.3">
      <c r="G2365" s="459"/>
      <c r="H2365" s="459">
        <v>2358</v>
      </c>
      <c r="I2365" s="444">
        <f t="shared" ca="1" si="130"/>
        <v>-6124098765.4429255</v>
      </c>
      <c r="J2365" s="444">
        <f t="array" ref="J2365">IFERROR(INDEX('Retirement Calculator'!K:K,MATCH('Lorri 401b'!N2365,'Retirement Calculator'!A:A,0),0),0)</f>
        <v>0</v>
      </c>
      <c r="K2365" s="444">
        <f t="shared" ca="1" si="128"/>
        <v>-25517078.189345524</v>
      </c>
      <c r="L2365" s="444">
        <f t="shared" ca="1" si="129"/>
        <v>-6149615843.6322708</v>
      </c>
      <c r="M2365" s="460">
        <f t="shared" si="131"/>
        <v>0.05</v>
      </c>
      <c r="N2365" s="464">
        <f t="shared" si="132"/>
        <v>123028</v>
      </c>
    </row>
    <row r="2366" spans="7:14" ht="11.25" customHeight="1" x14ac:dyDescent="0.3">
      <c r="G2366" s="459"/>
      <c r="H2366" s="459">
        <v>2359</v>
      </c>
      <c r="I2366" s="444">
        <f t="shared" ca="1" si="130"/>
        <v>-6149615843.6322708</v>
      </c>
      <c r="J2366" s="444">
        <f t="array" ref="J2366">IFERROR(INDEX('Retirement Calculator'!K:K,MATCH('Lorri 401b'!N2366,'Retirement Calculator'!A:A,0),0),0)</f>
        <v>0</v>
      </c>
      <c r="K2366" s="444">
        <f t="shared" ca="1" si="128"/>
        <v>-25623399.348467793</v>
      </c>
      <c r="L2366" s="444">
        <f t="shared" ca="1" si="129"/>
        <v>-6175239242.9807386</v>
      </c>
      <c r="M2366" s="460">
        <f t="shared" si="131"/>
        <v>0.05</v>
      </c>
      <c r="N2366" s="464">
        <f t="shared" si="132"/>
        <v>123058</v>
      </c>
    </row>
    <row r="2367" spans="7:14" ht="11.25" customHeight="1" x14ac:dyDescent="0.3">
      <c r="G2367" s="459"/>
      <c r="H2367" s="459">
        <v>2360</v>
      </c>
      <c r="I2367" s="444">
        <f t="shared" ca="1" si="130"/>
        <v>-6175239242.9807386</v>
      </c>
      <c r="J2367" s="444">
        <f t="array" ref="J2367">IFERROR(INDEX('Retirement Calculator'!K:K,MATCH('Lorri 401b'!N2367,'Retirement Calculator'!A:A,0),0),0)</f>
        <v>0</v>
      </c>
      <c r="K2367" s="444">
        <f t="shared" ca="1" si="128"/>
        <v>-25730163.512419745</v>
      </c>
      <c r="L2367" s="444">
        <f t="shared" ca="1" si="129"/>
        <v>-6200969406.4931583</v>
      </c>
      <c r="M2367" s="460">
        <f t="shared" si="131"/>
        <v>0.05</v>
      </c>
      <c r="N2367" s="464">
        <f t="shared" si="132"/>
        <v>123089</v>
      </c>
    </row>
    <row r="2368" spans="7:14" ht="11.25" customHeight="1" x14ac:dyDescent="0.3">
      <c r="G2368" s="459"/>
      <c r="H2368" s="459">
        <v>2361</v>
      </c>
      <c r="I2368" s="444">
        <f t="shared" ca="1" si="130"/>
        <v>-6200969406.4931583</v>
      </c>
      <c r="J2368" s="444">
        <f t="array" ref="J2368">IFERROR(INDEX('Retirement Calculator'!K:K,MATCH('Lorri 401b'!N2368,'Retirement Calculator'!A:A,0),0),0)</f>
        <v>0</v>
      </c>
      <c r="K2368" s="444">
        <f t="shared" ca="1" si="128"/>
        <v>-25837372.527054828</v>
      </c>
      <c r="L2368" s="444">
        <f t="shared" ca="1" si="129"/>
        <v>-6226806779.0202131</v>
      </c>
      <c r="M2368" s="460">
        <f t="shared" si="131"/>
        <v>0.05</v>
      </c>
      <c r="N2368" s="464">
        <f t="shared" si="132"/>
        <v>123120</v>
      </c>
    </row>
    <row r="2369" spans="7:14" ht="11.25" customHeight="1" x14ac:dyDescent="0.3">
      <c r="G2369" s="459"/>
      <c r="H2369" s="459">
        <v>2362</v>
      </c>
      <c r="I2369" s="444">
        <f t="shared" ca="1" si="130"/>
        <v>-6226806779.0202131</v>
      </c>
      <c r="J2369" s="444">
        <f t="array" ref="J2369">IFERROR(INDEX('Retirement Calculator'!K:K,MATCH('Lorri 401b'!N2369,'Retirement Calculator'!A:A,0),0),0)</f>
        <v>0</v>
      </c>
      <c r="K2369" s="444">
        <f t="shared" ca="1" si="128"/>
        <v>-25945028.245917555</v>
      </c>
      <c r="L2369" s="444">
        <f t="shared" ca="1" si="129"/>
        <v>-6252751807.2661304</v>
      </c>
      <c r="M2369" s="460">
        <f t="shared" si="131"/>
        <v>0.05</v>
      </c>
      <c r="N2369" s="464">
        <f t="shared" si="132"/>
        <v>123148</v>
      </c>
    </row>
    <row r="2370" spans="7:14" ht="11.25" customHeight="1" x14ac:dyDescent="0.3">
      <c r="G2370" s="459"/>
      <c r="H2370" s="459">
        <v>2363</v>
      </c>
      <c r="I2370" s="444">
        <f t="shared" ca="1" si="130"/>
        <v>-6252751807.2661304</v>
      </c>
      <c r="J2370" s="444">
        <f t="array" ref="J2370">IFERROR(INDEX('Retirement Calculator'!K:K,MATCH('Lorri 401b'!N2370,'Retirement Calculator'!A:A,0),0),0)</f>
        <v>0</v>
      </c>
      <c r="K2370" s="444">
        <f t="shared" ca="1" si="128"/>
        <v>-26053132.530275542</v>
      </c>
      <c r="L2370" s="444">
        <f t="shared" ca="1" si="129"/>
        <v>-6278804939.7964058</v>
      </c>
      <c r="M2370" s="460">
        <f t="shared" si="131"/>
        <v>0.05</v>
      </c>
      <c r="N2370" s="464">
        <f t="shared" si="132"/>
        <v>123179</v>
      </c>
    </row>
    <row r="2371" spans="7:14" ht="11.25" customHeight="1" x14ac:dyDescent="0.3">
      <c r="G2371" s="459"/>
      <c r="H2371" s="459">
        <v>2364</v>
      </c>
      <c r="I2371" s="444">
        <f t="shared" ca="1" si="130"/>
        <v>-6278804939.7964058</v>
      </c>
      <c r="J2371" s="444">
        <f t="array" ref="J2371">IFERROR(INDEX('Retirement Calculator'!K:K,MATCH('Lorri 401b'!N2371,'Retirement Calculator'!A:A,0),0),0)</f>
        <v>0</v>
      </c>
      <c r="K2371" s="444">
        <f t="shared" ca="1" si="128"/>
        <v>-26161687.249151692</v>
      </c>
      <c r="L2371" s="444">
        <f t="shared" ca="1" si="129"/>
        <v>-6304966627.045557</v>
      </c>
      <c r="M2371" s="460">
        <f t="shared" si="131"/>
        <v>0.05</v>
      </c>
      <c r="N2371" s="464">
        <f t="shared" si="132"/>
        <v>123209</v>
      </c>
    </row>
    <row r="2372" spans="7:14" ht="11.25" customHeight="1" x14ac:dyDescent="0.3">
      <c r="G2372" s="459"/>
      <c r="H2372" s="459">
        <v>2365</v>
      </c>
      <c r="I2372" s="444">
        <f t="shared" ca="1" si="130"/>
        <v>-6304966627.045557</v>
      </c>
      <c r="J2372" s="444">
        <f t="array" ref="J2372">IFERROR(INDEX('Retirement Calculator'!K:K,MATCH('Lorri 401b'!N2372,'Retirement Calculator'!A:A,0),0),0)</f>
        <v>0</v>
      </c>
      <c r="K2372" s="444">
        <f t="shared" ca="1" si="128"/>
        <v>-26270694.279356487</v>
      </c>
      <c r="L2372" s="444">
        <f t="shared" ca="1" si="129"/>
        <v>-6331237321.324914</v>
      </c>
      <c r="M2372" s="460">
        <f t="shared" si="131"/>
        <v>0.05</v>
      </c>
      <c r="N2372" s="464">
        <f t="shared" si="132"/>
        <v>123240</v>
      </c>
    </row>
    <row r="2373" spans="7:14" ht="11.25" customHeight="1" x14ac:dyDescent="0.3">
      <c r="G2373" s="459"/>
      <c r="H2373" s="459">
        <v>2366</v>
      </c>
      <c r="I2373" s="444">
        <f t="shared" ca="1" si="130"/>
        <v>-6331237321.324914</v>
      </c>
      <c r="J2373" s="444">
        <f t="array" ref="J2373">IFERROR(INDEX('Retirement Calculator'!K:K,MATCH('Lorri 401b'!N2373,'Retirement Calculator'!A:A,0),0),0)</f>
        <v>0</v>
      </c>
      <c r="K2373" s="444">
        <f t="shared" ca="1" si="128"/>
        <v>-26380155.505520474</v>
      </c>
      <c r="L2373" s="444">
        <f t="shared" ca="1" si="129"/>
        <v>-6357617476.8304348</v>
      </c>
      <c r="M2373" s="460">
        <f t="shared" si="131"/>
        <v>0.05</v>
      </c>
      <c r="N2373" s="464">
        <f t="shared" si="132"/>
        <v>123270</v>
      </c>
    </row>
    <row r="2374" spans="7:14" ht="11.25" customHeight="1" x14ac:dyDescent="0.3">
      <c r="G2374" s="459"/>
      <c r="H2374" s="459">
        <v>2367</v>
      </c>
      <c r="I2374" s="444">
        <f t="shared" ca="1" si="130"/>
        <v>-6357617476.8304348</v>
      </c>
      <c r="J2374" s="444">
        <f t="array" ref="J2374">IFERROR(INDEX('Retirement Calculator'!K:K,MATCH('Lorri 401b'!N2374,'Retirement Calculator'!A:A,0),0),0)</f>
        <v>0</v>
      </c>
      <c r="K2374" s="444">
        <f t="shared" ca="1" si="128"/>
        <v>-26490072.820126813</v>
      </c>
      <c r="L2374" s="444">
        <f t="shared" ca="1" si="129"/>
        <v>-6384107549.6505613</v>
      </c>
      <c r="M2374" s="460">
        <f t="shared" si="131"/>
        <v>0.05</v>
      </c>
      <c r="N2374" s="464">
        <f t="shared" si="132"/>
        <v>123301</v>
      </c>
    </row>
    <row r="2375" spans="7:14" ht="11.25" customHeight="1" x14ac:dyDescent="0.3">
      <c r="G2375" s="459"/>
      <c r="H2375" s="459">
        <v>2368</v>
      </c>
      <c r="I2375" s="444">
        <f t="shared" ca="1" si="130"/>
        <v>-6384107549.6505613</v>
      </c>
      <c r="J2375" s="444">
        <f t="array" ref="J2375">IFERROR(INDEX('Retirement Calculator'!K:K,MATCH('Lorri 401b'!N2375,'Retirement Calculator'!A:A,0),0),0)</f>
        <v>0</v>
      </c>
      <c r="K2375" s="444">
        <f t="shared" ca="1" si="128"/>
        <v>-26600448.123544004</v>
      </c>
      <c r="L2375" s="444">
        <f t="shared" ca="1" si="129"/>
        <v>-6410707997.7741051</v>
      </c>
      <c r="M2375" s="460">
        <f t="shared" si="131"/>
        <v>0.05</v>
      </c>
      <c r="N2375" s="464">
        <f t="shared" si="132"/>
        <v>123332</v>
      </c>
    </row>
    <row r="2376" spans="7:14" ht="11.25" customHeight="1" x14ac:dyDescent="0.3">
      <c r="G2376" s="459"/>
      <c r="H2376" s="459">
        <v>2369</v>
      </c>
      <c r="I2376" s="444">
        <f t="shared" ca="1" si="130"/>
        <v>-6410707997.7741051</v>
      </c>
      <c r="J2376" s="444">
        <f t="array" ref="J2376">IFERROR(INDEX('Retirement Calculator'!K:K,MATCH('Lorri 401b'!N2376,'Retirement Calculator'!A:A,0),0),0)</f>
        <v>0</v>
      </c>
      <c r="K2376" s="444">
        <f t="shared" ca="1" si="128"/>
        <v>-26711283.324058771</v>
      </c>
      <c r="L2376" s="444">
        <f t="shared" ca="1" si="129"/>
        <v>-6437419281.0981636</v>
      </c>
      <c r="M2376" s="460">
        <f t="shared" si="131"/>
        <v>0.05</v>
      </c>
      <c r="N2376" s="464">
        <f t="shared" si="132"/>
        <v>123362</v>
      </c>
    </row>
    <row r="2377" spans="7:14" ht="11.25" customHeight="1" x14ac:dyDescent="0.3">
      <c r="G2377" s="459"/>
      <c r="H2377" s="459">
        <v>2370</v>
      </c>
      <c r="I2377" s="444">
        <f t="shared" ca="1" si="130"/>
        <v>-6437419281.0981636</v>
      </c>
      <c r="J2377" s="444">
        <f t="array" ref="J2377">IFERROR(INDEX('Retirement Calculator'!K:K,MATCH('Lorri 401b'!N2377,'Retirement Calculator'!A:A,0),0),0)</f>
        <v>0</v>
      </c>
      <c r="K2377" s="444">
        <f t="shared" ca="1" si="128"/>
        <v>-26822580.337909013</v>
      </c>
      <c r="L2377" s="444">
        <f t="shared" ca="1" si="129"/>
        <v>-6464241861.4360723</v>
      </c>
      <c r="M2377" s="460">
        <f t="shared" si="131"/>
        <v>0.05</v>
      </c>
      <c r="N2377" s="464">
        <f t="shared" si="132"/>
        <v>123393</v>
      </c>
    </row>
    <row r="2378" spans="7:14" ht="11.25" customHeight="1" x14ac:dyDescent="0.3">
      <c r="G2378" s="459"/>
      <c r="H2378" s="459">
        <v>2371</v>
      </c>
      <c r="I2378" s="444">
        <f t="shared" ca="1" si="130"/>
        <v>-6464241861.4360723</v>
      </c>
      <c r="J2378" s="444">
        <f t="array" ref="J2378">IFERROR(INDEX('Retirement Calculator'!K:K,MATCH('Lorri 401b'!N2378,'Retirement Calculator'!A:A,0),0),0)</f>
        <v>0</v>
      </c>
      <c r="K2378" s="444">
        <f t="shared" ca="1" si="128"/>
        <v>-26934341.089316968</v>
      </c>
      <c r="L2378" s="444">
        <f t="shared" ca="1" si="129"/>
        <v>-6491176202.5253897</v>
      </c>
      <c r="M2378" s="460">
        <f t="shared" si="131"/>
        <v>0.05</v>
      </c>
      <c r="N2378" s="464">
        <f t="shared" si="132"/>
        <v>123423</v>
      </c>
    </row>
    <row r="2379" spans="7:14" ht="11.25" customHeight="1" x14ac:dyDescent="0.3">
      <c r="G2379" s="459"/>
      <c r="H2379" s="459">
        <v>2372</v>
      </c>
      <c r="I2379" s="444">
        <f t="shared" ca="1" si="130"/>
        <v>-6491176202.5253897</v>
      </c>
      <c r="J2379" s="444">
        <f t="array" ref="J2379">IFERROR(INDEX('Retirement Calculator'!K:K,MATCH('Lorri 401b'!N2379,'Retirement Calculator'!A:A,0),0),0)</f>
        <v>0</v>
      </c>
      <c r="K2379" s="444">
        <f t="shared" ca="1" si="128"/>
        <v>-27046567.510522455</v>
      </c>
      <c r="L2379" s="444">
        <f t="shared" ca="1" si="129"/>
        <v>-6518222770.0359125</v>
      </c>
      <c r="M2379" s="460">
        <f t="shared" si="131"/>
        <v>0.05</v>
      </c>
      <c r="N2379" s="464">
        <f t="shared" si="132"/>
        <v>123454</v>
      </c>
    </row>
    <row r="2380" spans="7:14" ht="11.25" customHeight="1" x14ac:dyDescent="0.3">
      <c r="G2380" s="459"/>
      <c r="H2380" s="459">
        <v>2373</v>
      </c>
      <c r="I2380" s="444">
        <f t="shared" ca="1" si="130"/>
        <v>-6518222770.0359125</v>
      </c>
      <c r="J2380" s="444">
        <f t="array" ref="J2380">IFERROR(INDEX('Retirement Calculator'!K:K,MATCH('Lorri 401b'!N2380,'Retirement Calculator'!A:A,0),0),0)</f>
        <v>0</v>
      </c>
      <c r="K2380" s="444">
        <f t="shared" ca="1" si="128"/>
        <v>-27159261.541816302</v>
      </c>
      <c r="L2380" s="444">
        <f t="shared" ca="1" si="129"/>
        <v>-6545382031.5777292</v>
      </c>
      <c r="M2380" s="460">
        <f t="shared" si="131"/>
        <v>0.05</v>
      </c>
      <c r="N2380" s="464">
        <f t="shared" si="132"/>
        <v>123485</v>
      </c>
    </row>
    <row r="2381" spans="7:14" ht="11.25" customHeight="1" x14ac:dyDescent="0.3">
      <c r="G2381" s="459"/>
      <c r="H2381" s="459">
        <v>2374</v>
      </c>
      <c r="I2381" s="444">
        <f t="shared" ca="1" si="130"/>
        <v>-6545382031.5777292</v>
      </c>
      <c r="J2381" s="444">
        <f t="array" ref="J2381">IFERROR(INDEX('Retirement Calculator'!K:K,MATCH('Lorri 401b'!N2381,'Retirement Calculator'!A:A,0),0),0)</f>
        <v>0</v>
      </c>
      <c r="K2381" s="444">
        <f t="shared" ca="1" si="128"/>
        <v>-27272425.131573871</v>
      </c>
      <c r="L2381" s="444">
        <f t="shared" ca="1" si="129"/>
        <v>-6572654456.7093029</v>
      </c>
      <c r="M2381" s="460">
        <f t="shared" si="131"/>
        <v>0.05</v>
      </c>
      <c r="N2381" s="464">
        <f t="shared" si="132"/>
        <v>123513</v>
      </c>
    </row>
    <row r="2382" spans="7:14" ht="11.25" customHeight="1" x14ac:dyDescent="0.3">
      <c r="G2382" s="459"/>
      <c r="H2382" s="459">
        <v>2375</v>
      </c>
      <c r="I2382" s="444">
        <f t="shared" ca="1" si="130"/>
        <v>-6572654456.7093029</v>
      </c>
      <c r="J2382" s="444">
        <f t="array" ref="J2382">IFERROR(INDEX('Retirement Calculator'!K:K,MATCH('Lorri 401b'!N2382,'Retirement Calculator'!A:A,0),0),0)</f>
        <v>0</v>
      </c>
      <c r="K2382" s="444">
        <f t="shared" ca="1" si="128"/>
        <v>-27386060.23628876</v>
      </c>
      <c r="L2382" s="444">
        <f t="shared" ca="1" si="129"/>
        <v>-6600040516.9455919</v>
      </c>
      <c r="M2382" s="460">
        <f t="shared" si="131"/>
        <v>0.05</v>
      </c>
      <c r="N2382" s="464">
        <f t="shared" si="132"/>
        <v>123544</v>
      </c>
    </row>
    <row r="2383" spans="7:14" ht="11.25" customHeight="1" x14ac:dyDescent="0.3">
      <c r="G2383" s="459"/>
      <c r="H2383" s="459">
        <v>2376</v>
      </c>
      <c r="I2383" s="444">
        <f t="shared" ca="1" si="130"/>
        <v>-6600040516.9455919</v>
      </c>
      <c r="J2383" s="444">
        <f t="array" ref="J2383">IFERROR(INDEX('Retirement Calculator'!K:K,MATCH('Lorri 401b'!N2383,'Retirement Calculator'!A:A,0),0),0)</f>
        <v>0</v>
      </c>
      <c r="K2383" s="444">
        <f t="shared" ca="1" si="128"/>
        <v>-27500168.820606634</v>
      </c>
      <c r="L2383" s="444">
        <f t="shared" ca="1" si="129"/>
        <v>-6627540685.7661982</v>
      </c>
      <c r="M2383" s="460">
        <f t="shared" si="131"/>
        <v>0.05</v>
      </c>
      <c r="N2383" s="464">
        <f t="shared" si="132"/>
        <v>123574</v>
      </c>
    </row>
    <row r="2384" spans="7:14" ht="11.25" customHeight="1" x14ac:dyDescent="0.3">
      <c r="G2384" s="459"/>
      <c r="H2384" s="459">
        <v>2377</v>
      </c>
      <c r="I2384" s="444">
        <f t="shared" ca="1" si="130"/>
        <v>-6627540685.7661982</v>
      </c>
      <c r="J2384" s="444">
        <f t="array" ref="J2384">IFERROR(INDEX('Retirement Calculator'!K:K,MATCH('Lorri 401b'!N2384,'Retirement Calculator'!A:A,0),0),0)</f>
        <v>0</v>
      </c>
      <c r="K2384" s="444">
        <f t="shared" ca="1" si="128"/>
        <v>-27614752.85735916</v>
      </c>
      <c r="L2384" s="444">
        <f t="shared" ca="1" si="129"/>
        <v>-6655155438.6235571</v>
      </c>
      <c r="M2384" s="460">
        <f t="shared" si="131"/>
        <v>0.05</v>
      </c>
      <c r="N2384" s="464">
        <f t="shared" si="132"/>
        <v>123605</v>
      </c>
    </row>
    <row r="2385" spans="7:14" ht="11.25" customHeight="1" x14ac:dyDescent="0.3">
      <c r="G2385" s="459"/>
      <c r="H2385" s="459">
        <v>2378</v>
      </c>
      <c r="I2385" s="444">
        <f t="shared" ca="1" si="130"/>
        <v>-6655155438.6235571</v>
      </c>
      <c r="J2385" s="444">
        <f t="array" ref="J2385">IFERROR(INDEX('Retirement Calculator'!K:K,MATCH('Lorri 401b'!N2385,'Retirement Calculator'!A:A,0),0),0)</f>
        <v>0</v>
      </c>
      <c r="K2385" s="444">
        <f t="shared" ca="1" si="128"/>
        <v>-27729814.327598155</v>
      </c>
      <c r="L2385" s="444">
        <f t="shared" ca="1" si="129"/>
        <v>-6682885252.9511557</v>
      </c>
      <c r="M2385" s="460">
        <f t="shared" si="131"/>
        <v>0.05</v>
      </c>
      <c r="N2385" s="464">
        <f t="shared" si="132"/>
        <v>123635</v>
      </c>
    </row>
    <row r="2386" spans="7:14" ht="11.25" customHeight="1" x14ac:dyDescent="0.3">
      <c r="G2386" s="459"/>
      <c r="H2386" s="459">
        <v>2379</v>
      </c>
      <c r="I2386" s="444">
        <f t="shared" ca="1" si="130"/>
        <v>-6682885252.9511557</v>
      </c>
      <c r="J2386" s="444">
        <f t="array" ref="J2386">IFERROR(INDEX('Retirement Calculator'!K:K,MATCH('Lorri 401b'!N2386,'Retirement Calculator'!A:A,0),0),0)</f>
        <v>0</v>
      </c>
      <c r="K2386" s="444">
        <f t="shared" ca="1" si="128"/>
        <v>-27845355.220629815</v>
      </c>
      <c r="L2386" s="444">
        <f t="shared" ca="1" si="129"/>
        <v>-6710730608.1717854</v>
      </c>
      <c r="M2386" s="460">
        <f t="shared" si="131"/>
        <v>0.05</v>
      </c>
      <c r="N2386" s="464">
        <f t="shared" si="132"/>
        <v>123666</v>
      </c>
    </row>
    <row r="2387" spans="7:14" ht="11.25" customHeight="1" x14ac:dyDescent="0.3">
      <c r="G2387" s="459"/>
      <c r="H2387" s="459">
        <v>2380</v>
      </c>
      <c r="I2387" s="444">
        <f t="shared" ca="1" si="130"/>
        <v>-6710730608.1717854</v>
      </c>
      <c r="J2387" s="444">
        <f t="array" ref="J2387">IFERROR(INDEX('Retirement Calculator'!K:K,MATCH('Lorri 401b'!N2387,'Retirement Calculator'!A:A,0),0),0)</f>
        <v>0</v>
      </c>
      <c r="K2387" s="444">
        <f t="shared" ca="1" si="128"/>
        <v>-27961377.534049105</v>
      </c>
      <c r="L2387" s="444">
        <f t="shared" ca="1" si="129"/>
        <v>-6738691985.7058344</v>
      </c>
      <c r="M2387" s="460">
        <f t="shared" si="131"/>
        <v>0.05</v>
      </c>
      <c r="N2387" s="464">
        <f t="shared" si="132"/>
        <v>123697</v>
      </c>
    </row>
    <row r="2388" spans="7:14" ht="11.25" customHeight="1" x14ac:dyDescent="0.3">
      <c r="G2388" s="459"/>
      <c r="H2388" s="459">
        <v>2381</v>
      </c>
      <c r="I2388" s="444">
        <f t="shared" ca="1" si="130"/>
        <v>-6738691985.7058344</v>
      </c>
      <c r="J2388" s="444">
        <f t="array" ref="J2388">IFERROR(INDEX('Retirement Calculator'!K:K,MATCH('Lorri 401b'!N2388,'Retirement Calculator'!A:A,0),0),0)</f>
        <v>0</v>
      </c>
      <c r="K2388" s="444">
        <f t="shared" ca="1" si="128"/>
        <v>-28077883.273774315</v>
      </c>
      <c r="L2388" s="444">
        <f t="shared" ca="1" si="129"/>
        <v>-6766769868.9796085</v>
      </c>
      <c r="M2388" s="460">
        <f t="shared" si="131"/>
        <v>0.05</v>
      </c>
      <c r="N2388" s="464">
        <f t="shared" si="132"/>
        <v>123727</v>
      </c>
    </row>
    <row r="2389" spans="7:14" ht="11.25" customHeight="1" x14ac:dyDescent="0.3">
      <c r="G2389" s="459"/>
      <c r="H2389" s="459">
        <v>2382</v>
      </c>
      <c r="I2389" s="444">
        <f t="shared" ca="1" si="130"/>
        <v>-6766769868.9796085</v>
      </c>
      <c r="J2389" s="444">
        <f t="array" ref="J2389">IFERROR(INDEX('Retirement Calculator'!K:K,MATCH('Lorri 401b'!N2389,'Retirement Calculator'!A:A,0),0),0)</f>
        <v>0</v>
      </c>
      <c r="K2389" s="444">
        <f t="shared" ca="1" si="128"/>
        <v>-28194874.454081707</v>
      </c>
      <c r="L2389" s="444">
        <f t="shared" ca="1" si="129"/>
        <v>-6794964743.4336901</v>
      </c>
      <c r="M2389" s="460">
        <f t="shared" si="131"/>
        <v>0.05</v>
      </c>
      <c r="N2389" s="464">
        <f t="shared" si="132"/>
        <v>123758</v>
      </c>
    </row>
    <row r="2390" spans="7:14" ht="11.25" customHeight="1" x14ac:dyDescent="0.3">
      <c r="G2390" s="459"/>
      <c r="H2390" s="459">
        <v>2383</v>
      </c>
      <c r="I2390" s="444">
        <f t="shared" ca="1" si="130"/>
        <v>-6794964743.4336901</v>
      </c>
      <c r="J2390" s="444">
        <f t="array" ref="J2390">IFERROR(INDEX('Retirement Calculator'!K:K,MATCH('Lorri 401b'!N2390,'Retirement Calculator'!A:A,0),0),0)</f>
        <v>0</v>
      </c>
      <c r="K2390" s="444">
        <f t="shared" ca="1" si="128"/>
        <v>-28312353.097640377</v>
      </c>
      <c r="L2390" s="444">
        <f t="shared" ca="1" si="129"/>
        <v>-6823277096.5313301</v>
      </c>
      <c r="M2390" s="460">
        <f t="shared" si="131"/>
        <v>0.05</v>
      </c>
      <c r="N2390" s="464">
        <f t="shared" si="132"/>
        <v>123788</v>
      </c>
    </row>
    <row r="2391" spans="7:14" ht="11.25" customHeight="1" x14ac:dyDescent="0.3">
      <c r="G2391" s="459"/>
      <c r="H2391" s="459">
        <v>2384</v>
      </c>
      <c r="I2391" s="444">
        <f t="shared" ca="1" si="130"/>
        <v>-6823277096.5313301</v>
      </c>
      <c r="J2391" s="444">
        <f t="array" ref="J2391">IFERROR(INDEX('Retirement Calculator'!K:K,MATCH('Lorri 401b'!N2391,'Retirement Calculator'!A:A,0),0),0)</f>
        <v>0</v>
      </c>
      <c r="K2391" s="444">
        <f t="shared" ca="1" si="128"/>
        <v>-28430321.235547207</v>
      </c>
      <c r="L2391" s="444">
        <f t="shared" ca="1" si="129"/>
        <v>-6851707417.7668772</v>
      </c>
      <c r="M2391" s="460">
        <f t="shared" si="131"/>
        <v>0.05</v>
      </c>
      <c r="N2391" s="464">
        <f t="shared" si="132"/>
        <v>123819</v>
      </c>
    </row>
    <row r="2392" spans="7:14" ht="11.25" customHeight="1" x14ac:dyDescent="0.3">
      <c r="G2392" s="459"/>
      <c r="H2392" s="459">
        <v>2385</v>
      </c>
      <c r="I2392" s="444">
        <f t="shared" ca="1" si="130"/>
        <v>-6851707417.7668772</v>
      </c>
      <c r="J2392" s="444">
        <f t="array" ref="J2392">IFERROR(INDEX('Retirement Calculator'!K:K,MATCH('Lorri 401b'!N2392,'Retirement Calculator'!A:A,0),0),0)</f>
        <v>0</v>
      </c>
      <c r="K2392" s="444">
        <f t="shared" ca="1" si="128"/>
        <v>-28548780.907361988</v>
      </c>
      <c r="L2392" s="444">
        <f t="shared" ca="1" si="129"/>
        <v>-6880256198.6742392</v>
      </c>
      <c r="M2392" s="460">
        <f t="shared" si="131"/>
        <v>0.05</v>
      </c>
      <c r="N2392" s="464">
        <f t="shared" si="132"/>
        <v>123850</v>
      </c>
    </row>
    <row r="2393" spans="7:14" ht="11.25" customHeight="1" x14ac:dyDescent="0.3">
      <c r="G2393" s="459"/>
      <c r="H2393" s="459">
        <v>2386</v>
      </c>
      <c r="I2393" s="444">
        <f t="shared" ca="1" si="130"/>
        <v>-6880256198.6742392</v>
      </c>
      <c r="J2393" s="444">
        <f t="array" ref="J2393">IFERROR(INDEX('Retirement Calculator'!K:K,MATCH('Lorri 401b'!N2393,'Retirement Calculator'!A:A,0),0),0)</f>
        <v>0</v>
      </c>
      <c r="K2393" s="444">
        <f t="shared" ca="1" si="128"/>
        <v>-28667734.161142662</v>
      </c>
      <c r="L2393" s="444">
        <f t="shared" ca="1" si="129"/>
        <v>-6908923932.8353815</v>
      </c>
      <c r="M2393" s="460">
        <f t="shared" si="131"/>
        <v>0.05</v>
      </c>
      <c r="N2393" s="464">
        <f t="shared" si="132"/>
        <v>123878</v>
      </c>
    </row>
    <row r="2394" spans="7:14" ht="11.25" customHeight="1" x14ac:dyDescent="0.3">
      <c r="G2394" s="459"/>
      <c r="H2394" s="459">
        <v>2387</v>
      </c>
      <c r="I2394" s="444">
        <f t="shared" ca="1" si="130"/>
        <v>-6908923932.8353815</v>
      </c>
      <c r="J2394" s="444">
        <f t="array" ref="J2394">IFERROR(INDEX('Retirement Calculator'!K:K,MATCH('Lorri 401b'!N2394,'Retirement Calculator'!A:A,0),0),0)</f>
        <v>0</v>
      </c>
      <c r="K2394" s="444">
        <f t="shared" ca="1" si="128"/>
        <v>-28787183.053480759</v>
      </c>
      <c r="L2394" s="444">
        <f t="shared" ca="1" si="129"/>
        <v>-6937711115.8888626</v>
      </c>
      <c r="M2394" s="460">
        <f t="shared" si="131"/>
        <v>0.05</v>
      </c>
      <c r="N2394" s="464">
        <f t="shared" si="132"/>
        <v>123909</v>
      </c>
    </row>
    <row r="2395" spans="7:14" ht="11.25" customHeight="1" x14ac:dyDescent="0.3">
      <c r="G2395" s="459"/>
      <c r="H2395" s="459">
        <v>2388</v>
      </c>
      <c r="I2395" s="444">
        <f t="shared" ca="1" si="130"/>
        <v>-6937711115.8888626</v>
      </c>
      <c r="J2395" s="444">
        <f t="array" ref="J2395">IFERROR(INDEX('Retirement Calculator'!K:K,MATCH('Lorri 401b'!N2395,'Retirement Calculator'!A:A,0),0),0)</f>
        <v>0</v>
      </c>
      <c r="K2395" s="444">
        <f t="shared" ca="1" si="128"/>
        <v>-28907129.64953693</v>
      </c>
      <c r="L2395" s="444">
        <f t="shared" ca="1" si="129"/>
        <v>-6966618245.5383997</v>
      </c>
      <c r="M2395" s="460">
        <f t="shared" si="131"/>
        <v>0.05</v>
      </c>
      <c r="N2395" s="464">
        <f t="shared" si="132"/>
        <v>123939</v>
      </c>
    </row>
    <row r="2396" spans="7:14" ht="11.25" customHeight="1" x14ac:dyDescent="0.3">
      <c r="G2396" s="459"/>
      <c r="H2396" s="459">
        <v>2389</v>
      </c>
      <c r="I2396" s="444">
        <f t="shared" ca="1" si="130"/>
        <v>-6966618245.5383997</v>
      </c>
      <c r="J2396" s="444">
        <f t="array" ref="J2396">IFERROR(INDEX('Retirement Calculator'!K:K,MATCH('Lorri 401b'!N2396,'Retirement Calculator'!A:A,0),0),0)</f>
        <v>0</v>
      </c>
      <c r="K2396" s="444">
        <f t="shared" ca="1" si="128"/>
        <v>-29027576.023076661</v>
      </c>
      <c r="L2396" s="444">
        <f t="shared" ca="1" si="129"/>
        <v>-6995645821.5614767</v>
      </c>
      <c r="M2396" s="460">
        <f t="shared" si="131"/>
        <v>0.05</v>
      </c>
      <c r="N2396" s="464">
        <f t="shared" si="132"/>
        <v>123970</v>
      </c>
    </row>
    <row r="2397" spans="7:14" ht="11.25" customHeight="1" x14ac:dyDescent="0.3">
      <c r="G2397" s="459"/>
      <c r="H2397" s="459">
        <v>2390</v>
      </c>
      <c r="I2397" s="444">
        <f t="shared" ca="1" si="130"/>
        <v>-6995645821.5614767</v>
      </c>
      <c r="J2397" s="444">
        <f t="array" ref="J2397">IFERROR(INDEX('Retirement Calculator'!K:K,MATCH('Lorri 401b'!N2397,'Retirement Calculator'!A:A,0),0),0)</f>
        <v>0</v>
      </c>
      <c r="K2397" s="444">
        <f t="shared" ca="1" si="128"/>
        <v>-29148524.256506152</v>
      </c>
      <c r="L2397" s="444">
        <f t="shared" ca="1" si="129"/>
        <v>-7024794345.8179827</v>
      </c>
      <c r="M2397" s="460">
        <f t="shared" si="131"/>
        <v>0.05</v>
      </c>
      <c r="N2397" s="464">
        <f t="shared" si="132"/>
        <v>124000</v>
      </c>
    </row>
    <row r="2398" spans="7:14" ht="11.25" customHeight="1" x14ac:dyDescent="0.3">
      <c r="G2398" s="459"/>
      <c r="H2398" s="459">
        <v>2391</v>
      </c>
      <c r="I2398" s="444">
        <f t="shared" ca="1" si="130"/>
        <v>-7024794345.8179827</v>
      </c>
      <c r="J2398" s="444">
        <f t="array" ref="J2398">IFERROR(INDEX('Retirement Calculator'!K:K,MATCH('Lorri 401b'!N2398,'Retirement Calculator'!A:A,0),0),0)</f>
        <v>0</v>
      </c>
      <c r="K2398" s="444">
        <f t="shared" ca="1" si="128"/>
        <v>-29269976.440908261</v>
      </c>
      <c r="L2398" s="444">
        <f t="shared" ca="1" si="129"/>
        <v>-7054064322.2588911</v>
      </c>
      <c r="M2398" s="460">
        <f t="shared" si="131"/>
        <v>0.05</v>
      </c>
      <c r="N2398" s="464">
        <f t="shared" si="132"/>
        <v>124031</v>
      </c>
    </row>
    <row r="2399" spans="7:14" ht="11.25" customHeight="1" x14ac:dyDescent="0.3">
      <c r="G2399" s="459"/>
      <c r="H2399" s="459">
        <v>2392</v>
      </c>
      <c r="I2399" s="444">
        <f t="shared" ca="1" si="130"/>
        <v>-7054064322.2588911</v>
      </c>
      <c r="J2399" s="444">
        <f t="array" ref="J2399">IFERROR(INDEX('Retirement Calculator'!K:K,MATCH('Lorri 401b'!N2399,'Retirement Calculator'!A:A,0),0),0)</f>
        <v>0</v>
      </c>
      <c r="K2399" s="444">
        <f t="shared" ca="1" si="128"/>
        <v>-29391934.676078711</v>
      </c>
      <c r="L2399" s="444">
        <f t="shared" ca="1" si="129"/>
        <v>-7083456256.9349699</v>
      </c>
      <c r="M2399" s="460">
        <f t="shared" si="131"/>
        <v>0.05</v>
      </c>
      <c r="N2399" s="464">
        <f t="shared" si="132"/>
        <v>124062</v>
      </c>
    </row>
    <row r="2400" spans="7:14" ht="11.25" customHeight="1" x14ac:dyDescent="0.3">
      <c r="G2400" s="459"/>
      <c r="H2400" s="459">
        <v>2393</v>
      </c>
      <c r="I2400" s="444">
        <f t="shared" ca="1" si="130"/>
        <v>-7083456256.9349699</v>
      </c>
      <c r="J2400" s="444">
        <f t="array" ref="J2400">IFERROR(INDEX('Retirement Calculator'!K:K,MATCH('Lorri 401b'!N2400,'Retirement Calculator'!A:A,0),0),0)</f>
        <v>0</v>
      </c>
      <c r="K2400" s="444">
        <f t="shared" ca="1" si="128"/>
        <v>-29514401.07056237</v>
      </c>
      <c r="L2400" s="444">
        <f t="shared" ca="1" si="129"/>
        <v>-7112970658.0055323</v>
      </c>
      <c r="M2400" s="460">
        <f t="shared" si="131"/>
        <v>0.05</v>
      </c>
      <c r="N2400" s="464">
        <f t="shared" si="132"/>
        <v>124092</v>
      </c>
    </row>
    <row r="2401" spans="7:14" ht="11.25" customHeight="1" x14ac:dyDescent="0.3">
      <c r="G2401" s="459"/>
      <c r="H2401" s="459">
        <v>2394</v>
      </c>
      <c r="I2401" s="444">
        <f t="shared" ca="1" si="130"/>
        <v>-7112970658.0055323</v>
      </c>
      <c r="J2401" s="444">
        <f t="array" ref="J2401">IFERROR(INDEX('Retirement Calculator'!K:K,MATCH('Lorri 401b'!N2401,'Retirement Calculator'!A:A,0),0),0)</f>
        <v>0</v>
      </c>
      <c r="K2401" s="444">
        <f t="shared" ca="1" si="128"/>
        <v>-29637377.741689716</v>
      </c>
      <c r="L2401" s="444">
        <f t="shared" ca="1" si="129"/>
        <v>-7142608035.7472219</v>
      </c>
      <c r="M2401" s="460">
        <f t="shared" si="131"/>
        <v>0.05</v>
      </c>
      <c r="N2401" s="464">
        <f t="shared" si="132"/>
        <v>124123</v>
      </c>
    </row>
    <row r="2402" spans="7:14" ht="11.25" customHeight="1" x14ac:dyDescent="0.3">
      <c r="G2402" s="459"/>
      <c r="H2402" s="459">
        <v>2395</v>
      </c>
      <c r="I2402" s="444">
        <f t="shared" ca="1" si="130"/>
        <v>-7142608035.7472219</v>
      </c>
      <c r="J2402" s="444">
        <f t="array" ref="J2402">IFERROR(INDEX('Retirement Calculator'!K:K,MATCH('Lorri 401b'!N2402,'Retirement Calculator'!A:A,0),0),0)</f>
        <v>0</v>
      </c>
      <c r="K2402" s="444">
        <f t="shared" ca="1" si="128"/>
        <v>-29760866.815613423</v>
      </c>
      <c r="L2402" s="444">
        <f t="shared" ca="1" si="129"/>
        <v>-7172368902.5628357</v>
      </c>
      <c r="M2402" s="460">
        <f t="shared" si="131"/>
        <v>0.05</v>
      </c>
      <c r="N2402" s="464">
        <f t="shared" si="132"/>
        <v>124153</v>
      </c>
    </row>
    <row r="2403" spans="7:14" ht="11.25" customHeight="1" x14ac:dyDescent="0.3">
      <c r="G2403" s="459"/>
      <c r="H2403" s="459">
        <v>2396</v>
      </c>
      <c r="I2403" s="444">
        <f t="shared" ca="1" si="130"/>
        <v>-7172368902.5628357</v>
      </c>
      <c r="J2403" s="444">
        <f t="array" ref="J2403">IFERROR(INDEX('Retirement Calculator'!K:K,MATCH('Lorri 401b'!N2403,'Retirement Calculator'!A:A,0),0),0)</f>
        <v>0</v>
      </c>
      <c r="K2403" s="444">
        <f t="shared" ca="1" si="128"/>
        <v>-29884870.427345145</v>
      </c>
      <c r="L2403" s="444">
        <f t="shared" ca="1" si="129"/>
        <v>-7202253772.990181</v>
      </c>
      <c r="M2403" s="460">
        <f t="shared" si="131"/>
        <v>0.05</v>
      </c>
      <c r="N2403" s="464">
        <f t="shared" si="132"/>
        <v>124184</v>
      </c>
    </row>
    <row r="2404" spans="7:14" ht="11.25" customHeight="1" x14ac:dyDescent="0.3">
      <c r="G2404" s="459"/>
      <c r="H2404" s="459">
        <v>2397</v>
      </c>
      <c r="I2404" s="444">
        <f t="shared" ca="1" si="130"/>
        <v>-7202253772.990181</v>
      </c>
      <c r="J2404" s="444">
        <f t="array" ref="J2404">IFERROR(INDEX('Retirement Calculator'!K:K,MATCH('Lorri 401b'!N2404,'Retirement Calculator'!A:A,0),0),0)</f>
        <v>0</v>
      </c>
      <c r="K2404" s="444">
        <f t="shared" ca="1" si="128"/>
        <v>-30009390.72079242</v>
      </c>
      <c r="L2404" s="444">
        <f t="shared" ca="1" si="129"/>
        <v>-7232263163.7109737</v>
      </c>
      <c r="M2404" s="460">
        <f t="shared" si="131"/>
        <v>0.05</v>
      </c>
      <c r="N2404" s="464">
        <f t="shared" si="132"/>
        <v>124215</v>
      </c>
    </row>
    <row r="2405" spans="7:14" ht="11.25" customHeight="1" x14ac:dyDescent="0.3">
      <c r="G2405" s="459"/>
      <c r="H2405" s="459">
        <v>2398</v>
      </c>
      <c r="I2405" s="444">
        <f t="shared" ca="1" si="130"/>
        <v>-7232263163.7109737</v>
      </c>
      <c r="J2405" s="444">
        <f t="array" ref="J2405">IFERROR(INDEX('Retirement Calculator'!K:K,MATCH('Lorri 401b'!N2405,'Retirement Calculator'!A:A,0),0),0)</f>
        <v>0</v>
      </c>
      <c r="K2405" s="444">
        <f t="shared" ca="1" si="128"/>
        <v>-30134429.848795723</v>
      </c>
      <c r="L2405" s="444">
        <f t="shared" ca="1" si="129"/>
        <v>-7262397593.5597696</v>
      </c>
      <c r="M2405" s="460">
        <f t="shared" si="131"/>
        <v>0.05</v>
      </c>
      <c r="N2405" s="464">
        <f t="shared" si="132"/>
        <v>124244</v>
      </c>
    </row>
    <row r="2406" spans="7:14" ht="11.25" customHeight="1" x14ac:dyDescent="0.3">
      <c r="G2406" s="459"/>
      <c r="H2406" s="459">
        <v>2399</v>
      </c>
      <c r="I2406" s="444">
        <f t="shared" ca="1" si="130"/>
        <v>-7262397593.5597696</v>
      </c>
      <c r="J2406" s="444">
        <f t="array" ref="J2406">IFERROR(INDEX('Retirement Calculator'!K:K,MATCH('Lorri 401b'!N2406,'Retirement Calculator'!A:A,0),0),0)</f>
        <v>0</v>
      </c>
      <c r="K2406" s="444">
        <f t="shared" ca="1" si="128"/>
        <v>-30259989.973165702</v>
      </c>
      <c r="L2406" s="444">
        <f t="shared" ca="1" si="129"/>
        <v>-7292657583.5329351</v>
      </c>
      <c r="M2406" s="460">
        <f t="shared" si="131"/>
        <v>0.05</v>
      </c>
      <c r="N2406" s="464">
        <f t="shared" si="132"/>
        <v>124275</v>
      </c>
    </row>
    <row r="2407" spans="7:14" ht="11.25" customHeight="1" x14ac:dyDescent="0.3">
      <c r="G2407" s="459"/>
      <c r="H2407" s="459">
        <v>2400</v>
      </c>
      <c r="I2407" s="444">
        <f t="shared" ca="1" si="130"/>
        <v>-7292657583.5329351</v>
      </c>
      <c r="J2407" s="444">
        <f t="array" ref="J2407">IFERROR(INDEX('Retirement Calculator'!K:K,MATCH('Lorri 401b'!N2407,'Retirement Calculator'!A:A,0),0),0)</f>
        <v>0</v>
      </c>
      <c r="K2407" s="444">
        <f t="shared" ca="1" si="128"/>
        <v>-30386073.264720563</v>
      </c>
      <c r="L2407" s="444">
        <f t="shared" ca="1" si="129"/>
        <v>-7323043656.7976561</v>
      </c>
      <c r="M2407" s="460">
        <f t="shared" si="131"/>
        <v>0.05</v>
      </c>
      <c r="N2407" s="464">
        <f t="shared" si="132"/>
        <v>124305</v>
      </c>
    </row>
    <row r="2408" spans="7:14" ht="11.25" customHeight="1" x14ac:dyDescent="0.3">
      <c r="G2408" s="459"/>
      <c r="H2408" s="459">
        <v>2401</v>
      </c>
      <c r="I2408" s="444">
        <f t="shared" ca="1" si="130"/>
        <v>-7323043656.7976561</v>
      </c>
      <c r="J2408" s="444">
        <f t="array" ref="J2408">IFERROR(INDEX('Retirement Calculator'!K:K,MATCH('Lorri 401b'!N2408,'Retirement Calculator'!A:A,0),0),0)</f>
        <v>0</v>
      </c>
      <c r="K2408" s="444">
        <f t="shared" ca="1" si="128"/>
        <v>-30512681.903323565</v>
      </c>
      <c r="L2408" s="444">
        <f t="shared" ca="1" si="129"/>
        <v>-7353556338.7009792</v>
      </c>
      <c r="M2408" s="460">
        <f t="shared" si="131"/>
        <v>0.05</v>
      </c>
      <c r="N2408" s="464">
        <f t="shared" si="132"/>
        <v>124336</v>
      </c>
    </row>
    <row r="2409" spans="7:14" ht="11.25" customHeight="1" x14ac:dyDescent="0.3">
      <c r="G2409" s="459"/>
      <c r="H2409" s="459">
        <v>2402</v>
      </c>
      <c r="I2409" s="444">
        <f t="shared" ca="1" si="130"/>
        <v>-7353556338.7009792</v>
      </c>
      <c r="J2409" s="444">
        <f t="array" ref="J2409">IFERROR(INDEX('Retirement Calculator'!K:K,MATCH('Lorri 401b'!N2409,'Retirement Calculator'!A:A,0),0),0)</f>
        <v>0</v>
      </c>
      <c r="K2409" s="444">
        <f t="shared" ca="1" si="128"/>
        <v>-30639818.077920746</v>
      </c>
      <c r="L2409" s="444">
        <f t="shared" ca="1" si="129"/>
        <v>-7384196156.7789001</v>
      </c>
      <c r="M2409" s="460">
        <f t="shared" si="131"/>
        <v>0.05</v>
      </c>
      <c r="N2409" s="464">
        <f t="shared" si="132"/>
        <v>124366</v>
      </c>
    </row>
    <row r="2410" spans="7:14" ht="11.25" customHeight="1" x14ac:dyDescent="0.3">
      <c r="G2410" s="459"/>
      <c r="H2410" s="459">
        <v>2403</v>
      </c>
      <c r="I2410" s="444">
        <f t="shared" ca="1" si="130"/>
        <v>-7384196156.7789001</v>
      </c>
      <c r="J2410" s="444">
        <f t="array" ref="J2410">IFERROR(INDEX('Retirement Calculator'!K:K,MATCH('Lorri 401b'!N2410,'Retirement Calculator'!A:A,0),0),0)</f>
        <v>0</v>
      </c>
      <c r="K2410" s="444">
        <f t="shared" ca="1" si="128"/>
        <v>-30767483.986578751</v>
      </c>
      <c r="L2410" s="444">
        <f t="shared" ca="1" si="129"/>
        <v>-7414963640.7654791</v>
      </c>
      <c r="M2410" s="460">
        <f t="shared" si="131"/>
        <v>0.05</v>
      </c>
      <c r="N2410" s="464">
        <f t="shared" si="132"/>
        <v>124397</v>
      </c>
    </row>
    <row r="2411" spans="7:14" ht="11.25" customHeight="1" x14ac:dyDescent="0.3">
      <c r="G2411" s="459"/>
      <c r="H2411" s="459">
        <v>2404</v>
      </c>
      <c r="I2411" s="444">
        <f t="shared" ca="1" si="130"/>
        <v>-7414963640.7654791</v>
      </c>
      <c r="J2411" s="444">
        <f t="array" ref="J2411">IFERROR(INDEX('Retirement Calculator'!K:K,MATCH('Lorri 401b'!N2411,'Retirement Calculator'!A:A,0),0),0)</f>
        <v>0</v>
      </c>
      <c r="K2411" s="444">
        <f t="shared" ca="1" si="128"/>
        <v>-30895681.836522829</v>
      </c>
      <c r="L2411" s="444">
        <f t="shared" ca="1" si="129"/>
        <v>-7445859322.6020021</v>
      </c>
      <c r="M2411" s="460">
        <f t="shared" si="131"/>
        <v>0.05</v>
      </c>
      <c r="N2411" s="464">
        <f t="shared" si="132"/>
        <v>124428</v>
      </c>
    </row>
    <row r="2412" spans="7:14" ht="11.25" customHeight="1" x14ac:dyDescent="0.3">
      <c r="G2412" s="459"/>
      <c r="H2412" s="459">
        <v>2405</v>
      </c>
      <c r="I2412" s="444">
        <f t="shared" ca="1" si="130"/>
        <v>-7445859322.6020021</v>
      </c>
      <c r="J2412" s="444">
        <f t="array" ref="J2412">IFERROR(INDEX('Retirement Calculator'!K:K,MATCH('Lorri 401b'!N2412,'Retirement Calculator'!A:A,0),0),0)</f>
        <v>0</v>
      </c>
      <c r="K2412" s="444">
        <f t="shared" ca="1" si="128"/>
        <v>-31024413.844175007</v>
      </c>
      <c r="L2412" s="444">
        <f t="shared" ca="1" si="129"/>
        <v>-7476883736.4461775</v>
      </c>
      <c r="M2412" s="460">
        <f t="shared" si="131"/>
        <v>0.05</v>
      </c>
      <c r="N2412" s="464">
        <f t="shared" si="132"/>
        <v>124458</v>
      </c>
    </row>
    <row r="2413" spans="7:14" ht="11.25" customHeight="1" x14ac:dyDescent="0.3">
      <c r="G2413" s="459"/>
      <c r="H2413" s="459">
        <v>2406</v>
      </c>
      <c r="I2413" s="444">
        <f t="shared" ca="1" si="130"/>
        <v>-7476883736.4461775</v>
      </c>
      <c r="J2413" s="444">
        <f t="array" ref="J2413">IFERROR(INDEX('Retirement Calculator'!K:K,MATCH('Lorri 401b'!N2413,'Retirement Calculator'!A:A,0),0),0)</f>
        <v>0</v>
      </c>
      <c r="K2413" s="444">
        <f t="shared" ca="1" si="128"/>
        <v>-31153682.235192407</v>
      </c>
      <c r="L2413" s="444">
        <f t="shared" ca="1" si="129"/>
        <v>-7508037418.6813698</v>
      </c>
      <c r="M2413" s="460">
        <f t="shared" si="131"/>
        <v>0.05</v>
      </c>
      <c r="N2413" s="464">
        <f t="shared" si="132"/>
        <v>124489</v>
      </c>
    </row>
    <row r="2414" spans="7:14" ht="11.25" customHeight="1" x14ac:dyDescent="0.3">
      <c r="G2414" s="459"/>
      <c r="H2414" s="459">
        <v>2407</v>
      </c>
      <c r="I2414" s="444">
        <f t="shared" ca="1" si="130"/>
        <v>-7508037418.6813698</v>
      </c>
      <c r="J2414" s="444">
        <f t="array" ref="J2414">IFERROR(INDEX('Retirement Calculator'!K:K,MATCH('Lorri 401b'!N2414,'Retirement Calculator'!A:A,0),0),0)</f>
        <v>0</v>
      </c>
      <c r="K2414" s="444">
        <f t="shared" ca="1" si="128"/>
        <v>-31283489.244505707</v>
      </c>
      <c r="L2414" s="444">
        <f t="shared" ca="1" si="129"/>
        <v>-7539320907.9258757</v>
      </c>
      <c r="M2414" s="460">
        <f t="shared" si="131"/>
        <v>0.05</v>
      </c>
      <c r="N2414" s="464">
        <f t="shared" si="132"/>
        <v>124519</v>
      </c>
    </row>
    <row r="2415" spans="7:14" ht="11.25" customHeight="1" x14ac:dyDescent="0.3">
      <c r="G2415" s="459"/>
      <c r="H2415" s="459">
        <v>2408</v>
      </c>
      <c r="I2415" s="444">
        <f t="shared" ca="1" si="130"/>
        <v>-7539320907.9258757</v>
      </c>
      <c r="J2415" s="444">
        <f t="array" ref="J2415">IFERROR(INDEX('Retirement Calculator'!K:K,MATCH('Lorri 401b'!N2415,'Retirement Calculator'!A:A,0),0),0)</f>
        <v>0</v>
      </c>
      <c r="K2415" s="444">
        <f t="shared" ca="1" si="128"/>
        <v>-31413837.116357818</v>
      </c>
      <c r="L2415" s="444">
        <f t="shared" ca="1" si="129"/>
        <v>-7570734745.0422335</v>
      </c>
      <c r="M2415" s="460">
        <f t="shared" si="131"/>
        <v>0.05</v>
      </c>
      <c r="N2415" s="464">
        <f t="shared" si="132"/>
        <v>124550</v>
      </c>
    </row>
    <row r="2416" spans="7:14" ht="11.25" customHeight="1" x14ac:dyDescent="0.3">
      <c r="G2416" s="459"/>
      <c r="H2416" s="459">
        <v>2409</v>
      </c>
      <c r="I2416" s="444">
        <f t="shared" ca="1" si="130"/>
        <v>-7570734745.0422335</v>
      </c>
      <c r="J2416" s="444">
        <f t="array" ref="J2416">IFERROR(INDEX('Retirement Calculator'!K:K,MATCH('Lorri 401b'!N2416,'Retirement Calculator'!A:A,0),0),0)</f>
        <v>0</v>
      </c>
      <c r="K2416" s="444">
        <f t="shared" ca="1" si="128"/>
        <v>-31544728.104342639</v>
      </c>
      <c r="L2416" s="444">
        <f t="shared" ca="1" si="129"/>
        <v>-7602279473.1465759</v>
      </c>
      <c r="M2416" s="460">
        <f t="shared" si="131"/>
        <v>0.05</v>
      </c>
      <c r="N2416" s="464">
        <f t="shared" si="132"/>
        <v>124581</v>
      </c>
    </row>
    <row r="2417" spans="7:14" ht="11.25" customHeight="1" x14ac:dyDescent="0.3">
      <c r="G2417" s="459"/>
      <c r="H2417" s="459">
        <v>2410</v>
      </c>
      <c r="I2417" s="444">
        <f t="shared" ca="1" si="130"/>
        <v>-7602279473.1465759</v>
      </c>
      <c r="J2417" s="444">
        <f t="array" ref="J2417">IFERROR(INDEX('Retirement Calculator'!K:K,MATCH('Lorri 401b'!N2417,'Retirement Calculator'!A:A,0),0),0)</f>
        <v>0</v>
      </c>
      <c r="K2417" s="444">
        <f t="shared" ca="1" si="128"/>
        <v>-31676164.47144407</v>
      </c>
      <c r="L2417" s="444">
        <f t="shared" ca="1" si="129"/>
        <v>-7633955637.6180201</v>
      </c>
      <c r="M2417" s="460">
        <f t="shared" si="131"/>
        <v>0.05</v>
      </c>
      <c r="N2417" s="464">
        <f t="shared" si="132"/>
        <v>124609</v>
      </c>
    </row>
    <row r="2418" spans="7:14" ht="11.25" customHeight="1" x14ac:dyDescent="0.3">
      <c r="G2418" s="459"/>
      <c r="H2418" s="459">
        <v>2411</v>
      </c>
      <c r="I2418" s="444">
        <f t="shared" ca="1" si="130"/>
        <v>-7633955637.6180201</v>
      </c>
      <c r="J2418" s="444">
        <f t="array" ref="J2418">IFERROR(INDEX('Retirement Calculator'!K:K,MATCH('Lorri 401b'!N2418,'Retirement Calculator'!A:A,0),0),0)</f>
        <v>0</v>
      </c>
      <c r="K2418" s="444">
        <f t="shared" ca="1" si="128"/>
        <v>-31808148.490075082</v>
      </c>
      <c r="L2418" s="444">
        <f t="shared" ca="1" si="129"/>
        <v>-7665763786.1080952</v>
      </c>
      <c r="M2418" s="460">
        <f t="shared" si="131"/>
        <v>0.05</v>
      </c>
      <c r="N2418" s="464">
        <f t="shared" si="132"/>
        <v>124640</v>
      </c>
    </row>
    <row r="2419" spans="7:14" ht="11.25" customHeight="1" x14ac:dyDescent="0.3">
      <c r="G2419" s="459"/>
      <c r="H2419" s="459">
        <v>2412</v>
      </c>
      <c r="I2419" s="444">
        <f t="shared" ca="1" si="130"/>
        <v>-7665763786.1080952</v>
      </c>
      <c r="J2419" s="444">
        <f t="array" ref="J2419">IFERROR(INDEX('Retirement Calculator'!K:K,MATCH('Lorri 401b'!N2419,'Retirement Calculator'!A:A,0),0),0)</f>
        <v>0</v>
      </c>
      <c r="K2419" s="444">
        <f t="shared" ca="1" si="128"/>
        <v>-31940682.442117058</v>
      </c>
      <c r="L2419" s="444">
        <f t="shared" ca="1" si="129"/>
        <v>-7697704468.5502119</v>
      </c>
      <c r="M2419" s="460">
        <f t="shared" si="131"/>
        <v>0.05</v>
      </c>
      <c r="N2419" s="464">
        <f t="shared" si="132"/>
        <v>124670</v>
      </c>
    </row>
    <row r="2420" spans="7:14" ht="11.25" customHeight="1" x14ac:dyDescent="0.3">
      <c r="G2420" s="459"/>
      <c r="H2420" s="459">
        <v>2413</v>
      </c>
      <c r="I2420" s="444">
        <f t="shared" ca="1" si="130"/>
        <v>-7697704468.5502119</v>
      </c>
      <c r="J2420" s="444">
        <f t="array" ref="J2420">IFERROR(INDEX('Retirement Calculator'!K:K,MATCH('Lorri 401b'!N2420,'Retirement Calculator'!A:A,0),0),0)</f>
        <v>0</v>
      </c>
      <c r="K2420" s="444">
        <f t="shared" ca="1" si="128"/>
        <v>-32073768.618959218</v>
      </c>
      <c r="L2420" s="444">
        <f t="shared" ca="1" si="129"/>
        <v>-7729778237.1691713</v>
      </c>
      <c r="M2420" s="460">
        <f t="shared" si="131"/>
        <v>0.05</v>
      </c>
      <c r="N2420" s="464">
        <f t="shared" si="132"/>
        <v>124701</v>
      </c>
    </row>
    <row r="2421" spans="7:14" ht="11.25" customHeight="1" x14ac:dyDescent="0.3">
      <c r="G2421" s="459"/>
      <c r="H2421" s="459">
        <v>2414</v>
      </c>
      <c r="I2421" s="444">
        <f t="shared" ca="1" si="130"/>
        <v>-7729778237.1691713</v>
      </c>
      <c r="J2421" s="444">
        <f t="array" ref="J2421">IFERROR(INDEX('Retirement Calculator'!K:K,MATCH('Lorri 401b'!N2421,'Retirement Calculator'!A:A,0),0),0)</f>
        <v>0</v>
      </c>
      <c r="K2421" s="444">
        <f t="shared" ca="1" si="128"/>
        <v>-32207409.321538214</v>
      </c>
      <c r="L2421" s="444">
        <f t="shared" ca="1" si="129"/>
        <v>-7761985646.4907093</v>
      </c>
      <c r="M2421" s="460">
        <f t="shared" si="131"/>
        <v>0.05</v>
      </c>
      <c r="N2421" s="464">
        <f t="shared" si="132"/>
        <v>124731</v>
      </c>
    </row>
    <row r="2422" spans="7:14" ht="11.25" customHeight="1" x14ac:dyDescent="0.3">
      <c r="G2422" s="459"/>
      <c r="H2422" s="459">
        <v>2415</v>
      </c>
      <c r="I2422" s="444">
        <f t="shared" ca="1" si="130"/>
        <v>-7761985646.4907093</v>
      </c>
      <c r="J2422" s="444">
        <f t="array" ref="J2422">IFERROR(INDEX('Retirement Calculator'!K:K,MATCH('Lorri 401b'!N2422,'Retirement Calculator'!A:A,0),0),0)</f>
        <v>0</v>
      </c>
      <c r="K2422" s="444">
        <f t="shared" ca="1" si="128"/>
        <v>-32341606.86037796</v>
      </c>
      <c r="L2422" s="444">
        <f t="shared" ca="1" si="129"/>
        <v>-7794327253.3510876</v>
      </c>
      <c r="M2422" s="460">
        <f t="shared" si="131"/>
        <v>0.05</v>
      </c>
      <c r="N2422" s="464">
        <f t="shared" si="132"/>
        <v>124762</v>
      </c>
    </row>
    <row r="2423" spans="7:14" ht="11.25" customHeight="1" x14ac:dyDescent="0.3">
      <c r="G2423" s="459"/>
      <c r="H2423" s="459">
        <v>2416</v>
      </c>
      <c r="I2423" s="444">
        <f t="shared" ca="1" si="130"/>
        <v>-7794327253.3510876</v>
      </c>
      <c r="J2423" s="444">
        <f t="array" ref="J2423">IFERROR(INDEX('Retirement Calculator'!K:K,MATCH('Lorri 401b'!N2423,'Retirement Calculator'!A:A,0),0),0)</f>
        <v>0</v>
      </c>
      <c r="K2423" s="444">
        <f t="shared" ca="1" si="128"/>
        <v>-32476363.555629533</v>
      </c>
      <c r="L2423" s="444">
        <f t="shared" ca="1" si="129"/>
        <v>-7826803616.9067173</v>
      </c>
      <c r="M2423" s="460">
        <f t="shared" si="131"/>
        <v>0.05</v>
      </c>
      <c r="N2423" s="464">
        <f t="shared" si="132"/>
        <v>124793</v>
      </c>
    </row>
    <row r="2424" spans="7:14" ht="11.25" customHeight="1" x14ac:dyDescent="0.3">
      <c r="G2424" s="459"/>
      <c r="H2424" s="459">
        <v>2417</v>
      </c>
      <c r="I2424" s="444">
        <f t="shared" ca="1" si="130"/>
        <v>-7826803616.9067173</v>
      </c>
      <c r="J2424" s="444">
        <f t="array" ref="J2424">IFERROR(INDEX('Retirement Calculator'!K:K,MATCH('Lorri 401b'!N2424,'Retirement Calculator'!A:A,0),0),0)</f>
        <v>0</v>
      </c>
      <c r="K2424" s="444">
        <f t="shared" ca="1" si="128"/>
        <v>-32611681.737111319</v>
      </c>
      <c r="L2424" s="444">
        <f t="shared" ca="1" si="129"/>
        <v>-7859415298.6438284</v>
      </c>
      <c r="M2424" s="460">
        <f t="shared" si="131"/>
        <v>0.05</v>
      </c>
      <c r="N2424" s="464">
        <f t="shared" si="132"/>
        <v>124823</v>
      </c>
    </row>
    <row r="2425" spans="7:14" ht="11.25" customHeight="1" x14ac:dyDescent="0.3">
      <c r="G2425" s="459"/>
      <c r="H2425" s="459">
        <v>2418</v>
      </c>
      <c r="I2425" s="444">
        <f t="shared" ca="1" si="130"/>
        <v>-7859415298.6438284</v>
      </c>
      <c r="J2425" s="444">
        <f t="array" ref="J2425">IFERROR(INDEX('Retirement Calculator'!K:K,MATCH('Lorri 401b'!N2425,'Retirement Calculator'!A:A,0),0),0)</f>
        <v>0</v>
      </c>
      <c r="K2425" s="444">
        <f t="shared" ca="1" si="128"/>
        <v>-32747563.744349286</v>
      </c>
      <c r="L2425" s="444">
        <f t="shared" ca="1" si="129"/>
        <v>-7892162862.3881779</v>
      </c>
      <c r="M2425" s="460">
        <f t="shared" si="131"/>
        <v>0.05</v>
      </c>
      <c r="N2425" s="464">
        <f t="shared" si="132"/>
        <v>124854</v>
      </c>
    </row>
    <row r="2426" spans="7:14" ht="11.25" customHeight="1" x14ac:dyDescent="0.3">
      <c r="G2426" s="459"/>
      <c r="H2426" s="459">
        <v>2419</v>
      </c>
      <c r="I2426" s="444">
        <f t="shared" ca="1" si="130"/>
        <v>-7892162862.3881779</v>
      </c>
      <c r="J2426" s="444">
        <f t="array" ref="J2426">IFERROR(INDEX('Retirement Calculator'!K:K,MATCH('Lorri 401b'!N2426,'Retirement Calculator'!A:A,0),0),0)</f>
        <v>0</v>
      </c>
      <c r="K2426" s="444">
        <f t="shared" ca="1" si="128"/>
        <v>-32884011.926617406</v>
      </c>
      <c r="L2426" s="444">
        <f t="shared" ca="1" si="129"/>
        <v>-7925046874.3147955</v>
      </c>
      <c r="M2426" s="460">
        <f t="shared" si="131"/>
        <v>0.05</v>
      </c>
      <c r="N2426" s="464">
        <f t="shared" si="132"/>
        <v>124884</v>
      </c>
    </row>
    <row r="2427" spans="7:14" ht="11.25" customHeight="1" x14ac:dyDescent="0.3">
      <c r="G2427" s="459"/>
      <c r="H2427" s="459">
        <v>2420</v>
      </c>
      <c r="I2427" s="444">
        <f t="shared" ca="1" si="130"/>
        <v>-7925046874.3147955</v>
      </c>
      <c r="J2427" s="444">
        <f t="array" ref="J2427">IFERROR(INDEX('Retirement Calculator'!K:K,MATCH('Lorri 401b'!N2427,'Retirement Calculator'!A:A,0),0),0)</f>
        <v>0</v>
      </c>
      <c r="K2427" s="444">
        <f t="shared" ca="1" si="128"/>
        <v>-33021028.642978314</v>
      </c>
      <c r="L2427" s="444">
        <f t="shared" ca="1" si="129"/>
        <v>-7958067902.9577742</v>
      </c>
      <c r="M2427" s="460">
        <f t="shared" si="131"/>
        <v>0.05</v>
      </c>
      <c r="N2427" s="464">
        <f t="shared" si="132"/>
        <v>124915</v>
      </c>
    </row>
    <row r="2428" spans="7:14" ht="11.25" customHeight="1" x14ac:dyDescent="0.3">
      <c r="G2428" s="459"/>
      <c r="H2428" s="459">
        <v>2421</v>
      </c>
      <c r="I2428" s="444">
        <f t="shared" ca="1" si="130"/>
        <v>-7958067902.9577742</v>
      </c>
      <c r="J2428" s="444">
        <f t="array" ref="J2428">IFERROR(INDEX('Retirement Calculator'!K:K,MATCH('Lorri 401b'!N2428,'Retirement Calculator'!A:A,0),0),0)</f>
        <v>0</v>
      </c>
      <c r="K2428" s="444">
        <f t="shared" ca="1" si="128"/>
        <v>-33158616.262324061</v>
      </c>
      <c r="L2428" s="444">
        <f t="shared" ca="1" si="129"/>
        <v>-7991226519.2200985</v>
      </c>
      <c r="M2428" s="460">
        <f t="shared" si="131"/>
        <v>0.05</v>
      </c>
      <c r="N2428" s="464">
        <f t="shared" si="132"/>
        <v>124946</v>
      </c>
    </row>
    <row r="2429" spans="7:14" ht="11.25" customHeight="1" x14ac:dyDescent="0.3">
      <c r="G2429" s="459"/>
      <c r="H2429" s="459">
        <v>2422</v>
      </c>
      <c r="I2429" s="444">
        <f t="shared" ca="1" si="130"/>
        <v>-7991226519.2200985</v>
      </c>
      <c r="J2429" s="444">
        <f t="array" ref="J2429">IFERROR(INDEX('Retirement Calculator'!K:K,MATCH('Lorri 401b'!N2429,'Retirement Calculator'!A:A,0),0),0)</f>
        <v>0</v>
      </c>
      <c r="K2429" s="444">
        <f t="shared" ca="1" si="128"/>
        <v>-33296777.163417082</v>
      </c>
      <c r="L2429" s="444">
        <f t="shared" ca="1" si="129"/>
        <v>-8024523296.3835154</v>
      </c>
      <c r="M2429" s="460">
        <f t="shared" si="131"/>
        <v>0.05</v>
      </c>
      <c r="N2429" s="464">
        <f t="shared" si="132"/>
        <v>124974</v>
      </c>
    </row>
    <row r="2430" spans="7:14" ht="11.25" customHeight="1" x14ac:dyDescent="0.3">
      <c r="G2430" s="459"/>
      <c r="H2430" s="459">
        <v>2423</v>
      </c>
      <c r="I2430" s="444">
        <f t="shared" ca="1" si="130"/>
        <v>-8024523296.3835154</v>
      </c>
      <c r="J2430" s="444">
        <f t="array" ref="J2430">IFERROR(INDEX('Retirement Calculator'!K:K,MATCH('Lorri 401b'!N2430,'Retirement Calculator'!A:A,0),0),0)</f>
        <v>0</v>
      </c>
      <c r="K2430" s="444">
        <f t="shared" ca="1" si="128"/>
        <v>-33435513.734931313</v>
      </c>
      <c r="L2430" s="444">
        <f t="shared" ca="1" si="129"/>
        <v>-8057958810.1184464</v>
      </c>
      <c r="M2430" s="460">
        <f t="shared" si="131"/>
        <v>0.05</v>
      </c>
      <c r="N2430" s="464">
        <f t="shared" si="132"/>
        <v>125005</v>
      </c>
    </row>
    <row r="2431" spans="7:14" ht="11.25" customHeight="1" x14ac:dyDescent="0.3">
      <c r="G2431" s="459"/>
      <c r="H2431" s="459">
        <v>2424</v>
      </c>
      <c r="I2431" s="444">
        <f t="shared" ca="1" si="130"/>
        <v>-8057958810.1184464</v>
      </c>
      <c r="J2431" s="444">
        <f t="array" ref="J2431">IFERROR(INDEX('Retirement Calculator'!K:K,MATCH('Lorri 401b'!N2431,'Retirement Calculator'!A:A,0),0),0)</f>
        <v>0</v>
      </c>
      <c r="K2431" s="444">
        <f t="shared" ca="1" si="128"/>
        <v>-33574828.375493526</v>
      </c>
      <c r="L2431" s="444">
        <f t="shared" ca="1" si="129"/>
        <v>-8091533638.4939404</v>
      </c>
      <c r="M2431" s="460">
        <f t="shared" si="131"/>
        <v>0.05</v>
      </c>
      <c r="N2431" s="464">
        <f t="shared" si="132"/>
        <v>125035</v>
      </c>
    </row>
    <row r="2432" spans="7:14" ht="11.25" customHeight="1" x14ac:dyDescent="0.3">
      <c r="G2432" s="459"/>
      <c r="H2432" s="459">
        <v>2425</v>
      </c>
      <c r="I2432" s="444">
        <f t="shared" ca="1" si="130"/>
        <v>-8091533638.4939404</v>
      </c>
      <c r="J2432" s="444">
        <f t="array" ref="J2432">IFERROR(INDEX('Retirement Calculator'!K:K,MATCH('Lorri 401b'!N2432,'Retirement Calculator'!A:A,0),0),0)</f>
        <v>0</v>
      </c>
      <c r="K2432" s="444">
        <f t="shared" ca="1" si="128"/>
        <v>-33714723.493724748</v>
      </c>
      <c r="L2432" s="444">
        <f t="shared" ca="1" si="129"/>
        <v>-8125248361.9876652</v>
      </c>
      <c r="M2432" s="460">
        <f t="shared" si="131"/>
        <v>0.05</v>
      </c>
      <c r="N2432" s="464">
        <f t="shared" si="132"/>
        <v>125066</v>
      </c>
    </row>
    <row r="2433" spans="7:14" ht="11.25" customHeight="1" x14ac:dyDescent="0.3">
      <c r="G2433" s="459"/>
      <c r="H2433" s="459">
        <v>2426</v>
      </c>
      <c r="I2433" s="444">
        <f t="shared" ca="1" si="130"/>
        <v>-8125248361.9876652</v>
      </c>
      <c r="J2433" s="444">
        <f t="array" ref="J2433">IFERROR(INDEX('Retirement Calculator'!K:K,MATCH('Lorri 401b'!N2433,'Retirement Calculator'!A:A,0),0),0)</f>
        <v>0</v>
      </c>
      <c r="K2433" s="444">
        <f t="shared" ca="1" si="128"/>
        <v>-33855201.508281939</v>
      </c>
      <c r="L2433" s="444">
        <f t="shared" ca="1" si="129"/>
        <v>-8159103563.4959469</v>
      </c>
      <c r="M2433" s="460">
        <f t="shared" si="131"/>
        <v>0.05</v>
      </c>
      <c r="N2433" s="464">
        <f t="shared" si="132"/>
        <v>125096</v>
      </c>
    </row>
    <row r="2434" spans="7:14" ht="11.25" customHeight="1" x14ac:dyDescent="0.3">
      <c r="G2434" s="459"/>
      <c r="H2434" s="459">
        <v>2427</v>
      </c>
      <c r="I2434" s="444">
        <f t="shared" ca="1" si="130"/>
        <v>-8159103563.4959469</v>
      </c>
      <c r="J2434" s="444">
        <f t="array" ref="J2434">IFERROR(INDEX('Retirement Calculator'!K:K,MATCH('Lorri 401b'!N2434,'Retirement Calculator'!A:A,0),0),0)</f>
        <v>0</v>
      </c>
      <c r="K2434" s="444">
        <f t="shared" ca="1" si="128"/>
        <v>-33996264.84789978</v>
      </c>
      <c r="L2434" s="444">
        <f t="shared" ca="1" si="129"/>
        <v>-8193099828.3438463</v>
      </c>
      <c r="M2434" s="460">
        <f t="shared" si="131"/>
        <v>0.05</v>
      </c>
      <c r="N2434" s="464">
        <f t="shared" si="132"/>
        <v>125127</v>
      </c>
    </row>
    <row r="2435" spans="7:14" ht="11.25" customHeight="1" x14ac:dyDescent="0.3">
      <c r="G2435" s="459"/>
      <c r="H2435" s="459">
        <v>2428</v>
      </c>
      <c r="I2435" s="444">
        <f t="shared" ca="1" si="130"/>
        <v>-8193099828.3438463</v>
      </c>
      <c r="J2435" s="444">
        <f t="array" ref="J2435">IFERROR(INDEX('Retirement Calculator'!K:K,MATCH('Lorri 401b'!N2435,'Retirement Calculator'!A:A,0),0),0)</f>
        <v>0</v>
      </c>
      <c r="K2435" s="444">
        <f t="shared" ca="1" si="128"/>
        <v>-34137915.95143269</v>
      </c>
      <c r="L2435" s="444">
        <f t="shared" ca="1" si="129"/>
        <v>-8227237744.2952785</v>
      </c>
      <c r="M2435" s="460">
        <f t="shared" si="131"/>
        <v>0.05</v>
      </c>
      <c r="N2435" s="464">
        <f t="shared" si="132"/>
        <v>125158</v>
      </c>
    </row>
    <row r="2436" spans="7:14" ht="11.25" customHeight="1" x14ac:dyDescent="0.3">
      <c r="G2436" s="459"/>
      <c r="H2436" s="459">
        <v>2429</v>
      </c>
      <c r="I2436" s="444">
        <f t="shared" ca="1" si="130"/>
        <v>-8227237744.2952785</v>
      </c>
      <c r="J2436" s="444">
        <f t="array" ref="J2436">IFERROR(INDEX('Retirement Calculator'!K:K,MATCH('Lorri 401b'!N2436,'Retirement Calculator'!A:A,0),0),0)</f>
        <v>0</v>
      </c>
      <c r="K2436" s="444">
        <f t="shared" ca="1" si="128"/>
        <v>-34280157.267896995</v>
      </c>
      <c r="L2436" s="444">
        <f t="shared" ca="1" si="129"/>
        <v>-8261517901.5631752</v>
      </c>
      <c r="M2436" s="460">
        <f t="shared" si="131"/>
        <v>0.05</v>
      </c>
      <c r="N2436" s="464">
        <f t="shared" si="132"/>
        <v>125188</v>
      </c>
    </row>
    <row r="2437" spans="7:14" ht="11.25" customHeight="1" x14ac:dyDescent="0.3">
      <c r="G2437" s="459"/>
      <c r="H2437" s="459">
        <v>2430</v>
      </c>
      <c r="I2437" s="444">
        <f t="shared" ca="1" si="130"/>
        <v>-8261517901.5631752</v>
      </c>
      <c r="J2437" s="444">
        <f t="array" ref="J2437">IFERROR(INDEX('Retirement Calculator'!K:K,MATCH('Lorri 401b'!N2437,'Retirement Calculator'!A:A,0),0),0)</f>
        <v>0</v>
      </c>
      <c r="K2437" s="444">
        <f t="shared" ca="1" si="128"/>
        <v>-34422991.256513231</v>
      </c>
      <c r="L2437" s="444">
        <f t="shared" ca="1" si="129"/>
        <v>-8295940892.8196888</v>
      </c>
      <c r="M2437" s="460">
        <f t="shared" si="131"/>
        <v>0.05</v>
      </c>
      <c r="N2437" s="464">
        <f t="shared" si="132"/>
        <v>125219</v>
      </c>
    </row>
    <row r="2438" spans="7:14" ht="11.25" customHeight="1" x14ac:dyDescent="0.3">
      <c r="G2438" s="459"/>
      <c r="H2438" s="459">
        <v>2431</v>
      </c>
      <c r="I2438" s="444">
        <f t="shared" ca="1" si="130"/>
        <v>-8295940892.8196888</v>
      </c>
      <c r="J2438" s="444">
        <f t="array" ref="J2438">IFERROR(INDEX('Retirement Calculator'!K:K,MATCH('Lorri 401b'!N2438,'Retirement Calculator'!A:A,0),0),0)</f>
        <v>0</v>
      </c>
      <c r="K2438" s="444">
        <f t="shared" ca="1" si="128"/>
        <v>-34566420.386748709</v>
      </c>
      <c r="L2438" s="444">
        <f t="shared" ca="1" si="129"/>
        <v>-8330507313.2064371</v>
      </c>
      <c r="M2438" s="460">
        <f t="shared" si="131"/>
        <v>0.05</v>
      </c>
      <c r="N2438" s="464">
        <f t="shared" si="132"/>
        <v>125249</v>
      </c>
    </row>
    <row r="2439" spans="7:14" ht="11.25" customHeight="1" x14ac:dyDescent="0.3">
      <c r="G2439" s="459"/>
      <c r="H2439" s="459">
        <v>2432</v>
      </c>
      <c r="I2439" s="444">
        <f t="shared" ca="1" si="130"/>
        <v>-8330507313.2064371</v>
      </c>
      <c r="J2439" s="444">
        <f t="array" ref="J2439">IFERROR(INDEX('Retirement Calculator'!K:K,MATCH('Lorri 401b'!N2439,'Retirement Calculator'!A:A,0),0),0)</f>
        <v>0</v>
      </c>
      <c r="K2439" s="444">
        <f t="shared" ca="1" si="128"/>
        <v>-34710447.138360158</v>
      </c>
      <c r="L2439" s="444">
        <f t="shared" ca="1" si="129"/>
        <v>-8365217760.3447971</v>
      </c>
      <c r="M2439" s="460">
        <f t="shared" si="131"/>
        <v>0.05</v>
      </c>
      <c r="N2439" s="464">
        <f t="shared" si="132"/>
        <v>125280</v>
      </c>
    </row>
    <row r="2440" spans="7:14" ht="11.25" customHeight="1" x14ac:dyDescent="0.3">
      <c r="G2440" s="459"/>
      <c r="H2440" s="459">
        <v>2433</v>
      </c>
      <c r="I2440" s="444">
        <f t="shared" ca="1" si="130"/>
        <v>-8365217760.3447971</v>
      </c>
      <c r="J2440" s="444">
        <f t="array" ref="J2440">IFERROR(INDEX('Retirement Calculator'!K:K,MATCH('Lorri 401b'!N2440,'Retirement Calculator'!A:A,0),0),0)</f>
        <v>0</v>
      </c>
      <c r="K2440" s="444">
        <f t="shared" ca="1" si="128"/>
        <v>-34855074.001436651</v>
      </c>
      <c r="L2440" s="444">
        <f t="shared" ca="1" si="129"/>
        <v>-8400072834.3462334</v>
      </c>
      <c r="M2440" s="460">
        <f t="shared" si="131"/>
        <v>0.05</v>
      </c>
      <c r="N2440" s="464">
        <f t="shared" si="132"/>
        <v>125311</v>
      </c>
    </row>
    <row r="2441" spans="7:14" ht="11.25" customHeight="1" x14ac:dyDescent="0.3">
      <c r="G2441" s="459"/>
      <c r="H2441" s="459">
        <v>2434</v>
      </c>
      <c r="I2441" s="444">
        <f t="shared" ca="1" si="130"/>
        <v>-8400072834.3462334</v>
      </c>
      <c r="J2441" s="444">
        <f t="array" ref="J2441">IFERROR(INDEX('Retirement Calculator'!K:K,MATCH('Lorri 401b'!N2441,'Retirement Calculator'!A:A,0),0),0)</f>
        <v>0</v>
      </c>
      <c r="K2441" s="444">
        <f t="shared" ca="1" si="128"/>
        <v>-35000303.476442643</v>
      </c>
      <c r="L2441" s="444">
        <f t="shared" ca="1" si="129"/>
        <v>-8435073137.8226757</v>
      </c>
      <c r="M2441" s="460">
        <f t="shared" si="131"/>
        <v>0.05</v>
      </c>
      <c r="N2441" s="464">
        <f t="shared" si="132"/>
        <v>125339</v>
      </c>
    </row>
    <row r="2442" spans="7:14" ht="11.25" customHeight="1" x14ac:dyDescent="0.3">
      <c r="G2442" s="459"/>
      <c r="H2442" s="459">
        <v>2435</v>
      </c>
      <c r="I2442" s="444">
        <f t="shared" ca="1" si="130"/>
        <v>-8435073137.8226757</v>
      </c>
      <c r="J2442" s="444">
        <f t="array" ref="J2442">IFERROR(INDEX('Retirement Calculator'!K:K,MATCH('Lorri 401b'!N2442,'Retirement Calculator'!A:A,0),0),0)</f>
        <v>0</v>
      </c>
      <c r="K2442" s="444">
        <f t="shared" ca="1" si="128"/>
        <v>-35146138.074261151</v>
      </c>
      <c r="L2442" s="444">
        <f t="shared" ca="1" si="129"/>
        <v>-8470219275.8969364</v>
      </c>
      <c r="M2442" s="460">
        <f t="shared" si="131"/>
        <v>0.05</v>
      </c>
      <c r="N2442" s="464">
        <f t="shared" si="132"/>
        <v>125370</v>
      </c>
    </row>
    <row r="2443" spans="7:14" ht="11.25" customHeight="1" x14ac:dyDescent="0.3">
      <c r="G2443" s="459"/>
      <c r="H2443" s="459">
        <v>2436</v>
      </c>
      <c r="I2443" s="444">
        <f t="shared" ca="1" si="130"/>
        <v>-8470219275.8969364</v>
      </c>
      <c r="J2443" s="444">
        <f t="array" ref="J2443">IFERROR(INDEX('Retirement Calculator'!K:K,MATCH('Lorri 401b'!N2443,'Retirement Calculator'!A:A,0),0),0)</f>
        <v>0</v>
      </c>
      <c r="K2443" s="444">
        <f t="shared" ca="1" si="128"/>
        <v>-35292580.316237234</v>
      </c>
      <c r="L2443" s="444">
        <f t="shared" ca="1" si="129"/>
        <v>-8505511856.2131739</v>
      </c>
      <c r="M2443" s="460">
        <f t="shared" si="131"/>
        <v>0.05</v>
      </c>
      <c r="N2443" s="464">
        <f t="shared" si="132"/>
        <v>125400</v>
      </c>
    </row>
    <row r="2444" spans="7:14" ht="11.25" customHeight="1" x14ac:dyDescent="0.3">
      <c r="G2444" s="459"/>
      <c r="H2444" s="459">
        <v>2437</v>
      </c>
      <c r="I2444" s="444">
        <f t="shared" ca="1" si="130"/>
        <v>-8505511856.2131739</v>
      </c>
      <c r="J2444" s="444">
        <f t="array" ref="J2444">IFERROR(INDEX('Retirement Calculator'!K:K,MATCH('Lorri 401b'!N2444,'Retirement Calculator'!A:A,0),0),0)</f>
        <v>0</v>
      </c>
      <c r="K2444" s="444">
        <f t="shared" ca="1" si="128"/>
        <v>-35439632.734221563</v>
      </c>
      <c r="L2444" s="444">
        <f t="shared" ca="1" si="129"/>
        <v>-8540951488.9473953</v>
      </c>
      <c r="M2444" s="460">
        <f t="shared" si="131"/>
        <v>0.05</v>
      </c>
      <c r="N2444" s="464">
        <f t="shared" si="132"/>
        <v>125431</v>
      </c>
    </row>
    <row r="2445" spans="7:14" ht="11.25" customHeight="1" x14ac:dyDescent="0.3">
      <c r="G2445" s="459"/>
      <c r="H2445" s="459">
        <v>2438</v>
      </c>
      <c r="I2445" s="444">
        <f t="shared" ca="1" si="130"/>
        <v>-8540951488.9473953</v>
      </c>
      <c r="J2445" s="444">
        <f t="array" ref="J2445">IFERROR(INDEX('Retirement Calculator'!K:K,MATCH('Lorri 401b'!N2445,'Retirement Calculator'!A:A,0),0),0)</f>
        <v>0</v>
      </c>
      <c r="K2445" s="444">
        <f t="shared" ca="1" si="128"/>
        <v>-35587297.870614149</v>
      </c>
      <c r="L2445" s="444">
        <f t="shared" ca="1" si="129"/>
        <v>-8576538786.8180094</v>
      </c>
      <c r="M2445" s="460">
        <f t="shared" si="131"/>
        <v>0.05</v>
      </c>
      <c r="N2445" s="464">
        <f t="shared" si="132"/>
        <v>125461</v>
      </c>
    </row>
    <row r="2446" spans="7:14" ht="11.25" customHeight="1" x14ac:dyDescent="0.3">
      <c r="G2446" s="459"/>
      <c r="H2446" s="459">
        <v>2439</v>
      </c>
      <c r="I2446" s="444">
        <f t="shared" ca="1" si="130"/>
        <v>-8576538786.8180094</v>
      </c>
      <c r="J2446" s="444">
        <f t="array" ref="J2446">IFERROR(INDEX('Retirement Calculator'!K:K,MATCH('Lorri 401b'!N2446,'Retirement Calculator'!A:A,0),0),0)</f>
        <v>0</v>
      </c>
      <c r="K2446" s="444">
        <f t="shared" ca="1" si="128"/>
        <v>-35735578.278408378</v>
      </c>
      <c r="L2446" s="444">
        <f t="shared" ca="1" si="129"/>
        <v>-8612274365.0964184</v>
      </c>
      <c r="M2446" s="460">
        <f t="shared" si="131"/>
        <v>0.05</v>
      </c>
      <c r="N2446" s="464">
        <f t="shared" si="132"/>
        <v>125492</v>
      </c>
    </row>
    <row r="2447" spans="7:14" ht="11.25" customHeight="1" x14ac:dyDescent="0.3">
      <c r="G2447" s="459"/>
      <c r="H2447" s="459">
        <v>2440</v>
      </c>
      <c r="I2447" s="444">
        <f t="shared" ca="1" si="130"/>
        <v>-8612274365.0964184</v>
      </c>
      <c r="J2447" s="444">
        <f t="array" ref="J2447">IFERROR(INDEX('Retirement Calculator'!K:K,MATCH('Lorri 401b'!N2447,'Retirement Calculator'!A:A,0),0),0)</f>
        <v>0</v>
      </c>
      <c r="K2447" s="444">
        <f t="shared" ca="1" si="128"/>
        <v>-35884476.521235079</v>
      </c>
      <c r="L2447" s="444">
        <f t="shared" ca="1" si="129"/>
        <v>-8648158841.6176529</v>
      </c>
      <c r="M2447" s="460">
        <f t="shared" si="131"/>
        <v>0.05</v>
      </c>
      <c r="N2447" s="464">
        <f t="shared" si="132"/>
        <v>125523</v>
      </c>
    </row>
    <row r="2448" spans="7:14" ht="11.25" customHeight="1" x14ac:dyDescent="0.3">
      <c r="G2448" s="459"/>
      <c r="H2448" s="459">
        <v>2441</v>
      </c>
      <c r="I2448" s="444">
        <f t="shared" ca="1" si="130"/>
        <v>-8648158841.6176529</v>
      </c>
      <c r="J2448" s="444">
        <f t="array" ref="J2448">IFERROR(INDEX('Retirement Calculator'!K:K,MATCH('Lorri 401b'!N2448,'Retirement Calculator'!A:A,0),0),0)</f>
        <v>0</v>
      </c>
      <c r="K2448" s="444">
        <f t="shared" ca="1" si="128"/>
        <v>-36033995.173406884</v>
      </c>
      <c r="L2448" s="444">
        <f t="shared" ca="1" si="129"/>
        <v>-8684192836.7910595</v>
      </c>
      <c r="M2448" s="460">
        <f t="shared" si="131"/>
        <v>0.05</v>
      </c>
      <c r="N2448" s="464">
        <f t="shared" si="132"/>
        <v>125553</v>
      </c>
    </row>
    <row r="2449" spans="7:14" ht="11.25" customHeight="1" x14ac:dyDescent="0.3">
      <c r="G2449" s="459"/>
      <c r="H2449" s="459">
        <v>2442</v>
      </c>
      <c r="I2449" s="444">
        <f t="shared" ca="1" si="130"/>
        <v>-8684192836.7910595</v>
      </c>
      <c r="J2449" s="444">
        <f t="array" ref="J2449">IFERROR(INDEX('Retirement Calculator'!K:K,MATCH('Lorri 401b'!N2449,'Retirement Calculator'!A:A,0),0),0)</f>
        <v>0</v>
      </c>
      <c r="K2449" s="444">
        <f t="shared" ca="1" si="128"/>
        <v>-36184136.819962747</v>
      </c>
      <c r="L2449" s="444">
        <f t="shared" ca="1" si="129"/>
        <v>-8720376973.6110229</v>
      </c>
      <c r="M2449" s="460">
        <f t="shared" si="131"/>
        <v>0.05</v>
      </c>
      <c r="N2449" s="464">
        <f t="shared" si="132"/>
        <v>125584</v>
      </c>
    </row>
    <row r="2450" spans="7:14" ht="11.25" customHeight="1" x14ac:dyDescent="0.3">
      <c r="G2450" s="459"/>
      <c r="H2450" s="459">
        <v>2443</v>
      </c>
      <c r="I2450" s="444">
        <f t="shared" ca="1" si="130"/>
        <v>-8720376973.6110229</v>
      </c>
      <c r="J2450" s="444">
        <f t="array" ref="J2450">IFERROR(INDEX('Retirement Calculator'!K:K,MATCH('Lorri 401b'!N2450,'Retirement Calculator'!A:A,0),0),0)</f>
        <v>0</v>
      </c>
      <c r="K2450" s="444">
        <f t="shared" ca="1" si="128"/>
        <v>-36334904.056712598</v>
      </c>
      <c r="L2450" s="444">
        <f t="shared" ca="1" si="129"/>
        <v>-8756711877.6677361</v>
      </c>
      <c r="M2450" s="460">
        <f t="shared" si="131"/>
        <v>0.05</v>
      </c>
      <c r="N2450" s="464">
        <f t="shared" si="132"/>
        <v>125614</v>
      </c>
    </row>
    <row r="2451" spans="7:14" ht="11.25" customHeight="1" x14ac:dyDescent="0.3">
      <c r="G2451" s="459"/>
      <c r="H2451" s="459">
        <v>2444</v>
      </c>
      <c r="I2451" s="444">
        <f t="shared" ca="1" si="130"/>
        <v>-8756711877.6677361</v>
      </c>
      <c r="J2451" s="444">
        <f t="array" ref="J2451">IFERROR(INDEX('Retirement Calculator'!K:K,MATCH('Lorri 401b'!N2451,'Retirement Calculator'!A:A,0),0),0)</f>
        <v>0</v>
      </c>
      <c r="K2451" s="444">
        <f t="shared" ca="1" si="128"/>
        <v>-36486299.49028223</v>
      </c>
      <c r="L2451" s="444">
        <f t="shared" ca="1" si="129"/>
        <v>-8793198177.1580181</v>
      </c>
      <c r="M2451" s="460">
        <f t="shared" si="131"/>
        <v>0.05</v>
      </c>
      <c r="N2451" s="464">
        <f t="shared" si="132"/>
        <v>125645</v>
      </c>
    </row>
    <row r="2452" spans="7:14" ht="11.25" customHeight="1" x14ac:dyDescent="0.3">
      <c r="G2452" s="459"/>
      <c r="H2452" s="459">
        <v>2445</v>
      </c>
      <c r="I2452" s="444">
        <f t="shared" ca="1" si="130"/>
        <v>-8793198177.1580181</v>
      </c>
      <c r="J2452" s="444">
        <f t="array" ref="J2452">IFERROR(INDEX('Retirement Calculator'!K:K,MATCH('Lorri 401b'!N2452,'Retirement Calculator'!A:A,0),0),0)</f>
        <v>0</v>
      </c>
      <c r="K2452" s="444">
        <f t="shared" ca="1" si="128"/>
        <v>-36638325.738158405</v>
      </c>
      <c r="L2452" s="444">
        <f t="shared" ca="1" si="129"/>
        <v>-8829836502.8961773</v>
      </c>
      <c r="M2452" s="460">
        <f t="shared" si="131"/>
        <v>0.05</v>
      </c>
      <c r="N2452" s="464">
        <f t="shared" si="132"/>
        <v>125676</v>
      </c>
    </row>
    <row r="2453" spans="7:14" ht="11.25" customHeight="1" x14ac:dyDescent="0.3">
      <c r="G2453" s="459"/>
      <c r="H2453" s="459">
        <v>2446</v>
      </c>
      <c r="I2453" s="444">
        <f t="shared" ca="1" si="130"/>
        <v>-8829836502.8961773</v>
      </c>
      <c r="J2453" s="444">
        <f t="array" ref="J2453">IFERROR(INDEX('Retirement Calculator'!K:K,MATCH('Lorri 401b'!N2453,'Retirement Calculator'!A:A,0),0),0)</f>
        <v>0</v>
      </c>
      <c r="K2453" s="444">
        <f t="shared" ca="1" si="128"/>
        <v>-36790985.428734072</v>
      </c>
      <c r="L2453" s="444">
        <f t="shared" ca="1" si="129"/>
        <v>-8866627488.3249111</v>
      </c>
      <c r="M2453" s="460">
        <f t="shared" si="131"/>
        <v>0.05</v>
      </c>
      <c r="N2453" s="464">
        <f t="shared" si="132"/>
        <v>125705</v>
      </c>
    </row>
    <row r="2454" spans="7:14" ht="11.25" customHeight="1" x14ac:dyDescent="0.3">
      <c r="G2454" s="459"/>
      <c r="H2454" s="459">
        <v>2447</v>
      </c>
      <c r="I2454" s="444">
        <f t="shared" ca="1" si="130"/>
        <v>-8866627488.3249111</v>
      </c>
      <c r="J2454" s="444">
        <f t="array" ref="J2454">IFERROR(INDEX('Retirement Calculator'!K:K,MATCH('Lorri 401b'!N2454,'Retirement Calculator'!A:A,0),0),0)</f>
        <v>0</v>
      </c>
      <c r="K2454" s="444">
        <f t="shared" ca="1" si="128"/>
        <v>-36944281.201353796</v>
      </c>
      <c r="L2454" s="444">
        <f t="shared" ca="1" si="129"/>
        <v>-8903571769.5262642</v>
      </c>
      <c r="M2454" s="460">
        <f t="shared" si="131"/>
        <v>0.05</v>
      </c>
      <c r="N2454" s="464">
        <f t="shared" si="132"/>
        <v>125736</v>
      </c>
    </row>
    <row r="2455" spans="7:14" ht="11.25" customHeight="1" x14ac:dyDescent="0.3">
      <c r="G2455" s="459"/>
      <c r="H2455" s="459">
        <v>2448</v>
      </c>
      <c r="I2455" s="444">
        <f t="shared" ca="1" si="130"/>
        <v>-8903571769.5262642</v>
      </c>
      <c r="J2455" s="444">
        <f t="array" ref="J2455">IFERROR(INDEX('Retirement Calculator'!K:K,MATCH('Lorri 401b'!N2455,'Retirement Calculator'!A:A,0),0),0)</f>
        <v>0</v>
      </c>
      <c r="K2455" s="444">
        <f t="shared" ca="1" si="128"/>
        <v>-37098215.706359431</v>
      </c>
      <c r="L2455" s="444">
        <f t="shared" ca="1" si="129"/>
        <v>-8940669985.2326241</v>
      </c>
      <c r="M2455" s="460">
        <f t="shared" si="131"/>
        <v>0.05</v>
      </c>
      <c r="N2455" s="464">
        <f t="shared" si="132"/>
        <v>125766</v>
      </c>
    </row>
    <row r="2456" spans="7:14" ht="11.25" customHeight="1" x14ac:dyDescent="0.3">
      <c r="G2456" s="459"/>
      <c r="H2456" s="459">
        <v>2449</v>
      </c>
      <c r="I2456" s="444">
        <f t="shared" ca="1" si="130"/>
        <v>-8940669985.2326241</v>
      </c>
      <c r="J2456" s="444">
        <f t="array" ref="J2456">IFERROR(INDEX('Retirement Calculator'!K:K,MATCH('Lorri 401b'!N2456,'Retirement Calculator'!A:A,0),0),0)</f>
        <v>0</v>
      </c>
      <c r="K2456" s="444">
        <f t="shared" ca="1" si="128"/>
        <v>-37252791.605135933</v>
      </c>
      <c r="L2456" s="444">
        <f t="shared" ca="1" si="129"/>
        <v>-8977922776.8377609</v>
      </c>
      <c r="M2456" s="460">
        <f t="shared" si="131"/>
        <v>0.05</v>
      </c>
      <c r="N2456" s="464">
        <f t="shared" si="132"/>
        <v>125797</v>
      </c>
    </row>
    <row r="2457" spans="7:14" ht="11.25" customHeight="1" x14ac:dyDescent="0.3">
      <c r="G2457" s="459"/>
      <c r="H2457" s="459">
        <v>2450</v>
      </c>
      <c r="I2457" s="444">
        <f t="shared" ca="1" si="130"/>
        <v>-8977922776.8377609</v>
      </c>
      <c r="J2457" s="444">
        <f t="array" ref="J2457">IFERROR(INDEX('Retirement Calculator'!K:K,MATCH('Lorri 401b'!N2457,'Retirement Calculator'!A:A,0),0),0)</f>
        <v>0</v>
      </c>
      <c r="K2457" s="444">
        <f t="shared" ca="1" si="128"/>
        <v>-37408011.570157334</v>
      </c>
      <c r="L2457" s="444">
        <f t="shared" ca="1" si="129"/>
        <v>-9015330788.4079189</v>
      </c>
      <c r="M2457" s="460">
        <f t="shared" si="131"/>
        <v>0.05</v>
      </c>
      <c r="N2457" s="464">
        <f t="shared" si="132"/>
        <v>125827</v>
      </c>
    </row>
    <row r="2458" spans="7:14" ht="11.25" customHeight="1" x14ac:dyDescent="0.3">
      <c r="G2458" s="459"/>
      <c r="H2458" s="459">
        <v>2451</v>
      </c>
      <c r="I2458" s="444">
        <f t="shared" ca="1" si="130"/>
        <v>-9015330788.4079189</v>
      </c>
      <c r="J2458" s="444">
        <f t="array" ref="J2458">IFERROR(INDEX('Retirement Calculator'!K:K,MATCH('Lorri 401b'!N2458,'Retirement Calculator'!A:A,0),0),0)</f>
        <v>0</v>
      </c>
      <c r="K2458" s="444">
        <f t="shared" ca="1" si="128"/>
        <v>-37563878.285032995</v>
      </c>
      <c r="L2458" s="444">
        <f t="shared" ca="1" si="129"/>
        <v>-9052894666.6929512</v>
      </c>
      <c r="M2458" s="460">
        <f t="shared" si="131"/>
        <v>0.05</v>
      </c>
      <c r="N2458" s="464">
        <f t="shared" si="132"/>
        <v>125858</v>
      </c>
    </row>
    <row r="2459" spans="7:14" ht="11.25" customHeight="1" x14ac:dyDescent="0.3">
      <c r="G2459" s="459"/>
      <c r="H2459" s="459">
        <v>2452</v>
      </c>
      <c r="I2459" s="444">
        <f t="shared" ca="1" si="130"/>
        <v>-9052894666.6929512</v>
      </c>
      <c r="J2459" s="444">
        <f t="array" ref="J2459">IFERROR(INDEX('Retirement Calculator'!K:K,MATCH('Lorri 401b'!N2459,'Retirement Calculator'!A:A,0),0),0)</f>
        <v>0</v>
      </c>
      <c r="K2459" s="444">
        <f t="shared" ca="1" si="128"/>
        <v>-37720394.444553964</v>
      </c>
      <c r="L2459" s="444">
        <f t="shared" ca="1" si="129"/>
        <v>-9090615061.1375046</v>
      </c>
      <c r="M2459" s="460">
        <f t="shared" si="131"/>
        <v>0.05</v>
      </c>
      <c r="N2459" s="464">
        <f t="shared" si="132"/>
        <v>125889</v>
      </c>
    </row>
    <row r="2460" spans="7:14" ht="11.25" customHeight="1" x14ac:dyDescent="0.3">
      <c r="G2460" s="459"/>
      <c r="H2460" s="459">
        <v>2453</v>
      </c>
      <c r="I2460" s="444">
        <f t="shared" ca="1" si="130"/>
        <v>-9090615061.1375046</v>
      </c>
      <c r="J2460" s="444">
        <f t="array" ref="J2460">IFERROR(INDEX('Retirement Calculator'!K:K,MATCH('Lorri 401b'!N2460,'Retirement Calculator'!A:A,0),0),0)</f>
        <v>0</v>
      </c>
      <c r="K2460" s="444">
        <f t="shared" ca="1" si="128"/>
        <v>-37877562.754739605</v>
      </c>
      <c r="L2460" s="444">
        <f t="shared" ca="1" si="129"/>
        <v>-9128492623.8922443</v>
      </c>
      <c r="M2460" s="460">
        <f t="shared" si="131"/>
        <v>0.05</v>
      </c>
      <c r="N2460" s="464">
        <f t="shared" si="132"/>
        <v>125919</v>
      </c>
    </row>
    <row r="2461" spans="7:14" ht="11.25" customHeight="1" x14ac:dyDescent="0.3">
      <c r="G2461" s="459"/>
      <c r="H2461" s="459">
        <v>2454</v>
      </c>
      <c r="I2461" s="444">
        <f t="shared" ca="1" si="130"/>
        <v>-9128492623.8922443</v>
      </c>
      <c r="J2461" s="444">
        <f t="array" ref="J2461">IFERROR(INDEX('Retirement Calculator'!K:K,MATCH('Lorri 401b'!N2461,'Retirement Calculator'!A:A,0),0),0)</f>
        <v>0</v>
      </c>
      <c r="K2461" s="444">
        <f t="shared" ca="1" si="128"/>
        <v>-38035385.93288435</v>
      </c>
      <c r="L2461" s="444">
        <f t="shared" ca="1" si="129"/>
        <v>-9166528009.8251286</v>
      </c>
      <c r="M2461" s="460">
        <f t="shared" si="131"/>
        <v>0.05</v>
      </c>
      <c r="N2461" s="464">
        <f t="shared" si="132"/>
        <v>125950</v>
      </c>
    </row>
    <row r="2462" spans="7:14" ht="11.25" customHeight="1" x14ac:dyDescent="0.3">
      <c r="G2462" s="459"/>
      <c r="H2462" s="459">
        <v>2455</v>
      </c>
      <c r="I2462" s="444">
        <f t="shared" ca="1" si="130"/>
        <v>-9166528009.8251286</v>
      </c>
      <c r="J2462" s="444">
        <f t="array" ref="J2462">IFERROR(INDEX('Retirement Calculator'!K:K,MATCH('Lorri 401b'!N2462,'Retirement Calculator'!A:A,0),0),0)</f>
        <v>0</v>
      </c>
      <c r="K2462" s="444">
        <f t="shared" ca="1" si="128"/>
        <v>-38193866.707604699</v>
      </c>
      <c r="L2462" s="444">
        <f t="shared" ca="1" si="129"/>
        <v>-9204721876.5327339</v>
      </c>
      <c r="M2462" s="460">
        <f t="shared" si="131"/>
        <v>0.05</v>
      </c>
      <c r="N2462" s="464">
        <f t="shared" si="132"/>
        <v>125980</v>
      </c>
    </row>
    <row r="2463" spans="7:14" ht="11.25" customHeight="1" x14ac:dyDescent="0.3">
      <c r="G2463" s="459"/>
      <c r="H2463" s="459">
        <v>2456</v>
      </c>
      <c r="I2463" s="444">
        <f t="shared" ca="1" si="130"/>
        <v>-9204721876.5327339</v>
      </c>
      <c r="J2463" s="444">
        <f t="array" ref="J2463">IFERROR(INDEX('Retirement Calculator'!K:K,MATCH('Lorri 401b'!N2463,'Retirement Calculator'!A:A,0),0),0)</f>
        <v>0</v>
      </c>
      <c r="K2463" s="444">
        <f t="shared" ca="1" si="128"/>
        <v>-38353007.818886392</v>
      </c>
      <c r="L2463" s="444">
        <f t="shared" ca="1" si="129"/>
        <v>-9243074884.3516197</v>
      </c>
      <c r="M2463" s="460">
        <f t="shared" si="131"/>
        <v>0.05</v>
      </c>
      <c r="N2463" s="464">
        <f t="shared" si="132"/>
        <v>126011</v>
      </c>
    </row>
    <row r="2464" spans="7:14" ht="11.25" customHeight="1" x14ac:dyDescent="0.3">
      <c r="G2464" s="459"/>
      <c r="H2464" s="459">
        <v>2457</v>
      </c>
      <c r="I2464" s="444">
        <f t="shared" ca="1" si="130"/>
        <v>-9243074884.3516197</v>
      </c>
      <c r="J2464" s="444">
        <f t="array" ref="J2464">IFERROR(INDEX('Retirement Calculator'!K:K,MATCH('Lorri 401b'!N2464,'Retirement Calculator'!A:A,0),0),0)</f>
        <v>0</v>
      </c>
      <c r="K2464" s="444">
        <f t="shared" ca="1" si="128"/>
        <v>-38512812.018131748</v>
      </c>
      <c r="L2464" s="444">
        <f t="shared" ca="1" si="129"/>
        <v>-9281587696.369751</v>
      </c>
      <c r="M2464" s="460">
        <f t="shared" si="131"/>
        <v>0.05</v>
      </c>
      <c r="N2464" s="464">
        <f t="shared" si="132"/>
        <v>126042</v>
      </c>
    </row>
    <row r="2465" spans="7:14" ht="11.25" customHeight="1" x14ac:dyDescent="0.3">
      <c r="G2465" s="459"/>
      <c r="H2465" s="459">
        <v>2458</v>
      </c>
      <c r="I2465" s="444">
        <f t="shared" ca="1" si="130"/>
        <v>-9281587696.369751</v>
      </c>
      <c r="J2465" s="444">
        <f t="array" ref="J2465">IFERROR(INDEX('Retirement Calculator'!K:K,MATCH('Lorri 401b'!N2465,'Retirement Calculator'!A:A,0),0),0)</f>
        <v>0</v>
      </c>
      <c r="K2465" s="444">
        <f t="shared" ca="1" si="128"/>
        <v>-38673282.068207294</v>
      </c>
      <c r="L2465" s="444">
        <f t="shared" ca="1" si="129"/>
        <v>-9320260978.4379578</v>
      </c>
      <c r="M2465" s="460">
        <f t="shared" si="131"/>
        <v>0.05</v>
      </c>
      <c r="N2465" s="464">
        <f t="shared" si="132"/>
        <v>126070</v>
      </c>
    </row>
    <row r="2466" spans="7:14" ht="11.25" customHeight="1" x14ac:dyDescent="0.3">
      <c r="G2466" s="459"/>
      <c r="H2466" s="459">
        <v>2459</v>
      </c>
      <c r="I2466" s="444">
        <f t="shared" ca="1" si="130"/>
        <v>-9320260978.4379578</v>
      </c>
      <c r="J2466" s="444">
        <f t="array" ref="J2466">IFERROR(INDEX('Retirement Calculator'!K:K,MATCH('Lorri 401b'!N2466,'Retirement Calculator'!A:A,0),0),0)</f>
        <v>0</v>
      </c>
      <c r="K2466" s="444">
        <f t="shared" ca="1" si="128"/>
        <v>-38834420.743491493</v>
      </c>
      <c r="L2466" s="444">
        <f t="shared" ca="1" si="129"/>
        <v>-9359095399.1814499</v>
      </c>
      <c r="M2466" s="460">
        <f t="shared" si="131"/>
        <v>0.05</v>
      </c>
      <c r="N2466" s="464">
        <f t="shared" si="132"/>
        <v>126101</v>
      </c>
    </row>
    <row r="2467" spans="7:14" ht="11.25" customHeight="1" x14ac:dyDescent="0.3">
      <c r="G2467" s="459"/>
      <c r="H2467" s="459">
        <v>2460</v>
      </c>
      <c r="I2467" s="444">
        <f t="shared" ca="1" si="130"/>
        <v>-9359095399.1814499</v>
      </c>
      <c r="J2467" s="444">
        <f t="array" ref="J2467">IFERROR(INDEX('Retirement Calculator'!K:K,MATCH('Lorri 401b'!N2467,'Retirement Calculator'!A:A,0),0),0)</f>
        <v>0</v>
      </c>
      <c r="K2467" s="444">
        <f t="shared" ca="1" si="128"/>
        <v>-38996230.829922706</v>
      </c>
      <c r="L2467" s="444">
        <f t="shared" ca="1" si="129"/>
        <v>-9398091630.0113735</v>
      </c>
      <c r="M2467" s="460">
        <f t="shared" si="131"/>
        <v>0.05</v>
      </c>
      <c r="N2467" s="464">
        <f t="shared" si="132"/>
        <v>126131</v>
      </c>
    </row>
    <row r="2468" spans="7:14" ht="11.25" customHeight="1" x14ac:dyDescent="0.3">
      <c r="G2468" s="459"/>
      <c r="H2468" s="459">
        <v>2461</v>
      </c>
      <c r="I2468" s="444">
        <f t="shared" ca="1" si="130"/>
        <v>-9398091630.0113735</v>
      </c>
      <c r="J2468" s="444">
        <f t="array" ref="J2468">IFERROR(INDEX('Retirement Calculator'!K:K,MATCH('Lorri 401b'!N2468,'Retirement Calculator'!A:A,0),0),0)</f>
        <v>0</v>
      </c>
      <c r="K2468" s="444">
        <f t="shared" ca="1" si="128"/>
        <v>-39158715.125047386</v>
      </c>
      <c r="L2468" s="444">
        <f t="shared" ca="1" si="129"/>
        <v>-9437250345.1364212</v>
      </c>
      <c r="M2468" s="460">
        <f t="shared" si="131"/>
        <v>0.05</v>
      </c>
      <c r="N2468" s="464">
        <f t="shared" si="132"/>
        <v>126162</v>
      </c>
    </row>
    <row r="2469" spans="7:14" ht="11.25" customHeight="1" x14ac:dyDescent="0.3">
      <c r="G2469" s="459"/>
      <c r="H2469" s="459">
        <v>2462</v>
      </c>
      <c r="I2469" s="444">
        <f t="shared" ca="1" si="130"/>
        <v>-9437250345.1364212</v>
      </c>
      <c r="J2469" s="444">
        <f t="array" ref="J2469">IFERROR(INDEX('Retirement Calculator'!K:K,MATCH('Lorri 401b'!N2469,'Retirement Calculator'!A:A,0),0),0)</f>
        <v>0</v>
      </c>
      <c r="K2469" s="444">
        <f t="shared" ca="1" si="128"/>
        <v>-39321876.43806842</v>
      </c>
      <c r="L2469" s="444">
        <f t="shared" ca="1" si="129"/>
        <v>-9476572221.5744896</v>
      </c>
      <c r="M2469" s="460">
        <f t="shared" si="131"/>
        <v>0.05</v>
      </c>
      <c r="N2469" s="464">
        <f t="shared" si="132"/>
        <v>126192</v>
      </c>
    </row>
    <row r="2470" spans="7:14" ht="11.25" customHeight="1" x14ac:dyDescent="0.3">
      <c r="G2470" s="459"/>
      <c r="H2470" s="459">
        <v>2463</v>
      </c>
      <c r="I2470" s="444">
        <f t="shared" ca="1" si="130"/>
        <v>-9476572221.5744896</v>
      </c>
      <c r="J2470" s="444">
        <f t="array" ref="J2470">IFERROR(INDEX('Retirement Calculator'!K:K,MATCH('Lorri 401b'!N2470,'Retirement Calculator'!A:A,0),0),0)</f>
        <v>0</v>
      </c>
      <c r="K2470" s="444">
        <f t="shared" ca="1" si="128"/>
        <v>-39485717.589893706</v>
      </c>
      <c r="L2470" s="444">
        <f t="shared" ca="1" si="129"/>
        <v>-9516057939.1643829</v>
      </c>
      <c r="M2470" s="460">
        <f t="shared" si="131"/>
        <v>0.05</v>
      </c>
      <c r="N2470" s="464">
        <f t="shared" si="132"/>
        <v>126223</v>
      </c>
    </row>
    <row r="2471" spans="7:14" ht="11.25" customHeight="1" x14ac:dyDescent="0.3">
      <c r="G2471" s="459"/>
      <c r="H2471" s="459">
        <v>2464</v>
      </c>
      <c r="I2471" s="444">
        <f t="shared" ca="1" si="130"/>
        <v>-9516057939.1643829</v>
      </c>
      <c r="J2471" s="444">
        <f t="array" ref="J2471">IFERROR(INDEX('Retirement Calculator'!K:K,MATCH('Lorri 401b'!N2471,'Retirement Calculator'!A:A,0),0),0)</f>
        <v>0</v>
      </c>
      <c r="K2471" s="444">
        <f t="shared" ca="1" si="128"/>
        <v>-39650241.413184926</v>
      </c>
      <c r="L2471" s="444">
        <f t="shared" ca="1" si="129"/>
        <v>-9555708180.5775681</v>
      </c>
      <c r="M2471" s="460">
        <f t="shared" si="131"/>
        <v>0.05</v>
      </c>
      <c r="N2471" s="464">
        <f t="shared" si="132"/>
        <v>126254</v>
      </c>
    </row>
    <row r="2472" spans="7:14" ht="11.25" customHeight="1" x14ac:dyDescent="0.3">
      <c r="G2472" s="459"/>
      <c r="H2472" s="459">
        <v>2465</v>
      </c>
      <c r="I2472" s="444">
        <f t="shared" ca="1" si="130"/>
        <v>-9555708180.5775681</v>
      </c>
      <c r="J2472" s="444">
        <f t="array" ref="J2472">IFERROR(INDEX('Retirement Calculator'!K:K,MATCH('Lorri 401b'!N2472,'Retirement Calculator'!A:A,0),0),0)</f>
        <v>0</v>
      </c>
      <c r="K2472" s="444">
        <f t="shared" ca="1" si="128"/>
        <v>-39815450.75240653</v>
      </c>
      <c r="L2472" s="444">
        <f t="shared" ca="1" si="129"/>
        <v>-9595523631.3299751</v>
      </c>
      <c r="M2472" s="460">
        <f t="shared" si="131"/>
        <v>0.05</v>
      </c>
      <c r="N2472" s="464">
        <f t="shared" si="132"/>
        <v>126284</v>
      </c>
    </row>
    <row r="2473" spans="7:14" ht="11.25" customHeight="1" x14ac:dyDescent="0.3">
      <c r="G2473" s="459"/>
      <c r="H2473" s="459">
        <v>2466</v>
      </c>
      <c r="I2473" s="444">
        <f t="shared" ca="1" si="130"/>
        <v>-9595523631.3299751</v>
      </c>
      <c r="J2473" s="444">
        <f t="array" ref="J2473">IFERROR(INDEX('Retirement Calculator'!K:K,MATCH('Lorri 401b'!N2473,'Retirement Calculator'!A:A,0),0),0)</f>
        <v>0</v>
      </c>
      <c r="K2473" s="444">
        <f t="shared" ca="1" si="128"/>
        <v>-39981348.463874899</v>
      </c>
      <c r="L2473" s="444">
        <f t="shared" ca="1" si="129"/>
        <v>-9635504979.7938499</v>
      </c>
      <c r="M2473" s="460">
        <f t="shared" si="131"/>
        <v>0.05</v>
      </c>
      <c r="N2473" s="464">
        <f t="shared" si="132"/>
        <v>126315</v>
      </c>
    </row>
    <row r="2474" spans="7:14" ht="11.25" customHeight="1" x14ac:dyDescent="0.3">
      <c r="G2474" s="459"/>
      <c r="H2474" s="459">
        <v>2467</v>
      </c>
      <c r="I2474" s="444">
        <f t="shared" ca="1" si="130"/>
        <v>-9635504979.7938499</v>
      </c>
      <c r="J2474" s="444">
        <f t="array" ref="J2474">IFERROR(INDEX('Retirement Calculator'!K:K,MATCH('Lorri 401b'!N2474,'Retirement Calculator'!A:A,0),0),0)</f>
        <v>0</v>
      </c>
      <c r="K2474" s="444">
        <f t="shared" ca="1" si="128"/>
        <v>-40147937.415807709</v>
      </c>
      <c r="L2474" s="444">
        <f t="shared" ca="1" si="129"/>
        <v>-9675652917.2096577</v>
      </c>
      <c r="M2474" s="460">
        <f t="shared" si="131"/>
        <v>0.05</v>
      </c>
      <c r="N2474" s="464">
        <f t="shared" si="132"/>
        <v>126345</v>
      </c>
    </row>
    <row r="2475" spans="7:14" ht="11.25" customHeight="1" x14ac:dyDescent="0.3">
      <c r="G2475" s="459"/>
      <c r="H2475" s="459">
        <v>2468</v>
      </c>
      <c r="I2475" s="444">
        <f t="shared" ca="1" si="130"/>
        <v>-9675652917.2096577</v>
      </c>
      <c r="J2475" s="444">
        <f t="array" ref="J2475">IFERROR(INDEX('Retirement Calculator'!K:K,MATCH('Lorri 401b'!N2475,'Retirement Calculator'!A:A,0),0),0)</f>
        <v>0</v>
      </c>
      <c r="K2475" s="444">
        <f t="shared" ca="1" si="128"/>
        <v>-40315220.48837357</v>
      </c>
      <c r="L2475" s="444">
        <f t="shared" ca="1" si="129"/>
        <v>-9715968137.6980305</v>
      </c>
      <c r="M2475" s="460">
        <f t="shared" si="131"/>
        <v>0.05</v>
      </c>
      <c r="N2475" s="464">
        <f t="shared" si="132"/>
        <v>126376</v>
      </c>
    </row>
    <row r="2476" spans="7:14" ht="11.25" customHeight="1" x14ac:dyDescent="0.3">
      <c r="G2476" s="459"/>
      <c r="H2476" s="459">
        <v>2469</v>
      </c>
      <c r="I2476" s="444">
        <f t="shared" ca="1" si="130"/>
        <v>-9715968137.6980305</v>
      </c>
      <c r="J2476" s="444">
        <f t="array" ref="J2476">IFERROR(INDEX('Retirement Calculator'!K:K,MATCH('Lorri 401b'!N2476,'Retirement Calculator'!A:A,0),0),0)</f>
        <v>0</v>
      </c>
      <c r="K2476" s="444">
        <f t="shared" ca="1" si="128"/>
        <v>-40483200.573741794</v>
      </c>
      <c r="L2476" s="444">
        <f t="shared" ca="1" si="129"/>
        <v>-9756451338.2717724</v>
      </c>
      <c r="M2476" s="460">
        <f t="shared" si="131"/>
        <v>0.05</v>
      </c>
      <c r="N2476" s="464">
        <f t="shared" si="132"/>
        <v>126407</v>
      </c>
    </row>
    <row r="2477" spans="7:14" ht="11.25" customHeight="1" x14ac:dyDescent="0.3">
      <c r="G2477" s="459"/>
      <c r="H2477" s="459">
        <v>2470</v>
      </c>
      <c r="I2477" s="444">
        <f t="shared" ca="1" si="130"/>
        <v>-9756451338.2717724</v>
      </c>
      <c r="J2477" s="444">
        <f t="array" ref="J2477">IFERROR(INDEX('Retirement Calculator'!K:K,MATCH('Lorri 401b'!N2477,'Retirement Calculator'!A:A,0),0),0)</f>
        <v>0</v>
      </c>
      <c r="K2477" s="444">
        <f t="shared" ca="1" si="128"/>
        <v>-40651880.576132387</v>
      </c>
      <c r="L2477" s="444">
        <f t="shared" ca="1" si="129"/>
        <v>-9797103218.8479042</v>
      </c>
      <c r="M2477" s="460">
        <f t="shared" si="131"/>
        <v>0.05</v>
      </c>
      <c r="N2477" s="464">
        <f t="shared" si="132"/>
        <v>126435</v>
      </c>
    </row>
    <row r="2478" spans="7:14" ht="11.25" customHeight="1" x14ac:dyDescent="0.3">
      <c r="G2478" s="459"/>
      <c r="H2478" s="459">
        <v>2471</v>
      </c>
      <c r="I2478" s="444">
        <f t="shared" ca="1" si="130"/>
        <v>-9797103218.8479042</v>
      </c>
      <c r="J2478" s="444">
        <f t="array" ref="J2478">IFERROR(INDEX('Retirement Calculator'!K:K,MATCH('Lorri 401b'!N2478,'Retirement Calculator'!A:A,0),0),0)</f>
        <v>0</v>
      </c>
      <c r="K2478" s="444">
        <f t="shared" ca="1" si="128"/>
        <v>-40821263.41186627</v>
      </c>
      <c r="L2478" s="444">
        <f t="shared" ca="1" si="129"/>
        <v>-9837924482.2597713</v>
      </c>
      <c r="M2478" s="460">
        <f t="shared" si="131"/>
        <v>0.05</v>
      </c>
      <c r="N2478" s="464">
        <f t="shared" si="132"/>
        <v>126466</v>
      </c>
    </row>
    <row r="2479" spans="7:14" ht="11.25" customHeight="1" x14ac:dyDescent="0.3">
      <c r="G2479" s="459"/>
      <c r="H2479" s="459">
        <v>2472</v>
      </c>
      <c r="I2479" s="444">
        <f t="shared" ca="1" si="130"/>
        <v>-9837924482.2597713</v>
      </c>
      <c r="J2479" s="444">
        <f t="array" ref="J2479">IFERROR(INDEX('Retirement Calculator'!K:K,MATCH('Lorri 401b'!N2479,'Retirement Calculator'!A:A,0),0),0)</f>
        <v>0</v>
      </c>
      <c r="K2479" s="444">
        <f t="shared" ca="1" si="128"/>
        <v>-40991352.009415716</v>
      </c>
      <c r="L2479" s="444">
        <f t="shared" ca="1" si="129"/>
        <v>-9878915834.2691879</v>
      </c>
      <c r="M2479" s="460">
        <f t="shared" si="131"/>
        <v>0.05</v>
      </c>
      <c r="N2479" s="464">
        <f t="shared" si="132"/>
        <v>126496</v>
      </c>
    </row>
    <row r="2480" spans="7:14" ht="11.25" customHeight="1" x14ac:dyDescent="0.3">
      <c r="G2480" s="459"/>
      <c r="H2480" s="459">
        <v>2473</v>
      </c>
      <c r="I2480" s="444">
        <f t="shared" ca="1" si="130"/>
        <v>-9878915834.2691879</v>
      </c>
      <c r="J2480" s="444">
        <f t="array" ref="J2480">IFERROR(INDEX('Retirement Calculator'!K:K,MATCH('Lorri 401b'!N2480,'Retirement Calculator'!A:A,0),0),0)</f>
        <v>0</v>
      </c>
      <c r="K2480" s="444">
        <f t="shared" ca="1" si="128"/>
        <v>-41162149.309454948</v>
      </c>
      <c r="L2480" s="444">
        <f t="shared" ca="1" si="129"/>
        <v>-9920077983.5786438</v>
      </c>
      <c r="M2480" s="460">
        <f t="shared" si="131"/>
        <v>0.05</v>
      </c>
      <c r="N2480" s="464">
        <f t="shared" si="132"/>
        <v>126527</v>
      </c>
    </row>
    <row r="2481" spans="7:14" ht="11.25" customHeight="1" x14ac:dyDescent="0.3">
      <c r="G2481" s="459"/>
      <c r="H2481" s="459">
        <v>2474</v>
      </c>
      <c r="I2481" s="444">
        <f t="shared" ca="1" si="130"/>
        <v>-9920077983.5786438</v>
      </c>
      <c r="J2481" s="444">
        <f t="array" ref="J2481">IFERROR(INDEX('Retirement Calculator'!K:K,MATCH('Lorri 401b'!N2481,'Retirement Calculator'!A:A,0),0),0)</f>
        <v>0</v>
      </c>
      <c r="K2481" s="444">
        <f t="shared" ca="1" si="128"/>
        <v>-41333658.264911018</v>
      </c>
      <c r="L2481" s="444">
        <f t="shared" ca="1" si="129"/>
        <v>-9961411641.8435555</v>
      </c>
      <c r="M2481" s="460">
        <f t="shared" si="131"/>
        <v>0.05</v>
      </c>
      <c r="N2481" s="464">
        <f t="shared" si="132"/>
        <v>126557</v>
      </c>
    </row>
    <row r="2482" spans="7:14" ht="11.25" customHeight="1" x14ac:dyDescent="0.3">
      <c r="G2482" s="459"/>
      <c r="H2482" s="459">
        <v>2475</v>
      </c>
      <c r="I2482" s="444">
        <f t="shared" ca="1" si="130"/>
        <v>-9961411641.8435555</v>
      </c>
      <c r="J2482" s="444">
        <f t="array" ref="J2482">IFERROR(INDEX('Retirement Calculator'!K:K,MATCH('Lorri 401b'!N2482,'Retirement Calculator'!A:A,0),0),0)</f>
        <v>0</v>
      </c>
      <c r="K2482" s="444">
        <f t="shared" ca="1" si="128"/>
        <v>-41505881.841014817</v>
      </c>
      <c r="L2482" s="444">
        <f t="shared" ca="1" si="129"/>
        <v>-10002917523.68457</v>
      </c>
      <c r="M2482" s="460">
        <f t="shared" si="131"/>
        <v>0.05</v>
      </c>
      <c r="N2482" s="464">
        <f t="shared" si="132"/>
        <v>126588</v>
      </c>
    </row>
    <row r="2483" spans="7:14" ht="11.25" customHeight="1" x14ac:dyDescent="0.3">
      <c r="G2483" s="459"/>
      <c r="H2483" s="459">
        <v>2476</v>
      </c>
      <c r="I2483" s="444">
        <f t="shared" ca="1" si="130"/>
        <v>-10002917523.68457</v>
      </c>
      <c r="J2483" s="444">
        <f t="array" ref="J2483">IFERROR(INDEX('Retirement Calculator'!K:K,MATCH('Lorri 401b'!N2483,'Retirement Calculator'!A:A,0),0),0)</f>
        <v>0</v>
      </c>
      <c r="K2483" s="444">
        <f t="shared" ca="1" si="128"/>
        <v>-41678823.015352376</v>
      </c>
      <c r="L2483" s="444">
        <f t="shared" ca="1" si="129"/>
        <v>-10044596346.699923</v>
      </c>
      <c r="M2483" s="460">
        <f t="shared" si="131"/>
        <v>0.05</v>
      </c>
      <c r="N2483" s="464">
        <f t="shared" si="132"/>
        <v>126619</v>
      </c>
    </row>
    <row r="2484" spans="7:14" ht="11.25" customHeight="1" x14ac:dyDescent="0.3">
      <c r="G2484" s="459"/>
      <c r="H2484" s="459">
        <v>2477</v>
      </c>
      <c r="I2484" s="444">
        <f t="shared" ca="1" si="130"/>
        <v>-10044596346.699923</v>
      </c>
      <c r="J2484" s="444">
        <f t="array" ref="J2484">IFERROR(INDEX('Retirement Calculator'!K:K,MATCH('Lorri 401b'!N2484,'Retirement Calculator'!A:A,0),0),0)</f>
        <v>0</v>
      </c>
      <c r="K2484" s="444">
        <f t="shared" ca="1" si="128"/>
        <v>-41852484.777916342</v>
      </c>
      <c r="L2484" s="444">
        <f t="shared" ca="1" si="129"/>
        <v>-10086448831.477839</v>
      </c>
      <c r="M2484" s="460">
        <f t="shared" si="131"/>
        <v>0.05</v>
      </c>
      <c r="N2484" s="464">
        <f t="shared" si="132"/>
        <v>126649</v>
      </c>
    </row>
    <row r="2485" spans="7:14" ht="11.25" customHeight="1" x14ac:dyDescent="0.3">
      <c r="G2485" s="459"/>
      <c r="H2485" s="459">
        <v>2478</v>
      </c>
      <c r="I2485" s="444">
        <f t="shared" ca="1" si="130"/>
        <v>-10086448831.477839</v>
      </c>
      <c r="J2485" s="444">
        <f t="array" ref="J2485">IFERROR(INDEX('Retirement Calculator'!K:K,MATCH('Lorri 401b'!N2485,'Retirement Calculator'!A:A,0),0),0)</f>
        <v>0</v>
      </c>
      <c r="K2485" s="444">
        <f t="shared" ca="1" si="128"/>
        <v>-42026870.131157659</v>
      </c>
      <c r="L2485" s="444">
        <f t="shared" ca="1" si="129"/>
        <v>-10128475701.608995</v>
      </c>
      <c r="M2485" s="460">
        <f t="shared" si="131"/>
        <v>0.05</v>
      </c>
      <c r="N2485" s="464">
        <f t="shared" si="132"/>
        <v>126680</v>
      </c>
    </row>
    <row r="2486" spans="7:14" ht="11.25" customHeight="1" x14ac:dyDescent="0.3">
      <c r="G2486" s="459"/>
      <c r="H2486" s="459">
        <v>2479</v>
      </c>
      <c r="I2486" s="444">
        <f t="shared" ca="1" si="130"/>
        <v>-10128475701.608995</v>
      </c>
      <c r="J2486" s="444">
        <f t="array" ref="J2486">IFERROR(INDEX('Retirement Calculator'!K:K,MATCH('Lorri 401b'!N2486,'Retirement Calculator'!A:A,0),0),0)</f>
        <v>0</v>
      </c>
      <c r="K2486" s="444">
        <f t="shared" ca="1" si="128"/>
        <v>-42201982.09003748</v>
      </c>
      <c r="L2486" s="444">
        <f t="shared" ca="1" si="129"/>
        <v>-10170677683.699034</v>
      </c>
      <c r="M2486" s="460">
        <f t="shared" si="131"/>
        <v>0.05</v>
      </c>
      <c r="N2486" s="464">
        <f t="shared" si="132"/>
        <v>126710</v>
      </c>
    </row>
    <row r="2487" spans="7:14" ht="11.25" customHeight="1" x14ac:dyDescent="0.3">
      <c r="G2487" s="459"/>
      <c r="H2487" s="459">
        <v>2480</v>
      </c>
      <c r="I2487" s="444">
        <f t="shared" ca="1" si="130"/>
        <v>-10170677683.699034</v>
      </c>
      <c r="J2487" s="444">
        <f t="array" ref="J2487">IFERROR(INDEX('Retirement Calculator'!K:K,MATCH('Lorri 401b'!N2487,'Retirement Calculator'!A:A,0),0),0)</f>
        <v>0</v>
      </c>
      <c r="K2487" s="444">
        <f t="shared" ca="1" si="128"/>
        <v>-42377823.682079308</v>
      </c>
      <c r="L2487" s="444">
        <f t="shared" ca="1" si="129"/>
        <v>-10213055507.381113</v>
      </c>
      <c r="M2487" s="460">
        <f t="shared" si="131"/>
        <v>0.05</v>
      </c>
      <c r="N2487" s="464">
        <f t="shared" si="132"/>
        <v>126741</v>
      </c>
    </row>
    <row r="2488" spans="7:14" ht="11.25" customHeight="1" x14ac:dyDescent="0.3">
      <c r="G2488" s="459"/>
      <c r="H2488" s="459">
        <v>2481</v>
      </c>
      <c r="I2488" s="444">
        <f t="shared" ca="1" si="130"/>
        <v>-10213055507.381113</v>
      </c>
      <c r="J2488" s="444">
        <f t="array" ref="J2488">IFERROR(INDEX('Retirement Calculator'!K:K,MATCH('Lorri 401b'!N2488,'Retirement Calculator'!A:A,0),0),0)</f>
        <v>0</v>
      </c>
      <c r="K2488" s="444">
        <f t="shared" ca="1" si="128"/>
        <v>-42554397.947421305</v>
      </c>
      <c r="L2488" s="444">
        <f t="shared" ca="1" si="129"/>
        <v>-10255609905.328535</v>
      </c>
      <c r="M2488" s="460">
        <f t="shared" si="131"/>
        <v>0.05</v>
      </c>
      <c r="N2488" s="464">
        <f t="shared" si="132"/>
        <v>126772</v>
      </c>
    </row>
    <row r="2489" spans="7:14" ht="11.25" customHeight="1" x14ac:dyDescent="0.3">
      <c r="G2489" s="459"/>
      <c r="H2489" s="459">
        <v>2482</v>
      </c>
      <c r="I2489" s="444">
        <f t="shared" ca="1" si="130"/>
        <v>-10255609905.328535</v>
      </c>
      <c r="J2489" s="444">
        <f t="array" ref="J2489">IFERROR(INDEX('Retirement Calculator'!K:K,MATCH('Lorri 401b'!N2489,'Retirement Calculator'!A:A,0),0),0)</f>
        <v>0</v>
      </c>
      <c r="K2489" s="444">
        <f t="shared" ca="1" si="128"/>
        <v>-42731707.938868895</v>
      </c>
      <c r="L2489" s="444">
        <f t="shared" ca="1" si="129"/>
        <v>-10298341613.267405</v>
      </c>
      <c r="M2489" s="460">
        <f t="shared" si="131"/>
        <v>0.05</v>
      </c>
      <c r="N2489" s="464">
        <f t="shared" si="132"/>
        <v>126800</v>
      </c>
    </row>
    <row r="2490" spans="7:14" ht="11.25" customHeight="1" x14ac:dyDescent="0.3">
      <c r="G2490" s="459"/>
      <c r="H2490" s="459">
        <v>2483</v>
      </c>
      <c r="I2490" s="444">
        <f t="shared" ca="1" si="130"/>
        <v>-10298341613.267405</v>
      </c>
      <c r="J2490" s="444">
        <f t="array" ref="J2490">IFERROR(INDEX('Retirement Calculator'!K:K,MATCH('Lorri 401b'!N2490,'Retirement Calculator'!A:A,0),0),0)</f>
        <v>0</v>
      </c>
      <c r="K2490" s="444">
        <f t="shared" ca="1" si="128"/>
        <v>-42909756.721947521</v>
      </c>
      <c r="L2490" s="444">
        <f t="shared" ca="1" si="129"/>
        <v>-10341251369.989351</v>
      </c>
      <c r="M2490" s="460">
        <f t="shared" si="131"/>
        <v>0.05</v>
      </c>
      <c r="N2490" s="464">
        <f t="shared" si="132"/>
        <v>126831</v>
      </c>
    </row>
    <row r="2491" spans="7:14" ht="11.25" customHeight="1" x14ac:dyDescent="0.3">
      <c r="G2491" s="459"/>
      <c r="H2491" s="459">
        <v>2484</v>
      </c>
      <c r="I2491" s="444">
        <f t="shared" ca="1" si="130"/>
        <v>-10341251369.989351</v>
      </c>
      <c r="J2491" s="444">
        <f t="array" ref="J2491">IFERROR(INDEX('Retirement Calculator'!K:K,MATCH('Lorri 401b'!N2491,'Retirement Calculator'!A:A,0),0),0)</f>
        <v>0</v>
      </c>
      <c r="K2491" s="444">
        <f t="shared" ca="1" si="128"/>
        <v>-43088547.374955632</v>
      </c>
      <c r="L2491" s="444">
        <f t="shared" ca="1" si="129"/>
        <v>-10384339917.364307</v>
      </c>
      <c r="M2491" s="460">
        <f t="shared" si="131"/>
        <v>0.05</v>
      </c>
      <c r="N2491" s="464">
        <f t="shared" si="132"/>
        <v>126861</v>
      </c>
    </row>
    <row r="2492" spans="7:14" ht="11.25" customHeight="1" x14ac:dyDescent="0.3">
      <c r="G2492" s="459"/>
      <c r="H2492" s="459">
        <v>2485</v>
      </c>
      <c r="I2492" s="444">
        <f t="shared" ca="1" si="130"/>
        <v>-10384339917.364307</v>
      </c>
      <c r="J2492" s="444">
        <f t="array" ref="J2492">IFERROR(INDEX('Retirement Calculator'!K:K,MATCH('Lorri 401b'!N2492,'Retirement Calculator'!A:A,0),0),0)</f>
        <v>0</v>
      </c>
      <c r="K2492" s="444">
        <f t="shared" ca="1" si="128"/>
        <v>-43268082.989017949</v>
      </c>
      <c r="L2492" s="444">
        <f t="shared" ca="1" si="129"/>
        <v>-10427608000.353325</v>
      </c>
      <c r="M2492" s="460">
        <f t="shared" si="131"/>
        <v>0.05</v>
      </c>
      <c r="N2492" s="464">
        <f t="shared" si="132"/>
        <v>126892</v>
      </c>
    </row>
    <row r="2493" spans="7:14" ht="11.25" customHeight="1" x14ac:dyDescent="0.3">
      <c r="G2493" s="459"/>
      <c r="H2493" s="459">
        <v>2486</v>
      </c>
      <c r="I2493" s="444">
        <f t="shared" ca="1" si="130"/>
        <v>-10427608000.353325</v>
      </c>
      <c r="J2493" s="444">
        <f t="array" ref="J2493">IFERROR(INDEX('Retirement Calculator'!K:K,MATCH('Lorri 401b'!N2493,'Retirement Calculator'!A:A,0),0),0)</f>
        <v>0</v>
      </c>
      <c r="K2493" s="444">
        <f t="shared" ca="1" si="128"/>
        <v>-43448366.668138854</v>
      </c>
      <c r="L2493" s="444">
        <f t="shared" ca="1" si="129"/>
        <v>-10471056367.021463</v>
      </c>
      <c r="M2493" s="460">
        <f t="shared" si="131"/>
        <v>0.05</v>
      </c>
      <c r="N2493" s="464">
        <f t="shared" si="132"/>
        <v>126922</v>
      </c>
    </row>
    <row r="2494" spans="7:14" ht="11.25" customHeight="1" x14ac:dyDescent="0.3">
      <c r="G2494" s="459"/>
      <c r="H2494" s="459">
        <v>2487</v>
      </c>
      <c r="I2494" s="444">
        <f t="shared" ca="1" si="130"/>
        <v>-10471056367.021463</v>
      </c>
      <c r="J2494" s="444">
        <f t="array" ref="J2494">IFERROR(INDEX('Retirement Calculator'!K:K,MATCH('Lorri 401b'!N2494,'Retirement Calculator'!A:A,0),0),0)</f>
        <v>0</v>
      </c>
      <c r="K2494" s="444">
        <f t="shared" ca="1" si="128"/>
        <v>-43629401.529256098</v>
      </c>
      <c r="L2494" s="444">
        <f t="shared" ca="1" si="129"/>
        <v>-10514685768.55072</v>
      </c>
      <c r="M2494" s="460">
        <f t="shared" si="131"/>
        <v>0.05</v>
      </c>
      <c r="N2494" s="464">
        <f t="shared" si="132"/>
        <v>126953</v>
      </c>
    </row>
    <row r="2495" spans="7:14" ht="11.25" customHeight="1" x14ac:dyDescent="0.3">
      <c r="G2495" s="459"/>
      <c r="H2495" s="459">
        <v>2488</v>
      </c>
      <c r="I2495" s="444">
        <f t="shared" ca="1" si="130"/>
        <v>-10514685768.55072</v>
      </c>
      <c r="J2495" s="444">
        <f t="array" ref="J2495">IFERROR(INDEX('Retirement Calculator'!K:K,MATCH('Lorri 401b'!N2495,'Retirement Calculator'!A:A,0),0),0)</f>
        <v>0</v>
      </c>
      <c r="K2495" s="444">
        <f t="shared" ca="1" si="128"/>
        <v>-43811190.70229467</v>
      </c>
      <c r="L2495" s="444">
        <f t="shared" ca="1" si="129"/>
        <v>-10558496959.253016</v>
      </c>
      <c r="M2495" s="460">
        <f t="shared" si="131"/>
        <v>0.05</v>
      </c>
      <c r="N2495" s="464">
        <f t="shared" si="132"/>
        <v>126984</v>
      </c>
    </row>
    <row r="2496" spans="7:14" ht="11.25" customHeight="1" x14ac:dyDescent="0.3">
      <c r="G2496" s="459"/>
      <c r="H2496" s="459">
        <v>2489</v>
      </c>
      <c r="I2496" s="444">
        <f t="shared" ca="1" si="130"/>
        <v>-10558496959.253016</v>
      </c>
      <c r="J2496" s="444">
        <f t="array" ref="J2496">IFERROR(INDEX('Retirement Calculator'!K:K,MATCH('Lorri 401b'!N2496,'Retirement Calculator'!A:A,0),0),0)</f>
        <v>0</v>
      </c>
      <c r="K2496" s="444">
        <f t="shared" ca="1" si="128"/>
        <v>-43993737.3302209</v>
      </c>
      <c r="L2496" s="444">
        <f t="shared" ca="1" si="129"/>
        <v>-10602490696.583237</v>
      </c>
      <c r="M2496" s="460">
        <f t="shared" si="131"/>
        <v>0.05</v>
      </c>
      <c r="N2496" s="464">
        <f t="shared" si="132"/>
        <v>127014</v>
      </c>
    </row>
    <row r="2497" spans="7:14" ht="11.25" customHeight="1" x14ac:dyDescent="0.3">
      <c r="G2497" s="459"/>
      <c r="H2497" s="459">
        <v>2490</v>
      </c>
      <c r="I2497" s="444">
        <f t="shared" ca="1" si="130"/>
        <v>-10602490696.583237</v>
      </c>
      <c r="J2497" s="444">
        <f t="array" ref="J2497">IFERROR(INDEX('Retirement Calculator'!K:K,MATCH('Lorri 401b'!N2497,'Retirement Calculator'!A:A,0),0),0)</f>
        <v>0</v>
      </c>
      <c r="K2497" s="444">
        <f t="shared" ca="1" si="128"/>
        <v>-44177044.569096819</v>
      </c>
      <c r="L2497" s="444">
        <f t="shared" ca="1" si="129"/>
        <v>-10646667741.152334</v>
      </c>
      <c r="M2497" s="460">
        <f t="shared" si="131"/>
        <v>0.05</v>
      </c>
      <c r="N2497" s="464">
        <f t="shared" si="132"/>
        <v>127045</v>
      </c>
    </row>
    <row r="2498" spans="7:14" ht="11.25" customHeight="1" x14ac:dyDescent="0.3">
      <c r="G2498" s="459"/>
      <c r="H2498" s="459">
        <v>2491</v>
      </c>
      <c r="I2498" s="444">
        <f t="shared" ca="1" si="130"/>
        <v>-10646667741.152334</v>
      </c>
      <c r="J2498" s="444">
        <f t="array" ref="J2498">IFERROR(INDEX('Retirement Calculator'!K:K,MATCH('Lorri 401b'!N2498,'Retirement Calculator'!A:A,0),0),0)</f>
        <v>0</v>
      </c>
      <c r="K2498" s="444">
        <f t="shared" ca="1" si="128"/>
        <v>-44361115.588134728</v>
      </c>
      <c r="L2498" s="444">
        <f t="shared" ca="1" si="129"/>
        <v>-10691028856.740469</v>
      </c>
      <c r="M2498" s="460">
        <f t="shared" si="131"/>
        <v>0.05</v>
      </c>
      <c r="N2498" s="464">
        <f t="shared" si="132"/>
        <v>127075</v>
      </c>
    </row>
    <row r="2499" spans="7:14" ht="11.25" customHeight="1" x14ac:dyDescent="0.3">
      <c r="G2499" s="459"/>
      <c r="H2499" s="459">
        <v>2492</v>
      </c>
      <c r="I2499" s="444">
        <f t="shared" ca="1" si="130"/>
        <v>-10691028856.740469</v>
      </c>
      <c r="J2499" s="444">
        <f t="array" ref="J2499">IFERROR(INDEX('Retirement Calculator'!K:K,MATCH('Lorri 401b'!N2499,'Retirement Calculator'!A:A,0),0),0)</f>
        <v>0</v>
      </c>
      <c r="K2499" s="444">
        <f t="shared" ca="1" si="128"/>
        <v>-44545953.569751956</v>
      </c>
      <c r="L2499" s="444">
        <f t="shared" ca="1" si="129"/>
        <v>-10735574810.310221</v>
      </c>
      <c r="M2499" s="460">
        <f t="shared" si="131"/>
        <v>0.05</v>
      </c>
      <c r="N2499" s="464">
        <f t="shared" si="132"/>
        <v>127106</v>
      </c>
    </row>
    <row r="2500" spans="7:14" ht="11.25" customHeight="1" x14ac:dyDescent="0.3">
      <c r="G2500" s="459"/>
      <c r="H2500" s="459">
        <v>2493</v>
      </c>
      <c r="I2500" s="444">
        <f t="shared" ca="1" si="130"/>
        <v>-10735574810.310221</v>
      </c>
      <c r="J2500" s="444">
        <f t="array" ref="J2500">IFERROR(INDEX('Retirement Calculator'!K:K,MATCH('Lorri 401b'!N2500,'Retirement Calculator'!A:A,0),0),0)</f>
        <v>0</v>
      </c>
      <c r="K2500" s="444">
        <f t="shared" ca="1" si="128"/>
        <v>-44731561.709625922</v>
      </c>
      <c r="L2500" s="444">
        <f t="shared" ca="1" si="129"/>
        <v>-10780306372.019846</v>
      </c>
      <c r="M2500" s="460">
        <f t="shared" si="131"/>
        <v>0.05</v>
      </c>
      <c r="N2500" s="464">
        <f t="shared" si="132"/>
        <v>127137</v>
      </c>
    </row>
    <row r="2501" spans="7:14" ht="11.25" customHeight="1" x14ac:dyDescent="0.3">
      <c r="G2501" s="459"/>
      <c r="H2501" s="459">
        <v>2494</v>
      </c>
      <c r="I2501" s="444">
        <f t="shared" ca="1" si="130"/>
        <v>-10780306372.019846</v>
      </c>
      <c r="J2501" s="444">
        <f t="array" ref="J2501">IFERROR(INDEX('Retirement Calculator'!K:K,MATCH('Lorri 401b'!N2501,'Retirement Calculator'!A:A,0),0),0)</f>
        <v>0</v>
      </c>
      <c r="K2501" s="444">
        <f t="shared" ca="1" si="128"/>
        <v>-44917943.216749355</v>
      </c>
      <c r="L2501" s="444">
        <f t="shared" ca="1" si="129"/>
        <v>-10825224315.236595</v>
      </c>
      <c r="M2501" s="460">
        <f t="shared" si="131"/>
        <v>0.05</v>
      </c>
      <c r="N2501" s="464">
        <f t="shared" si="132"/>
        <v>127166</v>
      </c>
    </row>
    <row r="2502" spans="7:14" ht="11.25" customHeight="1" x14ac:dyDescent="0.3">
      <c r="G2502" s="459"/>
      <c r="H2502" s="459">
        <v>2495</v>
      </c>
      <c r="I2502" s="444">
        <f t="shared" ca="1" si="130"/>
        <v>-10825224315.236595</v>
      </c>
      <c r="J2502" s="444">
        <f t="array" ref="J2502">IFERROR(INDEX('Retirement Calculator'!K:K,MATCH('Lorri 401b'!N2502,'Retirement Calculator'!A:A,0),0),0)</f>
        <v>0</v>
      </c>
      <c r="K2502" s="444">
        <f t="shared" ca="1" si="128"/>
        <v>-45105101.313485816</v>
      </c>
      <c r="L2502" s="444">
        <f t="shared" ca="1" si="129"/>
        <v>-10870329416.550081</v>
      </c>
      <c r="M2502" s="460">
        <f t="shared" si="131"/>
        <v>0.05</v>
      </c>
      <c r="N2502" s="464">
        <f t="shared" si="132"/>
        <v>127197</v>
      </c>
    </row>
    <row r="2503" spans="7:14" ht="11.25" customHeight="1" x14ac:dyDescent="0.3">
      <c r="G2503" s="459"/>
      <c r="H2503" s="459">
        <v>2496</v>
      </c>
      <c r="I2503" s="444">
        <f t="shared" ca="1" si="130"/>
        <v>-10870329416.550081</v>
      </c>
      <c r="J2503" s="444">
        <f t="array" ref="J2503">IFERROR(INDEX('Retirement Calculator'!K:K,MATCH('Lorri 401b'!N2503,'Retirement Calculator'!A:A,0),0),0)</f>
        <v>0</v>
      </c>
      <c r="K2503" s="444">
        <f t="shared" ca="1" si="128"/>
        <v>-45293039.235625342</v>
      </c>
      <c r="L2503" s="444">
        <f t="shared" ca="1" si="129"/>
        <v>-10915622455.785707</v>
      </c>
      <c r="M2503" s="460">
        <f t="shared" si="131"/>
        <v>0.05</v>
      </c>
      <c r="N2503" s="464">
        <f t="shared" si="132"/>
        <v>127227</v>
      </c>
    </row>
    <row r="2504" spans="7:14" ht="11.25" customHeight="1" x14ac:dyDescent="0.3">
      <c r="G2504" s="459"/>
      <c r="H2504" s="459">
        <v>2497</v>
      </c>
      <c r="I2504" s="444">
        <f t="shared" ca="1" si="130"/>
        <v>-10915622455.785707</v>
      </c>
      <c r="J2504" s="444">
        <f t="array" ref="J2504">IFERROR(INDEX('Retirement Calculator'!K:K,MATCH('Lorri 401b'!N2504,'Retirement Calculator'!A:A,0),0),0)</f>
        <v>0</v>
      </c>
      <c r="K2504" s="444">
        <f t="shared" ca="1" si="128"/>
        <v>-45481760.232440449</v>
      </c>
      <c r="L2504" s="444">
        <f t="shared" ca="1" si="129"/>
        <v>-10961104216.018148</v>
      </c>
      <c r="M2504" s="460">
        <f t="shared" si="131"/>
        <v>0.05</v>
      </c>
      <c r="N2504" s="464">
        <f t="shared" si="132"/>
        <v>127258</v>
      </c>
    </row>
    <row r="2505" spans="7:14" ht="11.25" customHeight="1" x14ac:dyDescent="0.3">
      <c r="G2505" s="459"/>
      <c r="H2505" s="459">
        <v>2498</v>
      </c>
      <c r="I2505" s="444">
        <f t="shared" ca="1" si="130"/>
        <v>-10961104216.018148</v>
      </c>
      <c r="J2505" s="444">
        <f t="array" ref="J2505">IFERROR(INDEX('Retirement Calculator'!K:K,MATCH('Lorri 401b'!N2505,'Retirement Calculator'!A:A,0),0),0)</f>
        <v>0</v>
      </c>
      <c r="K2505" s="444">
        <f t="shared" ca="1" si="128"/>
        <v>-45671267.566742286</v>
      </c>
      <c r="L2505" s="444">
        <f t="shared" ca="1" si="129"/>
        <v>-11006775483.58489</v>
      </c>
      <c r="M2505" s="460">
        <f t="shared" si="131"/>
        <v>0.05</v>
      </c>
      <c r="N2505" s="464">
        <f t="shared" si="132"/>
        <v>127288</v>
      </c>
    </row>
    <row r="2506" spans="7:14" ht="11.25" customHeight="1" x14ac:dyDescent="0.3">
      <c r="G2506" s="459"/>
      <c r="H2506" s="459">
        <v>2499</v>
      </c>
      <c r="I2506" s="444">
        <f t="shared" ca="1" si="130"/>
        <v>-11006775483.58489</v>
      </c>
      <c r="J2506" s="444">
        <f t="array" ref="J2506">IFERROR(INDEX('Retirement Calculator'!K:K,MATCH('Lorri 401b'!N2506,'Retirement Calculator'!A:A,0),0),0)</f>
        <v>0</v>
      </c>
      <c r="K2506" s="444">
        <f t="shared" ca="1" si="128"/>
        <v>-45861564.514937043</v>
      </c>
      <c r="L2506" s="444">
        <f t="shared" ca="1" si="129"/>
        <v>-11052637048.099827</v>
      </c>
      <c r="M2506" s="460">
        <f t="shared" si="131"/>
        <v>0.05</v>
      </c>
      <c r="N2506" s="464">
        <f t="shared" si="132"/>
        <v>127319</v>
      </c>
    </row>
    <row r="2507" spans="7:14" ht="11.25" customHeight="1" x14ac:dyDescent="0.3">
      <c r="G2507" s="459"/>
      <c r="H2507" s="459">
        <v>2500</v>
      </c>
      <c r="I2507" s="444">
        <f t="shared" ca="1" si="130"/>
        <v>-11052637048.099827</v>
      </c>
      <c r="J2507" s="444">
        <f t="array" ref="J2507">IFERROR(INDEX('Retirement Calculator'!K:K,MATCH('Lorri 401b'!N2507,'Retirement Calculator'!A:A,0),0),0)</f>
        <v>0</v>
      </c>
      <c r="K2507" s="444">
        <f t="shared" ca="1" si="128"/>
        <v>-46052654.367082611</v>
      </c>
      <c r="L2507" s="444">
        <f t="shared" ca="1" si="129"/>
        <v>-11098689702.466909</v>
      </c>
      <c r="M2507" s="460">
        <f t="shared" si="131"/>
        <v>0.05</v>
      </c>
      <c r="N2507" s="464">
        <f t="shared" si="132"/>
        <v>127350</v>
      </c>
    </row>
    <row r="2508" spans="7:14" ht="11.25" customHeight="1" x14ac:dyDescent="0.3">
      <c r="G2508" s="459"/>
      <c r="H2508" s="459">
        <v>2501</v>
      </c>
      <c r="I2508" s="444">
        <f t="shared" ca="1" si="130"/>
        <v>-11098689702.466909</v>
      </c>
      <c r="J2508" s="444">
        <f t="array" ref="J2508">IFERROR(INDEX('Retirement Calculator'!K:K,MATCH('Lorri 401b'!N2508,'Retirement Calculator'!A:A,0),0),0)</f>
        <v>0</v>
      </c>
      <c r="K2508" s="444">
        <f t="shared" ca="1" si="128"/>
        <v>-46244540.426945455</v>
      </c>
      <c r="L2508" s="444">
        <f t="shared" ca="1" si="129"/>
        <v>-11144934242.893854</v>
      </c>
      <c r="M2508" s="460">
        <f t="shared" si="131"/>
        <v>0.05</v>
      </c>
      <c r="N2508" s="464">
        <f t="shared" si="132"/>
        <v>127380</v>
      </c>
    </row>
    <row r="2509" spans="7:14" ht="11.25" customHeight="1" x14ac:dyDescent="0.3">
      <c r="G2509" s="459"/>
      <c r="H2509" s="459">
        <v>2502</v>
      </c>
      <c r="I2509" s="444">
        <f t="shared" ca="1" si="130"/>
        <v>-11144934242.893854</v>
      </c>
      <c r="J2509" s="444">
        <f t="array" ref="J2509">IFERROR(INDEX('Retirement Calculator'!K:K,MATCH('Lorri 401b'!N2509,'Retirement Calculator'!A:A,0),0),0)</f>
        <v>0</v>
      </c>
      <c r="K2509" s="444">
        <f t="shared" ca="1" si="128"/>
        <v>-46437226.012057722</v>
      </c>
      <c r="L2509" s="444">
        <f t="shared" ca="1" si="129"/>
        <v>-11191371468.905912</v>
      </c>
      <c r="M2509" s="460">
        <f t="shared" si="131"/>
        <v>0.05</v>
      </c>
      <c r="N2509" s="464">
        <f t="shared" si="132"/>
        <v>127411</v>
      </c>
    </row>
    <row r="2510" spans="7:14" ht="11.25" customHeight="1" x14ac:dyDescent="0.3">
      <c r="G2510" s="459"/>
      <c r="H2510" s="459">
        <v>2503</v>
      </c>
      <c r="I2510" s="444">
        <f t="shared" ca="1" si="130"/>
        <v>-11191371468.905912</v>
      </c>
      <c r="J2510" s="444">
        <f t="array" ref="J2510">IFERROR(INDEX('Retirement Calculator'!K:K,MATCH('Lorri 401b'!N2510,'Retirement Calculator'!A:A,0),0),0)</f>
        <v>0</v>
      </c>
      <c r="K2510" s="444">
        <f t="shared" ca="1" si="128"/>
        <v>-46630714.453774631</v>
      </c>
      <c r="L2510" s="444">
        <f t="shared" ca="1" si="129"/>
        <v>-11238002183.359688</v>
      </c>
      <c r="M2510" s="460">
        <f t="shared" si="131"/>
        <v>0.05</v>
      </c>
      <c r="N2510" s="464">
        <f t="shared" si="132"/>
        <v>127441</v>
      </c>
    </row>
    <row r="2511" spans="7:14" ht="11.25" customHeight="1" x14ac:dyDescent="0.3">
      <c r="G2511" s="459"/>
      <c r="H2511" s="459">
        <v>2504</v>
      </c>
      <c r="I2511" s="444">
        <f t="shared" ca="1" si="130"/>
        <v>-11238002183.359688</v>
      </c>
      <c r="J2511" s="444">
        <f t="array" ref="J2511">IFERROR(INDEX('Retirement Calculator'!K:K,MATCH('Lorri 401b'!N2511,'Retirement Calculator'!A:A,0),0),0)</f>
        <v>0</v>
      </c>
      <c r="K2511" s="444">
        <f t="shared" ca="1" si="128"/>
        <v>-46825009.097332031</v>
      </c>
      <c r="L2511" s="444">
        <f t="shared" ca="1" si="129"/>
        <v>-11284827192.45702</v>
      </c>
      <c r="M2511" s="460">
        <f t="shared" si="131"/>
        <v>0.05</v>
      </c>
      <c r="N2511" s="464">
        <f t="shared" si="132"/>
        <v>127472</v>
      </c>
    </row>
    <row r="2512" spans="7:14" ht="11.25" customHeight="1" x14ac:dyDescent="0.3">
      <c r="G2512" s="459"/>
      <c r="H2512" s="459">
        <v>2505</v>
      </c>
      <c r="I2512" s="444">
        <f t="shared" ca="1" si="130"/>
        <v>-11284827192.45702</v>
      </c>
      <c r="J2512" s="444">
        <f t="array" ref="J2512">IFERROR(INDEX('Retirement Calculator'!K:K,MATCH('Lorri 401b'!N2512,'Retirement Calculator'!A:A,0),0),0)</f>
        <v>0</v>
      </c>
      <c r="K2512" s="444">
        <f t="shared" ca="1" si="128"/>
        <v>-47020113.301904246</v>
      </c>
      <c r="L2512" s="444">
        <f t="shared" ca="1" si="129"/>
        <v>-11331847305.758924</v>
      </c>
      <c r="M2512" s="460">
        <f t="shared" si="131"/>
        <v>0.05</v>
      </c>
      <c r="N2512" s="464">
        <f t="shared" si="132"/>
        <v>127503</v>
      </c>
    </row>
    <row r="2513" spans="7:14" ht="11.25" customHeight="1" x14ac:dyDescent="0.3">
      <c r="G2513" s="459"/>
      <c r="H2513" s="459">
        <v>2506</v>
      </c>
      <c r="I2513" s="444">
        <f t="shared" ca="1" si="130"/>
        <v>-11331847305.758924</v>
      </c>
      <c r="J2513" s="444">
        <f t="array" ref="J2513">IFERROR(INDEX('Retirement Calculator'!K:K,MATCH('Lorri 401b'!N2513,'Retirement Calculator'!A:A,0),0),0)</f>
        <v>0</v>
      </c>
      <c r="K2513" s="444">
        <f t="shared" ca="1" si="128"/>
        <v>-47216030.440662183</v>
      </c>
      <c r="L2513" s="444">
        <f t="shared" ca="1" si="129"/>
        <v>-11379063336.199587</v>
      </c>
      <c r="M2513" s="460">
        <f t="shared" si="131"/>
        <v>0.05</v>
      </c>
      <c r="N2513" s="464">
        <f t="shared" si="132"/>
        <v>127531</v>
      </c>
    </row>
    <row r="2514" spans="7:14" ht="11.25" customHeight="1" x14ac:dyDescent="0.3">
      <c r="G2514" s="459"/>
      <c r="H2514" s="459">
        <v>2507</v>
      </c>
      <c r="I2514" s="444">
        <f t="shared" ca="1" si="130"/>
        <v>-11379063336.199587</v>
      </c>
      <c r="J2514" s="444">
        <f t="array" ref="J2514">IFERROR(INDEX('Retirement Calculator'!K:K,MATCH('Lorri 401b'!N2514,'Retirement Calculator'!A:A,0),0),0)</f>
        <v>0</v>
      </c>
      <c r="K2514" s="444">
        <f t="shared" ca="1" si="128"/>
        <v>-47412763.90083161</v>
      </c>
      <c r="L2514" s="444">
        <f t="shared" ca="1" si="129"/>
        <v>-11426476100.100418</v>
      </c>
      <c r="M2514" s="460">
        <f t="shared" si="131"/>
        <v>0.05</v>
      </c>
      <c r="N2514" s="464">
        <f t="shared" si="132"/>
        <v>127562</v>
      </c>
    </row>
    <row r="2515" spans="7:14" ht="11.25" customHeight="1" x14ac:dyDescent="0.3">
      <c r="G2515" s="459"/>
      <c r="H2515" s="459">
        <v>2508</v>
      </c>
      <c r="I2515" s="444">
        <f t="shared" ca="1" si="130"/>
        <v>-11426476100.100418</v>
      </c>
      <c r="J2515" s="444">
        <f t="array" ref="J2515">IFERROR(INDEX('Retirement Calculator'!K:K,MATCH('Lorri 401b'!N2515,'Retirement Calculator'!A:A,0),0),0)</f>
        <v>0</v>
      </c>
      <c r="K2515" s="444">
        <f t="shared" ca="1" si="128"/>
        <v>-47610317.083751738</v>
      </c>
      <c r="L2515" s="444">
        <f t="shared" ca="1" si="129"/>
        <v>-11474086417.18417</v>
      </c>
      <c r="M2515" s="460">
        <f t="shared" si="131"/>
        <v>0.05</v>
      </c>
      <c r="N2515" s="464">
        <f t="shared" si="132"/>
        <v>127592</v>
      </c>
    </row>
    <row r="2516" spans="7:14" ht="11.25" customHeight="1" x14ac:dyDescent="0.3">
      <c r="G2516" s="459"/>
      <c r="H2516" s="459">
        <v>2509</v>
      </c>
      <c r="I2516" s="444">
        <f t="shared" ca="1" si="130"/>
        <v>-11474086417.18417</v>
      </c>
      <c r="J2516" s="444">
        <f t="array" ref="J2516">IFERROR(INDEX('Retirement Calculator'!K:K,MATCH('Lorri 401b'!N2516,'Retirement Calculator'!A:A,0),0),0)</f>
        <v>0</v>
      </c>
      <c r="K2516" s="444">
        <f t="shared" ca="1" si="128"/>
        <v>-47808693.404934041</v>
      </c>
      <c r="L2516" s="444">
        <f t="shared" ca="1" si="129"/>
        <v>-11521895110.589104</v>
      </c>
      <c r="M2516" s="460">
        <f t="shared" si="131"/>
        <v>0.05</v>
      </c>
      <c r="N2516" s="464">
        <f t="shared" si="132"/>
        <v>127623</v>
      </c>
    </row>
    <row r="2517" spans="7:14" ht="11.25" customHeight="1" x14ac:dyDescent="0.3">
      <c r="G2517" s="459"/>
      <c r="H2517" s="459">
        <v>2510</v>
      </c>
      <c r="I2517" s="444">
        <f t="shared" ca="1" si="130"/>
        <v>-11521895110.589104</v>
      </c>
      <c r="J2517" s="444">
        <f t="array" ref="J2517">IFERROR(INDEX('Retirement Calculator'!K:K,MATCH('Lorri 401b'!N2517,'Retirement Calculator'!A:A,0),0),0)</f>
        <v>0</v>
      </c>
      <c r="K2517" s="444">
        <f t="shared" ca="1" si="128"/>
        <v>-48007896.294121265</v>
      </c>
      <c r="L2517" s="444">
        <f t="shared" ca="1" si="129"/>
        <v>-11569903006.883224</v>
      </c>
      <c r="M2517" s="460">
        <f t="shared" si="131"/>
        <v>0.05</v>
      </c>
      <c r="N2517" s="464">
        <f t="shared" si="132"/>
        <v>127653</v>
      </c>
    </row>
    <row r="2518" spans="7:14" ht="11.25" customHeight="1" x14ac:dyDescent="0.3">
      <c r="G2518" s="459"/>
      <c r="H2518" s="459">
        <v>2511</v>
      </c>
      <c r="I2518" s="444">
        <f t="shared" ca="1" si="130"/>
        <v>-11569903006.883224</v>
      </c>
      <c r="J2518" s="444">
        <f t="array" ref="J2518">IFERROR(INDEX('Retirement Calculator'!K:K,MATCH('Lorri 401b'!N2518,'Retirement Calculator'!A:A,0),0),0)</f>
        <v>0</v>
      </c>
      <c r="K2518" s="444">
        <f t="shared" ca="1" si="128"/>
        <v>-48207929.195346765</v>
      </c>
      <c r="L2518" s="444">
        <f t="shared" ca="1" si="129"/>
        <v>-11618110936.078571</v>
      </c>
      <c r="M2518" s="460">
        <f t="shared" si="131"/>
        <v>0.05</v>
      </c>
      <c r="N2518" s="464">
        <f t="shared" si="132"/>
        <v>127684</v>
      </c>
    </row>
    <row r="2519" spans="7:14" ht="11.25" customHeight="1" x14ac:dyDescent="0.3">
      <c r="G2519" s="459"/>
      <c r="H2519" s="459">
        <v>2512</v>
      </c>
      <c r="I2519" s="444">
        <f t="shared" ca="1" si="130"/>
        <v>-11618110936.078571</v>
      </c>
      <c r="J2519" s="444">
        <f t="array" ref="J2519">IFERROR(INDEX('Retirement Calculator'!K:K,MATCH('Lorri 401b'!N2519,'Retirement Calculator'!A:A,0),0),0)</f>
        <v>0</v>
      </c>
      <c r="K2519" s="444">
        <f t="shared" ca="1" si="128"/>
        <v>-48408795.566994049</v>
      </c>
      <c r="L2519" s="444">
        <f t="shared" ca="1" si="129"/>
        <v>-11666519731.645565</v>
      </c>
      <c r="M2519" s="460">
        <f t="shared" si="131"/>
        <v>0.05</v>
      </c>
      <c r="N2519" s="464">
        <f t="shared" si="132"/>
        <v>127715</v>
      </c>
    </row>
    <row r="2520" spans="7:14" ht="11.25" customHeight="1" x14ac:dyDescent="0.3">
      <c r="G2520" s="459"/>
      <c r="H2520" s="459">
        <v>2513</v>
      </c>
      <c r="I2520" s="444">
        <f t="shared" ca="1" si="130"/>
        <v>-11666519731.645565</v>
      </c>
      <c r="J2520" s="444">
        <f t="array" ref="J2520">IFERROR(INDEX('Retirement Calculator'!K:K,MATCH('Lorri 401b'!N2520,'Retirement Calculator'!A:A,0),0),0)</f>
        <v>0</v>
      </c>
      <c r="K2520" s="444">
        <f t="shared" ca="1" si="128"/>
        <v>-48610498.881856523</v>
      </c>
      <c r="L2520" s="444">
        <f t="shared" ca="1" si="129"/>
        <v>-11715130230.527422</v>
      </c>
      <c r="M2520" s="460">
        <f t="shared" si="131"/>
        <v>0.05</v>
      </c>
      <c r="N2520" s="464">
        <f t="shared" si="132"/>
        <v>127745</v>
      </c>
    </row>
    <row r="2521" spans="7:14" ht="11.25" customHeight="1" x14ac:dyDescent="0.3">
      <c r="G2521" s="459"/>
      <c r="H2521" s="459">
        <v>2514</v>
      </c>
      <c r="I2521" s="444">
        <f t="shared" ca="1" si="130"/>
        <v>-11715130230.527422</v>
      </c>
      <c r="J2521" s="444">
        <f t="array" ref="J2521">IFERROR(INDEX('Retirement Calculator'!K:K,MATCH('Lorri 401b'!N2521,'Retirement Calculator'!A:A,0),0),0)</f>
        <v>0</v>
      </c>
      <c r="K2521" s="444">
        <f t="shared" ca="1" si="128"/>
        <v>-48813042.627197593</v>
      </c>
      <c r="L2521" s="444">
        <f t="shared" ca="1" si="129"/>
        <v>-11763943273.154619</v>
      </c>
      <c r="M2521" s="460">
        <f t="shared" si="131"/>
        <v>0.05</v>
      </c>
      <c r="N2521" s="464">
        <f t="shared" si="132"/>
        <v>127776</v>
      </c>
    </row>
    <row r="2522" spans="7:14" ht="11.25" customHeight="1" x14ac:dyDescent="0.3">
      <c r="G2522" s="459"/>
      <c r="H2522" s="459">
        <v>2515</v>
      </c>
      <c r="I2522" s="444">
        <f t="shared" ca="1" si="130"/>
        <v>-11763943273.154619</v>
      </c>
      <c r="J2522" s="444">
        <f t="array" ref="J2522">IFERROR(INDEX('Retirement Calculator'!K:K,MATCH('Lorri 401b'!N2522,'Retirement Calculator'!A:A,0),0),0)</f>
        <v>0</v>
      </c>
      <c r="K2522" s="444">
        <f t="shared" ca="1" si="128"/>
        <v>-49016430.304810911</v>
      </c>
      <c r="L2522" s="444">
        <f t="shared" ca="1" si="129"/>
        <v>-11812959703.459431</v>
      </c>
      <c r="M2522" s="460">
        <f t="shared" si="131"/>
        <v>0.05</v>
      </c>
      <c r="N2522" s="464">
        <f t="shared" si="132"/>
        <v>127806</v>
      </c>
    </row>
    <row r="2523" spans="7:14" ht="11.25" customHeight="1" x14ac:dyDescent="0.3">
      <c r="G2523" s="459"/>
      <c r="H2523" s="459">
        <v>2516</v>
      </c>
      <c r="I2523" s="444">
        <f t="shared" ca="1" si="130"/>
        <v>-11812959703.459431</v>
      </c>
      <c r="J2523" s="444">
        <f t="array" ref="J2523">IFERROR(INDEX('Retirement Calculator'!K:K,MATCH('Lorri 401b'!N2523,'Retirement Calculator'!A:A,0),0),0)</f>
        <v>0</v>
      </c>
      <c r="K2523" s="444">
        <f t="shared" ca="1" si="128"/>
        <v>-49220665.43108096</v>
      </c>
      <c r="L2523" s="444">
        <f t="shared" ca="1" si="129"/>
        <v>-11862180368.890512</v>
      </c>
      <c r="M2523" s="460">
        <f t="shared" si="131"/>
        <v>0.05</v>
      </c>
      <c r="N2523" s="464">
        <f t="shared" si="132"/>
        <v>127837</v>
      </c>
    </row>
    <row r="2524" spans="7:14" ht="11.25" customHeight="1" x14ac:dyDescent="0.3">
      <c r="G2524" s="459"/>
      <c r="H2524" s="459">
        <v>2517</v>
      </c>
      <c r="I2524" s="444">
        <f t="shared" ca="1" si="130"/>
        <v>-11862180368.890512</v>
      </c>
      <c r="J2524" s="444">
        <f t="array" ref="J2524">IFERROR(INDEX('Retirement Calculator'!K:K,MATCH('Lorri 401b'!N2524,'Retirement Calculator'!A:A,0),0),0)</f>
        <v>0</v>
      </c>
      <c r="K2524" s="444">
        <f t="shared" ca="1" si="128"/>
        <v>-49425751.537043802</v>
      </c>
      <c r="L2524" s="444">
        <f t="shared" ca="1" si="129"/>
        <v>-11911606120.427557</v>
      </c>
      <c r="M2524" s="460">
        <f t="shared" si="131"/>
        <v>0.05</v>
      </c>
      <c r="N2524" s="464">
        <f t="shared" si="132"/>
        <v>127868</v>
      </c>
    </row>
    <row r="2525" spans="7:14" ht="11.25" customHeight="1" x14ac:dyDescent="0.3">
      <c r="G2525" s="459"/>
      <c r="H2525" s="459">
        <v>2518</v>
      </c>
      <c r="I2525" s="444">
        <f t="shared" ca="1" si="130"/>
        <v>-11911606120.427557</v>
      </c>
      <c r="J2525" s="444">
        <f t="array" ref="J2525">IFERROR(INDEX('Retirement Calculator'!K:K,MATCH('Lorri 401b'!N2525,'Retirement Calculator'!A:A,0),0),0)</f>
        <v>0</v>
      </c>
      <c r="K2525" s="444">
        <f t="shared" ca="1" si="128"/>
        <v>-49631692.16844815</v>
      </c>
      <c r="L2525" s="444">
        <f t="shared" ca="1" si="129"/>
        <v>-11961237812.596004</v>
      </c>
      <c r="M2525" s="460">
        <f t="shared" si="131"/>
        <v>0.05</v>
      </c>
      <c r="N2525" s="464">
        <f t="shared" si="132"/>
        <v>127896</v>
      </c>
    </row>
    <row r="2526" spans="7:14" ht="11.25" customHeight="1" x14ac:dyDescent="0.3">
      <c r="G2526" s="459"/>
      <c r="H2526" s="459">
        <v>2519</v>
      </c>
      <c r="I2526" s="444">
        <f t="shared" ca="1" si="130"/>
        <v>-11961237812.596004</v>
      </c>
      <c r="J2526" s="444">
        <f t="array" ref="J2526">IFERROR(INDEX('Retirement Calculator'!K:K,MATCH('Lorri 401b'!N2526,'Retirement Calculator'!A:A,0),0),0)</f>
        <v>0</v>
      </c>
      <c r="K2526" s="444">
        <f t="shared" ca="1" si="128"/>
        <v>-49838490.885816686</v>
      </c>
      <c r="L2526" s="444">
        <f t="shared" ca="1" si="129"/>
        <v>-12011076303.481821</v>
      </c>
      <c r="M2526" s="460">
        <f t="shared" si="131"/>
        <v>0.05</v>
      </c>
      <c r="N2526" s="464">
        <f t="shared" si="132"/>
        <v>127927</v>
      </c>
    </row>
    <row r="2527" spans="7:14" ht="11.25" customHeight="1" x14ac:dyDescent="0.3">
      <c r="G2527" s="459"/>
      <c r="H2527" s="459">
        <v>2520</v>
      </c>
      <c r="I2527" s="444">
        <f t="shared" ca="1" si="130"/>
        <v>-12011076303.481821</v>
      </c>
      <c r="J2527" s="444">
        <f t="array" ref="J2527">IFERROR(INDEX('Retirement Calculator'!K:K,MATCH('Lorri 401b'!N2527,'Retirement Calculator'!A:A,0),0),0)</f>
        <v>0</v>
      </c>
      <c r="K2527" s="444">
        <f t="shared" ca="1" si="128"/>
        <v>-50046151.264507584</v>
      </c>
      <c r="L2527" s="444">
        <f t="shared" ca="1" si="129"/>
        <v>-12061122454.746328</v>
      </c>
      <c r="M2527" s="460">
        <f t="shared" si="131"/>
        <v>0.05</v>
      </c>
      <c r="N2527" s="464">
        <f t="shared" si="132"/>
        <v>127957</v>
      </c>
    </row>
    <row r="2528" spans="7:14" ht="11.25" customHeight="1" x14ac:dyDescent="0.3">
      <c r="G2528" s="459"/>
      <c r="H2528" s="459">
        <v>2521</v>
      </c>
      <c r="I2528" s="444">
        <f t="shared" ca="1" si="130"/>
        <v>-12061122454.746328</v>
      </c>
      <c r="J2528" s="444">
        <f t="array" ref="J2528">IFERROR(INDEX('Retirement Calculator'!K:K,MATCH('Lorri 401b'!N2528,'Retirement Calculator'!A:A,0),0),0)</f>
        <v>0</v>
      </c>
      <c r="K2528" s="444">
        <f t="shared" ca="1" si="128"/>
        <v>-50254676.894776367</v>
      </c>
      <c r="L2528" s="444">
        <f t="shared" ca="1" si="129"/>
        <v>-12111377131.641106</v>
      </c>
      <c r="M2528" s="460">
        <f t="shared" si="131"/>
        <v>0.05</v>
      </c>
      <c r="N2528" s="464">
        <f t="shared" si="132"/>
        <v>127988</v>
      </c>
    </row>
    <row r="2529" spans="7:14" ht="11.25" customHeight="1" x14ac:dyDescent="0.3">
      <c r="G2529" s="459"/>
      <c r="H2529" s="459">
        <v>2522</v>
      </c>
      <c r="I2529" s="444">
        <f t="shared" ca="1" si="130"/>
        <v>-12111377131.641106</v>
      </c>
      <c r="J2529" s="444">
        <f t="array" ref="J2529">IFERROR(INDEX('Retirement Calculator'!K:K,MATCH('Lorri 401b'!N2529,'Retirement Calculator'!A:A,0),0),0)</f>
        <v>0</v>
      </c>
      <c r="K2529" s="444">
        <f t="shared" ca="1" si="128"/>
        <v>-50464071.381837942</v>
      </c>
      <c r="L2529" s="444">
        <f t="shared" ca="1" si="129"/>
        <v>-12161841203.022943</v>
      </c>
      <c r="M2529" s="460">
        <f t="shared" si="131"/>
        <v>0.05</v>
      </c>
      <c r="N2529" s="464">
        <f t="shared" si="132"/>
        <v>128018</v>
      </c>
    </row>
    <row r="2530" spans="7:14" ht="11.25" customHeight="1" x14ac:dyDescent="0.3">
      <c r="G2530" s="459"/>
      <c r="H2530" s="459">
        <v>2523</v>
      </c>
      <c r="I2530" s="444">
        <f t="shared" ca="1" si="130"/>
        <v>-12161841203.022943</v>
      </c>
      <c r="J2530" s="444">
        <f t="array" ref="J2530">IFERROR(INDEX('Retirement Calculator'!K:K,MATCH('Lorri 401b'!N2530,'Retirement Calculator'!A:A,0),0),0)</f>
        <v>0</v>
      </c>
      <c r="K2530" s="444">
        <f t="shared" ca="1" si="128"/>
        <v>-50674338.34592893</v>
      </c>
      <c r="L2530" s="444">
        <f t="shared" ca="1" si="129"/>
        <v>-12212515541.368872</v>
      </c>
      <c r="M2530" s="460">
        <f t="shared" si="131"/>
        <v>0.05</v>
      </c>
      <c r="N2530" s="464">
        <f t="shared" si="132"/>
        <v>128049</v>
      </c>
    </row>
    <row r="2531" spans="7:14" ht="11.25" customHeight="1" x14ac:dyDescent="0.3">
      <c r="G2531" s="459"/>
      <c r="H2531" s="459">
        <v>2524</v>
      </c>
      <c r="I2531" s="444">
        <f t="shared" ca="1" si="130"/>
        <v>-12212515541.368872</v>
      </c>
      <c r="J2531" s="444">
        <f t="array" ref="J2531">IFERROR(INDEX('Retirement Calculator'!K:K,MATCH('Lorri 401b'!N2531,'Retirement Calculator'!A:A,0),0),0)</f>
        <v>0</v>
      </c>
      <c r="K2531" s="444">
        <f t="shared" ca="1" si="128"/>
        <v>-50885481.4223703</v>
      </c>
      <c r="L2531" s="444">
        <f t="shared" ca="1" si="129"/>
        <v>-12263401022.791243</v>
      </c>
      <c r="M2531" s="460">
        <f t="shared" si="131"/>
        <v>0.05</v>
      </c>
      <c r="N2531" s="464">
        <f t="shared" si="132"/>
        <v>128080</v>
      </c>
    </row>
    <row r="2532" spans="7:14" ht="11.25" customHeight="1" x14ac:dyDescent="0.3">
      <c r="G2532" s="459"/>
      <c r="H2532" s="459">
        <v>2525</v>
      </c>
      <c r="I2532" s="444">
        <f t="shared" ca="1" si="130"/>
        <v>-12263401022.791243</v>
      </c>
      <c r="J2532" s="444">
        <f t="array" ref="J2532">IFERROR(INDEX('Retirement Calculator'!K:K,MATCH('Lorri 401b'!N2532,'Retirement Calculator'!A:A,0),0),0)</f>
        <v>0</v>
      </c>
      <c r="K2532" s="444">
        <f t="shared" ca="1" si="128"/>
        <v>-51097504.261630177</v>
      </c>
      <c r="L2532" s="444">
        <f t="shared" ca="1" si="129"/>
        <v>-12314498527.052874</v>
      </c>
      <c r="M2532" s="460">
        <f t="shared" si="131"/>
        <v>0.05</v>
      </c>
      <c r="N2532" s="464">
        <f t="shared" si="132"/>
        <v>128110</v>
      </c>
    </row>
    <row r="2533" spans="7:14" ht="11.25" customHeight="1" x14ac:dyDescent="0.3">
      <c r="G2533" s="459"/>
      <c r="H2533" s="459">
        <v>2526</v>
      </c>
      <c r="I2533" s="444">
        <f t="shared" ca="1" si="130"/>
        <v>-12314498527.052874</v>
      </c>
      <c r="J2533" s="444">
        <f t="array" ref="J2533">IFERROR(INDEX('Retirement Calculator'!K:K,MATCH('Lorri 401b'!N2533,'Retirement Calculator'!A:A,0),0),0)</f>
        <v>0</v>
      </c>
      <c r="K2533" s="444">
        <f t="shared" ca="1" si="128"/>
        <v>-51310410.529386975</v>
      </c>
      <c r="L2533" s="444">
        <f t="shared" ca="1" si="129"/>
        <v>-12365808937.58226</v>
      </c>
      <c r="M2533" s="460">
        <f t="shared" si="131"/>
        <v>0.05</v>
      </c>
      <c r="N2533" s="464">
        <f t="shared" si="132"/>
        <v>128141</v>
      </c>
    </row>
    <row r="2534" spans="7:14" ht="11.25" customHeight="1" x14ac:dyDescent="0.3">
      <c r="G2534" s="459"/>
      <c r="H2534" s="459">
        <v>2527</v>
      </c>
      <c r="I2534" s="444">
        <f t="shared" ca="1" si="130"/>
        <v>-12365808937.58226</v>
      </c>
      <c r="J2534" s="444">
        <f t="array" ref="J2534">IFERROR(INDEX('Retirement Calculator'!K:K,MATCH('Lorri 401b'!N2534,'Retirement Calculator'!A:A,0),0),0)</f>
        <v>0</v>
      </c>
      <c r="K2534" s="444">
        <f t="shared" ca="1" si="128"/>
        <v>-51524203.906592749</v>
      </c>
      <c r="L2534" s="444">
        <f t="shared" ca="1" si="129"/>
        <v>-12417333141.488853</v>
      </c>
      <c r="M2534" s="460">
        <f t="shared" si="131"/>
        <v>0.05</v>
      </c>
      <c r="N2534" s="464">
        <f t="shared" si="132"/>
        <v>128171</v>
      </c>
    </row>
    <row r="2535" spans="7:14" ht="11.25" customHeight="1" x14ac:dyDescent="0.3">
      <c r="G2535" s="459"/>
      <c r="H2535" s="459">
        <v>2528</v>
      </c>
      <c r="I2535" s="444">
        <f t="shared" ca="1" si="130"/>
        <v>-12417333141.488853</v>
      </c>
      <c r="J2535" s="444">
        <f t="array" ref="J2535">IFERROR(INDEX('Retirement Calculator'!K:K,MATCH('Lorri 401b'!N2535,'Retirement Calculator'!A:A,0),0),0)</f>
        <v>0</v>
      </c>
      <c r="K2535" s="444">
        <f t="shared" ca="1" si="128"/>
        <v>-51738888.08953689</v>
      </c>
      <c r="L2535" s="444">
        <f t="shared" ca="1" si="129"/>
        <v>-12469072029.57839</v>
      </c>
      <c r="M2535" s="460">
        <f t="shared" si="131"/>
        <v>0.05</v>
      </c>
      <c r="N2535" s="464">
        <f t="shared" si="132"/>
        <v>128202</v>
      </c>
    </row>
    <row r="2536" spans="7:14" ht="11.25" customHeight="1" x14ac:dyDescent="0.3">
      <c r="G2536" s="459"/>
      <c r="H2536" s="459">
        <v>2529</v>
      </c>
      <c r="I2536" s="444">
        <f t="shared" ca="1" si="130"/>
        <v>-12469072029.57839</v>
      </c>
      <c r="J2536" s="444">
        <f t="array" ref="J2536">IFERROR(INDEX('Retirement Calculator'!K:K,MATCH('Lorri 401b'!N2536,'Retirement Calculator'!A:A,0),0),0)</f>
        <v>0</v>
      </c>
      <c r="K2536" s="444">
        <f t="shared" ca="1" si="128"/>
        <v>-51954466.789909959</v>
      </c>
      <c r="L2536" s="444">
        <f t="shared" ca="1" si="129"/>
        <v>-12521026496.368299</v>
      </c>
      <c r="M2536" s="460">
        <f t="shared" si="131"/>
        <v>0.05</v>
      </c>
      <c r="N2536" s="464">
        <f t="shared" si="132"/>
        <v>128233</v>
      </c>
    </row>
    <row r="2537" spans="7:14" ht="11.25" customHeight="1" x14ac:dyDescent="0.3">
      <c r="G2537" s="459"/>
      <c r="H2537" s="459">
        <v>2530</v>
      </c>
      <c r="I2537" s="444">
        <f t="shared" ca="1" si="130"/>
        <v>-12521026496.368299</v>
      </c>
      <c r="J2537" s="444">
        <f t="array" ref="J2537">IFERROR(INDEX('Retirement Calculator'!K:K,MATCH('Lorri 401b'!N2537,'Retirement Calculator'!A:A,0),0),0)</f>
        <v>0</v>
      </c>
      <c r="K2537" s="444">
        <f t="shared" ca="1" si="128"/>
        <v>-52170943.734867916</v>
      </c>
      <c r="L2537" s="444">
        <f t="shared" ca="1" si="129"/>
        <v>-12573197440.103167</v>
      </c>
      <c r="M2537" s="460">
        <f t="shared" si="131"/>
        <v>0.05</v>
      </c>
      <c r="N2537" s="464">
        <f t="shared" si="132"/>
        <v>128261</v>
      </c>
    </row>
    <row r="2538" spans="7:14" ht="11.25" customHeight="1" x14ac:dyDescent="0.3">
      <c r="G2538" s="459"/>
      <c r="H2538" s="459">
        <v>2531</v>
      </c>
      <c r="I2538" s="444">
        <f t="shared" ca="1" si="130"/>
        <v>-12573197440.103167</v>
      </c>
      <c r="J2538" s="444">
        <f t="array" ref="J2538">IFERROR(INDEX('Retirement Calculator'!K:K,MATCH('Lorri 401b'!N2538,'Retirement Calculator'!A:A,0),0),0)</f>
        <v>0</v>
      </c>
      <c r="K2538" s="444">
        <f t="shared" ca="1" si="128"/>
        <v>-52388322.667096525</v>
      </c>
      <c r="L2538" s="444">
        <f t="shared" ca="1" si="129"/>
        <v>-12625585762.770264</v>
      </c>
      <c r="M2538" s="460">
        <f t="shared" si="131"/>
        <v>0.05</v>
      </c>
      <c r="N2538" s="464">
        <f t="shared" si="132"/>
        <v>128292</v>
      </c>
    </row>
    <row r="2539" spans="7:14" ht="11.25" customHeight="1" x14ac:dyDescent="0.3">
      <c r="G2539" s="459"/>
      <c r="H2539" s="459">
        <v>2532</v>
      </c>
      <c r="I2539" s="444">
        <f t="shared" ca="1" si="130"/>
        <v>-12625585762.770264</v>
      </c>
      <c r="J2539" s="444">
        <f t="array" ref="J2539">IFERROR(INDEX('Retirement Calculator'!K:K,MATCH('Lorri 401b'!N2539,'Retirement Calculator'!A:A,0),0),0)</f>
        <v>0</v>
      </c>
      <c r="K2539" s="444">
        <f t="shared" ca="1" si="128"/>
        <v>-52606607.344876096</v>
      </c>
      <c r="L2539" s="444">
        <f t="shared" ca="1" si="129"/>
        <v>-12678192370.115139</v>
      </c>
      <c r="M2539" s="460">
        <f t="shared" si="131"/>
        <v>0.05</v>
      </c>
      <c r="N2539" s="464">
        <f t="shared" si="132"/>
        <v>128322</v>
      </c>
    </row>
    <row r="2540" spans="7:14" ht="11.25" customHeight="1" x14ac:dyDescent="0.3">
      <c r="G2540" s="459"/>
      <c r="H2540" s="459">
        <v>2533</v>
      </c>
      <c r="I2540" s="444">
        <f t="shared" ca="1" si="130"/>
        <v>-12678192370.115139</v>
      </c>
      <c r="J2540" s="444">
        <f t="array" ref="J2540">IFERROR(INDEX('Retirement Calculator'!K:K,MATCH('Lorri 401b'!N2540,'Retirement Calculator'!A:A,0),0),0)</f>
        <v>0</v>
      </c>
      <c r="K2540" s="444">
        <f t="shared" ca="1" si="128"/>
        <v>-52825801.542146415</v>
      </c>
      <c r="L2540" s="444">
        <f t="shared" ca="1" si="129"/>
        <v>-12731018171.657286</v>
      </c>
      <c r="M2540" s="460">
        <f t="shared" si="131"/>
        <v>0.05</v>
      </c>
      <c r="N2540" s="464">
        <f t="shared" si="132"/>
        <v>128353</v>
      </c>
    </row>
    <row r="2541" spans="7:14" ht="11.25" customHeight="1" x14ac:dyDescent="0.3">
      <c r="G2541" s="459"/>
      <c r="H2541" s="459">
        <v>2534</v>
      </c>
      <c r="I2541" s="444">
        <f t="shared" ca="1" si="130"/>
        <v>-12731018171.657286</v>
      </c>
      <c r="J2541" s="444">
        <f t="array" ref="J2541">IFERROR(INDEX('Retirement Calculator'!K:K,MATCH('Lorri 401b'!N2541,'Retirement Calculator'!A:A,0),0),0)</f>
        <v>0</v>
      </c>
      <c r="K2541" s="444">
        <f t="shared" ca="1" si="128"/>
        <v>-53045909.048572026</v>
      </c>
      <c r="L2541" s="444">
        <f t="shared" ca="1" si="129"/>
        <v>-12784064080.705858</v>
      </c>
      <c r="M2541" s="460">
        <f t="shared" si="131"/>
        <v>0.05</v>
      </c>
      <c r="N2541" s="464">
        <f t="shared" si="132"/>
        <v>128383</v>
      </c>
    </row>
    <row r="2542" spans="7:14" ht="11.25" customHeight="1" x14ac:dyDescent="0.3">
      <c r="G2542" s="459"/>
      <c r="H2542" s="459">
        <v>2535</v>
      </c>
      <c r="I2542" s="444">
        <f t="shared" ca="1" si="130"/>
        <v>-12784064080.705858</v>
      </c>
      <c r="J2542" s="444">
        <f t="array" ref="J2542">IFERROR(INDEX('Retirement Calculator'!K:K,MATCH('Lorri 401b'!N2542,'Retirement Calculator'!A:A,0),0),0)</f>
        <v>0</v>
      </c>
      <c r="K2542" s="444">
        <f t="shared" ca="1" si="128"/>
        <v>-53266933.669607744</v>
      </c>
      <c r="L2542" s="444">
        <f t="shared" ca="1" si="129"/>
        <v>-12837331014.375465</v>
      </c>
      <c r="M2542" s="460">
        <f t="shared" si="131"/>
        <v>0.05</v>
      </c>
      <c r="N2542" s="464">
        <f t="shared" si="132"/>
        <v>128414</v>
      </c>
    </row>
    <row r="2543" spans="7:14" ht="11.25" customHeight="1" x14ac:dyDescent="0.3">
      <c r="G2543" s="459"/>
      <c r="H2543" s="459">
        <v>2536</v>
      </c>
      <c r="I2543" s="444">
        <f t="shared" ca="1" si="130"/>
        <v>-12837331014.375465</v>
      </c>
      <c r="J2543" s="444">
        <f t="array" ref="J2543">IFERROR(INDEX('Retirement Calculator'!K:K,MATCH('Lorri 401b'!N2543,'Retirement Calculator'!A:A,0),0),0)</f>
        <v>0</v>
      </c>
      <c r="K2543" s="444">
        <f t="shared" ca="1" si="128"/>
        <v>-53488879.226564437</v>
      </c>
      <c r="L2543" s="444">
        <f t="shared" ca="1" si="129"/>
        <v>-12890819893.60203</v>
      </c>
      <c r="M2543" s="460">
        <f t="shared" si="131"/>
        <v>0.05</v>
      </c>
      <c r="N2543" s="464">
        <f t="shared" si="132"/>
        <v>128445</v>
      </c>
    </row>
    <row r="2544" spans="7:14" ht="11.25" customHeight="1" x14ac:dyDescent="0.3">
      <c r="G2544" s="459"/>
      <c r="H2544" s="459">
        <v>2537</v>
      </c>
      <c r="I2544" s="444">
        <f t="shared" ca="1" si="130"/>
        <v>-12890819893.60203</v>
      </c>
      <c r="J2544" s="444">
        <f t="array" ref="J2544">IFERROR(INDEX('Retirement Calculator'!K:K,MATCH('Lorri 401b'!N2544,'Retirement Calculator'!A:A,0),0),0)</f>
        <v>0</v>
      </c>
      <c r="K2544" s="444">
        <f t="shared" ca="1" si="128"/>
        <v>-53711749.556675121</v>
      </c>
      <c r="L2544" s="444">
        <f t="shared" ca="1" si="129"/>
        <v>-12944531643.158705</v>
      </c>
      <c r="M2544" s="460">
        <f t="shared" si="131"/>
        <v>0.05</v>
      </c>
      <c r="N2544" s="464">
        <f t="shared" si="132"/>
        <v>128475</v>
      </c>
    </row>
    <row r="2545" spans="7:14" ht="11.25" customHeight="1" x14ac:dyDescent="0.3">
      <c r="G2545" s="459"/>
      <c r="H2545" s="459">
        <v>2538</v>
      </c>
      <c r="I2545" s="444">
        <f t="shared" ca="1" si="130"/>
        <v>-12944531643.158705</v>
      </c>
      <c r="J2545" s="444">
        <f t="array" ref="J2545">IFERROR(INDEX('Retirement Calculator'!K:K,MATCH('Lorri 401b'!N2545,'Retirement Calculator'!A:A,0),0),0)</f>
        <v>0</v>
      </c>
      <c r="K2545" s="444">
        <f t="shared" ca="1" si="128"/>
        <v>-53935548.513161272</v>
      </c>
      <c r="L2545" s="444">
        <f t="shared" ca="1" si="129"/>
        <v>-12998467191.671865</v>
      </c>
      <c r="M2545" s="460">
        <f t="shared" si="131"/>
        <v>0.05</v>
      </c>
      <c r="N2545" s="464">
        <f t="shared" si="132"/>
        <v>128506</v>
      </c>
    </row>
    <row r="2546" spans="7:14" ht="11.25" customHeight="1" x14ac:dyDescent="0.3">
      <c r="G2546" s="459"/>
      <c r="H2546" s="459">
        <v>2539</v>
      </c>
      <c r="I2546" s="444">
        <f t="shared" ca="1" si="130"/>
        <v>-12998467191.671865</v>
      </c>
      <c r="J2546" s="444">
        <f t="array" ref="J2546">IFERROR(INDEX('Retirement Calculator'!K:K,MATCH('Lorri 401b'!N2546,'Retirement Calculator'!A:A,0),0),0)</f>
        <v>0</v>
      </c>
      <c r="K2546" s="444">
        <f t="shared" ca="1" si="128"/>
        <v>-54160279.965299435</v>
      </c>
      <c r="L2546" s="444">
        <f t="shared" ca="1" si="129"/>
        <v>-13052627471.637165</v>
      </c>
      <c r="M2546" s="460">
        <f t="shared" si="131"/>
        <v>0.05</v>
      </c>
      <c r="N2546" s="464">
        <f t="shared" si="132"/>
        <v>128536</v>
      </c>
    </row>
    <row r="2547" spans="7:14" ht="11.25" customHeight="1" x14ac:dyDescent="0.3">
      <c r="G2547" s="459"/>
      <c r="H2547" s="459">
        <v>2540</v>
      </c>
      <c r="I2547" s="444">
        <f t="shared" ca="1" si="130"/>
        <v>-13052627471.637165</v>
      </c>
      <c r="J2547" s="444">
        <f t="array" ref="J2547">IFERROR(INDEX('Retirement Calculator'!K:K,MATCH('Lorri 401b'!N2547,'Retirement Calculator'!A:A,0),0),0)</f>
        <v>0</v>
      </c>
      <c r="K2547" s="444">
        <f t="shared" ca="1" si="128"/>
        <v>-54385947.798488185</v>
      </c>
      <c r="L2547" s="444">
        <f t="shared" ca="1" si="129"/>
        <v>-13107013419.435654</v>
      </c>
      <c r="M2547" s="460">
        <f t="shared" si="131"/>
        <v>0.05</v>
      </c>
      <c r="N2547" s="464">
        <f t="shared" si="132"/>
        <v>128567</v>
      </c>
    </row>
    <row r="2548" spans="7:14" ht="11.25" customHeight="1" x14ac:dyDescent="0.3">
      <c r="G2548" s="459"/>
      <c r="H2548" s="459">
        <v>2541</v>
      </c>
      <c r="I2548" s="444">
        <f t="shared" ca="1" si="130"/>
        <v>-13107013419.435654</v>
      </c>
      <c r="J2548" s="444">
        <f t="array" ref="J2548">IFERROR(INDEX('Retirement Calculator'!K:K,MATCH('Lorri 401b'!N2548,'Retirement Calculator'!A:A,0),0),0)</f>
        <v>0</v>
      </c>
      <c r="K2548" s="444">
        <f t="shared" ca="1" si="128"/>
        <v>-54612555.914315224</v>
      </c>
      <c r="L2548" s="444">
        <f t="shared" ca="1" si="129"/>
        <v>-13161625975.349968</v>
      </c>
      <c r="M2548" s="460">
        <f t="shared" si="131"/>
        <v>0.05</v>
      </c>
      <c r="N2548" s="464">
        <f t="shared" si="132"/>
        <v>128598</v>
      </c>
    </row>
    <row r="2549" spans="7:14" ht="11.25" customHeight="1" x14ac:dyDescent="0.3">
      <c r="G2549" s="459"/>
      <c r="H2549" s="459">
        <v>2542</v>
      </c>
      <c r="I2549" s="444">
        <f t="shared" ca="1" si="130"/>
        <v>-13161625975.349968</v>
      </c>
      <c r="J2549" s="444">
        <f t="array" ref="J2549">IFERROR(INDEX('Retirement Calculator'!K:K,MATCH('Lorri 401b'!N2549,'Retirement Calculator'!A:A,0),0),0)</f>
        <v>0</v>
      </c>
      <c r="K2549" s="444">
        <f t="shared" ca="1" si="128"/>
        <v>-54840108.230624862</v>
      </c>
      <c r="L2549" s="444">
        <f t="shared" ca="1" si="129"/>
        <v>-13216466083.580593</v>
      </c>
      <c r="M2549" s="460">
        <f t="shared" si="131"/>
        <v>0.05</v>
      </c>
      <c r="N2549" s="464">
        <f t="shared" si="132"/>
        <v>128627</v>
      </c>
    </row>
    <row r="2550" spans="7:14" ht="11.25" customHeight="1" x14ac:dyDescent="0.3">
      <c r="G2550" s="459"/>
      <c r="H2550" s="459">
        <v>2543</v>
      </c>
      <c r="I2550" s="444">
        <f t="shared" ca="1" si="130"/>
        <v>-13216466083.580593</v>
      </c>
      <c r="J2550" s="444">
        <f t="array" ref="J2550">IFERROR(INDEX('Retirement Calculator'!K:K,MATCH('Lorri 401b'!N2550,'Retirement Calculator'!A:A,0),0),0)</f>
        <v>0</v>
      </c>
      <c r="K2550" s="444">
        <f t="shared" ca="1" si="128"/>
        <v>-55068608.681585804</v>
      </c>
      <c r="L2550" s="444">
        <f t="shared" ca="1" si="129"/>
        <v>-13271534692.262178</v>
      </c>
      <c r="M2550" s="460">
        <f t="shared" si="131"/>
        <v>0.05</v>
      </c>
      <c r="N2550" s="464">
        <f t="shared" si="132"/>
        <v>128658</v>
      </c>
    </row>
    <row r="2551" spans="7:14" ht="11.25" customHeight="1" x14ac:dyDescent="0.3">
      <c r="G2551" s="459"/>
      <c r="H2551" s="459">
        <v>2544</v>
      </c>
      <c r="I2551" s="444">
        <f t="shared" ca="1" si="130"/>
        <v>-13271534692.262178</v>
      </c>
      <c r="J2551" s="444">
        <f t="array" ref="J2551">IFERROR(INDEX('Retirement Calculator'!K:K,MATCH('Lorri 401b'!N2551,'Retirement Calculator'!A:A,0),0),0)</f>
        <v>0</v>
      </c>
      <c r="K2551" s="444">
        <f t="shared" ca="1" si="128"/>
        <v>-55298061.217759073</v>
      </c>
      <c r="L2551" s="444">
        <f t="shared" ca="1" si="129"/>
        <v>-13326832753.479937</v>
      </c>
      <c r="M2551" s="460">
        <f t="shared" si="131"/>
        <v>0.05</v>
      </c>
      <c r="N2551" s="464">
        <f t="shared" si="132"/>
        <v>128688</v>
      </c>
    </row>
    <row r="2552" spans="7:14" ht="11.25" customHeight="1" x14ac:dyDescent="0.3">
      <c r="G2552" s="459"/>
      <c r="H2552" s="459">
        <v>2545</v>
      </c>
      <c r="I2552" s="444">
        <f t="shared" ca="1" si="130"/>
        <v>-13326832753.479937</v>
      </c>
      <c r="J2552" s="444">
        <f t="array" ref="J2552">IFERROR(INDEX('Retirement Calculator'!K:K,MATCH('Lorri 401b'!N2552,'Retirement Calculator'!A:A,0),0),0)</f>
        <v>0</v>
      </c>
      <c r="K2552" s="444">
        <f t="shared" ca="1" si="128"/>
        <v>-55528469.806166403</v>
      </c>
      <c r="L2552" s="444">
        <f t="shared" ca="1" si="129"/>
        <v>-13382361223.286102</v>
      </c>
      <c r="M2552" s="460">
        <f t="shared" si="131"/>
        <v>0.05</v>
      </c>
      <c r="N2552" s="464">
        <f t="shared" si="132"/>
        <v>128719</v>
      </c>
    </row>
    <row r="2553" spans="7:14" ht="11.25" customHeight="1" x14ac:dyDescent="0.3">
      <c r="G2553" s="459"/>
      <c r="H2553" s="459">
        <v>2546</v>
      </c>
      <c r="I2553" s="444">
        <f t="shared" ca="1" si="130"/>
        <v>-13382361223.286102</v>
      </c>
      <c r="J2553" s="444">
        <f t="array" ref="J2553">IFERROR(INDEX('Retirement Calculator'!K:K,MATCH('Lorri 401b'!N2553,'Retirement Calculator'!A:A,0),0),0)</f>
        <v>0</v>
      </c>
      <c r="K2553" s="444">
        <f t="shared" ca="1" si="128"/>
        <v>-55759838.43035876</v>
      </c>
      <c r="L2553" s="444">
        <f t="shared" ca="1" si="129"/>
        <v>-13438121061.716461</v>
      </c>
      <c r="M2553" s="460">
        <f t="shared" si="131"/>
        <v>0.05</v>
      </c>
      <c r="N2553" s="464">
        <f t="shared" si="132"/>
        <v>128749</v>
      </c>
    </row>
    <row r="2554" spans="7:14" ht="11.25" customHeight="1" x14ac:dyDescent="0.3">
      <c r="G2554" s="459"/>
      <c r="H2554" s="459">
        <v>2547</v>
      </c>
      <c r="I2554" s="444">
        <f t="shared" ca="1" si="130"/>
        <v>-13438121061.716461</v>
      </c>
      <c r="J2554" s="444">
        <f t="array" ref="J2554">IFERROR(INDEX('Retirement Calculator'!K:K,MATCH('Lorri 401b'!N2554,'Retirement Calculator'!A:A,0),0),0)</f>
        <v>0</v>
      </c>
      <c r="K2554" s="444">
        <f t="shared" ca="1" si="128"/>
        <v>-55992171.09048526</v>
      </c>
      <c r="L2554" s="444">
        <f t="shared" ca="1" si="129"/>
        <v>-13494113232.806946</v>
      </c>
      <c r="M2554" s="460">
        <f t="shared" si="131"/>
        <v>0.05</v>
      </c>
      <c r="N2554" s="464">
        <f t="shared" si="132"/>
        <v>128780</v>
      </c>
    </row>
    <row r="2555" spans="7:14" ht="11.25" customHeight="1" x14ac:dyDescent="0.3">
      <c r="G2555" s="459"/>
      <c r="H2555" s="459">
        <v>2548</v>
      </c>
      <c r="I2555" s="444">
        <f t="shared" ca="1" si="130"/>
        <v>-13494113232.806946</v>
      </c>
      <c r="J2555" s="444">
        <f t="array" ref="J2555">IFERROR(INDEX('Retirement Calculator'!K:K,MATCH('Lorri 401b'!N2555,'Retirement Calculator'!A:A,0),0),0)</f>
        <v>0</v>
      </c>
      <c r="K2555" s="444">
        <f t="shared" ca="1" si="128"/>
        <v>-56225471.803362273</v>
      </c>
      <c r="L2555" s="444">
        <f t="shared" ca="1" si="129"/>
        <v>-13550338704.610308</v>
      </c>
      <c r="M2555" s="460">
        <f t="shared" si="131"/>
        <v>0.05</v>
      </c>
      <c r="N2555" s="464">
        <f t="shared" si="132"/>
        <v>128811</v>
      </c>
    </row>
    <row r="2556" spans="7:14" ht="11.25" customHeight="1" x14ac:dyDescent="0.3">
      <c r="G2556" s="459"/>
      <c r="H2556" s="459">
        <v>2549</v>
      </c>
      <c r="I2556" s="444">
        <f t="shared" ca="1" si="130"/>
        <v>-13550338704.610308</v>
      </c>
      <c r="J2556" s="444">
        <f t="array" ref="J2556">IFERROR(INDEX('Retirement Calculator'!K:K,MATCH('Lorri 401b'!N2556,'Retirement Calculator'!A:A,0),0),0)</f>
        <v>0</v>
      </c>
      <c r="K2556" s="444">
        <f t="shared" ca="1" si="128"/>
        <v>-56459744.602542944</v>
      </c>
      <c r="L2556" s="444">
        <f t="shared" ca="1" si="129"/>
        <v>-13606798449.212851</v>
      </c>
      <c r="M2556" s="460">
        <f t="shared" si="131"/>
        <v>0.05</v>
      </c>
      <c r="N2556" s="464">
        <f t="shared" si="132"/>
        <v>128841</v>
      </c>
    </row>
    <row r="2557" spans="7:14" ht="11.25" customHeight="1" x14ac:dyDescent="0.3">
      <c r="G2557" s="459"/>
      <c r="H2557" s="459">
        <v>2550</v>
      </c>
      <c r="I2557" s="444">
        <f t="shared" ca="1" si="130"/>
        <v>-13606798449.212851</v>
      </c>
      <c r="J2557" s="444">
        <f t="array" ref="J2557">IFERROR(INDEX('Retirement Calculator'!K:K,MATCH('Lorri 401b'!N2557,'Retirement Calculator'!A:A,0),0),0)</f>
        <v>0</v>
      </c>
      <c r="K2557" s="444">
        <f t="shared" ca="1" si="128"/>
        <v>-56694993.538386866</v>
      </c>
      <c r="L2557" s="444">
        <f t="shared" ca="1" si="129"/>
        <v>-13663493442.751238</v>
      </c>
      <c r="M2557" s="460">
        <f t="shared" si="131"/>
        <v>0.05</v>
      </c>
      <c r="N2557" s="464">
        <f t="shared" si="132"/>
        <v>128872</v>
      </c>
    </row>
    <row r="2558" spans="7:14" ht="11.25" customHeight="1" x14ac:dyDescent="0.3">
      <c r="G2558" s="459"/>
      <c r="H2558" s="459">
        <v>2551</v>
      </c>
      <c r="I2558" s="444">
        <f t="shared" ca="1" si="130"/>
        <v>-13663493442.751238</v>
      </c>
      <c r="J2558" s="444">
        <f t="array" ref="J2558">IFERROR(INDEX('Retirement Calculator'!K:K,MATCH('Lorri 401b'!N2558,'Retirement Calculator'!A:A,0),0),0)</f>
        <v>0</v>
      </c>
      <c r="K2558" s="444">
        <f t="shared" ref="K2558:K2812" ca="1" si="133">IPMT(M2558/12,1,12,-I2558+J2558,,0)</f>
        <v>-56931222.678130157</v>
      </c>
      <c r="L2558" s="444">
        <f t="shared" ref="L2558:L2812" ca="1" si="134">I2558-J2558+K2558</f>
        <v>-13720424665.429369</v>
      </c>
      <c r="M2558" s="460">
        <f t="shared" si="131"/>
        <v>0.05</v>
      </c>
      <c r="N2558" s="464">
        <f t="shared" si="132"/>
        <v>128902</v>
      </c>
    </row>
    <row r="2559" spans="7:14" ht="11.25" customHeight="1" x14ac:dyDescent="0.3">
      <c r="G2559" s="459"/>
      <c r="H2559" s="459">
        <v>2552</v>
      </c>
      <c r="I2559" s="444">
        <f t="shared" ref="I2559:I2813" ca="1" si="135">L2558</f>
        <v>-13720424665.429369</v>
      </c>
      <c r="J2559" s="444">
        <f t="array" ref="J2559">IFERROR(INDEX('Retirement Calculator'!K:K,MATCH('Lorri 401b'!N2559,'Retirement Calculator'!A:A,0),0),0)</f>
        <v>0</v>
      </c>
      <c r="K2559" s="444">
        <f t="shared" ca="1" si="133"/>
        <v>-57168436.105955705</v>
      </c>
      <c r="L2559" s="444">
        <f t="shared" ca="1" si="134"/>
        <v>-13777593101.535324</v>
      </c>
      <c r="M2559" s="460">
        <f t="shared" ref="M2559:M2813" si="136">M2558</f>
        <v>0.05</v>
      </c>
      <c r="N2559" s="464">
        <f t="shared" ref="N2559:N2813" si="137">EDATE(N2558,1)</f>
        <v>128933</v>
      </c>
    </row>
    <row r="2560" spans="7:14" ht="11.25" customHeight="1" x14ac:dyDescent="0.3">
      <c r="G2560" s="459"/>
      <c r="H2560" s="459">
        <v>2553</v>
      </c>
      <c r="I2560" s="444">
        <f t="shared" ca="1" si="135"/>
        <v>-13777593101.535324</v>
      </c>
      <c r="J2560" s="444">
        <f t="array" ref="J2560">IFERROR(INDEX('Retirement Calculator'!K:K,MATCH('Lorri 401b'!N2560,'Retirement Calculator'!A:A,0),0),0)</f>
        <v>0</v>
      </c>
      <c r="K2560" s="444">
        <f t="shared" ca="1" si="133"/>
        <v>-57406637.923063859</v>
      </c>
      <c r="L2560" s="444">
        <f t="shared" ca="1" si="134"/>
        <v>-13834999739.458387</v>
      </c>
      <c r="M2560" s="460">
        <f t="shared" si="136"/>
        <v>0.05</v>
      </c>
      <c r="N2560" s="464">
        <f t="shared" si="137"/>
        <v>128964</v>
      </c>
    </row>
    <row r="2561" spans="7:14" ht="11.25" customHeight="1" x14ac:dyDescent="0.3">
      <c r="G2561" s="459"/>
      <c r="H2561" s="459">
        <v>2554</v>
      </c>
      <c r="I2561" s="444">
        <f t="shared" ca="1" si="135"/>
        <v>-13834999739.458387</v>
      </c>
      <c r="J2561" s="444">
        <f t="array" ref="J2561">IFERROR(INDEX('Retirement Calculator'!K:K,MATCH('Lorri 401b'!N2561,'Retirement Calculator'!A:A,0),0),0)</f>
        <v>0</v>
      </c>
      <c r="K2561" s="444">
        <f t="shared" ca="1" si="133"/>
        <v>-57645832.247743279</v>
      </c>
      <c r="L2561" s="444">
        <f t="shared" ca="1" si="134"/>
        <v>-13892645571.706131</v>
      </c>
      <c r="M2561" s="460">
        <f t="shared" si="136"/>
        <v>0.05</v>
      </c>
      <c r="N2561" s="464">
        <f t="shared" si="137"/>
        <v>128992</v>
      </c>
    </row>
    <row r="2562" spans="7:14" ht="11.25" customHeight="1" x14ac:dyDescent="0.3">
      <c r="G2562" s="459"/>
      <c r="H2562" s="459">
        <v>2555</v>
      </c>
      <c r="I2562" s="444">
        <f t="shared" ca="1" si="135"/>
        <v>-13892645571.706131</v>
      </c>
      <c r="J2562" s="444">
        <f t="array" ref="J2562">IFERROR(INDEX('Retirement Calculator'!K:K,MATCH('Lorri 401b'!N2562,'Retirement Calculator'!A:A,0),0),0)</f>
        <v>0</v>
      </c>
      <c r="K2562" s="444">
        <f t="shared" ca="1" si="133"/>
        <v>-57886023.21544221</v>
      </c>
      <c r="L2562" s="444">
        <f t="shared" ca="1" si="134"/>
        <v>-13950531594.921574</v>
      </c>
      <c r="M2562" s="460">
        <f t="shared" si="136"/>
        <v>0.05</v>
      </c>
      <c r="N2562" s="464">
        <f t="shared" si="137"/>
        <v>129023</v>
      </c>
    </row>
    <row r="2563" spans="7:14" ht="11.25" customHeight="1" x14ac:dyDescent="0.3">
      <c r="G2563" s="459"/>
      <c r="H2563" s="459">
        <v>2556</v>
      </c>
      <c r="I2563" s="444">
        <f t="shared" ca="1" si="135"/>
        <v>-13950531594.921574</v>
      </c>
      <c r="J2563" s="444">
        <f t="array" ref="J2563">IFERROR(INDEX('Retirement Calculator'!K:K,MATCH('Lorri 401b'!N2563,'Retirement Calculator'!A:A,0),0),0)</f>
        <v>0</v>
      </c>
      <c r="K2563" s="444">
        <f t="shared" ca="1" si="133"/>
        <v>-58127214.978839882</v>
      </c>
      <c r="L2563" s="444">
        <f t="shared" ca="1" si="134"/>
        <v>-14008658809.900414</v>
      </c>
      <c r="M2563" s="460">
        <f t="shared" si="136"/>
        <v>0.05</v>
      </c>
      <c r="N2563" s="464">
        <f t="shared" si="137"/>
        <v>129053</v>
      </c>
    </row>
    <row r="2564" spans="7:14" ht="11.25" customHeight="1" x14ac:dyDescent="0.3">
      <c r="G2564" s="459"/>
      <c r="H2564" s="459">
        <v>2557</v>
      </c>
      <c r="I2564" s="444">
        <f t="shared" ca="1" si="135"/>
        <v>-14008658809.900414</v>
      </c>
      <c r="J2564" s="444">
        <f t="array" ref="J2564">IFERROR(INDEX('Retirement Calculator'!K:K,MATCH('Lorri 401b'!N2564,'Retirement Calculator'!A:A,0),0),0)</f>
        <v>0</v>
      </c>
      <c r="K2564" s="444">
        <f t="shared" ca="1" si="133"/>
        <v>-58369411.707918391</v>
      </c>
      <c r="L2564" s="444">
        <f t="shared" ca="1" si="134"/>
        <v>-14067028221.608332</v>
      </c>
      <c r="M2564" s="460">
        <f t="shared" si="136"/>
        <v>0.05</v>
      </c>
      <c r="N2564" s="464">
        <f t="shared" si="137"/>
        <v>129084</v>
      </c>
    </row>
    <row r="2565" spans="7:14" ht="11.25" customHeight="1" x14ac:dyDescent="0.3">
      <c r="G2565" s="459"/>
      <c r="H2565" s="459">
        <v>2558</v>
      </c>
      <c r="I2565" s="444">
        <f t="shared" ca="1" si="135"/>
        <v>-14067028221.608332</v>
      </c>
      <c r="J2565" s="444">
        <f t="array" ref="J2565">IFERROR(INDEX('Retirement Calculator'!K:K,MATCH('Lorri 401b'!N2565,'Retirement Calculator'!A:A,0),0),0)</f>
        <v>0</v>
      </c>
      <c r="K2565" s="444">
        <f t="shared" ca="1" si="133"/>
        <v>-58612617.590034716</v>
      </c>
      <c r="L2565" s="444">
        <f t="shared" ca="1" si="134"/>
        <v>-14125640839.198366</v>
      </c>
      <c r="M2565" s="460">
        <f t="shared" si="136"/>
        <v>0.05</v>
      </c>
      <c r="N2565" s="464">
        <f t="shared" si="137"/>
        <v>129114</v>
      </c>
    </row>
    <row r="2566" spans="7:14" ht="11.25" customHeight="1" x14ac:dyDescent="0.3">
      <c r="G2566" s="459"/>
      <c r="H2566" s="459">
        <v>2559</v>
      </c>
      <c r="I2566" s="444">
        <f t="shared" ca="1" si="135"/>
        <v>-14125640839.198366</v>
      </c>
      <c r="J2566" s="444">
        <f t="array" ref="J2566">IFERROR(INDEX('Retirement Calculator'!K:K,MATCH('Lorri 401b'!N2566,'Retirement Calculator'!A:A,0),0),0)</f>
        <v>0</v>
      </c>
      <c r="K2566" s="444">
        <f t="shared" ca="1" si="133"/>
        <v>-58856836.829993196</v>
      </c>
      <c r="L2566" s="444">
        <f t="shared" ca="1" si="134"/>
        <v>-14184497676.028358</v>
      </c>
      <c r="M2566" s="460">
        <f t="shared" si="136"/>
        <v>0.05</v>
      </c>
      <c r="N2566" s="464">
        <f t="shared" si="137"/>
        <v>129145</v>
      </c>
    </row>
    <row r="2567" spans="7:14" ht="11.25" customHeight="1" x14ac:dyDescent="0.3">
      <c r="G2567" s="459"/>
      <c r="H2567" s="459">
        <v>2560</v>
      </c>
      <c r="I2567" s="444">
        <f t="shared" ca="1" si="135"/>
        <v>-14184497676.028358</v>
      </c>
      <c r="J2567" s="444">
        <f t="array" ref="J2567">IFERROR(INDEX('Retirement Calculator'!K:K,MATCH('Lorri 401b'!N2567,'Retirement Calculator'!A:A,0),0),0)</f>
        <v>0</v>
      </c>
      <c r="K2567" s="444">
        <f t="shared" ca="1" si="133"/>
        <v>-59102073.65011815</v>
      </c>
      <c r="L2567" s="444">
        <f t="shared" ca="1" si="134"/>
        <v>-14243599749.678476</v>
      </c>
      <c r="M2567" s="460">
        <f t="shared" si="136"/>
        <v>0.05</v>
      </c>
      <c r="N2567" s="464">
        <f t="shared" si="137"/>
        <v>129176</v>
      </c>
    </row>
    <row r="2568" spans="7:14" ht="11.25" customHeight="1" x14ac:dyDescent="0.3">
      <c r="G2568" s="459"/>
      <c r="H2568" s="459">
        <v>2561</v>
      </c>
      <c r="I2568" s="444">
        <f t="shared" ca="1" si="135"/>
        <v>-14243599749.678476</v>
      </c>
      <c r="J2568" s="444">
        <f t="array" ref="J2568">IFERROR(INDEX('Retirement Calculator'!K:K,MATCH('Lorri 401b'!N2568,'Retirement Calculator'!A:A,0),0),0)</f>
        <v>0</v>
      </c>
      <c r="K2568" s="444">
        <f t="shared" ca="1" si="133"/>
        <v>-59348332.290326983</v>
      </c>
      <c r="L2568" s="444">
        <f t="shared" ca="1" si="134"/>
        <v>-14302948081.968803</v>
      </c>
      <c r="M2568" s="460">
        <f t="shared" si="136"/>
        <v>0.05</v>
      </c>
      <c r="N2568" s="464">
        <f t="shared" si="137"/>
        <v>129206</v>
      </c>
    </row>
    <row r="2569" spans="7:14" ht="11.25" customHeight="1" x14ac:dyDescent="0.3">
      <c r="G2569" s="459"/>
      <c r="H2569" s="459">
        <v>2562</v>
      </c>
      <c r="I2569" s="444">
        <f t="shared" ca="1" si="135"/>
        <v>-14302948081.968803</v>
      </c>
      <c r="J2569" s="444">
        <f t="array" ref="J2569">IFERROR(INDEX('Retirement Calculator'!K:K,MATCH('Lorri 401b'!N2569,'Retirement Calculator'!A:A,0),0),0)</f>
        <v>0</v>
      </c>
      <c r="K2569" s="444">
        <f t="shared" ca="1" si="133"/>
        <v>-59595617.00820335</v>
      </c>
      <c r="L2569" s="444">
        <f t="shared" ca="1" si="134"/>
        <v>-14362543698.977007</v>
      </c>
      <c r="M2569" s="460">
        <f t="shared" si="136"/>
        <v>0.05</v>
      </c>
      <c r="N2569" s="464">
        <f t="shared" si="137"/>
        <v>129237</v>
      </c>
    </row>
    <row r="2570" spans="7:14" ht="11.25" customHeight="1" x14ac:dyDescent="0.3">
      <c r="G2570" s="459"/>
      <c r="H2570" s="459">
        <v>2563</v>
      </c>
      <c r="I2570" s="444">
        <f t="shared" ca="1" si="135"/>
        <v>-14362543698.977007</v>
      </c>
      <c r="J2570" s="444">
        <f t="array" ref="J2570">IFERROR(INDEX('Retirement Calculator'!K:K,MATCH('Lorri 401b'!N2570,'Retirement Calculator'!A:A,0),0),0)</f>
        <v>0</v>
      </c>
      <c r="K2570" s="444">
        <f t="shared" ca="1" si="133"/>
        <v>-59843932.079070859</v>
      </c>
      <c r="L2570" s="444">
        <f t="shared" ca="1" si="134"/>
        <v>-14422387631.056078</v>
      </c>
      <c r="M2570" s="460">
        <f t="shared" si="136"/>
        <v>0.05</v>
      </c>
      <c r="N2570" s="464">
        <f t="shared" si="137"/>
        <v>129267</v>
      </c>
    </row>
    <row r="2571" spans="7:14" ht="11.25" customHeight="1" x14ac:dyDescent="0.3">
      <c r="G2571" s="459"/>
      <c r="H2571" s="459">
        <v>2564</v>
      </c>
      <c r="I2571" s="444">
        <f t="shared" ca="1" si="135"/>
        <v>-14422387631.056078</v>
      </c>
      <c r="J2571" s="444">
        <f t="array" ref="J2571">IFERROR(INDEX('Retirement Calculator'!K:K,MATCH('Lorri 401b'!N2571,'Retirement Calculator'!A:A,0),0),0)</f>
        <v>0</v>
      </c>
      <c r="K2571" s="444">
        <f t="shared" ca="1" si="133"/>
        <v>-60093281.796066992</v>
      </c>
      <c r="L2571" s="444">
        <f t="shared" ca="1" si="134"/>
        <v>-14482480912.852144</v>
      </c>
      <c r="M2571" s="460">
        <f t="shared" si="136"/>
        <v>0.05</v>
      </c>
      <c r="N2571" s="464">
        <f t="shared" si="137"/>
        <v>129298</v>
      </c>
    </row>
    <row r="2572" spans="7:14" ht="11.25" customHeight="1" x14ac:dyDescent="0.3">
      <c r="G2572" s="459"/>
      <c r="H2572" s="459">
        <v>2565</v>
      </c>
      <c r="I2572" s="444">
        <f t="shared" ca="1" si="135"/>
        <v>-14482480912.852144</v>
      </c>
      <c r="J2572" s="444">
        <f t="array" ref="J2572">IFERROR(INDEX('Retirement Calculator'!K:K,MATCH('Lorri 401b'!N2572,'Retirement Calculator'!A:A,0),0),0)</f>
        <v>0</v>
      </c>
      <c r="K2572" s="444">
        <f t="shared" ca="1" si="133"/>
        <v>-60343670.470217273</v>
      </c>
      <c r="L2572" s="444">
        <f t="shared" ca="1" si="134"/>
        <v>-14542824583.322361</v>
      </c>
      <c r="M2572" s="460">
        <f t="shared" si="136"/>
        <v>0.05</v>
      </c>
      <c r="N2572" s="464">
        <f t="shared" si="137"/>
        <v>129329</v>
      </c>
    </row>
    <row r="2573" spans="7:14" ht="11.25" customHeight="1" x14ac:dyDescent="0.3">
      <c r="G2573" s="459"/>
      <c r="H2573" s="459">
        <v>2566</v>
      </c>
      <c r="I2573" s="444">
        <f t="shared" ca="1" si="135"/>
        <v>-14542824583.322361</v>
      </c>
      <c r="J2573" s="444">
        <f t="array" ref="J2573">IFERROR(INDEX('Retirement Calculator'!K:K,MATCH('Lorri 401b'!N2573,'Retirement Calculator'!A:A,0),0),0)</f>
        <v>0</v>
      </c>
      <c r="K2573" s="444">
        <f t="shared" ca="1" si="133"/>
        <v>-60595102.430509835</v>
      </c>
      <c r="L2573" s="444">
        <f t="shared" ca="1" si="134"/>
        <v>-14603419685.752871</v>
      </c>
      <c r="M2573" s="460">
        <f t="shared" si="136"/>
        <v>0.05</v>
      </c>
      <c r="N2573" s="464">
        <f t="shared" si="137"/>
        <v>129357</v>
      </c>
    </row>
    <row r="2574" spans="7:14" ht="11.25" customHeight="1" x14ac:dyDescent="0.3">
      <c r="G2574" s="459"/>
      <c r="H2574" s="459">
        <v>2567</v>
      </c>
      <c r="I2574" s="444">
        <f t="shared" ca="1" si="135"/>
        <v>-14603419685.752871</v>
      </c>
      <c r="J2574" s="444">
        <f t="array" ref="J2574">IFERROR(INDEX('Retirement Calculator'!K:K,MATCH('Lorri 401b'!N2574,'Retirement Calculator'!A:A,0),0),0)</f>
        <v>0</v>
      </c>
      <c r="K2574" s="444">
        <f t="shared" ca="1" si="133"/>
        <v>-60847582.023970291</v>
      </c>
      <c r="L2574" s="444">
        <f t="shared" ca="1" si="134"/>
        <v>-14664267267.77684</v>
      </c>
      <c r="M2574" s="460">
        <f t="shared" si="136"/>
        <v>0.05</v>
      </c>
      <c r="N2574" s="464">
        <f t="shared" si="137"/>
        <v>129388</v>
      </c>
    </row>
    <row r="2575" spans="7:14" ht="11.25" customHeight="1" x14ac:dyDescent="0.3">
      <c r="G2575" s="459"/>
      <c r="H2575" s="459">
        <v>2568</v>
      </c>
      <c r="I2575" s="444">
        <f t="shared" ca="1" si="135"/>
        <v>-14664267267.77684</v>
      </c>
      <c r="J2575" s="444">
        <f t="array" ref="J2575">IFERROR(INDEX('Retirement Calculator'!K:K,MATCH('Lorri 401b'!N2575,'Retirement Calculator'!A:A,0),0),0)</f>
        <v>0</v>
      </c>
      <c r="K2575" s="444">
        <f t="shared" ca="1" si="133"/>
        <v>-61101113.615736835</v>
      </c>
      <c r="L2575" s="444">
        <f t="shared" ca="1" si="134"/>
        <v>-14725368381.392576</v>
      </c>
      <c r="M2575" s="460">
        <f t="shared" si="136"/>
        <v>0.05</v>
      </c>
      <c r="N2575" s="464">
        <f t="shared" si="137"/>
        <v>129418</v>
      </c>
    </row>
    <row r="2576" spans="7:14" ht="11.25" customHeight="1" x14ac:dyDescent="0.3">
      <c r="G2576" s="459"/>
      <c r="H2576" s="459">
        <v>2569</v>
      </c>
      <c r="I2576" s="444">
        <f t="shared" ca="1" si="135"/>
        <v>-14725368381.392576</v>
      </c>
      <c r="J2576" s="444">
        <f t="array" ref="J2576">IFERROR(INDEX('Retirement Calculator'!K:K,MATCH('Lorri 401b'!N2576,'Retirement Calculator'!A:A,0),0),0)</f>
        <v>0</v>
      </c>
      <c r="K2576" s="444">
        <f t="shared" ca="1" si="133"/>
        <v>-61355701.589135729</v>
      </c>
      <c r="L2576" s="444">
        <f t="shared" ca="1" si="134"/>
        <v>-14786724082.981712</v>
      </c>
      <c r="M2576" s="460">
        <f t="shared" si="136"/>
        <v>0.05</v>
      </c>
      <c r="N2576" s="464">
        <f t="shared" si="137"/>
        <v>129449</v>
      </c>
    </row>
    <row r="2577" spans="7:14" ht="11.25" customHeight="1" x14ac:dyDescent="0.3">
      <c r="G2577" s="459"/>
      <c r="H2577" s="459">
        <v>2570</v>
      </c>
      <c r="I2577" s="444">
        <f t="shared" ca="1" si="135"/>
        <v>-14786724082.981712</v>
      </c>
      <c r="J2577" s="444">
        <f t="array" ref="J2577">IFERROR(INDEX('Retirement Calculator'!K:K,MATCH('Lorri 401b'!N2577,'Retirement Calculator'!A:A,0),0),0)</f>
        <v>0</v>
      </c>
      <c r="K2577" s="444">
        <f t="shared" ca="1" si="133"/>
        <v>-61611350.345757134</v>
      </c>
      <c r="L2577" s="444">
        <f t="shared" ca="1" si="134"/>
        <v>-14848335433.327469</v>
      </c>
      <c r="M2577" s="460">
        <f t="shared" si="136"/>
        <v>0.05</v>
      </c>
      <c r="N2577" s="464">
        <f t="shared" si="137"/>
        <v>129479</v>
      </c>
    </row>
    <row r="2578" spans="7:14" ht="11.25" customHeight="1" x14ac:dyDescent="0.3">
      <c r="G2578" s="459"/>
      <c r="H2578" s="459">
        <v>2571</v>
      </c>
      <c r="I2578" s="444">
        <f t="shared" ca="1" si="135"/>
        <v>-14848335433.327469</v>
      </c>
      <c r="J2578" s="444">
        <f t="array" ref="J2578">IFERROR(INDEX('Retirement Calculator'!K:K,MATCH('Lorri 401b'!N2578,'Retirement Calculator'!A:A,0),0),0)</f>
        <v>0</v>
      </c>
      <c r="K2578" s="444">
        <f t="shared" ca="1" si="133"/>
        <v>-61868064.305531129</v>
      </c>
      <c r="L2578" s="444">
        <f t="shared" ca="1" si="134"/>
        <v>-14910203497.632999</v>
      </c>
      <c r="M2578" s="460">
        <f t="shared" si="136"/>
        <v>0.05</v>
      </c>
      <c r="N2578" s="464">
        <f t="shared" si="137"/>
        <v>129510</v>
      </c>
    </row>
    <row r="2579" spans="7:14" ht="11.25" customHeight="1" x14ac:dyDescent="0.3">
      <c r="G2579" s="459"/>
      <c r="H2579" s="459">
        <v>2572</v>
      </c>
      <c r="I2579" s="444">
        <f t="shared" ca="1" si="135"/>
        <v>-14910203497.632999</v>
      </c>
      <c r="J2579" s="444">
        <f t="array" ref="J2579">IFERROR(INDEX('Retirement Calculator'!K:K,MATCH('Lorri 401b'!N2579,'Retirement Calculator'!A:A,0),0),0)</f>
        <v>0</v>
      </c>
      <c r="K2579" s="444">
        <f t="shared" ca="1" si="133"/>
        <v>-62125847.906804152</v>
      </c>
      <c r="L2579" s="444">
        <f t="shared" ca="1" si="134"/>
        <v>-14972329345.539804</v>
      </c>
      <c r="M2579" s="460">
        <f t="shared" si="136"/>
        <v>0.05</v>
      </c>
      <c r="N2579" s="464">
        <f t="shared" si="137"/>
        <v>129541</v>
      </c>
    </row>
    <row r="2580" spans="7:14" ht="11.25" customHeight="1" x14ac:dyDescent="0.3">
      <c r="G2580" s="459"/>
      <c r="H2580" s="459">
        <v>2573</v>
      </c>
      <c r="I2580" s="444">
        <f t="shared" ca="1" si="135"/>
        <v>-14972329345.539804</v>
      </c>
      <c r="J2580" s="444">
        <f t="array" ref="J2580">IFERROR(INDEX('Retirement Calculator'!K:K,MATCH('Lorri 401b'!N2580,'Retirement Calculator'!A:A,0),0),0)</f>
        <v>0</v>
      </c>
      <c r="K2580" s="444">
        <f t="shared" ca="1" si="133"/>
        <v>-62384705.606415853</v>
      </c>
      <c r="L2580" s="444">
        <f t="shared" ca="1" si="134"/>
        <v>-15034714051.146221</v>
      </c>
      <c r="M2580" s="460">
        <f t="shared" si="136"/>
        <v>0.05</v>
      </c>
      <c r="N2580" s="464">
        <f t="shared" si="137"/>
        <v>129571</v>
      </c>
    </row>
    <row r="2581" spans="7:14" ht="11.25" customHeight="1" x14ac:dyDescent="0.3">
      <c r="G2581" s="459"/>
      <c r="H2581" s="459">
        <v>2574</v>
      </c>
      <c r="I2581" s="444">
        <f t="shared" ca="1" si="135"/>
        <v>-15034714051.146221</v>
      </c>
      <c r="J2581" s="444">
        <f t="array" ref="J2581">IFERROR(INDEX('Retirement Calculator'!K:K,MATCH('Lorri 401b'!N2581,'Retirement Calculator'!A:A,0),0),0)</f>
        <v>0</v>
      </c>
      <c r="K2581" s="444">
        <f t="shared" ca="1" si="133"/>
        <v>-62644641.879775912</v>
      </c>
      <c r="L2581" s="444">
        <f t="shared" ca="1" si="134"/>
        <v>-15097358693.025997</v>
      </c>
      <c r="M2581" s="460">
        <f t="shared" si="136"/>
        <v>0.05</v>
      </c>
      <c r="N2581" s="464">
        <f t="shared" si="137"/>
        <v>129602</v>
      </c>
    </row>
    <row r="2582" spans="7:14" ht="11.25" customHeight="1" x14ac:dyDescent="0.3">
      <c r="G2582" s="459"/>
      <c r="H2582" s="459">
        <v>2575</v>
      </c>
      <c r="I2582" s="444">
        <f t="shared" ca="1" si="135"/>
        <v>-15097358693.025997</v>
      </c>
      <c r="J2582" s="444">
        <f t="array" ref="J2582">IFERROR(INDEX('Retirement Calculator'!K:K,MATCH('Lorri 401b'!N2582,'Retirement Calculator'!A:A,0),0),0)</f>
        <v>0</v>
      </c>
      <c r="K2582" s="444">
        <f t="shared" ca="1" si="133"/>
        <v>-62905661.220941648</v>
      </c>
      <c r="L2582" s="444">
        <f t="shared" ca="1" si="134"/>
        <v>-15160264354.246939</v>
      </c>
      <c r="M2582" s="460">
        <f t="shared" si="136"/>
        <v>0.05</v>
      </c>
      <c r="N2582" s="464">
        <f t="shared" si="137"/>
        <v>129632</v>
      </c>
    </row>
    <row r="2583" spans="7:14" ht="11.25" customHeight="1" x14ac:dyDescent="0.3">
      <c r="G2583" s="459"/>
      <c r="H2583" s="459">
        <v>2576</v>
      </c>
      <c r="I2583" s="444">
        <f t="shared" ca="1" si="135"/>
        <v>-15160264354.246939</v>
      </c>
      <c r="J2583" s="444">
        <f t="array" ref="J2583">IFERROR(INDEX('Retirement Calculator'!K:K,MATCH('Lorri 401b'!N2583,'Retirement Calculator'!A:A,0),0),0)</f>
        <v>0</v>
      </c>
      <c r="K2583" s="444">
        <f t="shared" ca="1" si="133"/>
        <v>-63167768.142695576</v>
      </c>
      <c r="L2583" s="444">
        <f t="shared" ca="1" si="134"/>
        <v>-15223432122.389635</v>
      </c>
      <c r="M2583" s="460">
        <f t="shared" si="136"/>
        <v>0.05</v>
      </c>
      <c r="N2583" s="464">
        <f t="shared" si="137"/>
        <v>129663</v>
      </c>
    </row>
    <row r="2584" spans="7:14" ht="11.25" customHeight="1" x14ac:dyDescent="0.3">
      <c r="G2584" s="459"/>
      <c r="H2584" s="459">
        <v>2577</v>
      </c>
      <c r="I2584" s="444">
        <f t="shared" ca="1" si="135"/>
        <v>-15223432122.389635</v>
      </c>
      <c r="J2584" s="444">
        <f t="array" ref="J2584">IFERROR(INDEX('Retirement Calculator'!K:K,MATCH('Lorri 401b'!N2584,'Retirement Calculator'!A:A,0),0),0)</f>
        <v>0</v>
      </c>
      <c r="K2584" s="444">
        <f t="shared" ca="1" si="133"/>
        <v>-63430967.176623479</v>
      </c>
      <c r="L2584" s="444">
        <f t="shared" ca="1" si="134"/>
        <v>-15286863089.566259</v>
      </c>
      <c r="M2584" s="460">
        <f t="shared" si="136"/>
        <v>0.05</v>
      </c>
      <c r="N2584" s="464">
        <f t="shared" si="137"/>
        <v>129694</v>
      </c>
    </row>
    <row r="2585" spans="7:14" ht="11.25" customHeight="1" x14ac:dyDescent="0.3">
      <c r="G2585" s="459"/>
      <c r="H2585" s="459">
        <v>2578</v>
      </c>
      <c r="I2585" s="444">
        <f t="shared" ca="1" si="135"/>
        <v>-15286863089.566259</v>
      </c>
      <c r="J2585" s="444">
        <f t="array" ref="J2585">IFERROR(INDEX('Retirement Calculator'!K:K,MATCH('Lorri 401b'!N2585,'Retirement Calculator'!A:A,0),0),0)</f>
        <v>0</v>
      </c>
      <c r="K2585" s="444">
        <f t="shared" ca="1" si="133"/>
        <v>-63695262.87319275</v>
      </c>
      <c r="L2585" s="444">
        <f t="shared" ca="1" si="134"/>
        <v>-15350558352.439451</v>
      </c>
      <c r="M2585" s="460">
        <f t="shared" si="136"/>
        <v>0.05</v>
      </c>
      <c r="N2585" s="464">
        <f t="shared" si="137"/>
        <v>129722</v>
      </c>
    </row>
    <row r="2586" spans="7:14" ht="11.25" customHeight="1" x14ac:dyDescent="0.3">
      <c r="G2586" s="459"/>
      <c r="H2586" s="459">
        <v>2579</v>
      </c>
      <c r="I2586" s="444">
        <f t="shared" ca="1" si="135"/>
        <v>-15350558352.439451</v>
      </c>
      <c r="J2586" s="444">
        <f t="array" ref="J2586">IFERROR(INDEX('Retirement Calculator'!K:K,MATCH('Lorri 401b'!N2586,'Retirement Calculator'!A:A,0),0),0)</f>
        <v>0</v>
      </c>
      <c r="K2586" s="444">
        <f t="shared" ca="1" si="133"/>
        <v>-63960659.801831044</v>
      </c>
      <c r="L2586" s="444">
        <f t="shared" ca="1" si="134"/>
        <v>-15414519012.241282</v>
      </c>
      <c r="M2586" s="460">
        <f t="shared" si="136"/>
        <v>0.05</v>
      </c>
      <c r="N2586" s="464">
        <f t="shared" si="137"/>
        <v>129753</v>
      </c>
    </row>
    <row r="2587" spans="7:14" ht="11.25" customHeight="1" x14ac:dyDescent="0.3">
      <c r="G2587" s="459"/>
      <c r="H2587" s="459">
        <v>2580</v>
      </c>
      <c r="I2587" s="444">
        <f t="shared" ca="1" si="135"/>
        <v>-15414519012.241282</v>
      </c>
      <c r="J2587" s="444">
        <f t="array" ref="J2587">IFERROR(INDEX('Retirement Calculator'!K:K,MATCH('Lorri 401b'!N2587,'Retirement Calculator'!A:A,0),0),0)</f>
        <v>0</v>
      </c>
      <c r="K2587" s="444">
        <f t="shared" ca="1" si="133"/>
        <v>-64227162.551005341</v>
      </c>
      <c r="L2587" s="444">
        <f t="shared" ca="1" si="134"/>
        <v>-15478746174.792286</v>
      </c>
      <c r="M2587" s="460">
        <f t="shared" si="136"/>
        <v>0.05</v>
      </c>
      <c r="N2587" s="464">
        <f t="shared" si="137"/>
        <v>129783</v>
      </c>
    </row>
    <row r="2588" spans="7:14" ht="11.25" customHeight="1" x14ac:dyDescent="0.3">
      <c r="G2588" s="459"/>
      <c r="H2588" s="459">
        <v>2581</v>
      </c>
      <c r="I2588" s="444">
        <f t="shared" ca="1" si="135"/>
        <v>-15478746174.792286</v>
      </c>
      <c r="J2588" s="444">
        <f t="array" ref="J2588">IFERROR(INDEX('Retirement Calculator'!K:K,MATCH('Lorri 401b'!N2588,'Retirement Calculator'!A:A,0),0),0)</f>
        <v>0</v>
      </c>
      <c r="K2588" s="444">
        <f t="shared" ca="1" si="133"/>
        <v>-64494775.72830119</v>
      </c>
      <c r="L2588" s="444">
        <f t="shared" ca="1" si="134"/>
        <v>-15543240950.520588</v>
      </c>
      <c r="M2588" s="460">
        <f t="shared" si="136"/>
        <v>0.05</v>
      </c>
      <c r="N2588" s="464">
        <f t="shared" si="137"/>
        <v>129814</v>
      </c>
    </row>
    <row r="2589" spans="7:14" ht="11.25" customHeight="1" x14ac:dyDescent="0.3">
      <c r="G2589" s="459"/>
      <c r="H2589" s="459">
        <v>2582</v>
      </c>
      <c r="I2589" s="444">
        <f t="shared" ca="1" si="135"/>
        <v>-15543240950.520588</v>
      </c>
      <c r="J2589" s="444">
        <f t="array" ref="J2589">IFERROR(INDEX('Retirement Calculator'!K:K,MATCH('Lorri 401b'!N2589,'Retirement Calculator'!A:A,0),0),0)</f>
        <v>0</v>
      </c>
      <c r="K2589" s="444">
        <f t="shared" ca="1" si="133"/>
        <v>-64763503.960502438</v>
      </c>
      <c r="L2589" s="444">
        <f t="shared" ca="1" si="134"/>
        <v>-15608004454.481091</v>
      </c>
      <c r="M2589" s="460">
        <f t="shared" si="136"/>
        <v>0.05</v>
      </c>
      <c r="N2589" s="464">
        <f t="shared" si="137"/>
        <v>129844</v>
      </c>
    </row>
    <row r="2590" spans="7:14" ht="11.25" customHeight="1" x14ac:dyDescent="0.3">
      <c r="G2590" s="459"/>
      <c r="H2590" s="459">
        <v>2583</v>
      </c>
      <c r="I2590" s="444">
        <f t="shared" ca="1" si="135"/>
        <v>-15608004454.481091</v>
      </c>
      <c r="J2590" s="444">
        <f t="array" ref="J2590">IFERROR(INDEX('Retirement Calculator'!K:K,MATCH('Lorri 401b'!N2590,'Retirement Calculator'!A:A,0),0),0)</f>
        <v>0</v>
      </c>
      <c r="K2590" s="444">
        <f t="shared" ca="1" si="133"/>
        <v>-65033351.893671207</v>
      </c>
      <c r="L2590" s="444">
        <f t="shared" ca="1" si="134"/>
        <v>-15673037806.374762</v>
      </c>
      <c r="M2590" s="460">
        <f t="shared" si="136"/>
        <v>0.05</v>
      </c>
      <c r="N2590" s="464">
        <f t="shared" si="137"/>
        <v>129875</v>
      </c>
    </row>
    <row r="2591" spans="7:14" ht="11.25" customHeight="1" x14ac:dyDescent="0.3">
      <c r="G2591" s="459"/>
      <c r="H2591" s="459">
        <v>2584</v>
      </c>
      <c r="I2591" s="444">
        <f t="shared" ca="1" si="135"/>
        <v>-15673037806.374762</v>
      </c>
      <c r="J2591" s="444">
        <f t="array" ref="J2591">IFERROR(INDEX('Retirement Calculator'!K:K,MATCH('Lorri 401b'!N2591,'Retirement Calculator'!A:A,0),0),0)</f>
        <v>0</v>
      </c>
      <c r="K2591" s="444">
        <f t="shared" ca="1" si="133"/>
        <v>-65304324.19322817</v>
      </c>
      <c r="L2591" s="444">
        <f t="shared" ca="1" si="134"/>
        <v>-15738342130.567989</v>
      </c>
      <c r="M2591" s="460">
        <f t="shared" si="136"/>
        <v>0.05</v>
      </c>
      <c r="N2591" s="464">
        <f t="shared" si="137"/>
        <v>129906</v>
      </c>
    </row>
    <row r="2592" spans="7:14" ht="11.25" customHeight="1" x14ac:dyDescent="0.3">
      <c r="G2592" s="459"/>
      <c r="H2592" s="459">
        <v>2585</v>
      </c>
      <c r="I2592" s="444">
        <f t="shared" ca="1" si="135"/>
        <v>-15738342130.567989</v>
      </c>
      <c r="J2592" s="444">
        <f t="array" ref="J2592">IFERROR(INDEX('Retirement Calculator'!K:K,MATCH('Lorri 401b'!N2592,'Retirement Calculator'!A:A,0),0),0)</f>
        <v>0</v>
      </c>
      <c r="K2592" s="444">
        <f t="shared" ca="1" si="133"/>
        <v>-65576425.544033289</v>
      </c>
      <c r="L2592" s="444">
        <f t="shared" ca="1" si="134"/>
        <v>-15803918556.112022</v>
      </c>
      <c r="M2592" s="460">
        <f t="shared" si="136"/>
        <v>0.05</v>
      </c>
      <c r="N2592" s="464">
        <f t="shared" si="137"/>
        <v>129936</v>
      </c>
    </row>
    <row r="2593" spans="7:14" ht="11.25" customHeight="1" x14ac:dyDescent="0.3">
      <c r="G2593" s="459"/>
      <c r="H2593" s="459">
        <v>2586</v>
      </c>
      <c r="I2593" s="444">
        <f t="shared" ca="1" si="135"/>
        <v>-15803918556.112022</v>
      </c>
      <c r="J2593" s="444">
        <f t="array" ref="J2593">IFERROR(INDEX('Retirement Calculator'!K:K,MATCH('Lorri 401b'!N2593,'Retirement Calculator'!A:A,0),0),0)</f>
        <v>0</v>
      </c>
      <c r="K2593" s="444">
        <f t="shared" ca="1" si="133"/>
        <v>-65849660.650466748</v>
      </c>
      <c r="L2593" s="444">
        <f t="shared" ca="1" si="134"/>
        <v>-15869768216.762489</v>
      </c>
      <c r="M2593" s="460">
        <f t="shared" si="136"/>
        <v>0.05</v>
      </c>
      <c r="N2593" s="464">
        <f t="shared" si="137"/>
        <v>129967</v>
      </c>
    </row>
    <row r="2594" spans="7:14" ht="11.25" customHeight="1" x14ac:dyDescent="0.3">
      <c r="G2594" s="459"/>
      <c r="H2594" s="459">
        <v>2587</v>
      </c>
      <c r="I2594" s="444">
        <f t="shared" ca="1" si="135"/>
        <v>-15869768216.762489</v>
      </c>
      <c r="J2594" s="444">
        <f t="array" ref="J2594">IFERROR(INDEX('Retirement Calculator'!K:K,MATCH('Lorri 401b'!N2594,'Retirement Calculator'!A:A,0),0),0)</f>
        <v>0</v>
      </c>
      <c r="K2594" s="444">
        <f t="shared" ca="1" si="133"/>
        <v>-66124034.236510374</v>
      </c>
      <c r="L2594" s="444">
        <f t="shared" ca="1" si="134"/>
        <v>-15935892250.999001</v>
      </c>
      <c r="M2594" s="460">
        <f t="shared" si="136"/>
        <v>0.05</v>
      </c>
      <c r="N2594" s="464">
        <f t="shared" si="137"/>
        <v>129997</v>
      </c>
    </row>
    <row r="2595" spans="7:14" ht="11.25" customHeight="1" x14ac:dyDescent="0.3">
      <c r="G2595" s="459"/>
      <c r="H2595" s="459">
        <v>2588</v>
      </c>
      <c r="I2595" s="444">
        <f t="shared" ca="1" si="135"/>
        <v>-15935892250.999001</v>
      </c>
      <c r="J2595" s="444">
        <f t="array" ref="J2595">IFERROR(INDEX('Retirement Calculator'!K:K,MATCH('Lorri 401b'!N2595,'Retirement Calculator'!A:A,0),0),0)</f>
        <v>0</v>
      </c>
      <c r="K2595" s="444">
        <f t="shared" ca="1" si="133"/>
        <v>-66399551.045829169</v>
      </c>
      <c r="L2595" s="444">
        <f t="shared" ca="1" si="134"/>
        <v>-16002291802.04483</v>
      </c>
      <c r="M2595" s="460">
        <f t="shared" si="136"/>
        <v>0.05</v>
      </c>
      <c r="N2595" s="464">
        <f t="shared" si="137"/>
        <v>130028</v>
      </c>
    </row>
    <row r="2596" spans="7:14" ht="11.25" customHeight="1" x14ac:dyDescent="0.3">
      <c r="G2596" s="459"/>
      <c r="H2596" s="459">
        <v>2589</v>
      </c>
      <c r="I2596" s="444">
        <f t="shared" ca="1" si="135"/>
        <v>-16002291802.04483</v>
      </c>
      <c r="J2596" s="444">
        <f t="array" ref="J2596">IFERROR(INDEX('Retirement Calculator'!K:K,MATCH('Lorri 401b'!N2596,'Retirement Calculator'!A:A,0),0),0)</f>
        <v>0</v>
      </c>
      <c r="K2596" s="444">
        <f t="shared" ca="1" si="133"/>
        <v>-66676215.841853462</v>
      </c>
      <c r="L2596" s="444">
        <f t="shared" ca="1" si="134"/>
        <v>-16068968017.886684</v>
      </c>
      <c r="M2596" s="460">
        <f t="shared" si="136"/>
        <v>0.05</v>
      </c>
      <c r="N2596" s="464">
        <f t="shared" si="137"/>
        <v>130059</v>
      </c>
    </row>
    <row r="2597" spans="7:14" ht="11.25" customHeight="1" x14ac:dyDescent="0.3">
      <c r="G2597" s="459"/>
      <c r="H2597" s="459">
        <v>2590</v>
      </c>
      <c r="I2597" s="444">
        <f t="shared" ca="1" si="135"/>
        <v>-16068968017.886684</v>
      </c>
      <c r="J2597" s="444">
        <f t="array" ref="J2597">IFERROR(INDEX('Retirement Calculator'!K:K,MATCH('Lorri 401b'!N2597,'Retirement Calculator'!A:A,0),0),0)</f>
        <v>0</v>
      </c>
      <c r="K2597" s="444">
        <f t="shared" ca="1" si="133"/>
        <v>-66954033.407861181</v>
      </c>
      <c r="L2597" s="444">
        <f t="shared" ca="1" si="134"/>
        <v>-16135922051.294546</v>
      </c>
      <c r="M2597" s="460">
        <f t="shared" si="136"/>
        <v>0.05</v>
      </c>
      <c r="N2597" s="464">
        <f t="shared" si="137"/>
        <v>130088</v>
      </c>
    </row>
    <row r="2598" spans="7:14" ht="11.25" customHeight="1" x14ac:dyDescent="0.3">
      <c r="G2598" s="459"/>
      <c r="H2598" s="459">
        <v>2591</v>
      </c>
      <c r="I2598" s="444">
        <f t="shared" ca="1" si="135"/>
        <v>-16135922051.294546</v>
      </c>
      <c r="J2598" s="444">
        <f t="array" ref="J2598">IFERROR(INDEX('Retirement Calculator'!K:K,MATCH('Lorri 401b'!N2598,'Retirement Calculator'!A:A,0),0),0)</f>
        <v>0</v>
      </c>
      <c r="K2598" s="444">
        <f t="shared" ca="1" si="133"/>
        <v>-67233008.547060609</v>
      </c>
      <c r="L2598" s="444">
        <f t="shared" ca="1" si="134"/>
        <v>-16203155059.841606</v>
      </c>
      <c r="M2598" s="460">
        <f t="shared" si="136"/>
        <v>0.05</v>
      </c>
      <c r="N2598" s="464">
        <f t="shared" si="137"/>
        <v>130119</v>
      </c>
    </row>
    <row r="2599" spans="7:14" ht="11.25" customHeight="1" x14ac:dyDescent="0.3">
      <c r="G2599" s="459"/>
      <c r="H2599" s="459">
        <v>2592</v>
      </c>
      <c r="I2599" s="444">
        <f t="shared" ca="1" si="135"/>
        <v>-16203155059.841606</v>
      </c>
      <c r="J2599" s="444">
        <f t="array" ref="J2599">IFERROR(INDEX('Retirement Calculator'!K:K,MATCH('Lorri 401b'!N2599,'Retirement Calculator'!A:A,0),0),0)</f>
        <v>0</v>
      </c>
      <c r="K2599" s="444">
        <f t="shared" ca="1" si="133"/>
        <v>-67513146.082673356</v>
      </c>
      <c r="L2599" s="444">
        <f t="shared" ca="1" si="134"/>
        <v>-16270668205.92428</v>
      </c>
      <c r="M2599" s="460">
        <f t="shared" si="136"/>
        <v>0.05</v>
      </c>
      <c r="N2599" s="464">
        <f t="shared" si="137"/>
        <v>130149</v>
      </c>
    </row>
    <row r="2600" spans="7:14" ht="11.25" customHeight="1" x14ac:dyDescent="0.3">
      <c r="G2600" s="459"/>
      <c r="H2600" s="459">
        <v>2593</v>
      </c>
      <c r="I2600" s="444">
        <f t="shared" ca="1" si="135"/>
        <v>-16270668205.92428</v>
      </c>
      <c r="J2600" s="444">
        <f t="array" ref="J2600">IFERROR(INDEX('Retirement Calculator'!K:K,MATCH('Lorri 401b'!N2600,'Retirement Calculator'!A:A,0),0),0)</f>
        <v>0</v>
      </c>
      <c r="K2600" s="444">
        <f t="shared" ca="1" si="133"/>
        <v>-67794450.858017832</v>
      </c>
      <c r="L2600" s="444">
        <f t="shared" ca="1" si="134"/>
        <v>-16338462656.782297</v>
      </c>
      <c r="M2600" s="460">
        <f t="shared" si="136"/>
        <v>0.05</v>
      </c>
      <c r="N2600" s="464">
        <f t="shared" si="137"/>
        <v>130180</v>
      </c>
    </row>
    <row r="2601" spans="7:14" ht="11.25" customHeight="1" x14ac:dyDescent="0.3">
      <c r="G2601" s="459"/>
      <c r="H2601" s="459">
        <v>2594</v>
      </c>
      <c r="I2601" s="444">
        <f t="shared" ca="1" si="135"/>
        <v>-16338462656.782297</v>
      </c>
      <c r="J2601" s="444">
        <f t="array" ref="J2601">IFERROR(INDEX('Retirement Calculator'!K:K,MATCH('Lorri 401b'!N2601,'Retirement Calculator'!A:A,0),0),0)</f>
        <v>0</v>
      </c>
      <c r="K2601" s="444">
        <f t="shared" ca="1" si="133"/>
        <v>-68076927.736592904</v>
      </c>
      <c r="L2601" s="444">
        <f t="shared" ca="1" si="134"/>
        <v>-16406539584.51889</v>
      </c>
      <c r="M2601" s="460">
        <f t="shared" si="136"/>
        <v>0.05</v>
      </c>
      <c r="N2601" s="464">
        <f t="shared" si="137"/>
        <v>130210</v>
      </c>
    </row>
    <row r="2602" spans="7:14" ht="11.25" customHeight="1" x14ac:dyDescent="0.3">
      <c r="G2602" s="459"/>
      <c r="H2602" s="459">
        <v>2595</v>
      </c>
      <c r="I2602" s="444">
        <f t="shared" ca="1" si="135"/>
        <v>-16406539584.51889</v>
      </c>
      <c r="J2602" s="444">
        <f t="array" ref="J2602">IFERROR(INDEX('Retirement Calculator'!K:K,MATCH('Lorri 401b'!N2602,'Retirement Calculator'!A:A,0),0),0)</f>
        <v>0</v>
      </c>
      <c r="K2602" s="444">
        <f t="shared" ca="1" si="133"/>
        <v>-68360581.602162048</v>
      </c>
      <c r="L2602" s="444">
        <f t="shared" ca="1" si="134"/>
        <v>-16474900166.121052</v>
      </c>
      <c r="M2602" s="460">
        <f t="shared" si="136"/>
        <v>0.05</v>
      </c>
      <c r="N2602" s="464">
        <f t="shared" si="137"/>
        <v>130241</v>
      </c>
    </row>
    <row r="2603" spans="7:14" ht="11.25" customHeight="1" x14ac:dyDescent="0.3">
      <c r="G2603" s="459"/>
      <c r="H2603" s="459">
        <v>2596</v>
      </c>
      <c r="I2603" s="444">
        <f t="shared" ca="1" si="135"/>
        <v>-16474900166.121052</v>
      </c>
      <c r="J2603" s="444">
        <f t="array" ref="J2603">IFERROR(INDEX('Retirement Calculator'!K:K,MATCH('Lorri 401b'!N2603,'Retirement Calculator'!A:A,0),0),0)</f>
        <v>0</v>
      </c>
      <c r="K2603" s="444">
        <f t="shared" ca="1" si="133"/>
        <v>-68645417.358837709</v>
      </c>
      <c r="L2603" s="444">
        <f t="shared" ca="1" si="134"/>
        <v>-16543545583.479889</v>
      </c>
      <c r="M2603" s="460">
        <f t="shared" si="136"/>
        <v>0.05</v>
      </c>
      <c r="N2603" s="464">
        <f t="shared" si="137"/>
        <v>130272</v>
      </c>
    </row>
    <row r="2604" spans="7:14" ht="11.25" customHeight="1" x14ac:dyDescent="0.3">
      <c r="G2604" s="459"/>
      <c r="H2604" s="459">
        <v>2597</v>
      </c>
      <c r="I2604" s="444">
        <f t="shared" ca="1" si="135"/>
        <v>-16543545583.479889</v>
      </c>
      <c r="J2604" s="444">
        <f t="array" ref="J2604">IFERROR(INDEX('Retirement Calculator'!K:K,MATCH('Lorri 401b'!N2604,'Retirement Calculator'!A:A,0),0),0)</f>
        <v>0</v>
      </c>
      <c r="K2604" s="444">
        <f t="shared" ca="1" si="133"/>
        <v>-68931439.931166202</v>
      </c>
      <c r="L2604" s="444">
        <f t="shared" ca="1" si="134"/>
        <v>-16612477023.411055</v>
      </c>
      <c r="M2604" s="460">
        <f t="shared" si="136"/>
        <v>0.05</v>
      </c>
      <c r="N2604" s="464">
        <f t="shared" si="137"/>
        <v>130302</v>
      </c>
    </row>
    <row r="2605" spans="7:14" ht="11.25" customHeight="1" x14ac:dyDescent="0.3">
      <c r="G2605" s="459"/>
      <c r="H2605" s="459">
        <v>2598</v>
      </c>
      <c r="I2605" s="444">
        <f t="shared" ca="1" si="135"/>
        <v>-16612477023.411055</v>
      </c>
      <c r="J2605" s="444">
        <f t="array" ref="J2605">IFERROR(INDEX('Retirement Calculator'!K:K,MATCH('Lorri 401b'!N2605,'Retirement Calculator'!A:A,0),0),0)</f>
        <v>0</v>
      </c>
      <c r="K2605" s="444">
        <f t="shared" ca="1" si="133"/>
        <v>-69218654.264212713</v>
      </c>
      <c r="L2605" s="444">
        <f t="shared" ca="1" si="134"/>
        <v>-16681695677.675268</v>
      </c>
      <c r="M2605" s="460">
        <f t="shared" si="136"/>
        <v>0.05</v>
      </c>
      <c r="N2605" s="464">
        <f t="shared" si="137"/>
        <v>130333</v>
      </c>
    </row>
    <row r="2606" spans="7:14" ht="11.25" customHeight="1" x14ac:dyDescent="0.3">
      <c r="G2606" s="459"/>
      <c r="H2606" s="459">
        <v>2599</v>
      </c>
      <c r="I2606" s="444">
        <f t="shared" ca="1" si="135"/>
        <v>-16681695677.675268</v>
      </c>
      <c r="J2606" s="444">
        <f t="array" ref="J2606">IFERROR(INDEX('Retirement Calculator'!K:K,MATCH('Lorri 401b'!N2606,'Retirement Calculator'!A:A,0),0),0)</f>
        <v>0</v>
      </c>
      <c r="K2606" s="444">
        <f t="shared" ca="1" si="133"/>
        <v>-69507065.323646948</v>
      </c>
      <c r="L2606" s="444">
        <f t="shared" ca="1" si="134"/>
        <v>-16751202742.998915</v>
      </c>
      <c r="M2606" s="460">
        <f t="shared" si="136"/>
        <v>0.05</v>
      </c>
      <c r="N2606" s="464">
        <f t="shared" si="137"/>
        <v>130363</v>
      </c>
    </row>
    <row r="2607" spans="7:14" ht="11.25" customHeight="1" x14ac:dyDescent="0.3">
      <c r="G2607" s="459"/>
      <c r="H2607" s="459">
        <v>2600</v>
      </c>
      <c r="I2607" s="444">
        <f t="shared" ca="1" si="135"/>
        <v>-16751202742.998915</v>
      </c>
      <c r="J2607" s="444">
        <f t="array" ref="J2607">IFERROR(INDEX('Retirement Calculator'!K:K,MATCH('Lorri 401b'!N2607,'Retirement Calculator'!A:A,0),0),0)</f>
        <v>0</v>
      </c>
      <c r="K2607" s="444">
        <f t="shared" ca="1" si="133"/>
        <v>-69796678.095828816</v>
      </c>
      <c r="L2607" s="444">
        <f t="shared" ca="1" si="134"/>
        <v>-16820999421.094744</v>
      </c>
      <c r="M2607" s="460">
        <f t="shared" si="136"/>
        <v>0.05</v>
      </c>
      <c r="N2607" s="464">
        <f t="shared" si="137"/>
        <v>130394</v>
      </c>
    </row>
    <row r="2608" spans="7:14" ht="11.25" customHeight="1" x14ac:dyDescent="0.3">
      <c r="G2608" s="459"/>
      <c r="H2608" s="459">
        <v>2601</v>
      </c>
      <c r="I2608" s="444">
        <f t="shared" ca="1" si="135"/>
        <v>-16820999421.094744</v>
      </c>
      <c r="J2608" s="444">
        <f t="array" ref="J2608">IFERROR(INDEX('Retirement Calculator'!K:K,MATCH('Lorri 401b'!N2608,'Retirement Calculator'!A:A,0),0),0)</f>
        <v>0</v>
      </c>
      <c r="K2608" s="444">
        <f t="shared" ca="1" si="133"/>
        <v>-70087497.587894768</v>
      </c>
      <c r="L2608" s="444">
        <f t="shared" ca="1" si="134"/>
        <v>-16891086918.682638</v>
      </c>
      <c r="M2608" s="460">
        <f t="shared" si="136"/>
        <v>0.05</v>
      </c>
      <c r="N2608" s="464">
        <f t="shared" si="137"/>
        <v>130425</v>
      </c>
    </row>
    <row r="2609" spans="7:14" ht="11.25" customHeight="1" x14ac:dyDescent="0.3">
      <c r="G2609" s="459"/>
      <c r="H2609" s="459">
        <v>2602</v>
      </c>
      <c r="I2609" s="444">
        <f t="shared" ca="1" si="135"/>
        <v>-16891086918.682638</v>
      </c>
      <c r="J2609" s="444">
        <f t="array" ref="J2609">IFERROR(INDEX('Retirement Calculator'!K:K,MATCH('Lorri 401b'!N2609,'Retirement Calculator'!A:A,0),0),0)</f>
        <v>0</v>
      </c>
      <c r="K2609" s="444">
        <f t="shared" ca="1" si="133"/>
        <v>-70379528.827844322</v>
      </c>
      <c r="L2609" s="444">
        <f t="shared" ca="1" si="134"/>
        <v>-16961466447.510483</v>
      </c>
      <c r="M2609" s="460">
        <f t="shared" si="136"/>
        <v>0.05</v>
      </c>
      <c r="N2609" s="464">
        <f t="shared" si="137"/>
        <v>130453</v>
      </c>
    </row>
    <row r="2610" spans="7:14" ht="11.25" customHeight="1" x14ac:dyDescent="0.3">
      <c r="G2610" s="459"/>
      <c r="H2610" s="459">
        <v>2603</v>
      </c>
      <c r="I2610" s="444">
        <f t="shared" ca="1" si="135"/>
        <v>-16961466447.510483</v>
      </c>
      <c r="J2610" s="444">
        <f t="array" ref="J2610">IFERROR(INDEX('Retirement Calculator'!K:K,MATCH('Lorri 401b'!N2610,'Retirement Calculator'!A:A,0),0),0)</f>
        <v>0</v>
      </c>
      <c r="K2610" s="444">
        <f t="shared" ca="1" si="133"/>
        <v>-70672776.864627004</v>
      </c>
      <c r="L2610" s="444">
        <f t="shared" ca="1" si="134"/>
        <v>-17032139224.375111</v>
      </c>
      <c r="M2610" s="460">
        <f t="shared" si="136"/>
        <v>0.05</v>
      </c>
      <c r="N2610" s="464">
        <f t="shared" si="137"/>
        <v>130484</v>
      </c>
    </row>
    <row r="2611" spans="7:14" ht="11.25" customHeight="1" x14ac:dyDescent="0.3">
      <c r="G2611" s="459"/>
      <c r="H2611" s="459">
        <v>2604</v>
      </c>
      <c r="I2611" s="444">
        <f t="shared" ca="1" si="135"/>
        <v>-17032139224.375111</v>
      </c>
      <c r="J2611" s="444">
        <f t="array" ref="J2611">IFERROR(INDEX('Retirement Calculator'!K:K,MATCH('Lorri 401b'!N2611,'Retirement Calculator'!A:A,0),0),0)</f>
        <v>0</v>
      </c>
      <c r="K2611" s="444">
        <f t="shared" ca="1" si="133"/>
        <v>-70967246.768229619</v>
      </c>
      <c r="L2611" s="444">
        <f t="shared" ca="1" si="134"/>
        <v>-17103106471.143341</v>
      </c>
      <c r="M2611" s="460">
        <f t="shared" si="136"/>
        <v>0.05</v>
      </c>
      <c r="N2611" s="464">
        <f t="shared" si="137"/>
        <v>130514</v>
      </c>
    </row>
    <row r="2612" spans="7:14" ht="11.25" customHeight="1" x14ac:dyDescent="0.3">
      <c r="G2612" s="459"/>
      <c r="H2612" s="459">
        <v>2605</v>
      </c>
      <c r="I2612" s="444">
        <f t="shared" ca="1" si="135"/>
        <v>-17103106471.143341</v>
      </c>
      <c r="J2612" s="444">
        <f t="array" ref="J2612">IFERROR(INDEX('Retirement Calculator'!K:K,MATCH('Lorri 401b'!N2612,'Retirement Calculator'!A:A,0),0),0)</f>
        <v>0</v>
      </c>
      <c r="K2612" s="444">
        <f t="shared" ca="1" si="133"/>
        <v>-71262943.629763916</v>
      </c>
      <c r="L2612" s="444">
        <f t="shared" ca="1" si="134"/>
        <v>-17174369414.773106</v>
      </c>
      <c r="M2612" s="460">
        <f t="shared" si="136"/>
        <v>0.05</v>
      </c>
      <c r="N2612" s="464">
        <f t="shared" si="137"/>
        <v>130545</v>
      </c>
    </row>
    <row r="2613" spans="7:14" ht="11.25" customHeight="1" x14ac:dyDescent="0.3">
      <c r="G2613" s="459"/>
      <c r="H2613" s="459">
        <v>2606</v>
      </c>
      <c r="I2613" s="444">
        <f t="shared" ca="1" si="135"/>
        <v>-17174369414.773106</v>
      </c>
      <c r="J2613" s="444">
        <f t="array" ref="J2613">IFERROR(INDEX('Retirement Calculator'!K:K,MATCH('Lorri 401b'!N2613,'Retirement Calculator'!A:A,0),0),0)</f>
        <v>0</v>
      </c>
      <c r="K2613" s="444">
        <f t="shared" ca="1" si="133"/>
        <v>-71559872.561554611</v>
      </c>
      <c r="L2613" s="444">
        <f t="shared" ca="1" si="134"/>
        <v>-17245929287.33466</v>
      </c>
      <c r="M2613" s="460">
        <f t="shared" si="136"/>
        <v>0.05</v>
      </c>
      <c r="N2613" s="464">
        <f t="shared" si="137"/>
        <v>130575</v>
      </c>
    </row>
    <row r="2614" spans="7:14" ht="11.25" customHeight="1" x14ac:dyDescent="0.3">
      <c r="G2614" s="459"/>
      <c r="H2614" s="459">
        <v>2607</v>
      </c>
      <c r="I2614" s="444">
        <f t="shared" ca="1" si="135"/>
        <v>-17245929287.33466</v>
      </c>
      <c r="J2614" s="444">
        <f t="array" ref="J2614">IFERROR(INDEX('Retirement Calculator'!K:K,MATCH('Lorri 401b'!N2614,'Retirement Calculator'!A:A,0),0),0)</f>
        <v>0</v>
      </c>
      <c r="K2614" s="444">
        <f t="shared" ca="1" si="133"/>
        <v>-71858038.697227746</v>
      </c>
      <c r="L2614" s="444">
        <f t="shared" ca="1" si="134"/>
        <v>-17317787326.031887</v>
      </c>
      <c r="M2614" s="460">
        <f t="shared" si="136"/>
        <v>0.05</v>
      </c>
      <c r="N2614" s="464">
        <f t="shared" si="137"/>
        <v>130606</v>
      </c>
    </row>
    <row r="2615" spans="7:14" ht="11.25" customHeight="1" x14ac:dyDescent="0.3">
      <c r="G2615" s="459"/>
      <c r="H2615" s="459">
        <v>2608</v>
      </c>
      <c r="I2615" s="444">
        <f t="shared" ca="1" si="135"/>
        <v>-17317787326.031887</v>
      </c>
      <c r="J2615" s="444">
        <f t="array" ref="J2615">IFERROR(INDEX('Retirement Calculator'!K:K,MATCH('Lorri 401b'!N2615,'Retirement Calculator'!A:A,0),0),0)</f>
        <v>0</v>
      </c>
      <c r="K2615" s="444">
        <f t="shared" ca="1" si="133"/>
        <v>-72157447.191799521</v>
      </c>
      <c r="L2615" s="444">
        <f t="shared" ca="1" si="134"/>
        <v>-17389944773.223686</v>
      </c>
      <c r="M2615" s="460">
        <f t="shared" si="136"/>
        <v>0.05</v>
      </c>
      <c r="N2615" s="464">
        <f t="shared" si="137"/>
        <v>130637</v>
      </c>
    </row>
    <row r="2616" spans="7:14" ht="11.25" customHeight="1" x14ac:dyDescent="0.3">
      <c r="G2616" s="459"/>
      <c r="H2616" s="459">
        <v>2609</v>
      </c>
      <c r="I2616" s="444">
        <f t="shared" ca="1" si="135"/>
        <v>-17389944773.223686</v>
      </c>
      <c r="J2616" s="444">
        <f t="array" ref="J2616">IFERROR(INDEX('Retirement Calculator'!K:K,MATCH('Lorri 401b'!N2616,'Retirement Calculator'!A:A,0),0),0)</f>
        <v>0</v>
      </c>
      <c r="K2616" s="444">
        <f t="shared" ca="1" si="133"/>
        <v>-72458103.221765354</v>
      </c>
      <c r="L2616" s="444">
        <f t="shared" ca="1" si="134"/>
        <v>-17462402876.44545</v>
      </c>
      <c r="M2616" s="460">
        <f t="shared" si="136"/>
        <v>0.05</v>
      </c>
      <c r="N2616" s="464">
        <f t="shared" si="137"/>
        <v>130667</v>
      </c>
    </row>
    <row r="2617" spans="7:14" ht="11.25" customHeight="1" x14ac:dyDescent="0.3">
      <c r="G2617" s="459"/>
      <c r="H2617" s="459">
        <v>2610</v>
      </c>
      <c r="I2617" s="444">
        <f t="shared" ca="1" si="135"/>
        <v>-17462402876.44545</v>
      </c>
      <c r="J2617" s="444">
        <f t="array" ref="J2617">IFERROR(INDEX('Retirement Calculator'!K:K,MATCH('Lorri 401b'!N2617,'Retirement Calculator'!A:A,0),0),0)</f>
        <v>0</v>
      </c>
      <c r="K2617" s="444">
        <f t="shared" ca="1" si="133"/>
        <v>-72760011.985189378</v>
      </c>
      <c r="L2617" s="444">
        <f t="shared" ca="1" si="134"/>
        <v>-17535162888.430637</v>
      </c>
      <c r="M2617" s="460">
        <f t="shared" si="136"/>
        <v>0.05</v>
      </c>
      <c r="N2617" s="464">
        <f t="shared" si="137"/>
        <v>130698</v>
      </c>
    </row>
    <row r="2618" spans="7:14" ht="11.25" customHeight="1" x14ac:dyDescent="0.3">
      <c r="G2618" s="459"/>
      <c r="H2618" s="459">
        <v>2611</v>
      </c>
      <c r="I2618" s="444">
        <f t="shared" ca="1" si="135"/>
        <v>-17535162888.430637</v>
      </c>
      <c r="J2618" s="444">
        <f t="array" ref="J2618">IFERROR(INDEX('Retirement Calculator'!K:K,MATCH('Lorri 401b'!N2618,'Retirement Calculator'!A:A,0),0),0)</f>
        <v>0</v>
      </c>
      <c r="K2618" s="444">
        <f t="shared" ca="1" si="133"/>
        <v>-73063178.701794326</v>
      </c>
      <c r="L2618" s="444">
        <f t="shared" ca="1" si="134"/>
        <v>-17608226067.132431</v>
      </c>
      <c r="M2618" s="460">
        <f t="shared" si="136"/>
        <v>0.05</v>
      </c>
      <c r="N2618" s="464">
        <f t="shared" si="137"/>
        <v>130728</v>
      </c>
    </row>
    <row r="2619" spans="7:14" ht="11.25" customHeight="1" x14ac:dyDescent="0.3">
      <c r="G2619" s="459"/>
      <c r="H2619" s="459">
        <v>2612</v>
      </c>
      <c r="I2619" s="444">
        <f t="shared" ca="1" si="135"/>
        <v>-17608226067.132431</v>
      </c>
      <c r="J2619" s="444">
        <f t="array" ref="J2619">IFERROR(INDEX('Retirement Calculator'!K:K,MATCH('Lorri 401b'!N2619,'Retirement Calculator'!A:A,0),0),0)</f>
        <v>0</v>
      </c>
      <c r="K2619" s="444">
        <f t="shared" ca="1" si="133"/>
        <v>-73367608.613051802</v>
      </c>
      <c r="L2619" s="444">
        <f t="shared" ca="1" si="134"/>
        <v>-17681593675.745483</v>
      </c>
      <c r="M2619" s="460">
        <f t="shared" si="136"/>
        <v>0.05</v>
      </c>
      <c r="N2619" s="464">
        <f t="shared" si="137"/>
        <v>130759</v>
      </c>
    </row>
    <row r="2620" spans="7:14" ht="11.25" customHeight="1" x14ac:dyDescent="0.3">
      <c r="G2620" s="459"/>
      <c r="H2620" s="459">
        <v>2613</v>
      </c>
      <c r="I2620" s="444">
        <f t="shared" ca="1" si="135"/>
        <v>-17681593675.745483</v>
      </c>
      <c r="J2620" s="444">
        <f t="array" ref="J2620">IFERROR(INDEX('Retirement Calculator'!K:K,MATCH('Lorri 401b'!N2620,'Retirement Calculator'!A:A,0),0),0)</f>
        <v>0</v>
      </c>
      <c r="K2620" s="444">
        <f t="shared" ca="1" si="133"/>
        <v>-73673306.982272848</v>
      </c>
      <c r="L2620" s="444">
        <f t="shared" ca="1" si="134"/>
        <v>-17755266982.727757</v>
      </c>
      <c r="M2620" s="460">
        <f t="shared" si="136"/>
        <v>0.05</v>
      </c>
      <c r="N2620" s="464">
        <f t="shared" si="137"/>
        <v>130790</v>
      </c>
    </row>
    <row r="2621" spans="7:14" ht="11.25" customHeight="1" x14ac:dyDescent="0.3">
      <c r="G2621" s="459"/>
      <c r="H2621" s="459">
        <v>2614</v>
      </c>
      <c r="I2621" s="444">
        <f t="shared" ca="1" si="135"/>
        <v>-17755266982.727757</v>
      </c>
      <c r="J2621" s="444">
        <f t="array" ref="J2621">IFERROR(INDEX('Retirement Calculator'!K:K,MATCH('Lorri 401b'!N2621,'Retirement Calculator'!A:A,0),0),0)</f>
        <v>0</v>
      </c>
      <c r="K2621" s="444">
        <f t="shared" ca="1" si="133"/>
        <v>-73980279.09469898</v>
      </c>
      <c r="L2621" s="444">
        <f t="shared" ca="1" si="134"/>
        <v>-17829247261.822456</v>
      </c>
      <c r="M2621" s="460">
        <f t="shared" si="136"/>
        <v>0.05</v>
      </c>
      <c r="N2621" s="464">
        <f t="shared" si="137"/>
        <v>130818</v>
      </c>
    </row>
    <row r="2622" spans="7:14" ht="11.25" customHeight="1" x14ac:dyDescent="0.3">
      <c r="G2622" s="459"/>
      <c r="H2622" s="459">
        <v>2615</v>
      </c>
      <c r="I2622" s="444">
        <f t="shared" ca="1" si="135"/>
        <v>-17829247261.822456</v>
      </c>
      <c r="J2622" s="444">
        <f t="array" ref="J2622">IFERROR(INDEX('Retirement Calculator'!K:K,MATCH('Lorri 401b'!N2622,'Retirement Calculator'!A:A,0),0),0)</f>
        <v>0</v>
      </c>
      <c r="K2622" s="444">
        <f t="shared" ca="1" si="133"/>
        <v>-74288530.257593572</v>
      </c>
      <c r="L2622" s="444">
        <f t="shared" ca="1" si="134"/>
        <v>-17903535792.080051</v>
      </c>
      <c r="M2622" s="460">
        <f t="shared" si="136"/>
        <v>0.05</v>
      </c>
      <c r="N2622" s="464">
        <f t="shared" si="137"/>
        <v>130849</v>
      </c>
    </row>
    <row r="2623" spans="7:14" ht="11.25" customHeight="1" x14ac:dyDescent="0.3">
      <c r="G2623" s="459"/>
      <c r="H2623" s="459">
        <v>2616</v>
      </c>
      <c r="I2623" s="444">
        <f t="shared" ca="1" si="135"/>
        <v>-17903535792.080051</v>
      </c>
      <c r="J2623" s="444">
        <f t="array" ref="J2623">IFERROR(INDEX('Retirement Calculator'!K:K,MATCH('Lorri 401b'!N2623,'Retirement Calculator'!A:A,0),0),0)</f>
        <v>0</v>
      </c>
      <c r="K2623" s="444">
        <f t="shared" ca="1" si="133"/>
        <v>-74598065.800333545</v>
      </c>
      <c r="L2623" s="444">
        <f t="shared" ca="1" si="134"/>
        <v>-17978133857.880386</v>
      </c>
      <c r="M2623" s="460">
        <f t="shared" si="136"/>
        <v>0.05</v>
      </c>
      <c r="N2623" s="464">
        <f t="shared" si="137"/>
        <v>130879</v>
      </c>
    </row>
    <row r="2624" spans="7:14" ht="11.25" customHeight="1" x14ac:dyDescent="0.3">
      <c r="G2624" s="459"/>
      <c r="H2624" s="459">
        <v>2617</v>
      </c>
      <c r="I2624" s="444">
        <f t="shared" ca="1" si="135"/>
        <v>-17978133857.880386</v>
      </c>
      <c r="J2624" s="444">
        <f t="array" ref="J2624">IFERROR(INDEX('Retirement Calculator'!K:K,MATCH('Lorri 401b'!N2624,'Retirement Calculator'!A:A,0),0),0)</f>
        <v>0</v>
      </c>
      <c r="K2624" s="444">
        <f t="shared" ca="1" si="133"/>
        <v>-74908891.074501604</v>
      </c>
      <c r="L2624" s="444">
        <f t="shared" ca="1" si="134"/>
        <v>-18053042748.954887</v>
      </c>
      <c r="M2624" s="460">
        <f t="shared" si="136"/>
        <v>0.05</v>
      </c>
      <c r="N2624" s="464">
        <f t="shared" si="137"/>
        <v>130910</v>
      </c>
    </row>
    <row r="2625" spans="7:14" ht="11.25" customHeight="1" x14ac:dyDescent="0.3">
      <c r="G2625" s="459"/>
      <c r="H2625" s="459">
        <v>2618</v>
      </c>
      <c r="I2625" s="444">
        <f t="shared" ca="1" si="135"/>
        <v>-18053042748.954887</v>
      </c>
      <c r="J2625" s="444">
        <f t="array" ref="J2625">IFERROR(INDEX('Retirement Calculator'!K:K,MATCH('Lorri 401b'!N2625,'Retirement Calculator'!A:A,0),0),0)</f>
        <v>0</v>
      </c>
      <c r="K2625" s="444">
        <f t="shared" ca="1" si="133"/>
        <v>-75221011.453978702</v>
      </c>
      <c r="L2625" s="444">
        <f t="shared" ca="1" si="134"/>
        <v>-18128263760.408867</v>
      </c>
      <c r="M2625" s="460">
        <f t="shared" si="136"/>
        <v>0.05</v>
      </c>
      <c r="N2625" s="464">
        <f t="shared" si="137"/>
        <v>130940</v>
      </c>
    </row>
    <row r="2626" spans="7:14" ht="11.25" customHeight="1" x14ac:dyDescent="0.3">
      <c r="G2626" s="459"/>
      <c r="H2626" s="459">
        <v>2619</v>
      </c>
      <c r="I2626" s="444">
        <f t="shared" ca="1" si="135"/>
        <v>-18128263760.408867</v>
      </c>
      <c r="J2626" s="444">
        <f t="array" ref="J2626">IFERROR(INDEX('Retirement Calculator'!K:K,MATCH('Lorri 401b'!N2626,'Retirement Calculator'!A:A,0),0),0)</f>
        <v>0</v>
      </c>
      <c r="K2626" s="444">
        <f t="shared" ca="1" si="133"/>
        <v>-75534432.335036948</v>
      </c>
      <c r="L2626" s="444">
        <f t="shared" ca="1" si="134"/>
        <v>-18203798192.743904</v>
      </c>
      <c r="M2626" s="460">
        <f t="shared" si="136"/>
        <v>0.05</v>
      </c>
      <c r="N2626" s="464">
        <f t="shared" si="137"/>
        <v>130971</v>
      </c>
    </row>
    <row r="2627" spans="7:14" ht="11.25" customHeight="1" x14ac:dyDescent="0.3">
      <c r="G2627" s="459"/>
      <c r="H2627" s="459">
        <v>2620</v>
      </c>
      <c r="I2627" s="444">
        <f t="shared" ca="1" si="135"/>
        <v>-18203798192.743904</v>
      </c>
      <c r="J2627" s="444">
        <f t="array" ref="J2627">IFERROR(INDEX('Retirement Calculator'!K:K,MATCH('Lorri 401b'!N2627,'Retirement Calculator'!A:A,0),0),0)</f>
        <v>0</v>
      </c>
      <c r="K2627" s="444">
        <f t="shared" ca="1" si="133"/>
        <v>-75849159.136432931</v>
      </c>
      <c r="L2627" s="444">
        <f t="shared" ca="1" si="134"/>
        <v>-18279647351.880337</v>
      </c>
      <c r="M2627" s="460">
        <f t="shared" si="136"/>
        <v>0.05</v>
      </c>
      <c r="N2627" s="464">
        <f t="shared" si="137"/>
        <v>131002</v>
      </c>
    </row>
    <row r="2628" spans="7:14" ht="11.25" customHeight="1" x14ac:dyDescent="0.3">
      <c r="G2628" s="459"/>
      <c r="H2628" s="459">
        <v>2621</v>
      </c>
      <c r="I2628" s="444">
        <f t="shared" ca="1" si="135"/>
        <v>-18279647351.880337</v>
      </c>
      <c r="J2628" s="444">
        <f t="array" ref="J2628">IFERROR(INDEX('Retirement Calculator'!K:K,MATCH('Lorri 401b'!N2628,'Retirement Calculator'!A:A,0),0),0)</f>
        <v>0</v>
      </c>
      <c r="K2628" s="444">
        <f t="shared" ca="1" si="133"/>
        <v>-76165197.299501404</v>
      </c>
      <c r="L2628" s="444">
        <f t="shared" ca="1" si="134"/>
        <v>-18355812549.179836</v>
      </c>
      <c r="M2628" s="460">
        <f t="shared" si="136"/>
        <v>0.05</v>
      </c>
      <c r="N2628" s="464">
        <f t="shared" si="137"/>
        <v>131032</v>
      </c>
    </row>
    <row r="2629" spans="7:14" ht="11.25" customHeight="1" x14ac:dyDescent="0.3">
      <c r="G2629" s="459"/>
      <c r="H2629" s="459">
        <v>2622</v>
      </c>
      <c r="I2629" s="444">
        <f t="shared" ca="1" si="135"/>
        <v>-18355812549.179836</v>
      </c>
      <c r="J2629" s="444">
        <f t="array" ref="J2629">IFERROR(INDEX('Retirement Calculator'!K:K,MATCH('Lorri 401b'!N2629,'Retirement Calculator'!A:A,0),0),0)</f>
        <v>0</v>
      </c>
      <c r="K2629" s="444">
        <f t="shared" ca="1" si="133"/>
        <v>-76482552.288249314</v>
      </c>
      <c r="L2629" s="444">
        <f t="shared" ca="1" si="134"/>
        <v>-18432295101.468086</v>
      </c>
      <c r="M2629" s="460">
        <f t="shared" si="136"/>
        <v>0.05</v>
      </c>
      <c r="N2629" s="464">
        <f t="shared" si="137"/>
        <v>131063</v>
      </c>
    </row>
    <row r="2630" spans="7:14" ht="11.25" customHeight="1" x14ac:dyDescent="0.3">
      <c r="G2630" s="459"/>
      <c r="H2630" s="459">
        <v>2623</v>
      </c>
      <c r="I2630" s="444">
        <f t="shared" ca="1" si="135"/>
        <v>-18432295101.468086</v>
      </c>
      <c r="J2630" s="444">
        <f t="array" ref="J2630">IFERROR(INDEX('Retirement Calculator'!K:K,MATCH('Lorri 401b'!N2630,'Retirement Calculator'!A:A,0),0),0)</f>
        <v>0</v>
      </c>
      <c r="K2630" s="444">
        <f t="shared" ca="1" si="133"/>
        <v>-76801229.589450359</v>
      </c>
      <c r="L2630" s="444">
        <f t="shared" ca="1" si="134"/>
        <v>-18509096331.057537</v>
      </c>
      <c r="M2630" s="460">
        <f t="shared" si="136"/>
        <v>0.05</v>
      </c>
      <c r="N2630" s="464">
        <f t="shared" si="137"/>
        <v>131093</v>
      </c>
    </row>
    <row r="2631" spans="7:14" ht="11.25" customHeight="1" x14ac:dyDescent="0.3">
      <c r="G2631" s="459"/>
      <c r="H2631" s="459">
        <v>2624</v>
      </c>
      <c r="I2631" s="444">
        <f t="shared" ca="1" si="135"/>
        <v>-18509096331.057537</v>
      </c>
      <c r="J2631" s="444">
        <f t="array" ref="J2631">IFERROR(INDEX('Retirement Calculator'!K:K,MATCH('Lorri 401b'!N2631,'Retirement Calculator'!A:A,0),0),0)</f>
        <v>0</v>
      </c>
      <c r="K2631" s="444">
        <f t="shared" ca="1" si="133"/>
        <v>-77121234.712739736</v>
      </c>
      <c r="L2631" s="444">
        <f t="shared" ca="1" si="134"/>
        <v>-18586217565.770275</v>
      </c>
      <c r="M2631" s="460">
        <f t="shared" si="136"/>
        <v>0.05</v>
      </c>
      <c r="N2631" s="464">
        <f t="shared" si="137"/>
        <v>131124</v>
      </c>
    </row>
    <row r="2632" spans="7:14" ht="11.25" customHeight="1" x14ac:dyDescent="0.3">
      <c r="G2632" s="459"/>
      <c r="H2632" s="459">
        <v>2625</v>
      </c>
      <c r="I2632" s="444">
        <f t="shared" ca="1" si="135"/>
        <v>-18586217565.770275</v>
      </c>
      <c r="J2632" s="444">
        <f t="array" ref="J2632">IFERROR(INDEX('Retirement Calculator'!K:K,MATCH('Lorri 401b'!N2632,'Retirement Calculator'!A:A,0),0),0)</f>
        <v>0</v>
      </c>
      <c r="K2632" s="444">
        <f t="shared" ca="1" si="133"/>
        <v>-77442573.190709472</v>
      </c>
      <c r="L2632" s="444">
        <f t="shared" ca="1" si="134"/>
        <v>-18663660138.960983</v>
      </c>
      <c r="M2632" s="460">
        <f t="shared" si="136"/>
        <v>0.05</v>
      </c>
      <c r="N2632" s="464">
        <f t="shared" si="137"/>
        <v>131155</v>
      </c>
    </row>
    <row r="2633" spans="7:14" ht="11.25" customHeight="1" x14ac:dyDescent="0.3">
      <c r="G2633" s="459"/>
      <c r="H2633" s="459">
        <v>2626</v>
      </c>
      <c r="I2633" s="444">
        <f t="shared" ca="1" si="135"/>
        <v>-18663660138.960983</v>
      </c>
      <c r="J2633" s="444">
        <f t="array" ref="J2633">IFERROR(INDEX('Retirement Calculator'!K:K,MATCH('Lorri 401b'!N2633,'Retirement Calculator'!A:A,0),0),0)</f>
        <v>0</v>
      </c>
      <c r="K2633" s="444">
        <f t="shared" ca="1" si="133"/>
        <v>-77765250.579004094</v>
      </c>
      <c r="L2633" s="444">
        <f t="shared" ca="1" si="134"/>
        <v>-18741425389.539986</v>
      </c>
      <c r="M2633" s="460">
        <f t="shared" si="136"/>
        <v>0.05</v>
      </c>
      <c r="N2633" s="464">
        <f t="shared" si="137"/>
        <v>131183</v>
      </c>
    </row>
    <row r="2634" spans="7:14" ht="11.25" customHeight="1" x14ac:dyDescent="0.3">
      <c r="G2634" s="459"/>
      <c r="H2634" s="459">
        <v>2627</v>
      </c>
      <c r="I2634" s="444">
        <f t="shared" ca="1" si="135"/>
        <v>-18741425389.539986</v>
      </c>
      <c r="J2634" s="444">
        <f t="array" ref="J2634">IFERROR(INDEX('Retirement Calculator'!K:K,MATCH('Lorri 401b'!N2634,'Retirement Calculator'!A:A,0),0),0)</f>
        <v>0</v>
      </c>
      <c r="K2634" s="444">
        <f t="shared" ca="1" si="133"/>
        <v>-78089272.456416607</v>
      </c>
      <c r="L2634" s="444">
        <f t="shared" ca="1" si="134"/>
        <v>-18819514661.996403</v>
      </c>
      <c r="M2634" s="460">
        <f t="shared" si="136"/>
        <v>0.05</v>
      </c>
      <c r="N2634" s="464">
        <f t="shared" si="137"/>
        <v>131214</v>
      </c>
    </row>
    <row r="2635" spans="7:14" ht="11.25" customHeight="1" x14ac:dyDescent="0.3">
      <c r="G2635" s="459"/>
      <c r="H2635" s="459">
        <v>2628</v>
      </c>
      <c r="I2635" s="444">
        <f t="shared" ca="1" si="135"/>
        <v>-18819514661.996403</v>
      </c>
      <c r="J2635" s="444">
        <f t="array" ref="J2635">IFERROR(INDEX('Retirement Calculator'!K:K,MATCH('Lorri 401b'!N2635,'Retirement Calculator'!A:A,0),0),0)</f>
        <v>0</v>
      </c>
      <c r="K2635" s="444">
        <f t="shared" ca="1" si="133"/>
        <v>-78414644.424985006</v>
      </c>
      <c r="L2635" s="444">
        <f t="shared" ca="1" si="134"/>
        <v>-18897929306.421387</v>
      </c>
      <c r="M2635" s="460">
        <f t="shared" si="136"/>
        <v>0.05</v>
      </c>
      <c r="N2635" s="464">
        <f t="shared" si="137"/>
        <v>131244</v>
      </c>
    </row>
    <row r="2636" spans="7:14" ht="11.25" customHeight="1" x14ac:dyDescent="0.3">
      <c r="G2636" s="459"/>
      <c r="H2636" s="459">
        <v>2629</v>
      </c>
      <c r="I2636" s="444">
        <f t="shared" ca="1" si="135"/>
        <v>-18897929306.421387</v>
      </c>
      <c r="J2636" s="444">
        <f t="array" ref="J2636">IFERROR(INDEX('Retirement Calculator'!K:K,MATCH('Lorri 401b'!N2636,'Retirement Calculator'!A:A,0),0),0)</f>
        <v>0</v>
      </c>
      <c r="K2636" s="444">
        <f t="shared" ca="1" si="133"/>
        <v>-78741372.110089108</v>
      </c>
      <c r="L2636" s="444">
        <f t="shared" ca="1" si="134"/>
        <v>-18976670678.531475</v>
      </c>
      <c r="M2636" s="460">
        <f t="shared" si="136"/>
        <v>0.05</v>
      </c>
      <c r="N2636" s="464">
        <f t="shared" si="137"/>
        <v>131275</v>
      </c>
    </row>
    <row r="2637" spans="7:14" ht="11.25" customHeight="1" x14ac:dyDescent="0.3">
      <c r="G2637" s="459"/>
      <c r="H2637" s="459">
        <v>2630</v>
      </c>
      <c r="I2637" s="444">
        <f t="shared" ca="1" si="135"/>
        <v>-18976670678.531475</v>
      </c>
      <c r="J2637" s="444">
        <f t="array" ref="J2637">IFERROR(INDEX('Retirement Calculator'!K:K,MATCH('Lorri 401b'!N2637,'Retirement Calculator'!A:A,0),0),0)</f>
        <v>0</v>
      </c>
      <c r="K2637" s="444">
        <f t="shared" ca="1" si="133"/>
        <v>-79069461.160547808</v>
      </c>
      <c r="L2637" s="444">
        <f t="shared" ca="1" si="134"/>
        <v>-19055740139.692024</v>
      </c>
      <c r="M2637" s="460">
        <f t="shared" si="136"/>
        <v>0.05</v>
      </c>
      <c r="N2637" s="464">
        <f t="shared" si="137"/>
        <v>131305</v>
      </c>
    </row>
    <row r="2638" spans="7:14" ht="11.25" customHeight="1" x14ac:dyDescent="0.3">
      <c r="G2638" s="459"/>
      <c r="H2638" s="459">
        <v>2631</v>
      </c>
      <c r="I2638" s="444">
        <f t="shared" ca="1" si="135"/>
        <v>-19055740139.692024</v>
      </c>
      <c r="J2638" s="444">
        <f t="array" ref="J2638">IFERROR(INDEX('Retirement Calculator'!K:K,MATCH('Lorri 401b'!N2638,'Retirement Calculator'!A:A,0),0),0)</f>
        <v>0</v>
      </c>
      <c r="K2638" s="444">
        <f t="shared" ca="1" si="133"/>
        <v>-79398917.248716772</v>
      </c>
      <c r="L2638" s="444">
        <f t="shared" ca="1" si="134"/>
        <v>-19135139056.940742</v>
      </c>
      <c r="M2638" s="460">
        <f t="shared" si="136"/>
        <v>0.05</v>
      </c>
      <c r="N2638" s="464">
        <f t="shared" si="137"/>
        <v>131336</v>
      </c>
    </row>
    <row r="2639" spans="7:14" ht="11.25" customHeight="1" x14ac:dyDescent="0.3">
      <c r="G2639" s="459"/>
      <c r="H2639" s="459">
        <v>2632</v>
      </c>
      <c r="I2639" s="444">
        <f t="shared" ca="1" si="135"/>
        <v>-19135139056.940742</v>
      </c>
      <c r="J2639" s="444">
        <f t="array" ref="J2639">IFERROR(INDEX('Retirement Calculator'!K:K,MATCH('Lorri 401b'!N2639,'Retirement Calculator'!A:A,0),0),0)</f>
        <v>0</v>
      </c>
      <c r="K2639" s="444">
        <f t="shared" ca="1" si="133"/>
        <v>-79729746.070586428</v>
      </c>
      <c r="L2639" s="444">
        <f t="shared" ca="1" si="134"/>
        <v>-19214868803.01133</v>
      </c>
      <c r="M2639" s="460">
        <f t="shared" si="136"/>
        <v>0.05</v>
      </c>
      <c r="N2639" s="464">
        <f t="shared" si="137"/>
        <v>131367</v>
      </c>
    </row>
    <row r="2640" spans="7:14" ht="11.25" customHeight="1" x14ac:dyDescent="0.3">
      <c r="G2640" s="459"/>
      <c r="H2640" s="459">
        <v>2633</v>
      </c>
      <c r="I2640" s="444">
        <f t="shared" ca="1" si="135"/>
        <v>-19214868803.01133</v>
      </c>
      <c r="J2640" s="444">
        <f t="array" ref="J2640">IFERROR(INDEX('Retirement Calculator'!K:K,MATCH('Lorri 401b'!N2640,'Retirement Calculator'!A:A,0),0),0)</f>
        <v>0</v>
      </c>
      <c r="K2640" s="444">
        <f t="shared" ca="1" si="133"/>
        <v>-80061953.345880538</v>
      </c>
      <c r="L2640" s="444">
        <f t="shared" ca="1" si="134"/>
        <v>-19294930756.357212</v>
      </c>
      <c r="M2640" s="460">
        <f t="shared" si="136"/>
        <v>0.05</v>
      </c>
      <c r="N2640" s="464">
        <f t="shared" si="137"/>
        <v>131397</v>
      </c>
    </row>
    <row r="2641" spans="7:14" ht="11.25" customHeight="1" x14ac:dyDescent="0.3">
      <c r="G2641" s="459"/>
      <c r="H2641" s="459">
        <v>2634</v>
      </c>
      <c r="I2641" s="444">
        <f t="shared" ca="1" si="135"/>
        <v>-19294930756.357212</v>
      </c>
      <c r="J2641" s="444">
        <f t="array" ref="J2641">IFERROR(INDEX('Retirement Calculator'!K:K,MATCH('Lorri 401b'!N2641,'Retirement Calculator'!A:A,0),0),0)</f>
        <v>0</v>
      </c>
      <c r="K2641" s="444">
        <f t="shared" ca="1" si="133"/>
        <v>-80395544.81815505</v>
      </c>
      <c r="L2641" s="444">
        <f t="shared" ca="1" si="134"/>
        <v>-19375326301.175365</v>
      </c>
      <c r="M2641" s="460">
        <f t="shared" si="136"/>
        <v>0.05</v>
      </c>
      <c r="N2641" s="464">
        <f t="shared" si="137"/>
        <v>131428</v>
      </c>
    </row>
    <row r="2642" spans="7:14" ht="11.25" customHeight="1" x14ac:dyDescent="0.3">
      <c r="G2642" s="459"/>
      <c r="H2642" s="459">
        <v>2635</v>
      </c>
      <c r="I2642" s="444">
        <f t="shared" ca="1" si="135"/>
        <v>-19375326301.175365</v>
      </c>
      <c r="J2642" s="444">
        <f t="array" ref="J2642">IFERROR(INDEX('Retirement Calculator'!K:K,MATCH('Lorri 401b'!N2642,'Retirement Calculator'!A:A,0),0),0)</f>
        <v>0</v>
      </c>
      <c r="K2642" s="444">
        <f t="shared" ca="1" si="133"/>
        <v>-80730526.254897356</v>
      </c>
      <c r="L2642" s="444">
        <f t="shared" ca="1" si="134"/>
        <v>-19456056827.430264</v>
      </c>
      <c r="M2642" s="460">
        <f t="shared" si="136"/>
        <v>0.05</v>
      </c>
      <c r="N2642" s="464">
        <f t="shared" si="137"/>
        <v>131458</v>
      </c>
    </row>
    <row r="2643" spans="7:14" ht="11.25" customHeight="1" x14ac:dyDescent="0.3">
      <c r="G2643" s="459"/>
      <c r="H2643" s="459">
        <v>2636</v>
      </c>
      <c r="I2643" s="444">
        <f t="shared" ca="1" si="135"/>
        <v>-19456056827.430264</v>
      </c>
      <c r="J2643" s="444">
        <f t="array" ref="J2643">IFERROR(INDEX('Retirement Calculator'!K:K,MATCH('Lorri 401b'!N2643,'Retirement Calculator'!A:A,0),0),0)</f>
        <v>0</v>
      </c>
      <c r="K2643" s="444">
        <f t="shared" ca="1" si="133"/>
        <v>-81066903.447626099</v>
      </c>
      <c r="L2643" s="444">
        <f t="shared" ca="1" si="134"/>
        <v>-19537123730.877888</v>
      </c>
      <c r="M2643" s="460">
        <f t="shared" si="136"/>
        <v>0.05</v>
      </c>
      <c r="N2643" s="464">
        <f t="shared" si="137"/>
        <v>131489</v>
      </c>
    </row>
    <row r="2644" spans="7:14" ht="11.25" customHeight="1" x14ac:dyDescent="0.3">
      <c r="G2644" s="459"/>
      <c r="H2644" s="459">
        <v>2637</v>
      </c>
      <c r="I2644" s="444">
        <f t="shared" ca="1" si="135"/>
        <v>-19537123730.877888</v>
      </c>
      <c r="J2644" s="444">
        <f t="array" ref="J2644">IFERROR(INDEX('Retirement Calculator'!K:K,MATCH('Lorri 401b'!N2644,'Retirement Calculator'!A:A,0),0),0)</f>
        <v>0</v>
      </c>
      <c r="K2644" s="444">
        <f t="shared" ca="1" si="133"/>
        <v>-81404682.211991191</v>
      </c>
      <c r="L2644" s="444">
        <f t="shared" ca="1" si="134"/>
        <v>-19618528413.089878</v>
      </c>
      <c r="M2644" s="460">
        <f t="shared" si="136"/>
        <v>0.05</v>
      </c>
      <c r="N2644" s="464">
        <f t="shared" si="137"/>
        <v>131520</v>
      </c>
    </row>
    <row r="2645" spans="7:14" ht="11.25" customHeight="1" x14ac:dyDescent="0.3">
      <c r="G2645" s="459"/>
      <c r="H2645" s="459">
        <v>2638</v>
      </c>
      <c r="I2645" s="444">
        <f t="shared" ca="1" si="135"/>
        <v>-19618528413.089878</v>
      </c>
      <c r="J2645" s="444">
        <f t="array" ref="J2645">IFERROR(INDEX('Retirement Calculator'!K:K,MATCH('Lorri 401b'!N2645,'Retirement Calculator'!A:A,0),0),0)</f>
        <v>0</v>
      </c>
      <c r="K2645" s="444">
        <f t="shared" ca="1" si="133"/>
        <v>-81743868.387874484</v>
      </c>
      <c r="L2645" s="444">
        <f t="shared" ca="1" si="134"/>
        <v>-19700272281.477753</v>
      </c>
      <c r="M2645" s="460">
        <f t="shared" si="136"/>
        <v>0.05</v>
      </c>
      <c r="N2645" s="464">
        <f t="shared" si="137"/>
        <v>131549</v>
      </c>
    </row>
    <row r="2646" spans="7:14" ht="11.25" customHeight="1" x14ac:dyDescent="0.3">
      <c r="G2646" s="459"/>
      <c r="H2646" s="459">
        <v>2639</v>
      </c>
      <c r="I2646" s="444">
        <f t="shared" ca="1" si="135"/>
        <v>-19700272281.477753</v>
      </c>
      <c r="J2646" s="444">
        <f t="array" ref="J2646">IFERROR(INDEX('Retirement Calculator'!K:K,MATCH('Lorri 401b'!N2646,'Retirement Calculator'!A:A,0),0),0)</f>
        <v>0</v>
      </c>
      <c r="K2646" s="444">
        <f t="shared" ca="1" si="133"/>
        <v>-82084467.839490637</v>
      </c>
      <c r="L2646" s="444">
        <f t="shared" ca="1" si="134"/>
        <v>-19782356749.317242</v>
      </c>
      <c r="M2646" s="460">
        <f t="shared" si="136"/>
        <v>0.05</v>
      </c>
      <c r="N2646" s="464">
        <f t="shared" si="137"/>
        <v>131580</v>
      </c>
    </row>
    <row r="2647" spans="7:14" ht="11.25" customHeight="1" x14ac:dyDescent="0.3">
      <c r="G2647" s="459"/>
      <c r="H2647" s="459">
        <v>2640</v>
      </c>
      <c r="I2647" s="444">
        <f t="shared" ca="1" si="135"/>
        <v>-19782356749.317242</v>
      </c>
      <c r="J2647" s="444">
        <f t="array" ref="J2647">IFERROR(INDEX('Retirement Calculator'!K:K,MATCH('Lorri 401b'!N2647,'Retirement Calculator'!A:A,0),0),0)</f>
        <v>0</v>
      </c>
      <c r="K2647" s="444">
        <f t="shared" ca="1" si="133"/>
        <v>-82426486.455488503</v>
      </c>
      <c r="L2647" s="444">
        <f t="shared" ca="1" si="134"/>
        <v>-19864783235.772732</v>
      </c>
      <c r="M2647" s="460">
        <f t="shared" si="136"/>
        <v>0.05</v>
      </c>
      <c r="N2647" s="464">
        <f t="shared" si="137"/>
        <v>131610</v>
      </c>
    </row>
    <row r="2648" spans="7:14" ht="11.25" customHeight="1" x14ac:dyDescent="0.3">
      <c r="G2648" s="459"/>
      <c r="H2648" s="459">
        <v>2641</v>
      </c>
      <c r="I2648" s="444">
        <f t="shared" ca="1" si="135"/>
        <v>-19864783235.772732</v>
      </c>
      <c r="J2648" s="444">
        <f t="array" ref="J2648">IFERROR(INDEX('Retirement Calculator'!K:K,MATCH('Lorri 401b'!N2648,'Retirement Calculator'!A:A,0),0),0)</f>
        <v>0</v>
      </c>
      <c r="K2648" s="444">
        <f t="shared" ca="1" si="133"/>
        <v>-82769930.149053052</v>
      </c>
      <c r="L2648" s="444">
        <f t="shared" ca="1" si="134"/>
        <v>-19947553165.921783</v>
      </c>
      <c r="M2648" s="460">
        <f t="shared" si="136"/>
        <v>0.05</v>
      </c>
      <c r="N2648" s="464">
        <f t="shared" si="137"/>
        <v>131641</v>
      </c>
    </row>
    <row r="2649" spans="7:14" ht="11.25" customHeight="1" x14ac:dyDescent="0.3">
      <c r="G2649" s="459"/>
      <c r="H2649" s="459">
        <v>2642</v>
      </c>
      <c r="I2649" s="444">
        <f t="shared" ca="1" si="135"/>
        <v>-19947553165.921783</v>
      </c>
      <c r="J2649" s="444">
        <f t="array" ref="J2649">IFERROR(INDEX('Retirement Calculator'!K:K,MATCH('Lorri 401b'!N2649,'Retirement Calculator'!A:A,0),0),0)</f>
        <v>0</v>
      </c>
      <c r="K2649" s="444">
        <f t="shared" ca="1" si="133"/>
        <v>-83114804.858007431</v>
      </c>
      <c r="L2649" s="444">
        <f t="shared" ca="1" si="134"/>
        <v>-20030667970.779793</v>
      </c>
      <c r="M2649" s="460">
        <f t="shared" si="136"/>
        <v>0.05</v>
      </c>
      <c r="N2649" s="464">
        <f t="shared" si="137"/>
        <v>131671</v>
      </c>
    </row>
    <row r="2650" spans="7:14" ht="11.25" customHeight="1" x14ac:dyDescent="0.3">
      <c r="G2650" s="459"/>
      <c r="H2650" s="459">
        <v>2643</v>
      </c>
      <c r="I2650" s="444">
        <f t="shared" ca="1" si="135"/>
        <v>-20030667970.779793</v>
      </c>
      <c r="J2650" s="444">
        <f t="array" ref="J2650">IFERROR(INDEX('Retirement Calculator'!K:K,MATCH('Lorri 401b'!N2650,'Retirement Calculator'!A:A,0),0),0)</f>
        <v>0</v>
      </c>
      <c r="K2650" s="444">
        <f t="shared" ca="1" si="133"/>
        <v>-83461116.544915795</v>
      </c>
      <c r="L2650" s="444">
        <f t="shared" ca="1" si="134"/>
        <v>-20114129087.324707</v>
      </c>
      <c r="M2650" s="460">
        <f t="shared" si="136"/>
        <v>0.05</v>
      </c>
      <c r="N2650" s="464">
        <f t="shared" si="137"/>
        <v>131702</v>
      </c>
    </row>
    <row r="2651" spans="7:14" ht="11.25" customHeight="1" x14ac:dyDescent="0.3">
      <c r="G2651" s="459"/>
      <c r="H2651" s="459">
        <v>2644</v>
      </c>
      <c r="I2651" s="444">
        <f t="shared" ca="1" si="135"/>
        <v>-20114129087.324707</v>
      </c>
      <c r="J2651" s="444">
        <f t="array" ref="J2651">IFERROR(INDEX('Retirement Calculator'!K:K,MATCH('Lorri 401b'!N2651,'Retirement Calculator'!A:A,0),0),0)</f>
        <v>0</v>
      </c>
      <c r="K2651" s="444">
        <f t="shared" ca="1" si="133"/>
        <v>-83808871.197186276</v>
      </c>
      <c r="L2651" s="444">
        <f t="shared" ca="1" si="134"/>
        <v>-20197937958.521893</v>
      </c>
      <c r="M2651" s="460">
        <f t="shared" si="136"/>
        <v>0.05</v>
      </c>
      <c r="N2651" s="464">
        <f t="shared" si="137"/>
        <v>131733</v>
      </c>
    </row>
    <row r="2652" spans="7:14" ht="11.25" customHeight="1" x14ac:dyDescent="0.3">
      <c r="G2652" s="459"/>
      <c r="H2652" s="459">
        <v>2645</v>
      </c>
      <c r="I2652" s="444">
        <f t="shared" ca="1" si="135"/>
        <v>-20197937958.521893</v>
      </c>
      <c r="J2652" s="444">
        <f t="array" ref="J2652">IFERROR(INDEX('Retirement Calculator'!K:K,MATCH('Lorri 401b'!N2652,'Retirement Calculator'!A:A,0),0),0)</f>
        <v>0</v>
      </c>
      <c r="K2652" s="444">
        <f t="shared" ca="1" si="133"/>
        <v>-84158074.827174544</v>
      </c>
      <c r="L2652" s="444">
        <f t="shared" ca="1" si="134"/>
        <v>-20282096033.349068</v>
      </c>
      <c r="M2652" s="460">
        <f t="shared" si="136"/>
        <v>0.05</v>
      </c>
      <c r="N2652" s="464">
        <f t="shared" si="137"/>
        <v>131763</v>
      </c>
    </row>
    <row r="2653" spans="7:14" ht="11.25" customHeight="1" x14ac:dyDescent="0.3">
      <c r="G2653" s="459"/>
      <c r="H2653" s="459">
        <v>2646</v>
      </c>
      <c r="I2653" s="444">
        <f t="shared" ca="1" si="135"/>
        <v>-20282096033.349068</v>
      </c>
      <c r="J2653" s="444">
        <f t="array" ref="J2653">IFERROR(INDEX('Retirement Calculator'!K:K,MATCH('Lorri 401b'!N2653,'Retirement Calculator'!A:A,0),0),0)</f>
        <v>0</v>
      </c>
      <c r="K2653" s="444">
        <f t="shared" ca="1" si="133"/>
        <v>-84508733.472287774</v>
      </c>
      <c r="L2653" s="444">
        <f t="shared" ca="1" si="134"/>
        <v>-20366604766.821354</v>
      </c>
      <c r="M2653" s="460">
        <f t="shared" si="136"/>
        <v>0.05</v>
      </c>
      <c r="N2653" s="464">
        <f t="shared" si="137"/>
        <v>131794</v>
      </c>
    </row>
    <row r="2654" spans="7:14" ht="11.25" customHeight="1" x14ac:dyDescent="0.3">
      <c r="G2654" s="459"/>
      <c r="H2654" s="459">
        <v>2647</v>
      </c>
      <c r="I2654" s="444">
        <f t="shared" ca="1" si="135"/>
        <v>-20366604766.821354</v>
      </c>
      <c r="J2654" s="444">
        <f t="array" ref="J2654">IFERROR(INDEX('Retirement Calculator'!K:K,MATCH('Lorri 401b'!N2654,'Retirement Calculator'!A:A,0),0),0)</f>
        <v>0</v>
      </c>
      <c r="K2654" s="444">
        <f t="shared" ca="1" si="133"/>
        <v>-84860853.195088968</v>
      </c>
      <c r="L2654" s="444">
        <f t="shared" ca="1" si="134"/>
        <v>-20451465620.016441</v>
      </c>
      <c r="M2654" s="460">
        <f t="shared" si="136"/>
        <v>0.05</v>
      </c>
      <c r="N2654" s="464">
        <f t="shared" si="137"/>
        <v>131824</v>
      </c>
    </row>
    <row r="2655" spans="7:14" ht="11.25" customHeight="1" x14ac:dyDescent="0.3">
      <c r="G2655" s="459"/>
      <c r="H2655" s="459">
        <v>2648</v>
      </c>
      <c r="I2655" s="444">
        <f t="shared" ca="1" si="135"/>
        <v>-20451465620.016441</v>
      </c>
      <c r="J2655" s="444">
        <f t="array" ref="J2655">IFERROR(INDEX('Retirement Calculator'!K:K,MATCH('Lorri 401b'!N2655,'Retirement Calculator'!A:A,0),0),0)</f>
        <v>0</v>
      </c>
      <c r="K2655" s="444">
        <f t="shared" ca="1" si="133"/>
        <v>-85214440.083401844</v>
      </c>
      <c r="L2655" s="444">
        <f t="shared" ca="1" si="134"/>
        <v>-20536680060.099842</v>
      </c>
      <c r="M2655" s="460">
        <f t="shared" si="136"/>
        <v>0.05</v>
      </c>
      <c r="N2655" s="464">
        <f t="shared" si="137"/>
        <v>131855</v>
      </c>
    </row>
    <row r="2656" spans="7:14" ht="11.25" customHeight="1" x14ac:dyDescent="0.3">
      <c r="G2656" s="459"/>
      <c r="H2656" s="459">
        <v>2649</v>
      </c>
      <c r="I2656" s="444">
        <f t="shared" ca="1" si="135"/>
        <v>-20536680060.099842</v>
      </c>
      <c r="J2656" s="444">
        <f t="array" ref="J2656">IFERROR(INDEX('Retirement Calculator'!K:K,MATCH('Lorri 401b'!N2656,'Retirement Calculator'!A:A,0),0),0)</f>
        <v>0</v>
      </c>
      <c r="K2656" s="444">
        <f t="shared" ca="1" si="133"/>
        <v>-85569500.250416011</v>
      </c>
      <c r="L2656" s="444">
        <f t="shared" ca="1" si="134"/>
        <v>-20622249560.350258</v>
      </c>
      <c r="M2656" s="460">
        <f t="shared" si="136"/>
        <v>0.05</v>
      </c>
      <c r="N2656" s="464">
        <f t="shared" si="137"/>
        <v>131886</v>
      </c>
    </row>
    <row r="2657" spans="7:14" ht="11.25" customHeight="1" x14ac:dyDescent="0.3">
      <c r="G2657" s="459"/>
      <c r="H2657" s="459">
        <v>2650</v>
      </c>
      <c r="I2657" s="444">
        <f t="shared" ca="1" si="135"/>
        <v>-20622249560.350258</v>
      </c>
      <c r="J2657" s="444">
        <f t="array" ref="J2657">IFERROR(INDEX('Retirement Calculator'!K:K,MATCH('Lorri 401b'!N2657,'Retirement Calculator'!A:A,0),0),0)</f>
        <v>0</v>
      </c>
      <c r="K2657" s="444">
        <f t="shared" ca="1" si="133"/>
        <v>-85926039.834792733</v>
      </c>
      <c r="L2657" s="444">
        <f t="shared" ca="1" si="134"/>
        <v>-20708175600.185051</v>
      </c>
      <c r="M2657" s="460">
        <f t="shared" si="136"/>
        <v>0.05</v>
      </c>
      <c r="N2657" s="464">
        <f t="shared" si="137"/>
        <v>131914</v>
      </c>
    </row>
    <row r="2658" spans="7:14" ht="11.25" customHeight="1" x14ac:dyDescent="0.3">
      <c r="G2658" s="459"/>
      <c r="H2658" s="459">
        <v>2651</v>
      </c>
      <c r="I2658" s="444">
        <f t="shared" ca="1" si="135"/>
        <v>-20708175600.185051</v>
      </c>
      <c r="J2658" s="444">
        <f t="array" ref="J2658">IFERROR(INDEX('Retirement Calculator'!K:K,MATCH('Lorri 401b'!N2658,'Retirement Calculator'!A:A,0),0),0)</f>
        <v>0</v>
      </c>
      <c r="K2658" s="444">
        <f t="shared" ca="1" si="133"/>
        <v>-86284065.000771046</v>
      </c>
      <c r="L2658" s="444">
        <f t="shared" ca="1" si="134"/>
        <v>-20794459665.185822</v>
      </c>
      <c r="M2658" s="460">
        <f t="shared" si="136"/>
        <v>0.05</v>
      </c>
      <c r="N2658" s="464">
        <f t="shared" si="137"/>
        <v>131945</v>
      </c>
    </row>
    <row r="2659" spans="7:14" ht="11.25" customHeight="1" x14ac:dyDescent="0.3">
      <c r="G2659" s="459"/>
      <c r="H2659" s="459">
        <v>2652</v>
      </c>
      <c r="I2659" s="444">
        <f t="shared" ca="1" si="135"/>
        <v>-20794459665.185822</v>
      </c>
      <c r="J2659" s="444">
        <f t="array" ref="J2659">IFERROR(INDEX('Retirement Calculator'!K:K,MATCH('Lorri 401b'!N2659,'Retirement Calculator'!A:A,0),0),0)</f>
        <v>0</v>
      </c>
      <c r="K2659" s="444">
        <f t="shared" ca="1" si="133"/>
        <v>-86643581.938274249</v>
      </c>
      <c r="L2659" s="444">
        <f t="shared" ca="1" si="134"/>
        <v>-20881103247.124096</v>
      </c>
      <c r="M2659" s="460">
        <f t="shared" si="136"/>
        <v>0.05</v>
      </c>
      <c r="N2659" s="464">
        <f t="shared" si="137"/>
        <v>131975</v>
      </c>
    </row>
    <row r="2660" spans="7:14" ht="11.25" customHeight="1" x14ac:dyDescent="0.3">
      <c r="G2660" s="459"/>
      <c r="H2660" s="459">
        <v>2653</v>
      </c>
      <c r="I2660" s="444">
        <f t="shared" ca="1" si="135"/>
        <v>-20881103247.124096</v>
      </c>
      <c r="J2660" s="444">
        <f t="array" ref="J2660">IFERROR(INDEX('Retirement Calculator'!K:K,MATCH('Lorri 401b'!N2660,'Retirement Calculator'!A:A,0),0),0)</f>
        <v>0</v>
      </c>
      <c r="K2660" s="444">
        <f t="shared" ca="1" si="133"/>
        <v>-87004596.863017067</v>
      </c>
      <c r="L2660" s="444">
        <f t="shared" ca="1" si="134"/>
        <v>-20968107843.987114</v>
      </c>
      <c r="M2660" s="460">
        <f t="shared" si="136"/>
        <v>0.05</v>
      </c>
      <c r="N2660" s="464">
        <f t="shared" si="137"/>
        <v>132006</v>
      </c>
    </row>
    <row r="2661" spans="7:14" ht="11.25" customHeight="1" x14ac:dyDescent="0.3">
      <c r="G2661" s="459"/>
      <c r="H2661" s="459">
        <v>2654</v>
      </c>
      <c r="I2661" s="444">
        <f t="shared" ca="1" si="135"/>
        <v>-20968107843.987114</v>
      </c>
      <c r="J2661" s="444">
        <f t="array" ref="J2661">IFERROR(INDEX('Retirement Calculator'!K:K,MATCH('Lorri 401b'!N2661,'Retirement Calculator'!A:A,0),0),0)</f>
        <v>0</v>
      </c>
      <c r="K2661" s="444">
        <f t="shared" ca="1" si="133"/>
        <v>-87367116.016612977</v>
      </c>
      <c r="L2661" s="444">
        <f t="shared" ca="1" si="134"/>
        <v>-21055474960.003727</v>
      </c>
      <c r="M2661" s="460">
        <f t="shared" si="136"/>
        <v>0.05</v>
      </c>
      <c r="N2661" s="464">
        <f t="shared" si="137"/>
        <v>132036</v>
      </c>
    </row>
    <row r="2662" spans="7:14" ht="11.25" customHeight="1" x14ac:dyDescent="0.3">
      <c r="G2662" s="459"/>
      <c r="H2662" s="459">
        <v>2655</v>
      </c>
      <c r="I2662" s="444">
        <f t="shared" ca="1" si="135"/>
        <v>-21055474960.003727</v>
      </c>
      <c r="J2662" s="444">
        <f t="array" ref="J2662">IFERROR(INDEX('Retirement Calculator'!K:K,MATCH('Lorri 401b'!N2662,'Retirement Calculator'!A:A,0),0),0)</f>
        <v>0</v>
      </c>
      <c r="K2662" s="444">
        <f t="shared" ca="1" si="133"/>
        <v>-87731145.666682199</v>
      </c>
      <c r="L2662" s="444">
        <f t="shared" ca="1" si="134"/>
        <v>-21143206105.67041</v>
      </c>
      <c r="M2662" s="460">
        <f t="shared" si="136"/>
        <v>0.05</v>
      </c>
      <c r="N2662" s="464">
        <f t="shared" si="137"/>
        <v>132067</v>
      </c>
    </row>
    <row r="2663" spans="7:14" ht="11.25" customHeight="1" x14ac:dyDescent="0.3">
      <c r="G2663" s="459"/>
      <c r="H2663" s="459">
        <v>2656</v>
      </c>
      <c r="I2663" s="444">
        <f t="shared" ca="1" si="135"/>
        <v>-21143206105.67041</v>
      </c>
      <c r="J2663" s="444">
        <f t="array" ref="J2663">IFERROR(INDEX('Retirement Calculator'!K:K,MATCH('Lorri 401b'!N2663,'Retirement Calculator'!A:A,0),0),0)</f>
        <v>0</v>
      </c>
      <c r="K2663" s="444">
        <f t="shared" ca="1" si="133"/>
        <v>-88096692.106960043</v>
      </c>
      <c r="L2663" s="444">
        <f t="shared" ca="1" si="134"/>
        <v>-21231302797.77737</v>
      </c>
      <c r="M2663" s="460">
        <f t="shared" si="136"/>
        <v>0.05</v>
      </c>
      <c r="N2663" s="464">
        <f t="shared" si="137"/>
        <v>132098</v>
      </c>
    </row>
    <row r="2664" spans="7:14" ht="11.25" customHeight="1" x14ac:dyDescent="0.3">
      <c r="G2664" s="459"/>
      <c r="H2664" s="459">
        <v>2657</v>
      </c>
      <c r="I2664" s="444">
        <f t="shared" ca="1" si="135"/>
        <v>-21231302797.77737</v>
      </c>
      <c r="J2664" s="444">
        <f t="array" ref="J2664">IFERROR(INDEX('Retirement Calculator'!K:K,MATCH('Lorri 401b'!N2664,'Retirement Calculator'!A:A,0),0),0)</f>
        <v>0</v>
      </c>
      <c r="K2664" s="444">
        <f t="shared" ca="1" si="133"/>
        <v>-88463761.657405704</v>
      </c>
      <c r="L2664" s="444">
        <f t="shared" ca="1" si="134"/>
        <v>-21319766559.434776</v>
      </c>
      <c r="M2664" s="460">
        <f t="shared" si="136"/>
        <v>0.05</v>
      </c>
      <c r="N2664" s="464">
        <f t="shared" si="137"/>
        <v>132128</v>
      </c>
    </row>
    <row r="2665" spans="7:14" ht="11.25" customHeight="1" x14ac:dyDescent="0.3">
      <c r="G2665" s="459"/>
      <c r="H2665" s="459">
        <v>2658</v>
      </c>
      <c r="I2665" s="444">
        <f t="shared" ca="1" si="135"/>
        <v>-21319766559.434776</v>
      </c>
      <c r="J2665" s="444">
        <f t="array" ref="J2665">IFERROR(INDEX('Retirement Calculator'!K:K,MATCH('Lorri 401b'!N2665,'Retirement Calculator'!A:A,0),0),0)</f>
        <v>0</v>
      </c>
      <c r="K2665" s="444">
        <f t="shared" ca="1" si="133"/>
        <v>-88832360.664311573</v>
      </c>
      <c r="L2665" s="444">
        <f t="shared" ca="1" si="134"/>
        <v>-21408598920.099087</v>
      </c>
      <c r="M2665" s="460">
        <f t="shared" si="136"/>
        <v>0.05</v>
      </c>
      <c r="N2665" s="464">
        <f t="shared" si="137"/>
        <v>132159</v>
      </c>
    </row>
    <row r="2666" spans="7:14" ht="11.25" customHeight="1" x14ac:dyDescent="0.3">
      <c r="G2666" s="459"/>
      <c r="H2666" s="459">
        <v>2659</v>
      </c>
      <c r="I2666" s="444">
        <f t="shared" ca="1" si="135"/>
        <v>-21408598920.099087</v>
      </c>
      <c r="J2666" s="444">
        <f t="array" ref="J2666">IFERROR(INDEX('Retirement Calculator'!K:K,MATCH('Lorri 401b'!N2666,'Retirement Calculator'!A:A,0),0),0)</f>
        <v>0</v>
      </c>
      <c r="K2666" s="444">
        <f t="shared" ca="1" si="133"/>
        <v>-89202495.500412866</v>
      </c>
      <c r="L2666" s="444">
        <f t="shared" ca="1" si="134"/>
        <v>-21497801415.599499</v>
      </c>
      <c r="M2666" s="460">
        <f t="shared" si="136"/>
        <v>0.05</v>
      </c>
      <c r="N2666" s="464">
        <f t="shared" si="137"/>
        <v>132189</v>
      </c>
    </row>
    <row r="2667" spans="7:14" ht="11.25" customHeight="1" x14ac:dyDescent="0.3">
      <c r="G2667" s="459"/>
      <c r="H2667" s="459">
        <v>2660</v>
      </c>
      <c r="I2667" s="444">
        <f t="shared" ca="1" si="135"/>
        <v>-21497801415.599499</v>
      </c>
      <c r="J2667" s="444">
        <f t="array" ref="J2667">IFERROR(INDEX('Retirement Calculator'!K:K,MATCH('Lorri 401b'!N2667,'Retirement Calculator'!A:A,0),0),0)</f>
        <v>0</v>
      </c>
      <c r="K2667" s="444">
        <f t="shared" ca="1" si="133"/>
        <v>-89574172.564997911</v>
      </c>
      <c r="L2667" s="444">
        <f t="shared" ca="1" si="134"/>
        <v>-21587375588.164497</v>
      </c>
      <c r="M2667" s="460">
        <f t="shared" si="136"/>
        <v>0.05</v>
      </c>
      <c r="N2667" s="464">
        <f t="shared" si="137"/>
        <v>132220</v>
      </c>
    </row>
    <row r="2668" spans="7:14" ht="11.25" customHeight="1" x14ac:dyDescent="0.3">
      <c r="G2668" s="459"/>
      <c r="H2668" s="459">
        <v>2661</v>
      </c>
      <c r="I2668" s="444">
        <f t="shared" ca="1" si="135"/>
        <v>-21587375588.164497</v>
      </c>
      <c r="J2668" s="444">
        <f t="array" ref="J2668">IFERROR(INDEX('Retirement Calculator'!K:K,MATCH('Lorri 401b'!N2668,'Retirement Calculator'!A:A,0),0),0)</f>
        <v>0</v>
      </c>
      <c r="K2668" s="444">
        <f t="shared" ca="1" si="133"/>
        <v>-89947398.28401874</v>
      </c>
      <c r="L2668" s="444">
        <f t="shared" ca="1" si="134"/>
        <v>-21677322986.448517</v>
      </c>
      <c r="M2668" s="460">
        <f t="shared" si="136"/>
        <v>0.05</v>
      </c>
      <c r="N2668" s="464">
        <f t="shared" si="137"/>
        <v>132251</v>
      </c>
    </row>
    <row r="2669" spans="7:14" ht="11.25" customHeight="1" x14ac:dyDescent="0.3">
      <c r="G2669" s="459"/>
      <c r="H2669" s="459">
        <v>2662</v>
      </c>
      <c r="I2669" s="444">
        <f t="shared" ca="1" si="135"/>
        <v>-21677322986.448517</v>
      </c>
      <c r="J2669" s="444">
        <f t="array" ref="J2669">IFERROR(INDEX('Retirement Calculator'!K:K,MATCH('Lorri 401b'!N2669,'Retirement Calculator'!A:A,0),0),0)</f>
        <v>0</v>
      </c>
      <c r="K2669" s="444">
        <f t="shared" ca="1" si="133"/>
        <v>-90322179.110202149</v>
      </c>
      <c r="L2669" s="444">
        <f t="shared" ca="1" si="134"/>
        <v>-21767645165.55872</v>
      </c>
      <c r="M2669" s="460">
        <f t="shared" si="136"/>
        <v>0.05</v>
      </c>
      <c r="N2669" s="464">
        <f t="shared" si="137"/>
        <v>132279</v>
      </c>
    </row>
    <row r="2670" spans="7:14" ht="11.25" customHeight="1" x14ac:dyDescent="0.3">
      <c r="G2670" s="459"/>
      <c r="H2670" s="459">
        <v>2663</v>
      </c>
      <c r="I2670" s="444">
        <f t="shared" ca="1" si="135"/>
        <v>-21767645165.55872</v>
      </c>
      <c r="J2670" s="444">
        <f t="array" ref="J2670">IFERROR(INDEX('Retirement Calculator'!K:K,MATCH('Lorri 401b'!N2670,'Retirement Calculator'!A:A,0),0),0)</f>
        <v>0</v>
      </c>
      <c r="K2670" s="444">
        <f t="shared" ca="1" si="133"/>
        <v>-90698521.523161337</v>
      </c>
      <c r="L2670" s="444">
        <f t="shared" ca="1" si="134"/>
        <v>-21858343687.081882</v>
      </c>
      <c r="M2670" s="460">
        <f t="shared" si="136"/>
        <v>0.05</v>
      </c>
      <c r="N2670" s="464">
        <f t="shared" si="137"/>
        <v>132310</v>
      </c>
    </row>
    <row r="2671" spans="7:14" ht="11.25" customHeight="1" x14ac:dyDescent="0.3">
      <c r="G2671" s="459"/>
      <c r="H2671" s="459">
        <v>2664</v>
      </c>
      <c r="I2671" s="444">
        <f t="shared" ca="1" si="135"/>
        <v>-21858343687.081882</v>
      </c>
      <c r="J2671" s="444">
        <f t="array" ref="J2671">IFERROR(INDEX('Retirement Calculator'!K:K,MATCH('Lorri 401b'!N2671,'Retirement Calculator'!A:A,0),0),0)</f>
        <v>0</v>
      </c>
      <c r="K2671" s="444">
        <f t="shared" ca="1" si="133"/>
        <v>-91076432.029507846</v>
      </c>
      <c r="L2671" s="444">
        <f t="shared" ca="1" si="134"/>
        <v>-21949420119.111389</v>
      </c>
      <c r="M2671" s="460">
        <f t="shared" si="136"/>
        <v>0.05</v>
      </c>
      <c r="N2671" s="464">
        <f t="shared" si="137"/>
        <v>132340</v>
      </c>
    </row>
    <row r="2672" spans="7:14" ht="11.25" customHeight="1" x14ac:dyDescent="0.3">
      <c r="G2672" s="459"/>
      <c r="H2672" s="459">
        <v>2665</v>
      </c>
      <c r="I2672" s="444">
        <f t="shared" ca="1" si="135"/>
        <v>-21949420119.111389</v>
      </c>
      <c r="J2672" s="444">
        <f t="array" ref="J2672">IFERROR(INDEX('Retirement Calculator'!K:K,MATCH('Lorri 401b'!N2672,'Retirement Calculator'!A:A,0),0),0)</f>
        <v>0</v>
      </c>
      <c r="K2672" s="444">
        <f t="shared" ca="1" si="133"/>
        <v>-91455917.162964121</v>
      </c>
      <c r="L2672" s="444">
        <f t="shared" ca="1" si="134"/>
        <v>-22040876036.274353</v>
      </c>
      <c r="M2672" s="460">
        <f t="shared" si="136"/>
        <v>0.05</v>
      </c>
      <c r="N2672" s="464">
        <f t="shared" si="137"/>
        <v>132371</v>
      </c>
    </row>
    <row r="2673" spans="7:14" ht="11.25" customHeight="1" x14ac:dyDescent="0.3">
      <c r="G2673" s="459"/>
      <c r="H2673" s="459">
        <v>2666</v>
      </c>
      <c r="I2673" s="444">
        <f t="shared" ca="1" si="135"/>
        <v>-22040876036.274353</v>
      </c>
      <c r="J2673" s="444">
        <f t="array" ref="J2673">IFERROR(INDEX('Retirement Calculator'!K:K,MATCH('Lorri 401b'!N2673,'Retirement Calculator'!A:A,0),0),0)</f>
        <v>0</v>
      </c>
      <c r="K2673" s="444">
        <f t="shared" ca="1" si="133"/>
        <v>-91836983.484476477</v>
      </c>
      <c r="L2673" s="444">
        <f t="shared" ca="1" si="134"/>
        <v>-22132713019.758831</v>
      </c>
      <c r="M2673" s="460">
        <f t="shared" si="136"/>
        <v>0.05</v>
      </c>
      <c r="N2673" s="464">
        <f t="shared" si="137"/>
        <v>132401</v>
      </c>
    </row>
    <row r="2674" spans="7:14" ht="11.25" customHeight="1" x14ac:dyDescent="0.3">
      <c r="G2674" s="459"/>
      <c r="H2674" s="459">
        <v>2667</v>
      </c>
      <c r="I2674" s="444">
        <f t="shared" ca="1" si="135"/>
        <v>-22132713019.758831</v>
      </c>
      <c r="J2674" s="444">
        <f t="array" ref="J2674">IFERROR(INDEX('Retirement Calculator'!K:K,MATCH('Lorri 401b'!N2674,'Retirement Calculator'!A:A,0),0),0)</f>
        <v>0</v>
      </c>
      <c r="K2674" s="444">
        <f t="shared" ca="1" si="133"/>
        <v>-92219637.582328469</v>
      </c>
      <c r="L2674" s="444">
        <f t="shared" ca="1" si="134"/>
        <v>-22224932657.34116</v>
      </c>
      <c r="M2674" s="460">
        <f t="shared" si="136"/>
        <v>0.05</v>
      </c>
      <c r="N2674" s="464">
        <f t="shared" si="137"/>
        <v>132432</v>
      </c>
    </row>
    <row r="2675" spans="7:14" ht="11.25" customHeight="1" x14ac:dyDescent="0.3">
      <c r="G2675" s="459"/>
      <c r="H2675" s="459">
        <v>2668</v>
      </c>
      <c r="I2675" s="444">
        <f t="shared" ca="1" si="135"/>
        <v>-22224932657.34116</v>
      </c>
      <c r="J2675" s="444">
        <f t="array" ref="J2675">IFERROR(INDEX('Retirement Calculator'!K:K,MATCH('Lorri 401b'!N2675,'Retirement Calculator'!A:A,0),0),0)</f>
        <v>0</v>
      </c>
      <c r="K2675" s="444">
        <f t="shared" ca="1" si="133"/>
        <v>-92603886.072254837</v>
      </c>
      <c r="L2675" s="444">
        <f t="shared" ca="1" si="134"/>
        <v>-22317536543.413414</v>
      </c>
      <c r="M2675" s="460">
        <f t="shared" si="136"/>
        <v>0.05</v>
      </c>
      <c r="N2675" s="464">
        <f t="shared" si="137"/>
        <v>132463</v>
      </c>
    </row>
    <row r="2676" spans="7:14" ht="11.25" customHeight="1" x14ac:dyDescent="0.3">
      <c r="G2676" s="459"/>
      <c r="H2676" s="459">
        <v>2669</v>
      </c>
      <c r="I2676" s="444">
        <f t="shared" ca="1" si="135"/>
        <v>-22317536543.413414</v>
      </c>
      <c r="J2676" s="444">
        <f t="array" ref="J2676">IFERROR(INDEX('Retirement Calculator'!K:K,MATCH('Lorri 401b'!N2676,'Retirement Calculator'!A:A,0),0),0)</f>
        <v>0</v>
      </c>
      <c r="K2676" s="444">
        <f t="shared" ca="1" si="133"/>
        <v>-92989735.597555891</v>
      </c>
      <c r="L2676" s="444">
        <f t="shared" ca="1" si="134"/>
        <v>-22410526279.010971</v>
      </c>
      <c r="M2676" s="460">
        <f t="shared" si="136"/>
        <v>0.05</v>
      </c>
      <c r="N2676" s="464">
        <f t="shared" si="137"/>
        <v>132493</v>
      </c>
    </row>
    <row r="2677" spans="7:14" ht="11.25" customHeight="1" x14ac:dyDescent="0.3">
      <c r="G2677" s="459"/>
      <c r="H2677" s="459">
        <v>2670</v>
      </c>
      <c r="I2677" s="444">
        <f t="shared" ca="1" si="135"/>
        <v>-22410526279.010971</v>
      </c>
      <c r="J2677" s="444">
        <f t="array" ref="J2677">IFERROR(INDEX('Retirement Calculator'!K:K,MATCH('Lorri 401b'!N2677,'Retirement Calculator'!A:A,0),0),0)</f>
        <v>0</v>
      </c>
      <c r="K2677" s="444">
        <f t="shared" ca="1" si="133"/>
        <v>-93377192.829212382</v>
      </c>
      <c r="L2677" s="444">
        <f t="shared" ca="1" si="134"/>
        <v>-22503903471.840183</v>
      </c>
      <c r="M2677" s="460">
        <f t="shared" si="136"/>
        <v>0.05</v>
      </c>
      <c r="N2677" s="464">
        <f t="shared" si="137"/>
        <v>132524</v>
      </c>
    </row>
    <row r="2678" spans="7:14" ht="11.25" customHeight="1" x14ac:dyDescent="0.3">
      <c r="G2678" s="459"/>
      <c r="H2678" s="459">
        <v>2671</v>
      </c>
      <c r="I2678" s="444">
        <f t="shared" ca="1" si="135"/>
        <v>-22503903471.840183</v>
      </c>
      <c r="J2678" s="444">
        <f t="array" ref="J2678">IFERROR(INDEX('Retirement Calculator'!K:K,MATCH('Lorri 401b'!N2678,'Retirement Calculator'!A:A,0),0),0)</f>
        <v>0</v>
      </c>
      <c r="K2678" s="444">
        <f t="shared" ca="1" si="133"/>
        <v>-93766264.466000766</v>
      </c>
      <c r="L2678" s="444">
        <f t="shared" ca="1" si="134"/>
        <v>-22597669736.306183</v>
      </c>
      <c r="M2678" s="460">
        <f t="shared" si="136"/>
        <v>0.05</v>
      </c>
      <c r="N2678" s="464">
        <f t="shared" si="137"/>
        <v>132554</v>
      </c>
    </row>
    <row r="2679" spans="7:14" ht="11.25" customHeight="1" x14ac:dyDescent="0.3">
      <c r="G2679" s="459"/>
      <c r="H2679" s="459">
        <v>2672</v>
      </c>
      <c r="I2679" s="444">
        <f t="shared" ca="1" si="135"/>
        <v>-22597669736.306183</v>
      </c>
      <c r="J2679" s="444">
        <f t="array" ref="J2679">IFERROR(INDEX('Retirement Calculator'!K:K,MATCH('Lorri 401b'!N2679,'Retirement Calculator'!A:A,0),0),0)</f>
        <v>0</v>
      </c>
      <c r="K2679" s="444">
        <f t="shared" ca="1" si="133"/>
        <v>-94156957.234609097</v>
      </c>
      <c r="L2679" s="444">
        <f t="shared" ca="1" si="134"/>
        <v>-22691826693.540791</v>
      </c>
      <c r="M2679" s="460">
        <f t="shared" si="136"/>
        <v>0.05</v>
      </c>
      <c r="N2679" s="464">
        <f t="shared" si="137"/>
        <v>132585</v>
      </c>
    </row>
    <row r="2680" spans="7:14" ht="11.25" customHeight="1" x14ac:dyDescent="0.3">
      <c r="G2680" s="459"/>
      <c r="H2680" s="459">
        <v>2673</v>
      </c>
      <c r="I2680" s="444">
        <f t="shared" ca="1" si="135"/>
        <v>-22691826693.540791</v>
      </c>
      <c r="J2680" s="444">
        <f t="array" ref="J2680">IFERROR(INDEX('Retirement Calculator'!K:K,MATCH('Lorri 401b'!N2680,'Retirement Calculator'!A:A,0),0),0)</f>
        <v>0</v>
      </c>
      <c r="K2680" s="444">
        <f t="shared" ca="1" si="133"/>
        <v>-94549277.889753297</v>
      </c>
      <c r="L2680" s="444">
        <f t="shared" ca="1" si="134"/>
        <v>-22786375971.430542</v>
      </c>
      <c r="M2680" s="460">
        <f t="shared" si="136"/>
        <v>0.05</v>
      </c>
      <c r="N2680" s="464">
        <f t="shared" si="137"/>
        <v>132616</v>
      </c>
    </row>
    <row r="2681" spans="7:14" ht="11.25" customHeight="1" x14ac:dyDescent="0.3">
      <c r="G2681" s="459"/>
      <c r="H2681" s="459">
        <v>2674</v>
      </c>
      <c r="I2681" s="444">
        <f t="shared" ca="1" si="135"/>
        <v>-22786375971.430542</v>
      </c>
      <c r="J2681" s="444">
        <f t="array" ref="J2681">IFERROR(INDEX('Retirement Calculator'!K:K,MATCH('Lorri 401b'!N2681,'Retirement Calculator'!A:A,0),0),0)</f>
        <v>0</v>
      </c>
      <c r="K2681" s="444">
        <f t="shared" ca="1" si="133"/>
        <v>-94943233.214293927</v>
      </c>
      <c r="L2681" s="444">
        <f t="shared" ca="1" si="134"/>
        <v>-22881319204.644836</v>
      </c>
      <c r="M2681" s="460">
        <f t="shared" si="136"/>
        <v>0.05</v>
      </c>
      <c r="N2681" s="464">
        <f t="shared" si="137"/>
        <v>132644</v>
      </c>
    </row>
    <row r="2682" spans="7:14" ht="11.25" customHeight="1" x14ac:dyDescent="0.3">
      <c r="G2682" s="459"/>
      <c r="H2682" s="459">
        <v>2675</v>
      </c>
      <c r="I2682" s="444">
        <f t="shared" ca="1" si="135"/>
        <v>-22881319204.644836</v>
      </c>
      <c r="J2682" s="444">
        <f t="array" ref="J2682">IFERROR(INDEX('Retirement Calculator'!K:K,MATCH('Lorri 401b'!N2682,'Retirement Calculator'!A:A,0),0),0)</f>
        <v>0</v>
      </c>
      <c r="K2682" s="444">
        <f t="shared" ca="1" si="133"/>
        <v>-95338830.019353479</v>
      </c>
      <c r="L2682" s="444">
        <f t="shared" ca="1" si="134"/>
        <v>-22976658034.664188</v>
      </c>
      <c r="M2682" s="460">
        <f t="shared" si="136"/>
        <v>0.05</v>
      </c>
      <c r="N2682" s="464">
        <f t="shared" si="137"/>
        <v>132675</v>
      </c>
    </row>
    <row r="2683" spans="7:14" ht="11.25" customHeight="1" x14ac:dyDescent="0.3">
      <c r="G2683" s="459"/>
      <c r="H2683" s="459">
        <v>2676</v>
      </c>
      <c r="I2683" s="444">
        <f t="shared" ca="1" si="135"/>
        <v>-22976658034.664188</v>
      </c>
      <c r="J2683" s="444">
        <f t="array" ref="J2683">IFERROR(INDEX('Retirement Calculator'!K:K,MATCH('Lorri 401b'!N2683,'Retirement Calculator'!A:A,0),0),0)</f>
        <v>0</v>
      </c>
      <c r="K2683" s="444">
        <f t="shared" ca="1" si="133"/>
        <v>-95736075.144434124</v>
      </c>
      <c r="L2683" s="444">
        <f t="shared" ca="1" si="134"/>
        <v>-23072394109.808624</v>
      </c>
      <c r="M2683" s="460">
        <f t="shared" si="136"/>
        <v>0.05</v>
      </c>
      <c r="N2683" s="464">
        <f t="shared" si="137"/>
        <v>132705</v>
      </c>
    </row>
    <row r="2684" spans="7:14" ht="11.25" customHeight="1" x14ac:dyDescent="0.3">
      <c r="G2684" s="459"/>
      <c r="H2684" s="459">
        <v>2677</v>
      </c>
      <c r="I2684" s="444">
        <f t="shared" ca="1" si="135"/>
        <v>-23072394109.808624</v>
      </c>
      <c r="J2684" s="444">
        <f t="array" ref="J2684">IFERROR(INDEX('Retirement Calculator'!K:K,MATCH('Lorri 401b'!N2684,'Retirement Calculator'!A:A,0),0),0)</f>
        <v>0</v>
      </c>
      <c r="K2684" s="444">
        <f t="shared" ca="1" si="133"/>
        <v>-96134975.457535937</v>
      </c>
      <c r="L2684" s="444">
        <f t="shared" ca="1" si="134"/>
        <v>-23168529085.266159</v>
      </c>
      <c r="M2684" s="460">
        <f t="shared" si="136"/>
        <v>0.05</v>
      </c>
      <c r="N2684" s="464">
        <f t="shared" si="137"/>
        <v>132736</v>
      </c>
    </row>
    <row r="2685" spans="7:14" ht="11.25" customHeight="1" x14ac:dyDescent="0.3">
      <c r="G2685" s="459"/>
      <c r="H2685" s="459">
        <v>2678</v>
      </c>
      <c r="I2685" s="444">
        <f t="shared" ca="1" si="135"/>
        <v>-23168529085.266159</v>
      </c>
      <c r="J2685" s="444">
        <f t="array" ref="J2685">IFERROR(INDEX('Retirement Calculator'!K:K,MATCH('Lorri 401b'!N2685,'Retirement Calculator'!A:A,0),0),0)</f>
        <v>0</v>
      </c>
      <c r="K2685" s="444">
        <f t="shared" ca="1" si="133"/>
        <v>-96535537.855275661</v>
      </c>
      <c r="L2685" s="444">
        <f t="shared" ca="1" si="134"/>
        <v>-23265064623.121433</v>
      </c>
      <c r="M2685" s="460">
        <f t="shared" si="136"/>
        <v>0.05</v>
      </c>
      <c r="N2685" s="464">
        <f t="shared" si="137"/>
        <v>132766</v>
      </c>
    </row>
    <row r="2686" spans="7:14" ht="11.25" customHeight="1" x14ac:dyDescent="0.3">
      <c r="G2686" s="459"/>
      <c r="H2686" s="459">
        <v>2679</v>
      </c>
      <c r="I2686" s="444">
        <f t="shared" ca="1" si="135"/>
        <v>-23265064623.121433</v>
      </c>
      <c r="J2686" s="444">
        <f t="array" ref="J2686">IFERROR(INDEX('Retirement Calculator'!K:K,MATCH('Lorri 401b'!N2686,'Retirement Calculator'!A:A,0),0),0)</f>
        <v>0</v>
      </c>
      <c r="K2686" s="444">
        <f t="shared" ca="1" si="133"/>
        <v>-96937769.263005972</v>
      </c>
      <c r="L2686" s="444">
        <f t="shared" ca="1" si="134"/>
        <v>-23362002392.384438</v>
      </c>
      <c r="M2686" s="460">
        <f t="shared" si="136"/>
        <v>0.05</v>
      </c>
      <c r="N2686" s="464">
        <f t="shared" si="137"/>
        <v>132797</v>
      </c>
    </row>
    <row r="2687" spans="7:14" ht="11.25" customHeight="1" x14ac:dyDescent="0.3">
      <c r="G2687" s="459"/>
      <c r="H2687" s="459">
        <v>2680</v>
      </c>
      <c r="I2687" s="444">
        <f t="shared" ca="1" si="135"/>
        <v>-23362002392.384438</v>
      </c>
      <c r="J2687" s="444">
        <f t="array" ref="J2687">IFERROR(INDEX('Retirement Calculator'!K:K,MATCH('Lorri 401b'!N2687,'Retirement Calculator'!A:A,0),0),0)</f>
        <v>0</v>
      </c>
      <c r="K2687" s="444">
        <f t="shared" ca="1" si="133"/>
        <v>-97341676.634935156</v>
      </c>
      <c r="L2687" s="444">
        <f t="shared" ca="1" si="134"/>
        <v>-23459344069.019371</v>
      </c>
      <c r="M2687" s="460">
        <f t="shared" si="136"/>
        <v>0.05</v>
      </c>
      <c r="N2687" s="464">
        <f t="shared" si="137"/>
        <v>132828</v>
      </c>
    </row>
    <row r="2688" spans="7:14" ht="11.25" customHeight="1" x14ac:dyDescent="0.3">
      <c r="G2688" s="459"/>
      <c r="H2688" s="459">
        <v>2681</v>
      </c>
      <c r="I2688" s="444">
        <f t="shared" ca="1" si="135"/>
        <v>-23459344069.019371</v>
      </c>
      <c r="J2688" s="444">
        <f t="array" ref="J2688">IFERROR(INDEX('Retirement Calculator'!K:K,MATCH('Lorri 401b'!N2688,'Retirement Calculator'!A:A,0),0),0)</f>
        <v>0</v>
      </c>
      <c r="K2688" s="444">
        <f t="shared" ca="1" si="133"/>
        <v>-97747266.954247385</v>
      </c>
      <c r="L2688" s="444">
        <f t="shared" ca="1" si="134"/>
        <v>-23557091335.973618</v>
      </c>
      <c r="M2688" s="460">
        <f t="shared" si="136"/>
        <v>0.05</v>
      </c>
      <c r="N2688" s="464">
        <f t="shared" si="137"/>
        <v>132858</v>
      </c>
    </row>
    <row r="2689" spans="7:14" ht="11.25" customHeight="1" x14ac:dyDescent="0.3">
      <c r="G2689" s="459"/>
      <c r="H2689" s="459">
        <v>2682</v>
      </c>
      <c r="I2689" s="444">
        <f t="shared" ca="1" si="135"/>
        <v>-23557091335.973618</v>
      </c>
      <c r="J2689" s="444">
        <f t="array" ref="J2689">IFERROR(INDEX('Retirement Calculator'!K:K,MATCH('Lorri 401b'!N2689,'Retirement Calculator'!A:A,0),0),0)</f>
        <v>0</v>
      </c>
      <c r="K2689" s="444">
        <f t="shared" ca="1" si="133"/>
        <v>-98154547.233223408</v>
      </c>
      <c r="L2689" s="444">
        <f t="shared" ca="1" si="134"/>
        <v>-23655245883.206841</v>
      </c>
      <c r="M2689" s="460">
        <f t="shared" si="136"/>
        <v>0.05</v>
      </c>
      <c r="N2689" s="464">
        <f t="shared" si="137"/>
        <v>132889</v>
      </c>
    </row>
    <row r="2690" spans="7:14" ht="11.25" customHeight="1" x14ac:dyDescent="0.3">
      <c r="G2690" s="459"/>
      <c r="H2690" s="459">
        <v>2683</v>
      </c>
      <c r="I2690" s="444">
        <f t="shared" ca="1" si="135"/>
        <v>-23655245883.206841</v>
      </c>
      <c r="J2690" s="444">
        <f t="array" ref="J2690">IFERROR(INDEX('Retirement Calculator'!K:K,MATCH('Lorri 401b'!N2690,'Retirement Calculator'!A:A,0),0),0)</f>
        <v>0</v>
      </c>
      <c r="K2690" s="444">
        <f t="shared" ca="1" si="133"/>
        <v>-98563524.513361841</v>
      </c>
      <c r="L2690" s="444">
        <f t="shared" ca="1" si="134"/>
        <v>-23753809407.720203</v>
      </c>
      <c r="M2690" s="460">
        <f t="shared" si="136"/>
        <v>0.05</v>
      </c>
      <c r="N2690" s="464">
        <f t="shared" si="137"/>
        <v>132919</v>
      </c>
    </row>
    <row r="2691" spans="7:14" ht="11.25" customHeight="1" x14ac:dyDescent="0.3">
      <c r="G2691" s="459"/>
      <c r="H2691" s="459">
        <v>2684</v>
      </c>
      <c r="I2691" s="444">
        <f t="shared" ca="1" si="135"/>
        <v>-23753809407.720203</v>
      </c>
      <c r="J2691" s="444">
        <f t="array" ref="J2691">IFERROR(INDEX('Retirement Calculator'!K:K,MATCH('Lorri 401b'!N2691,'Retirement Calculator'!A:A,0),0),0)</f>
        <v>0</v>
      </c>
      <c r="K2691" s="444">
        <f t="shared" ca="1" si="133"/>
        <v>-98974205.865500852</v>
      </c>
      <c r="L2691" s="444">
        <f t="shared" ca="1" si="134"/>
        <v>-23852783613.585705</v>
      </c>
      <c r="M2691" s="460">
        <f t="shared" si="136"/>
        <v>0.05</v>
      </c>
      <c r="N2691" s="464">
        <f t="shared" si="137"/>
        <v>132950</v>
      </c>
    </row>
    <row r="2692" spans="7:14" ht="11.25" customHeight="1" x14ac:dyDescent="0.3">
      <c r="G2692" s="459"/>
      <c r="H2692" s="459">
        <v>2685</v>
      </c>
      <c r="I2692" s="444">
        <f t="shared" ca="1" si="135"/>
        <v>-23852783613.585705</v>
      </c>
      <c r="J2692" s="444">
        <f t="array" ref="J2692">IFERROR(INDEX('Retirement Calculator'!K:K,MATCH('Lorri 401b'!N2692,'Retirement Calculator'!A:A,0),0),0)</f>
        <v>0</v>
      </c>
      <c r="K2692" s="444">
        <f t="shared" ca="1" si="133"/>
        <v>-99386598.389940441</v>
      </c>
      <c r="L2692" s="444">
        <f t="shared" ca="1" si="134"/>
        <v>-23952170211.975647</v>
      </c>
      <c r="M2692" s="460">
        <f t="shared" si="136"/>
        <v>0.05</v>
      </c>
      <c r="N2692" s="464">
        <f t="shared" si="137"/>
        <v>132981</v>
      </c>
    </row>
    <row r="2693" spans="7:14" ht="11.25" customHeight="1" x14ac:dyDescent="0.3">
      <c r="G2693" s="459"/>
      <c r="H2693" s="459">
        <v>2686</v>
      </c>
      <c r="I2693" s="444">
        <f t="shared" ca="1" si="135"/>
        <v>-23952170211.975647</v>
      </c>
      <c r="J2693" s="444">
        <f t="array" ref="J2693">IFERROR(INDEX('Retirement Calculator'!K:K,MATCH('Lorri 401b'!N2693,'Retirement Calculator'!A:A,0),0),0)</f>
        <v>0</v>
      </c>
      <c r="K2693" s="444">
        <f t="shared" ca="1" si="133"/>
        <v>-99800709.216565192</v>
      </c>
      <c r="L2693" s="444">
        <f t="shared" ca="1" si="134"/>
        <v>-24051970921.192211</v>
      </c>
      <c r="M2693" s="460">
        <f t="shared" si="136"/>
        <v>0.05</v>
      </c>
      <c r="N2693" s="464">
        <f t="shared" si="137"/>
        <v>133010</v>
      </c>
    </row>
    <row r="2694" spans="7:14" ht="11.25" customHeight="1" x14ac:dyDescent="0.3">
      <c r="G2694" s="459"/>
      <c r="H2694" s="459">
        <v>2687</v>
      </c>
      <c r="I2694" s="444">
        <f t="shared" ca="1" si="135"/>
        <v>-24051970921.192211</v>
      </c>
      <c r="J2694" s="444">
        <f t="array" ref="J2694">IFERROR(INDEX('Retirement Calculator'!K:K,MATCH('Lorri 401b'!N2694,'Retirement Calculator'!A:A,0),0),0)</f>
        <v>0</v>
      </c>
      <c r="K2694" s="444">
        <f t="shared" ca="1" si="133"/>
        <v>-100216545.50496754</v>
      </c>
      <c r="L2694" s="444">
        <f t="shared" ca="1" si="134"/>
        <v>-24152187466.697178</v>
      </c>
      <c r="M2694" s="460">
        <f t="shared" si="136"/>
        <v>0.05</v>
      </c>
      <c r="N2694" s="464">
        <f t="shared" si="137"/>
        <v>133041</v>
      </c>
    </row>
    <row r="2695" spans="7:14" ht="11.25" customHeight="1" x14ac:dyDescent="0.3">
      <c r="G2695" s="459"/>
      <c r="H2695" s="459">
        <v>2688</v>
      </c>
      <c r="I2695" s="444">
        <f t="shared" ca="1" si="135"/>
        <v>-24152187466.697178</v>
      </c>
      <c r="J2695" s="444">
        <f t="array" ref="J2695">IFERROR(INDEX('Retirement Calculator'!K:K,MATCH('Lorri 401b'!N2695,'Retirement Calculator'!A:A,0),0),0)</f>
        <v>0</v>
      </c>
      <c r="K2695" s="444">
        <f t="shared" ca="1" si="133"/>
        <v>-100634114.44457157</v>
      </c>
      <c r="L2695" s="444">
        <f t="shared" ca="1" si="134"/>
        <v>-24252821581.14175</v>
      </c>
      <c r="M2695" s="460">
        <f t="shared" si="136"/>
        <v>0.05</v>
      </c>
      <c r="N2695" s="464">
        <f t="shared" si="137"/>
        <v>133071</v>
      </c>
    </row>
    <row r="2696" spans="7:14" ht="11.25" customHeight="1" x14ac:dyDescent="0.3">
      <c r="G2696" s="459"/>
      <c r="H2696" s="459">
        <v>2689</v>
      </c>
      <c r="I2696" s="444">
        <f t="shared" ca="1" si="135"/>
        <v>-24252821581.14175</v>
      </c>
      <c r="J2696" s="444">
        <f t="array" ref="J2696">IFERROR(INDEX('Retirement Calculator'!K:K,MATCH('Lorri 401b'!N2696,'Retirement Calculator'!A:A,0),0),0)</f>
        <v>0</v>
      </c>
      <c r="K2696" s="444">
        <f t="shared" ca="1" si="133"/>
        <v>-101053423.25475729</v>
      </c>
      <c r="L2696" s="444">
        <f t="shared" ca="1" si="134"/>
        <v>-24353875004.396507</v>
      </c>
      <c r="M2696" s="460">
        <f t="shared" si="136"/>
        <v>0.05</v>
      </c>
      <c r="N2696" s="464">
        <f t="shared" si="137"/>
        <v>133102</v>
      </c>
    </row>
    <row r="2697" spans="7:14" ht="11.25" customHeight="1" x14ac:dyDescent="0.3">
      <c r="G2697" s="459"/>
      <c r="H2697" s="459">
        <v>2690</v>
      </c>
      <c r="I2697" s="444">
        <f t="shared" ca="1" si="135"/>
        <v>-24353875004.396507</v>
      </c>
      <c r="J2697" s="444">
        <f t="array" ref="J2697">IFERROR(INDEX('Retirement Calculator'!K:K,MATCH('Lorri 401b'!N2697,'Retirement Calculator'!A:A,0),0),0)</f>
        <v>0</v>
      </c>
      <c r="K2697" s="444">
        <f t="shared" ca="1" si="133"/>
        <v>-101474479.18498544</v>
      </c>
      <c r="L2697" s="444">
        <f t="shared" ca="1" si="134"/>
        <v>-24455349483.581493</v>
      </c>
      <c r="M2697" s="460">
        <f t="shared" si="136"/>
        <v>0.05</v>
      </c>
      <c r="N2697" s="464">
        <f t="shared" si="137"/>
        <v>133132</v>
      </c>
    </row>
    <row r="2698" spans="7:14" ht="11.25" customHeight="1" x14ac:dyDescent="0.3">
      <c r="G2698" s="459"/>
      <c r="H2698" s="459">
        <v>2691</v>
      </c>
      <c r="I2698" s="444">
        <f t="shared" ca="1" si="135"/>
        <v>-24455349483.581493</v>
      </c>
      <c r="J2698" s="444">
        <f t="array" ref="J2698">IFERROR(INDEX('Retirement Calculator'!K:K,MATCH('Lorri 401b'!N2698,'Retirement Calculator'!A:A,0),0),0)</f>
        <v>0</v>
      </c>
      <c r="K2698" s="444">
        <f t="shared" ca="1" si="133"/>
        <v>-101897289.51492289</v>
      </c>
      <c r="L2698" s="444">
        <f t="shared" ca="1" si="134"/>
        <v>-24557246773.096416</v>
      </c>
      <c r="M2698" s="460">
        <f t="shared" si="136"/>
        <v>0.05</v>
      </c>
      <c r="N2698" s="464">
        <f t="shared" si="137"/>
        <v>133163</v>
      </c>
    </row>
    <row r="2699" spans="7:14" ht="11.25" customHeight="1" x14ac:dyDescent="0.3">
      <c r="G2699" s="459"/>
      <c r="H2699" s="459">
        <v>2692</v>
      </c>
      <c r="I2699" s="444">
        <f t="shared" ca="1" si="135"/>
        <v>-24557246773.096416</v>
      </c>
      <c r="J2699" s="444">
        <f t="array" ref="J2699">IFERROR(INDEX('Retirement Calculator'!K:K,MATCH('Lorri 401b'!N2699,'Retirement Calculator'!A:A,0),0),0)</f>
        <v>0</v>
      </c>
      <c r="K2699" s="444">
        <f t="shared" ca="1" si="133"/>
        <v>-102321861.5545684</v>
      </c>
      <c r="L2699" s="444">
        <f t="shared" ca="1" si="134"/>
        <v>-24659568634.650986</v>
      </c>
      <c r="M2699" s="460">
        <f t="shared" si="136"/>
        <v>0.05</v>
      </c>
      <c r="N2699" s="464">
        <f t="shared" si="137"/>
        <v>133194</v>
      </c>
    </row>
    <row r="2700" spans="7:14" ht="11.25" customHeight="1" x14ac:dyDescent="0.3">
      <c r="G2700" s="459"/>
      <c r="H2700" s="459">
        <v>2693</v>
      </c>
      <c r="I2700" s="444">
        <f t="shared" ca="1" si="135"/>
        <v>-24659568634.650986</v>
      </c>
      <c r="J2700" s="444">
        <f t="array" ref="J2700">IFERROR(INDEX('Retirement Calculator'!K:K,MATCH('Lorri 401b'!N2700,'Retirement Calculator'!A:A,0),0),0)</f>
        <v>0</v>
      </c>
      <c r="K2700" s="444">
        <f t="shared" ca="1" si="133"/>
        <v>-102748202.64437911</v>
      </c>
      <c r="L2700" s="444">
        <f t="shared" ca="1" si="134"/>
        <v>-24762316837.295364</v>
      </c>
      <c r="M2700" s="460">
        <f t="shared" si="136"/>
        <v>0.05</v>
      </c>
      <c r="N2700" s="464">
        <f t="shared" si="137"/>
        <v>133224</v>
      </c>
    </row>
    <row r="2701" spans="7:14" ht="11.25" customHeight="1" x14ac:dyDescent="0.3">
      <c r="G2701" s="459"/>
      <c r="H2701" s="459">
        <v>2694</v>
      </c>
      <c r="I2701" s="444">
        <f t="shared" ca="1" si="135"/>
        <v>-24762316837.295364</v>
      </c>
      <c r="J2701" s="444">
        <f t="array" ref="J2701">IFERROR(INDEX('Retirement Calculator'!K:K,MATCH('Lorri 401b'!N2701,'Retirement Calculator'!A:A,0),0),0)</f>
        <v>0</v>
      </c>
      <c r="K2701" s="444">
        <f t="shared" ca="1" si="133"/>
        <v>-103176320.15539736</v>
      </c>
      <c r="L2701" s="444">
        <f t="shared" ca="1" si="134"/>
        <v>-24865493157.45076</v>
      </c>
      <c r="M2701" s="460">
        <f t="shared" si="136"/>
        <v>0.05</v>
      </c>
      <c r="N2701" s="464">
        <f t="shared" si="137"/>
        <v>133255</v>
      </c>
    </row>
    <row r="2702" spans="7:14" ht="11.25" customHeight="1" x14ac:dyDescent="0.3">
      <c r="G2702" s="459"/>
      <c r="H2702" s="459">
        <v>2695</v>
      </c>
      <c r="I2702" s="444">
        <f t="shared" ca="1" si="135"/>
        <v>-24865493157.45076</v>
      </c>
      <c r="J2702" s="444">
        <f t="array" ref="J2702">IFERROR(INDEX('Retirement Calculator'!K:K,MATCH('Lorri 401b'!N2702,'Retirement Calculator'!A:A,0),0),0)</f>
        <v>0</v>
      </c>
      <c r="K2702" s="444">
        <f t="shared" ca="1" si="133"/>
        <v>-103606221.48937817</v>
      </c>
      <c r="L2702" s="444">
        <f t="shared" ca="1" si="134"/>
        <v>-24969099378.94014</v>
      </c>
      <c r="M2702" s="460">
        <f t="shared" si="136"/>
        <v>0.05</v>
      </c>
      <c r="N2702" s="464">
        <f t="shared" si="137"/>
        <v>133285</v>
      </c>
    </row>
    <row r="2703" spans="7:14" ht="11.25" customHeight="1" x14ac:dyDescent="0.3">
      <c r="G2703" s="459"/>
      <c r="H2703" s="459">
        <v>2696</v>
      </c>
      <c r="I2703" s="444">
        <f t="shared" ca="1" si="135"/>
        <v>-24969099378.94014</v>
      </c>
      <c r="J2703" s="444">
        <f t="array" ref="J2703">IFERROR(INDEX('Retirement Calculator'!K:K,MATCH('Lorri 401b'!N2703,'Retirement Calculator'!A:A,0),0),0)</f>
        <v>0</v>
      </c>
      <c r="K2703" s="444">
        <f t="shared" ca="1" si="133"/>
        <v>-104037914.07891725</v>
      </c>
      <c r="L2703" s="444">
        <f t="shared" ca="1" si="134"/>
        <v>-25073137293.019058</v>
      </c>
      <c r="M2703" s="460">
        <f t="shared" si="136"/>
        <v>0.05</v>
      </c>
      <c r="N2703" s="464">
        <f t="shared" si="137"/>
        <v>133316</v>
      </c>
    </row>
    <row r="2704" spans="7:14" ht="11.25" customHeight="1" x14ac:dyDescent="0.3">
      <c r="G2704" s="459"/>
      <c r="H2704" s="459">
        <v>2697</v>
      </c>
      <c r="I2704" s="444">
        <f t="shared" ca="1" si="135"/>
        <v>-25073137293.019058</v>
      </c>
      <c r="J2704" s="444">
        <f t="array" ref="J2704">IFERROR(INDEX('Retirement Calculator'!K:K,MATCH('Lorri 401b'!N2704,'Retirement Calculator'!A:A,0),0),0)</f>
        <v>0</v>
      </c>
      <c r="K2704" s="444">
        <f t="shared" ca="1" si="133"/>
        <v>-104471405.38757941</v>
      </c>
      <c r="L2704" s="444">
        <f t="shared" ca="1" si="134"/>
        <v>-25177608698.406639</v>
      </c>
      <c r="M2704" s="460">
        <f t="shared" si="136"/>
        <v>0.05</v>
      </c>
      <c r="N2704" s="464">
        <f t="shared" si="137"/>
        <v>133347</v>
      </c>
    </row>
    <row r="2705" spans="7:14" ht="11.25" customHeight="1" x14ac:dyDescent="0.3">
      <c r="G2705" s="459"/>
      <c r="H2705" s="459">
        <v>2698</v>
      </c>
      <c r="I2705" s="444">
        <f t="shared" ca="1" si="135"/>
        <v>-25177608698.406639</v>
      </c>
      <c r="J2705" s="444">
        <f t="array" ref="J2705">IFERROR(INDEX('Retirement Calculator'!K:K,MATCH('Lorri 401b'!N2705,'Retirement Calculator'!A:A,0),0),0)</f>
        <v>0</v>
      </c>
      <c r="K2705" s="444">
        <f t="shared" ca="1" si="133"/>
        <v>-104906702.91002767</v>
      </c>
      <c r="L2705" s="444">
        <f t="shared" ca="1" si="134"/>
        <v>-25282515401.316666</v>
      </c>
      <c r="M2705" s="460">
        <f t="shared" si="136"/>
        <v>0.05</v>
      </c>
      <c r="N2705" s="464">
        <f t="shared" si="137"/>
        <v>133375</v>
      </c>
    </row>
    <row r="2706" spans="7:14" ht="11.25" customHeight="1" x14ac:dyDescent="0.3">
      <c r="G2706" s="459"/>
      <c r="H2706" s="459">
        <v>2699</v>
      </c>
      <c r="I2706" s="444">
        <f t="shared" ca="1" si="135"/>
        <v>-25282515401.316666</v>
      </c>
      <c r="J2706" s="444">
        <f t="array" ref="J2706">IFERROR(INDEX('Retirement Calculator'!K:K,MATCH('Lorri 401b'!N2706,'Retirement Calculator'!A:A,0),0),0)</f>
        <v>0</v>
      </c>
      <c r="K2706" s="444">
        <f t="shared" ca="1" si="133"/>
        <v>-105343814.17215277</v>
      </c>
      <c r="L2706" s="444">
        <f t="shared" ca="1" si="134"/>
        <v>-25387859215.488819</v>
      </c>
      <c r="M2706" s="460">
        <f t="shared" si="136"/>
        <v>0.05</v>
      </c>
      <c r="N2706" s="464">
        <f t="shared" si="137"/>
        <v>133406</v>
      </c>
    </row>
    <row r="2707" spans="7:14" ht="11.25" customHeight="1" x14ac:dyDescent="0.3">
      <c r="G2707" s="459"/>
      <c r="H2707" s="459">
        <v>2700</v>
      </c>
      <c r="I2707" s="444">
        <f t="shared" ca="1" si="135"/>
        <v>-25387859215.488819</v>
      </c>
      <c r="J2707" s="444">
        <f t="array" ref="J2707">IFERROR(INDEX('Retirement Calculator'!K:K,MATCH('Lorri 401b'!N2707,'Retirement Calculator'!A:A,0),0),0)</f>
        <v>0</v>
      </c>
      <c r="K2707" s="444">
        <f t="shared" ca="1" si="133"/>
        <v>-105782746.73120341</v>
      </c>
      <c r="L2707" s="444">
        <f t="shared" ca="1" si="134"/>
        <v>-25493641962.220024</v>
      </c>
      <c r="M2707" s="460">
        <f t="shared" si="136"/>
        <v>0.05</v>
      </c>
      <c r="N2707" s="464">
        <f t="shared" si="137"/>
        <v>133436</v>
      </c>
    </row>
    <row r="2708" spans="7:14" ht="11.25" customHeight="1" x14ac:dyDescent="0.3">
      <c r="G2708" s="459"/>
      <c r="H2708" s="459">
        <v>2701</v>
      </c>
      <c r="I2708" s="444">
        <f t="shared" ca="1" si="135"/>
        <v>-25493641962.220024</v>
      </c>
      <c r="J2708" s="444">
        <f t="array" ref="J2708">IFERROR(INDEX('Retirement Calculator'!K:K,MATCH('Lorri 401b'!N2708,'Retirement Calculator'!A:A,0),0),0)</f>
        <v>0</v>
      </c>
      <c r="K2708" s="444">
        <f t="shared" ca="1" si="133"/>
        <v>-106223508.17591676</v>
      </c>
      <c r="L2708" s="444">
        <f t="shared" ca="1" si="134"/>
        <v>-25599865470.395943</v>
      </c>
      <c r="M2708" s="460">
        <f t="shared" si="136"/>
        <v>0.05</v>
      </c>
      <c r="N2708" s="464">
        <f t="shared" si="137"/>
        <v>133467</v>
      </c>
    </row>
    <row r="2709" spans="7:14" ht="11.25" customHeight="1" x14ac:dyDescent="0.3">
      <c r="G2709" s="459"/>
      <c r="H2709" s="459">
        <v>2702</v>
      </c>
      <c r="I2709" s="444">
        <f t="shared" ca="1" si="135"/>
        <v>-25599865470.395943</v>
      </c>
      <c r="J2709" s="444">
        <f t="array" ref="J2709">IFERROR(INDEX('Retirement Calculator'!K:K,MATCH('Lorri 401b'!N2709,'Retirement Calculator'!A:A,0),0),0)</f>
        <v>0</v>
      </c>
      <c r="K2709" s="444">
        <f t="shared" ca="1" si="133"/>
        <v>-106666106.12664977</v>
      </c>
      <c r="L2709" s="444">
        <f t="shared" ca="1" si="134"/>
        <v>-25706531576.522591</v>
      </c>
      <c r="M2709" s="460">
        <f t="shared" si="136"/>
        <v>0.05</v>
      </c>
      <c r="N2709" s="464">
        <f t="shared" si="137"/>
        <v>133497</v>
      </c>
    </row>
    <row r="2710" spans="7:14" ht="11.25" customHeight="1" x14ac:dyDescent="0.3">
      <c r="G2710" s="459"/>
      <c r="H2710" s="459">
        <v>2703</v>
      </c>
      <c r="I2710" s="444">
        <f t="shared" ca="1" si="135"/>
        <v>-25706531576.522591</v>
      </c>
      <c r="J2710" s="444">
        <f t="array" ref="J2710">IFERROR(INDEX('Retirement Calculator'!K:K,MATCH('Lorri 401b'!N2710,'Retirement Calculator'!A:A,0),0),0)</f>
        <v>0</v>
      </c>
      <c r="K2710" s="444">
        <f t="shared" ca="1" si="133"/>
        <v>-107110548.2355108</v>
      </c>
      <c r="L2710" s="444">
        <f t="shared" ca="1" si="134"/>
        <v>-25813642124.758102</v>
      </c>
      <c r="M2710" s="460">
        <f t="shared" si="136"/>
        <v>0.05</v>
      </c>
      <c r="N2710" s="464">
        <f t="shared" si="137"/>
        <v>133528</v>
      </c>
    </row>
    <row r="2711" spans="7:14" ht="11.25" customHeight="1" x14ac:dyDescent="0.3">
      <c r="G2711" s="459"/>
      <c r="H2711" s="459">
        <v>2704</v>
      </c>
      <c r="I2711" s="444">
        <f t="shared" ca="1" si="135"/>
        <v>-25813642124.758102</v>
      </c>
      <c r="J2711" s="444">
        <f t="array" ref="J2711">IFERROR(INDEX('Retirement Calculator'!K:K,MATCH('Lorri 401b'!N2711,'Retirement Calculator'!A:A,0),0),0)</f>
        <v>0</v>
      </c>
      <c r="K2711" s="444">
        <f t="shared" ca="1" si="133"/>
        <v>-107556842.18649209</v>
      </c>
      <c r="L2711" s="444">
        <f t="shared" ca="1" si="134"/>
        <v>-25921198966.944595</v>
      </c>
      <c r="M2711" s="460">
        <f t="shared" si="136"/>
        <v>0.05</v>
      </c>
      <c r="N2711" s="464">
        <f t="shared" si="137"/>
        <v>133559</v>
      </c>
    </row>
    <row r="2712" spans="7:14" ht="11.25" customHeight="1" x14ac:dyDescent="0.3">
      <c r="G2712" s="459"/>
      <c r="H2712" s="459">
        <v>2705</v>
      </c>
      <c r="I2712" s="444">
        <f t="shared" ca="1" si="135"/>
        <v>-25921198966.944595</v>
      </c>
      <c r="J2712" s="444">
        <f t="array" ref="J2712">IFERROR(INDEX('Retirement Calculator'!K:K,MATCH('Lorri 401b'!N2712,'Retirement Calculator'!A:A,0),0),0)</f>
        <v>0</v>
      </c>
      <c r="K2712" s="444">
        <f t="shared" ca="1" si="133"/>
        <v>-108004995.69560248</v>
      </c>
      <c r="L2712" s="444">
        <f t="shared" ca="1" si="134"/>
        <v>-26029203962.640198</v>
      </c>
      <c r="M2712" s="460">
        <f t="shared" si="136"/>
        <v>0.05</v>
      </c>
      <c r="N2712" s="464">
        <f t="shared" si="137"/>
        <v>133589</v>
      </c>
    </row>
    <row r="2713" spans="7:14" ht="11.25" customHeight="1" x14ac:dyDescent="0.3">
      <c r="G2713" s="459"/>
      <c r="H2713" s="459">
        <v>2706</v>
      </c>
      <c r="I2713" s="444">
        <f t="shared" ca="1" si="135"/>
        <v>-26029203962.640198</v>
      </c>
      <c r="J2713" s="444">
        <f t="array" ref="J2713">IFERROR(INDEX('Retirement Calculator'!K:K,MATCH('Lorri 401b'!N2713,'Retirement Calculator'!A:A,0),0),0)</f>
        <v>0</v>
      </c>
      <c r="K2713" s="444">
        <f t="shared" ca="1" si="133"/>
        <v>-108455016.51100083</v>
      </c>
      <c r="L2713" s="444">
        <f t="shared" ca="1" si="134"/>
        <v>-26137658979.151199</v>
      </c>
      <c r="M2713" s="460">
        <f t="shared" si="136"/>
        <v>0.05</v>
      </c>
      <c r="N2713" s="464">
        <f t="shared" si="137"/>
        <v>133620</v>
      </c>
    </row>
    <row r="2714" spans="7:14" ht="11.25" customHeight="1" x14ac:dyDescent="0.3">
      <c r="G2714" s="459"/>
      <c r="H2714" s="459">
        <v>2707</v>
      </c>
      <c r="I2714" s="444">
        <f t="shared" ca="1" si="135"/>
        <v>-26137658979.151199</v>
      </c>
      <c r="J2714" s="444">
        <f t="array" ref="J2714">IFERROR(INDEX('Retirement Calculator'!K:K,MATCH('Lorri 401b'!N2714,'Retirement Calculator'!A:A,0),0),0)</f>
        <v>0</v>
      </c>
      <c r="K2714" s="444">
        <f t="shared" ca="1" si="133"/>
        <v>-108906912.41313</v>
      </c>
      <c r="L2714" s="444">
        <f t="shared" ca="1" si="134"/>
        <v>-26246565891.564331</v>
      </c>
      <c r="M2714" s="460">
        <f t="shared" si="136"/>
        <v>0.05</v>
      </c>
      <c r="N2714" s="464">
        <f t="shared" si="137"/>
        <v>133650</v>
      </c>
    </row>
    <row r="2715" spans="7:14" ht="11.25" customHeight="1" x14ac:dyDescent="0.3">
      <c r="G2715" s="459"/>
      <c r="H2715" s="459">
        <v>2708</v>
      </c>
      <c r="I2715" s="444">
        <f t="shared" ca="1" si="135"/>
        <v>-26246565891.564331</v>
      </c>
      <c r="J2715" s="444">
        <f t="array" ref="J2715">IFERROR(INDEX('Retirement Calculator'!K:K,MATCH('Lorri 401b'!N2715,'Retirement Calculator'!A:A,0),0),0)</f>
        <v>0</v>
      </c>
      <c r="K2715" s="444">
        <f t="shared" ca="1" si="133"/>
        <v>-109360691.21485138</v>
      </c>
      <c r="L2715" s="444">
        <f t="shared" ca="1" si="134"/>
        <v>-26355926582.779182</v>
      </c>
      <c r="M2715" s="460">
        <f t="shared" si="136"/>
        <v>0.05</v>
      </c>
      <c r="N2715" s="464">
        <f t="shared" si="137"/>
        <v>133681</v>
      </c>
    </row>
    <row r="2716" spans="7:14" ht="11.25" customHeight="1" x14ac:dyDescent="0.3">
      <c r="G2716" s="459"/>
      <c r="H2716" s="459">
        <v>2709</v>
      </c>
      <c r="I2716" s="444">
        <f t="shared" ca="1" si="135"/>
        <v>-26355926582.779182</v>
      </c>
      <c r="J2716" s="444">
        <f t="array" ref="J2716">IFERROR(INDEX('Retirement Calculator'!K:K,MATCH('Lorri 401b'!N2716,'Retirement Calculator'!A:A,0),0),0)</f>
        <v>0</v>
      </c>
      <c r="K2716" s="444">
        <f t="shared" ca="1" si="133"/>
        <v>-109816360.76157993</v>
      </c>
      <c r="L2716" s="444">
        <f t="shared" ca="1" si="134"/>
        <v>-26465742943.540764</v>
      </c>
      <c r="M2716" s="460">
        <f t="shared" si="136"/>
        <v>0.05</v>
      </c>
      <c r="N2716" s="464">
        <f t="shared" si="137"/>
        <v>133712</v>
      </c>
    </row>
    <row r="2717" spans="7:14" ht="11.25" customHeight="1" x14ac:dyDescent="0.3">
      <c r="G2717" s="459"/>
      <c r="H2717" s="459">
        <v>2710</v>
      </c>
      <c r="I2717" s="444">
        <f t="shared" ca="1" si="135"/>
        <v>-26465742943.540764</v>
      </c>
      <c r="J2717" s="444">
        <f t="array" ref="J2717">IFERROR(INDEX('Retirement Calculator'!K:K,MATCH('Lorri 401b'!N2717,'Retirement Calculator'!A:A,0),0),0)</f>
        <v>0</v>
      </c>
      <c r="K2717" s="444">
        <f t="shared" ca="1" si="133"/>
        <v>-110273928.93141985</v>
      </c>
      <c r="L2717" s="444">
        <f t="shared" ca="1" si="134"/>
        <v>-26576016872.472183</v>
      </c>
      <c r="M2717" s="460">
        <f t="shared" si="136"/>
        <v>0.05</v>
      </c>
      <c r="N2717" s="464">
        <f t="shared" si="137"/>
        <v>133740</v>
      </c>
    </row>
    <row r="2718" spans="7:14" ht="11.25" customHeight="1" x14ac:dyDescent="0.3">
      <c r="G2718" s="459"/>
      <c r="H2718" s="459">
        <v>2711</v>
      </c>
      <c r="I2718" s="444">
        <f t="shared" ca="1" si="135"/>
        <v>-26576016872.472183</v>
      </c>
      <c r="J2718" s="444">
        <f t="array" ref="J2718">IFERROR(INDEX('Retirement Calculator'!K:K,MATCH('Lorri 401b'!N2718,'Retirement Calculator'!A:A,0),0),0)</f>
        <v>0</v>
      </c>
      <c r="K2718" s="444">
        <f t="shared" ca="1" si="133"/>
        <v>-110733403.63530076</v>
      </c>
      <c r="L2718" s="444">
        <f t="shared" ca="1" si="134"/>
        <v>-26686750276.107483</v>
      </c>
      <c r="M2718" s="460">
        <f t="shared" si="136"/>
        <v>0.05</v>
      </c>
      <c r="N2718" s="464">
        <f t="shared" si="137"/>
        <v>133771</v>
      </c>
    </row>
    <row r="2719" spans="7:14" ht="11.25" customHeight="1" x14ac:dyDescent="0.3">
      <c r="G2719" s="459"/>
      <c r="H2719" s="459">
        <v>2712</v>
      </c>
      <c r="I2719" s="444">
        <f t="shared" ca="1" si="135"/>
        <v>-26686750276.107483</v>
      </c>
      <c r="J2719" s="444">
        <f t="array" ref="J2719">IFERROR(INDEX('Retirement Calculator'!K:K,MATCH('Lorri 401b'!N2719,'Retirement Calculator'!A:A,0),0),0)</f>
        <v>0</v>
      </c>
      <c r="K2719" s="444">
        <f t="shared" ca="1" si="133"/>
        <v>-111194792.81711452</v>
      </c>
      <c r="L2719" s="444">
        <f t="shared" ca="1" si="134"/>
        <v>-26797945068.924599</v>
      </c>
      <c r="M2719" s="460">
        <f t="shared" si="136"/>
        <v>0.05</v>
      </c>
      <c r="N2719" s="464">
        <f t="shared" si="137"/>
        <v>133801</v>
      </c>
    </row>
    <row r="2720" spans="7:14" ht="11.25" customHeight="1" x14ac:dyDescent="0.3">
      <c r="G2720" s="459"/>
      <c r="H2720" s="459">
        <v>2713</v>
      </c>
      <c r="I2720" s="444">
        <f t="shared" ca="1" si="135"/>
        <v>-26797945068.924599</v>
      </c>
      <c r="J2720" s="444">
        <f t="array" ref="J2720">IFERROR(INDEX('Retirement Calculator'!K:K,MATCH('Lorri 401b'!N2720,'Retirement Calculator'!A:A,0),0),0)</f>
        <v>0</v>
      </c>
      <c r="K2720" s="444">
        <f t="shared" ca="1" si="133"/>
        <v>-111658104.45385247</v>
      </c>
      <c r="L2720" s="444">
        <f t="shared" ca="1" si="134"/>
        <v>-26909603173.378452</v>
      </c>
      <c r="M2720" s="460">
        <f t="shared" si="136"/>
        <v>0.05</v>
      </c>
      <c r="N2720" s="464">
        <f t="shared" si="137"/>
        <v>133832</v>
      </c>
    </row>
    <row r="2721" spans="7:14" ht="11.25" customHeight="1" x14ac:dyDescent="0.3">
      <c r="G2721" s="459"/>
      <c r="H2721" s="459">
        <v>2714</v>
      </c>
      <c r="I2721" s="444">
        <f t="shared" ca="1" si="135"/>
        <v>-26909603173.378452</v>
      </c>
      <c r="J2721" s="444">
        <f t="array" ref="J2721">IFERROR(INDEX('Retirement Calculator'!K:K,MATCH('Lorri 401b'!N2721,'Retirement Calculator'!A:A,0),0),0)</f>
        <v>0</v>
      </c>
      <c r="K2721" s="444">
        <f t="shared" ca="1" si="133"/>
        <v>-112123346.55574356</v>
      </c>
      <c r="L2721" s="444">
        <f t="shared" ca="1" si="134"/>
        <v>-27021726519.934196</v>
      </c>
      <c r="M2721" s="460">
        <f t="shared" si="136"/>
        <v>0.05</v>
      </c>
      <c r="N2721" s="464">
        <f t="shared" si="137"/>
        <v>133862</v>
      </c>
    </row>
    <row r="2722" spans="7:14" ht="11.25" customHeight="1" x14ac:dyDescent="0.3">
      <c r="G2722" s="459"/>
      <c r="H2722" s="459">
        <v>2715</v>
      </c>
      <c r="I2722" s="444">
        <f t="shared" ca="1" si="135"/>
        <v>-27021726519.934196</v>
      </c>
      <c r="J2722" s="444">
        <f t="array" ref="J2722">IFERROR(INDEX('Retirement Calculator'!K:K,MATCH('Lorri 401b'!N2722,'Retirement Calculator'!A:A,0),0),0)</f>
        <v>0</v>
      </c>
      <c r="K2722" s="444">
        <f t="shared" ca="1" si="133"/>
        <v>-112590527.16639249</v>
      </c>
      <c r="L2722" s="444">
        <f t="shared" ca="1" si="134"/>
        <v>-27134317047.10059</v>
      </c>
      <c r="M2722" s="460">
        <f t="shared" si="136"/>
        <v>0.05</v>
      </c>
      <c r="N2722" s="464">
        <f t="shared" si="137"/>
        <v>133893</v>
      </c>
    </row>
    <row r="2723" spans="7:14" ht="11.25" customHeight="1" x14ac:dyDescent="0.3">
      <c r="G2723" s="459"/>
      <c r="H2723" s="459">
        <v>2716</v>
      </c>
      <c r="I2723" s="444">
        <f t="shared" ca="1" si="135"/>
        <v>-27134317047.10059</v>
      </c>
      <c r="J2723" s="444">
        <f t="array" ref="J2723">IFERROR(INDEX('Retirement Calculator'!K:K,MATCH('Lorri 401b'!N2723,'Retirement Calculator'!A:A,0),0),0)</f>
        <v>0</v>
      </c>
      <c r="K2723" s="444">
        <f t="shared" ca="1" si="133"/>
        <v>-113059654.36291914</v>
      </c>
      <c r="L2723" s="444">
        <f t="shared" ca="1" si="134"/>
        <v>-27247376701.463509</v>
      </c>
      <c r="M2723" s="460">
        <f t="shared" si="136"/>
        <v>0.05</v>
      </c>
      <c r="N2723" s="464">
        <f t="shared" si="137"/>
        <v>133924</v>
      </c>
    </row>
    <row r="2724" spans="7:14" ht="11.25" customHeight="1" x14ac:dyDescent="0.3">
      <c r="G2724" s="459"/>
      <c r="H2724" s="459">
        <v>2717</v>
      </c>
      <c r="I2724" s="444">
        <f t="shared" ca="1" si="135"/>
        <v>-27247376701.463509</v>
      </c>
      <c r="J2724" s="444">
        <f t="array" ref="J2724">IFERROR(INDEX('Retirement Calculator'!K:K,MATCH('Lorri 401b'!N2724,'Retirement Calculator'!A:A,0),0),0)</f>
        <v>0</v>
      </c>
      <c r="K2724" s="444">
        <f t="shared" ca="1" si="133"/>
        <v>-113530736.25609796</v>
      </c>
      <c r="L2724" s="444">
        <f t="shared" ca="1" si="134"/>
        <v>-27360907437.719608</v>
      </c>
      <c r="M2724" s="460">
        <f t="shared" si="136"/>
        <v>0.05</v>
      </c>
      <c r="N2724" s="464">
        <f t="shared" si="137"/>
        <v>133954</v>
      </c>
    </row>
    <row r="2725" spans="7:14" ht="11.25" customHeight="1" x14ac:dyDescent="0.3">
      <c r="G2725" s="459"/>
      <c r="H2725" s="459">
        <v>2718</v>
      </c>
      <c r="I2725" s="444">
        <f t="shared" ca="1" si="135"/>
        <v>-27360907437.719608</v>
      </c>
      <c r="J2725" s="444">
        <f t="array" ref="J2725">IFERROR(INDEX('Retirement Calculator'!K:K,MATCH('Lorri 401b'!N2725,'Retirement Calculator'!A:A,0),0),0)</f>
        <v>0</v>
      </c>
      <c r="K2725" s="444">
        <f t="shared" ca="1" si="133"/>
        <v>-114003780.99049836</v>
      </c>
      <c r="L2725" s="444">
        <f t="shared" ca="1" si="134"/>
        <v>-27474911218.710106</v>
      </c>
      <c r="M2725" s="460">
        <f t="shared" si="136"/>
        <v>0.05</v>
      </c>
      <c r="N2725" s="464">
        <f t="shared" si="137"/>
        <v>133985</v>
      </c>
    </row>
    <row r="2726" spans="7:14" ht="11.25" customHeight="1" x14ac:dyDescent="0.3">
      <c r="G2726" s="459"/>
      <c r="H2726" s="459">
        <v>2719</v>
      </c>
      <c r="I2726" s="444">
        <f t="shared" ca="1" si="135"/>
        <v>-27474911218.710106</v>
      </c>
      <c r="J2726" s="444">
        <f t="array" ref="J2726">IFERROR(INDEX('Retirement Calculator'!K:K,MATCH('Lorri 401b'!N2726,'Retirement Calculator'!A:A,0),0),0)</f>
        <v>0</v>
      </c>
      <c r="K2726" s="444">
        <f t="shared" ca="1" si="133"/>
        <v>-114478796.74462545</v>
      </c>
      <c r="L2726" s="444">
        <f t="shared" ca="1" si="134"/>
        <v>-27589390015.454731</v>
      </c>
      <c r="M2726" s="460">
        <f t="shared" si="136"/>
        <v>0.05</v>
      </c>
      <c r="N2726" s="464">
        <f t="shared" si="137"/>
        <v>134015</v>
      </c>
    </row>
    <row r="2727" spans="7:14" ht="11.25" customHeight="1" x14ac:dyDescent="0.3">
      <c r="G2727" s="459"/>
      <c r="H2727" s="459">
        <v>2720</v>
      </c>
      <c r="I2727" s="444">
        <f t="shared" ca="1" si="135"/>
        <v>-27589390015.454731</v>
      </c>
      <c r="J2727" s="444">
        <f t="array" ref="J2727">IFERROR(INDEX('Retirement Calculator'!K:K,MATCH('Lorri 401b'!N2727,'Retirement Calculator'!A:A,0),0),0)</f>
        <v>0</v>
      </c>
      <c r="K2727" s="444">
        <f t="shared" ca="1" si="133"/>
        <v>-114955791.73106138</v>
      </c>
      <c r="L2727" s="444">
        <f t="shared" ca="1" si="134"/>
        <v>-27704345807.185791</v>
      </c>
      <c r="M2727" s="460">
        <f t="shared" si="136"/>
        <v>0.05</v>
      </c>
      <c r="N2727" s="464">
        <f t="shared" si="137"/>
        <v>134046</v>
      </c>
    </row>
    <row r="2728" spans="7:14" ht="11.25" customHeight="1" x14ac:dyDescent="0.3">
      <c r="G2728" s="459"/>
      <c r="H2728" s="459">
        <v>2721</v>
      </c>
      <c r="I2728" s="444">
        <f t="shared" ca="1" si="135"/>
        <v>-27704345807.185791</v>
      </c>
      <c r="J2728" s="444">
        <f t="array" ref="J2728">IFERROR(INDEX('Retirement Calculator'!K:K,MATCH('Lorri 401b'!N2728,'Retirement Calculator'!A:A,0),0),0)</f>
        <v>0</v>
      </c>
      <c r="K2728" s="444">
        <f t="shared" ca="1" si="133"/>
        <v>-115434774.19660746</v>
      </c>
      <c r="L2728" s="444">
        <f t="shared" ca="1" si="134"/>
        <v>-27819780581.382397</v>
      </c>
      <c r="M2728" s="460">
        <f t="shared" si="136"/>
        <v>0.05</v>
      </c>
      <c r="N2728" s="464">
        <f t="shared" si="137"/>
        <v>134077</v>
      </c>
    </row>
    <row r="2729" spans="7:14" ht="11.25" customHeight="1" x14ac:dyDescent="0.3">
      <c r="G2729" s="459"/>
      <c r="H2729" s="459">
        <v>2722</v>
      </c>
      <c r="I2729" s="444">
        <f t="shared" ca="1" si="135"/>
        <v>-27819780581.382397</v>
      </c>
      <c r="J2729" s="444">
        <f t="array" ref="J2729">IFERROR(INDEX('Retirement Calculator'!K:K,MATCH('Lorri 401b'!N2729,'Retirement Calculator'!A:A,0),0),0)</f>
        <v>0</v>
      </c>
      <c r="K2729" s="444">
        <f t="shared" ca="1" si="133"/>
        <v>-115915752.42242666</v>
      </c>
      <c r="L2729" s="444">
        <f t="shared" ca="1" si="134"/>
        <v>-27935696333.804825</v>
      </c>
      <c r="M2729" s="460">
        <f t="shared" si="136"/>
        <v>0.05</v>
      </c>
      <c r="N2729" s="464">
        <f t="shared" si="137"/>
        <v>134105</v>
      </c>
    </row>
    <row r="2730" spans="7:14" ht="11.25" customHeight="1" x14ac:dyDescent="0.3">
      <c r="G2730" s="459"/>
      <c r="H2730" s="459">
        <v>2723</v>
      </c>
      <c r="I2730" s="444">
        <f t="shared" ca="1" si="135"/>
        <v>-27935696333.804825</v>
      </c>
      <c r="J2730" s="444">
        <f t="array" ref="J2730">IFERROR(INDEX('Retirement Calculator'!K:K,MATCH('Lorri 401b'!N2730,'Retirement Calculator'!A:A,0),0),0)</f>
        <v>0</v>
      </c>
      <c r="K2730" s="444">
        <f t="shared" ca="1" si="133"/>
        <v>-116398734.72418676</v>
      </c>
      <c r="L2730" s="444">
        <f t="shared" ca="1" si="134"/>
        <v>-28052095068.529011</v>
      </c>
      <c r="M2730" s="460">
        <f t="shared" si="136"/>
        <v>0.05</v>
      </c>
      <c r="N2730" s="464">
        <f t="shared" si="137"/>
        <v>134136</v>
      </c>
    </row>
    <row r="2731" spans="7:14" ht="11.25" customHeight="1" x14ac:dyDescent="0.3">
      <c r="G2731" s="459"/>
      <c r="H2731" s="459">
        <v>2724</v>
      </c>
      <c r="I2731" s="444">
        <f t="shared" ca="1" si="135"/>
        <v>-28052095068.529011</v>
      </c>
      <c r="J2731" s="444">
        <f t="array" ref="J2731">IFERROR(INDEX('Retirement Calculator'!K:K,MATCH('Lorri 401b'!N2731,'Retirement Calculator'!A:A,0),0),0)</f>
        <v>0</v>
      </c>
      <c r="K2731" s="444">
        <f t="shared" ca="1" si="133"/>
        <v>-116883729.45220421</v>
      </c>
      <c r="L2731" s="444">
        <f t="shared" ca="1" si="134"/>
        <v>-28168978797.981216</v>
      </c>
      <c r="M2731" s="460">
        <f t="shared" si="136"/>
        <v>0.05</v>
      </c>
      <c r="N2731" s="464">
        <f t="shared" si="137"/>
        <v>134166</v>
      </c>
    </row>
    <row r="2732" spans="7:14" ht="11.25" customHeight="1" x14ac:dyDescent="0.3">
      <c r="G2732" s="459"/>
      <c r="H2732" s="459">
        <v>2725</v>
      </c>
      <c r="I2732" s="444">
        <f t="shared" ca="1" si="135"/>
        <v>-28168978797.981216</v>
      </c>
      <c r="J2732" s="444">
        <f t="array" ref="J2732">IFERROR(INDEX('Retirement Calculator'!K:K,MATCH('Lorri 401b'!N2732,'Retirement Calculator'!A:A,0),0),0)</f>
        <v>0</v>
      </c>
      <c r="K2732" s="444">
        <f t="shared" ca="1" si="133"/>
        <v>-117370744.9915884</v>
      </c>
      <c r="L2732" s="444">
        <f t="shared" ca="1" si="134"/>
        <v>-28286349542.972805</v>
      </c>
      <c r="M2732" s="460">
        <f t="shared" si="136"/>
        <v>0.05</v>
      </c>
      <c r="N2732" s="464">
        <f t="shared" si="137"/>
        <v>134197</v>
      </c>
    </row>
    <row r="2733" spans="7:14" ht="11.25" customHeight="1" x14ac:dyDescent="0.3">
      <c r="G2733" s="459"/>
      <c r="H2733" s="459">
        <v>2726</v>
      </c>
      <c r="I2733" s="444">
        <f t="shared" ca="1" si="135"/>
        <v>-28286349542.972805</v>
      </c>
      <c r="J2733" s="444">
        <f t="array" ref="J2733">IFERROR(INDEX('Retirement Calculator'!K:K,MATCH('Lorri 401b'!N2733,'Retirement Calculator'!A:A,0),0),0)</f>
        <v>0</v>
      </c>
      <c r="K2733" s="444">
        <f t="shared" ca="1" si="133"/>
        <v>-117859789.76238668</v>
      </c>
      <c r="L2733" s="444">
        <f t="shared" ca="1" si="134"/>
        <v>-28404209332.735191</v>
      </c>
      <c r="M2733" s="460">
        <f t="shared" si="136"/>
        <v>0.05</v>
      </c>
      <c r="N2733" s="464">
        <f t="shared" si="137"/>
        <v>134227</v>
      </c>
    </row>
    <row r="2734" spans="7:14" ht="11.25" customHeight="1" x14ac:dyDescent="0.3">
      <c r="G2734" s="459"/>
      <c r="H2734" s="459">
        <v>2727</v>
      </c>
      <c r="I2734" s="444">
        <f t="shared" ca="1" si="135"/>
        <v>-28404209332.735191</v>
      </c>
      <c r="J2734" s="444">
        <f t="array" ref="J2734">IFERROR(INDEX('Retirement Calculator'!K:K,MATCH('Lorri 401b'!N2734,'Retirement Calculator'!A:A,0),0),0)</f>
        <v>0</v>
      </c>
      <c r="K2734" s="444">
        <f t="shared" ca="1" si="133"/>
        <v>-118350872.21972997</v>
      </c>
      <c r="L2734" s="444">
        <f t="shared" ca="1" si="134"/>
        <v>-28522560204.954922</v>
      </c>
      <c r="M2734" s="460">
        <f t="shared" si="136"/>
        <v>0.05</v>
      </c>
      <c r="N2734" s="464">
        <f t="shared" si="137"/>
        <v>134258</v>
      </c>
    </row>
    <row r="2735" spans="7:14" ht="11.25" customHeight="1" x14ac:dyDescent="0.3">
      <c r="G2735" s="459"/>
      <c r="H2735" s="459">
        <v>2728</v>
      </c>
      <c r="I2735" s="444">
        <f t="shared" ca="1" si="135"/>
        <v>-28522560204.954922</v>
      </c>
      <c r="J2735" s="444">
        <f t="array" ref="J2735">IFERROR(INDEX('Retirement Calculator'!K:K,MATCH('Lorri 401b'!N2735,'Retirement Calculator'!A:A,0),0),0)</f>
        <v>0</v>
      </c>
      <c r="K2735" s="444">
        <f t="shared" ca="1" si="133"/>
        <v>-118844000.85397883</v>
      </c>
      <c r="L2735" s="444">
        <f t="shared" ca="1" si="134"/>
        <v>-28641404205.808899</v>
      </c>
      <c r="M2735" s="460">
        <f t="shared" si="136"/>
        <v>0.05</v>
      </c>
      <c r="N2735" s="464">
        <f t="shared" si="137"/>
        <v>134289</v>
      </c>
    </row>
    <row r="2736" spans="7:14" ht="11.25" customHeight="1" x14ac:dyDescent="0.3">
      <c r="G2736" s="459"/>
      <c r="H2736" s="459">
        <v>2729</v>
      </c>
      <c r="I2736" s="444">
        <f t="shared" ca="1" si="135"/>
        <v>-28641404205.808899</v>
      </c>
      <c r="J2736" s="444">
        <f t="array" ref="J2736">IFERROR(INDEX('Retirement Calculator'!K:K,MATCH('Lorri 401b'!N2736,'Retirement Calculator'!A:A,0),0),0)</f>
        <v>0</v>
      </c>
      <c r="K2736" s="444">
        <f t="shared" ca="1" si="133"/>
        <v>-119339184.1908704</v>
      </c>
      <c r="L2736" s="444">
        <f t="shared" ca="1" si="134"/>
        <v>-28760743389.999771</v>
      </c>
      <c r="M2736" s="460">
        <f t="shared" si="136"/>
        <v>0.05</v>
      </c>
      <c r="N2736" s="464">
        <f t="shared" si="137"/>
        <v>134319</v>
      </c>
    </row>
    <row r="2737" spans="7:14" ht="11.25" customHeight="1" x14ac:dyDescent="0.3">
      <c r="G2737" s="459"/>
      <c r="H2737" s="459">
        <v>2730</v>
      </c>
      <c r="I2737" s="444">
        <f t="shared" ca="1" si="135"/>
        <v>-28760743389.999771</v>
      </c>
      <c r="J2737" s="444">
        <f t="array" ref="J2737">IFERROR(INDEX('Retirement Calculator'!K:K,MATCH('Lorri 401b'!N2737,'Retirement Calculator'!A:A,0),0),0)</f>
        <v>0</v>
      </c>
      <c r="K2737" s="444">
        <f t="shared" ca="1" si="133"/>
        <v>-119836430.79166572</v>
      </c>
      <c r="L2737" s="444">
        <f t="shared" ca="1" si="134"/>
        <v>-28880579820.791435</v>
      </c>
      <c r="M2737" s="460">
        <f t="shared" si="136"/>
        <v>0.05</v>
      </c>
      <c r="N2737" s="464">
        <f t="shared" si="137"/>
        <v>134350</v>
      </c>
    </row>
    <row r="2738" spans="7:14" ht="11.25" customHeight="1" x14ac:dyDescent="0.3">
      <c r="G2738" s="459"/>
      <c r="H2738" s="459">
        <v>2731</v>
      </c>
      <c r="I2738" s="444">
        <f t="shared" ca="1" si="135"/>
        <v>-28880579820.791435</v>
      </c>
      <c r="J2738" s="444">
        <f t="array" ref="J2738">IFERROR(INDEX('Retirement Calculator'!K:K,MATCH('Lorri 401b'!N2738,'Retirement Calculator'!A:A,0),0),0)</f>
        <v>0</v>
      </c>
      <c r="K2738" s="444">
        <f t="shared" ca="1" si="133"/>
        <v>-120335749.25329764</v>
      </c>
      <c r="L2738" s="444">
        <f t="shared" ca="1" si="134"/>
        <v>-29000915570.044731</v>
      </c>
      <c r="M2738" s="460">
        <f t="shared" si="136"/>
        <v>0.05</v>
      </c>
      <c r="N2738" s="464">
        <f t="shared" si="137"/>
        <v>134380</v>
      </c>
    </row>
    <row r="2739" spans="7:14" ht="11.25" customHeight="1" x14ac:dyDescent="0.3">
      <c r="G2739" s="459"/>
      <c r="H2739" s="459">
        <v>2732</v>
      </c>
      <c r="I2739" s="444">
        <f t="shared" ca="1" si="135"/>
        <v>-29000915570.044731</v>
      </c>
      <c r="J2739" s="444">
        <f t="array" ref="J2739">IFERROR(INDEX('Retirement Calculator'!K:K,MATCH('Lorri 401b'!N2739,'Retirement Calculator'!A:A,0),0),0)</f>
        <v>0</v>
      </c>
      <c r="K2739" s="444">
        <f t="shared" ca="1" si="133"/>
        <v>-120837148.20851971</v>
      </c>
      <c r="L2739" s="444">
        <f t="shared" ca="1" si="134"/>
        <v>-29121752718.25325</v>
      </c>
      <c r="M2739" s="460">
        <f t="shared" si="136"/>
        <v>0.05</v>
      </c>
      <c r="N2739" s="464">
        <f t="shared" si="137"/>
        <v>134411</v>
      </c>
    </row>
    <row r="2740" spans="7:14" ht="11.25" customHeight="1" x14ac:dyDescent="0.3">
      <c r="G2740" s="459"/>
      <c r="H2740" s="459">
        <v>2733</v>
      </c>
      <c r="I2740" s="444">
        <f t="shared" ca="1" si="135"/>
        <v>-29121752718.25325</v>
      </c>
      <c r="J2740" s="444">
        <f t="array" ref="J2740">IFERROR(INDEX('Retirement Calculator'!K:K,MATCH('Lorri 401b'!N2740,'Retirement Calculator'!A:A,0),0),0)</f>
        <v>0</v>
      </c>
      <c r="K2740" s="444">
        <f t="shared" ca="1" si="133"/>
        <v>-121340636.32605521</v>
      </c>
      <c r="L2740" s="444">
        <f t="shared" ca="1" si="134"/>
        <v>-29243093354.579304</v>
      </c>
      <c r="M2740" s="460">
        <f t="shared" si="136"/>
        <v>0.05</v>
      </c>
      <c r="N2740" s="464">
        <f t="shared" si="137"/>
        <v>134442</v>
      </c>
    </row>
    <row r="2741" spans="7:14" ht="11.25" customHeight="1" x14ac:dyDescent="0.3">
      <c r="G2741" s="459"/>
      <c r="H2741" s="459">
        <v>2734</v>
      </c>
      <c r="I2741" s="444">
        <f t="shared" ca="1" si="135"/>
        <v>-29243093354.579304</v>
      </c>
      <c r="J2741" s="444">
        <f t="array" ref="J2741">IFERROR(INDEX('Retirement Calculator'!K:K,MATCH('Lorri 401b'!N2741,'Retirement Calculator'!A:A,0),0),0)</f>
        <v>0</v>
      </c>
      <c r="K2741" s="444">
        <f t="shared" ca="1" si="133"/>
        <v>-121846222.3107471</v>
      </c>
      <c r="L2741" s="444">
        <f t="shared" ca="1" si="134"/>
        <v>-29364939576.890049</v>
      </c>
      <c r="M2741" s="460">
        <f t="shared" si="136"/>
        <v>0.05</v>
      </c>
      <c r="N2741" s="464">
        <f t="shared" si="137"/>
        <v>134471</v>
      </c>
    </row>
    <row r="2742" spans="7:14" ht="11.25" customHeight="1" x14ac:dyDescent="0.3">
      <c r="G2742" s="459"/>
      <c r="H2742" s="459">
        <v>2735</v>
      </c>
      <c r="I2742" s="444">
        <f t="shared" ca="1" si="135"/>
        <v>-29364939576.890049</v>
      </c>
      <c r="J2742" s="444">
        <f t="array" ref="J2742">IFERROR(INDEX('Retirement Calculator'!K:K,MATCH('Lorri 401b'!N2742,'Retirement Calculator'!A:A,0),0),0)</f>
        <v>0</v>
      </c>
      <c r="K2742" s="444">
        <f t="shared" ca="1" si="133"/>
        <v>-122353914.90370853</v>
      </c>
      <c r="L2742" s="444">
        <f t="shared" ca="1" si="134"/>
        <v>-29487293491.793758</v>
      </c>
      <c r="M2742" s="460">
        <f t="shared" si="136"/>
        <v>0.05</v>
      </c>
      <c r="N2742" s="464">
        <f t="shared" si="137"/>
        <v>134502</v>
      </c>
    </row>
    <row r="2743" spans="7:14" ht="11.25" customHeight="1" x14ac:dyDescent="0.3">
      <c r="G2743" s="459"/>
      <c r="H2743" s="459">
        <v>2736</v>
      </c>
      <c r="I2743" s="444">
        <f t="shared" ca="1" si="135"/>
        <v>-29487293491.793758</v>
      </c>
      <c r="J2743" s="444">
        <f t="array" ref="J2743">IFERROR(INDEX('Retirement Calculator'!K:K,MATCH('Lorri 401b'!N2743,'Retirement Calculator'!A:A,0),0),0)</f>
        <v>0</v>
      </c>
      <c r="K2743" s="444">
        <f t="shared" ca="1" si="133"/>
        <v>-122863722.88247399</v>
      </c>
      <c r="L2743" s="444">
        <f t="shared" ca="1" si="134"/>
        <v>-29610157214.676231</v>
      </c>
      <c r="M2743" s="460">
        <f t="shared" si="136"/>
        <v>0.05</v>
      </c>
      <c r="N2743" s="464">
        <f t="shared" si="137"/>
        <v>134532</v>
      </c>
    </row>
    <row r="2744" spans="7:14" ht="11.25" customHeight="1" x14ac:dyDescent="0.3">
      <c r="G2744" s="459"/>
      <c r="H2744" s="459">
        <v>2737</v>
      </c>
      <c r="I2744" s="444">
        <f t="shared" ca="1" si="135"/>
        <v>-29610157214.676231</v>
      </c>
      <c r="J2744" s="444">
        <f t="array" ref="J2744">IFERROR(INDEX('Retirement Calculator'!K:K,MATCH('Lorri 401b'!N2744,'Retirement Calculator'!A:A,0),0),0)</f>
        <v>0</v>
      </c>
      <c r="K2744" s="444">
        <f t="shared" ca="1" si="133"/>
        <v>-123375655.06115095</v>
      </c>
      <c r="L2744" s="444">
        <f t="shared" ca="1" si="134"/>
        <v>-29733532869.737381</v>
      </c>
      <c r="M2744" s="460">
        <f t="shared" si="136"/>
        <v>0.05</v>
      </c>
      <c r="N2744" s="464">
        <f t="shared" si="137"/>
        <v>134563</v>
      </c>
    </row>
    <row r="2745" spans="7:14" ht="11.25" customHeight="1" x14ac:dyDescent="0.3">
      <c r="G2745" s="459"/>
      <c r="H2745" s="459">
        <v>2738</v>
      </c>
      <c r="I2745" s="444">
        <f t="shared" ca="1" si="135"/>
        <v>-29733532869.737381</v>
      </c>
      <c r="J2745" s="444">
        <f t="array" ref="J2745">IFERROR(INDEX('Retirement Calculator'!K:K,MATCH('Lorri 401b'!N2745,'Retirement Calculator'!A:A,0),0),0)</f>
        <v>0</v>
      </c>
      <c r="K2745" s="444">
        <f t="shared" ca="1" si="133"/>
        <v>-123889720.29057242</v>
      </c>
      <c r="L2745" s="444">
        <f t="shared" ca="1" si="134"/>
        <v>-29857422590.027954</v>
      </c>
      <c r="M2745" s="460">
        <f t="shared" si="136"/>
        <v>0.05</v>
      </c>
      <c r="N2745" s="464">
        <f t="shared" si="137"/>
        <v>134593</v>
      </c>
    </row>
    <row r="2746" spans="7:14" ht="11.25" customHeight="1" x14ac:dyDescent="0.3">
      <c r="G2746" s="459"/>
      <c r="H2746" s="459">
        <v>2739</v>
      </c>
      <c r="I2746" s="444">
        <f t="shared" ca="1" si="135"/>
        <v>-29857422590.027954</v>
      </c>
      <c r="J2746" s="444">
        <f t="array" ref="J2746">IFERROR(INDEX('Retirement Calculator'!K:K,MATCH('Lorri 401b'!N2746,'Retirement Calculator'!A:A,0),0),0)</f>
        <v>0</v>
      </c>
      <c r="K2746" s="444">
        <f t="shared" ca="1" si="133"/>
        <v>-124405927.45844981</v>
      </c>
      <c r="L2746" s="444">
        <f t="shared" ca="1" si="134"/>
        <v>-29981828517.486404</v>
      </c>
      <c r="M2746" s="460">
        <f t="shared" si="136"/>
        <v>0.05</v>
      </c>
      <c r="N2746" s="464">
        <f t="shared" si="137"/>
        <v>134624</v>
      </c>
    </row>
    <row r="2747" spans="7:14" ht="11.25" customHeight="1" x14ac:dyDescent="0.3">
      <c r="G2747" s="459"/>
      <c r="H2747" s="459">
        <v>2740</v>
      </c>
      <c r="I2747" s="444">
        <f t="shared" ca="1" si="135"/>
        <v>-29981828517.486404</v>
      </c>
      <c r="J2747" s="444">
        <f t="array" ref="J2747">IFERROR(INDEX('Retirement Calculator'!K:K,MATCH('Lorri 401b'!N2747,'Retirement Calculator'!A:A,0),0),0)</f>
        <v>0</v>
      </c>
      <c r="K2747" s="444">
        <f t="shared" ca="1" si="133"/>
        <v>-124924285.48952669</v>
      </c>
      <c r="L2747" s="444">
        <f t="shared" ca="1" si="134"/>
        <v>-30106752802.975929</v>
      </c>
      <c r="M2747" s="460">
        <f t="shared" si="136"/>
        <v>0.05</v>
      </c>
      <c r="N2747" s="464">
        <f t="shared" si="137"/>
        <v>134655</v>
      </c>
    </row>
    <row r="2748" spans="7:14" ht="11.25" customHeight="1" x14ac:dyDescent="0.3">
      <c r="G2748" s="459"/>
      <c r="H2748" s="459">
        <v>2741</v>
      </c>
      <c r="I2748" s="444">
        <f t="shared" ca="1" si="135"/>
        <v>-30106752802.975929</v>
      </c>
      <c r="J2748" s="444">
        <f t="array" ref="J2748">IFERROR(INDEX('Retirement Calculator'!K:K,MATCH('Lorri 401b'!N2748,'Retirement Calculator'!A:A,0),0),0)</f>
        <v>0</v>
      </c>
      <c r="K2748" s="444">
        <f t="shared" ca="1" si="133"/>
        <v>-125444803.34573305</v>
      </c>
      <c r="L2748" s="444">
        <f t="shared" ca="1" si="134"/>
        <v>-30232197606.321663</v>
      </c>
      <c r="M2748" s="460">
        <f t="shared" si="136"/>
        <v>0.05</v>
      </c>
      <c r="N2748" s="464">
        <f t="shared" si="137"/>
        <v>134685</v>
      </c>
    </row>
    <row r="2749" spans="7:14" ht="11.25" customHeight="1" x14ac:dyDescent="0.3">
      <c r="G2749" s="459"/>
      <c r="H2749" s="459">
        <v>2742</v>
      </c>
      <c r="I2749" s="444">
        <f t="shared" ca="1" si="135"/>
        <v>-30232197606.321663</v>
      </c>
      <c r="J2749" s="444">
        <f t="array" ref="J2749">IFERROR(INDEX('Retirement Calculator'!K:K,MATCH('Lorri 401b'!N2749,'Retirement Calculator'!A:A,0),0),0)</f>
        <v>0</v>
      </c>
      <c r="K2749" s="444">
        <f t="shared" ca="1" si="133"/>
        <v>-125967490.02634028</v>
      </c>
      <c r="L2749" s="444">
        <f t="shared" ca="1" si="134"/>
        <v>-30358165096.348003</v>
      </c>
      <c r="M2749" s="460">
        <f t="shared" si="136"/>
        <v>0.05</v>
      </c>
      <c r="N2749" s="464">
        <f t="shared" si="137"/>
        <v>134716</v>
      </c>
    </row>
    <row r="2750" spans="7:14" ht="11.25" customHeight="1" x14ac:dyDescent="0.3">
      <c r="G2750" s="459"/>
      <c r="H2750" s="459">
        <v>2743</v>
      </c>
      <c r="I2750" s="444">
        <f t="shared" ca="1" si="135"/>
        <v>-30358165096.348003</v>
      </c>
      <c r="J2750" s="444">
        <f t="array" ref="J2750">IFERROR(INDEX('Retirement Calculator'!K:K,MATCH('Lorri 401b'!N2750,'Retirement Calculator'!A:A,0),0),0)</f>
        <v>0</v>
      </c>
      <c r="K2750" s="444">
        <f t="shared" ca="1" si="133"/>
        <v>-126492354.56811666</v>
      </c>
      <c r="L2750" s="444">
        <f t="shared" ca="1" si="134"/>
        <v>-30484657450.916119</v>
      </c>
      <c r="M2750" s="460">
        <f t="shared" si="136"/>
        <v>0.05</v>
      </c>
      <c r="N2750" s="464">
        <f t="shared" si="137"/>
        <v>134746</v>
      </c>
    </row>
    <row r="2751" spans="7:14" ht="11.25" customHeight="1" x14ac:dyDescent="0.3">
      <c r="G2751" s="459"/>
      <c r="H2751" s="459">
        <v>2744</v>
      </c>
      <c r="I2751" s="444">
        <f t="shared" ca="1" si="135"/>
        <v>-30484657450.916119</v>
      </c>
      <c r="J2751" s="444">
        <f t="array" ref="J2751">IFERROR(INDEX('Retirement Calculator'!K:K,MATCH('Lorri 401b'!N2751,'Retirement Calculator'!A:A,0),0),0)</f>
        <v>0</v>
      </c>
      <c r="K2751" s="444">
        <f t="shared" ca="1" si="133"/>
        <v>-127019406.04548383</v>
      </c>
      <c r="L2751" s="444">
        <f t="shared" ca="1" si="134"/>
        <v>-30611676856.961601</v>
      </c>
      <c r="M2751" s="460">
        <f t="shared" si="136"/>
        <v>0.05</v>
      </c>
      <c r="N2751" s="464">
        <f t="shared" si="137"/>
        <v>134777</v>
      </c>
    </row>
    <row r="2752" spans="7:14" ht="11.25" customHeight="1" x14ac:dyDescent="0.3">
      <c r="G2752" s="459"/>
      <c r="H2752" s="459">
        <v>2745</v>
      </c>
      <c r="I2752" s="444">
        <f t="shared" ca="1" si="135"/>
        <v>-30611676856.961601</v>
      </c>
      <c r="J2752" s="444">
        <f t="array" ref="J2752">IFERROR(INDEX('Retirement Calculator'!K:K,MATCH('Lorri 401b'!N2752,'Retirement Calculator'!A:A,0),0),0)</f>
        <v>0</v>
      </c>
      <c r="K2752" s="444">
        <f t="shared" ca="1" si="133"/>
        <v>-127548653.57067333</v>
      </c>
      <c r="L2752" s="444">
        <f t="shared" ca="1" si="134"/>
        <v>-30739225510.532276</v>
      </c>
      <c r="M2752" s="460">
        <f t="shared" si="136"/>
        <v>0.05</v>
      </c>
      <c r="N2752" s="464">
        <f t="shared" si="137"/>
        <v>134808</v>
      </c>
    </row>
    <row r="2753" spans="7:14" ht="11.25" customHeight="1" x14ac:dyDescent="0.3">
      <c r="G2753" s="459"/>
      <c r="H2753" s="459">
        <v>2746</v>
      </c>
      <c r="I2753" s="444">
        <f t="shared" ca="1" si="135"/>
        <v>-30739225510.532276</v>
      </c>
      <c r="J2753" s="444">
        <f t="array" ref="J2753">IFERROR(INDEX('Retirement Calculator'!K:K,MATCH('Lorri 401b'!N2753,'Retirement Calculator'!A:A,0),0),0)</f>
        <v>0</v>
      </c>
      <c r="K2753" s="444">
        <f t="shared" ca="1" si="133"/>
        <v>-128080106.2938845</v>
      </c>
      <c r="L2753" s="444">
        <f t="shared" ca="1" si="134"/>
        <v>-30867305616.82616</v>
      </c>
      <c r="M2753" s="460">
        <f t="shared" si="136"/>
        <v>0.05</v>
      </c>
      <c r="N2753" s="464">
        <f t="shared" si="137"/>
        <v>134836</v>
      </c>
    </row>
    <row r="2754" spans="7:14" ht="11.25" customHeight="1" x14ac:dyDescent="0.3">
      <c r="G2754" s="459"/>
      <c r="H2754" s="459">
        <v>2747</v>
      </c>
      <c r="I2754" s="444">
        <f t="shared" ca="1" si="135"/>
        <v>-30867305616.82616</v>
      </c>
      <c r="J2754" s="444">
        <f t="array" ref="J2754">IFERROR(INDEX('Retirement Calculator'!K:K,MATCH('Lorri 401b'!N2754,'Retirement Calculator'!A:A,0),0),0)</f>
        <v>0</v>
      </c>
      <c r="K2754" s="444">
        <f t="shared" ca="1" si="133"/>
        <v>-128613773.40344235</v>
      </c>
      <c r="L2754" s="444">
        <f t="shared" ca="1" si="134"/>
        <v>-30995919390.229603</v>
      </c>
      <c r="M2754" s="460">
        <f t="shared" si="136"/>
        <v>0.05</v>
      </c>
      <c r="N2754" s="464">
        <f t="shared" si="137"/>
        <v>134867</v>
      </c>
    </row>
    <row r="2755" spans="7:14" ht="11.25" customHeight="1" x14ac:dyDescent="0.3">
      <c r="G2755" s="459"/>
      <c r="H2755" s="459">
        <v>2748</v>
      </c>
      <c r="I2755" s="444">
        <f t="shared" ca="1" si="135"/>
        <v>-30995919390.229603</v>
      </c>
      <c r="J2755" s="444">
        <f t="array" ref="J2755">IFERROR(INDEX('Retirement Calculator'!K:K,MATCH('Lorri 401b'!N2755,'Retirement Calculator'!A:A,0),0),0)</f>
        <v>0</v>
      </c>
      <c r="K2755" s="444">
        <f t="shared" ca="1" si="133"/>
        <v>-129149664.12595667</v>
      </c>
      <c r="L2755" s="444">
        <f t="shared" ca="1" si="134"/>
        <v>-31125069054.35556</v>
      </c>
      <c r="M2755" s="460">
        <f t="shared" si="136"/>
        <v>0.05</v>
      </c>
      <c r="N2755" s="464">
        <f t="shared" si="137"/>
        <v>134897</v>
      </c>
    </row>
    <row r="2756" spans="7:14" ht="11.25" customHeight="1" x14ac:dyDescent="0.3">
      <c r="G2756" s="459"/>
      <c r="H2756" s="459">
        <v>2749</v>
      </c>
      <c r="I2756" s="444">
        <f t="shared" ca="1" si="135"/>
        <v>-31125069054.35556</v>
      </c>
      <c r="J2756" s="444">
        <f t="array" ref="J2756">IFERROR(INDEX('Retirement Calculator'!K:K,MATCH('Lorri 401b'!N2756,'Retirement Calculator'!A:A,0),0),0)</f>
        <v>0</v>
      </c>
      <c r="K2756" s="444">
        <f t="shared" ca="1" si="133"/>
        <v>-129687787.7264815</v>
      </c>
      <c r="L2756" s="444">
        <f t="shared" ca="1" si="134"/>
        <v>-31254756842.082043</v>
      </c>
      <c r="M2756" s="460">
        <f t="shared" si="136"/>
        <v>0.05</v>
      </c>
      <c r="N2756" s="464">
        <f t="shared" si="137"/>
        <v>134928</v>
      </c>
    </row>
    <row r="2757" spans="7:14" ht="11.25" customHeight="1" x14ac:dyDescent="0.3">
      <c r="G2757" s="459"/>
      <c r="H2757" s="459">
        <v>2750</v>
      </c>
      <c r="I2757" s="444">
        <f t="shared" ca="1" si="135"/>
        <v>-31254756842.082043</v>
      </c>
      <c r="J2757" s="444">
        <f t="array" ref="J2757">IFERROR(INDEX('Retirement Calculator'!K:K,MATCH('Lorri 401b'!N2757,'Retirement Calculator'!A:A,0),0),0)</f>
        <v>0</v>
      </c>
      <c r="K2757" s="444">
        <f t="shared" ca="1" si="133"/>
        <v>-130228153.50867516</v>
      </c>
      <c r="L2757" s="444">
        <f t="shared" ca="1" si="134"/>
        <v>-31384984995.590717</v>
      </c>
      <c r="M2757" s="460">
        <f t="shared" si="136"/>
        <v>0.05</v>
      </c>
      <c r="N2757" s="464">
        <f t="shared" si="137"/>
        <v>134958</v>
      </c>
    </row>
    <row r="2758" spans="7:14" ht="11.25" customHeight="1" x14ac:dyDescent="0.3">
      <c r="G2758" s="459"/>
      <c r="H2758" s="459">
        <v>2751</v>
      </c>
      <c r="I2758" s="444">
        <f t="shared" ca="1" si="135"/>
        <v>-31384984995.590717</v>
      </c>
      <c r="J2758" s="444">
        <f t="array" ref="J2758">IFERROR(INDEX('Retirement Calculator'!K:K,MATCH('Lorri 401b'!N2758,'Retirement Calculator'!A:A,0),0),0)</f>
        <v>0</v>
      </c>
      <c r="K2758" s="444">
        <f t="shared" ca="1" si="133"/>
        <v>-130770770.8149613</v>
      </c>
      <c r="L2758" s="444">
        <f t="shared" ca="1" si="134"/>
        <v>-31515755766.405678</v>
      </c>
      <c r="M2758" s="460">
        <f t="shared" si="136"/>
        <v>0.05</v>
      </c>
      <c r="N2758" s="464">
        <f t="shared" si="137"/>
        <v>134989</v>
      </c>
    </row>
    <row r="2759" spans="7:14" ht="11.25" customHeight="1" x14ac:dyDescent="0.3">
      <c r="G2759" s="459"/>
      <c r="H2759" s="459">
        <v>2752</v>
      </c>
      <c r="I2759" s="444">
        <f t="shared" ca="1" si="135"/>
        <v>-31515755766.405678</v>
      </c>
      <c r="J2759" s="444">
        <f t="array" ref="J2759">IFERROR(INDEX('Retirement Calculator'!K:K,MATCH('Lorri 401b'!N2759,'Retirement Calculator'!A:A,0),0),0)</f>
        <v>0</v>
      </c>
      <c r="K2759" s="444">
        <f t="shared" ca="1" si="133"/>
        <v>-131315649.02669032</v>
      </c>
      <c r="L2759" s="444">
        <f t="shared" ca="1" si="134"/>
        <v>-31647071415.432369</v>
      </c>
      <c r="M2759" s="460">
        <f t="shared" si="136"/>
        <v>0.05</v>
      </c>
      <c r="N2759" s="464">
        <f t="shared" si="137"/>
        <v>135020</v>
      </c>
    </row>
    <row r="2760" spans="7:14" ht="11.25" customHeight="1" x14ac:dyDescent="0.3">
      <c r="G2760" s="459"/>
      <c r="H2760" s="459">
        <v>2753</v>
      </c>
      <c r="I2760" s="444">
        <f t="shared" ca="1" si="135"/>
        <v>-31647071415.432369</v>
      </c>
      <c r="J2760" s="444">
        <f t="array" ref="J2760">IFERROR(INDEX('Retirement Calculator'!K:K,MATCH('Lorri 401b'!N2760,'Retirement Calculator'!A:A,0),0),0)</f>
        <v>0</v>
      </c>
      <c r="K2760" s="444">
        <f t="shared" ca="1" si="133"/>
        <v>-131862797.56430155</v>
      </c>
      <c r="L2760" s="444">
        <f t="shared" ca="1" si="134"/>
        <v>-31778934212.99667</v>
      </c>
      <c r="M2760" s="460">
        <f t="shared" si="136"/>
        <v>0.05</v>
      </c>
      <c r="N2760" s="464">
        <f t="shared" si="137"/>
        <v>135050</v>
      </c>
    </row>
    <row r="2761" spans="7:14" ht="11.25" customHeight="1" x14ac:dyDescent="0.3">
      <c r="G2761" s="459"/>
      <c r="H2761" s="459">
        <v>2754</v>
      </c>
      <c r="I2761" s="444">
        <f t="shared" ca="1" si="135"/>
        <v>-31778934212.99667</v>
      </c>
      <c r="J2761" s="444">
        <f t="array" ref="J2761">IFERROR(INDEX('Retirement Calculator'!K:K,MATCH('Lorri 401b'!N2761,'Retirement Calculator'!A:A,0),0),0)</f>
        <v>0</v>
      </c>
      <c r="K2761" s="444">
        <f t="shared" ca="1" si="133"/>
        <v>-132412225.88748612</v>
      </c>
      <c r="L2761" s="444">
        <f t="shared" ca="1" si="134"/>
        <v>-31911346438.884155</v>
      </c>
      <c r="M2761" s="460">
        <f t="shared" si="136"/>
        <v>0.05</v>
      </c>
      <c r="N2761" s="464">
        <f t="shared" si="137"/>
        <v>135081</v>
      </c>
    </row>
    <row r="2762" spans="7:14" ht="11.25" customHeight="1" x14ac:dyDescent="0.3">
      <c r="G2762" s="459"/>
      <c r="H2762" s="459">
        <v>2755</v>
      </c>
      <c r="I2762" s="444">
        <f t="shared" ca="1" si="135"/>
        <v>-31911346438.884155</v>
      </c>
      <c r="J2762" s="444">
        <f t="array" ref="J2762">IFERROR(INDEX('Retirement Calculator'!K:K,MATCH('Lorri 401b'!N2762,'Retirement Calculator'!A:A,0),0),0)</f>
        <v>0</v>
      </c>
      <c r="K2762" s="444">
        <f t="shared" ca="1" si="133"/>
        <v>-132963943.49535064</v>
      </c>
      <c r="L2762" s="444">
        <f t="shared" ca="1" si="134"/>
        <v>-32044310382.379505</v>
      </c>
      <c r="M2762" s="460">
        <f t="shared" si="136"/>
        <v>0.05</v>
      </c>
      <c r="N2762" s="464">
        <f t="shared" si="137"/>
        <v>135111</v>
      </c>
    </row>
    <row r="2763" spans="7:14" ht="11.25" customHeight="1" x14ac:dyDescent="0.3">
      <c r="G2763" s="459"/>
      <c r="H2763" s="459">
        <v>2756</v>
      </c>
      <c r="I2763" s="444">
        <f t="shared" ca="1" si="135"/>
        <v>-32044310382.379505</v>
      </c>
      <c r="J2763" s="444">
        <f t="array" ref="J2763">IFERROR(INDEX('Retirement Calculator'!K:K,MATCH('Lorri 401b'!N2763,'Retirement Calculator'!A:A,0),0),0)</f>
        <v>0</v>
      </c>
      <c r="K2763" s="444">
        <f t="shared" ca="1" si="133"/>
        <v>-133517959.92658128</v>
      </c>
      <c r="L2763" s="444">
        <f t="shared" ca="1" si="134"/>
        <v>-32177828342.306087</v>
      </c>
      <c r="M2763" s="460">
        <f t="shared" si="136"/>
        <v>0.05</v>
      </c>
      <c r="N2763" s="464">
        <f t="shared" si="137"/>
        <v>135142</v>
      </c>
    </row>
    <row r="2764" spans="7:14" ht="11.25" customHeight="1" x14ac:dyDescent="0.3">
      <c r="G2764" s="459"/>
      <c r="H2764" s="459">
        <v>2757</v>
      </c>
      <c r="I2764" s="444">
        <f t="shared" ca="1" si="135"/>
        <v>-32177828342.306087</v>
      </c>
      <c r="J2764" s="444">
        <f t="array" ref="J2764">IFERROR(INDEX('Retirement Calculator'!K:K,MATCH('Lorri 401b'!N2764,'Retirement Calculator'!A:A,0),0),0)</f>
        <v>0</v>
      </c>
      <c r="K2764" s="444">
        <f t="shared" ca="1" si="133"/>
        <v>-134074284.7596087</v>
      </c>
      <c r="L2764" s="444">
        <f t="shared" ca="1" si="134"/>
        <v>-32311902627.065697</v>
      </c>
      <c r="M2764" s="460">
        <f t="shared" si="136"/>
        <v>0.05</v>
      </c>
      <c r="N2764" s="464">
        <f t="shared" si="137"/>
        <v>135173</v>
      </c>
    </row>
    <row r="2765" spans="7:14" ht="11.25" customHeight="1" x14ac:dyDescent="0.3">
      <c r="G2765" s="459"/>
      <c r="H2765" s="459">
        <v>2758</v>
      </c>
      <c r="I2765" s="444">
        <f t="shared" ca="1" si="135"/>
        <v>-32311902627.065697</v>
      </c>
      <c r="J2765" s="444">
        <f t="array" ref="J2765">IFERROR(INDEX('Retirement Calculator'!K:K,MATCH('Lorri 401b'!N2765,'Retirement Calculator'!A:A,0),0),0)</f>
        <v>0</v>
      </c>
      <c r="K2765" s="444">
        <f t="shared" ca="1" si="133"/>
        <v>-134632927.61277375</v>
      </c>
      <c r="L2765" s="444">
        <f t="shared" ca="1" si="134"/>
        <v>-32446535554.678471</v>
      </c>
      <c r="M2765" s="460">
        <f t="shared" si="136"/>
        <v>0.05</v>
      </c>
      <c r="N2765" s="464">
        <f t="shared" si="137"/>
        <v>135201</v>
      </c>
    </row>
    <row r="2766" spans="7:14" ht="11.25" customHeight="1" x14ac:dyDescent="0.3">
      <c r="G2766" s="459"/>
      <c r="H2766" s="459">
        <v>2759</v>
      </c>
      <c r="I2766" s="444">
        <f t="shared" ca="1" si="135"/>
        <v>-32446535554.678471</v>
      </c>
      <c r="J2766" s="444">
        <f t="array" ref="J2766">IFERROR(INDEX('Retirement Calculator'!K:K,MATCH('Lorri 401b'!N2766,'Retirement Calculator'!A:A,0),0),0)</f>
        <v>0</v>
      </c>
      <c r="K2766" s="444">
        <f t="shared" ca="1" si="133"/>
        <v>-135193898.14449364</v>
      </c>
      <c r="L2766" s="444">
        <f t="shared" ca="1" si="134"/>
        <v>-32581729452.822964</v>
      </c>
      <c r="M2766" s="460">
        <f t="shared" si="136"/>
        <v>0.05</v>
      </c>
      <c r="N2766" s="464">
        <f t="shared" si="137"/>
        <v>135232</v>
      </c>
    </row>
    <row r="2767" spans="7:14" ht="11.25" customHeight="1" x14ac:dyDescent="0.3">
      <c r="G2767" s="459"/>
      <c r="H2767" s="459">
        <v>2760</v>
      </c>
      <c r="I2767" s="444">
        <f t="shared" ca="1" si="135"/>
        <v>-32581729452.822964</v>
      </c>
      <c r="J2767" s="444">
        <f t="array" ref="J2767">IFERROR(INDEX('Retirement Calculator'!K:K,MATCH('Lorri 401b'!N2767,'Retirement Calculator'!A:A,0),0),0)</f>
        <v>0</v>
      </c>
      <c r="K2767" s="444">
        <f t="shared" ca="1" si="133"/>
        <v>-135757206.05342901</v>
      </c>
      <c r="L2767" s="444">
        <f t="shared" ca="1" si="134"/>
        <v>-32717486658.876392</v>
      </c>
      <c r="M2767" s="460">
        <f t="shared" si="136"/>
        <v>0.05</v>
      </c>
      <c r="N2767" s="464">
        <f t="shared" si="137"/>
        <v>135262</v>
      </c>
    </row>
    <row r="2768" spans="7:14" ht="11.25" customHeight="1" x14ac:dyDescent="0.3">
      <c r="G2768" s="459"/>
      <c r="H2768" s="459">
        <v>2761</v>
      </c>
      <c r="I2768" s="444">
        <f t="shared" ca="1" si="135"/>
        <v>-32717486658.876392</v>
      </c>
      <c r="J2768" s="444">
        <f t="array" ref="J2768">IFERROR(INDEX('Retirement Calculator'!K:K,MATCH('Lorri 401b'!N2768,'Retirement Calculator'!A:A,0),0),0)</f>
        <v>0</v>
      </c>
      <c r="K2768" s="444">
        <f t="shared" ca="1" si="133"/>
        <v>-136322861.07865164</v>
      </c>
      <c r="L2768" s="444">
        <f t="shared" ca="1" si="134"/>
        <v>-32853809519.955044</v>
      </c>
      <c r="M2768" s="460">
        <f t="shared" si="136"/>
        <v>0.05</v>
      </c>
      <c r="N2768" s="464">
        <f t="shared" si="137"/>
        <v>135293</v>
      </c>
    </row>
    <row r="2769" spans="7:14" ht="11.25" customHeight="1" x14ac:dyDescent="0.3">
      <c r="G2769" s="459"/>
      <c r="H2769" s="459">
        <v>2762</v>
      </c>
      <c r="I2769" s="444">
        <f t="shared" ca="1" si="135"/>
        <v>-32853809519.955044</v>
      </c>
      <c r="J2769" s="444">
        <f t="array" ref="J2769">IFERROR(INDEX('Retirement Calculator'!K:K,MATCH('Lorri 401b'!N2769,'Retirement Calculator'!A:A,0),0),0)</f>
        <v>0</v>
      </c>
      <c r="K2769" s="444">
        <f t="shared" ca="1" si="133"/>
        <v>-136890872.99981269</v>
      </c>
      <c r="L2769" s="444">
        <f t="shared" ca="1" si="134"/>
        <v>-32990700392.954857</v>
      </c>
      <c r="M2769" s="460">
        <f t="shared" si="136"/>
        <v>0.05</v>
      </c>
      <c r="N2769" s="464">
        <f t="shared" si="137"/>
        <v>135323</v>
      </c>
    </row>
    <row r="2770" spans="7:14" ht="11.25" customHeight="1" x14ac:dyDescent="0.3">
      <c r="G2770" s="459"/>
      <c r="H2770" s="459">
        <v>2763</v>
      </c>
      <c r="I2770" s="444">
        <f t="shared" ca="1" si="135"/>
        <v>-32990700392.954857</v>
      </c>
      <c r="J2770" s="444">
        <f t="array" ref="J2770">IFERROR(INDEX('Retirement Calculator'!K:K,MATCH('Lorri 401b'!N2770,'Retirement Calculator'!A:A,0),0),0)</f>
        <v>0</v>
      </c>
      <c r="K2770" s="444">
        <f t="shared" ca="1" si="133"/>
        <v>-137461251.63731188</v>
      </c>
      <c r="L2770" s="444">
        <f t="shared" ca="1" si="134"/>
        <v>-33128161644.592167</v>
      </c>
      <c r="M2770" s="460">
        <f t="shared" si="136"/>
        <v>0.05</v>
      </c>
      <c r="N2770" s="464">
        <f t="shared" si="137"/>
        <v>135354</v>
      </c>
    </row>
    <row r="2771" spans="7:14" ht="11.25" customHeight="1" x14ac:dyDescent="0.3">
      <c r="G2771" s="459"/>
      <c r="H2771" s="459">
        <v>2764</v>
      </c>
      <c r="I2771" s="444">
        <f t="shared" ca="1" si="135"/>
        <v>-33128161644.592167</v>
      </c>
      <c r="J2771" s="444">
        <f t="array" ref="J2771">IFERROR(INDEX('Retirement Calculator'!K:K,MATCH('Lorri 401b'!N2771,'Retirement Calculator'!A:A,0),0),0)</f>
        <v>0</v>
      </c>
      <c r="K2771" s="444">
        <f t="shared" ca="1" si="133"/>
        <v>-138034006.85246739</v>
      </c>
      <c r="L2771" s="444">
        <f t="shared" ca="1" si="134"/>
        <v>-33266195651.444633</v>
      </c>
      <c r="M2771" s="460">
        <f t="shared" si="136"/>
        <v>0.05</v>
      </c>
      <c r="N2771" s="464">
        <f t="shared" si="137"/>
        <v>135385</v>
      </c>
    </row>
    <row r="2772" spans="7:14" ht="11.25" customHeight="1" x14ac:dyDescent="0.3">
      <c r="G2772" s="459"/>
      <c r="H2772" s="459">
        <v>2765</v>
      </c>
      <c r="I2772" s="444">
        <f t="shared" ca="1" si="135"/>
        <v>-33266195651.444633</v>
      </c>
      <c r="J2772" s="444">
        <f t="array" ref="J2772">IFERROR(INDEX('Retirement Calculator'!K:K,MATCH('Lorri 401b'!N2772,'Retirement Calculator'!A:A,0),0),0)</f>
        <v>0</v>
      </c>
      <c r="K2772" s="444">
        <f t="shared" ca="1" si="133"/>
        <v>-138609148.54768598</v>
      </c>
      <c r="L2772" s="444">
        <f t="shared" ca="1" si="134"/>
        <v>-33404804799.992321</v>
      </c>
      <c r="M2772" s="460">
        <f t="shared" si="136"/>
        <v>0.05</v>
      </c>
      <c r="N2772" s="464">
        <f t="shared" si="137"/>
        <v>135415</v>
      </c>
    </row>
    <row r="2773" spans="7:14" ht="11.25" customHeight="1" x14ac:dyDescent="0.3">
      <c r="G2773" s="459"/>
      <c r="H2773" s="459">
        <v>2766</v>
      </c>
      <c r="I2773" s="444">
        <f t="shared" ca="1" si="135"/>
        <v>-33404804799.992321</v>
      </c>
      <c r="J2773" s="444">
        <f t="array" ref="J2773">IFERROR(INDEX('Retirement Calculator'!K:K,MATCH('Lorri 401b'!N2773,'Retirement Calculator'!A:A,0),0),0)</f>
        <v>0</v>
      </c>
      <c r="K2773" s="444">
        <f t="shared" ca="1" si="133"/>
        <v>-139186686.66663468</v>
      </c>
      <c r="L2773" s="444">
        <f t="shared" ca="1" si="134"/>
        <v>-33543991486.658955</v>
      </c>
      <c r="M2773" s="460">
        <f t="shared" si="136"/>
        <v>0.05</v>
      </c>
      <c r="N2773" s="464">
        <f t="shared" si="137"/>
        <v>135446</v>
      </c>
    </row>
    <row r="2774" spans="7:14" ht="11.25" customHeight="1" x14ac:dyDescent="0.3">
      <c r="G2774" s="459"/>
      <c r="H2774" s="459">
        <v>2767</v>
      </c>
      <c r="I2774" s="444">
        <f t="shared" ca="1" si="135"/>
        <v>-33543991486.658955</v>
      </c>
      <c r="J2774" s="444">
        <f t="array" ref="J2774">IFERROR(INDEX('Retirement Calculator'!K:K,MATCH('Lorri 401b'!N2774,'Retirement Calculator'!A:A,0),0),0)</f>
        <v>0</v>
      </c>
      <c r="K2774" s="444">
        <f t="shared" ca="1" si="133"/>
        <v>-139766631.19441232</v>
      </c>
      <c r="L2774" s="444">
        <f t="shared" ca="1" si="134"/>
        <v>-33683758117.853367</v>
      </c>
      <c r="M2774" s="460">
        <f t="shared" si="136"/>
        <v>0.05</v>
      </c>
      <c r="N2774" s="464">
        <f t="shared" si="137"/>
        <v>135476</v>
      </c>
    </row>
    <row r="2775" spans="7:14" ht="11.25" customHeight="1" x14ac:dyDescent="0.3">
      <c r="G2775" s="459"/>
      <c r="H2775" s="459">
        <v>2768</v>
      </c>
      <c r="I2775" s="444">
        <f t="shared" ca="1" si="135"/>
        <v>-33683758117.853367</v>
      </c>
      <c r="J2775" s="444">
        <f t="array" ref="J2775">IFERROR(INDEX('Retirement Calculator'!K:K,MATCH('Lorri 401b'!N2775,'Retirement Calculator'!A:A,0),0),0)</f>
        <v>0</v>
      </c>
      <c r="K2775" s="444">
        <f t="shared" ca="1" si="133"/>
        <v>-140348992.15772235</v>
      </c>
      <c r="L2775" s="444">
        <f t="shared" ca="1" si="134"/>
        <v>-33824107110.011089</v>
      </c>
      <c r="M2775" s="460">
        <f t="shared" si="136"/>
        <v>0.05</v>
      </c>
      <c r="N2775" s="464">
        <f t="shared" si="137"/>
        <v>135507</v>
      </c>
    </row>
    <row r="2776" spans="7:14" ht="11.25" customHeight="1" x14ac:dyDescent="0.3">
      <c r="G2776" s="459"/>
      <c r="H2776" s="459">
        <v>2769</v>
      </c>
      <c r="I2776" s="444">
        <f t="shared" ca="1" si="135"/>
        <v>-33824107110.011089</v>
      </c>
      <c r="J2776" s="444">
        <f t="array" ref="J2776">IFERROR(INDEX('Retirement Calculator'!K:K,MATCH('Lorri 401b'!N2776,'Retirement Calculator'!A:A,0),0),0)</f>
        <v>0</v>
      </c>
      <c r="K2776" s="444">
        <f t="shared" ca="1" si="133"/>
        <v>-140933779.62504619</v>
      </c>
      <c r="L2776" s="444">
        <f t="shared" ca="1" si="134"/>
        <v>-33965040889.636135</v>
      </c>
      <c r="M2776" s="460">
        <f t="shared" si="136"/>
        <v>0.05</v>
      </c>
      <c r="N2776" s="464">
        <f t="shared" si="137"/>
        <v>135538</v>
      </c>
    </row>
    <row r="2777" spans="7:14" ht="11.25" customHeight="1" x14ac:dyDescent="0.3">
      <c r="G2777" s="459"/>
      <c r="H2777" s="459">
        <v>2770</v>
      </c>
      <c r="I2777" s="444">
        <f t="shared" ca="1" si="135"/>
        <v>-33965040889.636135</v>
      </c>
      <c r="J2777" s="444">
        <f t="array" ref="J2777">IFERROR(INDEX('Retirement Calculator'!K:K,MATCH('Lorri 401b'!N2777,'Retirement Calculator'!A:A,0),0),0)</f>
        <v>0</v>
      </c>
      <c r="K2777" s="444">
        <f t="shared" ca="1" si="133"/>
        <v>-141521003.70681724</v>
      </c>
      <c r="L2777" s="444">
        <f t="shared" ca="1" si="134"/>
        <v>-34106561893.342953</v>
      </c>
      <c r="M2777" s="460">
        <f t="shared" si="136"/>
        <v>0.05</v>
      </c>
      <c r="N2777" s="464">
        <f t="shared" si="137"/>
        <v>135566</v>
      </c>
    </row>
    <row r="2778" spans="7:14" ht="11.25" customHeight="1" x14ac:dyDescent="0.3">
      <c r="G2778" s="459"/>
      <c r="H2778" s="459">
        <v>2771</v>
      </c>
      <c r="I2778" s="444">
        <f t="shared" ca="1" si="135"/>
        <v>-34106561893.342953</v>
      </c>
      <c r="J2778" s="444">
        <f t="array" ref="J2778">IFERROR(INDEX('Retirement Calculator'!K:K,MATCH('Lorri 401b'!N2778,'Retirement Calculator'!A:A,0),0),0)</f>
        <v>0</v>
      </c>
      <c r="K2778" s="444">
        <f t="shared" ca="1" si="133"/>
        <v>-142110674.55559564</v>
      </c>
      <c r="L2778" s="444">
        <f t="shared" ca="1" si="134"/>
        <v>-34248672567.898548</v>
      </c>
      <c r="M2778" s="460">
        <f t="shared" si="136"/>
        <v>0.05</v>
      </c>
      <c r="N2778" s="464">
        <f t="shared" si="137"/>
        <v>135597</v>
      </c>
    </row>
    <row r="2779" spans="7:14" ht="11.25" customHeight="1" x14ac:dyDescent="0.3">
      <c r="G2779" s="459"/>
      <c r="H2779" s="459">
        <v>2772</v>
      </c>
      <c r="I2779" s="444">
        <f t="shared" ca="1" si="135"/>
        <v>-34248672567.898548</v>
      </c>
      <c r="J2779" s="444">
        <f t="array" ref="J2779">IFERROR(INDEX('Retirement Calculator'!K:K,MATCH('Lorri 401b'!N2779,'Retirement Calculator'!A:A,0),0),0)</f>
        <v>0</v>
      </c>
      <c r="K2779" s="444">
        <f t="shared" ca="1" si="133"/>
        <v>-142702802.36624396</v>
      </c>
      <c r="L2779" s="444">
        <f t="shared" ca="1" si="134"/>
        <v>-34391375370.264793</v>
      </c>
      <c r="M2779" s="460">
        <f t="shared" si="136"/>
        <v>0.05</v>
      </c>
      <c r="N2779" s="464">
        <f t="shared" si="137"/>
        <v>135627</v>
      </c>
    </row>
    <row r="2780" spans="7:14" ht="11.25" customHeight="1" x14ac:dyDescent="0.3">
      <c r="G2780" s="459"/>
      <c r="H2780" s="459">
        <v>2773</v>
      </c>
      <c r="I2780" s="444">
        <f t="shared" ca="1" si="135"/>
        <v>-34391375370.264793</v>
      </c>
      <c r="J2780" s="444">
        <f t="array" ref="J2780">IFERROR(INDEX('Retirement Calculator'!K:K,MATCH('Lorri 401b'!N2780,'Retirement Calculator'!A:A,0),0),0)</f>
        <v>0</v>
      </c>
      <c r="K2780" s="444">
        <f t="shared" ca="1" si="133"/>
        <v>-143297397.37610331</v>
      </c>
      <c r="L2780" s="444">
        <f t="shared" ca="1" si="134"/>
        <v>-34534672767.6409</v>
      </c>
      <c r="M2780" s="460">
        <f t="shared" si="136"/>
        <v>0.05</v>
      </c>
      <c r="N2780" s="464">
        <f t="shared" si="137"/>
        <v>135658</v>
      </c>
    </row>
    <row r="2781" spans="7:14" ht="11.25" customHeight="1" x14ac:dyDescent="0.3">
      <c r="G2781" s="459"/>
      <c r="H2781" s="459">
        <v>2774</v>
      </c>
      <c r="I2781" s="444">
        <f t="shared" ca="1" si="135"/>
        <v>-34534672767.6409</v>
      </c>
      <c r="J2781" s="444">
        <f t="array" ref="J2781">IFERROR(INDEX('Retirement Calculator'!K:K,MATCH('Lorri 401b'!N2781,'Retirement Calculator'!A:A,0),0),0)</f>
        <v>0</v>
      </c>
      <c r="K2781" s="444">
        <f t="shared" ca="1" si="133"/>
        <v>-143894469.86517042</v>
      </c>
      <c r="L2781" s="444">
        <f t="shared" ca="1" si="134"/>
        <v>-34678567237.506073</v>
      </c>
      <c r="M2781" s="460">
        <f t="shared" si="136"/>
        <v>0.05</v>
      </c>
      <c r="N2781" s="464">
        <f t="shared" si="137"/>
        <v>135688</v>
      </c>
    </row>
    <row r="2782" spans="7:14" ht="11.25" customHeight="1" x14ac:dyDescent="0.3">
      <c r="G2782" s="459"/>
      <c r="H2782" s="459">
        <v>2775</v>
      </c>
      <c r="I2782" s="444">
        <f t="shared" ca="1" si="135"/>
        <v>-34678567237.506073</v>
      </c>
      <c r="J2782" s="444">
        <f t="array" ref="J2782">IFERROR(INDEX('Retirement Calculator'!K:K,MATCH('Lorri 401b'!N2782,'Retirement Calculator'!A:A,0),0),0)</f>
        <v>0</v>
      </c>
      <c r="K2782" s="444">
        <f t="shared" ca="1" si="133"/>
        <v>-144494030.1562753</v>
      </c>
      <c r="L2782" s="444">
        <f t="shared" ca="1" si="134"/>
        <v>-34823061267.662346</v>
      </c>
      <c r="M2782" s="460">
        <f t="shared" si="136"/>
        <v>0.05</v>
      </c>
      <c r="N2782" s="464">
        <f t="shared" si="137"/>
        <v>135719</v>
      </c>
    </row>
    <row r="2783" spans="7:14" ht="11.25" customHeight="1" x14ac:dyDescent="0.3">
      <c r="G2783" s="459"/>
      <c r="H2783" s="459">
        <v>2776</v>
      </c>
      <c r="I2783" s="444">
        <f t="shared" ca="1" si="135"/>
        <v>-34823061267.662346</v>
      </c>
      <c r="J2783" s="444">
        <f t="array" ref="J2783">IFERROR(INDEX('Retirement Calculator'!K:K,MATCH('Lorri 401b'!N2783,'Retirement Calculator'!A:A,0),0),0)</f>
        <v>0</v>
      </c>
      <c r="K2783" s="444">
        <f t="shared" ca="1" si="133"/>
        <v>-145096088.61525977</v>
      </c>
      <c r="L2783" s="444">
        <f t="shared" ca="1" si="134"/>
        <v>-34968157356.277603</v>
      </c>
      <c r="M2783" s="460">
        <f t="shared" si="136"/>
        <v>0.05</v>
      </c>
      <c r="N2783" s="464">
        <f t="shared" si="137"/>
        <v>135750</v>
      </c>
    </row>
    <row r="2784" spans="7:14" ht="11.25" customHeight="1" x14ac:dyDescent="0.3">
      <c r="G2784" s="459"/>
      <c r="H2784" s="459">
        <v>2777</v>
      </c>
      <c r="I2784" s="444">
        <f t="shared" ca="1" si="135"/>
        <v>-34968157356.277603</v>
      </c>
      <c r="J2784" s="444">
        <f t="array" ref="J2784">IFERROR(INDEX('Retirement Calculator'!K:K,MATCH('Lorri 401b'!N2784,'Retirement Calculator'!A:A,0),0),0)</f>
        <v>0</v>
      </c>
      <c r="K2784" s="444">
        <f t="shared" ca="1" si="133"/>
        <v>-145700655.65115666</v>
      </c>
      <c r="L2784" s="444">
        <f t="shared" ca="1" si="134"/>
        <v>-35113858011.928757</v>
      </c>
      <c r="M2784" s="460">
        <f t="shared" si="136"/>
        <v>0.05</v>
      </c>
      <c r="N2784" s="464">
        <f t="shared" si="137"/>
        <v>135780</v>
      </c>
    </row>
    <row r="2785" spans="7:14" ht="11.25" customHeight="1" x14ac:dyDescent="0.3">
      <c r="G2785" s="459"/>
      <c r="H2785" s="459">
        <v>2778</v>
      </c>
      <c r="I2785" s="444">
        <f t="shared" ca="1" si="135"/>
        <v>-35113858011.928757</v>
      </c>
      <c r="J2785" s="444">
        <f t="array" ref="J2785">IFERROR(INDEX('Retirement Calculator'!K:K,MATCH('Lorri 401b'!N2785,'Retirement Calculator'!A:A,0),0),0)</f>
        <v>0</v>
      </c>
      <c r="K2785" s="444">
        <f t="shared" ca="1" si="133"/>
        <v>-146307741.71636981</v>
      </c>
      <c r="L2785" s="444">
        <f t="shared" ca="1" si="134"/>
        <v>-35260165753.645126</v>
      </c>
      <c r="M2785" s="460">
        <f t="shared" si="136"/>
        <v>0.05</v>
      </c>
      <c r="N2785" s="464">
        <f t="shared" si="137"/>
        <v>135811</v>
      </c>
    </row>
    <row r="2786" spans="7:14" ht="11.25" customHeight="1" x14ac:dyDescent="0.3">
      <c r="G2786" s="459"/>
      <c r="H2786" s="459">
        <v>2779</v>
      </c>
      <c r="I2786" s="444">
        <f t="shared" ca="1" si="135"/>
        <v>-35260165753.645126</v>
      </c>
      <c r="J2786" s="444">
        <f t="array" ref="J2786">IFERROR(INDEX('Retirement Calculator'!K:K,MATCH('Lorri 401b'!N2786,'Retirement Calculator'!A:A,0),0),0)</f>
        <v>0</v>
      </c>
      <c r="K2786" s="444">
        <f t="shared" ca="1" si="133"/>
        <v>-146917357.3068547</v>
      </c>
      <c r="L2786" s="444">
        <f t="shared" ca="1" si="134"/>
        <v>-35407083110.951981</v>
      </c>
      <c r="M2786" s="460">
        <f t="shared" si="136"/>
        <v>0.05</v>
      </c>
      <c r="N2786" s="464">
        <f t="shared" si="137"/>
        <v>135841</v>
      </c>
    </row>
    <row r="2787" spans="7:14" ht="11.25" customHeight="1" x14ac:dyDescent="0.3">
      <c r="G2787" s="459"/>
      <c r="H2787" s="459">
        <v>2780</v>
      </c>
      <c r="I2787" s="444">
        <f t="shared" ca="1" si="135"/>
        <v>-35407083110.951981</v>
      </c>
      <c r="J2787" s="444">
        <f t="array" ref="J2787">IFERROR(INDEX('Retirement Calculator'!K:K,MATCH('Lorri 401b'!N2787,'Retirement Calculator'!A:A,0),0),0)</f>
        <v>0</v>
      </c>
      <c r="K2787" s="444">
        <f t="shared" ca="1" si="133"/>
        <v>-147529512.96229991</v>
      </c>
      <c r="L2787" s="444">
        <f t="shared" ca="1" si="134"/>
        <v>-35554612623.914284</v>
      </c>
      <c r="M2787" s="460">
        <f t="shared" si="136"/>
        <v>0.05</v>
      </c>
      <c r="N2787" s="464">
        <f t="shared" si="137"/>
        <v>135872</v>
      </c>
    </row>
    <row r="2788" spans="7:14" ht="11.25" customHeight="1" x14ac:dyDescent="0.3">
      <c r="G2788" s="459"/>
      <c r="H2788" s="459">
        <v>2781</v>
      </c>
      <c r="I2788" s="444">
        <f t="shared" ca="1" si="135"/>
        <v>-35554612623.914284</v>
      </c>
      <c r="J2788" s="444">
        <f t="array" ref="J2788">IFERROR(INDEX('Retirement Calculator'!K:K,MATCH('Lorri 401b'!N2788,'Retirement Calculator'!A:A,0),0),0)</f>
        <v>0</v>
      </c>
      <c r="K2788" s="444">
        <f t="shared" ca="1" si="133"/>
        <v>-148144219.2663095</v>
      </c>
      <c r="L2788" s="444">
        <f t="shared" ca="1" si="134"/>
        <v>-35702756843.180595</v>
      </c>
      <c r="M2788" s="460">
        <f t="shared" si="136"/>
        <v>0.05</v>
      </c>
      <c r="N2788" s="464">
        <f t="shared" si="137"/>
        <v>135903</v>
      </c>
    </row>
    <row r="2789" spans="7:14" ht="11.25" customHeight="1" x14ac:dyDescent="0.3">
      <c r="G2789" s="459"/>
      <c r="H2789" s="459">
        <v>2782</v>
      </c>
      <c r="I2789" s="444">
        <f t="shared" ca="1" si="135"/>
        <v>-35702756843.180595</v>
      </c>
      <c r="J2789" s="444">
        <f t="array" ref="J2789">IFERROR(INDEX('Retirement Calculator'!K:K,MATCH('Lorri 401b'!N2789,'Retirement Calculator'!A:A,0),0),0)</f>
        <v>0</v>
      </c>
      <c r="K2789" s="444">
        <f t="shared" ca="1" si="133"/>
        <v>-148761486.84658581</v>
      </c>
      <c r="L2789" s="444">
        <f t="shared" ca="1" si="134"/>
        <v>-35851518330.027184</v>
      </c>
      <c r="M2789" s="460">
        <f t="shared" si="136"/>
        <v>0.05</v>
      </c>
      <c r="N2789" s="464">
        <f t="shared" si="137"/>
        <v>135932</v>
      </c>
    </row>
    <row r="2790" spans="7:14" ht="11.25" customHeight="1" x14ac:dyDescent="0.3">
      <c r="G2790" s="459"/>
      <c r="H2790" s="459">
        <v>2783</v>
      </c>
      <c r="I2790" s="444">
        <f t="shared" ca="1" si="135"/>
        <v>-35851518330.027184</v>
      </c>
      <c r="J2790" s="444">
        <f t="array" ref="J2790">IFERROR(INDEX('Retirement Calculator'!K:K,MATCH('Lorri 401b'!N2790,'Retirement Calculator'!A:A,0),0),0)</f>
        <v>0</v>
      </c>
      <c r="K2790" s="444">
        <f t="shared" ca="1" si="133"/>
        <v>-149381326.37511325</v>
      </c>
      <c r="L2790" s="444">
        <f t="shared" ca="1" si="134"/>
        <v>-36000899656.402298</v>
      </c>
      <c r="M2790" s="460">
        <f t="shared" si="136"/>
        <v>0.05</v>
      </c>
      <c r="N2790" s="464">
        <f t="shared" si="137"/>
        <v>135963</v>
      </c>
    </row>
    <row r="2791" spans="7:14" ht="11.25" customHeight="1" x14ac:dyDescent="0.3">
      <c r="G2791" s="459"/>
      <c r="H2791" s="459">
        <v>2784</v>
      </c>
      <c r="I2791" s="444">
        <f t="shared" ca="1" si="135"/>
        <v>-36000899656.402298</v>
      </c>
      <c r="J2791" s="444">
        <f t="array" ref="J2791">IFERROR(INDEX('Retirement Calculator'!K:K,MATCH('Lorri 401b'!N2791,'Retirement Calculator'!A:A,0),0),0)</f>
        <v>0</v>
      </c>
      <c r="K2791" s="444">
        <f t="shared" ca="1" si="133"/>
        <v>-150003748.56834289</v>
      </c>
      <c r="L2791" s="444">
        <f t="shared" ca="1" si="134"/>
        <v>-36150903404.970642</v>
      </c>
      <c r="M2791" s="460">
        <f t="shared" si="136"/>
        <v>0.05</v>
      </c>
      <c r="N2791" s="464">
        <f t="shared" si="137"/>
        <v>135993</v>
      </c>
    </row>
    <row r="2792" spans="7:14" ht="11.25" customHeight="1" x14ac:dyDescent="0.3">
      <c r="G2792" s="459"/>
      <c r="H2792" s="459">
        <v>2785</v>
      </c>
      <c r="I2792" s="444">
        <f t="shared" ca="1" si="135"/>
        <v>-36150903404.970642</v>
      </c>
      <c r="J2792" s="444">
        <f t="array" ref="J2792">IFERROR(INDEX('Retirement Calculator'!K:K,MATCH('Lorri 401b'!N2792,'Retirement Calculator'!A:A,0),0),0)</f>
        <v>0</v>
      </c>
      <c r="K2792" s="444">
        <f t="shared" ca="1" si="133"/>
        <v>-150628764.18737766</v>
      </c>
      <c r="L2792" s="444">
        <f t="shared" ca="1" si="134"/>
        <v>-36301532169.15802</v>
      </c>
      <c r="M2792" s="460">
        <f t="shared" si="136"/>
        <v>0.05</v>
      </c>
      <c r="N2792" s="464">
        <f t="shared" si="137"/>
        <v>136024</v>
      </c>
    </row>
    <row r="2793" spans="7:14" ht="11.25" customHeight="1" x14ac:dyDescent="0.3">
      <c r="G2793" s="459"/>
      <c r="H2793" s="459">
        <v>2786</v>
      </c>
      <c r="I2793" s="444">
        <f t="shared" ca="1" si="135"/>
        <v>-36301532169.15802</v>
      </c>
      <c r="J2793" s="444">
        <f t="array" ref="J2793">IFERROR(INDEX('Retirement Calculator'!K:K,MATCH('Lorri 401b'!N2793,'Retirement Calculator'!A:A,0),0),0)</f>
        <v>0</v>
      </c>
      <c r="K2793" s="444">
        <f t="shared" ca="1" si="133"/>
        <v>-151256384.03815842</v>
      </c>
      <c r="L2793" s="444">
        <f t="shared" ca="1" si="134"/>
        <v>-36452788553.196182</v>
      </c>
      <c r="M2793" s="460">
        <f t="shared" si="136"/>
        <v>0.05</v>
      </c>
      <c r="N2793" s="464">
        <f t="shared" si="137"/>
        <v>136054</v>
      </c>
    </row>
    <row r="2794" spans="7:14" ht="11.25" customHeight="1" x14ac:dyDescent="0.3">
      <c r="G2794" s="459"/>
      <c r="H2794" s="459">
        <v>2787</v>
      </c>
      <c r="I2794" s="444">
        <f t="shared" ca="1" si="135"/>
        <v>-36452788553.196182</v>
      </c>
      <c r="J2794" s="444">
        <f t="array" ref="J2794">IFERROR(INDEX('Retirement Calculator'!K:K,MATCH('Lorri 401b'!N2794,'Retirement Calculator'!A:A,0),0),0)</f>
        <v>0</v>
      </c>
      <c r="K2794" s="444">
        <f t="shared" ca="1" si="133"/>
        <v>-151886618.97165075</v>
      </c>
      <c r="L2794" s="444">
        <f t="shared" ca="1" si="134"/>
        <v>-36604675172.167831</v>
      </c>
      <c r="M2794" s="460">
        <f t="shared" si="136"/>
        <v>0.05</v>
      </c>
      <c r="N2794" s="464">
        <f t="shared" si="137"/>
        <v>136085</v>
      </c>
    </row>
    <row r="2795" spans="7:14" ht="11.25" customHeight="1" x14ac:dyDescent="0.3">
      <c r="G2795" s="459"/>
      <c r="H2795" s="459">
        <v>2788</v>
      </c>
      <c r="I2795" s="444">
        <f t="shared" ca="1" si="135"/>
        <v>-36604675172.167831</v>
      </c>
      <c r="J2795" s="444">
        <f t="array" ref="J2795">IFERROR(INDEX('Retirement Calculator'!K:K,MATCH('Lorri 401b'!N2795,'Retirement Calculator'!A:A,0),0),0)</f>
        <v>0</v>
      </c>
      <c r="K2795" s="444">
        <f t="shared" ca="1" si="133"/>
        <v>-152519479.88403264</v>
      </c>
      <c r="L2795" s="444">
        <f t="shared" ca="1" si="134"/>
        <v>-36757194652.051865</v>
      </c>
      <c r="M2795" s="460">
        <f t="shared" si="136"/>
        <v>0.05</v>
      </c>
      <c r="N2795" s="464">
        <f t="shared" si="137"/>
        <v>136116</v>
      </c>
    </row>
    <row r="2796" spans="7:14" ht="11.25" customHeight="1" x14ac:dyDescent="0.3">
      <c r="G2796" s="459"/>
      <c r="H2796" s="459">
        <v>2789</v>
      </c>
      <c r="I2796" s="444">
        <f t="shared" ca="1" si="135"/>
        <v>-36757194652.051865</v>
      </c>
      <c r="J2796" s="444">
        <f t="array" ref="J2796">IFERROR(INDEX('Retirement Calculator'!K:K,MATCH('Lorri 401b'!N2796,'Retirement Calculator'!A:A,0),0),0)</f>
        <v>0</v>
      </c>
      <c r="K2796" s="444">
        <f t="shared" ca="1" si="133"/>
        <v>-153154977.71688277</v>
      </c>
      <c r="L2796" s="444">
        <f t="shared" ca="1" si="134"/>
        <v>-36910349629.768745</v>
      </c>
      <c r="M2796" s="460">
        <f t="shared" si="136"/>
        <v>0.05</v>
      </c>
      <c r="N2796" s="464">
        <f t="shared" si="137"/>
        <v>136146</v>
      </c>
    </row>
    <row r="2797" spans="7:14" ht="11.25" customHeight="1" x14ac:dyDescent="0.3">
      <c r="G2797" s="459"/>
      <c r="H2797" s="459">
        <v>2790</v>
      </c>
      <c r="I2797" s="444">
        <f t="shared" ca="1" si="135"/>
        <v>-36910349629.768745</v>
      </c>
      <c r="J2797" s="444">
        <f t="array" ref="J2797">IFERROR(INDEX('Retirement Calculator'!K:K,MATCH('Lorri 401b'!N2797,'Retirement Calculator'!A:A,0),0),0)</f>
        <v>0</v>
      </c>
      <c r="K2797" s="444">
        <f t="shared" ca="1" si="133"/>
        <v>-153793123.45736977</v>
      </c>
      <c r="L2797" s="444">
        <f t="shared" ca="1" si="134"/>
        <v>-37064142753.226112</v>
      </c>
      <c r="M2797" s="460">
        <f t="shared" si="136"/>
        <v>0.05</v>
      </c>
      <c r="N2797" s="464">
        <f t="shared" si="137"/>
        <v>136177</v>
      </c>
    </row>
    <row r="2798" spans="7:14" ht="11.25" customHeight="1" x14ac:dyDescent="0.3">
      <c r="G2798" s="459"/>
      <c r="H2798" s="459">
        <v>2791</v>
      </c>
      <c r="I2798" s="444">
        <f t="shared" ca="1" si="135"/>
        <v>-37064142753.226112</v>
      </c>
      <c r="J2798" s="444">
        <f t="array" ref="J2798">IFERROR(INDEX('Retirement Calculator'!K:K,MATCH('Lorri 401b'!N2798,'Retirement Calculator'!A:A,0),0),0)</f>
        <v>0</v>
      </c>
      <c r="K2798" s="444">
        <f t="shared" ca="1" si="133"/>
        <v>-154433928.13844213</v>
      </c>
      <c r="L2798" s="444">
        <f t="shared" ca="1" si="134"/>
        <v>-37218576681.364555</v>
      </c>
      <c r="M2798" s="460">
        <f t="shared" si="136"/>
        <v>0.05</v>
      </c>
      <c r="N2798" s="464">
        <f t="shared" si="137"/>
        <v>136207</v>
      </c>
    </row>
    <row r="2799" spans="7:14" ht="11.25" customHeight="1" x14ac:dyDescent="0.3">
      <c r="G2799" s="459"/>
      <c r="H2799" s="459">
        <v>2792</v>
      </c>
      <c r="I2799" s="444">
        <f t="shared" ca="1" si="135"/>
        <v>-37218576681.364555</v>
      </c>
      <c r="J2799" s="444">
        <f t="array" ref="J2799">IFERROR(INDEX('Retirement Calculator'!K:K,MATCH('Lorri 401b'!N2799,'Retirement Calculator'!A:A,0),0),0)</f>
        <v>0</v>
      </c>
      <c r="K2799" s="444">
        <f t="shared" ca="1" si="133"/>
        <v>-155077402.83901897</v>
      </c>
      <c r="L2799" s="444">
        <f t="shared" ca="1" si="134"/>
        <v>-37373654084.203575</v>
      </c>
      <c r="M2799" s="460">
        <f t="shared" si="136"/>
        <v>0.05</v>
      </c>
      <c r="N2799" s="464">
        <f t="shared" si="137"/>
        <v>136238</v>
      </c>
    </row>
    <row r="2800" spans="7:14" ht="11.25" customHeight="1" x14ac:dyDescent="0.3">
      <c r="G2800" s="459"/>
      <c r="H2800" s="459">
        <v>2793</v>
      </c>
      <c r="I2800" s="444">
        <f t="shared" ca="1" si="135"/>
        <v>-37373654084.203575</v>
      </c>
      <c r="J2800" s="444">
        <f t="array" ref="J2800">IFERROR(INDEX('Retirement Calculator'!K:K,MATCH('Lorri 401b'!N2800,'Retirement Calculator'!A:A,0),0),0)</f>
        <v>0</v>
      </c>
      <c r="K2800" s="444">
        <f t="shared" ca="1" si="133"/>
        <v>-155723558.68418157</v>
      </c>
      <c r="L2800" s="444">
        <f t="shared" ca="1" si="134"/>
        <v>-37529377642.887756</v>
      </c>
      <c r="M2800" s="460">
        <f t="shared" si="136"/>
        <v>0.05</v>
      </c>
      <c r="N2800" s="464">
        <f t="shared" si="137"/>
        <v>136269</v>
      </c>
    </row>
    <row r="2801" spans="7:14" ht="11.25" customHeight="1" x14ac:dyDescent="0.3">
      <c r="G2801" s="459"/>
      <c r="H2801" s="459">
        <v>2794</v>
      </c>
      <c r="I2801" s="444">
        <f t="shared" ca="1" si="135"/>
        <v>-37529377642.887756</v>
      </c>
      <c r="J2801" s="444">
        <f t="array" ref="J2801">IFERROR(INDEX('Retirement Calculator'!K:K,MATCH('Lorri 401b'!N2801,'Retirement Calculator'!A:A,0),0),0)</f>
        <v>0</v>
      </c>
      <c r="K2801" s="444">
        <f t="shared" ca="1" si="133"/>
        <v>-156372406.84536564</v>
      </c>
      <c r="L2801" s="444">
        <f t="shared" ca="1" si="134"/>
        <v>-37685750049.733124</v>
      </c>
      <c r="M2801" s="460">
        <f t="shared" si="136"/>
        <v>0.05</v>
      </c>
      <c r="N2801" s="464">
        <f t="shared" si="137"/>
        <v>136297</v>
      </c>
    </row>
    <row r="2802" spans="7:14" ht="11.25" customHeight="1" x14ac:dyDescent="0.3">
      <c r="G2802" s="459"/>
      <c r="H2802" s="459">
        <v>2795</v>
      </c>
      <c r="I2802" s="444">
        <f t="shared" ca="1" si="135"/>
        <v>-37685750049.733124</v>
      </c>
      <c r="J2802" s="444">
        <f t="array" ref="J2802">IFERROR(INDEX('Retirement Calculator'!K:K,MATCH('Lorri 401b'!N2802,'Retirement Calculator'!A:A,0),0),0)</f>
        <v>0</v>
      </c>
      <c r="K2802" s="444">
        <f t="shared" ca="1" si="133"/>
        <v>-157023958.54055467</v>
      </c>
      <c r="L2802" s="444">
        <f t="shared" ca="1" si="134"/>
        <v>-37842774008.273682</v>
      </c>
      <c r="M2802" s="460">
        <f t="shared" si="136"/>
        <v>0.05</v>
      </c>
      <c r="N2802" s="464">
        <f t="shared" si="137"/>
        <v>136328</v>
      </c>
    </row>
    <row r="2803" spans="7:14" ht="11.25" customHeight="1" x14ac:dyDescent="0.3">
      <c r="G2803" s="459"/>
      <c r="H2803" s="459">
        <v>2796</v>
      </c>
      <c r="I2803" s="444">
        <f t="shared" ca="1" si="135"/>
        <v>-37842774008.273682</v>
      </c>
      <c r="J2803" s="444">
        <f t="array" ref="J2803">IFERROR(INDEX('Retirement Calculator'!K:K,MATCH('Lorri 401b'!N2803,'Retirement Calculator'!A:A,0),0),0)</f>
        <v>0</v>
      </c>
      <c r="K2803" s="444">
        <f t="shared" ca="1" si="133"/>
        <v>-157678225.03447366</v>
      </c>
      <c r="L2803" s="444">
        <f t="shared" ca="1" si="134"/>
        <v>-38000452233.308159</v>
      </c>
      <c r="M2803" s="460">
        <f t="shared" si="136"/>
        <v>0.05</v>
      </c>
      <c r="N2803" s="464">
        <f t="shared" si="137"/>
        <v>136358</v>
      </c>
    </row>
    <row r="2804" spans="7:14" ht="11.25" customHeight="1" x14ac:dyDescent="0.3">
      <c r="G2804" s="459"/>
      <c r="H2804" s="459">
        <v>2797</v>
      </c>
      <c r="I2804" s="444">
        <f t="shared" ca="1" si="135"/>
        <v>-38000452233.308159</v>
      </c>
      <c r="J2804" s="444">
        <f t="array" ref="J2804">IFERROR(INDEX('Retirement Calculator'!K:K,MATCH('Lorri 401b'!N2804,'Retirement Calculator'!A:A,0),0),0)</f>
        <v>0</v>
      </c>
      <c r="K2804" s="444">
        <f t="shared" ca="1" si="133"/>
        <v>-158335217.63878399</v>
      </c>
      <c r="L2804" s="444">
        <f t="shared" ca="1" si="134"/>
        <v>-38158787450.946945</v>
      </c>
      <c r="M2804" s="460">
        <f t="shared" si="136"/>
        <v>0.05</v>
      </c>
      <c r="N2804" s="464">
        <f t="shared" si="137"/>
        <v>136389</v>
      </c>
    </row>
    <row r="2805" spans="7:14" ht="11.25" customHeight="1" x14ac:dyDescent="0.3">
      <c r="G2805" s="459"/>
      <c r="H2805" s="459">
        <v>2798</v>
      </c>
      <c r="I2805" s="444">
        <f t="shared" ca="1" si="135"/>
        <v>-38158787450.946945</v>
      </c>
      <c r="J2805" s="444">
        <f t="array" ref="J2805">IFERROR(INDEX('Retirement Calculator'!K:K,MATCH('Lorri 401b'!N2805,'Retirement Calculator'!A:A,0),0),0)</f>
        <v>0</v>
      </c>
      <c r="K2805" s="444">
        <f t="shared" ca="1" si="133"/>
        <v>-158994947.71227893</v>
      </c>
      <c r="L2805" s="444">
        <f t="shared" ca="1" si="134"/>
        <v>-38317782398.659225</v>
      </c>
      <c r="M2805" s="460">
        <f t="shared" si="136"/>
        <v>0.05</v>
      </c>
      <c r="N2805" s="464">
        <f t="shared" si="137"/>
        <v>136419</v>
      </c>
    </row>
    <row r="2806" spans="7:14" ht="11.25" customHeight="1" x14ac:dyDescent="0.3">
      <c r="G2806" s="459"/>
      <c r="H2806" s="459">
        <v>2799</v>
      </c>
      <c r="I2806" s="444">
        <f t="shared" ca="1" si="135"/>
        <v>-38317782398.659225</v>
      </c>
      <c r="J2806" s="444">
        <f t="array" ref="J2806">IFERROR(INDEX('Retirement Calculator'!K:K,MATCH('Lorri 401b'!N2806,'Retirement Calculator'!A:A,0),0),0)</f>
        <v>0</v>
      </c>
      <c r="K2806" s="444">
        <f t="shared" ca="1" si="133"/>
        <v>-159657426.66108009</v>
      </c>
      <c r="L2806" s="444">
        <f t="shared" ca="1" si="134"/>
        <v>-38477439825.320305</v>
      </c>
      <c r="M2806" s="460">
        <f t="shared" si="136"/>
        <v>0.05</v>
      </c>
      <c r="N2806" s="464">
        <f t="shared" si="137"/>
        <v>136450</v>
      </c>
    </row>
    <row r="2807" spans="7:14" ht="11.25" customHeight="1" x14ac:dyDescent="0.3">
      <c r="G2807" s="459"/>
      <c r="H2807" s="459">
        <v>2800</v>
      </c>
      <c r="I2807" s="444">
        <f t="shared" ca="1" si="135"/>
        <v>-38477439825.320305</v>
      </c>
      <c r="J2807" s="444">
        <f t="array" ref="J2807">IFERROR(INDEX('Retirement Calculator'!K:K,MATCH('Lorri 401b'!N2807,'Retirement Calculator'!A:A,0),0),0)</f>
        <v>0</v>
      </c>
      <c r="K2807" s="444">
        <f t="shared" ca="1" si="133"/>
        <v>-160322665.93883461</v>
      </c>
      <c r="L2807" s="444">
        <f t="shared" ca="1" si="134"/>
        <v>-38637762491.25914</v>
      </c>
      <c r="M2807" s="460">
        <f t="shared" si="136"/>
        <v>0.05</v>
      </c>
      <c r="N2807" s="464">
        <f t="shared" si="137"/>
        <v>136481</v>
      </c>
    </row>
    <row r="2808" spans="7:14" ht="11.25" customHeight="1" x14ac:dyDescent="0.3">
      <c r="G2808" s="459"/>
      <c r="H2808" s="459">
        <v>2801</v>
      </c>
      <c r="I2808" s="444">
        <f t="shared" ca="1" si="135"/>
        <v>-38637762491.25914</v>
      </c>
      <c r="J2808" s="444">
        <f t="array" ref="J2808">IFERROR(INDEX('Retirement Calculator'!K:K,MATCH('Lorri 401b'!N2808,'Retirement Calculator'!A:A,0),0),0)</f>
        <v>0</v>
      </c>
      <c r="K2808" s="444">
        <f t="shared" ca="1" si="133"/>
        <v>-160990677.04691309</v>
      </c>
      <c r="L2808" s="444">
        <f t="shared" ca="1" si="134"/>
        <v>-38798753168.306053</v>
      </c>
      <c r="M2808" s="460">
        <f t="shared" si="136"/>
        <v>0.05</v>
      </c>
      <c r="N2808" s="464">
        <f t="shared" si="137"/>
        <v>136511</v>
      </c>
    </row>
    <row r="2809" spans="7:14" ht="11.25" customHeight="1" x14ac:dyDescent="0.3">
      <c r="G2809" s="459"/>
      <c r="H2809" s="459">
        <v>2802</v>
      </c>
      <c r="I2809" s="444">
        <f t="shared" ca="1" si="135"/>
        <v>-38798753168.306053</v>
      </c>
      <c r="J2809" s="444">
        <f t="array" ref="J2809">IFERROR(INDEX('Retirement Calculator'!K:K,MATCH('Lorri 401b'!N2809,'Retirement Calculator'!A:A,0),0),0)</f>
        <v>0</v>
      </c>
      <c r="K2809" s="444">
        <f t="shared" ca="1" si="133"/>
        <v>-161661471.53460854</v>
      </c>
      <c r="L2809" s="444">
        <f t="shared" ca="1" si="134"/>
        <v>-38960414639.84066</v>
      </c>
      <c r="M2809" s="460">
        <f t="shared" si="136"/>
        <v>0.05</v>
      </c>
      <c r="N2809" s="464">
        <f t="shared" si="137"/>
        <v>136542</v>
      </c>
    </row>
    <row r="2810" spans="7:14" ht="11.25" customHeight="1" x14ac:dyDescent="0.3">
      <c r="G2810" s="459"/>
      <c r="H2810" s="459">
        <v>2803</v>
      </c>
      <c r="I2810" s="444">
        <f t="shared" ca="1" si="135"/>
        <v>-38960414639.84066</v>
      </c>
      <c r="J2810" s="444">
        <f t="array" ref="J2810">IFERROR(INDEX('Retirement Calculator'!K:K,MATCH('Lorri 401b'!N2810,'Retirement Calculator'!A:A,0),0),0)</f>
        <v>0</v>
      </c>
      <c r="K2810" s="444">
        <f t="shared" ca="1" si="133"/>
        <v>-162335060.99933609</v>
      </c>
      <c r="L2810" s="444">
        <f t="shared" ca="1" si="134"/>
        <v>-39122749700.839996</v>
      </c>
      <c r="M2810" s="460">
        <f t="shared" si="136"/>
        <v>0.05</v>
      </c>
      <c r="N2810" s="464">
        <f t="shared" si="137"/>
        <v>136572</v>
      </c>
    </row>
    <row r="2811" spans="7:14" ht="11.25" customHeight="1" x14ac:dyDescent="0.3">
      <c r="G2811" s="459"/>
      <c r="H2811" s="459">
        <v>2804</v>
      </c>
      <c r="I2811" s="444">
        <f t="shared" ca="1" si="135"/>
        <v>-39122749700.839996</v>
      </c>
      <c r="J2811" s="444">
        <f t="array" ref="J2811">IFERROR(INDEX('Retirement Calculator'!K:K,MATCH('Lorri 401b'!N2811,'Retirement Calculator'!A:A,0),0),0)</f>
        <v>0</v>
      </c>
      <c r="K2811" s="444">
        <f t="shared" ca="1" si="133"/>
        <v>-163011457.08683333</v>
      </c>
      <c r="L2811" s="444">
        <f t="shared" ca="1" si="134"/>
        <v>-39285761157.926826</v>
      </c>
      <c r="M2811" s="460">
        <f t="shared" si="136"/>
        <v>0.05</v>
      </c>
      <c r="N2811" s="464">
        <f t="shared" si="137"/>
        <v>136603</v>
      </c>
    </row>
    <row r="2812" spans="7:14" ht="11.25" customHeight="1" x14ac:dyDescent="0.3">
      <c r="G2812" s="459"/>
      <c r="H2812" s="459">
        <v>2805</v>
      </c>
      <c r="I2812" s="444">
        <f t="shared" ca="1" si="135"/>
        <v>-39285761157.926826</v>
      </c>
      <c r="J2812" s="444">
        <f t="array" ref="J2812">IFERROR(INDEX('Retirement Calculator'!K:K,MATCH('Lorri 401b'!N2812,'Retirement Calculator'!A:A,0),0),0)</f>
        <v>0</v>
      </c>
      <c r="K2812" s="444">
        <f t="shared" ca="1" si="133"/>
        <v>-163690671.49136177</v>
      </c>
      <c r="L2812" s="444">
        <f t="shared" ca="1" si="134"/>
        <v>-39449451829.41819</v>
      </c>
      <c r="M2812" s="460">
        <f t="shared" si="136"/>
        <v>0.05</v>
      </c>
      <c r="N2812" s="464">
        <f t="shared" si="137"/>
        <v>136634</v>
      </c>
    </row>
    <row r="2813" spans="7:14" ht="11.25" customHeight="1" x14ac:dyDescent="0.3">
      <c r="G2813" s="459"/>
      <c r="H2813" s="459">
        <v>2806</v>
      </c>
      <c r="I2813" s="444">
        <f t="shared" ca="1" si="135"/>
        <v>-39449451829.41819</v>
      </c>
      <c r="J2813" s="444">
        <f t="array" ref="J2813">IFERROR(INDEX('Retirement Calculator'!K:K,MATCH('Lorri 401b'!N2813,'Retirement Calculator'!A:A,0),0),0)</f>
        <v>0</v>
      </c>
      <c r="K2813" s="444">
        <f t="shared" ref="K2813:K3067" ca="1" si="138">IPMT(M2813/12,1,12,-I2813+J2813,,0)</f>
        <v>-164372715.95590913</v>
      </c>
      <c r="L2813" s="444">
        <f t="shared" ref="L2813:L3067" ca="1" si="139">I2813-J2813+K2813</f>
        <v>-39613824545.3741</v>
      </c>
      <c r="M2813" s="460">
        <f t="shared" si="136"/>
        <v>0.05</v>
      </c>
      <c r="N2813" s="464">
        <f t="shared" si="137"/>
        <v>136662</v>
      </c>
    </row>
    <row r="2814" spans="7:14" ht="11.25" customHeight="1" x14ac:dyDescent="0.3">
      <c r="G2814" s="459"/>
      <c r="H2814" s="459">
        <v>2807</v>
      </c>
      <c r="I2814" s="444">
        <f t="shared" ref="I2814:I3068" ca="1" si="140">L2813</f>
        <v>-39613824545.3741</v>
      </c>
      <c r="J2814" s="444">
        <f t="array" ref="J2814">IFERROR(INDEX('Retirement Calculator'!K:K,MATCH('Lorri 401b'!N2814,'Retirement Calculator'!A:A,0),0),0)</f>
        <v>0</v>
      </c>
      <c r="K2814" s="444">
        <f t="shared" ca="1" si="138"/>
        <v>-165057602.27239209</v>
      </c>
      <c r="L2814" s="444">
        <f t="shared" ca="1" si="139"/>
        <v>-39778882147.646492</v>
      </c>
      <c r="M2814" s="460">
        <f t="shared" ref="M2814:M3068" si="141">M2813</f>
        <v>0.05</v>
      </c>
      <c r="N2814" s="464">
        <f t="shared" ref="N2814:N3068" si="142">EDATE(N2813,1)</f>
        <v>136693</v>
      </c>
    </row>
    <row r="2815" spans="7:14" ht="11.25" customHeight="1" x14ac:dyDescent="0.3">
      <c r="G2815" s="459"/>
      <c r="H2815" s="459">
        <v>2808</v>
      </c>
      <c r="I2815" s="444">
        <f t="shared" ca="1" si="140"/>
        <v>-39778882147.646492</v>
      </c>
      <c r="J2815" s="444">
        <f t="array" ref="J2815">IFERROR(INDEX('Retirement Calculator'!K:K,MATCH('Lorri 401b'!N2815,'Retirement Calculator'!A:A,0),0),0)</f>
        <v>0</v>
      </c>
      <c r="K2815" s="444">
        <f t="shared" ca="1" si="138"/>
        <v>-165745342.28186038</v>
      </c>
      <c r="L2815" s="444">
        <f t="shared" ca="1" si="139"/>
        <v>-39944627489.928352</v>
      </c>
      <c r="M2815" s="460">
        <f t="shared" si="141"/>
        <v>0.05</v>
      </c>
      <c r="N2815" s="464">
        <f t="shared" si="142"/>
        <v>136723</v>
      </c>
    </row>
    <row r="2816" spans="7:14" ht="11.25" customHeight="1" x14ac:dyDescent="0.3">
      <c r="G2816" s="459"/>
      <c r="H2816" s="459">
        <v>2809</v>
      </c>
      <c r="I2816" s="444">
        <f t="shared" ca="1" si="140"/>
        <v>-39944627489.928352</v>
      </c>
      <c r="J2816" s="444">
        <f t="array" ref="J2816">IFERROR(INDEX('Retirement Calculator'!K:K,MATCH('Lorri 401b'!N2816,'Retirement Calculator'!A:A,0),0),0)</f>
        <v>0</v>
      </c>
      <c r="K2816" s="444">
        <f t="shared" ca="1" si="138"/>
        <v>-166435947.87470147</v>
      </c>
      <c r="L2816" s="444">
        <f t="shared" ca="1" si="139"/>
        <v>-40111063437.803055</v>
      </c>
      <c r="M2816" s="460">
        <f t="shared" si="141"/>
        <v>0.05</v>
      </c>
      <c r="N2816" s="464">
        <f t="shared" si="142"/>
        <v>136754</v>
      </c>
    </row>
    <row r="2817" spans="7:14" ht="11.25" customHeight="1" x14ac:dyDescent="0.3">
      <c r="G2817" s="459"/>
      <c r="H2817" s="459">
        <v>2810</v>
      </c>
      <c r="I2817" s="444">
        <f t="shared" ca="1" si="140"/>
        <v>-40111063437.803055</v>
      </c>
      <c r="J2817" s="444">
        <f t="array" ref="J2817">IFERROR(INDEX('Retirement Calculator'!K:K,MATCH('Lorri 401b'!N2817,'Retirement Calculator'!A:A,0),0),0)</f>
        <v>0</v>
      </c>
      <c r="K2817" s="444">
        <f t="shared" ca="1" si="138"/>
        <v>-167129430.99084607</v>
      </c>
      <c r="L2817" s="444">
        <f t="shared" ca="1" si="139"/>
        <v>-40278192868.7939</v>
      </c>
      <c r="M2817" s="460">
        <f t="shared" si="141"/>
        <v>0.05</v>
      </c>
      <c r="N2817" s="464">
        <f t="shared" si="142"/>
        <v>136784</v>
      </c>
    </row>
    <row r="2818" spans="7:14" ht="11.25" customHeight="1" x14ac:dyDescent="0.3">
      <c r="G2818" s="459"/>
      <c r="H2818" s="459">
        <v>2811</v>
      </c>
      <c r="I2818" s="444">
        <f t="shared" ca="1" si="140"/>
        <v>-40278192868.7939</v>
      </c>
      <c r="J2818" s="444">
        <f t="array" ref="J2818">IFERROR(INDEX('Retirement Calculator'!K:K,MATCH('Lorri 401b'!N2818,'Retirement Calculator'!A:A,0),0),0)</f>
        <v>0</v>
      </c>
      <c r="K2818" s="444">
        <f t="shared" ca="1" si="138"/>
        <v>-167825803.61997458</v>
      </c>
      <c r="L2818" s="444">
        <f t="shared" ca="1" si="139"/>
        <v>-40446018672.413872</v>
      </c>
      <c r="M2818" s="460">
        <f t="shared" si="141"/>
        <v>0.05</v>
      </c>
      <c r="N2818" s="464">
        <f t="shared" si="142"/>
        <v>136815</v>
      </c>
    </row>
    <row r="2819" spans="7:14" ht="11.25" customHeight="1" x14ac:dyDescent="0.3">
      <c r="G2819" s="459"/>
      <c r="H2819" s="459">
        <v>2812</v>
      </c>
      <c r="I2819" s="444">
        <f t="shared" ca="1" si="140"/>
        <v>-40446018672.413872</v>
      </c>
      <c r="J2819" s="444">
        <f t="array" ref="J2819">IFERROR(INDEX('Retirement Calculator'!K:K,MATCH('Lorri 401b'!N2819,'Retirement Calculator'!A:A,0),0),0)</f>
        <v>0</v>
      </c>
      <c r="K2819" s="444">
        <f t="shared" ca="1" si="138"/>
        <v>-168525077.80172446</v>
      </c>
      <c r="L2819" s="444">
        <f t="shared" ca="1" si="139"/>
        <v>-40614543750.215599</v>
      </c>
      <c r="M2819" s="460">
        <f t="shared" si="141"/>
        <v>0.05</v>
      </c>
      <c r="N2819" s="464">
        <f t="shared" si="142"/>
        <v>136846</v>
      </c>
    </row>
    <row r="2820" spans="7:14" ht="11.25" customHeight="1" x14ac:dyDescent="0.3">
      <c r="G2820" s="459"/>
      <c r="H2820" s="459">
        <v>2813</v>
      </c>
      <c r="I2820" s="444">
        <f t="shared" ca="1" si="140"/>
        <v>-40614543750.215599</v>
      </c>
      <c r="J2820" s="444">
        <f t="array" ref="J2820">IFERROR(INDEX('Retirement Calculator'!K:K,MATCH('Lorri 401b'!N2820,'Retirement Calculator'!A:A,0),0),0)</f>
        <v>0</v>
      </c>
      <c r="K2820" s="444">
        <f t="shared" ca="1" si="138"/>
        <v>-169227265.62589833</v>
      </c>
      <c r="L2820" s="444">
        <f t="shared" ca="1" si="139"/>
        <v>-40783771015.841499</v>
      </c>
      <c r="M2820" s="460">
        <f t="shared" si="141"/>
        <v>0.05</v>
      </c>
      <c r="N2820" s="464">
        <f t="shared" si="142"/>
        <v>136876</v>
      </c>
    </row>
    <row r="2821" spans="7:14" ht="11.25" customHeight="1" x14ac:dyDescent="0.3">
      <c r="G2821" s="459"/>
      <c r="H2821" s="459">
        <v>2814</v>
      </c>
      <c r="I2821" s="444">
        <f t="shared" ca="1" si="140"/>
        <v>-40783771015.841499</v>
      </c>
      <c r="J2821" s="444">
        <f t="array" ref="J2821">IFERROR(INDEX('Retirement Calculator'!K:K,MATCH('Lorri 401b'!N2821,'Retirement Calculator'!A:A,0),0),0)</f>
        <v>0</v>
      </c>
      <c r="K2821" s="444">
        <f t="shared" ca="1" si="138"/>
        <v>-169932379.2326729</v>
      </c>
      <c r="L2821" s="444">
        <f t="shared" ca="1" si="139"/>
        <v>-40953703395.074173</v>
      </c>
      <c r="M2821" s="460">
        <f t="shared" si="141"/>
        <v>0.05</v>
      </c>
      <c r="N2821" s="464">
        <f t="shared" si="142"/>
        <v>136907</v>
      </c>
    </row>
    <row r="2822" spans="7:14" ht="11.25" customHeight="1" x14ac:dyDescent="0.3">
      <c r="G2822" s="459"/>
      <c r="H2822" s="459">
        <v>2815</v>
      </c>
      <c r="I2822" s="444">
        <f t="shared" ca="1" si="140"/>
        <v>-40953703395.074173</v>
      </c>
      <c r="J2822" s="444">
        <f t="array" ref="J2822">IFERROR(INDEX('Retirement Calculator'!K:K,MATCH('Lorri 401b'!N2822,'Retirement Calculator'!A:A,0),0),0)</f>
        <v>0</v>
      </c>
      <c r="K2822" s="444">
        <f t="shared" ca="1" si="138"/>
        <v>-170640430.81280905</v>
      </c>
      <c r="L2822" s="444">
        <f t="shared" ca="1" si="139"/>
        <v>-41124343825.886986</v>
      </c>
      <c r="M2822" s="460">
        <f t="shared" si="141"/>
        <v>0.05</v>
      </c>
      <c r="N2822" s="464">
        <f t="shared" si="142"/>
        <v>136937</v>
      </c>
    </row>
    <row r="2823" spans="7:14" ht="11.25" customHeight="1" x14ac:dyDescent="0.3">
      <c r="G2823" s="459"/>
      <c r="H2823" s="459">
        <v>2816</v>
      </c>
      <c r="I2823" s="444">
        <f t="shared" ca="1" si="140"/>
        <v>-41124343825.886986</v>
      </c>
      <c r="J2823" s="444">
        <f t="array" ref="J2823">IFERROR(INDEX('Retirement Calculator'!K:K,MATCH('Lorri 401b'!N2823,'Retirement Calculator'!A:A,0),0),0)</f>
        <v>0</v>
      </c>
      <c r="K2823" s="444">
        <f t="shared" ca="1" si="138"/>
        <v>-171351432.60786244</v>
      </c>
      <c r="L2823" s="444">
        <f t="shared" ca="1" si="139"/>
        <v>-41295695258.49485</v>
      </c>
      <c r="M2823" s="460">
        <f t="shared" si="141"/>
        <v>0.05</v>
      </c>
      <c r="N2823" s="464">
        <f t="shared" si="142"/>
        <v>136968</v>
      </c>
    </row>
    <row r="2824" spans="7:14" ht="11.25" customHeight="1" x14ac:dyDescent="0.3">
      <c r="G2824" s="459"/>
      <c r="H2824" s="459">
        <v>2817</v>
      </c>
      <c r="I2824" s="444">
        <f t="shared" ca="1" si="140"/>
        <v>-41295695258.49485</v>
      </c>
      <c r="J2824" s="444">
        <f t="array" ref="J2824">IFERROR(INDEX('Retirement Calculator'!K:K,MATCH('Lorri 401b'!N2824,'Retirement Calculator'!A:A,0),0),0)</f>
        <v>0</v>
      </c>
      <c r="K2824" s="444">
        <f t="shared" ca="1" si="138"/>
        <v>-172065396.91039521</v>
      </c>
      <c r="L2824" s="444">
        <f t="shared" ca="1" si="139"/>
        <v>-41467760655.405243</v>
      </c>
      <c r="M2824" s="460">
        <f t="shared" si="141"/>
        <v>0.05</v>
      </c>
      <c r="N2824" s="464">
        <f t="shared" si="142"/>
        <v>136999</v>
      </c>
    </row>
    <row r="2825" spans="7:14" ht="11.25" customHeight="1" x14ac:dyDescent="0.3">
      <c r="G2825" s="459"/>
      <c r="H2825" s="459">
        <v>2818</v>
      </c>
      <c r="I2825" s="444">
        <f t="shared" ca="1" si="140"/>
        <v>-41467760655.405243</v>
      </c>
      <c r="J2825" s="444">
        <f t="array" ref="J2825">IFERROR(INDEX('Retirement Calculator'!K:K,MATCH('Lorri 401b'!N2825,'Retirement Calculator'!A:A,0),0),0)</f>
        <v>0</v>
      </c>
      <c r="K2825" s="444">
        <f t="shared" ca="1" si="138"/>
        <v>-172782336.06418851</v>
      </c>
      <c r="L2825" s="444">
        <f t="shared" ca="1" si="139"/>
        <v>-41640542991.469429</v>
      </c>
      <c r="M2825" s="460">
        <f t="shared" si="141"/>
        <v>0.05</v>
      </c>
      <c r="N2825" s="464">
        <f t="shared" si="142"/>
        <v>137027</v>
      </c>
    </row>
    <row r="2826" spans="7:14" ht="11.25" customHeight="1" x14ac:dyDescent="0.3">
      <c r="G2826" s="459"/>
      <c r="H2826" s="459">
        <v>2819</v>
      </c>
      <c r="I2826" s="444">
        <f t="shared" ca="1" si="140"/>
        <v>-41640542991.469429</v>
      </c>
      <c r="J2826" s="444">
        <f t="array" ref="J2826">IFERROR(INDEX('Retirement Calculator'!K:K,MATCH('Lorri 401b'!N2826,'Retirement Calculator'!A:A,0),0),0)</f>
        <v>0</v>
      </c>
      <c r="K2826" s="444">
        <f t="shared" ca="1" si="138"/>
        <v>-173502262.46445596</v>
      </c>
      <c r="L2826" s="444">
        <f t="shared" ca="1" si="139"/>
        <v>-41814045253.933884</v>
      </c>
      <c r="M2826" s="460">
        <f t="shared" si="141"/>
        <v>0.05</v>
      </c>
      <c r="N2826" s="464">
        <f t="shared" si="142"/>
        <v>137058</v>
      </c>
    </row>
    <row r="2827" spans="7:14" ht="11.25" customHeight="1" x14ac:dyDescent="0.3">
      <c r="G2827" s="459"/>
      <c r="H2827" s="459">
        <v>2820</v>
      </c>
      <c r="I2827" s="444">
        <f t="shared" ca="1" si="140"/>
        <v>-41814045253.933884</v>
      </c>
      <c r="J2827" s="444">
        <f t="array" ref="J2827">IFERROR(INDEX('Retirement Calculator'!K:K,MATCH('Lorri 401b'!N2827,'Retirement Calculator'!A:A,0),0),0)</f>
        <v>0</v>
      </c>
      <c r="K2827" s="444">
        <f t="shared" ca="1" si="138"/>
        <v>-174225188.55805784</v>
      </c>
      <c r="L2827" s="444">
        <f t="shared" ca="1" si="139"/>
        <v>-41988270442.491943</v>
      </c>
      <c r="M2827" s="460">
        <f t="shared" si="141"/>
        <v>0.05</v>
      </c>
      <c r="N2827" s="464">
        <f t="shared" si="142"/>
        <v>137088</v>
      </c>
    </row>
    <row r="2828" spans="7:14" ht="11.25" customHeight="1" x14ac:dyDescent="0.3">
      <c r="G2828" s="459"/>
      <c r="H2828" s="459">
        <v>2821</v>
      </c>
      <c r="I2828" s="444">
        <f t="shared" ca="1" si="140"/>
        <v>-41988270442.491943</v>
      </c>
      <c r="J2828" s="444">
        <f t="array" ref="J2828">IFERROR(INDEX('Retirement Calculator'!K:K,MATCH('Lorri 401b'!N2828,'Retirement Calculator'!A:A,0),0),0)</f>
        <v>0</v>
      </c>
      <c r="K2828" s="444">
        <f t="shared" ca="1" si="138"/>
        <v>-174951126.84371644</v>
      </c>
      <c r="L2828" s="444">
        <f t="shared" ca="1" si="139"/>
        <v>-42163221569.335663</v>
      </c>
      <c r="M2828" s="460">
        <f t="shared" si="141"/>
        <v>0.05</v>
      </c>
      <c r="N2828" s="464">
        <f t="shared" si="142"/>
        <v>137119</v>
      </c>
    </row>
    <row r="2829" spans="7:14" ht="11.25" customHeight="1" x14ac:dyDescent="0.3">
      <c r="G2829" s="459"/>
      <c r="H2829" s="459">
        <v>2822</v>
      </c>
      <c r="I2829" s="444">
        <f t="shared" ca="1" si="140"/>
        <v>-42163221569.335663</v>
      </c>
      <c r="J2829" s="444">
        <f t="array" ref="J2829">IFERROR(INDEX('Retirement Calculator'!K:K,MATCH('Lorri 401b'!N2829,'Retirement Calculator'!A:A,0),0),0)</f>
        <v>0</v>
      </c>
      <c r="K2829" s="444">
        <f t="shared" ca="1" si="138"/>
        <v>-175680089.87223193</v>
      </c>
      <c r="L2829" s="444">
        <f t="shared" ca="1" si="139"/>
        <v>-42338901659.207893</v>
      </c>
      <c r="M2829" s="460">
        <f t="shared" si="141"/>
        <v>0.05</v>
      </c>
      <c r="N2829" s="464">
        <f t="shared" si="142"/>
        <v>137149</v>
      </c>
    </row>
    <row r="2830" spans="7:14" ht="11.25" customHeight="1" x14ac:dyDescent="0.3">
      <c r="G2830" s="459"/>
      <c r="H2830" s="459">
        <v>2823</v>
      </c>
      <c r="I2830" s="444">
        <f t="shared" ca="1" si="140"/>
        <v>-42338901659.207893</v>
      </c>
      <c r="J2830" s="444">
        <f t="array" ref="J2830">IFERROR(INDEX('Retirement Calculator'!K:K,MATCH('Lorri 401b'!N2830,'Retirement Calculator'!A:A,0),0),0)</f>
        <v>0</v>
      </c>
      <c r="K2830" s="444">
        <f t="shared" ca="1" si="138"/>
        <v>-176412090.24669954</v>
      </c>
      <c r="L2830" s="444">
        <f t="shared" ca="1" si="139"/>
        <v>-42515313749.45459</v>
      </c>
      <c r="M2830" s="460">
        <f t="shared" si="141"/>
        <v>0.05</v>
      </c>
      <c r="N2830" s="464">
        <f t="shared" si="142"/>
        <v>137180</v>
      </c>
    </row>
    <row r="2831" spans="7:14" ht="11.25" customHeight="1" x14ac:dyDescent="0.3">
      <c r="G2831" s="459"/>
      <c r="H2831" s="459">
        <v>2824</v>
      </c>
      <c r="I2831" s="444">
        <f t="shared" ca="1" si="140"/>
        <v>-42515313749.45459</v>
      </c>
      <c r="J2831" s="444">
        <f t="array" ref="J2831">IFERROR(INDEX('Retirement Calculator'!K:K,MATCH('Lorri 401b'!N2831,'Retirement Calculator'!A:A,0),0),0)</f>
        <v>0</v>
      </c>
      <c r="K2831" s="444">
        <f t="shared" ca="1" si="138"/>
        <v>-177147140.62272745</v>
      </c>
      <c r="L2831" s="444">
        <f t="shared" ca="1" si="139"/>
        <v>-42692460890.077316</v>
      </c>
      <c r="M2831" s="460">
        <f t="shared" si="141"/>
        <v>0.05</v>
      </c>
      <c r="N2831" s="464">
        <f t="shared" si="142"/>
        <v>137211</v>
      </c>
    </row>
    <row r="2832" spans="7:14" ht="11.25" customHeight="1" x14ac:dyDescent="0.3">
      <c r="G2832" s="459"/>
      <c r="H2832" s="459">
        <v>2825</v>
      </c>
      <c r="I2832" s="444">
        <f t="shared" ca="1" si="140"/>
        <v>-42692460890.077316</v>
      </c>
      <c r="J2832" s="444">
        <f t="array" ref="J2832">IFERROR(INDEX('Retirement Calculator'!K:K,MATCH('Lorri 401b'!N2832,'Retirement Calculator'!A:A,0),0),0)</f>
        <v>0</v>
      </c>
      <c r="K2832" s="444">
        <f t="shared" ca="1" si="138"/>
        <v>-177885253.70865548</v>
      </c>
      <c r="L2832" s="444">
        <f t="shared" ca="1" si="139"/>
        <v>-42870346143.785973</v>
      </c>
      <c r="M2832" s="460">
        <f t="shared" si="141"/>
        <v>0.05</v>
      </c>
      <c r="N2832" s="464">
        <f t="shared" si="142"/>
        <v>137241</v>
      </c>
    </row>
    <row r="2833" spans="7:14" ht="11.25" customHeight="1" x14ac:dyDescent="0.3">
      <c r="G2833" s="459"/>
      <c r="H2833" s="459">
        <v>2826</v>
      </c>
      <c r="I2833" s="444">
        <f t="shared" ca="1" si="140"/>
        <v>-42870346143.785973</v>
      </c>
      <c r="J2833" s="444">
        <f t="array" ref="J2833">IFERROR(INDEX('Retirement Calculator'!K:K,MATCH('Lorri 401b'!N2833,'Retirement Calculator'!A:A,0),0),0)</f>
        <v>0</v>
      </c>
      <c r="K2833" s="444">
        <f t="shared" ca="1" si="138"/>
        <v>-178626442.26577488</v>
      </c>
      <c r="L2833" s="444">
        <f t="shared" ca="1" si="139"/>
        <v>-43048972586.05175</v>
      </c>
      <c r="M2833" s="460">
        <f t="shared" si="141"/>
        <v>0.05</v>
      </c>
      <c r="N2833" s="464">
        <f t="shared" si="142"/>
        <v>137272</v>
      </c>
    </row>
    <row r="2834" spans="7:14" ht="11.25" customHeight="1" x14ac:dyDescent="0.3">
      <c r="G2834" s="459"/>
      <c r="H2834" s="459">
        <v>2827</v>
      </c>
      <c r="I2834" s="444">
        <f t="shared" ca="1" si="140"/>
        <v>-43048972586.05175</v>
      </c>
      <c r="J2834" s="444">
        <f t="array" ref="J2834">IFERROR(INDEX('Retirement Calculator'!K:K,MATCH('Lorri 401b'!N2834,'Retirement Calculator'!A:A,0),0),0)</f>
        <v>0</v>
      </c>
      <c r="K2834" s="444">
        <f t="shared" ca="1" si="138"/>
        <v>-179370719.10854897</v>
      </c>
      <c r="L2834" s="444">
        <f t="shared" ca="1" si="139"/>
        <v>-43228343305.160301</v>
      </c>
      <c r="M2834" s="460">
        <f t="shared" si="141"/>
        <v>0.05</v>
      </c>
      <c r="N2834" s="464">
        <f t="shared" si="142"/>
        <v>137302</v>
      </c>
    </row>
    <row r="2835" spans="7:14" ht="11.25" customHeight="1" x14ac:dyDescent="0.3">
      <c r="G2835" s="459"/>
      <c r="H2835" s="459">
        <v>2828</v>
      </c>
      <c r="I2835" s="444">
        <f t="shared" ca="1" si="140"/>
        <v>-43228343305.160301</v>
      </c>
      <c r="J2835" s="444">
        <f t="array" ref="J2835">IFERROR(INDEX('Retirement Calculator'!K:K,MATCH('Lorri 401b'!N2835,'Retirement Calculator'!A:A,0),0),0)</f>
        <v>0</v>
      </c>
      <c r="K2835" s="444">
        <f t="shared" ca="1" si="138"/>
        <v>-180118097.10483459</v>
      </c>
      <c r="L2835" s="444">
        <f t="shared" ca="1" si="139"/>
        <v>-43408461402.265137</v>
      </c>
      <c r="M2835" s="460">
        <f t="shared" si="141"/>
        <v>0.05</v>
      </c>
      <c r="N2835" s="464">
        <f t="shared" si="142"/>
        <v>137333</v>
      </c>
    </row>
    <row r="2836" spans="7:14" ht="11.25" customHeight="1" x14ac:dyDescent="0.3">
      <c r="G2836" s="459"/>
      <c r="H2836" s="459">
        <v>2829</v>
      </c>
      <c r="I2836" s="444">
        <f t="shared" ca="1" si="140"/>
        <v>-43408461402.265137</v>
      </c>
      <c r="J2836" s="444">
        <f t="array" ref="J2836">IFERROR(INDEX('Retirement Calculator'!K:K,MATCH('Lorri 401b'!N2836,'Retirement Calculator'!A:A,0),0),0)</f>
        <v>0</v>
      </c>
      <c r="K2836" s="444">
        <f t="shared" ca="1" si="138"/>
        <v>-180868589.17610472</v>
      </c>
      <c r="L2836" s="444">
        <f t="shared" ca="1" si="139"/>
        <v>-43589329991.441238</v>
      </c>
      <c r="M2836" s="460">
        <f t="shared" si="141"/>
        <v>0.05</v>
      </c>
      <c r="N2836" s="464">
        <f t="shared" si="142"/>
        <v>137364</v>
      </c>
    </row>
    <row r="2837" spans="7:14" ht="11.25" customHeight="1" x14ac:dyDescent="0.3">
      <c r="G2837" s="459"/>
      <c r="H2837" s="459">
        <v>2830</v>
      </c>
      <c r="I2837" s="444">
        <f t="shared" ca="1" si="140"/>
        <v>-43589329991.441238</v>
      </c>
      <c r="J2837" s="444">
        <f t="array" ref="J2837">IFERROR(INDEX('Retirement Calculator'!K:K,MATCH('Lorri 401b'!N2837,'Retirement Calculator'!A:A,0),0),0)</f>
        <v>0</v>
      </c>
      <c r="K2837" s="444">
        <f t="shared" ca="1" si="138"/>
        <v>-181622208.29767182</v>
      </c>
      <c r="L2837" s="444">
        <f t="shared" ca="1" si="139"/>
        <v>-43770952199.738907</v>
      </c>
      <c r="M2837" s="460">
        <f t="shared" si="141"/>
        <v>0.05</v>
      </c>
      <c r="N2837" s="464">
        <f t="shared" si="142"/>
        <v>137393</v>
      </c>
    </row>
    <row r="2838" spans="7:14" ht="11.25" customHeight="1" x14ac:dyDescent="0.3">
      <c r="G2838" s="459"/>
      <c r="H2838" s="459">
        <v>2831</v>
      </c>
      <c r="I2838" s="444">
        <f t="shared" ca="1" si="140"/>
        <v>-43770952199.738907</v>
      </c>
      <c r="J2838" s="444">
        <f t="array" ref="J2838">IFERROR(INDEX('Retirement Calculator'!K:K,MATCH('Lorri 401b'!N2838,'Retirement Calculator'!A:A,0),0),0)</f>
        <v>0</v>
      </c>
      <c r="K2838" s="444">
        <f t="shared" ca="1" si="138"/>
        <v>-182378967.4989121</v>
      </c>
      <c r="L2838" s="444">
        <f t="shared" ca="1" si="139"/>
        <v>-43953331167.237816</v>
      </c>
      <c r="M2838" s="460">
        <f t="shared" si="141"/>
        <v>0.05</v>
      </c>
      <c r="N2838" s="464">
        <f t="shared" si="142"/>
        <v>137424</v>
      </c>
    </row>
    <row r="2839" spans="7:14" ht="11.25" customHeight="1" x14ac:dyDescent="0.3">
      <c r="G2839" s="459"/>
      <c r="H2839" s="459">
        <v>2832</v>
      </c>
      <c r="I2839" s="444">
        <f t="shared" ca="1" si="140"/>
        <v>-43953331167.237816</v>
      </c>
      <c r="J2839" s="444">
        <f t="array" ref="J2839">IFERROR(INDEX('Retirement Calculator'!K:K,MATCH('Lorri 401b'!N2839,'Retirement Calculator'!A:A,0),0),0)</f>
        <v>0</v>
      </c>
      <c r="K2839" s="444">
        <f t="shared" ca="1" si="138"/>
        <v>-183138879.86349091</v>
      </c>
      <c r="L2839" s="444">
        <f t="shared" ca="1" si="139"/>
        <v>-44136470047.101303</v>
      </c>
      <c r="M2839" s="460">
        <f t="shared" si="141"/>
        <v>0.05</v>
      </c>
      <c r="N2839" s="464">
        <f t="shared" si="142"/>
        <v>137454</v>
      </c>
    </row>
    <row r="2840" spans="7:14" ht="11.25" customHeight="1" x14ac:dyDescent="0.3">
      <c r="G2840" s="459"/>
      <c r="H2840" s="459">
        <v>2833</v>
      </c>
      <c r="I2840" s="444">
        <f t="shared" ca="1" si="140"/>
        <v>-44136470047.101303</v>
      </c>
      <c r="J2840" s="444">
        <f t="array" ref="J2840">IFERROR(INDEX('Retirement Calculator'!K:K,MATCH('Lorri 401b'!N2840,'Retirement Calculator'!A:A,0),0),0)</f>
        <v>0</v>
      </c>
      <c r="K2840" s="444">
        <f t="shared" ca="1" si="138"/>
        <v>-183901958.52958876</v>
      </c>
      <c r="L2840" s="444">
        <f t="shared" ca="1" si="139"/>
        <v>-44320372005.63089</v>
      </c>
      <c r="M2840" s="460">
        <f t="shared" si="141"/>
        <v>0.05</v>
      </c>
      <c r="N2840" s="464">
        <f t="shared" si="142"/>
        <v>137485</v>
      </c>
    </row>
    <row r="2841" spans="7:14" ht="11.25" customHeight="1" x14ac:dyDescent="0.3">
      <c r="G2841" s="459"/>
      <c r="H2841" s="459">
        <v>2834</v>
      </c>
      <c r="I2841" s="444">
        <f t="shared" ca="1" si="140"/>
        <v>-44320372005.63089</v>
      </c>
      <c r="J2841" s="444">
        <f t="array" ref="J2841">IFERROR(INDEX('Retirement Calculator'!K:K,MATCH('Lorri 401b'!N2841,'Retirement Calculator'!A:A,0),0),0)</f>
        <v>0</v>
      </c>
      <c r="K2841" s="444">
        <f t="shared" ca="1" si="138"/>
        <v>-184668216.69012871</v>
      </c>
      <c r="L2841" s="444">
        <f t="shared" ca="1" si="139"/>
        <v>-44505040222.321022</v>
      </c>
      <c r="M2841" s="460">
        <f t="shared" si="141"/>
        <v>0.05</v>
      </c>
      <c r="N2841" s="464">
        <f t="shared" si="142"/>
        <v>137515</v>
      </c>
    </row>
    <row r="2842" spans="7:14" ht="11.25" customHeight="1" x14ac:dyDescent="0.3">
      <c r="G2842" s="459"/>
      <c r="H2842" s="459">
        <v>2835</v>
      </c>
      <c r="I2842" s="444">
        <f t="shared" ca="1" si="140"/>
        <v>-44505040222.321022</v>
      </c>
      <c r="J2842" s="444">
        <f t="array" ref="J2842">IFERROR(INDEX('Retirement Calculator'!K:K,MATCH('Lorri 401b'!N2842,'Retirement Calculator'!A:A,0),0),0)</f>
        <v>0</v>
      </c>
      <c r="K2842" s="444">
        <f t="shared" ca="1" si="138"/>
        <v>-185437667.59300426</v>
      </c>
      <c r="L2842" s="444">
        <f t="shared" ca="1" si="139"/>
        <v>-44690477889.914024</v>
      </c>
      <c r="M2842" s="460">
        <f t="shared" si="141"/>
        <v>0.05</v>
      </c>
      <c r="N2842" s="464">
        <f t="shared" si="142"/>
        <v>137546</v>
      </c>
    </row>
    <row r="2843" spans="7:14" ht="11.25" customHeight="1" x14ac:dyDescent="0.3">
      <c r="G2843" s="459"/>
      <c r="H2843" s="459">
        <v>2836</v>
      </c>
      <c r="I2843" s="444">
        <f t="shared" ca="1" si="140"/>
        <v>-44690477889.914024</v>
      </c>
      <c r="J2843" s="444">
        <f t="array" ref="J2843">IFERROR(INDEX('Retirement Calculator'!K:K,MATCH('Lorri 401b'!N2843,'Retirement Calculator'!A:A,0),0),0)</f>
        <v>0</v>
      </c>
      <c r="K2843" s="444">
        <f t="shared" ca="1" si="138"/>
        <v>-186210324.54130843</v>
      </c>
      <c r="L2843" s="444">
        <f t="shared" ca="1" si="139"/>
        <v>-44876688214.45533</v>
      </c>
      <c r="M2843" s="460">
        <f t="shared" si="141"/>
        <v>0.05</v>
      </c>
      <c r="N2843" s="464">
        <f t="shared" si="142"/>
        <v>137577</v>
      </c>
    </row>
    <row r="2844" spans="7:14" ht="11.25" customHeight="1" x14ac:dyDescent="0.3">
      <c r="G2844" s="459"/>
      <c r="H2844" s="459">
        <v>2837</v>
      </c>
      <c r="I2844" s="444">
        <f t="shared" ca="1" si="140"/>
        <v>-44876688214.45533</v>
      </c>
      <c r="J2844" s="444">
        <f t="array" ref="J2844">IFERROR(INDEX('Retirement Calculator'!K:K,MATCH('Lorri 401b'!N2844,'Retirement Calculator'!A:A,0),0),0)</f>
        <v>0</v>
      </c>
      <c r="K2844" s="444">
        <f t="shared" ca="1" si="138"/>
        <v>-186986200.89356387</v>
      </c>
      <c r="L2844" s="444">
        <f t="shared" ca="1" si="139"/>
        <v>-45063674415.348892</v>
      </c>
      <c r="M2844" s="460">
        <f t="shared" si="141"/>
        <v>0.05</v>
      </c>
      <c r="N2844" s="464">
        <f t="shared" si="142"/>
        <v>137607</v>
      </c>
    </row>
    <row r="2845" spans="7:14" ht="11.25" customHeight="1" x14ac:dyDescent="0.3">
      <c r="G2845" s="459"/>
      <c r="H2845" s="459">
        <v>2838</v>
      </c>
      <c r="I2845" s="444">
        <f t="shared" ca="1" si="140"/>
        <v>-45063674415.348892</v>
      </c>
      <c r="J2845" s="444">
        <f t="array" ref="J2845">IFERROR(INDEX('Retirement Calculator'!K:K,MATCH('Lorri 401b'!N2845,'Retirement Calculator'!A:A,0),0),0)</f>
        <v>0</v>
      </c>
      <c r="K2845" s="444">
        <f t="shared" ca="1" si="138"/>
        <v>-187765310.06395373</v>
      </c>
      <c r="L2845" s="444">
        <f t="shared" ca="1" si="139"/>
        <v>-45251439725.412849</v>
      </c>
      <c r="M2845" s="460">
        <f t="shared" si="141"/>
        <v>0.05</v>
      </c>
      <c r="N2845" s="464">
        <f t="shared" si="142"/>
        <v>137638</v>
      </c>
    </row>
    <row r="2846" spans="7:14" ht="11.25" customHeight="1" x14ac:dyDescent="0.3">
      <c r="G2846" s="459"/>
      <c r="H2846" s="459">
        <v>2839</v>
      </c>
      <c r="I2846" s="444">
        <f t="shared" ca="1" si="140"/>
        <v>-45251439725.412849</v>
      </c>
      <c r="J2846" s="444">
        <f t="array" ref="J2846">IFERROR(INDEX('Retirement Calculator'!K:K,MATCH('Lorri 401b'!N2846,'Retirement Calculator'!A:A,0),0),0)</f>
        <v>0</v>
      </c>
      <c r="K2846" s="444">
        <f t="shared" ca="1" si="138"/>
        <v>-188547665.52255353</v>
      </c>
      <c r="L2846" s="444">
        <f t="shared" ca="1" si="139"/>
        <v>-45439987390.935402</v>
      </c>
      <c r="M2846" s="460">
        <f t="shared" si="141"/>
        <v>0.05</v>
      </c>
      <c r="N2846" s="464">
        <f t="shared" si="142"/>
        <v>137668</v>
      </c>
    </row>
    <row r="2847" spans="7:14" ht="11.25" customHeight="1" x14ac:dyDescent="0.3">
      <c r="G2847" s="459"/>
      <c r="H2847" s="459">
        <v>2840</v>
      </c>
      <c r="I2847" s="444">
        <f t="shared" ca="1" si="140"/>
        <v>-45439987390.935402</v>
      </c>
      <c r="J2847" s="444">
        <f t="array" ref="J2847">IFERROR(INDEX('Retirement Calculator'!K:K,MATCH('Lorri 401b'!N2847,'Retirement Calculator'!A:A,0),0),0)</f>
        <v>0</v>
      </c>
      <c r="K2847" s="444">
        <f t="shared" ca="1" si="138"/>
        <v>-189333280.79556417</v>
      </c>
      <c r="L2847" s="444">
        <f t="shared" ca="1" si="139"/>
        <v>-45629320671.730965</v>
      </c>
      <c r="M2847" s="460">
        <f t="shared" si="141"/>
        <v>0.05</v>
      </c>
      <c r="N2847" s="464">
        <f t="shared" si="142"/>
        <v>137699</v>
      </c>
    </row>
    <row r="2848" spans="7:14" ht="11.25" customHeight="1" x14ac:dyDescent="0.3">
      <c r="G2848" s="459"/>
      <c r="H2848" s="459">
        <v>2841</v>
      </c>
      <c r="I2848" s="444">
        <f t="shared" ca="1" si="140"/>
        <v>-45629320671.730965</v>
      </c>
      <c r="J2848" s="444">
        <f t="array" ref="J2848">IFERROR(INDEX('Retirement Calculator'!K:K,MATCH('Lorri 401b'!N2848,'Retirement Calculator'!A:A,0),0),0)</f>
        <v>0</v>
      </c>
      <c r="K2848" s="444">
        <f t="shared" ca="1" si="138"/>
        <v>-190122169.46554568</v>
      </c>
      <c r="L2848" s="444">
        <f t="shared" ca="1" si="139"/>
        <v>-45819442841.19651</v>
      </c>
      <c r="M2848" s="460">
        <f t="shared" si="141"/>
        <v>0.05</v>
      </c>
      <c r="N2848" s="464">
        <f t="shared" si="142"/>
        <v>137730</v>
      </c>
    </row>
    <row r="2849" spans="7:14" ht="11.25" customHeight="1" x14ac:dyDescent="0.3">
      <c r="G2849" s="459"/>
      <c r="H2849" s="459">
        <v>2842</v>
      </c>
      <c r="I2849" s="444">
        <f t="shared" ca="1" si="140"/>
        <v>-45819442841.19651</v>
      </c>
      <c r="J2849" s="444">
        <f t="array" ref="J2849">IFERROR(INDEX('Retirement Calculator'!K:K,MATCH('Lorri 401b'!N2849,'Retirement Calculator'!A:A,0),0),0)</f>
        <v>0</v>
      </c>
      <c r="K2849" s="444">
        <f t="shared" ca="1" si="138"/>
        <v>-190914345.17165214</v>
      </c>
      <c r="L2849" s="444">
        <f t="shared" ca="1" si="139"/>
        <v>-46010357186.368164</v>
      </c>
      <c r="M2849" s="460">
        <f t="shared" si="141"/>
        <v>0.05</v>
      </c>
      <c r="N2849" s="464">
        <f t="shared" si="142"/>
        <v>137758</v>
      </c>
    </row>
    <row r="2850" spans="7:14" ht="11.25" customHeight="1" x14ac:dyDescent="0.3">
      <c r="G2850" s="459"/>
      <c r="H2850" s="459">
        <v>2843</v>
      </c>
      <c r="I2850" s="444">
        <f t="shared" ca="1" si="140"/>
        <v>-46010357186.368164</v>
      </c>
      <c r="J2850" s="444">
        <f t="array" ref="J2850">IFERROR(INDEX('Retirement Calculator'!K:K,MATCH('Lorri 401b'!N2850,'Retirement Calculator'!A:A,0),0),0)</f>
        <v>0</v>
      </c>
      <c r="K2850" s="444">
        <f t="shared" ca="1" si="138"/>
        <v>-191709821.60986733</v>
      </c>
      <c r="L2850" s="444">
        <f t="shared" ca="1" si="139"/>
        <v>-46202067007.978035</v>
      </c>
      <c r="M2850" s="460">
        <f t="shared" si="141"/>
        <v>0.05</v>
      </c>
      <c r="N2850" s="464">
        <f t="shared" si="142"/>
        <v>137789</v>
      </c>
    </row>
    <row r="2851" spans="7:14" ht="11.25" customHeight="1" x14ac:dyDescent="0.3">
      <c r="G2851" s="459"/>
      <c r="H2851" s="459">
        <v>2844</v>
      </c>
      <c r="I2851" s="444">
        <f t="shared" ca="1" si="140"/>
        <v>-46202067007.978035</v>
      </c>
      <c r="J2851" s="444">
        <f t="array" ref="J2851">IFERROR(INDEX('Retirement Calculator'!K:K,MATCH('Lorri 401b'!N2851,'Retirement Calculator'!A:A,0),0),0)</f>
        <v>0</v>
      </c>
      <c r="K2851" s="444">
        <f t="shared" ca="1" si="138"/>
        <v>-192508612.53324181</v>
      </c>
      <c r="L2851" s="444">
        <f t="shared" ca="1" si="139"/>
        <v>-46394575620.511276</v>
      </c>
      <c r="M2851" s="460">
        <f t="shared" si="141"/>
        <v>0.05</v>
      </c>
      <c r="N2851" s="464">
        <f t="shared" si="142"/>
        <v>137819</v>
      </c>
    </row>
    <row r="2852" spans="7:14" ht="11.25" customHeight="1" x14ac:dyDescent="0.3">
      <c r="G2852" s="459"/>
      <c r="H2852" s="459">
        <v>2845</v>
      </c>
      <c r="I2852" s="444">
        <f t="shared" ca="1" si="140"/>
        <v>-46394575620.511276</v>
      </c>
      <c r="J2852" s="444">
        <f t="array" ref="J2852">IFERROR(INDEX('Retirement Calculator'!K:K,MATCH('Lorri 401b'!N2852,'Retirement Calculator'!A:A,0),0),0)</f>
        <v>0</v>
      </c>
      <c r="K2852" s="444">
        <f t="shared" ca="1" si="138"/>
        <v>-193310731.75213033</v>
      </c>
      <c r="L2852" s="444">
        <f t="shared" ca="1" si="139"/>
        <v>-46587886352.263405</v>
      </c>
      <c r="M2852" s="460">
        <f t="shared" si="141"/>
        <v>0.05</v>
      </c>
      <c r="N2852" s="464">
        <f t="shared" si="142"/>
        <v>137850</v>
      </c>
    </row>
    <row r="2853" spans="7:14" ht="11.25" customHeight="1" x14ac:dyDescent="0.3">
      <c r="G2853" s="459"/>
      <c r="H2853" s="459">
        <v>2846</v>
      </c>
      <c r="I2853" s="444">
        <f t="shared" ca="1" si="140"/>
        <v>-46587886352.263405</v>
      </c>
      <c r="J2853" s="444">
        <f t="array" ref="J2853">IFERROR(INDEX('Retirement Calculator'!K:K,MATCH('Lorri 401b'!N2853,'Retirement Calculator'!A:A,0),0),0)</f>
        <v>0</v>
      </c>
      <c r="K2853" s="444">
        <f t="shared" ca="1" si="138"/>
        <v>-194116193.13443086</v>
      </c>
      <c r="L2853" s="444">
        <f t="shared" ca="1" si="139"/>
        <v>-46782002545.397835</v>
      </c>
      <c r="M2853" s="460">
        <f t="shared" si="141"/>
        <v>0.05</v>
      </c>
      <c r="N2853" s="464">
        <f t="shared" si="142"/>
        <v>137880</v>
      </c>
    </row>
    <row r="2854" spans="7:14" ht="11.25" customHeight="1" x14ac:dyDescent="0.3">
      <c r="G2854" s="459"/>
      <c r="H2854" s="459">
        <v>2847</v>
      </c>
      <c r="I2854" s="444">
        <f t="shared" ca="1" si="140"/>
        <v>-46782002545.397835</v>
      </c>
      <c r="J2854" s="444">
        <f t="array" ref="J2854">IFERROR(INDEX('Retirement Calculator'!K:K,MATCH('Lorri 401b'!N2854,'Retirement Calculator'!A:A,0),0),0)</f>
        <v>0</v>
      </c>
      <c r="K2854" s="444">
        <f t="shared" ca="1" si="138"/>
        <v>-194925010.60582432</v>
      </c>
      <c r="L2854" s="444">
        <f t="shared" ca="1" si="139"/>
        <v>-46976927556.003662</v>
      </c>
      <c r="M2854" s="460">
        <f t="shared" si="141"/>
        <v>0.05</v>
      </c>
      <c r="N2854" s="464">
        <f t="shared" si="142"/>
        <v>137911</v>
      </c>
    </row>
    <row r="2855" spans="7:14" ht="11.25" customHeight="1" x14ac:dyDescent="0.3">
      <c r="G2855" s="459"/>
      <c r="H2855" s="459">
        <v>2848</v>
      </c>
      <c r="I2855" s="444">
        <f t="shared" ca="1" si="140"/>
        <v>-46976927556.003662</v>
      </c>
      <c r="J2855" s="444">
        <f t="array" ref="J2855">IFERROR(INDEX('Retirement Calculator'!K:K,MATCH('Lorri 401b'!N2855,'Retirement Calculator'!A:A,0),0),0)</f>
        <v>0</v>
      </c>
      <c r="K2855" s="444">
        <f t="shared" ca="1" si="138"/>
        <v>-195737198.15001526</v>
      </c>
      <c r="L2855" s="444">
        <f t="shared" ca="1" si="139"/>
        <v>-47172664754.153679</v>
      </c>
      <c r="M2855" s="460">
        <f t="shared" si="141"/>
        <v>0.05</v>
      </c>
      <c r="N2855" s="464">
        <f t="shared" si="142"/>
        <v>137942</v>
      </c>
    </row>
    <row r="2856" spans="7:14" ht="11.25" customHeight="1" x14ac:dyDescent="0.3">
      <c r="G2856" s="459"/>
      <c r="H2856" s="459">
        <v>2849</v>
      </c>
      <c r="I2856" s="444">
        <f t="shared" ca="1" si="140"/>
        <v>-47172664754.153679</v>
      </c>
      <c r="J2856" s="444">
        <f t="array" ref="J2856">IFERROR(INDEX('Retirement Calculator'!K:K,MATCH('Lorri 401b'!N2856,'Retirement Calculator'!A:A,0),0),0)</f>
        <v>0</v>
      </c>
      <c r="K2856" s="444">
        <f t="shared" ca="1" si="138"/>
        <v>-196552769.80897367</v>
      </c>
      <c r="L2856" s="444">
        <f t="shared" ca="1" si="139"/>
        <v>-47369217523.962654</v>
      </c>
      <c r="M2856" s="460">
        <f t="shared" si="141"/>
        <v>0.05</v>
      </c>
      <c r="N2856" s="464">
        <f t="shared" si="142"/>
        <v>137972</v>
      </c>
    </row>
    <row r="2857" spans="7:14" ht="11.25" customHeight="1" x14ac:dyDescent="0.3">
      <c r="G2857" s="459"/>
      <c r="H2857" s="459">
        <v>2850</v>
      </c>
      <c r="I2857" s="444">
        <f t="shared" ca="1" si="140"/>
        <v>-47369217523.962654</v>
      </c>
      <c r="J2857" s="444">
        <f t="array" ref="J2857">IFERROR(INDEX('Retirement Calculator'!K:K,MATCH('Lorri 401b'!N2857,'Retirement Calculator'!A:A,0),0),0)</f>
        <v>0</v>
      </c>
      <c r="K2857" s="444">
        <f t="shared" ca="1" si="138"/>
        <v>-197371739.68317771</v>
      </c>
      <c r="L2857" s="444">
        <f t="shared" ca="1" si="139"/>
        <v>-47566589263.645828</v>
      </c>
      <c r="M2857" s="460">
        <f t="shared" si="141"/>
        <v>0.05</v>
      </c>
      <c r="N2857" s="464">
        <f t="shared" si="142"/>
        <v>138003</v>
      </c>
    </row>
    <row r="2858" spans="7:14" ht="11.25" customHeight="1" x14ac:dyDescent="0.3">
      <c r="G2858" s="459"/>
      <c r="H2858" s="459">
        <v>2851</v>
      </c>
      <c r="I2858" s="444">
        <f t="shared" ca="1" si="140"/>
        <v>-47566589263.645828</v>
      </c>
      <c r="J2858" s="444">
        <f t="array" ref="J2858">IFERROR(INDEX('Retirement Calculator'!K:K,MATCH('Lorri 401b'!N2858,'Retirement Calculator'!A:A,0),0),0)</f>
        <v>0</v>
      </c>
      <c r="K2858" s="444">
        <f t="shared" ca="1" si="138"/>
        <v>-198194121.93185762</v>
      </c>
      <c r="L2858" s="444">
        <f t="shared" ca="1" si="139"/>
        <v>-47764783385.577682</v>
      </c>
      <c r="M2858" s="460">
        <f t="shared" si="141"/>
        <v>0.05</v>
      </c>
      <c r="N2858" s="464">
        <f t="shared" si="142"/>
        <v>138033</v>
      </c>
    </row>
    <row r="2859" spans="7:14" ht="11.25" customHeight="1" x14ac:dyDescent="0.3">
      <c r="G2859" s="459"/>
      <c r="H2859" s="459">
        <v>2852</v>
      </c>
      <c r="I2859" s="444">
        <f t="shared" ca="1" si="140"/>
        <v>-47764783385.577682</v>
      </c>
      <c r="J2859" s="444">
        <f t="array" ref="J2859">IFERROR(INDEX('Retirement Calculator'!K:K,MATCH('Lorri 401b'!N2859,'Retirement Calculator'!A:A,0),0),0)</f>
        <v>0</v>
      </c>
      <c r="K2859" s="444">
        <f t="shared" ca="1" si="138"/>
        <v>-199019930.77324033</v>
      </c>
      <c r="L2859" s="444">
        <f t="shared" ca="1" si="139"/>
        <v>-47963803316.350922</v>
      </c>
      <c r="M2859" s="460">
        <f t="shared" si="141"/>
        <v>0.05</v>
      </c>
      <c r="N2859" s="464">
        <f t="shared" si="142"/>
        <v>138064</v>
      </c>
    </row>
    <row r="2860" spans="7:14" ht="11.25" customHeight="1" x14ac:dyDescent="0.3">
      <c r="G2860" s="459"/>
      <c r="H2860" s="459">
        <v>2853</v>
      </c>
      <c r="I2860" s="444">
        <f t="shared" ca="1" si="140"/>
        <v>-47963803316.350922</v>
      </c>
      <c r="J2860" s="444">
        <f t="array" ref="J2860">IFERROR(INDEX('Retirement Calculator'!K:K,MATCH('Lorri 401b'!N2860,'Retirement Calculator'!A:A,0),0),0)</f>
        <v>0</v>
      </c>
      <c r="K2860" s="444">
        <f t="shared" ca="1" si="138"/>
        <v>-199849180.48479551</v>
      </c>
      <c r="L2860" s="444">
        <f t="shared" ca="1" si="139"/>
        <v>-48163652496.835716</v>
      </c>
      <c r="M2860" s="460">
        <f t="shared" si="141"/>
        <v>0.05</v>
      </c>
      <c r="N2860" s="464">
        <f t="shared" si="142"/>
        <v>138095</v>
      </c>
    </row>
    <row r="2861" spans="7:14" ht="11.25" customHeight="1" x14ac:dyDescent="0.3">
      <c r="G2861" s="459"/>
      <c r="H2861" s="459">
        <v>2854</v>
      </c>
      <c r="I2861" s="444">
        <f t="shared" ca="1" si="140"/>
        <v>-48163652496.835716</v>
      </c>
      <c r="J2861" s="444">
        <f t="array" ref="J2861">IFERROR(INDEX('Retirement Calculator'!K:K,MATCH('Lorri 401b'!N2861,'Retirement Calculator'!A:A,0),0),0)</f>
        <v>0</v>
      </c>
      <c r="K2861" s="444">
        <f t="shared" ca="1" si="138"/>
        <v>-200681885.40348214</v>
      </c>
      <c r="L2861" s="444">
        <f t="shared" ca="1" si="139"/>
        <v>-48364334382.239197</v>
      </c>
      <c r="M2861" s="460">
        <f t="shared" si="141"/>
        <v>0.05</v>
      </c>
      <c r="N2861" s="464">
        <f t="shared" si="142"/>
        <v>138123</v>
      </c>
    </row>
    <row r="2862" spans="7:14" ht="11.25" customHeight="1" x14ac:dyDescent="0.3">
      <c r="G2862" s="459"/>
      <c r="H2862" s="459">
        <v>2855</v>
      </c>
      <c r="I2862" s="444">
        <f t="shared" ca="1" si="140"/>
        <v>-48364334382.239197</v>
      </c>
      <c r="J2862" s="444">
        <f t="array" ref="J2862">IFERROR(INDEX('Retirement Calculator'!K:K,MATCH('Lorri 401b'!N2862,'Retirement Calculator'!A:A,0),0),0)</f>
        <v>0</v>
      </c>
      <c r="K2862" s="444">
        <f t="shared" ca="1" si="138"/>
        <v>-201518059.92599666</v>
      </c>
      <c r="L2862" s="444">
        <f t="shared" ca="1" si="139"/>
        <v>-48565852442.165192</v>
      </c>
      <c r="M2862" s="460">
        <f t="shared" si="141"/>
        <v>0.05</v>
      </c>
      <c r="N2862" s="464">
        <f t="shared" si="142"/>
        <v>138154</v>
      </c>
    </row>
    <row r="2863" spans="7:14" ht="11.25" customHeight="1" x14ac:dyDescent="0.3">
      <c r="G2863" s="459"/>
      <c r="H2863" s="459">
        <v>2856</v>
      </c>
      <c r="I2863" s="444">
        <f t="shared" ca="1" si="140"/>
        <v>-48565852442.165192</v>
      </c>
      <c r="J2863" s="444">
        <f t="array" ref="J2863">IFERROR(INDEX('Retirement Calculator'!K:K,MATCH('Lorri 401b'!N2863,'Retirement Calculator'!A:A,0),0),0)</f>
        <v>0</v>
      </c>
      <c r="K2863" s="444">
        <f t="shared" ca="1" si="138"/>
        <v>-202357718.50902164</v>
      </c>
      <c r="L2863" s="444">
        <f t="shared" ca="1" si="139"/>
        <v>-48768210160.67421</v>
      </c>
      <c r="M2863" s="460">
        <f t="shared" si="141"/>
        <v>0.05</v>
      </c>
      <c r="N2863" s="464">
        <f t="shared" si="142"/>
        <v>138184</v>
      </c>
    </row>
    <row r="2864" spans="7:14" ht="11.25" customHeight="1" x14ac:dyDescent="0.3">
      <c r="G2864" s="459"/>
      <c r="H2864" s="459">
        <v>2857</v>
      </c>
      <c r="I2864" s="444">
        <f t="shared" ca="1" si="140"/>
        <v>-48768210160.67421</v>
      </c>
      <c r="J2864" s="444">
        <f t="array" ref="J2864">IFERROR(INDEX('Retirement Calculator'!K:K,MATCH('Lorri 401b'!N2864,'Retirement Calculator'!A:A,0),0),0)</f>
        <v>0</v>
      </c>
      <c r="K2864" s="444">
        <f t="shared" ca="1" si="138"/>
        <v>-203200875.66947588</v>
      </c>
      <c r="L2864" s="444">
        <f t="shared" ca="1" si="139"/>
        <v>-48971411036.343689</v>
      </c>
      <c r="M2864" s="460">
        <f t="shared" si="141"/>
        <v>0.05</v>
      </c>
      <c r="N2864" s="464">
        <f t="shared" si="142"/>
        <v>138215</v>
      </c>
    </row>
    <row r="2865" spans="7:14" ht="11.25" customHeight="1" x14ac:dyDescent="0.3">
      <c r="G2865" s="459"/>
      <c r="H2865" s="459">
        <v>2858</v>
      </c>
      <c r="I2865" s="444">
        <f t="shared" ca="1" si="140"/>
        <v>-48971411036.343689</v>
      </c>
      <c r="J2865" s="444">
        <f t="array" ref="J2865">IFERROR(INDEX('Retirement Calculator'!K:K,MATCH('Lorri 401b'!N2865,'Retirement Calculator'!A:A,0),0),0)</f>
        <v>0</v>
      </c>
      <c r="K2865" s="444">
        <f t="shared" ca="1" si="138"/>
        <v>-204047545.98476538</v>
      </c>
      <c r="L2865" s="444">
        <f t="shared" ca="1" si="139"/>
        <v>-49175458582.328453</v>
      </c>
      <c r="M2865" s="460">
        <f t="shared" si="141"/>
        <v>0.05</v>
      </c>
      <c r="N2865" s="464">
        <f t="shared" si="142"/>
        <v>138245</v>
      </c>
    </row>
    <row r="2866" spans="7:14" ht="11.25" customHeight="1" x14ac:dyDescent="0.3">
      <c r="G2866" s="459"/>
      <c r="H2866" s="459">
        <v>2859</v>
      </c>
      <c r="I2866" s="444">
        <f t="shared" ca="1" si="140"/>
        <v>-49175458582.328453</v>
      </c>
      <c r="J2866" s="444">
        <f t="array" ref="J2866">IFERROR(INDEX('Retirement Calculator'!K:K,MATCH('Lorri 401b'!N2866,'Retirement Calculator'!A:A,0),0),0)</f>
        <v>0</v>
      </c>
      <c r="K2866" s="444">
        <f t="shared" ca="1" si="138"/>
        <v>-204897744.09303522</v>
      </c>
      <c r="L2866" s="444">
        <f t="shared" ca="1" si="139"/>
        <v>-49380356326.421486</v>
      </c>
      <c r="M2866" s="460">
        <f t="shared" si="141"/>
        <v>0.05</v>
      </c>
      <c r="N2866" s="464">
        <f t="shared" si="142"/>
        <v>138276</v>
      </c>
    </row>
    <row r="2867" spans="7:14" ht="11.25" customHeight="1" x14ac:dyDescent="0.3">
      <c r="G2867" s="459"/>
      <c r="H2867" s="459">
        <v>2860</v>
      </c>
      <c r="I2867" s="444">
        <f t="shared" ca="1" si="140"/>
        <v>-49380356326.421486</v>
      </c>
      <c r="J2867" s="444">
        <f t="array" ref="J2867">IFERROR(INDEX('Retirement Calculator'!K:K,MATCH('Lorri 401b'!N2867,'Retirement Calculator'!A:A,0),0),0)</f>
        <v>0</v>
      </c>
      <c r="K2867" s="444">
        <f t="shared" ca="1" si="138"/>
        <v>-205751484.69342285</v>
      </c>
      <c r="L2867" s="444">
        <f t="shared" ca="1" si="139"/>
        <v>-49586107811.114906</v>
      </c>
      <c r="M2867" s="460">
        <f t="shared" si="141"/>
        <v>0.05</v>
      </c>
      <c r="N2867" s="464">
        <f t="shared" si="142"/>
        <v>138307</v>
      </c>
    </row>
    <row r="2868" spans="7:14" ht="11.25" customHeight="1" x14ac:dyDescent="0.3">
      <c r="G2868" s="459"/>
      <c r="H2868" s="459">
        <v>2861</v>
      </c>
      <c r="I2868" s="444">
        <f t="shared" ca="1" si="140"/>
        <v>-49586107811.114906</v>
      </c>
      <c r="J2868" s="444">
        <f t="array" ref="J2868">IFERROR(INDEX('Retirement Calculator'!K:K,MATCH('Lorri 401b'!N2868,'Retirement Calculator'!A:A,0),0),0)</f>
        <v>0</v>
      </c>
      <c r="K2868" s="444">
        <f t="shared" ca="1" si="138"/>
        <v>-206608782.54631209</v>
      </c>
      <c r="L2868" s="444">
        <f t="shared" ca="1" si="139"/>
        <v>-49792716593.661217</v>
      </c>
      <c r="M2868" s="460">
        <f t="shared" si="141"/>
        <v>0.05</v>
      </c>
      <c r="N2868" s="464">
        <f t="shared" si="142"/>
        <v>138337</v>
      </c>
    </row>
    <row r="2869" spans="7:14" ht="11.25" customHeight="1" x14ac:dyDescent="0.3">
      <c r="G2869" s="459"/>
      <c r="H2869" s="459">
        <v>2862</v>
      </c>
      <c r="I2869" s="444">
        <f t="shared" ca="1" si="140"/>
        <v>-49792716593.661217</v>
      </c>
      <c r="J2869" s="444">
        <f t="array" ref="J2869">IFERROR(INDEX('Retirement Calculator'!K:K,MATCH('Lorri 401b'!N2869,'Retirement Calculator'!A:A,0),0),0)</f>
        <v>0</v>
      </c>
      <c r="K2869" s="444">
        <f t="shared" ca="1" si="138"/>
        <v>-207469652.47358841</v>
      </c>
      <c r="L2869" s="444">
        <f t="shared" ca="1" si="139"/>
        <v>-50000186246.134804</v>
      </c>
      <c r="M2869" s="460">
        <f t="shared" si="141"/>
        <v>0.05</v>
      </c>
      <c r="N2869" s="464">
        <f t="shared" si="142"/>
        <v>138368</v>
      </c>
    </row>
    <row r="2870" spans="7:14" ht="11.25" customHeight="1" x14ac:dyDescent="0.3">
      <c r="G2870" s="459"/>
      <c r="H2870" s="459">
        <v>2863</v>
      </c>
      <c r="I2870" s="444">
        <f t="shared" ca="1" si="140"/>
        <v>-50000186246.134804</v>
      </c>
      <c r="J2870" s="444">
        <f t="array" ref="J2870">IFERROR(INDEX('Retirement Calculator'!K:K,MATCH('Lorri 401b'!N2870,'Retirement Calculator'!A:A,0),0),0)</f>
        <v>0</v>
      </c>
      <c r="K2870" s="444">
        <f t="shared" ca="1" si="138"/>
        <v>-208334109.358895</v>
      </c>
      <c r="L2870" s="444">
        <f t="shared" ca="1" si="139"/>
        <v>-50208520355.493698</v>
      </c>
      <c r="M2870" s="460">
        <f t="shared" si="141"/>
        <v>0.05</v>
      </c>
      <c r="N2870" s="464">
        <f t="shared" si="142"/>
        <v>138398</v>
      </c>
    </row>
    <row r="2871" spans="7:14" ht="11.25" customHeight="1" x14ac:dyDescent="0.3">
      <c r="G2871" s="459"/>
      <c r="H2871" s="459">
        <v>2864</v>
      </c>
      <c r="I2871" s="444">
        <f t="shared" ca="1" si="140"/>
        <v>-50208520355.493698</v>
      </c>
      <c r="J2871" s="444">
        <f t="array" ref="J2871">IFERROR(INDEX('Retirement Calculator'!K:K,MATCH('Lorri 401b'!N2871,'Retirement Calculator'!A:A,0),0),0)</f>
        <v>0</v>
      </c>
      <c r="K2871" s="444">
        <f t="shared" ca="1" si="138"/>
        <v>-209202168.14789042</v>
      </c>
      <c r="L2871" s="444">
        <f t="shared" ca="1" si="139"/>
        <v>-50417722523.641586</v>
      </c>
      <c r="M2871" s="460">
        <f t="shared" si="141"/>
        <v>0.05</v>
      </c>
      <c r="N2871" s="464">
        <f t="shared" si="142"/>
        <v>138429</v>
      </c>
    </row>
    <row r="2872" spans="7:14" ht="11.25" customHeight="1" x14ac:dyDescent="0.3">
      <c r="G2872" s="459"/>
      <c r="H2872" s="459">
        <v>2865</v>
      </c>
      <c r="I2872" s="444">
        <f t="shared" ca="1" si="140"/>
        <v>-50417722523.641586</v>
      </c>
      <c r="J2872" s="444">
        <f t="array" ref="J2872">IFERROR(INDEX('Retirement Calculator'!K:K,MATCH('Lorri 401b'!N2872,'Retirement Calculator'!A:A,0),0),0)</f>
        <v>0</v>
      </c>
      <c r="K2872" s="444">
        <f t="shared" ca="1" si="138"/>
        <v>-210073843.8485066</v>
      </c>
      <c r="L2872" s="444">
        <f t="shared" ca="1" si="139"/>
        <v>-50627796367.490089</v>
      </c>
      <c r="M2872" s="460">
        <f t="shared" si="141"/>
        <v>0.05</v>
      </c>
      <c r="N2872" s="464">
        <f t="shared" si="142"/>
        <v>138460</v>
      </c>
    </row>
    <row r="2873" spans="7:14" ht="11.25" customHeight="1" x14ac:dyDescent="0.3">
      <c r="G2873" s="459"/>
      <c r="H2873" s="459">
        <v>2866</v>
      </c>
      <c r="I2873" s="444">
        <f t="shared" ca="1" si="140"/>
        <v>-50627796367.490089</v>
      </c>
      <c r="J2873" s="444">
        <f t="array" ref="J2873">IFERROR(INDEX('Retirement Calculator'!K:K,MATCH('Lorri 401b'!N2873,'Retirement Calculator'!A:A,0),0),0)</f>
        <v>0</v>
      </c>
      <c r="K2873" s="444">
        <f t="shared" ca="1" si="138"/>
        <v>-210949151.53120869</v>
      </c>
      <c r="L2873" s="444">
        <f t="shared" ca="1" si="139"/>
        <v>-50838745519.021301</v>
      </c>
      <c r="M2873" s="460">
        <f t="shared" si="141"/>
        <v>0.05</v>
      </c>
      <c r="N2873" s="464">
        <f t="shared" si="142"/>
        <v>138488</v>
      </c>
    </row>
    <row r="2874" spans="7:14" ht="11.25" customHeight="1" x14ac:dyDescent="0.3">
      <c r="G2874" s="459"/>
      <c r="H2874" s="459">
        <v>2867</v>
      </c>
      <c r="I2874" s="444">
        <f t="shared" ca="1" si="140"/>
        <v>-50838745519.021301</v>
      </c>
      <c r="J2874" s="444">
        <f t="array" ref="J2874">IFERROR(INDEX('Retirement Calculator'!K:K,MATCH('Lorri 401b'!N2874,'Retirement Calculator'!A:A,0),0),0)</f>
        <v>0</v>
      </c>
      <c r="K2874" s="444">
        <f t="shared" ca="1" si="138"/>
        <v>-211828106.32925543</v>
      </c>
      <c r="L2874" s="444">
        <f t="shared" ca="1" si="139"/>
        <v>-51050573625.350555</v>
      </c>
      <c r="M2874" s="460">
        <f t="shared" si="141"/>
        <v>0.05</v>
      </c>
      <c r="N2874" s="464">
        <f t="shared" si="142"/>
        <v>138519</v>
      </c>
    </row>
    <row r="2875" spans="7:14" ht="11.25" customHeight="1" x14ac:dyDescent="0.3">
      <c r="G2875" s="459"/>
      <c r="H2875" s="459">
        <v>2868</v>
      </c>
      <c r="I2875" s="444">
        <f t="shared" ca="1" si="140"/>
        <v>-51050573625.350555</v>
      </c>
      <c r="J2875" s="444">
        <f t="array" ref="J2875">IFERROR(INDEX('Retirement Calculator'!K:K,MATCH('Lorri 401b'!N2875,'Retirement Calculator'!A:A,0),0),0)</f>
        <v>0</v>
      </c>
      <c r="K2875" s="444">
        <f t="shared" ca="1" si="138"/>
        <v>-212710723.43896064</v>
      </c>
      <c r="L2875" s="444">
        <f t="shared" ca="1" si="139"/>
        <v>-51263284348.789513</v>
      </c>
      <c r="M2875" s="460">
        <f t="shared" si="141"/>
        <v>0.05</v>
      </c>
      <c r="N2875" s="464">
        <f t="shared" si="142"/>
        <v>138549</v>
      </c>
    </row>
    <row r="2876" spans="7:14" ht="11.25" customHeight="1" x14ac:dyDescent="0.3">
      <c r="G2876" s="459"/>
      <c r="H2876" s="459">
        <v>2869</v>
      </c>
      <c r="I2876" s="444">
        <f t="shared" ca="1" si="140"/>
        <v>-51263284348.789513</v>
      </c>
      <c r="J2876" s="444">
        <f t="array" ref="J2876">IFERROR(INDEX('Retirement Calculator'!K:K,MATCH('Lorri 401b'!N2876,'Retirement Calculator'!A:A,0),0),0)</f>
        <v>0</v>
      </c>
      <c r="K2876" s="444">
        <f t="shared" ca="1" si="138"/>
        <v>-213597018.11995631</v>
      </c>
      <c r="L2876" s="444">
        <f t="shared" ca="1" si="139"/>
        <v>-51476881366.90947</v>
      </c>
      <c r="M2876" s="460">
        <f t="shared" si="141"/>
        <v>0.05</v>
      </c>
      <c r="N2876" s="464">
        <f t="shared" si="142"/>
        <v>138580</v>
      </c>
    </row>
    <row r="2877" spans="7:14" ht="11.25" customHeight="1" x14ac:dyDescent="0.3">
      <c r="G2877" s="459"/>
      <c r="H2877" s="459">
        <v>2870</v>
      </c>
      <c r="I2877" s="444">
        <f t="shared" ca="1" si="140"/>
        <v>-51476881366.90947</v>
      </c>
      <c r="J2877" s="444">
        <f t="array" ref="J2877">IFERROR(INDEX('Retirement Calculator'!K:K,MATCH('Lorri 401b'!N2877,'Retirement Calculator'!A:A,0),0),0)</f>
        <v>0</v>
      </c>
      <c r="K2877" s="444">
        <f t="shared" ca="1" si="138"/>
        <v>-214487005.69545612</v>
      </c>
      <c r="L2877" s="444">
        <f t="shared" ca="1" si="139"/>
        <v>-51691368372.604927</v>
      </c>
      <c r="M2877" s="460">
        <f t="shared" si="141"/>
        <v>0.05</v>
      </c>
      <c r="N2877" s="464">
        <f t="shared" si="142"/>
        <v>138610</v>
      </c>
    </row>
    <row r="2878" spans="7:14" ht="11.25" customHeight="1" x14ac:dyDescent="0.3">
      <c r="G2878" s="459"/>
      <c r="H2878" s="459">
        <v>2871</v>
      </c>
      <c r="I2878" s="444">
        <f t="shared" ca="1" si="140"/>
        <v>-51691368372.604927</v>
      </c>
      <c r="J2878" s="444">
        <f t="array" ref="J2878">IFERROR(INDEX('Retirement Calculator'!K:K,MATCH('Lorri 401b'!N2878,'Retirement Calculator'!A:A,0),0),0)</f>
        <v>0</v>
      </c>
      <c r="K2878" s="444">
        <f t="shared" ca="1" si="138"/>
        <v>-215380701.55252051</v>
      </c>
      <c r="L2878" s="444">
        <f t="shared" ca="1" si="139"/>
        <v>-51906749074.157448</v>
      </c>
      <c r="M2878" s="460">
        <f t="shared" si="141"/>
        <v>0.05</v>
      </c>
      <c r="N2878" s="464">
        <f t="shared" si="142"/>
        <v>138641</v>
      </c>
    </row>
    <row r="2879" spans="7:14" ht="11.25" customHeight="1" x14ac:dyDescent="0.3">
      <c r="G2879" s="459"/>
      <c r="H2879" s="459">
        <v>2872</v>
      </c>
      <c r="I2879" s="444">
        <f t="shared" ca="1" si="140"/>
        <v>-51906749074.157448</v>
      </c>
      <c r="J2879" s="444">
        <f t="array" ref="J2879">IFERROR(INDEX('Retirement Calculator'!K:K,MATCH('Lorri 401b'!N2879,'Retirement Calculator'!A:A,0),0),0)</f>
        <v>0</v>
      </c>
      <c r="K2879" s="444">
        <f t="shared" ca="1" si="138"/>
        <v>-216278121.14232269</v>
      </c>
      <c r="L2879" s="444">
        <f t="shared" ca="1" si="139"/>
        <v>-52123027195.299774</v>
      </c>
      <c r="M2879" s="460">
        <f t="shared" si="141"/>
        <v>0.05</v>
      </c>
      <c r="N2879" s="464">
        <f t="shared" si="142"/>
        <v>138672</v>
      </c>
    </row>
    <row r="2880" spans="7:14" ht="11.25" customHeight="1" x14ac:dyDescent="0.3">
      <c r="G2880" s="459"/>
      <c r="H2880" s="459">
        <v>2873</v>
      </c>
      <c r="I2880" s="444">
        <f t="shared" ca="1" si="140"/>
        <v>-52123027195.299774</v>
      </c>
      <c r="J2880" s="444">
        <f t="array" ref="J2880">IFERROR(INDEX('Retirement Calculator'!K:K,MATCH('Lorri 401b'!N2880,'Retirement Calculator'!A:A,0),0),0)</f>
        <v>0</v>
      </c>
      <c r="K2880" s="444">
        <f t="shared" ca="1" si="138"/>
        <v>-217179279.98041573</v>
      </c>
      <c r="L2880" s="444">
        <f t="shared" ca="1" si="139"/>
        <v>-52340206475.28019</v>
      </c>
      <c r="M2880" s="460">
        <f t="shared" si="141"/>
        <v>0.05</v>
      </c>
      <c r="N2880" s="464">
        <f t="shared" si="142"/>
        <v>138702</v>
      </c>
    </row>
    <row r="2881" spans="7:14" ht="11.25" customHeight="1" x14ac:dyDescent="0.3">
      <c r="G2881" s="459"/>
      <c r="H2881" s="459">
        <v>2874</v>
      </c>
      <c r="I2881" s="444">
        <f t="shared" ca="1" si="140"/>
        <v>-52340206475.28019</v>
      </c>
      <c r="J2881" s="444">
        <f t="array" ref="J2881">IFERROR(INDEX('Retirement Calculator'!K:K,MATCH('Lorri 401b'!N2881,'Retirement Calculator'!A:A,0),0),0)</f>
        <v>0</v>
      </c>
      <c r="K2881" s="444">
        <f t="shared" ca="1" si="138"/>
        <v>-218084193.64700079</v>
      </c>
      <c r="L2881" s="444">
        <f t="shared" ca="1" si="139"/>
        <v>-52558290668.927193</v>
      </c>
      <c r="M2881" s="460">
        <f t="shared" si="141"/>
        <v>0.05</v>
      </c>
      <c r="N2881" s="464">
        <f t="shared" si="142"/>
        <v>138733</v>
      </c>
    </row>
    <row r="2882" spans="7:14" ht="11.25" customHeight="1" x14ac:dyDescent="0.3">
      <c r="G2882" s="459"/>
      <c r="H2882" s="459">
        <v>2875</v>
      </c>
      <c r="I2882" s="444">
        <f t="shared" ca="1" si="140"/>
        <v>-52558290668.927193</v>
      </c>
      <c r="J2882" s="444">
        <f t="array" ref="J2882">IFERROR(INDEX('Retirement Calculator'!K:K,MATCH('Lorri 401b'!N2882,'Retirement Calculator'!A:A,0),0),0)</f>
        <v>0</v>
      </c>
      <c r="K2882" s="444">
        <f t="shared" ca="1" si="138"/>
        <v>-218992877.78719664</v>
      </c>
      <c r="L2882" s="444">
        <f t="shared" ca="1" si="139"/>
        <v>-52777283546.714386</v>
      </c>
      <c r="M2882" s="460">
        <f t="shared" si="141"/>
        <v>0.05</v>
      </c>
      <c r="N2882" s="464">
        <f t="shared" si="142"/>
        <v>138763</v>
      </c>
    </row>
    <row r="2883" spans="7:14" ht="11.25" customHeight="1" x14ac:dyDescent="0.3">
      <c r="G2883" s="459"/>
      <c r="H2883" s="459">
        <v>2876</v>
      </c>
      <c r="I2883" s="444">
        <f t="shared" ca="1" si="140"/>
        <v>-52777283546.714386</v>
      </c>
      <c r="J2883" s="444">
        <f t="array" ref="J2883">IFERROR(INDEX('Retirement Calculator'!K:K,MATCH('Lorri 401b'!N2883,'Retirement Calculator'!A:A,0),0),0)</f>
        <v>0</v>
      </c>
      <c r="K2883" s="444">
        <f t="shared" ca="1" si="138"/>
        <v>-219905348.11130995</v>
      </c>
      <c r="L2883" s="444">
        <f t="shared" ca="1" si="139"/>
        <v>-52997188894.825699</v>
      </c>
      <c r="M2883" s="460">
        <f t="shared" si="141"/>
        <v>0.05</v>
      </c>
      <c r="N2883" s="464">
        <f t="shared" si="142"/>
        <v>138794</v>
      </c>
    </row>
    <row r="2884" spans="7:14" ht="11.25" customHeight="1" x14ac:dyDescent="0.3">
      <c r="G2884" s="459"/>
      <c r="H2884" s="459">
        <v>2877</v>
      </c>
      <c r="I2884" s="444">
        <f t="shared" ca="1" si="140"/>
        <v>-52997188894.825699</v>
      </c>
      <c r="J2884" s="444">
        <f t="array" ref="J2884">IFERROR(INDEX('Retirement Calculator'!K:K,MATCH('Lorri 401b'!N2884,'Retirement Calculator'!A:A,0),0),0)</f>
        <v>0</v>
      </c>
      <c r="K2884" s="444">
        <f t="shared" ca="1" si="138"/>
        <v>-220821620.39510706</v>
      </c>
      <c r="L2884" s="444">
        <f t="shared" ca="1" si="139"/>
        <v>-53218010515.220802</v>
      </c>
      <c r="M2884" s="460">
        <f t="shared" si="141"/>
        <v>0.05</v>
      </c>
      <c r="N2884" s="464">
        <f t="shared" si="142"/>
        <v>138825</v>
      </c>
    </row>
    <row r="2885" spans="7:14" ht="11.25" customHeight="1" x14ac:dyDescent="0.3">
      <c r="G2885" s="459"/>
      <c r="H2885" s="459">
        <v>2878</v>
      </c>
      <c r="I2885" s="444">
        <f t="shared" ca="1" si="140"/>
        <v>-53218010515.220802</v>
      </c>
      <c r="J2885" s="444">
        <f t="array" ref="J2885">IFERROR(INDEX('Retirement Calculator'!K:K,MATCH('Lorri 401b'!N2885,'Retirement Calculator'!A:A,0),0),0)</f>
        <v>0</v>
      </c>
      <c r="K2885" s="444">
        <f t="shared" ca="1" si="138"/>
        <v>-221741710.48008668</v>
      </c>
      <c r="L2885" s="444">
        <f t="shared" ca="1" si="139"/>
        <v>-53439752225.70089</v>
      </c>
      <c r="M2885" s="460">
        <f t="shared" si="141"/>
        <v>0.05</v>
      </c>
      <c r="N2885" s="464">
        <f t="shared" si="142"/>
        <v>138854</v>
      </c>
    </row>
    <row r="2886" spans="7:14" ht="11.25" customHeight="1" x14ac:dyDescent="0.3">
      <c r="G2886" s="459"/>
      <c r="H2886" s="459">
        <v>2879</v>
      </c>
      <c r="I2886" s="444">
        <f t="shared" ca="1" si="140"/>
        <v>-53439752225.70089</v>
      </c>
      <c r="J2886" s="444">
        <f t="array" ref="J2886">IFERROR(INDEX('Retirement Calculator'!K:K,MATCH('Lorri 401b'!N2886,'Retirement Calculator'!A:A,0),0),0)</f>
        <v>0</v>
      </c>
      <c r="K2886" s="444">
        <f t="shared" ca="1" si="138"/>
        <v>-222665634.2737537</v>
      </c>
      <c r="L2886" s="444">
        <f t="shared" ca="1" si="139"/>
        <v>-53662417859.97464</v>
      </c>
      <c r="M2886" s="460">
        <f t="shared" si="141"/>
        <v>0.05</v>
      </c>
      <c r="N2886" s="464">
        <f t="shared" si="142"/>
        <v>138885</v>
      </c>
    </row>
    <row r="2887" spans="7:14" ht="11.25" customHeight="1" x14ac:dyDescent="0.3">
      <c r="G2887" s="459"/>
      <c r="H2887" s="459">
        <v>2880</v>
      </c>
      <c r="I2887" s="444">
        <f t="shared" ca="1" si="140"/>
        <v>-53662417859.97464</v>
      </c>
      <c r="J2887" s="444">
        <f t="array" ref="J2887">IFERROR(INDEX('Retirement Calculator'!K:K,MATCH('Lorri 401b'!N2887,'Retirement Calculator'!A:A,0),0),0)</f>
        <v>0</v>
      </c>
      <c r="K2887" s="444">
        <f t="shared" ca="1" si="138"/>
        <v>-223593407.74989432</v>
      </c>
      <c r="L2887" s="444">
        <f t="shared" ca="1" si="139"/>
        <v>-53886011267.724533</v>
      </c>
      <c r="M2887" s="460">
        <f t="shared" si="141"/>
        <v>0.05</v>
      </c>
      <c r="N2887" s="464">
        <f t="shared" si="142"/>
        <v>138915</v>
      </c>
    </row>
    <row r="2888" spans="7:14" ht="11.25" customHeight="1" x14ac:dyDescent="0.3">
      <c r="G2888" s="459"/>
      <c r="H2888" s="459">
        <v>2881</v>
      </c>
      <c r="I2888" s="444">
        <f t="shared" ca="1" si="140"/>
        <v>-53886011267.724533</v>
      </c>
      <c r="J2888" s="444">
        <f t="array" ref="J2888">IFERROR(INDEX('Retirement Calculator'!K:K,MATCH('Lorri 401b'!N2888,'Retirement Calculator'!A:A,0),0),0)</f>
        <v>0</v>
      </c>
      <c r="K2888" s="444">
        <f t="shared" ca="1" si="138"/>
        <v>-224525046.94885221</v>
      </c>
      <c r="L2888" s="444">
        <f t="shared" ca="1" si="139"/>
        <v>-54110536314.673386</v>
      </c>
      <c r="M2888" s="460">
        <f t="shared" si="141"/>
        <v>0.05</v>
      </c>
      <c r="N2888" s="464">
        <f t="shared" si="142"/>
        <v>138946</v>
      </c>
    </row>
    <row r="2889" spans="7:14" ht="11.25" customHeight="1" x14ac:dyDescent="0.3">
      <c r="G2889" s="459"/>
      <c r="H2889" s="459">
        <v>2882</v>
      </c>
      <c r="I2889" s="444">
        <f t="shared" ca="1" si="140"/>
        <v>-54110536314.673386</v>
      </c>
      <c r="J2889" s="444">
        <f t="array" ref="J2889">IFERROR(INDEX('Retirement Calculator'!K:K,MATCH('Lorri 401b'!N2889,'Retirement Calculator'!A:A,0),0),0)</f>
        <v>0</v>
      </c>
      <c r="K2889" s="444">
        <f t="shared" ca="1" si="138"/>
        <v>-225460567.97780576</v>
      </c>
      <c r="L2889" s="444">
        <f t="shared" ca="1" si="139"/>
        <v>-54335996882.651192</v>
      </c>
      <c r="M2889" s="460">
        <f t="shared" si="141"/>
        <v>0.05</v>
      </c>
      <c r="N2889" s="464">
        <f t="shared" si="142"/>
        <v>138976</v>
      </c>
    </row>
    <row r="2890" spans="7:14" ht="11.25" customHeight="1" x14ac:dyDescent="0.3">
      <c r="G2890" s="459"/>
      <c r="H2890" s="459">
        <v>2883</v>
      </c>
      <c r="I2890" s="444">
        <f t="shared" ca="1" si="140"/>
        <v>-54335996882.651192</v>
      </c>
      <c r="J2890" s="444">
        <f t="array" ref="J2890">IFERROR(INDEX('Retirement Calculator'!K:K,MATCH('Lorri 401b'!N2890,'Retirement Calculator'!A:A,0),0),0)</f>
        <v>0</v>
      </c>
      <c r="K2890" s="444">
        <f t="shared" ca="1" si="138"/>
        <v>-226399987.01104662</v>
      </c>
      <c r="L2890" s="444">
        <f t="shared" ca="1" si="139"/>
        <v>-54562396869.662239</v>
      </c>
      <c r="M2890" s="460">
        <f t="shared" si="141"/>
        <v>0.05</v>
      </c>
      <c r="N2890" s="464">
        <f t="shared" si="142"/>
        <v>139007</v>
      </c>
    </row>
    <row r="2891" spans="7:14" ht="11.25" customHeight="1" x14ac:dyDescent="0.3">
      <c r="G2891" s="459"/>
      <c r="H2891" s="459">
        <v>2884</v>
      </c>
      <c r="I2891" s="444">
        <f t="shared" ca="1" si="140"/>
        <v>-54562396869.662239</v>
      </c>
      <c r="J2891" s="444">
        <f t="array" ref="J2891">IFERROR(INDEX('Retirement Calculator'!K:K,MATCH('Lorri 401b'!N2891,'Retirement Calculator'!A:A,0),0),0)</f>
        <v>0</v>
      </c>
      <c r="K2891" s="444">
        <f t="shared" ca="1" si="138"/>
        <v>-227343320.29025933</v>
      </c>
      <c r="L2891" s="444">
        <f t="shared" ca="1" si="139"/>
        <v>-54789740189.952499</v>
      </c>
      <c r="M2891" s="460">
        <f t="shared" si="141"/>
        <v>0.05</v>
      </c>
      <c r="N2891" s="464">
        <f t="shared" si="142"/>
        <v>139038</v>
      </c>
    </row>
    <row r="2892" spans="7:14" ht="11.25" customHeight="1" x14ac:dyDescent="0.3">
      <c r="G2892" s="459"/>
      <c r="H2892" s="459">
        <v>2885</v>
      </c>
      <c r="I2892" s="444">
        <f t="shared" ca="1" si="140"/>
        <v>-54789740189.952499</v>
      </c>
      <c r="J2892" s="444">
        <f t="array" ref="J2892">IFERROR(INDEX('Retirement Calculator'!K:K,MATCH('Lorri 401b'!N2892,'Retirement Calculator'!A:A,0),0),0)</f>
        <v>0</v>
      </c>
      <c r="K2892" s="444">
        <f t="shared" ca="1" si="138"/>
        <v>-228290584.12480208</v>
      </c>
      <c r="L2892" s="444">
        <f t="shared" ca="1" si="139"/>
        <v>-55018030774.077301</v>
      </c>
      <c r="M2892" s="460">
        <f t="shared" si="141"/>
        <v>0.05</v>
      </c>
      <c r="N2892" s="464">
        <f t="shared" si="142"/>
        <v>139068</v>
      </c>
    </row>
    <row r="2893" spans="7:14" ht="11.25" customHeight="1" x14ac:dyDescent="0.3">
      <c r="G2893" s="459"/>
      <c r="H2893" s="459">
        <v>2886</v>
      </c>
      <c r="I2893" s="444">
        <f t="shared" ca="1" si="140"/>
        <v>-55018030774.077301</v>
      </c>
      <c r="J2893" s="444">
        <f t="array" ref="J2893">IFERROR(INDEX('Retirement Calculator'!K:K,MATCH('Lorri 401b'!N2893,'Retirement Calculator'!A:A,0),0),0)</f>
        <v>0</v>
      </c>
      <c r="K2893" s="444">
        <f t="shared" ca="1" si="138"/>
        <v>-229241794.89198875</v>
      </c>
      <c r="L2893" s="444">
        <f t="shared" ca="1" si="139"/>
        <v>-55247272568.969292</v>
      </c>
      <c r="M2893" s="460">
        <f t="shared" si="141"/>
        <v>0.05</v>
      </c>
      <c r="N2893" s="464">
        <f t="shared" si="142"/>
        <v>139099</v>
      </c>
    </row>
    <row r="2894" spans="7:14" ht="11.25" customHeight="1" x14ac:dyDescent="0.3">
      <c r="G2894" s="459"/>
      <c r="H2894" s="459">
        <v>2887</v>
      </c>
      <c r="I2894" s="444">
        <f t="shared" ca="1" si="140"/>
        <v>-55247272568.969292</v>
      </c>
      <c r="J2894" s="444">
        <f t="array" ref="J2894">IFERROR(INDEX('Retirement Calculator'!K:K,MATCH('Lorri 401b'!N2894,'Retirement Calculator'!A:A,0),0),0)</f>
        <v>0</v>
      </c>
      <c r="K2894" s="444">
        <f t="shared" ca="1" si="138"/>
        <v>-230196969.03737205</v>
      </c>
      <c r="L2894" s="444">
        <f t="shared" ca="1" si="139"/>
        <v>-55477469538.00666</v>
      </c>
      <c r="M2894" s="460">
        <f t="shared" si="141"/>
        <v>0.05</v>
      </c>
      <c r="N2894" s="464">
        <f t="shared" si="142"/>
        <v>139129</v>
      </c>
    </row>
    <row r="2895" spans="7:14" ht="11.25" customHeight="1" x14ac:dyDescent="0.3">
      <c r="G2895" s="459"/>
      <c r="H2895" s="459">
        <v>2888</v>
      </c>
      <c r="I2895" s="444">
        <f t="shared" ca="1" si="140"/>
        <v>-55477469538.00666</v>
      </c>
      <c r="J2895" s="444">
        <f t="array" ref="J2895">IFERROR(INDEX('Retirement Calculator'!K:K,MATCH('Lorri 401b'!N2895,'Retirement Calculator'!A:A,0),0),0)</f>
        <v>0</v>
      </c>
      <c r="K2895" s="444">
        <f t="shared" ca="1" si="138"/>
        <v>-231156123.0750277</v>
      </c>
      <c r="L2895" s="444">
        <f t="shared" ca="1" si="139"/>
        <v>-55708625661.081688</v>
      </c>
      <c r="M2895" s="460">
        <f t="shared" si="141"/>
        <v>0.05</v>
      </c>
      <c r="N2895" s="464">
        <f t="shared" si="142"/>
        <v>139160</v>
      </c>
    </row>
    <row r="2896" spans="7:14" ht="11.25" customHeight="1" x14ac:dyDescent="0.3">
      <c r="G2896" s="459"/>
      <c r="H2896" s="459">
        <v>2889</v>
      </c>
      <c r="I2896" s="444">
        <f t="shared" ca="1" si="140"/>
        <v>-55708625661.081688</v>
      </c>
      <c r="J2896" s="444">
        <f t="array" ref="J2896">IFERROR(INDEX('Retirement Calculator'!K:K,MATCH('Lorri 401b'!N2896,'Retirement Calculator'!A:A,0),0),0)</f>
        <v>0</v>
      </c>
      <c r="K2896" s="444">
        <f t="shared" ca="1" si="138"/>
        <v>-232119273.58784035</v>
      </c>
      <c r="L2896" s="444">
        <f t="shared" ca="1" si="139"/>
        <v>-55940744934.669525</v>
      </c>
      <c r="M2896" s="460">
        <f t="shared" si="141"/>
        <v>0.05</v>
      </c>
      <c r="N2896" s="464">
        <f t="shared" si="142"/>
        <v>139191</v>
      </c>
    </row>
    <row r="2897" spans="7:14" ht="11.25" customHeight="1" x14ac:dyDescent="0.3">
      <c r="G2897" s="459"/>
      <c r="H2897" s="459">
        <v>2890</v>
      </c>
      <c r="I2897" s="444">
        <f t="shared" ca="1" si="140"/>
        <v>-55940744934.669525</v>
      </c>
      <c r="J2897" s="444">
        <f t="array" ref="J2897">IFERROR(INDEX('Retirement Calculator'!K:K,MATCH('Lorri 401b'!N2897,'Retirement Calculator'!A:A,0),0),0)</f>
        <v>0</v>
      </c>
      <c r="K2897" s="444">
        <f t="shared" ca="1" si="138"/>
        <v>-233086437.22778967</v>
      </c>
      <c r="L2897" s="444">
        <f t="shared" ca="1" si="139"/>
        <v>-56173831371.897316</v>
      </c>
      <c r="M2897" s="460">
        <f t="shared" si="141"/>
        <v>0.05</v>
      </c>
      <c r="N2897" s="464">
        <f t="shared" si="142"/>
        <v>139219</v>
      </c>
    </row>
    <row r="2898" spans="7:14" ht="11.25" customHeight="1" x14ac:dyDescent="0.3">
      <c r="G2898" s="459"/>
      <c r="H2898" s="459">
        <v>2891</v>
      </c>
      <c r="I2898" s="444">
        <f t="shared" ca="1" si="140"/>
        <v>-56173831371.897316</v>
      </c>
      <c r="J2898" s="444">
        <f t="array" ref="J2898">IFERROR(INDEX('Retirement Calculator'!K:K,MATCH('Lorri 401b'!N2898,'Retirement Calculator'!A:A,0),0),0)</f>
        <v>0</v>
      </c>
      <c r="K2898" s="444">
        <f t="shared" ca="1" si="138"/>
        <v>-234057630.71623883</v>
      </c>
      <c r="L2898" s="444">
        <f t="shared" ca="1" si="139"/>
        <v>-56407889002.613556</v>
      </c>
      <c r="M2898" s="460">
        <f t="shared" si="141"/>
        <v>0.05</v>
      </c>
      <c r="N2898" s="464">
        <f t="shared" si="142"/>
        <v>139250</v>
      </c>
    </row>
    <row r="2899" spans="7:14" ht="11.25" customHeight="1" x14ac:dyDescent="0.3">
      <c r="G2899" s="459"/>
      <c r="H2899" s="459">
        <v>2892</v>
      </c>
      <c r="I2899" s="444">
        <f t="shared" ca="1" si="140"/>
        <v>-56407889002.613556</v>
      </c>
      <c r="J2899" s="444">
        <f t="array" ref="J2899">IFERROR(INDEX('Retirement Calculator'!K:K,MATCH('Lorri 401b'!N2899,'Retirement Calculator'!A:A,0),0),0)</f>
        <v>0</v>
      </c>
      <c r="K2899" s="444">
        <f t="shared" ca="1" si="138"/>
        <v>-235032870.84422314</v>
      </c>
      <c r="L2899" s="444">
        <f t="shared" ca="1" si="139"/>
        <v>-56642921873.457779</v>
      </c>
      <c r="M2899" s="460">
        <f t="shared" si="141"/>
        <v>0.05</v>
      </c>
      <c r="N2899" s="464">
        <f t="shared" si="142"/>
        <v>139280</v>
      </c>
    </row>
    <row r="2900" spans="7:14" ht="11.25" customHeight="1" x14ac:dyDescent="0.3">
      <c r="G2900" s="459"/>
      <c r="H2900" s="459">
        <v>2893</v>
      </c>
      <c r="I2900" s="444">
        <f t="shared" ca="1" si="140"/>
        <v>-56642921873.457779</v>
      </c>
      <c r="J2900" s="444">
        <f t="array" ref="J2900">IFERROR(INDEX('Retirement Calculator'!K:K,MATCH('Lorri 401b'!N2900,'Retirement Calculator'!A:A,0),0),0)</f>
        <v>0</v>
      </c>
      <c r="K2900" s="444">
        <f t="shared" ca="1" si="138"/>
        <v>-236012174.47274074</v>
      </c>
      <c r="L2900" s="444">
        <f t="shared" ca="1" si="139"/>
        <v>-56878934047.930519</v>
      </c>
      <c r="M2900" s="460">
        <f t="shared" si="141"/>
        <v>0.05</v>
      </c>
      <c r="N2900" s="464">
        <f t="shared" si="142"/>
        <v>139311</v>
      </c>
    </row>
    <row r="2901" spans="7:14" ht="11.25" customHeight="1" x14ac:dyDescent="0.3">
      <c r="G2901" s="459"/>
      <c r="H2901" s="459">
        <v>2894</v>
      </c>
      <c r="I2901" s="444">
        <f t="shared" ca="1" si="140"/>
        <v>-56878934047.930519</v>
      </c>
      <c r="J2901" s="444">
        <f t="array" ref="J2901">IFERROR(INDEX('Retirement Calculator'!K:K,MATCH('Lorri 401b'!N2901,'Retirement Calculator'!A:A,0),0),0)</f>
        <v>0</v>
      </c>
      <c r="K2901" s="444">
        <f t="shared" ca="1" si="138"/>
        <v>-236995558.53304383</v>
      </c>
      <c r="L2901" s="444">
        <f t="shared" ca="1" si="139"/>
        <v>-57115929606.463562</v>
      </c>
      <c r="M2901" s="460">
        <f t="shared" si="141"/>
        <v>0.05</v>
      </c>
      <c r="N2901" s="464">
        <f t="shared" si="142"/>
        <v>139341</v>
      </c>
    </row>
    <row r="2902" spans="7:14" ht="11.25" customHeight="1" x14ac:dyDescent="0.3">
      <c r="G2902" s="459"/>
      <c r="H2902" s="459">
        <v>2895</v>
      </c>
      <c r="I2902" s="444">
        <f t="shared" ca="1" si="140"/>
        <v>-57115929606.463562</v>
      </c>
      <c r="J2902" s="444">
        <f t="array" ref="J2902">IFERROR(INDEX('Retirement Calculator'!K:K,MATCH('Lorri 401b'!N2902,'Retirement Calculator'!A:A,0),0),0)</f>
        <v>0</v>
      </c>
      <c r="K2902" s="444">
        <f t="shared" ca="1" si="138"/>
        <v>-237983040.02693149</v>
      </c>
      <c r="L2902" s="444">
        <f t="shared" ca="1" si="139"/>
        <v>-57353912646.490494</v>
      </c>
      <c r="M2902" s="460">
        <f t="shared" si="141"/>
        <v>0.05</v>
      </c>
      <c r="N2902" s="464">
        <f t="shared" si="142"/>
        <v>139372</v>
      </c>
    </row>
    <row r="2903" spans="7:14" ht="11.25" customHeight="1" x14ac:dyDescent="0.3">
      <c r="G2903" s="459"/>
      <c r="H2903" s="459">
        <v>2896</v>
      </c>
      <c r="I2903" s="444">
        <f t="shared" ca="1" si="140"/>
        <v>-57353912646.490494</v>
      </c>
      <c r="J2903" s="444">
        <f t="array" ref="J2903">IFERROR(INDEX('Retirement Calculator'!K:K,MATCH('Lorri 401b'!N2903,'Retirement Calculator'!A:A,0),0),0)</f>
        <v>0</v>
      </c>
      <c r="K2903" s="444">
        <f t="shared" ca="1" si="138"/>
        <v>-238974636.02704373</v>
      </c>
      <c r="L2903" s="444">
        <f t="shared" ca="1" si="139"/>
        <v>-57592887282.51754</v>
      </c>
      <c r="M2903" s="460">
        <f t="shared" si="141"/>
        <v>0.05</v>
      </c>
      <c r="N2903" s="464">
        <f t="shared" si="142"/>
        <v>139403</v>
      </c>
    </row>
    <row r="2904" spans="7:14" ht="11.25" customHeight="1" x14ac:dyDescent="0.3">
      <c r="G2904" s="459"/>
      <c r="H2904" s="459">
        <v>2897</v>
      </c>
      <c r="I2904" s="444">
        <f t="shared" ca="1" si="140"/>
        <v>-57592887282.51754</v>
      </c>
      <c r="J2904" s="444">
        <f t="array" ref="J2904">IFERROR(INDEX('Retirement Calculator'!K:K,MATCH('Lorri 401b'!N2904,'Retirement Calculator'!A:A,0),0),0)</f>
        <v>0</v>
      </c>
      <c r="K2904" s="444">
        <f t="shared" ca="1" si="138"/>
        <v>-239970363.67715645</v>
      </c>
      <c r="L2904" s="444">
        <f t="shared" ca="1" si="139"/>
        <v>-57832857646.194695</v>
      </c>
      <c r="M2904" s="460">
        <f t="shared" si="141"/>
        <v>0.05</v>
      </c>
      <c r="N2904" s="464">
        <f t="shared" si="142"/>
        <v>139433</v>
      </c>
    </row>
    <row r="2905" spans="7:14" ht="11.25" customHeight="1" x14ac:dyDescent="0.3">
      <c r="G2905" s="459"/>
      <c r="H2905" s="459">
        <v>2898</v>
      </c>
      <c r="I2905" s="444">
        <f t="shared" ca="1" si="140"/>
        <v>-57832857646.194695</v>
      </c>
      <c r="J2905" s="444">
        <f t="array" ref="J2905">IFERROR(INDEX('Retirement Calculator'!K:K,MATCH('Lorri 401b'!N2905,'Retirement Calculator'!A:A,0),0),0)</f>
        <v>0</v>
      </c>
      <c r="K2905" s="444">
        <f t="shared" ca="1" si="138"/>
        <v>-240970240.19247791</v>
      </c>
      <c r="L2905" s="444">
        <f t="shared" ca="1" si="139"/>
        <v>-58073827886.387169</v>
      </c>
      <c r="M2905" s="460">
        <f t="shared" si="141"/>
        <v>0.05</v>
      </c>
      <c r="N2905" s="464">
        <f t="shared" si="142"/>
        <v>139464</v>
      </c>
    </row>
    <row r="2906" spans="7:14" ht="11.25" customHeight="1" x14ac:dyDescent="0.3">
      <c r="G2906" s="459"/>
      <c r="H2906" s="459">
        <v>2899</v>
      </c>
      <c r="I2906" s="444">
        <f t="shared" ca="1" si="140"/>
        <v>-58073827886.387169</v>
      </c>
      <c r="J2906" s="444">
        <f t="array" ref="J2906">IFERROR(INDEX('Retirement Calculator'!K:K,MATCH('Lorri 401b'!N2906,'Retirement Calculator'!A:A,0),0),0)</f>
        <v>0</v>
      </c>
      <c r="K2906" s="444">
        <f t="shared" ca="1" si="138"/>
        <v>-241974282.85994652</v>
      </c>
      <c r="L2906" s="444">
        <f t="shared" ca="1" si="139"/>
        <v>-58315802169.247116</v>
      </c>
      <c r="M2906" s="460">
        <f t="shared" si="141"/>
        <v>0.05</v>
      </c>
      <c r="N2906" s="464">
        <f t="shared" si="142"/>
        <v>139494</v>
      </c>
    </row>
    <row r="2907" spans="7:14" ht="11.25" customHeight="1" x14ac:dyDescent="0.3">
      <c r="G2907" s="459"/>
      <c r="H2907" s="459">
        <v>2900</v>
      </c>
      <c r="I2907" s="444">
        <f t="shared" ca="1" si="140"/>
        <v>-58315802169.247116</v>
      </c>
      <c r="J2907" s="444">
        <f t="array" ref="J2907">IFERROR(INDEX('Retirement Calculator'!K:K,MATCH('Lorri 401b'!N2907,'Retirement Calculator'!A:A,0),0),0)</f>
        <v>0</v>
      </c>
      <c r="K2907" s="444">
        <f t="shared" ca="1" si="138"/>
        <v>-242982509.03852963</v>
      </c>
      <c r="L2907" s="444">
        <f t="shared" ca="1" si="139"/>
        <v>-58558784678.285645</v>
      </c>
      <c r="M2907" s="460">
        <f t="shared" si="141"/>
        <v>0.05</v>
      </c>
      <c r="N2907" s="464">
        <f t="shared" si="142"/>
        <v>139525</v>
      </c>
    </row>
    <row r="2908" spans="7:14" ht="11.25" customHeight="1" x14ac:dyDescent="0.3">
      <c r="G2908" s="459"/>
      <c r="H2908" s="459">
        <v>2901</v>
      </c>
      <c r="I2908" s="444">
        <f t="shared" ca="1" si="140"/>
        <v>-58558784678.285645</v>
      </c>
      <c r="J2908" s="444">
        <f t="array" ref="J2908">IFERROR(INDEX('Retirement Calculator'!K:K,MATCH('Lorri 401b'!N2908,'Retirement Calculator'!A:A,0),0),0)</f>
        <v>0</v>
      </c>
      <c r="K2908" s="444">
        <f t="shared" ca="1" si="138"/>
        <v>-243994936.15952355</v>
      </c>
      <c r="L2908" s="444">
        <f t="shared" ca="1" si="139"/>
        <v>-58802779614.445168</v>
      </c>
      <c r="M2908" s="460">
        <f t="shared" si="141"/>
        <v>0.05</v>
      </c>
      <c r="N2908" s="464">
        <f t="shared" si="142"/>
        <v>139556</v>
      </c>
    </row>
    <row r="2909" spans="7:14" ht="11.25" customHeight="1" x14ac:dyDescent="0.3">
      <c r="G2909" s="459"/>
      <c r="H2909" s="459">
        <v>2902</v>
      </c>
      <c r="I2909" s="444">
        <f t="shared" ca="1" si="140"/>
        <v>-58802779614.445168</v>
      </c>
      <c r="J2909" s="444">
        <f t="array" ref="J2909">IFERROR(INDEX('Retirement Calculator'!K:K,MATCH('Lorri 401b'!N2909,'Retirement Calculator'!A:A,0),0),0)</f>
        <v>0</v>
      </c>
      <c r="K2909" s="444">
        <f t="shared" ca="1" si="138"/>
        <v>-245011581.72685483</v>
      </c>
      <c r="L2909" s="444">
        <f t="shared" ca="1" si="139"/>
        <v>-59047791196.17202</v>
      </c>
      <c r="M2909" s="460">
        <f t="shared" si="141"/>
        <v>0.05</v>
      </c>
      <c r="N2909" s="464">
        <f t="shared" si="142"/>
        <v>139584</v>
      </c>
    </row>
    <row r="2910" spans="7:14" ht="11.25" customHeight="1" x14ac:dyDescent="0.3">
      <c r="G2910" s="459"/>
      <c r="H2910" s="459">
        <v>2903</v>
      </c>
      <c r="I2910" s="444">
        <f t="shared" ca="1" si="140"/>
        <v>-59047791196.17202</v>
      </c>
      <c r="J2910" s="444">
        <f t="array" ref="J2910">IFERROR(INDEX('Retirement Calculator'!K:K,MATCH('Lorri 401b'!N2910,'Retirement Calculator'!A:A,0),0),0)</f>
        <v>0</v>
      </c>
      <c r="K2910" s="444">
        <f t="shared" ca="1" si="138"/>
        <v>-246032463.31738341</v>
      </c>
      <c r="L2910" s="444">
        <f t="shared" ca="1" si="139"/>
        <v>-59293823659.489403</v>
      </c>
      <c r="M2910" s="460">
        <f t="shared" si="141"/>
        <v>0.05</v>
      </c>
      <c r="N2910" s="464">
        <f t="shared" si="142"/>
        <v>139615</v>
      </c>
    </row>
    <row r="2911" spans="7:14" ht="11.25" customHeight="1" x14ac:dyDescent="0.3">
      <c r="G2911" s="459"/>
      <c r="H2911" s="459">
        <v>2904</v>
      </c>
      <c r="I2911" s="444">
        <f t="shared" ca="1" si="140"/>
        <v>-59293823659.489403</v>
      </c>
      <c r="J2911" s="444">
        <f t="array" ref="J2911">IFERROR(INDEX('Retirement Calculator'!K:K,MATCH('Lorri 401b'!N2911,'Retirement Calculator'!A:A,0),0),0)</f>
        <v>0</v>
      </c>
      <c r="K2911" s="444">
        <f t="shared" ca="1" si="138"/>
        <v>-247057598.58120584</v>
      </c>
      <c r="L2911" s="444">
        <f t="shared" ca="1" si="139"/>
        <v>-59540881258.07061</v>
      </c>
      <c r="M2911" s="460">
        <f t="shared" si="141"/>
        <v>0.05</v>
      </c>
      <c r="N2911" s="464">
        <f t="shared" si="142"/>
        <v>139645</v>
      </c>
    </row>
    <row r="2912" spans="7:14" ht="11.25" customHeight="1" x14ac:dyDescent="0.3">
      <c r="G2912" s="459"/>
      <c r="H2912" s="459">
        <v>2905</v>
      </c>
      <c r="I2912" s="444">
        <f t="shared" ca="1" si="140"/>
        <v>-59540881258.07061</v>
      </c>
      <c r="J2912" s="444">
        <f t="array" ref="J2912">IFERROR(INDEX('Retirement Calculator'!K:K,MATCH('Lorri 401b'!N2912,'Retirement Calculator'!A:A,0),0),0)</f>
        <v>0</v>
      </c>
      <c r="K2912" s="444">
        <f t="shared" ca="1" si="138"/>
        <v>-248087005.24196088</v>
      </c>
      <c r="L2912" s="444">
        <f t="shared" ca="1" si="139"/>
        <v>-59788968263.312569</v>
      </c>
      <c r="M2912" s="460">
        <f t="shared" si="141"/>
        <v>0.05</v>
      </c>
      <c r="N2912" s="464">
        <f t="shared" si="142"/>
        <v>139676</v>
      </c>
    </row>
    <row r="2913" spans="7:14" ht="11.25" customHeight="1" x14ac:dyDescent="0.3">
      <c r="G2913" s="459"/>
      <c r="H2913" s="459">
        <v>2906</v>
      </c>
      <c r="I2913" s="444">
        <f t="shared" ca="1" si="140"/>
        <v>-59788968263.312569</v>
      </c>
      <c r="J2913" s="444">
        <f t="array" ref="J2913">IFERROR(INDEX('Retirement Calculator'!K:K,MATCH('Lorri 401b'!N2913,'Retirement Calculator'!A:A,0),0),0)</f>
        <v>0</v>
      </c>
      <c r="K2913" s="444">
        <f t="shared" ca="1" si="138"/>
        <v>-249120701.09713569</v>
      </c>
      <c r="L2913" s="444">
        <f t="shared" ca="1" si="139"/>
        <v>-60038088964.409706</v>
      </c>
      <c r="M2913" s="460">
        <f t="shared" si="141"/>
        <v>0.05</v>
      </c>
      <c r="N2913" s="464">
        <f t="shared" si="142"/>
        <v>139706</v>
      </c>
    </row>
    <row r="2914" spans="7:14" ht="11.25" customHeight="1" x14ac:dyDescent="0.3">
      <c r="G2914" s="459"/>
      <c r="H2914" s="459">
        <v>2907</v>
      </c>
      <c r="I2914" s="444">
        <f t="shared" ca="1" si="140"/>
        <v>-60038088964.409706</v>
      </c>
      <c r="J2914" s="444">
        <f t="array" ref="J2914">IFERROR(INDEX('Retirement Calculator'!K:K,MATCH('Lorri 401b'!N2914,'Retirement Calculator'!A:A,0),0),0)</f>
        <v>0</v>
      </c>
      <c r="K2914" s="444">
        <f t="shared" ca="1" si="138"/>
        <v>-250158704.01837373</v>
      </c>
      <c r="L2914" s="444">
        <f t="shared" ca="1" si="139"/>
        <v>-60288247668.428078</v>
      </c>
      <c r="M2914" s="460">
        <f t="shared" si="141"/>
        <v>0.05</v>
      </c>
      <c r="N2914" s="464">
        <f t="shared" si="142"/>
        <v>139737</v>
      </c>
    </row>
    <row r="2915" spans="7:14" ht="11.25" customHeight="1" x14ac:dyDescent="0.3">
      <c r="G2915" s="459"/>
      <c r="H2915" s="459">
        <v>2908</v>
      </c>
      <c r="I2915" s="444">
        <f t="shared" ca="1" si="140"/>
        <v>-60288247668.428078</v>
      </c>
      <c r="J2915" s="444">
        <f t="array" ref="J2915">IFERROR(INDEX('Retirement Calculator'!K:K,MATCH('Lorri 401b'!N2915,'Retirement Calculator'!A:A,0),0),0)</f>
        <v>0</v>
      </c>
      <c r="K2915" s="444">
        <f t="shared" ca="1" si="138"/>
        <v>-251201031.95178363</v>
      </c>
      <c r="L2915" s="444">
        <f t="shared" ca="1" si="139"/>
        <v>-60539448700.37986</v>
      </c>
      <c r="M2915" s="460">
        <f t="shared" si="141"/>
        <v>0.05</v>
      </c>
      <c r="N2915" s="464">
        <f t="shared" si="142"/>
        <v>139768</v>
      </c>
    </row>
    <row r="2916" spans="7:14" ht="11.25" customHeight="1" x14ac:dyDescent="0.3">
      <c r="G2916" s="459"/>
      <c r="H2916" s="459">
        <v>2909</v>
      </c>
      <c r="I2916" s="444">
        <f t="shared" ca="1" si="140"/>
        <v>-60539448700.37986</v>
      </c>
      <c r="J2916" s="444">
        <f t="array" ref="J2916">IFERROR(INDEX('Retirement Calculator'!K:K,MATCH('Lorri 401b'!N2916,'Retirement Calculator'!A:A,0),0),0)</f>
        <v>0</v>
      </c>
      <c r="K2916" s="444">
        <f t="shared" ca="1" si="138"/>
        <v>-252247702.91824946</v>
      </c>
      <c r="L2916" s="444">
        <f t="shared" ca="1" si="139"/>
        <v>-60791696403.298111</v>
      </c>
      <c r="M2916" s="460">
        <f t="shared" si="141"/>
        <v>0.05</v>
      </c>
      <c r="N2916" s="464">
        <f t="shared" si="142"/>
        <v>139798</v>
      </c>
    </row>
    <row r="2917" spans="7:14" ht="11.25" customHeight="1" x14ac:dyDescent="0.3">
      <c r="G2917" s="459"/>
      <c r="H2917" s="459">
        <v>2910</v>
      </c>
      <c r="I2917" s="444">
        <f t="shared" ca="1" si="140"/>
        <v>-60791696403.298111</v>
      </c>
      <c r="J2917" s="444">
        <f t="array" ref="J2917">IFERROR(INDEX('Retirement Calculator'!K:K,MATCH('Lorri 401b'!N2917,'Retirement Calculator'!A:A,0),0),0)</f>
        <v>0</v>
      </c>
      <c r="K2917" s="444">
        <f t="shared" ca="1" si="138"/>
        <v>-253298735.01374212</v>
      </c>
      <c r="L2917" s="444">
        <f t="shared" ca="1" si="139"/>
        <v>-61044995138.311852</v>
      </c>
      <c r="M2917" s="460">
        <f t="shared" si="141"/>
        <v>0.05</v>
      </c>
      <c r="N2917" s="464">
        <f t="shared" si="142"/>
        <v>139829</v>
      </c>
    </row>
    <row r="2918" spans="7:14" ht="11.25" customHeight="1" x14ac:dyDescent="0.3">
      <c r="G2918" s="459"/>
      <c r="H2918" s="459">
        <v>2911</v>
      </c>
      <c r="I2918" s="444">
        <f t="shared" ca="1" si="140"/>
        <v>-61044995138.311852</v>
      </c>
      <c r="J2918" s="444">
        <f t="array" ref="J2918">IFERROR(INDEX('Retirement Calculator'!K:K,MATCH('Lorri 401b'!N2918,'Retirement Calculator'!A:A,0),0),0)</f>
        <v>0</v>
      </c>
      <c r="K2918" s="444">
        <f t="shared" ca="1" si="138"/>
        <v>-254354146.40963271</v>
      </c>
      <c r="L2918" s="444">
        <f t="shared" ca="1" si="139"/>
        <v>-61299349284.721481</v>
      </c>
      <c r="M2918" s="460">
        <f t="shared" si="141"/>
        <v>0.05</v>
      </c>
      <c r="N2918" s="464">
        <f t="shared" si="142"/>
        <v>139859</v>
      </c>
    </row>
    <row r="2919" spans="7:14" ht="11.25" customHeight="1" x14ac:dyDescent="0.3">
      <c r="G2919" s="459"/>
      <c r="H2919" s="459">
        <v>2912</v>
      </c>
      <c r="I2919" s="444">
        <f t="shared" ca="1" si="140"/>
        <v>-61299349284.721481</v>
      </c>
      <c r="J2919" s="444">
        <f t="array" ref="J2919">IFERROR(INDEX('Retirement Calculator'!K:K,MATCH('Lorri 401b'!N2919,'Retirement Calculator'!A:A,0),0),0)</f>
        <v>0</v>
      </c>
      <c r="K2919" s="444">
        <f t="shared" ca="1" si="138"/>
        <v>-255413955.35300615</v>
      </c>
      <c r="L2919" s="444">
        <f t="shared" ca="1" si="139"/>
        <v>-61554763240.074486</v>
      </c>
      <c r="M2919" s="460">
        <f t="shared" si="141"/>
        <v>0.05</v>
      </c>
      <c r="N2919" s="464">
        <f t="shared" si="142"/>
        <v>139890</v>
      </c>
    </row>
    <row r="2920" spans="7:14" ht="11.25" customHeight="1" x14ac:dyDescent="0.3">
      <c r="G2920" s="459"/>
      <c r="H2920" s="459">
        <v>2913</v>
      </c>
      <c r="I2920" s="444">
        <f t="shared" ca="1" si="140"/>
        <v>-61554763240.074486</v>
      </c>
      <c r="J2920" s="444">
        <f t="array" ref="J2920">IFERROR(INDEX('Retirement Calculator'!K:K,MATCH('Lorri 401b'!N2920,'Retirement Calculator'!A:A,0),0),0)</f>
        <v>0</v>
      </c>
      <c r="K2920" s="444">
        <f t="shared" ca="1" si="138"/>
        <v>-256478180.16697702</v>
      </c>
      <c r="L2920" s="444">
        <f t="shared" ca="1" si="139"/>
        <v>-61811241420.241463</v>
      </c>
      <c r="M2920" s="460">
        <f t="shared" si="141"/>
        <v>0.05</v>
      </c>
      <c r="N2920" s="464">
        <f t="shared" si="142"/>
        <v>139921</v>
      </c>
    </row>
    <row r="2921" spans="7:14" ht="11.25" customHeight="1" x14ac:dyDescent="0.3">
      <c r="G2921" s="459"/>
      <c r="H2921" s="459">
        <v>2914</v>
      </c>
      <c r="I2921" s="444">
        <f t="shared" ca="1" si="140"/>
        <v>-61811241420.241463</v>
      </c>
      <c r="J2921" s="444">
        <f t="array" ref="J2921">IFERROR(INDEX('Retirement Calculator'!K:K,MATCH('Lorri 401b'!N2921,'Retirement Calculator'!A:A,0),0),0)</f>
        <v>0</v>
      </c>
      <c r="K2921" s="444">
        <f t="shared" ca="1" si="138"/>
        <v>-257546839.25100613</v>
      </c>
      <c r="L2921" s="444">
        <f t="shared" ca="1" si="139"/>
        <v>-62068788259.49247</v>
      </c>
      <c r="M2921" s="460">
        <f t="shared" si="141"/>
        <v>0.05</v>
      </c>
      <c r="N2921" s="464">
        <f t="shared" si="142"/>
        <v>139949</v>
      </c>
    </row>
    <row r="2922" spans="7:14" ht="11.25" customHeight="1" x14ac:dyDescent="0.3">
      <c r="G2922" s="459"/>
      <c r="H2922" s="459">
        <v>2915</v>
      </c>
      <c r="I2922" s="444">
        <f t="shared" ca="1" si="140"/>
        <v>-62068788259.49247</v>
      </c>
      <c r="J2922" s="444">
        <f t="array" ref="J2922">IFERROR(INDEX('Retirement Calculator'!K:K,MATCH('Lorri 401b'!N2922,'Retirement Calculator'!A:A,0),0),0)</f>
        <v>0</v>
      </c>
      <c r="K2922" s="444">
        <f t="shared" ca="1" si="138"/>
        <v>-258619951.08121863</v>
      </c>
      <c r="L2922" s="444">
        <f t="shared" ca="1" si="139"/>
        <v>-62327408210.573685</v>
      </c>
      <c r="M2922" s="460">
        <f t="shared" si="141"/>
        <v>0.05</v>
      </c>
      <c r="N2922" s="464">
        <f t="shared" si="142"/>
        <v>139980</v>
      </c>
    </row>
    <row r="2923" spans="7:14" ht="11.25" customHeight="1" x14ac:dyDescent="0.3">
      <c r="G2923" s="459"/>
      <c r="H2923" s="459">
        <v>2916</v>
      </c>
      <c r="I2923" s="444">
        <f t="shared" ca="1" si="140"/>
        <v>-62327408210.573685</v>
      </c>
      <c r="J2923" s="444">
        <f t="array" ref="J2923">IFERROR(INDEX('Retirement Calculator'!K:K,MATCH('Lorri 401b'!N2923,'Retirement Calculator'!A:A,0),0),0)</f>
        <v>0</v>
      </c>
      <c r="K2923" s="444">
        <f t="shared" ca="1" si="138"/>
        <v>-259697534.21072367</v>
      </c>
      <c r="L2923" s="444">
        <f t="shared" ca="1" si="139"/>
        <v>-62587105744.784409</v>
      </c>
      <c r="M2923" s="460">
        <f t="shared" si="141"/>
        <v>0.05</v>
      </c>
      <c r="N2923" s="464">
        <f t="shared" si="142"/>
        <v>140010</v>
      </c>
    </row>
    <row r="2924" spans="7:14" ht="11.25" customHeight="1" x14ac:dyDescent="0.3">
      <c r="G2924" s="459"/>
      <c r="H2924" s="459">
        <v>2917</v>
      </c>
      <c r="I2924" s="444">
        <f t="shared" ca="1" si="140"/>
        <v>-62587105744.784409</v>
      </c>
      <c r="J2924" s="444">
        <f t="array" ref="J2924">IFERROR(INDEX('Retirement Calculator'!K:K,MATCH('Lorri 401b'!N2924,'Retirement Calculator'!A:A,0),0),0)</f>
        <v>0</v>
      </c>
      <c r="K2924" s="444">
        <f t="shared" ca="1" si="138"/>
        <v>-260779607.26993504</v>
      </c>
      <c r="L2924" s="444">
        <f t="shared" ca="1" si="139"/>
        <v>-62847885352.054344</v>
      </c>
      <c r="M2924" s="460">
        <f t="shared" si="141"/>
        <v>0.05</v>
      </c>
      <c r="N2924" s="464">
        <f t="shared" si="142"/>
        <v>140041</v>
      </c>
    </row>
    <row r="2925" spans="7:14" ht="11.25" customHeight="1" x14ac:dyDescent="0.3">
      <c r="G2925" s="459"/>
      <c r="H2925" s="459">
        <v>2918</v>
      </c>
      <c r="I2925" s="444">
        <f t="shared" ca="1" si="140"/>
        <v>-62847885352.054344</v>
      </c>
      <c r="J2925" s="444">
        <f t="array" ref="J2925">IFERROR(INDEX('Retirement Calculator'!K:K,MATCH('Lorri 401b'!N2925,'Retirement Calculator'!A:A,0),0),0)</f>
        <v>0</v>
      </c>
      <c r="K2925" s="444">
        <f t="shared" ca="1" si="138"/>
        <v>-261866188.96689311</v>
      </c>
      <c r="L2925" s="444">
        <f t="shared" ca="1" si="139"/>
        <v>-63109751541.02124</v>
      </c>
      <c r="M2925" s="460">
        <f t="shared" si="141"/>
        <v>0.05</v>
      </c>
      <c r="N2925" s="464">
        <f t="shared" si="142"/>
        <v>140071</v>
      </c>
    </row>
    <row r="2926" spans="7:14" ht="11.25" customHeight="1" x14ac:dyDescent="0.3">
      <c r="G2926" s="459"/>
      <c r="H2926" s="459">
        <v>2919</v>
      </c>
      <c r="I2926" s="444">
        <f t="shared" ca="1" si="140"/>
        <v>-63109751541.02124</v>
      </c>
      <c r="J2926" s="444">
        <f t="array" ref="J2926">IFERROR(INDEX('Retirement Calculator'!K:K,MATCH('Lorri 401b'!N2926,'Retirement Calculator'!A:A,0),0),0)</f>
        <v>0</v>
      </c>
      <c r="K2926" s="444">
        <f t="shared" ca="1" si="138"/>
        <v>-262957298.08758849</v>
      </c>
      <c r="L2926" s="444">
        <f t="shared" ca="1" si="139"/>
        <v>-63372708839.108826</v>
      </c>
      <c r="M2926" s="460">
        <f t="shared" si="141"/>
        <v>0.05</v>
      </c>
      <c r="N2926" s="464">
        <f t="shared" si="142"/>
        <v>140102</v>
      </c>
    </row>
    <row r="2927" spans="7:14" ht="11.25" customHeight="1" x14ac:dyDescent="0.3">
      <c r="G2927" s="459"/>
      <c r="H2927" s="459">
        <v>2920</v>
      </c>
      <c r="I2927" s="444">
        <f t="shared" ca="1" si="140"/>
        <v>-63372708839.108826</v>
      </c>
      <c r="J2927" s="444">
        <f t="array" ref="J2927">IFERROR(INDEX('Retirement Calculator'!K:K,MATCH('Lorri 401b'!N2927,'Retirement Calculator'!A:A,0),0),0)</f>
        <v>0</v>
      </c>
      <c r="K2927" s="444">
        <f t="shared" ca="1" si="138"/>
        <v>-264052953.49628681</v>
      </c>
      <c r="L2927" s="444">
        <f t="shared" ca="1" si="139"/>
        <v>-63636761792.60511</v>
      </c>
      <c r="M2927" s="460">
        <f t="shared" si="141"/>
        <v>0.05</v>
      </c>
      <c r="N2927" s="464">
        <f t="shared" si="142"/>
        <v>140133</v>
      </c>
    </row>
    <row r="2928" spans="7:14" ht="11.25" customHeight="1" x14ac:dyDescent="0.3">
      <c r="G2928" s="459"/>
      <c r="H2928" s="459">
        <v>2921</v>
      </c>
      <c r="I2928" s="444">
        <f t="shared" ca="1" si="140"/>
        <v>-63636761792.60511</v>
      </c>
      <c r="J2928" s="444">
        <f t="array" ref="J2928">IFERROR(INDEX('Retirement Calculator'!K:K,MATCH('Lorri 401b'!N2928,'Retirement Calculator'!A:A,0),0),0)</f>
        <v>0</v>
      </c>
      <c r="K2928" s="444">
        <f t="shared" ca="1" si="138"/>
        <v>-265153174.1358546</v>
      </c>
      <c r="L2928" s="444">
        <f t="shared" ca="1" si="139"/>
        <v>-63901914966.740967</v>
      </c>
      <c r="M2928" s="460">
        <f t="shared" si="141"/>
        <v>0.05</v>
      </c>
      <c r="N2928" s="464">
        <f t="shared" si="142"/>
        <v>140163</v>
      </c>
    </row>
    <row r="2929" spans="7:14" ht="11.25" customHeight="1" x14ac:dyDescent="0.3">
      <c r="G2929" s="459"/>
      <c r="H2929" s="459">
        <v>2922</v>
      </c>
      <c r="I2929" s="444">
        <f t="shared" ca="1" si="140"/>
        <v>-63901914966.740967</v>
      </c>
      <c r="J2929" s="444">
        <f t="array" ref="J2929">IFERROR(INDEX('Retirement Calculator'!K:K,MATCH('Lorri 401b'!N2929,'Retirement Calculator'!A:A,0),0),0)</f>
        <v>0</v>
      </c>
      <c r="K2929" s="444">
        <f t="shared" ca="1" si="138"/>
        <v>-266257979.02808735</v>
      </c>
      <c r="L2929" s="444">
        <f t="shared" ca="1" si="139"/>
        <v>-64168172945.769051</v>
      </c>
      <c r="M2929" s="460">
        <f t="shared" si="141"/>
        <v>0.05</v>
      </c>
      <c r="N2929" s="464">
        <f t="shared" si="142"/>
        <v>140194</v>
      </c>
    </row>
    <row r="2930" spans="7:14" ht="11.25" customHeight="1" x14ac:dyDescent="0.3">
      <c r="G2930" s="459"/>
      <c r="H2930" s="459">
        <v>2923</v>
      </c>
      <c r="I2930" s="444">
        <f t="shared" ca="1" si="140"/>
        <v>-64168172945.769051</v>
      </c>
      <c r="J2930" s="444">
        <f t="array" ref="J2930">IFERROR(INDEX('Retirement Calculator'!K:K,MATCH('Lorri 401b'!N2930,'Retirement Calculator'!A:A,0),0),0)</f>
        <v>0</v>
      </c>
      <c r="K2930" s="444">
        <f t="shared" ca="1" si="138"/>
        <v>-267367387.27403772</v>
      </c>
      <c r="L2930" s="444">
        <f t="shared" ca="1" si="139"/>
        <v>-64435540333.043091</v>
      </c>
      <c r="M2930" s="460">
        <f t="shared" si="141"/>
        <v>0.05</v>
      </c>
      <c r="N2930" s="464">
        <f t="shared" si="142"/>
        <v>140224</v>
      </c>
    </row>
    <row r="2931" spans="7:14" ht="11.25" customHeight="1" x14ac:dyDescent="0.3">
      <c r="G2931" s="459"/>
      <c r="H2931" s="459">
        <v>2924</v>
      </c>
      <c r="I2931" s="444">
        <f t="shared" ca="1" si="140"/>
        <v>-64435540333.043091</v>
      </c>
      <c r="J2931" s="444">
        <f t="array" ref="J2931">IFERROR(INDEX('Retirement Calculator'!K:K,MATCH('Lorri 401b'!N2931,'Retirement Calculator'!A:A,0),0),0)</f>
        <v>0</v>
      </c>
      <c r="K2931" s="444">
        <f t="shared" ca="1" si="138"/>
        <v>-268481418.0543462</v>
      </c>
      <c r="L2931" s="444">
        <f t="shared" ca="1" si="139"/>
        <v>-64704021751.097435</v>
      </c>
      <c r="M2931" s="460">
        <f t="shared" si="141"/>
        <v>0.05</v>
      </c>
      <c r="N2931" s="464">
        <f t="shared" si="142"/>
        <v>140255</v>
      </c>
    </row>
    <row r="2932" spans="7:14" ht="11.25" customHeight="1" x14ac:dyDescent="0.3">
      <c r="G2932" s="459"/>
      <c r="H2932" s="459">
        <v>2925</v>
      </c>
      <c r="I2932" s="444">
        <f t="shared" ca="1" si="140"/>
        <v>-64704021751.097435</v>
      </c>
      <c r="J2932" s="444">
        <f t="array" ref="J2932">IFERROR(INDEX('Retirement Calculator'!K:K,MATCH('Lorri 401b'!N2932,'Retirement Calculator'!A:A,0),0),0)</f>
        <v>0</v>
      </c>
      <c r="K2932" s="444">
        <f t="shared" ca="1" si="138"/>
        <v>-269600090.62957263</v>
      </c>
      <c r="L2932" s="444">
        <f t="shared" ca="1" si="139"/>
        <v>-64973621841.727005</v>
      </c>
      <c r="M2932" s="460">
        <f t="shared" si="141"/>
        <v>0.05</v>
      </c>
      <c r="N2932" s="464">
        <f t="shared" si="142"/>
        <v>140286</v>
      </c>
    </row>
    <row r="2933" spans="7:14" ht="11.25" customHeight="1" x14ac:dyDescent="0.3">
      <c r="G2933" s="459"/>
      <c r="H2933" s="459">
        <v>2926</v>
      </c>
      <c r="I2933" s="444">
        <f t="shared" ca="1" si="140"/>
        <v>-64973621841.727005</v>
      </c>
      <c r="J2933" s="444">
        <f t="array" ref="J2933">IFERROR(INDEX('Retirement Calculator'!K:K,MATCH('Lorri 401b'!N2933,'Retirement Calculator'!A:A,0),0),0)</f>
        <v>0</v>
      </c>
      <c r="K2933" s="444">
        <f t="shared" ca="1" si="138"/>
        <v>-270723424.3405292</v>
      </c>
      <c r="L2933" s="444">
        <f t="shared" ca="1" si="139"/>
        <v>-65244345266.067535</v>
      </c>
      <c r="M2933" s="460">
        <f t="shared" si="141"/>
        <v>0.05</v>
      </c>
      <c r="N2933" s="464">
        <f t="shared" si="142"/>
        <v>140315</v>
      </c>
    </row>
    <row r="2934" spans="7:14" ht="11.25" customHeight="1" x14ac:dyDescent="0.3">
      <c r="G2934" s="459"/>
      <c r="H2934" s="459">
        <v>2927</v>
      </c>
      <c r="I2934" s="444">
        <f t="shared" ca="1" si="140"/>
        <v>-65244345266.067535</v>
      </c>
      <c r="J2934" s="444">
        <f t="array" ref="J2934">IFERROR(INDEX('Retirement Calculator'!K:K,MATCH('Lorri 401b'!N2934,'Retirement Calculator'!A:A,0),0),0)</f>
        <v>0</v>
      </c>
      <c r="K2934" s="444">
        <f t="shared" ca="1" si="138"/>
        <v>-271851438.60861474</v>
      </c>
      <c r="L2934" s="444">
        <f t="shared" ca="1" si="139"/>
        <v>-65516196704.676147</v>
      </c>
      <c r="M2934" s="460">
        <f t="shared" si="141"/>
        <v>0.05</v>
      </c>
      <c r="N2934" s="464">
        <f t="shared" si="142"/>
        <v>140346</v>
      </c>
    </row>
    <row r="2935" spans="7:14" ht="11.25" customHeight="1" x14ac:dyDescent="0.3">
      <c r="G2935" s="459"/>
      <c r="H2935" s="459">
        <v>2928</v>
      </c>
      <c r="I2935" s="444">
        <f t="shared" ca="1" si="140"/>
        <v>-65516196704.676147</v>
      </c>
      <c r="J2935" s="444">
        <f t="array" ref="J2935">IFERROR(INDEX('Retirement Calculator'!K:K,MATCH('Lorri 401b'!N2935,'Retirement Calculator'!A:A,0),0),0)</f>
        <v>0</v>
      </c>
      <c r="K2935" s="444">
        <f t="shared" ca="1" si="138"/>
        <v>-272984152.93615061</v>
      </c>
      <c r="L2935" s="444">
        <f t="shared" ca="1" si="139"/>
        <v>-65789180857.612297</v>
      </c>
      <c r="M2935" s="460">
        <f t="shared" si="141"/>
        <v>0.05</v>
      </c>
      <c r="N2935" s="464">
        <f t="shared" si="142"/>
        <v>140376</v>
      </c>
    </row>
    <row r="2936" spans="7:14" ht="11.25" customHeight="1" x14ac:dyDescent="0.3">
      <c r="G2936" s="459"/>
      <c r="H2936" s="459">
        <v>2929</v>
      </c>
      <c r="I2936" s="444">
        <f t="shared" ca="1" si="140"/>
        <v>-65789180857.612297</v>
      </c>
      <c r="J2936" s="444">
        <f t="array" ref="J2936">IFERROR(INDEX('Retirement Calculator'!K:K,MATCH('Lorri 401b'!N2936,'Retirement Calculator'!A:A,0),0),0)</f>
        <v>0</v>
      </c>
      <c r="K2936" s="444">
        <f t="shared" ca="1" si="138"/>
        <v>-274121586.9067179</v>
      </c>
      <c r="L2936" s="444">
        <f t="shared" ca="1" si="139"/>
        <v>-66063302444.519012</v>
      </c>
      <c r="M2936" s="460">
        <f t="shared" si="141"/>
        <v>0.05</v>
      </c>
      <c r="N2936" s="464">
        <f t="shared" si="142"/>
        <v>140407</v>
      </c>
    </row>
    <row r="2937" spans="7:14" ht="11.25" customHeight="1" x14ac:dyDescent="0.3">
      <c r="G2937" s="459"/>
      <c r="H2937" s="459">
        <v>2930</v>
      </c>
      <c r="I2937" s="444">
        <f t="shared" ca="1" si="140"/>
        <v>-66063302444.519012</v>
      </c>
      <c r="J2937" s="444">
        <f t="array" ref="J2937">IFERROR(INDEX('Retirement Calculator'!K:K,MATCH('Lorri 401b'!N2937,'Retirement Calculator'!A:A,0),0),0)</f>
        <v>0</v>
      </c>
      <c r="K2937" s="444">
        <f t="shared" ca="1" si="138"/>
        <v>-275263760.18549585</v>
      </c>
      <c r="L2937" s="444">
        <f t="shared" ca="1" si="139"/>
        <v>-66338566204.704506</v>
      </c>
      <c r="M2937" s="460">
        <f t="shared" si="141"/>
        <v>0.05</v>
      </c>
      <c r="N2937" s="464">
        <f t="shared" si="142"/>
        <v>140437</v>
      </c>
    </row>
    <row r="2938" spans="7:14" ht="11.25" customHeight="1" x14ac:dyDescent="0.3">
      <c r="G2938" s="459"/>
      <c r="H2938" s="459">
        <v>2931</v>
      </c>
      <c r="I2938" s="444">
        <f t="shared" ca="1" si="140"/>
        <v>-66338566204.704506</v>
      </c>
      <c r="J2938" s="444">
        <f t="array" ref="J2938">IFERROR(INDEX('Retirement Calculator'!K:K,MATCH('Lorri 401b'!N2938,'Retirement Calculator'!A:A,0),0),0)</f>
        <v>0</v>
      </c>
      <c r="K2938" s="444">
        <f t="shared" ca="1" si="138"/>
        <v>-276410692.51960212</v>
      </c>
      <c r="L2938" s="444">
        <f t="shared" ca="1" si="139"/>
        <v>-66614976897.224106</v>
      </c>
      <c r="M2938" s="460">
        <f t="shared" si="141"/>
        <v>0.05</v>
      </c>
      <c r="N2938" s="464">
        <f t="shared" si="142"/>
        <v>140468</v>
      </c>
    </row>
    <row r="2939" spans="7:14" ht="11.25" customHeight="1" x14ac:dyDescent="0.3">
      <c r="G2939" s="459"/>
      <c r="H2939" s="459">
        <v>2932</v>
      </c>
      <c r="I2939" s="444">
        <f t="shared" ca="1" si="140"/>
        <v>-66614976897.224106</v>
      </c>
      <c r="J2939" s="444">
        <f t="array" ref="J2939">IFERROR(INDEX('Retirement Calculator'!K:K,MATCH('Lorri 401b'!N2939,'Retirement Calculator'!A:A,0),0),0)</f>
        <v>0</v>
      </c>
      <c r="K2939" s="444">
        <f t="shared" ca="1" si="138"/>
        <v>-277562403.73843372</v>
      </c>
      <c r="L2939" s="444">
        <f t="shared" ca="1" si="139"/>
        <v>-66892539300.96254</v>
      </c>
      <c r="M2939" s="460">
        <f t="shared" si="141"/>
        <v>0.05</v>
      </c>
      <c r="N2939" s="464">
        <f t="shared" si="142"/>
        <v>140499</v>
      </c>
    </row>
    <row r="2940" spans="7:14" ht="11.25" customHeight="1" x14ac:dyDescent="0.3">
      <c r="G2940" s="459"/>
      <c r="H2940" s="459">
        <v>2933</v>
      </c>
      <c r="I2940" s="444">
        <f t="shared" ca="1" si="140"/>
        <v>-66892539300.96254</v>
      </c>
      <c r="J2940" s="444">
        <f t="array" ref="J2940">IFERROR(INDEX('Retirement Calculator'!K:K,MATCH('Lorri 401b'!N2940,'Retirement Calculator'!A:A,0),0),0)</f>
        <v>0</v>
      </c>
      <c r="K2940" s="444">
        <f t="shared" ca="1" si="138"/>
        <v>-278718913.75401056</v>
      </c>
      <c r="L2940" s="444">
        <f t="shared" ca="1" si="139"/>
        <v>-67171258214.716553</v>
      </c>
      <c r="M2940" s="460">
        <f t="shared" si="141"/>
        <v>0.05</v>
      </c>
      <c r="N2940" s="464">
        <f t="shared" si="142"/>
        <v>140529</v>
      </c>
    </row>
    <row r="2941" spans="7:14" ht="11.25" customHeight="1" x14ac:dyDescent="0.3">
      <c r="G2941" s="459"/>
      <c r="H2941" s="459">
        <v>2934</v>
      </c>
      <c r="I2941" s="444">
        <f t="shared" ca="1" si="140"/>
        <v>-67171258214.716553</v>
      </c>
      <c r="J2941" s="444">
        <f t="array" ref="J2941">IFERROR(INDEX('Retirement Calculator'!K:K,MATCH('Lorri 401b'!N2941,'Retirement Calculator'!A:A,0),0),0)</f>
        <v>0</v>
      </c>
      <c r="K2941" s="444">
        <f t="shared" ca="1" si="138"/>
        <v>-279880242.56131899</v>
      </c>
      <c r="L2941" s="444">
        <f t="shared" ca="1" si="139"/>
        <v>-67451138457.27787</v>
      </c>
      <c r="M2941" s="460">
        <f t="shared" si="141"/>
        <v>0.05</v>
      </c>
      <c r="N2941" s="464">
        <f t="shared" si="142"/>
        <v>140560</v>
      </c>
    </row>
    <row r="2942" spans="7:14" ht="11.25" customHeight="1" x14ac:dyDescent="0.3">
      <c r="G2942" s="459"/>
      <c r="H2942" s="459">
        <v>2935</v>
      </c>
      <c r="I2942" s="444">
        <f t="shared" ca="1" si="140"/>
        <v>-67451138457.27787</v>
      </c>
      <c r="J2942" s="444">
        <f t="array" ref="J2942">IFERROR(INDEX('Retirement Calculator'!K:K,MATCH('Lorri 401b'!N2942,'Retirement Calculator'!A:A,0),0),0)</f>
        <v>0</v>
      </c>
      <c r="K2942" s="444">
        <f t="shared" ca="1" si="138"/>
        <v>-281046410.23865777</v>
      </c>
      <c r="L2942" s="444">
        <f t="shared" ca="1" si="139"/>
        <v>-67732184867.516525</v>
      </c>
      <c r="M2942" s="460">
        <f t="shared" si="141"/>
        <v>0.05</v>
      </c>
      <c r="N2942" s="464">
        <f t="shared" si="142"/>
        <v>140590</v>
      </c>
    </row>
    <row r="2943" spans="7:14" ht="11.25" customHeight="1" x14ac:dyDescent="0.3">
      <c r="G2943" s="459"/>
      <c r="H2943" s="459">
        <v>2936</v>
      </c>
      <c r="I2943" s="444">
        <f t="shared" ca="1" si="140"/>
        <v>-67732184867.516525</v>
      </c>
      <c r="J2943" s="444">
        <f t="array" ref="J2943">IFERROR(INDEX('Retirement Calculator'!K:K,MATCH('Lorri 401b'!N2943,'Retirement Calculator'!A:A,0),0),0)</f>
        <v>0</v>
      </c>
      <c r="K2943" s="444">
        <f t="shared" ca="1" si="138"/>
        <v>-282217436.94798553</v>
      </c>
      <c r="L2943" s="444">
        <f t="shared" ca="1" si="139"/>
        <v>-68014402304.464508</v>
      </c>
      <c r="M2943" s="460">
        <f t="shared" si="141"/>
        <v>0.05</v>
      </c>
      <c r="N2943" s="464">
        <f t="shared" si="142"/>
        <v>140621</v>
      </c>
    </row>
    <row r="2944" spans="7:14" ht="11.25" customHeight="1" x14ac:dyDescent="0.3">
      <c r="G2944" s="459"/>
      <c r="H2944" s="459">
        <v>2937</v>
      </c>
      <c r="I2944" s="444">
        <f t="shared" ca="1" si="140"/>
        <v>-68014402304.464508</v>
      </c>
      <c r="J2944" s="444">
        <f t="array" ref="J2944">IFERROR(INDEX('Retirement Calculator'!K:K,MATCH('Lorri 401b'!N2944,'Retirement Calculator'!A:A,0),0),0)</f>
        <v>0</v>
      </c>
      <c r="K2944" s="444">
        <f t="shared" ca="1" si="138"/>
        <v>-283393342.93526876</v>
      </c>
      <c r="L2944" s="444">
        <f t="shared" ca="1" si="139"/>
        <v>-68297795647.39978</v>
      </c>
      <c r="M2944" s="460">
        <f t="shared" si="141"/>
        <v>0.05</v>
      </c>
      <c r="N2944" s="464">
        <f t="shared" si="142"/>
        <v>140652</v>
      </c>
    </row>
    <row r="2945" spans="7:14" ht="11.25" customHeight="1" x14ac:dyDescent="0.3">
      <c r="G2945" s="459"/>
      <c r="H2945" s="459">
        <v>2938</v>
      </c>
      <c r="I2945" s="444">
        <f t="shared" ca="1" si="140"/>
        <v>-68297795647.39978</v>
      </c>
      <c r="J2945" s="444">
        <f t="array" ref="J2945">IFERROR(INDEX('Retirement Calculator'!K:K,MATCH('Lorri 401b'!N2945,'Retirement Calculator'!A:A,0),0),0)</f>
        <v>0</v>
      </c>
      <c r="K2945" s="444">
        <f t="shared" ca="1" si="138"/>
        <v>-284574148.53083247</v>
      </c>
      <c r="L2945" s="444">
        <f t="shared" ca="1" si="139"/>
        <v>-68582369795.930611</v>
      </c>
      <c r="M2945" s="460">
        <f t="shared" si="141"/>
        <v>0.05</v>
      </c>
      <c r="N2945" s="464">
        <f t="shared" si="142"/>
        <v>140680</v>
      </c>
    </row>
    <row r="2946" spans="7:14" ht="11.25" customHeight="1" x14ac:dyDescent="0.3">
      <c r="G2946" s="459"/>
      <c r="H2946" s="459">
        <v>2939</v>
      </c>
      <c r="I2946" s="444">
        <f t="shared" ca="1" si="140"/>
        <v>-68582369795.930611</v>
      </c>
      <c r="J2946" s="444">
        <f t="array" ref="J2946">IFERROR(INDEX('Retirement Calculator'!K:K,MATCH('Lorri 401b'!N2946,'Retirement Calculator'!A:A,0),0),0)</f>
        <v>0</v>
      </c>
      <c r="K2946" s="444">
        <f t="shared" ca="1" si="138"/>
        <v>-285759874.14971089</v>
      </c>
      <c r="L2946" s="444">
        <f t="shared" ca="1" si="139"/>
        <v>-68868129670.080322</v>
      </c>
      <c r="M2946" s="460">
        <f t="shared" si="141"/>
        <v>0.05</v>
      </c>
      <c r="N2946" s="464">
        <f t="shared" si="142"/>
        <v>140711</v>
      </c>
    </row>
    <row r="2947" spans="7:14" ht="11.25" customHeight="1" x14ac:dyDescent="0.3">
      <c r="G2947" s="459"/>
      <c r="H2947" s="459">
        <v>2940</v>
      </c>
      <c r="I2947" s="444">
        <f t="shared" ca="1" si="140"/>
        <v>-68868129670.080322</v>
      </c>
      <c r="J2947" s="444">
        <f t="array" ref="J2947">IFERROR(INDEX('Retirement Calculator'!K:K,MATCH('Lorri 401b'!N2947,'Retirement Calculator'!A:A,0),0),0)</f>
        <v>0</v>
      </c>
      <c r="K2947" s="444">
        <f t="shared" ca="1" si="138"/>
        <v>-286950540.29200137</v>
      </c>
      <c r="L2947" s="444">
        <f t="shared" ca="1" si="139"/>
        <v>-69155080210.37233</v>
      </c>
      <c r="M2947" s="460">
        <f t="shared" si="141"/>
        <v>0.05</v>
      </c>
      <c r="N2947" s="464">
        <f t="shared" si="142"/>
        <v>140741</v>
      </c>
    </row>
    <row r="2948" spans="7:14" ht="11.25" customHeight="1" x14ac:dyDescent="0.3">
      <c r="G2948" s="459"/>
      <c r="H2948" s="459">
        <v>2941</v>
      </c>
      <c r="I2948" s="444">
        <f t="shared" ca="1" si="140"/>
        <v>-69155080210.37233</v>
      </c>
      <c r="J2948" s="444">
        <f t="array" ref="J2948">IFERROR(INDEX('Retirement Calculator'!K:K,MATCH('Lorri 401b'!N2948,'Retirement Calculator'!A:A,0),0),0)</f>
        <v>0</v>
      </c>
      <c r="K2948" s="444">
        <f t="shared" ca="1" si="138"/>
        <v>-288146167.54321802</v>
      </c>
      <c r="L2948" s="444">
        <f t="shared" ca="1" si="139"/>
        <v>-69443226377.915543</v>
      </c>
      <c r="M2948" s="460">
        <f t="shared" si="141"/>
        <v>0.05</v>
      </c>
      <c r="N2948" s="464">
        <f t="shared" si="142"/>
        <v>140772</v>
      </c>
    </row>
    <row r="2949" spans="7:14" ht="11.25" customHeight="1" x14ac:dyDescent="0.3">
      <c r="G2949" s="459"/>
      <c r="H2949" s="459">
        <v>2942</v>
      </c>
      <c r="I2949" s="444">
        <f t="shared" ca="1" si="140"/>
        <v>-69443226377.915543</v>
      </c>
      <c r="J2949" s="444">
        <f t="array" ref="J2949">IFERROR(INDEX('Retirement Calculator'!K:K,MATCH('Lorri 401b'!N2949,'Retirement Calculator'!A:A,0),0),0)</f>
        <v>0</v>
      </c>
      <c r="K2949" s="444">
        <f t="shared" ca="1" si="138"/>
        <v>-289346776.57464808</v>
      </c>
      <c r="L2949" s="444">
        <f t="shared" ca="1" si="139"/>
        <v>-69732573154.490189</v>
      </c>
      <c r="M2949" s="460">
        <f t="shared" si="141"/>
        <v>0.05</v>
      </c>
      <c r="N2949" s="464">
        <f t="shared" si="142"/>
        <v>140802</v>
      </c>
    </row>
    <row r="2950" spans="7:14" ht="11.25" customHeight="1" x14ac:dyDescent="0.3">
      <c r="G2950" s="459"/>
      <c r="H2950" s="459">
        <v>2943</v>
      </c>
      <c r="I2950" s="444">
        <f t="shared" ca="1" si="140"/>
        <v>-69732573154.490189</v>
      </c>
      <c r="J2950" s="444">
        <f t="array" ref="J2950">IFERROR(INDEX('Retirement Calculator'!K:K,MATCH('Lorri 401b'!N2950,'Retirement Calculator'!A:A,0),0),0)</f>
        <v>0</v>
      </c>
      <c r="K2950" s="444">
        <f t="shared" ca="1" si="138"/>
        <v>-290552388.14370912</v>
      </c>
      <c r="L2950" s="444">
        <f t="shared" ca="1" si="139"/>
        <v>-70023125542.633896</v>
      </c>
      <c r="M2950" s="460">
        <f t="shared" si="141"/>
        <v>0.05</v>
      </c>
      <c r="N2950" s="464">
        <f t="shared" si="142"/>
        <v>140833</v>
      </c>
    </row>
    <row r="2951" spans="7:14" ht="11.25" customHeight="1" x14ac:dyDescent="0.3">
      <c r="G2951" s="459"/>
      <c r="H2951" s="459">
        <v>2944</v>
      </c>
      <c r="I2951" s="444">
        <f t="shared" ca="1" si="140"/>
        <v>-70023125542.633896</v>
      </c>
      <c r="J2951" s="444">
        <f t="array" ref="J2951">IFERROR(INDEX('Retirement Calculator'!K:K,MATCH('Lorri 401b'!N2951,'Retirement Calculator'!A:A,0),0),0)</f>
        <v>0</v>
      </c>
      <c r="K2951" s="444">
        <f t="shared" ca="1" si="138"/>
        <v>-291763023.0943079</v>
      </c>
      <c r="L2951" s="444">
        <f t="shared" ca="1" si="139"/>
        <v>-70314888565.72821</v>
      </c>
      <c r="M2951" s="460">
        <f t="shared" si="141"/>
        <v>0.05</v>
      </c>
      <c r="N2951" s="464">
        <f t="shared" si="142"/>
        <v>140864</v>
      </c>
    </row>
    <row r="2952" spans="7:14" ht="11.25" customHeight="1" x14ac:dyDescent="0.3">
      <c r="G2952" s="459"/>
      <c r="H2952" s="459">
        <v>2945</v>
      </c>
      <c r="I2952" s="444">
        <f t="shared" ca="1" si="140"/>
        <v>-70314888565.72821</v>
      </c>
      <c r="J2952" s="444">
        <f t="array" ref="J2952">IFERROR(INDEX('Retirement Calculator'!K:K,MATCH('Lorri 401b'!N2952,'Retirement Calculator'!A:A,0),0),0)</f>
        <v>0</v>
      </c>
      <c r="K2952" s="444">
        <f t="shared" ca="1" si="138"/>
        <v>-292978702.35720086</v>
      </c>
      <c r="L2952" s="444">
        <f t="shared" ca="1" si="139"/>
        <v>-70607867268.085419</v>
      </c>
      <c r="M2952" s="460">
        <f t="shared" si="141"/>
        <v>0.05</v>
      </c>
      <c r="N2952" s="464">
        <f t="shared" si="142"/>
        <v>140894</v>
      </c>
    </row>
    <row r="2953" spans="7:14" ht="11.25" customHeight="1" x14ac:dyDescent="0.3">
      <c r="G2953" s="459"/>
      <c r="H2953" s="459">
        <v>2946</v>
      </c>
      <c r="I2953" s="444">
        <f t="shared" ca="1" si="140"/>
        <v>-70607867268.085419</v>
      </c>
      <c r="J2953" s="444">
        <f t="array" ref="J2953">IFERROR(INDEX('Retirement Calculator'!K:K,MATCH('Lorri 401b'!N2953,'Retirement Calculator'!A:A,0),0),0)</f>
        <v>0</v>
      </c>
      <c r="K2953" s="444">
        <f t="shared" ca="1" si="138"/>
        <v>-294199446.95035589</v>
      </c>
      <c r="L2953" s="444">
        <f t="shared" ca="1" si="139"/>
        <v>-70902066715.035782</v>
      </c>
      <c r="M2953" s="460">
        <f t="shared" si="141"/>
        <v>0.05</v>
      </c>
      <c r="N2953" s="464">
        <f t="shared" si="142"/>
        <v>140925</v>
      </c>
    </row>
    <row r="2954" spans="7:14" ht="11.25" customHeight="1" x14ac:dyDescent="0.3">
      <c r="G2954" s="459"/>
      <c r="H2954" s="459">
        <v>2947</v>
      </c>
      <c r="I2954" s="444">
        <f t="shared" ca="1" si="140"/>
        <v>-70902066715.035782</v>
      </c>
      <c r="J2954" s="444">
        <f t="array" ref="J2954">IFERROR(INDEX('Retirement Calculator'!K:K,MATCH('Lorri 401b'!N2954,'Retirement Calculator'!A:A,0),0),0)</f>
        <v>0</v>
      </c>
      <c r="K2954" s="444">
        <f t="shared" ca="1" si="138"/>
        <v>-295425277.97931576</v>
      </c>
      <c r="L2954" s="444">
        <f t="shared" ca="1" si="139"/>
        <v>-71197491993.015091</v>
      </c>
      <c r="M2954" s="460">
        <f t="shared" si="141"/>
        <v>0.05</v>
      </c>
      <c r="N2954" s="464">
        <f t="shared" si="142"/>
        <v>140955</v>
      </c>
    </row>
    <row r="2955" spans="7:14" ht="11.25" customHeight="1" x14ac:dyDescent="0.3">
      <c r="G2955" s="459"/>
      <c r="H2955" s="459">
        <v>2948</v>
      </c>
      <c r="I2955" s="444">
        <f t="shared" ca="1" si="140"/>
        <v>-71197491993.015091</v>
      </c>
      <c r="J2955" s="444">
        <f t="array" ref="J2955">IFERROR(INDEX('Retirement Calculator'!K:K,MATCH('Lorri 401b'!N2955,'Retirement Calculator'!A:A,0),0),0)</f>
        <v>0</v>
      </c>
      <c r="K2955" s="444">
        <f t="shared" ca="1" si="138"/>
        <v>-296656216.63756287</v>
      </c>
      <c r="L2955" s="444">
        <f t="shared" ca="1" si="139"/>
        <v>-71494148209.652649</v>
      </c>
      <c r="M2955" s="460">
        <f t="shared" si="141"/>
        <v>0.05</v>
      </c>
      <c r="N2955" s="464">
        <f t="shared" si="142"/>
        <v>140986</v>
      </c>
    </row>
    <row r="2956" spans="7:14" ht="11.25" customHeight="1" x14ac:dyDescent="0.3">
      <c r="G2956" s="459"/>
      <c r="H2956" s="459">
        <v>2949</v>
      </c>
      <c r="I2956" s="444">
        <f t="shared" ca="1" si="140"/>
        <v>-71494148209.652649</v>
      </c>
      <c r="J2956" s="444">
        <f t="array" ref="J2956">IFERROR(INDEX('Retirement Calculator'!K:K,MATCH('Lorri 401b'!N2956,'Retirement Calculator'!A:A,0),0),0)</f>
        <v>0</v>
      </c>
      <c r="K2956" s="444">
        <f t="shared" ca="1" si="138"/>
        <v>-297892284.20688605</v>
      </c>
      <c r="L2956" s="444">
        <f t="shared" ca="1" si="139"/>
        <v>-71792040493.859528</v>
      </c>
      <c r="M2956" s="460">
        <f t="shared" si="141"/>
        <v>0.05</v>
      </c>
      <c r="N2956" s="464">
        <f t="shared" si="142"/>
        <v>141017</v>
      </c>
    </row>
    <row r="2957" spans="7:14" ht="11.25" customHeight="1" x14ac:dyDescent="0.3">
      <c r="G2957" s="459"/>
      <c r="H2957" s="459">
        <v>2950</v>
      </c>
      <c r="I2957" s="444">
        <f t="shared" ca="1" si="140"/>
        <v>-71792040493.859528</v>
      </c>
      <c r="J2957" s="444">
        <f t="array" ref="J2957">IFERROR(INDEX('Retirement Calculator'!K:K,MATCH('Lorri 401b'!N2957,'Retirement Calculator'!A:A,0),0),0)</f>
        <v>0</v>
      </c>
      <c r="K2957" s="444">
        <f t="shared" ca="1" si="138"/>
        <v>-299133502.05774802</v>
      </c>
      <c r="L2957" s="444">
        <f t="shared" ca="1" si="139"/>
        <v>-72091173995.917282</v>
      </c>
      <c r="M2957" s="460">
        <f t="shared" si="141"/>
        <v>0.05</v>
      </c>
      <c r="N2957" s="464">
        <f t="shared" si="142"/>
        <v>141045</v>
      </c>
    </row>
    <row r="2958" spans="7:14" ht="11.25" customHeight="1" x14ac:dyDescent="0.3">
      <c r="G2958" s="459"/>
      <c r="H2958" s="459">
        <v>2951</v>
      </c>
      <c r="I2958" s="444">
        <f t="shared" ca="1" si="140"/>
        <v>-72091173995.917282</v>
      </c>
      <c r="J2958" s="444">
        <f t="array" ref="J2958">IFERROR(INDEX('Retirement Calculator'!K:K,MATCH('Lorri 401b'!N2958,'Retirement Calculator'!A:A,0),0),0)</f>
        <v>0</v>
      </c>
      <c r="K2958" s="444">
        <f t="shared" ca="1" si="138"/>
        <v>-300379891.64965534</v>
      </c>
      <c r="L2958" s="444">
        <f t="shared" ca="1" si="139"/>
        <v>-72391553887.56694</v>
      </c>
      <c r="M2958" s="460">
        <f t="shared" si="141"/>
        <v>0.05</v>
      </c>
      <c r="N2958" s="464">
        <f t="shared" si="142"/>
        <v>141076</v>
      </c>
    </row>
    <row r="2959" spans="7:14" ht="11.25" customHeight="1" x14ac:dyDescent="0.3">
      <c r="G2959" s="459"/>
      <c r="H2959" s="459">
        <v>2952</v>
      </c>
      <c r="I2959" s="444">
        <f t="shared" ca="1" si="140"/>
        <v>-72391553887.56694</v>
      </c>
      <c r="J2959" s="444">
        <f t="array" ref="J2959">IFERROR(INDEX('Retirement Calculator'!K:K,MATCH('Lorri 401b'!N2959,'Retirement Calculator'!A:A,0),0),0)</f>
        <v>0</v>
      </c>
      <c r="K2959" s="444">
        <f t="shared" ca="1" si="138"/>
        <v>-301631474.53152889</v>
      </c>
      <c r="L2959" s="444">
        <f t="shared" ca="1" si="139"/>
        <v>-72693185362.098465</v>
      </c>
      <c r="M2959" s="460">
        <f t="shared" si="141"/>
        <v>0.05</v>
      </c>
      <c r="N2959" s="464">
        <f t="shared" si="142"/>
        <v>141106</v>
      </c>
    </row>
    <row r="2960" spans="7:14" ht="11.25" customHeight="1" x14ac:dyDescent="0.3">
      <c r="G2960" s="459"/>
      <c r="H2960" s="459">
        <v>2953</v>
      </c>
      <c r="I2960" s="444">
        <f t="shared" ca="1" si="140"/>
        <v>-72693185362.098465</v>
      </c>
      <c r="J2960" s="444">
        <f t="array" ref="J2960">IFERROR(INDEX('Retirement Calculator'!K:K,MATCH('Lorri 401b'!N2960,'Retirement Calculator'!A:A,0),0),0)</f>
        <v>0</v>
      </c>
      <c r="K2960" s="444">
        <f t="shared" ca="1" si="138"/>
        <v>-302888272.34207696</v>
      </c>
      <c r="L2960" s="444">
        <f t="shared" ca="1" si="139"/>
        <v>-72996073634.440536</v>
      </c>
      <c r="M2960" s="460">
        <f t="shared" si="141"/>
        <v>0.05</v>
      </c>
      <c r="N2960" s="464">
        <f t="shared" si="142"/>
        <v>141137</v>
      </c>
    </row>
    <row r="2961" spans="7:14" ht="11.25" customHeight="1" x14ac:dyDescent="0.3">
      <c r="G2961" s="459"/>
      <c r="H2961" s="459">
        <v>2954</v>
      </c>
      <c r="I2961" s="444">
        <f t="shared" ca="1" si="140"/>
        <v>-72996073634.440536</v>
      </c>
      <c r="J2961" s="444">
        <f t="array" ref="J2961">IFERROR(INDEX('Retirement Calculator'!K:K,MATCH('Lorri 401b'!N2961,'Retirement Calculator'!A:A,0),0),0)</f>
        <v>0</v>
      </c>
      <c r="K2961" s="444">
        <f t="shared" ca="1" si="138"/>
        <v>-304150306.81016892</v>
      </c>
      <c r="L2961" s="444">
        <f t="shared" ca="1" si="139"/>
        <v>-73300223941.250702</v>
      </c>
      <c r="M2961" s="460">
        <f t="shared" si="141"/>
        <v>0.05</v>
      </c>
      <c r="N2961" s="464">
        <f t="shared" si="142"/>
        <v>141167</v>
      </c>
    </row>
    <row r="2962" spans="7:14" ht="11.25" customHeight="1" x14ac:dyDescent="0.3">
      <c r="G2962" s="459"/>
      <c r="H2962" s="459">
        <v>2955</v>
      </c>
      <c r="I2962" s="444">
        <f t="shared" ca="1" si="140"/>
        <v>-73300223941.250702</v>
      </c>
      <c r="J2962" s="444">
        <f t="array" ref="J2962">IFERROR(INDEX('Retirement Calculator'!K:K,MATCH('Lorri 401b'!N2962,'Retirement Calculator'!A:A,0),0),0)</f>
        <v>0</v>
      </c>
      <c r="K2962" s="444">
        <f t="shared" ca="1" si="138"/>
        <v>-305417599.75521123</v>
      </c>
      <c r="L2962" s="444">
        <f t="shared" ca="1" si="139"/>
        <v>-73605641541.00592</v>
      </c>
      <c r="M2962" s="460">
        <f t="shared" si="141"/>
        <v>0.05</v>
      </c>
      <c r="N2962" s="464">
        <f t="shared" si="142"/>
        <v>141198</v>
      </c>
    </row>
    <row r="2963" spans="7:14" ht="11.25" customHeight="1" x14ac:dyDescent="0.3">
      <c r="G2963" s="459"/>
      <c r="H2963" s="459">
        <v>2956</v>
      </c>
      <c r="I2963" s="444">
        <f t="shared" ca="1" si="140"/>
        <v>-73605641541.00592</v>
      </c>
      <c r="J2963" s="444">
        <f t="array" ref="J2963">IFERROR(INDEX('Retirement Calculator'!K:K,MATCH('Lorri 401b'!N2963,'Retirement Calculator'!A:A,0),0),0)</f>
        <v>0</v>
      </c>
      <c r="K2963" s="444">
        <f t="shared" ca="1" si="138"/>
        <v>-306690173.08752465</v>
      </c>
      <c r="L2963" s="444">
        <f t="shared" ca="1" si="139"/>
        <v>-73912331714.093445</v>
      </c>
      <c r="M2963" s="460">
        <f t="shared" si="141"/>
        <v>0.05</v>
      </c>
      <c r="N2963" s="464">
        <f t="shared" si="142"/>
        <v>141229</v>
      </c>
    </row>
    <row r="2964" spans="7:14" ht="11.25" customHeight="1" x14ac:dyDescent="0.3">
      <c r="G2964" s="459"/>
      <c r="H2964" s="459">
        <v>2957</v>
      </c>
      <c r="I2964" s="444">
        <f t="shared" ca="1" si="140"/>
        <v>-73912331714.093445</v>
      </c>
      <c r="J2964" s="444">
        <f t="array" ref="J2964">IFERROR(INDEX('Retirement Calculator'!K:K,MATCH('Lorri 401b'!N2964,'Retirement Calculator'!A:A,0),0),0)</f>
        <v>0</v>
      </c>
      <c r="K2964" s="444">
        <f t="shared" ca="1" si="138"/>
        <v>-307968048.80872267</v>
      </c>
      <c r="L2964" s="444">
        <f t="shared" ca="1" si="139"/>
        <v>-74220299762.902161</v>
      </c>
      <c r="M2964" s="460">
        <f t="shared" si="141"/>
        <v>0.05</v>
      </c>
      <c r="N2964" s="464">
        <f t="shared" si="142"/>
        <v>141259</v>
      </c>
    </row>
    <row r="2965" spans="7:14" ht="11.25" customHeight="1" x14ac:dyDescent="0.3">
      <c r="G2965" s="459"/>
      <c r="H2965" s="459">
        <v>2958</v>
      </c>
      <c r="I2965" s="444">
        <f t="shared" ca="1" si="140"/>
        <v>-74220299762.902161</v>
      </c>
      <c r="J2965" s="444">
        <f t="array" ref="J2965">IFERROR(INDEX('Retirement Calculator'!K:K,MATCH('Lorri 401b'!N2965,'Retirement Calculator'!A:A,0),0),0)</f>
        <v>0</v>
      </c>
      <c r="K2965" s="444">
        <f t="shared" ca="1" si="138"/>
        <v>-309251249.01209235</v>
      </c>
      <c r="L2965" s="444">
        <f t="shared" ca="1" si="139"/>
        <v>-74529551011.914246</v>
      </c>
      <c r="M2965" s="460">
        <f t="shared" si="141"/>
        <v>0.05</v>
      </c>
      <c r="N2965" s="464">
        <f t="shared" si="142"/>
        <v>141290</v>
      </c>
    </row>
    <row r="2966" spans="7:14" ht="11.25" customHeight="1" x14ac:dyDescent="0.3">
      <c r="G2966" s="459"/>
      <c r="H2966" s="459">
        <v>2959</v>
      </c>
      <c r="I2966" s="444">
        <f t="shared" ca="1" si="140"/>
        <v>-74529551011.914246</v>
      </c>
      <c r="J2966" s="444">
        <f t="array" ref="J2966">IFERROR(INDEX('Retirement Calculator'!K:K,MATCH('Lorri 401b'!N2966,'Retirement Calculator'!A:A,0),0),0)</f>
        <v>0</v>
      </c>
      <c r="K2966" s="444">
        <f t="shared" ca="1" si="138"/>
        <v>-310539795.882976</v>
      </c>
      <c r="L2966" s="444">
        <f t="shared" ca="1" si="139"/>
        <v>-74840090807.797226</v>
      </c>
      <c r="M2966" s="460">
        <f t="shared" si="141"/>
        <v>0.05</v>
      </c>
      <c r="N2966" s="464">
        <f t="shared" si="142"/>
        <v>141320</v>
      </c>
    </row>
    <row r="2967" spans="7:14" ht="11.25" customHeight="1" x14ac:dyDescent="0.3">
      <c r="G2967" s="459"/>
      <c r="H2967" s="459">
        <v>2960</v>
      </c>
      <c r="I2967" s="444">
        <f t="shared" ca="1" si="140"/>
        <v>-74840090807.797226</v>
      </c>
      <c r="J2967" s="444">
        <f t="array" ref="J2967">IFERROR(INDEX('Retirement Calculator'!K:K,MATCH('Lorri 401b'!N2967,'Retirement Calculator'!A:A,0),0),0)</f>
        <v>0</v>
      </c>
      <c r="K2967" s="444">
        <f t="shared" ca="1" si="138"/>
        <v>-311833711.69915509</v>
      </c>
      <c r="L2967" s="444">
        <f t="shared" ca="1" si="139"/>
        <v>-75151924519.496384</v>
      </c>
      <c r="M2967" s="460">
        <f t="shared" si="141"/>
        <v>0.05</v>
      </c>
      <c r="N2967" s="464">
        <f t="shared" si="142"/>
        <v>141351</v>
      </c>
    </row>
    <row r="2968" spans="7:14" ht="11.25" customHeight="1" x14ac:dyDescent="0.3">
      <c r="G2968" s="459"/>
      <c r="H2968" s="459">
        <v>2961</v>
      </c>
      <c r="I2968" s="444">
        <f t="shared" ca="1" si="140"/>
        <v>-75151924519.496384</v>
      </c>
      <c r="J2968" s="444">
        <f t="array" ref="J2968">IFERROR(INDEX('Retirement Calculator'!K:K,MATCH('Lorri 401b'!N2968,'Retirement Calculator'!A:A,0),0),0)</f>
        <v>0</v>
      </c>
      <c r="K2968" s="444">
        <f t="shared" ca="1" si="138"/>
        <v>-313133018.83123493</v>
      </c>
      <c r="L2968" s="444">
        <f t="shared" ca="1" si="139"/>
        <v>-75465057538.327621</v>
      </c>
      <c r="M2968" s="460">
        <f t="shared" si="141"/>
        <v>0.05</v>
      </c>
      <c r="N2968" s="464">
        <f t="shared" si="142"/>
        <v>141382</v>
      </c>
    </row>
    <row r="2969" spans="7:14" ht="11.25" customHeight="1" x14ac:dyDescent="0.3">
      <c r="G2969" s="459"/>
      <c r="H2969" s="459">
        <v>2962</v>
      </c>
      <c r="I2969" s="444">
        <f t="shared" ca="1" si="140"/>
        <v>-75465057538.327621</v>
      </c>
      <c r="J2969" s="444">
        <f t="array" ref="J2969">IFERROR(INDEX('Retirement Calculator'!K:K,MATCH('Lorri 401b'!N2969,'Retirement Calculator'!A:A,0),0),0)</f>
        <v>0</v>
      </c>
      <c r="K2969" s="444">
        <f t="shared" ca="1" si="138"/>
        <v>-314437739.74303174</v>
      </c>
      <c r="L2969" s="444">
        <f t="shared" ca="1" si="139"/>
        <v>-75779495278.070648</v>
      </c>
      <c r="M2969" s="460">
        <f t="shared" si="141"/>
        <v>0.05</v>
      </c>
      <c r="N2969" s="464">
        <f t="shared" si="142"/>
        <v>141410</v>
      </c>
    </row>
    <row r="2970" spans="7:14" ht="11.25" customHeight="1" x14ac:dyDescent="0.3">
      <c r="G2970" s="459"/>
      <c r="H2970" s="459">
        <v>2963</v>
      </c>
      <c r="I2970" s="444">
        <f t="shared" ca="1" si="140"/>
        <v>-75779495278.070648</v>
      </c>
      <c r="J2970" s="444">
        <f t="array" ref="J2970">IFERROR(INDEX('Retirement Calculator'!K:K,MATCH('Lorri 401b'!N2970,'Retirement Calculator'!A:A,0),0),0)</f>
        <v>0</v>
      </c>
      <c r="K2970" s="444">
        <f t="shared" ca="1" si="138"/>
        <v>-315747896.991961</v>
      </c>
      <c r="L2970" s="444">
        <f t="shared" ca="1" si="139"/>
        <v>-76095243175.062607</v>
      </c>
      <c r="M2970" s="460">
        <f t="shared" si="141"/>
        <v>0.05</v>
      </c>
      <c r="N2970" s="464">
        <f t="shared" si="142"/>
        <v>141441</v>
      </c>
    </row>
    <row r="2971" spans="7:14" ht="11.25" customHeight="1" x14ac:dyDescent="0.3">
      <c r="G2971" s="459"/>
      <c r="H2971" s="459">
        <v>2964</v>
      </c>
      <c r="I2971" s="444">
        <f t="shared" ca="1" si="140"/>
        <v>-76095243175.062607</v>
      </c>
      <c r="J2971" s="444">
        <f t="array" ref="J2971">IFERROR(INDEX('Retirement Calculator'!K:K,MATCH('Lorri 401b'!N2971,'Retirement Calculator'!A:A,0),0),0)</f>
        <v>0</v>
      </c>
      <c r="K2971" s="444">
        <f t="shared" ca="1" si="138"/>
        <v>-317063513.22942752</v>
      </c>
      <c r="L2971" s="444">
        <f t="shared" ca="1" si="139"/>
        <v>-76412306688.292038</v>
      </c>
      <c r="M2971" s="460">
        <f t="shared" si="141"/>
        <v>0.05</v>
      </c>
      <c r="N2971" s="464">
        <f t="shared" si="142"/>
        <v>141471</v>
      </c>
    </row>
    <row r="2972" spans="7:14" ht="11.25" customHeight="1" x14ac:dyDescent="0.3">
      <c r="G2972" s="459"/>
      <c r="H2972" s="459">
        <v>2965</v>
      </c>
      <c r="I2972" s="444">
        <f t="shared" ca="1" si="140"/>
        <v>-76412306688.292038</v>
      </c>
      <c r="J2972" s="444">
        <f t="array" ref="J2972">IFERROR(INDEX('Retirement Calculator'!K:K,MATCH('Lorri 401b'!N2972,'Retirement Calculator'!A:A,0),0),0)</f>
        <v>0</v>
      </c>
      <c r="K2972" s="444">
        <f t="shared" ca="1" si="138"/>
        <v>-318384611.20121682</v>
      </c>
      <c r="L2972" s="444">
        <f t="shared" ca="1" si="139"/>
        <v>-76730691299.493256</v>
      </c>
      <c r="M2972" s="460">
        <f t="shared" si="141"/>
        <v>0.05</v>
      </c>
      <c r="N2972" s="464">
        <f t="shared" si="142"/>
        <v>141502</v>
      </c>
    </row>
    <row r="2973" spans="7:14" ht="11.25" customHeight="1" x14ac:dyDescent="0.3">
      <c r="G2973" s="459"/>
      <c r="H2973" s="459">
        <v>2966</v>
      </c>
      <c r="I2973" s="444">
        <f t="shared" ca="1" si="140"/>
        <v>-76730691299.493256</v>
      </c>
      <c r="J2973" s="444">
        <f t="array" ref="J2973">IFERROR(INDEX('Retirement Calculator'!K:K,MATCH('Lorri 401b'!N2973,'Retirement Calculator'!A:A,0),0),0)</f>
        <v>0</v>
      </c>
      <c r="K2973" s="444">
        <f t="shared" ca="1" si="138"/>
        <v>-319711213.74788857</v>
      </c>
      <c r="L2973" s="444">
        <f t="shared" ca="1" si="139"/>
        <v>-77050402513.24115</v>
      </c>
      <c r="M2973" s="460">
        <f t="shared" si="141"/>
        <v>0.05</v>
      </c>
      <c r="N2973" s="464">
        <f t="shared" si="142"/>
        <v>141532</v>
      </c>
    </row>
    <row r="2974" spans="7:14" ht="11.25" customHeight="1" x14ac:dyDescent="0.3">
      <c r="G2974" s="459"/>
      <c r="H2974" s="459">
        <v>2967</v>
      </c>
      <c r="I2974" s="444">
        <f t="shared" ca="1" si="140"/>
        <v>-77050402513.24115</v>
      </c>
      <c r="J2974" s="444">
        <f t="array" ref="J2974">IFERROR(INDEX('Retirement Calculator'!K:K,MATCH('Lorri 401b'!N2974,'Retirement Calculator'!A:A,0),0),0)</f>
        <v>0</v>
      </c>
      <c r="K2974" s="444">
        <f t="shared" ca="1" si="138"/>
        <v>-321043343.80517143</v>
      </c>
      <c r="L2974" s="444">
        <f t="shared" ca="1" si="139"/>
        <v>-77371445857.046326</v>
      </c>
      <c r="M2974" s="460">
        <f t="shared" si="141"/>
        <v>0.05</v>
      </c>
      <c r="N2974" s="464">
        <f t="shared" si="142"/>
        <v>141563</v>
      </c>
    </row>
    <row r="2975" spans="7:14" ht="11.25" customHeight="1" x14ac:dyDescent="0.3">
      <c r="G2975" s="459"/>
      <c r="H2975" s="459">
        <v>2968</v>
      </c>
      <c r="I2975" s="444">
        <f t="shared" ca="1" si="140"/>
        <v>-77371445857.046326</v>
      </c>
      <c r="J2975" s="444">
        <f t="array" ref="J2975">IFERROR(INDEX('Retirement Calculator'!K:K,MATCH('Lorri 401b'!N2975,'Retirement Calculator'!A:A,0),0),0)</f>
        <v>0</v>
      </c>
      <c r="K2975" s="444">
        <f t="shared" ca="1" si="138"/>
        <v>-322381024.4043597</v>
      </c>
      <c r="L2975" s="444">
        <f t="shared" ca="1" si="139"/>
        <v>-77693826881.450684</v>
      </c>
      <c r="M2975" s="460">
        <f t="shared" si="141"/>
        <v>0.05</v>
      </c>
      <c r="N2975" s="464">
        <f t="shared" si="142"/>
        <v>141594</v>
      </c>
    </row>
    <row r="2976" spans="7:14" ht="11.25" customHeight="1" x14ac:dyDescent="0.3">
      <c r="G2976" s="459"/>
      <c r="H2976" s="459">
        <v>2969</v>
      </c>
      <c r="I2976" s="444">
        <f t="shared" ca="1" si="140"/>
        <v>-77693826881.450684</v>
      </c>
      <c r="J2976" s="444">
        <f t="array" ref="J2976">IFERROR(INDEX('Retirement Calculator'!K:K,MATCH('Lorri 401b'!N2976,'Retirement Calculator'!A:A,0),0),0)</f>
        <v>0</v>
      </c>
      <c r="K2976" s="444">
        <f t="shared" ca="1" si="138"/>
        <v>-323724278.67271119</v>
      </c>
      <c r="L2976" s="444">
        <f t="shared" ca="1" si="139"/>
        <v>-78017551160.123398</v>
      </c>
      <c r="M2976" s="460">
        <f t="shared" si="141"/>
        <v>0.05</v>
      </c>
      <c r="N2976" s="464">
        <f t="shared" si="142"/>
        <v>141624</v>
      </c>
    </row>
    <row r="2977" spans="7:14" ht="11.25" customHeight="1" x14ac:dyDescent="0.3">
      <c r="G2977" s="459"/>
      <c r="H2977" s="459">
        <v>2970</v>
      </c>
      <c r="I2977" s="444">
        <f t="shared" ca="1" si="140"/>
        <v>-78017551160.123398</v>
      </c>
      <c r="J2977" s="444">
        <f t="array" ref="J2977">IFERROR(INDEX('Retirement Calculator'!K:K,MATCH('Lorri 401b'!N2977,'Retirement Calculator'!A:A,0),0),0)</f>
        <v>0</v>
      </c>
      <c r="K2977" s="444">
        <f t="shared" ca="1" si="138"/>
        <v>-325073129.83384746</v>
      </c>
      <c r="L2977" s="444">
        <f t="shared" ca="1" si="139"/>
        <v>-78342624289.957245</v>
      </c>
      <c r="M2977" s="460">
        <f t="shared" si="141"/>
        <v>0.05</v>
      </c>
      <c r="N2977" s="464">
        <f t="shared" si="142"/>
        <v>141655</v>
      </c>
    </row>
    <row r="2978" spans="7:14" ht="11.25" customHeight="1" x14ac:dyDescent="0.3">
      <c r="G2978" s="459"/>
      <c r="H2978" s="459">
        <v>2971</v>
      </c>
      <c r="I2978" s="444">
        <f t="shared" ca="1" si="140"/>
        <v>-78342624289.957245</v>
      </c>
      <c r="J2978" s="444">
        <f t="array" ref="J2978">IFERROR(INDEX('Retirement Calculator'!K:K,MATCH('Lorri 401b'!N2978,'Retirement Calculator'!A:A,0),0),0)</f>
        <v>0</v>
      </c>
      <c r="K2978" s="444">
        <f t="shared" ca="1" si="138"/>
        <v>-326427601.20815516</v>
      </c>
      <c r="L2978" s="444">
        <f t="shared" ca="1" si="139"/>
        <v>-78669051891.165405</v>
      </c>
      <c r="M2978" s="460">
        <f t="shared" si="141"/>
        <v>0.05</v>
      </c>
      <c r="N2978" s="464">
        <f t="shared" si="142"/>
        <v>141685</v>
      </c>
    </row>
    <row r="2979" spans="7:14" ht="11.25" customHeight="1" x14ac:dyDescent="0.3">
      <c r="G2979" s="459"/>
      <c r="H2979" s="459">
        <v>2972</v>
      </c>
      <c r="I2979" s="444">
        <f t="shared" ca="1" si="140"/>
        <v>-78669051891.165405</v>
      </c>
      <c r="J2979" s="444">
        <f t="array" ref="J2979">IFERROR(INDEX('Retirement Calculator'!K:K,MATCH('Lorri 401b'!N2979,'Retirement Calculator'!A:A,0),0),0)</f>
        <v>0</v>
      </c>
      <c r="K2979" s="444">
        <f t="shared" ca="1" si="138"/>
        <v>-327787716.21318918</v>
      </c>
      <c r="L2979" s="444">
        <f t="shared" ca="1" si="139"/>
        <v>-78996839607.378601</v>
      </c>
      <c r="M2979" s="460">
        <f t="shared" si="141"/>
        <v>0.05</v>
      </c>
      <c r="N2979" s="464">
        <f t="shared" si="142"/>
        <v>141716</v>
      </c>
    </row>
    <row r="2980" spans="7:14" ht="11.25" customHeight="1" x14ac:dyDescent="0.3">
      <c r="G2980" s="459"/>
      <c r="H2980" s="459">
        <v>2973</v>
      </c>
      <c r="I2980" s="444">
        <f t="shared" ca="1" si="140"/>
        <v>-78996839607.378601</v>
      </c>
      <c r="J2980" s="444">
        <f t="array" ref="J2980">IFERROR(INDEX('Retirement Calculator'!K:K,MATCH('Lorri 401b'!N2980,'Retirement Calculator'!A:A,0),0),0)</f>
        <v>0</v>
      </c>
      <c r="K2980" s="444">
        <f t="shared" ca="1" si="138"/>
        <v>-329153498.36407751</v>
      </c>
      <c r="L2980" s="444">
        <f t="shared" ca="1" si="139"/>
        <v>-79325993105.742676</v>
      </c>
      <c r="M2980" s="460">
        <f t="shared" si="141"/>
        <v>0.05</v>
      </c>
      <c r="N2980" s="464">
        <f t="shared" si="142"/>
        <v>141747</v>
      </c>
    </row>
    <row r="2981" spans="7:14" ht="11.25" customHeight="1" x14ac:dyDescent="0.3">
      <c r="G2981" s="459"/>
      <c r="H2981" s="459">
        <v>2974</v>
      </c>
      <c r="I2981" s="444">
        <f t="shared" ca="1" si="140"/>
        <v>-79325993105.742676</v>
      </c>
      <c r="J2981" s="444">
        <f t="array" ref="J2981">IFERROR(INDEX('Retirement Calculator'!K:K,MATCH('Lorri 401b'!N2981,'Retirement Calculator'!A:A,0),0),0)</f>
        <v>0</v>
      </c>
      <c r="K2981" s="444">
        <f t="shared" ca="1" si="138"/>
        <v>-330524971.27392781</v>
      </c>
      <c r="L2981" s="444">
        <f t="shared" ca="1" si="139"/>
        <v>-79656518077.016602</v>
      </c>
      <c r="M2981" s="460">
        <f t="shared" si="141"/>
        <v>0.05</v>
      </c>
      <c r="N2981" s="464">
        <f t="shared" si="142"/>
        <v>141776</v>
      </c>
    </row>
    <row r="2982" spans="7:14" ht="11.25" customHeight="1" x14ac:dyDescent="0.3">
      <c r="G2982" s="459"/>
      <c r="H2982" s="459">
        <v>2975</v>
      </c>
      <c r="I2982" s="444">
        <f t="shared" ca="1" si="140"/>
        <v>-79656518077.016602</v>
      </c>
      <c r="J2982" s="444">
        <f t="array" ref="J2982">IFERROR(INDEX('Retirement Calculator'!K:K,MATCH('Lorri 401b'!N2982,'Retirement Calculator'!A:A,0),0),0)</f>
        <v>0</v>
      </c>
      <c r="K2982" s="444">
        <f t="shared" ca="1" si="138"/>
        <v>-331902158.65423584</v>
      </c>
      <c r="L2982" s="444">
        <f t="shared" ca="1" si="139"/>
        <v>-79988420235.670837</v>
      </c>
      <c r="M2982" s="460">
        <f t="shared" si="141"/>
        <v>0.05</v>
      </c>
      <c r="N2982" s="464">
        <f t="shared" si="142"/>
        <v>141807</v>
      </c>
    </row>
    <row r="2983" spans="7:14" ht="11.25" customHeight="1" x14ac:dyDescent="0.3">
      <c r="G2983" s="459"/>
      <c r="H2983" s="459">
        <v>2976</v>
      </c>
      <c r="I2983" s="444">
        <f t="shared" ca="1" si="140"/>
        <v>-79988420235.670837</v>
      </c>
      <c r="J2983" s="444">
        <f t="array" ref="J2983">IFERROR(INDEX('Retirement Calculator'!K:K,MATCH('Lorri 401b'!N2983,'Retirement Calculator'!A:A,0),0),0)</f>
        <v>0</v>
      </c>
      <c r="K2983" s="444">
        <f t="shared" ca="1" si="138"/>
        <v>-333285084.31529516</v>
      </c>
      <c r="L2983" s="444">
        <f t="shared" ca="1" si="139"/>
        <v>-80321705319.98613</v>
      </c>
      <c r="M2983" s="460">
        <f t="shared" si="141"/>
        <v>0.05</v>
      </c>
      <c r="N2983" s="464">
        <f t="shared" si="142"/>
        <v>141837</v>
      </c>
    </row>
    <row r="2984" spans="7:14" ht="11.25" customHeight="1" x14ac:dyDescent="0.3">
      <c r="G2984" s="459"/>
      <c r="H2984" s="459">
        <v>2977</v>
      </c>
      <c r="I2984" s="444">
        <f t="shared" ca="1" si="140"/>
        <v>-80321705319.98613</v>
      </c>
      <c r="J2984" s="444">
        <f t="array" ref="J2984">IFERROR(INDEX('Retirement Calculator'!K:K,MATCH('Lorri 401b'!N2984,'Retirement Calculator'!A:A,0),0),0)</f>
        <v>0</v>
      </c>
      <c r="K2984" s="444">
        <f t="shared" ca="1" si="138"/>
        <v>-334673772.16660887</v>
      </c>
      <c r="L2984" s="444">
        <f t="shared" ca="1" si="139"/>
        <v>-80656379092.15274</v>
      </c>
      <c r="M2984" s="460">
        <f t="shared" si="141"/>
        <v>0.05</v>
      </c>
      <c r="N2984" s="464">
        <f t="shared" si="142"/>
        <v>141868</v>
      </c>
    </row>
    <row r="2985" spans="7:14" ht="11.25" customHeight="1" x14ac:dyDescent="0.3">
      <c r="G2985" s="459"/>
      <c r="H2985" s="459">
        <v>2978</v>
      </c>
      <c r="I2985" s="444">
        <f t="shared" ca="1" si="140"/>
        <v>-80656379092.15274</v>
      </c>
      <c r="J2985" s="444">
        <f t="array" ref="J2985">IFERROR(INDEX('Retirement Calculator'!K:K,MATCH('Lorri 401b'!N2985,'Retirement Calculator'!A:A,0),0),0)</f>
        <v>0</v>
      </c>
      <c r="K2985" s="444">
        <f t="shared" ca="1" si="138"/>
        <v>-336068246.2173031</v>
      </c>
      <c r="L2985" s="444">
        <f t="shared" ca="1" si="139"/>
        <v>-80992447338.370041</v>
      </c>
      <c r="M2985" s="460">
        <f t="shared" si="141"/>
        <v>0.05</v>
      </c>
      <c r="N2985" s="464">
        <f t="shared" si="142"/>
        <v>141898</v>
      </c>
    </row>
    <row r="2986" spans="7:14" ht="11.25" customHeight="1" x14ac:dyDescent="0.3">
      <c r="G2986" s="459"/>
      <c r="H2986" s="459">
        <v>2979</v>
      </c>
      <c r="I2986" s="444">
        <f t="shared" ca="1" si="140"/>
        <v>-80992447338.370041</v>
      </c>
      <c r="J2986" s="444">
        <f t="array" ref="J2986">IFERROR(INDEX('Retirement Calculator'!K:K,MATCH('Lorri 401b'!N2986,'Retirement Calculator'!A:A,0),0),0)</f>
        <v>0</v>
      </c>
      <c r="K2986" s="444">
        <f t="shared" ca="1" si="138"/>
        <v>-337468530.57654184</v>
      </c>
      <c r="L2986" s="444">
        <f t="shared" ca="1" si="139"/>
        <v>-81329915868.946579</v>
      </c>
      <c r="M2986" s="460">
        <f t="shared" si="141"/>
        <v>0.05</v>
      </c>
      <c r="N2986" s="464">
        <f t="shared" si="142"/>
        <v>141929</v>
      </c>
    </row>
    <row r="2987" spans="7:14" ht="11.25" customHeight="1" x14ac:dyDescent="0.3">
      <c r="G2987" s="459"/>
      <c r="H2987" s="459">
        <v>2980</v>
      </c>
      <c r="I2987" s="444">
        <f t="shared" ca="1" si="140"/>
        <v>-81329915868.946579</v>
      </c>
      <c r="J2987" s="444">
        <f t="array" ref="J2987">IFERROR(INDEX('Retirement Calculator'!K:K,MATCH('Lorri 401b'!N2987,'Retirement Calculator'!A:A,0),0),0)</f>
        <v>0</v>
      </c>
      <c r="K2987" s="444">
        <f t="shared" ca="1" si="138"/>
        <v>-338874649.45394409</v>
      </c>
      <c r="L2987" s="444">
        <f t="shared" ca="1" si="139"/>
        <v>-81668790518.400528</v>
      </c>
      <c r="M2987" s="460">
        <f t="shared" si="141"/>
        <v>0.05</v>
      </c>
      <c r="N2987" s="464">
        <f t="shared" si="142"/>
        <v>141960</v>
      </c>
    </row>
    <row r="2988" spans="7:14" ht="11.25" customHeight="1" x14ac:dyDescent="0.3">
      <c r="G2988" s="459"/>
      <c r="H2988" s="459">
        <v>2981</v>
      </c>
      <c r="I2988" s="444">
        <f t="shared" ca="1" si="140"/>
        <v>-81668790518.400528</v>
      </c>
      <c r="J2988" s="444">
        <f t="array" ref="J2988">IFERROR(INDEX('Retirement Calculator'!K:K,MATCH('Lorri 401b'!N2988,'Retirement Calculator'!A:A,0),0),0)</f>
        <v>0</v>
      </c>
      <c r="K2988" s="444">
        <f t="shared" ca="1" si="138"/>
        <v>-340286627.16000217</v>
      </c>
      <c r="L2988" s="444">
        <f t="shared" ca="1" si="139"/>
        <v>-82009077145.560532</v>
      </c>
      <c r="M2988" s="460">
        <f t="shared" si="141"/>
        <v>0.05</v>
      </c>
      <c r="N2988" s="464">
        <f t="shared" si="142"/>
        <v>141990</v>
      </c>
    </row>
    <row r="2989" spans="7:14" ht="11.25" customHeight="1" x14ac:dyDescent="0.3">
      <c r="G2989" s="459"/>
      <c r="H2989" s="459">
        <v>2982</v>
      </c>
      <c r="I2989" s="444">
        <f t="shared" ca="1" si="140"/>
        <v>-82009077145.560532</v>
      </c>
      <c r="J2989" s="444">
        <f t="array" ref="J2989">IFERROR(INDEX('Retirement Calculator'!K:K,MATCH('Lorri 401b'!N2989,'Retirement Calculator'!A:A,0),0),0)</f>
        <v>0</v>
      </c>
      <c r="K2989" s="444">
        <f t="shared" ca="1" si="138"/>
        <v>-341704488.10650223</v>
      </c>
      <c r="L2989" s="444">
        <f t="shared" ca="1" si="139"/>
        <v>-82350781633.667038</v>
      </c>
      <c r="M2989" s="460">
        <f t="shared" si="141"/>
        <v>0.05</v>
      </c>
      <c r="N2989" s="464">
        <f t="shared" si="142"/>
        <v>142021</v>
      </c>
    </row>
    <row r="2990" spans="7:14" ht="11.25" customHeight="1" x14ac:dyDescent="0.3">
      <c r="G2990" s="459"/>
      <c r="H2990" s="459">
        <v>2983</v>
      </c>
      <c r="I2990" s="444">
        <f t="shared" ca="1" si="140"/>
        <v>-82350781633.667038</v>
      </c>
      <c r="J2990" s="444">
        <f t="array" ref="J2990">IFERROR(INDEX('Retirement Calculator'!K:K,MATCH('Lorri 401b'!N2990,'Retirement Calculator'!A:A,0),0),0)</f>
        <v>0</v>
      </c>
      <c r="K2990" s="444">
        <f t="shared" ca="1" si="138"/>
        <v>-343128256.80694598</v>
      </c>
      <c r="L2990" s="444">
        <f t="shared" ca="1" si="139"/>
        <v>-82693909890.473984</v>
      </c>
      <c r="M2990" s="460">
        <f t="shared" si="141"/>
        <v>0.05</v>
      </c>
      <c r="N2990" s="464">
        <f t="shared" si="142"/>
        <v>142051</v>
      </c>
    </row>
    <row r="2991" spans="7:14" ht="11.25" customHeight="1" x14ac:dyDescent="0.3">
      <c r="G2991" s="459"/>
      <c r="H2991" s="459">
        <v>2984</v>
      </c>
      <c r="I2991" s="444">
        <f t="shared" ca="1" si="140"/>
        <v>-82693909890.473984</v>
      </c>
      <c r="J2991" s="444">
        <f t="array" ref="J2991">IFERROR(INDEX('Retirement Calculator'!K:K,MATCH('Lorri 401b'!N2991,'Retirement Calculator'!A:A,0),0),0)</f>
        <v>0</v>
      </c>
      <c r="K2991" s="444">
        <f t="shared" ca="1" si="138"/>
        <v>-344557957.87697494</v>
      </c>
      <c r="L2991" s="444">
        <f t="shared" ca="1" si="139"/>
        <v>-83038467848.350952</v>
      </c>
      <c r="M2991" s="460">
        <f t="shared" si="141"/>
        <v>0.05</v>
      </c>
      <c r="N2991" s="464">
        <f t="shared" si="142"/>
        <v>142082</v>
      </c>
    </row>
    <row r="2992" spans="7:14" ht="11.25" customHeight="1" x14ac:dyDescent="0.3">
      <c r="G2992" s="459"/>
      <c r="H2992" s="459">
        <v>2985</v>
      </c>
      <c r="I2992" s="444">
        <f t="shared" ca="1" si="140"/>
        <v>-83038467848.350952</v>
      </c>
      <c r="J2992" s="444">
        <f t="array" ref="J2992">IFERROR(INDEX('Retirement Calculator'!K:K,MATCH('Lorri 401b'!N2992,'Retirement Calculator'!A:A,0),0),0)</f>
        <v>0</v>
      </c>
      <c r="K2992" s="444">
        <f t="shared" ca="1" si="138"/>
        <v>-345993616.03479564</v>
      </c>
      <c r="L2992" s="444">
        <f t="shared" ca="1" si="139"/>
        <v>-83384461464.385742</v>
      </c>
      <c r="M2992" s="460">
        <f t="shared" si="141"/>
        <v>0.05</v>
      </c>
      <c r="N2992" s="464">
        <f t="shared" si="142"/>
        <v>142113</v>
      </c>
    </row>
    <row r="2993" spans="7:14" ht="11.25" customHeight="1" x14ac:dyDescent="0.3">
      <c r="G2993" s="459"/>
      <c r="H2993" s="459">
        <v>2986</v>
      </c>
      <c r="I2993" s="444">
        <f t="shared" ca="1" si="140"/>
        <v>-83384461464.385742</v>
      </c>
      <c r="J2993" s="444">
        <f t="array" ref="J2993">IFERROR(INDEX('Retirement Calculator'!K:K,MATCH('Lorri 401b'!N2993,'Retirement Calculator'!A:A,0),0),0)</f>
        <v>0</v>
      </c>
      <c r="K2993" s="444">
        <f t="shared" ca="1" si="138"/>
        <v>-347435256.10160726</v>
      </c>
      <c r="L2993" s="444">
        <f t="shared" ca="1" si="139"/>
        <v>-83731896720.48735</v>
      </c>
      <c r="M2993" s="460">
        <f t="shared" si="141"/>
        <v>0.05</v>
      </c>
      <c r="N2993" s="464">
        <f t="shared" si="142"/>
        <v>142141</v>
      </c>
    </row>
    <row r="2994" spans="7:14" ht="11.25" customHeight="1" x14ac:dyDescent="0.3">
      <c r="G2994" s="459"/>
      <c r="H2994" s="459">
        <v>2987</v>
      </c>
      <c r="I2994" s="444">
        <f t="shared" ca="1" si="140"/>
        <v>-83731896720.48735</v>
      </c>
      <c r="J2994" s="444">
        <f t="array" ref="J2994">IFERROR(INDEX('Retirement Calculator'!K:K,MATCH('Lorri 401b'!N2994,'Retirement Calculator'!A:A,0),0),0)</f>
        <v>0</v>
      </c>
      <c r="K2994" s="444">
        <f t="shared" ca="1" si="138"/>
        <v>-348882903.00203061</v>
      </c>
      <c r="L2994" s="444">
        <f t="shared" ca="1" si="139"/>
        <v>-84080779623.48938</v>
      </c>
      <c r="M2994" s="460">
        <f t="shared" si="141"/>
        <v>0.05</v>
      </c>
      <c r="N2994" s="464">
        <f t="shared" si="142"/>
        <v>142172</v>
      </c>
    </row>
    <row r="2995" spans="7:14" ht="11.25" customHeight="1" x14ac:dyDescent="0.3">
      <c r="G2995" s="459"/>
      <c r="H2995" s="459">
        <v>2988</v>
      </c>
      <c r="I2995" s="444">
        <f t="shared" ca="1" si="140"/>
        <v>-84080779623.48938</v>
      </c>
      <c r="J2995" s="444">
        <f t="array" ref="J2995">IFERROR(INDEX('Retirement Calculator'!K:K,MATCH('Lorri 401b'!N2995,'Retirement Calculator'!A:A,0),0),0)</f>
        <v>0</v>
      </c>
      <c r="K2995" s="444">
        <f t="shared" ca="1" si="138"/>
        <v>-350336581.76453906</v>
      </c>
      <c r="L2995" s="444">
        <f t="shared" ca="1" si="139"/>
        <v>-84431116205.253922</v>
      </c>
      <c r="M2995" s="460">
        <f t="shared" si="141"/>
        <v>0.05</v>
      </c>
      <c r="N2995" s="464">
        <f t="shared" si="142"/>
        <v>142202</v>
      </c>
    </row>
    <row r="2996" spans="7:14" ht="11.25" customHeight="1" x14ac:dyDescent="0.3">
      <c r="G2996" s="459"/>
      <c r="H2996" s="459">
        <v>2989</v>
      </c>
      <c r="I2996" s="444">
        <f t="shared" ca="1" si="140"/>
        <v>-84431116205.253922</v>
      </c>
      <c r="J2996" s="444">
        <f t="array" ref="J2996">IFERROR(INDEX('Retirement Calculator'!K:K,MATCH('Lorri 401b'!N2996,'Retirement Calculator'!A:A,0),0),0)</f>
        <v>0</v>
      </c>
      <c r="K2996" s="444">
        <f t="shared" ca="1" si="138"/>
        <v>-351796317.52189136</v>
      </c>
      <c r="L2996" s="444">
        <f t="shared" ca="1" si="139"/>
        <v>-84782912522.775818</v>
      </c>
      <c r="M2996" s="460">
        <f t="shared" si="141"/>
        <v>0.05</v>
      </c>
      <c r="N2996" s="464">
        <f t="shared" si="142"/>
        <v>142233</v>
      </c>
    </row>
    <row r="2997" spans="7:14" ht="11.25" customHeight="1" x14ac:dyDescent="0.3">
      <c r="G2997" s="459"/>
      <c r="H2997" s="459">
        <v>2990</v>
      </c>
      <c r="I2997" s="444">
        <f t="shared" ca="1" si="140"/>
        <v>-84782912522.775818</v>
      </c>
      <c r="J2997" s="444">
        <f t="array" ref="J2997">IFERROR(INDEX('Retirement Calculator'!K:K,MATCH('Lorri 401b'!N2997,'Retirement Calculator'!A:A,0),0),0)</f>
        <v>0</v>
      </c>
      <c r="K2997" s="444">
        <f t="shared" ca="1" si="138"/>
        <v>-353262135.51156592</v>
      </c>
      <c r="L2997" s="444">
        <f t="shared" ca="1" si="139"/>
        <v>-85136174658.287384</v>
      </c>
      <c r="M2997" s="460">
        <f t="shared" si="141"/>
        <v>0.05</v>
      </c>
      <c r="N2997" s="464">
        <f t="shared" si="142"/>
        <v>142263</v>
      </c>
    </row>
    <row r="2998" spans="7:14" ht="11.25" customHeight="1" x14ac:dyDescent="0.3">
      <c r="G2998" s="459"/>
      <c r="H2998" s="459">
        <v>2991</v>
      </c>
      <c r="I2998" s="444">
        <f t="shared" ca="1" si="140"/>
        <v>-85136174658.287384</v>
      </c>
      <c r="J2998" s="444">
        <f t="array" ref="J2998">IFERROR(INDEX('Retirement Calculator'!K:K,MATCH('Lorri 401b'!N2998,'Retirement Calculator'!A:A,0),0),0)</f>
        <v>0</v>
      </c>
      <c r="K2998" s="444">
        <f t="shared" ca="1" si="138"/>
        <v>-354734061.07619745</v>
      </c>
      <c r="L2998" s="444">
        <f t="shared" ca="1" si="139"/>
        <v>-85490908719.363586</v>
      </c>
      <c r="M2998" s="460">
        <f t="shared" si="141"/>
        <v>0.05</v>
      </c>
      <c r="N2998" s="464">
        <f t="shared" si="142"/>
        <v>142294</v>
      </c>
    </row>
    <row r="2999" spans="7:14" ht="11.25" customHeight="1" x14ac:dyDescent="0.3">
      <c r="G2999" s="459"/>
      <c r="H2999" s="459">
        <v>2992</v>
      </c>
      <c r="I2999" s="444">
        <f t="shared" ca="1" si="140"/>
        <v>-85490908719.363586</v>
      </c>
      <c r="J2999" s="444">
        <f t="array" ref="J2999">IFERROR(INDEX('Retirement Calculator'!K:K,MATCH('Lorri 401b'!N2999,'Retirement Calculator'!A:A,0),0),0)</f>
        <v>0</v>
      </c>
      <c r="K2999" s="444">
        <f t="shared" ca="1" si="138"/>
        <v>-356212119.66401494</v>
      </c>
      <c r="L2999" s="444">
        <f t="shared" ca="1" si="139"/>
        <v>-85847120839.027603</v>
      </c>
      <c r="M2999" s="460">
        <f t="shared" si="141"/>
        <v>0.05</v>
      </c>
      <c r="N2999" s="464">
        <f t="shared" si="142"/>
        <v>142325</v>
      </c>
    </row>
    <row r="3000" spans="7:14" ht="11.25" customHeight="1" x14ac:dyDescent="0.3">
      <c r="G3000" s="459"/>
      <c r="H3000" s="459">
        <v>2993</v>
      </c>
      <c r="I3000" s="444">
        <f t="shared" ca="1" si="140"/>
        <v>-85847120839.027603</v>
      </c>
      <c r="J3000" s="444">
        <f t="array" ref="J3000">IFERROR(INDEX('Retirement Calculator'!K:K,MATCH('Lorri 401b'!N3000,'Retirement Calculator'!A:A,0),0),0)</f>
        <v>0</v>
      </c>
      <c r="K3000" s="444">
        <f t="shared" ca="1" si="138"/>
        <v>-357696336.82928169</v>
      </c>
      <c r="L3000" s="444">
        <f t="shared" ca="1" si="139"/>
        <v>-86204817175.856888</v>
      </c>
      <c r="M3000" s="460">
        <f t="shared" si="141"/>
        <v>0.05</v>
      </c>
      <c r="N3000" s="464">
        <f t="shared" si="142"/>
        <v>142355</v>
      </c>
    </row>
    <row r="3001" spans="7:14" ht="11.25" customHeight="1" x14ac:dyDescent="0.3">
      <c r="G3001" s="459"/>
      <c r="H3001" s="459">
        <v>2994</v>
      </c>
      <c r="I3001" s="444">
        <f t="shared" ca="1" si="140"/>
        <v>-86204817175.856888</v>
      </c>
      <c r="J3001" s="444">
        <f t="array" ref="J3001">IFERROR(INDEX('Retirement Calculator'!K:K,MATCH('Lorri 401b'!N3001,'Retirement Calculator'!A:A,0),0),0)</f>
        <v>0</v>
      </c>
      <c r="K3001" s="444">
        <f t="shared" ca="1" si="138"/>
        <v>-359186738.232737</v>
      </c>
      <c r="L3001" s="444">
        <f t="shared" ca="1" si="139"/>
        <v>-86564003914.08963</v>
      </c>
      <c r="M3001" s="460">
        <f t="shared" si="141"/>
        <v>0.05</v>
      </c>
      <c r="N3001" s="464">
        <f t="shared" si="142"/>
        <v>142386</v>
      </c>
    </row>
    <row r="3002" spans="7:14" ht="11.25" customHeight="1" x14ac:dyDescent="0.3">
      <c r="G3002" s="459"/>
      <c r="H3002" s="459">
        <v>2995</v>
      </c>
      <c r="I3002" s="444">
        <f t="shared" ca="1" si="140"/>
        <v>-86564003914.08963</v>
      </c>
      <c r="J3002" s="444">
        <f t="array" ref="J3002">IFERROR(INDEX('Retirement Calculator'!K:K,MATCH('Lorri 401b'!N3002,'Retirement Calculator'!A:A,0),0),0)</f>
        <v>0</v>
      </c>
      <c r="K3002" s="444">
        <f t="shared" ca="1" si="138"/>
        <v>-360683349.64204013</v>
      </c>
      <c r="L3002" s="444">
        <f t="shared" ca="1" si="139"/>
        <v>-86924687263.731674</v>
      </c>
      <c r="M3002" s="460">
        <f t="shared" si="141"/>
        <v>0.05</v>
      </c>
      <c r="N3002" s="464">
        <f t="shared" si="142"/>
        <v>142416</v>
      </c>
    </row>
    <row r="3003" spans="7:14" ht="11.25" customHeight="1" x14ac:dyDescent="0.3">
      <c r="G3003" s="459"/>
      <c r="H3003" s="459">
        <v>2996</v>
      </c>
      <c r="I3003" s="444">
        <f t="shared" ca="1" si="140"/>
        <v>-86924687263.731674</v>
      </c>
      <c r="J3003" s="444">
        <f t="array" ref="J3003">IFERROR(INDEX('Retirement Calculator'!K:K,MATCH('Lorri 401b'!N3003,'Retirement Calculator'!A:A,0),0),0)</f>
        <v>0</v>
      </c>
      <c r="K3003" s="444">
        <f t="shared" ca="1" si="138"/>
        <v>-362186196.93221533</v>
      </c>
      <c r="L3003" s="444">
        <f t="shared" ca="1" si="139"/>
        <v>-87286873460.663895</v>
      </c>
      <c r="M3003" s="460">
        <f t="shared" si="141"/>
        <v>0.05</v>
      </c>
      <c r="N3003" s="464">
        <f t="shared" si="142"/>
        <v>142447</v>
      </c>
    </row>
    <row r="3004" spans="7:14" ht="11.25" customHeight="1" x14ac:dyDescent="0.3">
      <c r="G3004" s="459"/>
      <c r="H3004" s="459">
        <v>2997</v>
      </c>
      <c r="I3004" s="444">
        <f t="shared" ca="1" si="140"/>
        <v>-87286873460.663895</v>
      </c>
      <c r="J3004" s="444">
        <f t="array" ref="J3004">IFERROR(INDEX('Retirement Calculator'!K:K,MATCH('Lorri 401b'!N3004,'Retirement Calculator'!A:A,0),0),0)</f>
        <v>0</v>
      </c>
      <c r="K3004" s="444">
        <f t="shared" ca="1" si="138"/>
        <v>-363695306.08609957</v>
      </c>
      <c r="L3004" s="444">
        <f t="shared" ca="1" si="139"/>
        <v>-87650568766.75</v>
      </c>
      <c r="M3004" s="460">
        <f t="shared" si="141"/>
        <v>0.05</v>
      </c>
      <c r="N3004" s="464">
        <f t="shared" si="142"/>
        <v>142478</v>
      </c>
    </row>
    <row r="3005" spans="7:14" ht="11.25" customHeight="1" x14ac:dyDescent="0.3">
      <c r="G3005" s="459"/>
      <c r="H3005" s="459">
        <v>2998</v>
      </c>
      <c r="I3005" s="444">
        <f t="shared" ca="1" si="140"/>
        <v>-87650568766.75</v>
      </c>
      <c r="J3005" s="444">
        <f t="array" ref="J3005">IFERROR(INDEX('Retirement Calculator'!K:K,MATCH('Lorri 401b'!N3005,'Retirement Calculator'!A:A,0),0),0)</f>
        <v>0</v>
      </c>
      <c r="K3005" s="444">
        <f t="shared" ca="1" si="138"/>
        <v>-365210703.19479167</v>
      </c>
      <c r="L3005" s="444">
        <f t="shared" ca="1" si="139"/>
        <v>-88015779469.944794</v>
      </c>
      <c r="M3005" s="460">
        <f t="shared" si="141"/>
        <v>0.05</v>
      </c>
      <c r="N3005" s="464">
        <f t="shared" si="142"/>
        <v>142506</v>
      </c>
    </row>
    <row r="3006" spans="7:14" ht="11.25" customHeight="1" x14ac:dyDescent="0.3">
      <c r="G3006" s="459"/>
      <c r="H3006" s="459">
        <v>2999</v>
      </c>
      <c r="I3006" s="444">
        <f t="shared" ca="1" si="140"/>
        <v>-88015779469.944794</v>
      </c>
      <c r="J3006" s="444">
        <f t="array" ref="J3006">IFERROR(INDEX('Retirement Calculator'!K:K,MATCH('Lorri 401b'!N3006,'Retirement Calculator'!A:A,0),0),0)</f>
        <v>0</v>
      </c>
      <c r="K3006" s="444">
        <f t="shared" ca="1" si="138"/>
        <v>-366732414.4581033</v>
      </c>
      <c r="L3006" s="444">
        <f t="shared" ca="1" si="139"/>
        <v>-88382511884.402893</v>
      </c>
      <c r="M3006" s="460">
        <f t="shared" si="141"/>
        <v>0.05</v>
      </c>
      <c r="N3006" s="464">
        <f t="shared" si="142"/>
        <v>142537</v>
      </c>
    </row>
    <row r="3007" spans="7:14" ht="11.25" customHeight="1" x14ac:dyDescent="0.3">
      <c r="G3007" s="459"/>
      <c r="H3007" s="459">
        <v>3000</v>
      </c>
      <c r="I3007" s="444">
        <f t="shared" ca="1" si="140"/>
        <v>-88382511884.402893</v>
      </c>
      <c r="J3007" s="444">
        <f t="array" ref="J3007">IFERROR(INDEX('Retirement Calculator'!K:K,MATCH('Lorri 401b'!N3007,'Retirement Calculator'!A:A,0),0),0)</f>
        <v>0</v>
      </c>
      <c r="K3007" s="444">
        <f t="shared" ca="1" si="138"/>
        <v>-368260466.18501204</v>
      </c>
      <c r="L3007" s="444">
        <f t="shared" ca="1" si="139"/>
        <v>-88750772350.587906</v>
      </c>
      <c r="M3007" s="460">
        <f t="shared" si="141"/>
        <v>0.05</v>
      </c>
      <c r="N3007" s="464">
        <f t="shared" si="142"/>
        <v>142567</v>
      </c>
    </row>
    <row r="3008" spans="7:14" ht="11.25" customHeight="1" x14ac:dyDescent="0.3">
      <c r="G3008" s="459"/>
      <c r="H3008" s="459">
        <v>3001</v>
      </c>
      <c r="I3008" s="444">
        <f t="shared" ca="1" si="140"/>
        <v>-88750772350.587906</v>
      </c>
      <c r="J3008" s="444">
        <f t="array" ref="J3008">IFERROR(INDEX('Retirement Calculator'!K:K,MATCH('Lorri 401b'!N3008,'Retirement Calculator'!A:A,0),0),0)</f>
        <v>0</v>
      </c>
      <c r="K3008" s="444">
        <f t="shared" ca="1" si="138"/>
        <v>-369794884.79411626</v>
      </c>
      <c r="L3008" s="444">
        <f t="shared" ca="1" si="139"/>
        <v>-89120567235.382019</v>
      </c>
      <c r="M3008" s="460">
        <f t="shared" si="141"/>
        <v>0.05</v>
      </c>
      <c r="N3008" s="464">
        <f t="shared" si="142"/>
        <v>142598</v>
      </c>
    </row>
    <row r="3009" spans="7:14" ht="11.25" customHeight="1" x14ac:dyDescent="0.3">
      <c r="G3009" s="459"/>
      <c r="H3009" s="459">
        <v>3002</v>
      </c>
      <c r="I3009" s="444">
        <f t="shared" ca="1" si="140"/>
        <v>-89120567235.382019</v>
      </c>
      <c r="J3009" s="444">
        <f t="array" ref="J3009">IFERROR(INDEX('Retirement Calculator'!K:K,MATCH('Lorri 401b'!N3009,'Retirement Calculator'!A:A,0),0),0)</f>
        <v>0</v>
      </c>
      <c r="K3009" s="444">
        <f t="shared" ca="1" si="138"/>
        <v>-371335696.81409174</v>
      </c>
      <c r="L3009" s="444">
        <f t="shared" ca="1" si="139"/>
        <v>-89491902932.196106</v>
      </c>
      <c r="M3009" s="460">
        <f t="shared" si="141"/>
        <v>0.05</v>
      </c>
      <c r="N3009" s="464">
        <f t="shared" si="142"/>
        <v>142628</v>
      </c>
    </row>
    <row r="3010" spans="7:14" ht="11.25" customHeight="1" x14ac:dyDescent="0.3">
      <c r="G3010" s="459"/>
      <c r="H3010" s="459">
        <v>3003</v>
      </c>
      <c r="I3010" s="444">
        <f t="shared" ca="1" si="140"/>
        <v>-89491902932.196106</v>
      </c>
      <c r="J3010" s="444">
        <f t="array" ref="J3010">IFERROR(INDEX('Retirement Calculator'!K:K,MATCH('Lorri 401b'!N3010,'Retirement Calculator'!A:A,0),0),0)</f>
        <v>0</v>
      </c>
      <c r="K3010" s="444">
        <f t="shared" ca="1" si="138"/>
        <v>-372882928.88415045</v>
      </c>
      <c r="L3010" s="444">
        <f t="shared" ca="1" si="139"/>
        <v>-89864785861.080261</v>
      </c>
      <c r="M3010" s="460">
        <f t="shared" si="141"/>
        <v>0.05</v>
      </c>
      <c r="N3010" s="464">
        <f t="shared" si="142"/>
        <v>142659</v>
      </c>
    </row>
    <row r="3011" spans="7:14" ht="11.25" customHeight="1" x14ac:dyDescent="0.3">
      <c r="G3011" s="459"/>
      <c r="H3011" s="459">
        <v>3004</v>
      </c>
      <c r="I3011" s="444">
        <f t="shared" ca="1" si="140"/>
        <v>-89864785861.080261</v>
      </c>
      <c r="J3011" s="444">
        <f t="array" ref="J3011">IFERROR(INDEX('Retirement Calculator'!K:K,MATCH('Lorri 401b'!N3011,'Retirement Calculator'!A:A,0),0),0)</f>
        <v>0</v>
      </c>
      <c r="K3011" s="444">
        <f t="shared" ca="1" si="138"/>
        <v>-374436607.7545011</v>
      </c>
      <c r="L3011" s="444">
        <f t="shared" ca="1" si="139"/>
        <v>-90239222468.834763</v>
      </c>
      <c r="M3011" s="460">
        <f t="shared" si="141"/>
        <v>0.05</v>
      </c>
      <c r="N3011" s="464">
        <f t="shared" si="142"/>
        <v>142690</v>
      </c>
    </row>
    <row r="3012" spans="7:14" ht="11.25" customHeight="1" x14ac:dyDescent="0.3">
      <c r="G3012" s="459"/>
      <c r="H3012" s="459">
        <v>3005</v>
      </c>
      <c r="I3012" s="444">
        <f t="shared" ca="1" si="140"/>
        <v>-90239222468.834763</v>
      </c>
      <c r="J3012" s="444">
        <f t="array" ref="J3012">IFERROR(INDEX('Retirement Calculator'!K:K,MATCH('Lorri 401b'!N3012,'Retirement Calculator'!A:A,0),0),0)</f>
        <v>0</v>
      </c>
      <c r="K3012" s="444">
        <f t="shared" ca="1" si="138"/>
        <v>-375996760.28681153</v>
      </c>
      <c r="L3012" s="444">
        <f t="shared" ca="1" si="139"/>
        <v>-90615219229.121567</v>
      </c>
      <c r="M3012" s="460">
        <f t="shared" si="141"/>
        <v>0.05</v>
      </c>
      <c r="N3012" s="464">
        <f t="shared" si="142"/>
        <v>142720</v>
      </c>
    </row>
    <row r="3013" spans="7:14" ht="11.25" customHeight="1" x14ac:dyDescent="0.3">
      <c r="G3013" s="459"/>
      <c r="H3013" s="459">
        <v>3006</v>
      </c>
      <c r="I3013" s="444">
        <f t="shared" ca="1" si="140"/>
        <v>-90615219229.121567</v>
      </c>
      <c r="J3013" s="444">
        <f t="array" ref="J3013">IFERROR(INDEX('Retirement Calculator'!K:K,MATCH('Lorri 401b'!N3013,'Retirement Calculator'!A:A,0),0),0)</f>
        <v>0</v>
      </c>
      <c r="K3013" s="444">
        <f t="shared" ca="1" si="138"/>
        <v>-377563413.45467317</v>
      </c>
      <c r="L3013" s="444">
        <f t="shared" ca="1" si="139"/>
        <v>-90992782642.576233</v>
      </c>
      <c r="M3013" s="460">
        <f t="shared" si="141"/>
        <v>0.05</v>
      </c>
      <c r="N3013" s="464">
        <f t="shared" si="142"/>
        <v>142751</v>
      </c>
    </row>
    <row r="3014" spans="7:14" ht="11.25" customHeight="1" x14ac:dyDescent="0.3">
      <c r="G3014" s="459"/>
      <c r="H3014" s="459">
        <v>3007</v>
      </c>
      <c r="I3014" s="444">
        <f t="shared" ca="1" si="140"/>
        <v>-90992782642.576233</v>
      </c>
      <c r="J3014" s="444">
        <f t="array" ref="J3014">IFERROR(INDEX('Retirement Calculator'!K:K,MATCH('Lorri 401b'!N3014,'Retirement Calculator'!A:A,0),0),0)</f>
        <v>0</v>
      </c>
      <c r="K3014" s="444">
        <f t="shared" ca="1" si="138"/>
        <v>-379136594.34406763</v>
      </c>
      <c r="L3014" s="444">
        <f t="shared" ca="1" si="139"/>
        <v>-91371919236.920303</v>
      </c>
      <c r="M3014" s="460">
        <f t="shared" si="141"/>
        <v>0.05</v>
      </c>
      <c r="N3014" s="464">
        <f t="shared" si="142"/>
        <v>142781</v>
      </c>
    </row>
    <row r="3015" spans="7:14" ht="11.25" customHeight="1" x14ac:dyDescent="0.3">
      <c r="G3015" s="459"/>
      <c r="H3015" s="459">
        <v>3008</v>
      </c>
      <c r="I3015" s="444">
        <f t="shared" ca="1" si="140"/>
        <v>-91371919236.920303</v>
      </c>
      <c r="J3015" s="444">
        <f t="array" ref="J3015">IFERROR(INDEX('Retirement Calculator'!K:K,MATCH('Lorri 401b'!N3015,'Retirement Calculator'!A:A,0),0),0)</f>
        <v>0</v>
      </c>
      <c r="K3015" s="444">
        <f t="shared" ca="1" si="138"/>
        <v>-380716330.15383458</v>
      </c>
      <c r="L3015" s="444">
        <f t="shared" ca="1" si="139"/>
        <v>-91752635567.074142</v>
      </c>
      <c r="M3015" s="460">
        <f t="shared" si="141"/>
        <v>0.05</v>
      </c>
      <c r="N3015" s="464">
        <f t="shared" si="142"/>
        <v>142812</v>
      </c>
    </row>
    <row r="3016" spans="7:14" ht="11.25" customHeight="1" x14ac:dyDescent="0.3">
      <c r="G3016" s="459"/>
      <c r="H3016" s="459">
        <v>3009</v>
      </c>
      <c r="I3016" s="444">
        <f t="shared" ca="1" si="140"/>
        <v>-91752635567.074142</v>
      </c>
      <c r="J3016" s="444">
        <f t="array" ref="J3016">IFERROR(INDEX('Retirement Calculator'!K:K,MATCH('Lorri 401b'!N3016,'Retirement Calculator'!A:A,0),0),0)</f>
        <v>0</v>
      </c>
      <c r="K3016" s="444">
        <f t="shared" ca="1" si="138"/>
        <v>-382302648.19614226</v>
      </c>
      <c r="L3016" s="444">
        <f t="shared" ca="1" si="139"/>
        <v>-92134938215.270279</v>
      </c>
      <c r="M3016" s="460">
        <f t="shared" si="141"/>
        <v>0.05</v>
      </c>
      <c r="N3016" s="464">
        <f t="shared" si="142"/>
        <v>142843</v>
      </c>
    </row>
    <row r="3017" spans="7:14" ht="11.25" customHeight="1" x14ac:dyDescent="0.3">
      <c r="G3017" s="459"/>
      <c r="H3017" s="459">
        <v>3010</v>
      </c>
      <c r="I3017" s="444">
        <f t="shared" ca="1" si="140"/>
        <v>-92134938215.270279</v>
      </c>
      <c r="J3017" s="444">
        <f t="array" ref="J3017">IFERROR(INDEX('Retirement Calculator'!K:K,MATCH('Lorri 401b'!N3017,'Retirement Calculator'!A:A,0),0),0)</f>
        <v>0</v>
      </c>
      <c r="K3017" s="444">
        <f t="shared" ca="1" si="138"/>
        <v>-383895575.89695948</v>
      </c>
      <c r="L3017" s="444">
        <f t="shared" ca="1" si="139"/>
        <v>-92518833791.167236</v>
      </c>
      <c r="M3017" s="460">
        <f t="shared" si="141"/>
        <v>0.05</v>
      </c>
      <c r="N3017" s="464">
        <f t="shared" si="142"/>
        <v>142871</v>
      </c>
    </row>
    <row r="3018" spans="7:14" ht="11.25" customHeight="1" x14ac:dyDescent="0.3">
      <c r="G3018" s="459"/>
      <c r="H3018" s="459">
        <v>3011</v>
      </c>
      <c r="I3018" s="444">
        <f t="shared" ca="1" si="140"/>
        <v>-92518833791.167236</v>
      </c>
      <c r="J3018" s="444">
        <f t="array" ref="J3018">IFERROR(INDEX('Retirement Calculator'!K:K,MATCH('Lorri 401b'!N3018,'Retirement Calculator'!A:A,0),0),0)</f>
        <v>0</v>
      </c>
      <c r="K3018" s="444">
        <f t="shared" ca="1" si="138"/>
        <v>-385495140.79653013</v>
      </c>
      <c r="L3018" s="444">
        <f t="shared" ca="1" si="139"/>
        <v>-92904328931.96376</v>
      </c>
      <c r="M3018" s="460">
        <f t="shared" si="141"/>
        <v>0.05</v>
      </c>
      <c r="N3018" s="464">
        <f t="shared" si="142"/>
        <v>142902</v>
      </c>
    </row>
    <row r="3019" spans="7:14" ht="11.25" customHeight="1" x14ac:dyDescent="0.3">
      <c r="G3019" s="459"/>
      <c r="H3019" s="459">
        <v>3012</v>
      </c>
      <c r="I3019" s="444">
        <f t="shared" ca="1" si="140"/>
        <v>-92904328931.96376</v>
      </c>
      <c r="J3019" s="444">
        <f t="array" ref="J3019">IFERROR(INDEX('Retirement Calculator'!K:K,MATCH('Lorri 401b'!N3019,'Retirement Calculator'!A:A,0),0),0)</f>
        <v>0</v>
      </c>
      <c r="K3019" s="444">
        <f t="shared" ca="1" si="138"/>
        <v>-387101370.54984897</v>
      </c>
      <c r="L3019" s="444">
        <f t="shared" ca="1" si="139"/>
        <v>-93291430302.513611</v>
      </c>
      <c r="M3019" s="460">
        <f t="shared" si="141"/>
        <v>0.05</v>
      </c>
      <c r="N3019" s="464">
        <f t="shared" si="142"/>
        <v>142932</v>
      </c>
    </row>
    <row r="3020" spans="7:14" ht="11.25" customHeight="1" x14ac:dyDescent="0.3">
      <c r="G3020" s="459"/>
      <c r="H3020" s="459">
        <v>3013</v>
      </c>
      <c r="I3020" s="444">
        <f t="shared" ca="1" si="140"/>
        <v>-93291430302.513611</v>
      </c>
      <c r="J3020" s="444">
        <f t="array" ref="J3020">IFERROR(INDEX('Retirement Calculator'!K:K,MATCH('Lorri 401b'!N3020,'Retirement Calculator'!A:A,0),0),0)</f>
        <v>0</v>
      </c>
      <c r="K3020" s="444">
        <f t="shared" ca="1" si="138"/>
        <v>-388714292.92714006</v>
      </c>
      <c r="L3020" s="444">
        <f t="shared" ca="1" si="139"/>
        <v>-93680144595.44075</v>
      </c>
      <c r="M3020" s="460">
        <f t="shared" si="141"/>
        <v>0.05</v>
      </c>
      <c r="N3020" s="464">
        <f t="shared" si="142"/>
        <v>142963</v>
      </c>
    </row>
    <row r="3021" spans="7:14" ht="11.25" customHeight="1" x14ac:dyDescent="0.3">
      <c r="G3021" s="459"/>
      <c r="H3021" s="459">
        <v>3014</v>
      </c>
      <c r="I3021" s="444">
        <f t="shared" ca="1" si="140"/>
        <v>-93680144595.44075</v>
      </c>
      <c r="J3021" s="444">
        <f t="array" ref="J3021">IFERROR(INDEX('Retirement Calculator'!K:K,MATCH('Lorri 401b'!N3021,'Retirement Calculator'!A:A,0),0),0)</f>
        <v>0</v>
      </c>
      <c r="K3021" s="444">
        <f t="shared" ca="1" si="138"/>
        <v>-390333935.81433648</v>
      </c>
      <c r="L3021" s="444">
        <f t="shared" ca="1" si="139"/>
        <v>-94070478531.255081</v>
      </c>
      <c r="M3021" s="460">
        <f t="shared" si="141"/>
        <v>0.05</v>
      </c>
      <c r="N3021" s="464">
        <f t="shared" si="142"/>
        <v>142993</v>
      </c>
    </row>
    <row r="3022" spans="7:14" ht="11.25" customHeight="1" x14ac:dyDescent="0.3">
      <c r="G3022" s="459"/>
      <c r="H3022" s="459">
        <v>3015</v>
      </c>
      <c r="I3022" s="444">
        <f t="shared" ca="1" si="140"/>
        <v>-94070478531.255081</v>
      </c>
      <c r="J3022" s="444">
        <f t="array" ref="J3022">IFERROR(INDEX('Retirement Calculator'!K:K,MATCH('Lorri 401b'!N3022,'Retirement Calculator'!A:A,0),0),0)</f>
        <v>0</v>
      </c>
      <c r="K3022" s="444">
        <f t="shared" ca="1" si="138"/>
        <v>-391960327.21356285</v>
      </c>
      <c r="L3022" s="444">
        <f t="shared" ca="1" si="139"/>
        <v>-94462438858.468643</v>
      </c>
      <c r="M3022" s="460">
        <f t="shared" si="141"/>
        <v>0.05</v>
      </c>
      <c r="N3022" s="464">
        <f t="shared" si="142"/>
        <v>143024</v>
      </c>
    </row>
    <row r="3023" spans="7:14" ht="11.25" customHeight="1" x14ac:dyDescent="0.3">
      <c r="G3023" s="459"/>
      <c r="H3023" s="459">
        <v>3016</v>
      </c>
      <c r="I3023" s="444">
        <f t="shared" ca="1" si="140"/>
        <v>-94462438858.468643</v>
      </c>
      <c r="J3023" s="444">
        <f t="array" ref="J3023">IFERROR(INDEX('Retirement Calculator'!K:K,MATCH('Lorri 401b'!N3023,'Retirement Calculator'!A:A,0),0),0)</f>
        <v>0</v>
      </c>
      <c r="K3023" s="444">
        <f t="shared" ca="1" si="138"/>
        <v>-393593495.24361932</v>
      </c>
      <c r="L3023" s="444">
        <f t="shared" ca="1" si="139"/>
        <v>-94856032353.712265</v>
      </c>
      <c r="M3023" s="460">
        <f t="shared" si="141"/>
        <v>0.05</v>
      </c>
      <c r="N3023" s="464">
        <f t="shared" si="142"/>
        <v>143055</v>
      </c>
    </row>
    <row r="3024" spans="7:14" ht="11.25" customHeight="1" x14ac:dyDescent="0.3">
      <c r="G3024" s="459"/>
      <c r="H3024" s="459">
        <v>3017</v>
      </c>
      <c r="I3024" s="444">
        <f t="shared" ca="1" si="140"/>
        <v>-94856032353.712265</v>
      </c>
      <c r="J3024" s="444">
        <f t="array" ref="J3024">IFERROR(INDEX('Retirement Calculator'!K:K,MATCH('Lorri 401b'!N3024,'Retirement Calculator'!A:A,0),0),0)</f>
        <v>0</v>
      </c>
      <c r="K3024" s="444">
        <f t="shared" ca="1" si="138"/>
        <v>-395233468.14046776</v>
      </c>
      <c r="L3024" s="444">
        <f t="shared" ca="1" si="139"/>
        <v>-95251265821.852737</v>
      </c>
      <c r="M3024" s="460">
        <f t="shared" si="141"/>
        <v>0.05</v>
      </c>
      <c r="N3024" s="464">
        <f t="shared" si="142"/>
        <v>143085</v>
      </c>
    </row>
    <row r="3025" spans="7:14" ht="11.25" customHeight="1" x14ac:dyDescent="0.3">
      <c r="G3025" s="459"/>
      <c r="H3025" s="459">
        <v>3018</v>
      </c>
      <c r="I3025" s="444">
        <f t="shared" ca="1" si="140"/>
        <v>-95251265821.852737</v>
      </c>
      <c r="J3025" s="444">
        <f t="array" ref="J3025">IFERROR(INDEX('Retirement Calculator'!K:K,MATCH('Lorri 401b'!N3025,'Retirement Calculator'!A:A,0),0),0)</f>
        <v>0</v>
      </c>
      <c r="K3025" s="444">
        <f t="shared" ca="1" si="138"/>
        <v>-396880274.25771976</v>
      </c>
      <c r="L3025" s="444">
        <f t="shared" ca="1" si="139"/>
        <v>-95648146096.110458</v>
      </c>
      <c r="M3025" s="460">
        <f t="shared" si="141"/>
        <v>0.05</v>
      </c>
      <c r="N3025" s="464">
        <f t="shared" si="142"/>
        <v>143116</v>
      </c>
    </row>
    <row r="3026" spans="7:14" ht="11.25" customHeight="1" x14ac:dyDescent="0.3">
      <c r="G3026" s="459"/>
      <c r="H3026" s="459">
        <v>3019</v>
      </c>
      <c r="I3026" s="444">
        <f t="shared" ca="1" si="140"/>
        <v>-95648146096.110458</v>
      </c>
      <c r="J3026" s="444">
        <f t="array" ref="J3026">IFERROR(INDEX('Retirement Calculator'!K:K,MATCH('Lorri 401b'!N3026,'Retirement Calculator'!A:A,0),0),0)</f>
        <v>0</v>
      </c>
      <c r="K3026" s="444">
        <f t="shared" ca="1" si="138"/>
        <v>-398533942.06712693</v>
      </c>
      <c r="L3026" s="444">
        <f t="shared" ca="1" si="139"/>
        <v>-96046680038.177582</v>
      </c>
      <c r="M3026" s="460">
        <f t="shared" si="141"/>
        <v>0.05</v>
      </c>
      <c r="N3026" s="464">
        <f t="shared" si="142"/>
        <v>143146</v>
      </c>
    </row>
    <row r="3027" spans="7:14" ht="11.25" customHeight="1" x14ac:dyDescent="0.3">
      <c r="G3027" s="459"/>
      <c r="H3027" s="459">
        <v>3020</v>
      </c>
      <c r="I3027" s="444">
        <f t="shared" ca="1" si="140"/>
        <v>-96046680038.177582</v>
      </c>
      <c r="J3027" s="444">
        <f t="array" ref="J3027">IFERROR(INDEX('Retirement Calculator'!K:K,MATCH('Lorri 401b'!N3027,'Retirement Calculator'!A:A,0),0),0)</f>
        <v>0</v>
      </c>
      <c r="K3027" s="444">
        <f t="shared" ca="1" si="138"/>
        <v>-400194500.15907323</v>
      </c>
      <c r="L3027" s="444">
        <f t="shared" ca="1" si="139"/>
        <v>-96446874538.336655</v>
      </c>
      <c r="M3027" s="460">
        <f t="shared" si="141"/>
        <v>0.05</v>
      </c>
      <c r="N3027" s="464">
        <f t="shared" si="142"/>
        <v>143177</v>
      </c>
    </row>
    <row r="3028" spans="7:14" ht="11.25" customHeight="1" x14ac:dyDescent="0.3">
      <c r="G3028" s="459"/>
      <c r="H3028" s="459">
        <v>3021</v>
      </c>
      <c r="I3028" s="444">
        <f t="shared" ca="1" si="140"/>
        <v>-96446874538.336655</v>
      </c>
      <c r="J3028" s="444">
        <f t="array" ref="J3028">IFERROR(INDEX('Retirement Calculator'!K:K,MATCH('Lorri 401b'!N3028,'Retirement Calculator'!A:A,0),0),0)</f>
        <v>0</v>
      </c>
      <c r="K3028" s="444">
        <f t="shared" ca="1" si="138"/>
        <v>-401861977.24306941</v>
      </c>
      <c r="L3028" s="444">
        <f t="shared" ca="1" si="139"/>
        <v>-96848736515.579727</v>
      </c>
      <c r="M3028" s="460">
        <f t="shared" si="141"/>
        <v>0.05</v>
      </c>
      <c r="N3028" s="464">
        <f t="shared" si="142"/>
        <v>143208</v>
      </c>
    </row>
    <row r="3029" spans="7:14" ht="11.25" customHeight="1" x14ac:dyDescent="0.3">
      <c r="G3029" s="459"/>
      <c r="H3029" s="459">
        <v>3022</v>
      </c>
      <c r="I3029" s="444">
        <f t="shared" ca="1" si="140"/>
        <v>-96848736515.579727</v>
      </c>
      <c r="J3029" s="444">
        <f t="array" ref="J3029">IFERROR(INDEX('Retirement Calculator'!K:K,MATCH('Lorri 401b'!N3029,'Retirement Calculator'!A:A,0),0),0)</f>
        <v>0</v>
      </c>
      <c r="K3029" s="444">
        <f t="shared" ca="1" si="138"/>
        <v>-403536402.14824885</v>
      </c>
      <c r="L3029" s="444">
        <f t="shared" ca="1" si="139"/>
        <v>-97252272917.727982</v>
      </c>
      <c r="M3029" s="460">
        <f t="shared" si="141"/>
        <v>0.05</v>
      </c>
      <c r="N3029" s="464">
        <f t="shared" si="142"/>
        <v>143237</v>
      </c>
    </row>
    <row r="3030" spans="7:14" ht="11.25" customHeight="1" x14ac:dyDescent="0.3">
      <c r="G3030" s="459"/>
      <c r="H3030" s="459">
        <v>3023</v>
      </c>
      <c r="I3030" s="444">
        <f t="shared" ca="1" si="140"/>
        <v>-97252272917.727982</v>
      </c>
      <c r="J3030" s="444">
        <f t="array" ref="J3030">IFERROR(INDEX('Retirement Calculator'!K:K,MATCH('Lorri 401b'!N3030,'Retirement Calculator'!A:A,0),0),0)</f>
        <v>0</v>
      </c>
      <c r="K3030" s="444">
        <f t="shared" ca="1" si="138"/>
        <v>-405217803.82386661</v>
      </c>
      <c r="L3030" s="444">
        <f t="shared" ca="1" si="139"/>
        <v>-97657490721.551849</v>
      </c>
      <c r="M3030" s="460">
        <f t="shared" si="141"/>
        <v>0.05</v>
      </c>
      <c r="N3030" s="464">
        <f t="shared" si="142"/>
        <v>143268</v>
      </c>
    </row>
    <row r="3031" spans="7:14" ht="11.25" customHeight="1" x14ac:dyDescent="0.3">
      <c r="G3031" s="459"/>
      <c r="H3031" s="459">
        <v>3024</v>
      </c>
      <c r="I3031" s="444">
        <f t="shared" ca="1" si="140"/>
        <v>-97657490721.551849</v>
      </c>
      <c r="J3031" s="444">
        <f t="array" ref="J3031">IFERROR(INDEX('Retirement Calculator'!K:K,MATCH('Lorri 401b'!N3031,'Retirement Calculator'!A:A,0),0),0)</f>
        <v>0</v>
      </c>
      <c r="K3031" s="444">
        <f t="shared" ca="1" si="138"/>
        <v>-406906211.33979934</v>
      </c>
      <c r="L3031" s="444">
        <f t="shared" ca="1" si="139"/>
        <v>-98064396932.891647</v>
      </c>
      <c r="M3031" s="460">
        <f t="shared" si="141"/>
        <v>0.05</v>
      </c>
      <c r="N3031" s="464">
        <f t="shared" si="142"/>
        <v>143298</v>
      </c>
    </row>
    <row r="3032" spans="7:14" ht="11.25" customHeight="1" x14ac:dyDescent="0.3">
      <c r="G3032" s="459"/>
      <c r="H3032" s="459">
        <v>3025</v>
      </c>
      <c r="I3032" s="444">
        <f t="shared" ca="1" si="140"/>
        <v>-98064396932.891647</v>
      </c>
      <c r="J3032" s="444">
        <f t="array" ref="J3032">IFERROR(INDEX('Retirement Calculator'!K:K,MATCH('Lorri 401b'!N3032,'Retirement Calculator'!A:A,0),0),0)</f>
        <v>0</v>
      </c>
      <c r="K3032" s="444">
        <f t="shared" ca="1" si="138"/>
        <v>-408601653.88704854</v>
      </c>
      <c r="L3032" s="444">
        <f t="shared" ca="1" si="139"/>
        <v>-98472998586.778702</v>
      </c>
      <c r="M3032" s="460">
        <f t="shared" si="141"/>
        <v>0.05</v>
      </c>
      <c r="N3032" s="464">
        <f t="shared" si="142"/>
        <v>143329</v>
      </c>
    </row>
    <row r="3033" spans="7:14" ht="11.25" customHeight="1" x14ac:dyDescent="0.3">
      <c r="G3033" s="459"/>
      <c r="H3033" s="459">
        <v>3026</v>
      </c>
      <c r="I3033" s="444">
        <f t="shared" ca="1" si="140"/>
        <v>-98472998586.778702</v>
      </c>
      <c r="J3033" s="444">
        <f t="array" ref="J3033">IFERROR(INDEX('Retirement Calculator'!K:K,MATCH('Lorri 401b'!N3033,'Retirement Calculator'!A:A,0),0),0)</f>
        <v>0</v>
      </c>
      <c r="K3033" s="444">
        <f t="shared" ca="1" si="138"/>
        <v>-410304160.77824461</v>
      </c>
      <c r="L3033" s="444">
        <f t="shared" ca="1" si="139"/>
        <v>-98883302747.556946</v>
      </c>
      <c r="M3033" s="460">
        <f t="shared" si="141"/>
        <v>0.05</v>
      </c>
      <c r="N3033" s="464">
        <f t="shared" si="142"/>
        <v>143359</v>
      </c>
    </row>
    <row r="3034" spans="7:14" ht="11.25" customHeight="1" x14ac:dyDescent="0.3">
      <c r="G3034" s="459"/>
      <c r="H3034" s="459">
        <v>3027</v>
      </c>
      <c r="I3034" s="444">
        <f t="shared" ca="1" si="140"/>
        <v>-98883302747.556946</v>
      </c>
      <c r="J3034" s="444">
        <f t="array" ref="J3034">IFERROR(INDEX('Retirement Calculator'!K:K,MATCH('Lorri 401b'!N3034,'Retirement Calculator'!A:A,0),0),0)</f>
        <v>0</v>
      </c>
      <c r="K3034" s="444">
        <f t="shared" ca="1" si="138"/>
        <v>-412013761.44815391</v>
      </c>
      <c r="L3034" s="444">
        <f t="shared" ca="1" si="139"/>
        <v>-99295316509.005096</v>
      </c>
      <c r="M3034" s="460">
        <f t="shared" si="141"/>
        <v>0.05</v>
      </c>
      <c r="N3034" s="464">
        <f t="shared" si="142"/>
        <v>143390</v>
      </c>
    </row>
    <row r="3035" spans="7:14" ht="11.25" customHeight="1" x14ac:dyDescent="0.3">
      <c r="G3035" s="459"/>
      <c r="H3035" s="459">
        <v>3028</v>
      </c>
      <c r="I3035" s="444">
        <f t="shared" ca="1" si="140"/>
        <v>-99295316509.005096</v>
      </c>
      <c r="J3035" s="444">
        <f t="array" ref="J3035">IFERROR(INDEX('Retirement Calculator'!K:K,MATCH('Lorri 401b'!N3035,'Retirement Calculator'!A:A,0),0),0)</f>
        <v>0</v>
      </c>
      <c r="K3035" s="444">
        <f t="shared" ca="1" si="138"/>
        <v>-413730485.45418787</v>
      </c>
      <c r="L3035" s="444">
        <f t="shared" ca="1" si="139"/>
        <v>-99709046994.45929</v>
      </c>
      <c r="M3035" s="460">
        <f t="shared" si="141"/>
        <v>0.05</v>
      </c>
      <c r="N3035" s="464">
        <f t="shared" si="142"/>
        <v>143421</v>
      </c>
    </row>
    <row r="3036" spans="7:14" ht="11.25" customHeight="1" x14ac:dyDescent="0.3">
      <c r="G3036" s="459"/>
      <c r="H3036" s="459">
        <v>3029</v>
      </c>
      <c r="I3036" s="444">
        <f t="shared" ca="1" si="140"/>
        <v>-99709046994.45929</v>
      </c>
      <c r="J3036" s="444">
        <f t="array" ref="J3036">IFERROR(INDEX('Retirement Calculator'!K:K,MATCH('Lorri 401b'!N3036,'Retirement Calculator'!A:A,0),0),0)</f>
        <v>0</v>
      </c>
      <c r="K3036" s="444">
        <f t="shared" ca="1" si="138"/>
        <v>-415454362.47691369</v>
      </c>
      <c r="L3036" s="444">
        <f t="shared" ca="1" si="139"/>
        <v>-100124501356.9362</v>
      </c>
      <c r="M3036" s="460">
        <f t="shared" si="141"/>
        <v>0.05</v>
      </c>
      <c r="N3036" s="464">
        <f t="shared" si="142"/>
        <v>143451</v>
      </c>
    </row>
    <row r="3037" spans="7:14" ht="11.25" customHeight="1" x14ac:dyDescent="0.3">
      <c r="G3037" s="459"/>
      <c r="H3037" s="459">
        <v>3030</v>
      </c>
      <c r="I3037" s="444">
        <f t="shared" ca="1" si="140"/>
        <v>-100124501356.9362</v>
      </c>
      <c r="J3037" s="444">
        <f t="array" ref="J3037">IFERROR(INDEX('Retirement Calculator'!K:K,MATCH('Lorri 401b'!N3037,'Retirement Calculator'!A:A,0),0),0)</f>
        <v>0</v>
      </c>
      <c r="K3037" s="444">
        <f t="shared" ca="1" si="138"/>
        <v>-417185422.32056749</v>
      </c>
      <c r="L3037" s="444">
        <f t="shared" ca="1" si="139"/>
        <v>-100541686779.25677</v>
      </c>
      <c r="M3037" s="460">
        <f t="shared" si="141"/>
        <v>0.05</v>
      </c>
      <c r="N3037" s="464">
        <f t="shared" si="142"/>
        <v>143482</v>
      </c>
    </row>
    <row r="3038" spans="7:14" ht="11.25" customHeight="1" x14ac:dyDescent="0.3">
      <c r="G3038" s="459"/>
      <c r="H3038" s="459">
        <v>3031</v>
      </c>
      <c r="I3038" s="444">
        <f t="shared" ca="1" si="140"/>
        <v>-100541686779.25677</v>
      </c>
      <c r="J3038" s="444">
        <f t="array" ref="J3038">IFERROR(INDEX('Retirement Calculator'!K:K,MATCH('Lorri 401b'!N3038,'Retirement Calculator'!A:A,0),0),0)</f>
        <v>0</v>
      </c>
      <c r="K3038" s="444">
        <f t="shared" ca="1" si="138"/>
        <v>-418923694.91356987</v>
      </c>
      <c r="L3038" s="444">
        <f t="shared" ca="1" si="139"/>
        <v>-100960610474.17035</v>
      </c>
      <c r="M3038" s="460">
        <f t="shared" si="141"/>
        <v>0.05</v>
      </c>
      <c r="N3038" s="464">
        <f t="shared" si="142"/>
        <v>143512</v>
      </c>
    </row>
    <row r="3039" spans="7:14" ht="11.25" customHeight="1" x14ac:dyDescent="0.3">
      <c r="G3039" s="459"/>
      <c r="H3039" s="459">
        <v>3032</v>
      </c>
      <c r="I3039" s="444">
        <f t="shared" ca="1" si="140"/>
        <v>-100960610474.17035</v>
      </c>
      <c r="J3039" s="444">
        <f t="array" ref="J3039">IFERROR(INDEX('Retirement Calculator'!K:K,MATCH('Lorri 401b'!N3039,'Retirement Calculator'!A:A,0),0),0)</f>
        <v>0</v>
      </c>
      <c r="K3039" s="444">
        <f t="shared" ca="1" si="138"/>
        <v>-420669210.30904311</v>
      </c>
      <c r="L3039" s="444">
        <f t="shared" ca="1" si="139"/>
        <v>-101381279684.47939</v>
      </c>
      <c r="M3039" s="460">
        <f t="shared" si="141"/>
        <v>0.05</v>
      </c>
      <c r="N3039" s="464">
        <f t="shared" si="142"/>
        <v>143543</v>
      </c>
    </row>
    <row r="3040" spans="7:14" ht="11.25" customHeight="1" x14ac:dyDescent="0.3">
      <c r="G3040" s="459"/>
      <c r="H3040" s="459">
        <v>3033</v>
      </c>
      <c r="I3040" s="444">
        <f t="shared" ca="1" si="140"/>
        <v>-101381279684.47939</v>
      </c>
      <c r="J3040" s="444">
        <f t="array" ref="J3040">IFERROR(INDEX('Retirement Calculator'!K:K,MATCH('Lorri 401b'!N3040,'Retirement Calculator'!A:A,0),0),0)</f>
        <v>0</v>
      </c>
      <c r="K3040" s="444">
        <f t="shared" ca="1" si="138"/>
        <v>-422421998.68533075</v>
      </c>
      <c r="L3040" s="444">
        <f t="shared" ca="1" si="139"/>
        <v>-101803701683.16472</v>
      </c>
      <c r="M3040" s="460">
        <f t="shared" si="141"/>
        <v>0.05</v>
      </c>
      <c r="N3040" s="464">
        <f t="shared" si="142"/>
        <v>143574</v>
      </c>
    </row>
    <row r="3041" spans="7:14" ht="11.25" customHeight="1" x14ac:dyDescent="0.3">
      <c r="G3041" s="459"/>
      <c r="H3041" s="459">
        <v>3034</v>
      </c>
      <c r="I3041" s="444">
        <f t="shared" ca="1" si="140"/>
        <v>-101803701683.16472</v>
      </c>
      <c r="J3041" s="444">
        <f t="array" ref="J3041">IFERROR(INDEX('Retirement Calculator'!K:K,MATCH('Lorri 401b'!N3041,'Retirement Calculator'!A:A,0),0),0)</f>
        <v>0</v>
      </c>
      <c r="K3041" s="444">
        <f t="shared" ca="1" si="138"/>
        <v>-424182090.34651965</v>
      </c>
      <c r="L3041" s="444">
        <f t="shared" ca="1" si="139"/>
        <v>-102227883773.51125</v>
      </c>
      <c r="M3041" s="460">
        <f t="shared" si="141"/>
        <v>0.05</v>
      </c>
      <c r="N3041" s="464">
        <f t="shared" si="142"/>
        <v>143602</v>
      </c>
    </row>
    <row r="3042" spans="7:14" ht="11.25" customHeight="1" x14ac:dyDescent="0.3">
      <c r="G3042" s="459"/>
      <c r="H3042" s="459">
        <v>3035</v>
      </c>
      <c r="I3042" s="444">
        <f t="shared" ca="1" si="140"/>
        <v>-102227883773.51125</v>
      </c>
      <c r="J3042" s="444">
        <f t="array" ref="J3042">IFERROR(INDEX('Retirement Calculator'!K:K,MATCH('Lorri 401b'!N3042,'Retirement Calculator'!A:A,0),0),0)</f>
        <v>0</v>
      </c>
      <c r="K3042" s="444">
        <f t="shared" ca="1" si="138"/>
        <v>-425949515.72296351</v>
      </c>
      <c r="L3042" s="444">
        <f t="shared" ca="1" si="139"/>
        <v>-102653833289.23421</v>
      </c>
      <c r="M3042" s="460">
        <f t="shared" si="141"/>
        <v>0.05</v>
      </c>
      <c r="N3042" s="464">
        <f t="shared" si="142"/>
        <v>143633</v>
      </c>
    </row>
    <row r="3043" spans="7:14" ht="11.25" customHeight="1" x14ac:dyDescent="0.3">
      <c r="G3043" s="459"/>
      <c r="H3043" s="459">
        <v>3036</v>
      </c>
      <c r="I3043" s="444">
        <f t="shared" ca="1" si="140"/>
        <v>-102653833289.23421</v>
      </c>
      <c r="J3043" s="444">
        <f t="array" ref="J3043">IFERROR(INDEX('Retirement Calculator'!K:K,MATCH('Lorri 401b'!N3043,'Retirement Calculator'!A:A,0),0),0)</f>
        <v>0</v>
      </c>
      <c r="K3043" s="444">
        <f t="shared" ca="1" si="138"/>
        <v>-427724305.37180918</v>
      </c>
      <c r="L3043" s="444">
        <f t="shared" ca="1" si="139"/>
        <v>-103081557594.60602</v>
      </c>
      <c r="M3043" s="460">
        <f t="shared" si="141"/>
        <v>0.05</v>
      </c>
      <c r="N3043" s="464">
        <f t="shared" si="142"/>
        <v>143663</v>
      </c>
    </row>
    <row r="3044" spans="7:14" ht="11.25" customHeight="1" x14ac:dyDescent="0.3">
      <c r="G3044" s="459"/>
      <c r="H3044" s="459">
        <v>3037</v>
      </c>
      <c r="I3044" s="444">
        <f t="shared" ca="1" si="140"/>
        <v>-103081557594.60602</v>
      </c>
      <c r="J3044" s="444">
        <f t="array" ref="J3044">IFERROR(INDEX('Retirement Calculator'!K:K,MATCH('Lorri 401b'!N3044,'Retirement Calculator'!A:A,0),0),0)</f>
        <v>0</v>
      </c>
      <c r="K3044" s="444">
        <f t="shared" ca="1" si="138"/>
        <v>-429506489.97752506</v>
      </c>
      <c r="L3044" s="444">
        <f t="shared" ca="1" si="139"/>
        <v>-103511064084.58354</v>
      </c>
      <c r="M3044" s="460">
        <f t="shared" si="141"/>
        <v>0.05</v>
      </c>
      <c r="N3044" s="464">
        <f t="shared" si="142"/>
        <v>143694</v>
      </c>
    </row>
    <row r="3045" spans="7:14" ht="11.25" customHeight="1" x14ac:dyDescent="0.3">
      <c r="G3045" s="459"/>
      <c r="H3045" s="459">
        <v>3038</v>
      </c>
      <c r="I3045" s="444">
        <f t="shared" ca="1" si="140"/>
        <v>-103511064084.58354</v>
      </c>
      <c r="J3045" s="444">
        <f t="array" ref="J3045">IFERROR(INDEX('Retirement Calculator'!K:K,MATCH('Lorri 401b'!N3045,'Retirement Calculator'!A:A,0),0),0)</f>
        <v>0</v>
      </c>
      <c r="K3045" s="444">
        <f t="shared" ca="1" si="138"/>
        <v>-431296100.35243142</v>
      </c>
      <c r="L3045" s="444">
        <f t="shared" ca="1" si="139"/>
        <v>-103942360184.93597</v>
      </c>
      <c r="M3045" s="460">
        <f t="shared" si="141"/>
        <v>0.05</v>
      </c>
      <c r="N3045" s="464">
        <f t="shared" si="142"/>
        <v>143724</v>
      </c>
    </row>
    <row r="3046" spans="7:14" ht="11.25" customHeight="1" x14ac:dyDescent="0.3">
      <c r="G3046" s="459"/>
      <c r="H3046" s="459">
        <v>3039</v>
      </c>
      <c r="I3046" s="444">
        <f t="shared" ca="1" si="140"/>
        <v>-103942360184.93597</v>
      </c>
      <c r="J3046" s="444">
        <f t="array" ref="J3046">IFERROR(INDEX('Retirement Calculator'!K:K,MATCH('Lorri 401b'!N3046,'Retirement Calculator'!A:A,0),0),0)</f>
        <v>0</v>
      </c>
      <c r="K3046" s="444">
        <f t="shared" ca="1" si="138"/>
        <v>-433093167.43723321</v>
      </c>
      <c r="L3046" s="444">
        <f t="shared" ca="1" si="139"/>
        <v>-104375453352.37321</v>
      </c>
      <c r="M3046" s="460">
        <f t="shared" si="141"/>
        <v>0.05</v>
      </c>
      <c r="N3046" s="464">
        <f t="shared" si="142"/>
        <v>143755</v>
      </c>
    </row>
    <row r="3047" spans="7:14" ht="11.25" customHeight="1" x14ac:dyDescent="0.3">
      <c r="G3047" s="459"/>
      <c r="H3047" s="459">
        <v>3040</v>
      </c>
      <c r="I3047" s="444">
        <f t="shared" ca="1" si="140"/>
        <v>-104375453352.37321</v>
      </c>
      <c r="J3047" s="444">
        <f t="array" ref="J3047">IFERROR(INDEX('Retirement Calculator'!K:K,MATCH('Lorri 401b'!N3047,'Retirement Calculator'!A:A,0),0),0)</f>
        <v>0</v>
      </c>
      <c r="K3047" s="444">
        <f t="shared" ca="1" si="138"/>
        <v>-434897722.30155504</v>
      </c>
      <c r="L3047" s="444">
        <f t="shared" ca="1" si="139"/>
        <v>-104810351074.67477</v>
      </c>
      <c r="M3047" s="460">
        <f t="shared" si="141"/>
        <v>0.05</v>
      </c>
      <c r="N3047" s="464">
        <f t="shared" si="142"/>
        <v>143786</v>
      </c>
    </row>
    <row r="3048" spans="7:14" ht="11.25" customHeight="1" x14ac:dyDescent="0.3">
      <c r="G3048" s="459"/>
      <c r="H3048" s="459">
        <v>3041</v>
      </c>
      <c r="I3048" s="444">
        <f t="shared" ca="1" si="140"/>
        <v>-104810351074.67477</v>
      </c>
      <c r="J3048" s="444">
        <f t="array" ref="J3048">IFERROR(INDEX('Retirement Calculator'!K:K,MATCH('Lorri 401b'!N3048,'Retirement Calculator'!A:A,0),0),0)</f>
        <v>0</v>
      </c>
      <c r="K3048" s="444">
        <f t="shared" ca="1" si="138"/>
        <v>-436709796.1444782</v>
      </c>
      <c r="L3048" s="444">
        <f t="shared" ca="1" si="139"/>
        <v>-105247060870.81926</v>
      </c>
      <c r="M3048" s="460">
        <f t="shared" si="141"/>
        <v>0.05</v>
      </c>
      <c r="N3048" s="464">
        <f t="shared" si="142"/>
        <v>143816</v>
      </c>
    </row>
    <row r="3049" spans="7:14" ht="11.25" customHeight="1" x14ac:dyDescent="0.3">
      <c r="G3049" s="459"/>
      <c r="H3049" s="459">
        <v>3042</v>
      </c>
      <c r="I3049" s="444">
        <f t="shared" ca="1" si="140"/>
        <v>-105247060870.81926</v>
      </c>
      <c r="J3049" s="444">
        <f t="array" ref="J3049">IFERROR(INDEX('Retirement Calculator'!K:K,MATCH('Lorri 401b'!N3049,'Retirement Calculator'!A:A,0),0),0)</f>
        <v>0</v>
      </c>
      <c r="K3049" s="444">
        <f t="shared" ca="1" si="138"/>
        <v>-438529420.29508024</v>
      </c>
      <c r="L3049" s="444">
        <f t="shared" ca="1" si="139"/>
        <v>-105685590291.11433</v>
      </c>
      <c r="M3049" s="460">
        <f t="shared" si="141"/>
        <v>0.05</v>
      </c>
      <c r="N3049" s="464">
        <f t="shared" si="142"/>
        <v>143847</v>
      </c>
    </row>
    <row r="3050" spans="7:14" ht="11.25" customHeight="1" x14ac:dyDescent="0.3">
      <c r="G3050" s="459"/>
      <c r="H3050" s="459">
        <v>3043</v>
      </c>
      <c r="I3050" s="444">
        <f t="shared" ca="1" si="140"/>
        <v>-105685590291.11433</v>
      </c>
      <c r="J3050" s="444">
        <f t="array" ref="J3050">IFERROR(INDEX('Retirement Calculator'!K:K,MATCH('Lorri 401b'!N3050,'Retirement Calculator'!A:A,0),0),0)</f>
        <v>0</v>
      </c>
      <c r="K3050" s="444">
        <f t="shared" ca="1" si="138"/>
        <v>-440356626.2129764</v>
      </c>
      <c r="L3050" s="444">
        <f t="shared" ca="1" si="139"/>
        <v>-106125946917.32732</v>
      </c>
      <c r="M3050" s="460">
        <f t="shared" si="141"/>
        <v>0.05</v>
      </c>
      <c r="N3050" s="464">
        <f t="shared" si="142"/>
        <v>143877</v>
      </c>
    </row>
    <row r="3051" spans="7:14" ht="11.25" customHeight="1" x14ac:dyDescent="0.3">
      <c r="G3051" s="459"/>
      <c r="H3051" s="459">
        <v>3044</v>
      </c>
      <c r="I3051" s="444">
        <f t="shared" ca="1" si="140"/>
        <v>-106125946917.32732</v>
      </c>
      <c r="J3051" s="444">
        <f t="array" ref="J3051">IFERROR(INDEX('Retirement Calculator'!K:K,MATCH('Lorri 401b'!N3051,'Retirement Calculator'!A:A,0),0),0)</f>
        <v>0</v>
      </c>
      <c r="K3051" s="444">
        <f t="shared" ca="1" si="138"/>
        <v>-442191445.48886383</v>
      </c>
      <c r="L3051" s="444">
        <f t="shared" ca="1" si="139"/>
        <v>-106568138362.81618</v>
      </c>
      <c r="M3051" s="460">
        <f t="shared" si="141"/>
        <v>0.05</v>
      </c>
      <c r="N3051" s="464">
        <f t="shared" si="142"/>
        <v>143908</v>
      </c>
    </row>
    <row r="3052" spans="7:14" ht="11.25" customHeight="1" x14ac:dyDescent="0.3">
      <c r="G3052" s="459"/>
      <c r="H3052" s="459">
        <v>3045</v>
      </c>
      <c r="I3052" s="444">
        <f t="shared" ca="1" si="140"/>
        <v>-106568138362.81618</v>
      </c>
      <c r="J3052" s="444">
        <f t="array" ref="J3052">IFERROR(INDEX('Retirement Calculator'!K:K,MATCH('Lorri 401b'!N3052,'Retirement Calculator'!A:A,0),0),0)</f>
        <v>0</v>
      </c>
      <c r="K3052" s="444">
        <f t="shared" ca="1" si="138"/>
        <v>-444033909.84506738</v>
      </c>
      <c r="L3052" s="444">
        <f t="shared" ca="1" si="139"/>
        <v>-107012172272.66124</v>
      </c>
      <c r="M3052" s="460">
        <f t="shared" si="141"/>
        <v>0.05</v>
      </c>
      <c r="N3052" s="464">
        <f t="shared" si="142"/>
        <v>143939</v>
      </c>
    </row>
    <row r="3053" spans="7:14" ht="11.25" customHeight="1" x14ac:dyDescent="0.3">
      <c r="G3053" s="459"/>
      <c r="H3053" s="459">
        <v>3046</v>
      </c>
      <c r="I3053" s="444">
        <f t="shared" ca="1" si="140"/>
        <v>-107012172272.66124</v>
      </c>
      <c r="J3053" s="444">
        <f t="array" ref="J3053">IFERROR(INDEX('Retirement Calculator'!K:K,MATCH('Lorri 401b'!N3053,'Retirement Calculator'!A:A,0),0),0)</f>
        <v>0</v>
      </c>
      <c r="K3053" s="444">
        <f t="shared" ca="1" si="138"/>
        <v>-445884051.13608849</v>
      </c>
      <c r="L3053" s="444">
        <f t="shared" ca="1" si="139"/>
        <v>-107458056323.79733</v>
      </c>
      <c r="M3053" s="460">
        <f t="shared" si="141"/>
        <v>0.05</v>
      </c>
      <c r="N3053" s="464">
        <f t="shared" si="142"/>
        <v>143967</v>
      </c>
    </row>
    <row r="3054" spans="7:14" ht="11.25" customHeight="1" x14ac:dyDescent="0.3">
      <c r="G3054" s="459"/>
      <c r="H3054" s="459">
        <v>3047</v>
      </c>
      <c r="I3054" s="444">
        <f t="shared" ca="1" si="140"/>
        <v>-107458056323.79733</v>
      </c>
      <c r="J3054" s="444">
        <f t="array" ref="J3054">IFERROR(INDEX('Retirement Calculator'!K:K,MATCH('Lorri 401b'!N3054,'Retirement Calculator'!A:A,0),0),0)</f>
        <v>0</v>
      </c>
      <c r="K3054" s="444">
        <f t="shared" ca="1" si="138"/>
        <v>-447741901.3491556</v>
      </c>
      <c r="L3054" s="444">
        <f t="shared" ca="1" si="139"/>
        <v>-107905798225.14648</v>
      </c>
      <c r="M3054" s="460">
        <f t="shared" si="141"/>
        <v>0.05</v>
      </c>
      <c r="N3054" s="464">
        <f t="shared" si="142"/>
        <v>143998</v>
      </c>
    </row>
    <row r="3055" spans="7:14" ht="11.25" customHeight="1" x14ac:dyDescent="0.3">
      <c r="G3055" s="459"/>
      <c r="H3055" s="459">
        <v>3048</v>
      </c>
      <c r="I3055" s="444">
        <f t="shared" ca="1" si="140"/>
        <v>-107905798225.14648</v>
      </c>
      <c r="J3055" s="444">
        <f t="array" ref="J3055">IFERROR(INDEX('Retirement Calculator'!K:K,MATCH('Lorri 401b'!N3055,'Retirement Calculator'!A:A,0),0),0)</f>
        <v>0</v>
      </c>
      <c r="K3055" s="444">
        <f t="shared" ca="1" si="138"/>
        <v>-449607492.60477704</v>
      </c>
      <c r="L3055" s="444">
        <f t="shared" ca="1" si="139"/>
        <v>-108355405717.75127</v>
      </c>
      <c r="M3055" s="460">
        <f t="shared" si="141"/>
        <v>0.05</v>
      </c>
      <c r="N3055" s="464">
        <f t="shared" si="142"/>
        <v>144028</v>
      </c>
    </row>
    <row r="3056" spans="7:14" ht="11.25" customHeight="1" x14ac:dyDescent="0.3">
      <c r="G3056" s="459"/>
      <c r="H3056" s="459">
        <v>3049</v>
      </c>
      <c r="I3056" s="444">
        <f t="shared" ca="1" si="140"/>
        <v>-108355405717.75127</v>
      </c>
      <c r="J3056" s="444">
        <f t="array" ref="J3056">IFERROR(INDEX('Retirement Calculator'!K:K,MATCH('Lorri 401b'!N3056,'Retirement Calculator'!A:A,0),0),0)</f>
        <v>0</v>
      </c>
      <c r="K3056" s="444">
        <f t="shared" ca="1" si="138"/>
        <v>-451480857.15729702</v>
      </c>
      <c r="L3056" s="444">
        <f t="shared" ca="1" si="139"/>
        <v>-108806886574.90857</v>
      </c>
      <c r="M3056" s="460">
        <f t="shared" si="141"/>
        <v>0.05</v>
      </c>
      <c r="N3056" s="464">
        <f t="shared" si="142"/>
        <v>144059</v>
      </c>
    </row>
    <row r="3057" spans="7:14" ht="11.25" customHeight="1" x14ac:dyDescent="0.3">
      <c r="G3057" s="459"/>
      <c r="H3057" s="459">
        <v>3050</v>
      </c>
      <c r="I3057" s="444">
        <f t="shared" ca="1" si="140"/>
        <v>-108806886574.90857</v>
      </c>
      <c r="J3057" s="444">
        <f t="array" ref="J3057">IFERROR(INDEX('Retirement Calculator'!K:K,MATCH('Lorri 401b'!N3057,'Retirement Calculator'!A:A,0),0),0)</f>
        <v>0</v>
      </c>
      <c r="K3057" s="444">
        <f t="shared" ca="1" si="138"/>
        <v>-453362027.39545232</v>
      </c>
      <c r="L3057" s="444">
        <f t="shared" ca="1" si="139"/>
        <v>-109260248602.30402</v>
      </c>
      <c r="M3057" s="460">
        <f t="shared" si="141"/>
        <v>0.05</v>
      </c>
      <c r="N3057" s="464">
        <f t="shared" si="142"/>
        <v>144089</v>
      </c>
    </row>
    <row r="3058" spans="7:14" ht="11.25" customHeight="1" x14ac:dyDescent="0.3">
      <c r="G3058" s="459"/>
      <c r="H3058" s="459">
        <v>3051</v>
      </c>
      <c r="I3058" s="444">
        <f t="shared" ca="1" si="140"/>
        <v>-109260248602.30402</v>
      </c>
      <c r="J3058" s="444">
        <f t="array" ref="J3058">IFERROR(INDEX('Retirement Calculator'!K:K,MATCH('Lorri 401b'!N3058,'Retirement Calculator'!A:A,0),0),0)</f>
        <v>0</v>
      </c>
      <c r="K3058" s="444">
        <f t="shared" ca="1" si="138"/>
        <v>-455251035.84293342</v>
      </c>
      <c r="L3058" s="444">
        <f t="shared" ca="1" si="139"/>
        <v>-109715499638.14694</v>
      </c>
      <c r="M3058" s="460">
        <f t="shared" si="141"/>
        <v>0.05</v>
      </c>
      <c r="N3058" s="464">
        <f t="shared" si="142"/>
        <v>144120</v>
      </c>
    </row>
    <row r="3059" spans="7:14" ht="11.25" customHeight="1" x14ac:dyDescent="0.3">
      <c r="G3059" s="459"/>
      <c r="H3059" s="459">
        <v>3052</v>
      </c>
      <c r="I3059" s="444">
        <f t="shared" ca="1" si="140"/>
        <v>-109715499638.14694</v>
      </c>
      <c r="J3059" s="444">
        <f t="array" ref="J3059">IFERROR(INDEX('Retirement Calculator'!K:K,MATCH('Lorri 401b'!N3059,'Retirement Calculator'!A:A,0),0),0)</f>
        <v>0</v>
      </c>
      <c r="K3059" s="444">
        <f t="shared" ca="1" si="138"/>
        <v>-457147915.1589455</v>
      </c>
      <c r="L3059" s="444">
        <f t="shared" ca="1" si="139"/>
        <v>-110172647553.30589</v>
      </c>
      <c r="M3059" s="460">
        <f t="shared" si="141"/>
        <v>0.05</v>
      </c>
      <c r="N3059" s="464">
        <f t="shared" si="142"/>
        <v>144151</v>
      </c>
    </row>
    <row r="3060" spans="7:14" ht="11.25" customHeight="1" x14ac:dyDescent="0.3">
      <c r="G3060" s="459"/>
      <c r="H3060" s="459">
        <v>3053</v>
      </c>
      <c r="I3060" s="444">
        <f t="shared" ca="1" si="140"/>
        <v>-110172647553.30589</v>
      </c>
      <c r="J3060" s="444">
        <f t="array" ref="J3060">IFERROR(INDEX('Retirement Calculator'!K:K,MATCH('Lorri 401b'!N3060,'Retirement Calculator'!A:A,0),0),0)</f>
        <v>0</v>
      </c>
      <c r="K3060" s="444">
        <f t="shared" ca="1" si="138"/>
        <v>-459052698.13877457</v>
      </c>
      <c r="L3060" s="444">
        <f t="shared" ca="1" si="139"/>
        <v>-110631700251.44467</v>
      </c>
      <c r="M3060" s="460">
        <f t="shared" si="141"/>
        <v>0.05</v>
      </c>
      <c r="N3060" s="464">
        <f t="shared" si="142"/>
        <v>144181</v>
      </c>
    </row>
    <row r="3061" spans="7:14" ht="11.25" customHeight="1" x14ac:dyDescent="0.3">
      <c r="G3061" s="459"/>
      <c r="H3061" s="459">
        <v>3054</v>
      </c>
      <c r="I3061" s="444">
        <f t="shared" ca="1" si="140"/>
        <v>-110631700251.44467</v>
      </c>
      <c r="J3061" s="444">
        <f t="array" ref="J3061">IFERROR(INDEX('Retirement Calculator'!K:K,MATCH('Lorri 401b'!N3061,'Retirement Calculator'!A:A,0),0),0)</f>
        <v>0</v>
      </c>
      <c r="K3061" s="444">
        <f t="shared" ca="1" si="138"/>
        <v>-460965417.71435279</v>
      </c>
      <c r="L3061" s="444">
        <f t="shared" ca="1" si="139"/>
        <v>-111092665669.15903</v>
      </c>
      <c r="M3061" s="460">
        <f t="shared" si="141"/>
        <v>0.05</v>
      </c>
      <c r="N3061" s="464">
        <f t="shared" si="142"/>
        <v>144212</v>
      </c>
    </row>
    <row r="3062" spans="7:14" ht="11.25" customHeight="1" x14ac:dyDescent="0.3">
      <c r="G3062" s="459"/>
      <c r="H3062" s="459">
        <v>3055</v>
      </c>
      <c r="I3062" s="444">
        <f t="shared" ca="1" si="140"/>
        <v>-111092665669.15903</v>
      </c>
      <c r="J3062" s="444">
        <f t="array" ref="J3062">IFERROR(INDEX('Retirement Calculator'!K:K,MATCH('Lorri 401b'!N3062,'Retirement Calculator'!A:A,0),0),0)</f>
        <v>0</v>
      </c>
      <c r="K3062" s="444">
        <f t="shared" ca="1" si="138"/>
        <v>-462886106.95482928</v>
      </c>
      <c r="L3062" s="444">
        <f t="shared" ca="1" si="139"/>
        <v>-111555551776.11386</v>
      </c>
      <c r="M3062" s="460">
        <f t="shared" si="141"/>
        <v>0.05</v>
      </c>
      <c r="N3062" s="464">
        <f t="shared" si="142"/>
        <v>144242</v>
      </c>
    </row>
    <row r="3063" spans="7:14" ht="11.25" customHeight="1" x14ac:dyDescent="0.3">
      <c r="G3063" s="459"/>
      <c r="H3063" s="459">
        <v>3056</v>
      </c>
      <c r="I3063" s="444">
        <f t="shared" ca="1" si="140"/>
        <v>-111555551776.11386</v>
      </c>
      <c r="J3063" s="444">
        <f t="array" ref="J3063">IFERROR(INDEX('Retirement Calculator'!K:K,MATCH('Lorri 401b'!N3063,'Retirement Calculator'!A:A,0),0),0)</f>
        <v>0</v>
      </c>
      <c r="K3063" s="444">
        <f t="shared" ca="1" si="138"/>
        <v>-464814799.06714112</v>
      </c>
      <c r="L3063" s="444">
        <f t="shared" ca="1" si="139"/>
        <v>-112020366575.181</v>
      </c>
      <c r="M3063" s="460">
        <f t="shared" si="141"/>
        <v>0.05</v>
      </c>
      <c r="N3063" s="464">
        <f t="shared" si="142"/>
        <v>144273</v>
      </c>
    </row>
    <row r="3064" spans="7:14" ht="11.25" customHeight="1" x14ac:dyDescent="0.3">
      <c r="G3064" s="459"/>
      <c r="H3064" s="459">
        <v>3057</v>
      </c>
      <c r="I3064" s="444">
        <f t="shared" ca="1" si="140"/>
        <v>-112020366575.181</v>
      </c>
      <c r="J3064" s="444">
        <f t="array" ref="J3064">IFERROR(INDEX('Retirement Calculator'!K:K,MATCH('Lorri 401b'!N3064,'Retirement Calculator'!A:A,0),0),0)</f>
        <v>0</v>
      </c>
      <c r="K3064" s="444">
        <f t="shared" ca="1" si="138"/>
        <v>-466751527.39658749</v>
      </c>
      <c r="L3064" s="444">
        <f t="shared" ca="1" si="139"/>
        <v>-112487118102.57759</v>
      </c>
      <c r="M3064" s="460">
        <f t="shared" si="141"/>
        <v>0.05</v>
      </c>
      <c r="N3064" s="464">
        <f t="shared" si="142"/>
        <v>144304</v>
      </c>
    </row>
    <row r="3065" spans="7:14" ht="11.25" customHeight="1" x14ac:dyDescent="0.3">
      <c r="G3065" s="459"/>
      <c r="H3065" s="459">
        <v>3058</v>
      </c>
      <c r="I3065" s="444">
        <f t="shared" ca="1" si="140"/>
        <v>-112487118102.57759</v>
      </c>
      <c r="J3065" s="444">
        <f t="array" ref="J3065">IFERROR(INDEX('Retirement Calculator'!K:K,MATCH('Lorri 401b'!N3065,'Retirement Calculator'!A:A,0),0),0)</f>
        <v>0</v>
      </c>
      <c r="K3065" s="444">
        <f t="shared" ca="1" si="138"/>
        <v>-468696325.42740661</v>
      </c>
      <c r="L3065" s="444">
        <f t="shared" ca="1" si="139"/>
        <v>-112955814428.005</v>
      </c>
      <c r="M3065" s="460">
        <f t="shared" si="141"/>
        <v>0.05</v>
      </c>
      <c r="N3065" s="464">
        <f t="shared" si="142"/>
        <v>144332</v>
      </c>
    </row>
    <row r="3066" spans="7:14" ht="11.25" customHeight="1" x14ac:dyDescent="0.3">
      <c r="G3066" s="459"/>
      <c r="H3066" s="459">
        <v>3059</v>
      </c>
      <c r="I3066" s="444">
        <f t="shared" ca="1" si="140"/>
        <v>-112955814428.005</v>
      </c>
      <c r="J3066" s="444">
        <f t="array" ref="J3066">IFERROR(INDEX('Retirement Calculator'!K:K,MATCH('Lorri 401b'!N3066,'Retirement Calculator'!A:A,0),0),0)</f>
        <v>0</v>
      </c>
      <c r="K3066" s="444">
        <f t="shared" ca="1" si="138"/>
        <v>-470649226.78335416</v>
      </c>
      <c r="L3066" s="444">
        <f t="shared" ca="1" si="139"/>
        <v>-113426463654.78836</v>
      </c>
      <c r="M3066" s="460">
        <f t="shared" si="141"/>
        <v>0.05</v>
      </c>
      <c r="N3066" s="464">
        <f t="shared" si="142"/>
        <v>144363</v>
      </c>
    </row>
    <row r="3067" spans="7:14" ht="11.25" customHeight="1" x14ac:dyDescent="0.3">
      <c r="G3067" s="459"/>
      <c r="H3067" s="459">
        <v>3060</v>
      </c>
      <c r="I3067" s="444">
        <f t="shared" ca="1" si="140"/>
        <v>-113426463654.78836</v>
      </c>
      <c r="J3067" s="444">
        <f t="array" ref="J3067">IFERROR(INDEX('Retirement Calculator'!K:K,MATCH('Lorri 401b'!N3067,'Retirement Calculator'!A:A,0),0),0)</f>
        <v>0</v>
      </c>
      <c r="K3067" s="444">
        <f t="shared" ca="1" si="138"/>
        <v>-472610265.22828484</v>
      </c>
      <c r="L3067" s="444">
        <f t="shared" ca="1" si="139"/>
        <v>-113899073920.01665</v>
      </c>
      <c r="M3067" s="460">
        <f t="shared" si="141"/>
        <v>0.05</v>
      </c>
      <c r="N3067" s="464">
        <f t="shared" si="142"/>
        <v>144393</v>
      </c>
    </row>
    <row r="3068" spans="7:14" ht="11.25" customHeight="1" x14ac:dyDescent="0.3">
      <c r="G3068" s="459"/>
      <c r="H3068" s="459">
        <v>3061</v>
      </c>
      <c r="I3068" s="444">
        <f t="shared" ca="1" si="140"/>
        <v>-113899073920.01665</v>
      </c>
      <c r="J3068" s="444">
        <f t="array" ref="J3068">IFERROR(INDEX('Retirement Calculator'!K:K,MATCH('Lorri 401b'!N3068,'Retirement Calculator'!A:A,0),0),0)</f>
        <v>0</v>
      </c>
      <c r="K3068" s="444">
        <f t="shared" ref="K3068:K3322" ca="1" si="143">IPMT(M3068/12,1,12,-I3068+J3068,,0)</f>
        <v>-474579474.66673607</v>
      </c>
      <c r="L3068" s="444">
        <f t="shared" ref="L3068:L3322" ca="1" si="144">I3068-J3068+K3068</f>
        <v>-114373653394.68338</v>
      </c>
      <c r="M3068" s="460">
        <f t="shared" si="141"/>
        <v>0.05</v>
      </c>
      <c r="N3068" s="464">
        <f t="shared" si="142"/>
        <v>144424</v>
      </c>
    </row>
    <row r="3069" spans="7:14" ht="11.25" customHeight="1" x14ac:dyDescent="0.3">
      <c r="G3069" s="459"/>
      <c r="H3069" s="459">
        <v>3062</v>
      </c>
      <c r="I3069" s="444">
        <f t="shared" ref="I3069:I3323" ca="1" si="145">L3068</f>
        <v>-114373653394.68338</v>
      </c>
      <c r="J3069" s="444">
        <f t="array" ref="J3069">IFERROR(INDEX('Retirement Calculator'!K:K,MATCH('Lorri 401b'!N3069,'Retirement Calculator'!A:A,0),0),0)</f>
        <v>0</v>
      </c>
      <c r="K3069" s="444">
        <f t="shared" ca="1" si="143"/>
        <v>-476556889.14451414</v>
      </c>
      <c r="L3069" s="444">
        <f t="shared" ca="1" si="144"/>
        <v>-114850210283.8279</v>
      </c>
      <c r="M3069" s="460">
        <f t="shared" ref="M3069:M3323" si="146">M3068</f>
        <v>0.05</v>
      </c>
      <c r="N3069" s="464">
        <f t="shared" ref="N3069:N3323" si="147">EDATE(N3068,1)</f>
        <v>144454</v>
      </c>
    </row>
    <row r="3070" spans="7:14" ht="11.25" customHeight="1" x14ac:dyDescent="0.3">
      <c r="G3070" s="459"/>
      <c r="H3070" s="459">
        <v>3063</v>
      </c>
      <c r="I3070" s="444">
        <f t="shared" ca="1" si="145"/>
        <v>-114850210283.8279</v>
      </c>
      <c r="J3070" s="444">
        <f t="array" ref="J3070">IFERROR(INDEX('Retirement Calculator'!K:K,MATCH('Lorri 401b'!N3070,'Retirement Calculator'!A:A,0),0),0)</f>
        <v>0</v>
      </c>
      <c r="K3070" s="444">
        <f t="shared" ca="1" si="143"/>
        <v>-478542542.8492828</v>
      </c>
      <c r="L3070" s="444">
        <f t="shared" ca="1" si="144"/>
        <v>-115328752826.67719</v>
      </c>
      <c r="M3070" s="460">
        <f t="shared" si="146"/>
        <v>0.05</v>
      </c>
      <c r="N3070" s="464">
        <f t="shared" si="147"/>
        <v>144485</v>
      </c>
    </row>
    <row r="3071" spans="7:14" ht="11.25" customHeight="1" x14ac:dyDescent="0.3">
      <c r="G3071" s="459"/>
      <c r="H3071" s="459">
        <v>3064</v>
      </c>
      <c r="I3071" s="444">
        <f t="shared" ca="1" si="145"/>
        <v>-115328752826.67719</v>
      </c>
      <c r="J3071" s="444">
        <f t="array" ref="J3071">IFERROR(INDEX('Retirement Calculator'!K:K,MATCH('Lorri 401b'!N3071,'Retirement Calculator'!A:A,0),0),0)</f>
        <v>0</v>
      </c>
      <c r="K3071" s="444">
        <f t="shared" ca="1" si="143"/>
        <v>-480536470.11115497</v>
      </c>
      <c r="L3071" s="444">
        <f t="shared" ca="1" si="144"/>
        <v>-115809289296.78835</v>
      </c>
      <c r="M3071" s="460">
        <f t="shared" si="146"/>
        <v>0.05</v>
      </c>
      <c r="N3071" s="464">
        <f t="shared" si="147"/>
        <v>144516</v>
      </c>
    </row>
    <row r="3072" spans="7:14" ht="11.25" customHeight="1" x14ac:dyDescent="0.3">
      <c r="G3072" s="459"/>
      <c r="H3072" s="459">
        <v>3065</v>
      </c>
      <c r="I3072" s="444">
        <f t="shared" ca="1" si="145"/>
        <v>-115809289296.78835</v>
      </c>
      <c r="J3072" s="444">
        <f t="array" ref="J3072">IFERROR(INDEX('Retirement Calculator'!K:K,MATCH('Lorri 401b'!N3072,'Retirement Calculator'!A:A,0),0),0)</f>
        <v>0</v>
      </c>
      <c r="K3072" s="444">
        <f t="shared" ca="1" si="143"/>
        <v>-482538705.40328479</v>
      </c>
      <c r="L3072" s="444">
        <f t="shared" ca="1" si="144"/>
        <v>-116291828002.19164</v>
      </c>
      <c r="M3072" s="460">
        <f t="shared" si="146"/>
        <v>0.05</v>
      </c>
      <c r="N3072" s="464">
        <f t="shared" si="147"/>
        <v>144546</v>
      </c>
    </row>
    <row r="3073" spans="7:14" ht="11.25" customHeight="1" x14ac:dyDescent="0.3">
      <c r="G3073" s="459"/>
      <c r="H3073" s="459">
        <v>3066</v>
      </c>
      <c r="I3073" s="444">
        <f t="shared" ca="1" si="145"/>
        <v>-116291828002.19164</v>
      </c>
      <c r="J3073" s="444">
        <f t="array" ref="J3073">IFERROR(INDEX('Retirement Calculator'!K:K,MATCH('Lorri 401b'!N3073,'Retirement Calculator'!A:A,0),0),0)</f>
        <v>0</v>
      </c>
      <c r="K3073" s="444">
        <f t="shared" ca="1" si="143"/>
        <v>-484549283.34246516</v>
      </c>
      <c r="L3073" s="444">
        <f t="shared" ca="1" si="144"/>
        <v>-116776377285.5341</v>
      </c>
      <c r="M3073" s="460">
        <f t="shared" si="146"/>
        <v>0.05</v>
      </c>
      <c r="N3073" s="464">
        <f t="shared" si="147"/>
        <v>144577</v>
      </c>
    </row>
    <row r="3074" spans="7:14" ht="11.25" customHeight="1" x14ac:dyDescent="0.3">
      <c r="G3074" s="459"/>
      <c r="H3074" s="459">
        <v>3067</v>
      </c>
      <c r="I3074" s="444">
        <f t="shared" ca="1" si="145"/>
        <v>-116776377285.5341</v>
      </c>
      <c r="J3074" s="444">
        <f t="array" ref="J3074">IFERROR(INDEX('Retirement Calculator'!K:K,MATCH('Lorri 401b'!N3074,'Retirement Calculator'!A:A,0),0),0)</f>
        <v>0</v>
      </c>
      <c r="K3074" s="444">
        <f t="shared" ca="1" si="143"/>
        <v>-486568238.6897254</v>
      </c>
      <c r="L3074" s="444">
        <f t="shared" ca="1" si="144"/>
        <v>-117262945524.22383</v>
      </c>
      <c r="M3074" s="460">
        <f t="shared" si="146"/>
        <v>0.05</v>
      </c>
      <c r="N3074" s="464">
        <f t="shared" si="147"/>
        <v>144607</v>
      </c>
    </row>
    <row r="3075" spans="7:14" ht="11.25" customHeight="1" x14ac:dyDescent="0.3">
      <c r="G3075" s="459"/>
      <c r="H3075" s="459">
        <v>3068</v>
      </c>
      <c r="I3075" s="444">
        <f t="shared" ca="1" si="145"/>
        <v>-117262945524.22383</v>
      </c>
      <c r="J3075" s="444">
        <f t="array" ref="J3075">IFERROR(INDEX('Retirement Calculator'!K:K,MATCH('Lorri 401b'!N3075,'Retirement Calculator'!A:A,0),0),0)</f>
        <v>0</v>
      </c>
      <c r="K3075" s="444">
        <f t="shared" ca="1" si="143"/>
        <v>-488595606.35093254</v>
      </c>
      <c r="L3075" s="444">
        <f t="shared" ca="1" si="144"/>
        <v>-117751541130.57477</v>
      </c>
      <c r="M3075" s="460">
        <f t="shared" si="146"/>
        <v>0.05</v>
      </c>
      <c r="N3075" s="464">
        <f t="shared" si="147"/>
        <v>144638</v>
      </c>
    </row>
    <row r="3076" spans="7:14" ht="11.25" customHeight="1" x14ac:dyDescent="0.3">
      <c r="G3076" s="459"/>
      <c r="H3076" s="459">
        <v>3069</v>
      </c>
      <c r="I3076" s="444">
        <f t="shared" ca="1" si="145"/>
        <v>-117751541130.57477</v>
      </c>
      <c r="J3076" s="444">
        <f t="array" ref="J3076">IFERROR(INDEX('Retirement Calculator'!K:K,MATCH('Lorri 401b'!N3076,'Retirement Calculator'!A:A,0),0),0)</f>
        <v>0</v>
      </c>
      <c r="K3076" s="444">
        <f t="shared" ca="1" si="143"/>
        <v>-490631421.37739486</v>
      </c>
      <c r="L3076" s="444">
        <f t="shared" ca="1" si="144"/>
        <v>-118242172551.95216</v>
      </c>
      <c r="M3076" s="460">
        <f t="shared" si="146"/>
        <v>0.05</v>
      </c>
      <c r="N3076" s="464">
        <f t="shared" si="147"/>
        <v>144669</v>
      </c>
    </row>
    <row r="3077" spans="7:14" ht="11.25" customHeight="1" x14ac:dyDescent="0.3">
      <c r="G3077" s="459"/>
      <c r="H3077" s="459">
        <v>3070</v>
      </c>
      <c r="I3077" s="444">
        <f t="shared" ca="1" si="145"/>
        <v>-118242172551.95216</v>
      </c>
      <c r="J3077" s="444">
        <f t="array" ref="J3077">IFERROR(INDEX('Retirement Calculator'!K:K,MATCH('Lorri 401b'!N3077,'Retirement Calculator'!A:A,0),0),0)</f>
        <v>0</v>
      </c>
      <c r="K3077" s="444">
        <f t="shared" ca="1" si="143"/>
        <v>-492675718.96646726</v>
      </c>
      <c r="L3077" s="444">
        <f t="shared" ca="1" si="144"/>
        <v>-118734848270.91862</v>
      </c>
      <c r="M3077" s="460">
        <f t="shared" si="146"/>
        <v>0.05</v>
      </c>
      <c r="N3077" s="464">
        <f t="shared" si="147"/>
        <v>144698</v>
      </c>
    </row>
    <row r="3078" spans="7:14" ht="11.25" customHeight="1" x14ac:dyDescent="0.3">
      <c r="G3078" s="459"/>
      <c r="H3078" s="459">
        <v>3071</v>
      </c>
      <c r="I3078" s="444">
        <f t="shared" ca="1" si="145"/>
        <v>-118734848270.91862</v>
      </c>
      <c r="J3078" s="444">
        <f t="array" ref="J3078">IFERROR(INDEX('Retirement Calculator'!K:K,MATCH('Lorri 401b'!N3078,'Retirement Calculator'!A:A,0),0),0)</f>
        <v>0</v>
      </c>
      <c r="K3078" s="444">
        <f t="shared" ca="1" si="143"/>
        <v>-494728534.46216094</v>
      </c>
      <c r="L3078" s="444">
        <f t="shared" ca="1" si="144"/>
        <v>-119229576805.38078</v>
      </c>
      <c r="M3078" s="460">
        <f t="shared" si="146"/>
        <v>0.05</v>
      </c>
      <c r="N3078" s="464">
        <f t="shared" si="147"/>
        <v>144729</v>
      </c>
    </row>
    <row r="3079" spans="7:14" ht="11.25" customHeight="1" x14ac:dyDescent="0.3">
      <c r="G3079" s="459"/>
      <c r="H3079" s="459">
        <v>3072</v>
      </c>
      <c r="I3079" s="444">
        <f t="shared" ca="1" si="145"/>
        <v>-119229576805.38078</v>
      </c>
      <c r="J3079" s="444">
        <f t="array" ref="J3079">IFERROR(INDEX('Retirement Calculator'!K:K,MATCH('Lorri 401b'!N3079,'Retirement Calculator'!A:A,0),0),0)</f>
        <v>0</v>
      </c>
      <c r="K3079" s="444">
        <f t="shared" ca="1" si="143"/>
        <v>-496789903.3557533</v>
      </c>
      <c r="L3079" s="444">
        <f t="shared" ca="1" si="144"/>
        <v>-119726366708.73654</v>
      </c>
      <c r="M3079" s="460">
        <f t="shared" si="146"/>
        <v>0.05</v>
      </c>
      <c r="N3079" s="464">
        <f t="shared" si="147"/>
        <v>144759</v>
      </c>
    </row>
    <row r="3080" spans="7:14" ht="11.25" customHeight="1" x14ac:dyDescent="0.3">
      <c r="G3080" s="459"/>
      <c r="H3080" s="459">
        <v>3073</v>
      </c>
      <c r="I3080" s="444">
        <f t="shared" ca="1" si="145"/>
        <v>-119726366708.73654</v>
      </c>
      <c r="J3080" s="444">
        <f t="array" ref="J3080">IFERROR(INDEX('Retirement Calculator'!K:K,MATCH('Lorri 401b'!N3080,'Retirement Calculator'!A:A,0),0),0)</f>
        <v>0</v>
      </c>
      <c r="K3080" s="444">
        <f t="shared" ca="1" si="143"/>
        <v>-498859861.28640223</v>
      </c>
      <c r="L3080" s="444">
        <f t="shared" ca="1" si="144"/>
        <v>-120225226570.02295</v>
      </c>
      <c r="M3080" s="460">
        <f t="shared" si="146"/>
        <v>0.05</v>
      </c>
      <c r="N3080" s="464">
        <f t="shared" si="147"/>
        <v>144790</v>
      </c>
    </row>
    <row r="3081" spans="7:14" ht="11.25" customHeight="1" x14ac:dyDescent="0.3">
      <c r="G3081" s="459"/>
      <c r="H3081" s="459">
        <v>3074</v>
      </c>
      <c r="I3081" s="444">
        <f t="shared" ca="1" si="145"/>
        <v>-120225226570.02295</v>
      </c>
      <c r="J3081" s="444">
        <f t="array" ref="J3081">IFERROR(INDEX('Retirement Calculator'!K:K,MATCH('Lorri 401b'!N3081,'Retirement Calculator'!A:A,0),0),0)</f>
        <v>0</v>
      </c>
      <c r="K3081" s="444">
        <f t="shared" ca="1" si="143"/>
        <v>-500938444.04176229</v>
      </c>
      <c r="L3081" s="444">
        <f t="shared" ca="1" si="144"/>
        <v>-120726165014.06471</v>
      </c>
      <c r="M3081" s="460">
        <f t="shared" si="146"/>
        <v>0.05</v>
      </c>
      <c r="N3081" s="464">
        <f t="shared" si="147"/>
        <v>144820</v>
      </c>
    </row>
    <row r="3082" spans="7:14" ht="11.25" customHeight="1" x14ac:dyDescent="0.3">
      <c r="G3082" s="459"/>
      <c r="H3082" s="459">
        <v>3075</v>
      </c>
      <c r="I3082" s="444">
        <f t="shared" ca="1" si="145"/>
        <v>-120726165014.06471</v>
      </c>
      <c r="J3082" s="444">
        <f t="array" ref="J3082">IFERROR(INDEX('Retirement Calculator'!K:K,MATCH('Lorri 401b'!N3082,'Retirement Calculator'!A:A,0),0),0)</f>
        <v>0</v>
      </c>
      <c r="K3082" s="444">
        <f t="shared" ca="1" si="143"/>
        <v>-503025687.55860299</v>
      </c>
      <c r="L3082" s="444">
        <f t="shared" ca="1" si="144"/>
        <v>-121229190701.62332</v>
      </c>
      <c r="M3082" s="460">
        <f t="shared" si="146"/>
        <v>0.05</v>
      </c>
      <c r="N3082" s="464">
        <f t="shared" si="147"/>
        <v>144851</v>
      </c>
    </row>
    <row r="3083" spans="7:14" ht="11.25" customHeight="1" x14ac:dyDescent="0.3">
      <c r="G3083" s="459"/>
      <c r="H3083" s="459">
        <v>3076</v>
      </c>
      <c r="I3083" s="444">
        <f t="shared" ca="1" si="145"/>
        <v>-121229190701.62332</v>
      </c>
      <c r="J3083" s="444">
        <f t="array" ref="J3083">IFERROR(INDEX('Retirement Calculator'!K:K,MATCH('Lorri 401b'!N3083,'Retirement Calculator'!A:A,0),0),0)</f>
        <v>0</v>
      </c>
      <c r="K3083" s="444">
        <f t="shared" ca="1" si="143"/>
        <v>-505121627.92343044</v>
      </c>
      <c r="L3083" s="444">
        <f t="shared" ca="1" si="144"/>
        <v>-121734312329.54675</v>
      </c>
      <c r="M3083" s="460">
        <f t="shared" si="146"/>
        <v>0.05</v>
      </c>
      <c r="N3083" s="464">
        <f t="shared" si="147"/>
        <v>144882</v>
      </c>
    </row>
    <row r="3084" spans="7:14" ht="11.25" customHeight="1" x14ac:dyDescent="0.3">
      <c r="G3084" s="459"/>
      <c r="H3084" s="459">
        <v>3077</v>
      </c>
      <c r="I3084" s="444">
        <f t="shared" ca="1" si="145"/>
        <v>-121734312329.54675</v>
      </c>
      <c r="J3084" s="444">
        <f t="array" ref="J3084">IFERROR(INDEX('Retirement Calculator'!K:K,MATCH('Lorri 401b'!N3084,'Retirement Calculator'!A:A,0),0),0)</f>
        <v>0</v>
      </c>
      <c r="K3084" s="444">
        <f t="shared" ca="1" si="143"/>
        <v>-507226301.37311149</v>
      </c>
      <c r="L3084" s="444">
        <f t="shared" ca="1" si="144"/>
        <v>-122241538630.91986</v>
      </c>
      <c r="M3084" s="460">
        <f t="shared" si="146"/>
        <v>0.05</v>
      </c>
      <c r="N3084" s="464">
        <f t="shared" si="147"/>
        <v>144912</v>
      </c>
    </row>
    <row r="3085" spans="7:14" ht="11.25" customHeight="1" x14ac:dyDescent="0.3">
      <c r="G3085" s="459"/>
      <c r="H3085" s="459">
        <v>3078</v>
      </c>
      <c r="I3085" s="444">
        <f t="shared" ca="1" si="145"/>
        <v>-122241538630.91986</v>
      </c>
      <c r="J3085" s="444">
        <f t="array" ref="J3085">IFERROR(INDEX('Retirement Calculator'!K:K,MATCH('Lorri 401b'!N3085,'Retirement Calculator'!A:A,0),0),0)</f>
        <v>0</v>
      </c>
      <c r="K3085" s="444">
        <f t="shared" ca="1" si="143"/>
        <v>-509339744.2954995</v>
      </c>
      <c r="L3085" s="444">
        <f t="shared" ca="1" si="144"/>
        <v>-122750878375.21536</v>
      </c>
      <c r="M3085" s="460">
        <f t="shared" si="146"/>
        <v>0.05</v>
      </c>
      <c r="N3085" s="464">
        <f t="shared" si="147"/>
        <v>144943</v>
      </c>
    </row>
    <row r="3086" spans="7:14" ht="11.25" customHeight="1" x14ac:dyDescent="0.3">
      <c r="G3086" s="459"/>
      <c r="H3086" s="459">
        <v>3079</v>
      </c>
      <c r="I3086" s="444">
        <f t="shared" ca="1" si="145"/>
        <v>-122750878375.21536</v>
      </c>
      <c r="J3086" s="444">
        <f t="array" ref="J3086">IFERROR(INDEX('Retirement Calculator'!K:K,MATCH('Lorri 401b'!N3086,'Retirement Calculator'!A:A,0),0),0)</f>
        <v>0</v>
      </c>
      <c r="K3086" s="444">
        <f t="shared" ca="1" si="143"/>
        <v>-511461993.23006397</v>
      </c>
      <c r="L3086" s="444">
        <f t="shared" ca="1" si="144"/>
        <v>-123262340368.44542</v>
      </c>
      <c r="M3086" s="460">
        <f t="shared" si="146"/>
        <v>0.05</v>
      </c>
      <c r="N3086" s="464">
        <f t="shared" si="147"/>
        <v>144973</v>
      </c>
    </row>
    <row r="3087" spans="7:14" ht="11.25" customHeight="1" x14ac:dyDescent="0.3">
      <c r="G3087" s="459"/>
      <c r="H3087" s="459">
        <v>3080</v>
      </c>
      <c r="I3087" s="444">
        <f t="shared" ca="1" si="145"/>
        <v>-123262340368.44542</v>
      </c>
      <c r="J3087" s="444">
        <f t="array" ref="J3087">IFERROR(INDEX('Retirement Calculator'!K:K,MATCH('Lorri 401b'!N3087,'Retirement Calculator'!A:A,0),0),0)</f>
        <v>0</v>
      </c>
      <c r="K3087" s="444">
        <f t="shared" ca="1" si="143"/>
        <v>-513593084.86852258</v>
      </c>
      <c r="L3087" s="444">
        <f t="shared" ca="1" si="144"/>
        <v>-123775933453.31393</v>
      </c>
      <c r="M3087" s="460">
        <f t="shared" si="146"/>
        <v>0.05</v>
      </c>
      <c r="N3087" s="464">
        <f t="shared" si="147"/>
        <v>145004</v>
      </c>
    </row>
    <row r="3088" spans="7:14" ht="11.25" customHeight="1" x14ac:dyDescent="0.3">
      <c r="G3088" s="459"/>
      <c r="H3088" s="459">
        <v>3081</v>
      </c>
      <c r="I3088" s="444">
        <f t="shared" ca="1" si="145"/>
        <v>-123775933453.31393</v>
      </c>
      <c r="J3088" s="444">
        <f t="array" ref="J3088">IFERROR(INDEX('Retirement Calculator'!K:K,MATCH('Lorri 401b'!N3088,'Retirement Calculator'!A:A,0),0),0)</f>
        <v>0</v>
      </c>
      <c r="K3088" s="444">
        <f t="shared" ca="1" si="143"/>
        <v>-515733056.0554747</v>
      </c>
      <c r="L3088" s="444">
        <f t="shared" ca="1" si="144"/>
        <v>-124291666509.36942</v>
      </c>
      <c r="M3088" s="460">
        <f t="shared" si="146"/>
        <v>0.05</v>
      </c>
      <c r="N3088" s="464">
        <f t="shared" si="147"/>
        <v>145035</v>
      </c>
    </row>
    <row r="3089" spans="7:14" ht="11.25" customHeight="1" x14ac:dyDescent="0.3">
      <c r="G3089" s="459"/>
      <c r="H3089" s="459">
        <v>3082</v>
      </c>
      <c r="I3089" s="444">
        <f t="shared" ca="1" si="145"/>
        <v>-124291666509.36942</v>
      </c>
      <c r="J3089" s="444">
        <f t="array" ref="J3089">IFERROR(INDEX('Retirement Calculator'!K:K,MATCH('Lorri 401b'!N3089,'Retirement Calculator'!A:A,0),0),0)</f>
        <v>0</v>
      </c>
      <c r="K3089" s="444">
        <f t="shared" ca="1" si="143"/>
        <v>-517881943.78903919</v>
      </c>
      <c r="L3089" s="444">
        <f t="shared" ca="1" si="144"/>
        <v>-124809548453.15845</v>
      </c>
      <c r="M3089" s="460">
        <f t="shared" si="146"/>
        <v>0.05</v>
      </c>
      <c r="N3089" s="464">
        <f t="shared" si="147"/>
        <v>145063</v>
      </c>
    </row>
    <row r="3090" spans="7:14" ht="11.25" customHeight="1" x14ac:dyDescent="0.3">
      <c r="G3090" s="459"/>
      <c r="H3090" s="459">
        <v>3083</v>
      </c>
      <c r="I3090" s="444">
        <f t="shared" ca="1" si="145"/>
        <v>-124809548453.15845</v>
      </c>
      <c r="J3090" s="444">
        <f t="array" ref="J3090">IFERROR(INDEX('Retirement Calculator'!K:K,MATCH('Lorri 401b'!N3090,'Retirement Calculator'!A:A,0),0),0)</f>
        <v>0</v>
      </c>
      <c r="K3090" s="444">
        <f t="shared" ca="1" si="143"/>
        <v>-520039785.2214936</v>
      </c>
      <c r="L3090" s="444">
        <f t="shared" ca="1" si="144"/>
        <v>-125329588238.37994</v>
      </c>
      <c r="M3090" s="460">
        <f t="shared" si="146"/>
        <v>0.05</v>
      </c>
      <c r="N3090" s="464">
        <f t="shared" si="147"/>
        <v>145094</v>
      </c>
    </row>
    <row r="3091" spans="7:14" ht="11.25" customHeight="1" x14ac:dyDescent="0.3">
      <c r="G3091" s="459"/>
      <c r="H3091" s="459">
        <v>3084</v>
      </c>
      <c r="I3091" s="444">
        <f t="shared" ca="1" si="145"/>
        <v>-125329588238.37994</v>
      </c>
      <c r="J3091" s="444">
        <f t="array" ref="J3091">IFERROR(INDEX('Retirement Calculator'!K:K,MATCH('Lorri 401b'!N3091,'Retirement Calculator'!A:A,0),0),0)</f>
        <v>0</v>
      </c>
      <c r="K3091" s="444">
        <f t="shared" ca="1" si="143"/>
        <v>-522206617.6599164</v>
      </c>
      <c r="L3091" s="444">
        <f t="shared" ca="1" si="144"/>
        <v>-125851794856.03986</v>
      </c>
      <c r="M3091" s="460">
        <f t="shared" si="146"/>
        <v>0.05</v>
      </c>
      <c r="N3091" s="464">
        <f t="shared" si="147"/>
        <v>145124</v>
      </c>
    </row>
    <row r="3092" spans="7:14" ht="11.25" customHeight="1" x14ac:dyDescent="0.3">
      <c r="G3092" s="459"/>
      <c r="H3092" s="459">
        <v>3085</v>
      </c>
      <c r="I3092" s="444">
        <f t="shared" ca="1" si="145"/>
        <v>-125851794856.03986</v>
      </c>
      <c r="J3092" s="444">
        <f t="array" ref="J3092">IFERROR(INDEX('Retirement Calculator'!K:K,MATCH('Lorri 401b'!N3092,'Retirement Calculator'!A:A,0),0),0)</f>
        <v>0</v>
      </c>
      <c r="K3092" s="444">
        <f t="shared" ca="1" si="143"/>
        <v>-524382478.56683266</v>
      </c>
      <c r="L3092" s="444">
        <f t="shared" ca="1" si="144"/>
        <v>-126376177334.60669</v>
      </c>
      <c r="M3092" s="460">
        <f t="shared" si="146"/>
        <v>0.05</v>
      </c>
      <c r="N3092" s="464">
        <f t="shared" si="147"/>
        <v>145155</v>
      </c>
    </row>
    <row r="3093" spans="7:14" ht="11.25" customHeight="1" x14ac:dyDescent="0.3">
      <c r="G3093" s="459"/>
      <c r="H3093" s="459">
        <v>3086</v>
      </c>
      <c r="I3093" s="444">
        <f t="shared" ca="1" si="145"/>
        <v>-126376177334.60669</v>
      </c>
      <c r="J3093" s="444">
        <f t="array" ref="J3093">IFERROR(INDEX('Retirement Calculator'!K:K,MATCH('Lorri 401b'!N3093,'Retirement Calculator'!A:A,0),0),0)</f>
        <v>0</v>
      </c>
      <c r="K3093" s="444">
        <f t="shared" ca="1" si="143"/>
        <v>-526567405.56086117</v>
      </c>
      <c r="L3093" s="444">
        <f t="shared" ca="1" si="144"/>
        <v>-126902744740.16756</v>
      </c>
      <c r="M3093" s="460">
        <f t="shared" si="146"/>
        <v>0.05</v>
      </c>
      <c r="N3093" s="464">
        <f t="shared" si="147"/>
        <v>145185</v>
      </c>
    </row>
    <row r="3094" spans="7:14" ht="11.25" customHeight="1" x14ac:dyDescent="0.3">
      <c r="G3094" s="459"/>
      <c r="H3094" s="459">
        <v>3087</v>
      </c>
      <c r="I3094" s="444">
        <f t="shared" ca="1" si="145"/>
        <v>-126902744740.16756</v>
      </c>
      <c r="J3094" s="444">
        <f t="array" ref="J3094">IFERROR(INDEX('Retirement Calculator'!K:K,MATCH('Lorri 401b'!N3094,'Retirement Calculator'!A:A,0),0),0)</f>
        <v>0</v>
      </c>
      <c r="K3094" s="444">
        <f t="shared" ca="1" si="143"/>
        <v>-528761436.41736484</v>
      </c>
      <c r="L3094" s="444">
        <f t="shared" ca="1" si="144"/>
        <v>-127431506176.58492</v>
      </c>
      <c r="M3094" s="460">
        <f t="shared" si="146"/>
        <v>0.05</v>
      </c>
      <c r="N3094" s="464">
        <f t="shared" si="147"/>
        <v>145216</v>
      </c>
    </row>
    <row r="3095" spans="7:14" ht="11.25" customHeight="1" x14ac:dyDescent="0.3">
      <c r="G3095" s="459"/>
      <c r="H3095" s="459">
        <v>3088</v>
      </c>
      <c r="I3095" s="444">
        <f t="shared" ca="1" si="145"/>
        <v>-127431506176.58492</v>
      </c>
      <c r="J3095" s="444">
        <f t="array" ref="J3095">IFERROR(INDEX('Retirement Calculator'!K:K,MATCH('Lorri 401b'!N3095,'Retirement Calculator'!A:A,0),0),0)</f>
        <v>0</v>
      </c>
      <c r="K3095" s="444">
        <f t="shared" ca="1" si="143"/>
        <v>-530964609.06910378</v>
      </c>
      <c r="L3095" s="444">
        <f t="shared" ca="1" si="144"/>
        <v>-127962470785.65402</v>
      </c>
      <c r="M3095" s="460">
        <f t="shared" si="146"/>
        <v>0.05</v>
      </c>
      <c r="N3095" s="464">
        <f t="shared" si="147"/>
        <v>145247</v>
      </c>
    </row>
    <row r="3096" spans="7:14" ht="11.25" customHeight="1" x14ac:dyDescent="0.3">
      <c r="G3096" s="459"/>
      <c r="H3096" s="459">
        <v>3089</v>
      </c>
      <c r="I3096" s="444">
        <f t="shared" ca="1" si="145"/>
        <v>-127962470785.65402</v>
      </c>
      <c r="J3096" s="444">
        <f t="array" ref="J3096">IFERROR(INDEX('Retirement Calculator'!K:K,MATCH('Lorri 401b'!N3096,'Retirement Calculator'!A:A,0),0),0)</f>
        <v>0</v>
      </c>
      <c r="K3096" s="444">
        <f t="shared" ca="1" si="143"/>
        <v>-533176961.60689181</v>
      </c>
      <c r="L3096" s="444">
        <f t="shared" ca="1" si="144"/>
        <v>-128495647747.26091</v>
      </c>
      <c r="M3096" s="460">
        <f t="shared" si="146"/>
        <v>0.05</v>
      </c>
      <c r="N3096" s="464">
        <f t="shared" si="147"/>
        <v>145277</v>
      </c>
    </row>
    <row r="3097" spans="7:14" ht="11.25" customHeight="1" x14ac:dyDescent="0.3">
      <c r="G3097" s="459"/>
      <c r="H3097" s="459">
        <v>3090</v>
      </c>
      <c r="I3097" s="444">
        <f t="shared" ca="1" si="145"/>
        <v>-128495647747.26091</v>
      </c>
      <c r="J3097" s="444">
        <f t="array" ref="J3097">IFERROR(INDEX('Retirement Calculator'!K:K,MATCH('Lorri 401b'!N3097,'Retirement Calculator'!A:A,0),0),0)</f>
        <v>0</v>
      </c>
      <c r="K3097" s="444">
        <f t="shared" ca="1" si="143"/>
        <v>-535398532.28025371</v>
      </c>
      <c r="L3097" s="444">
        <f t="shared" ca="1" si="144"/>
        <v>-129031046279.54117</v>
      </c>
      <c r="M3097" s="460">
        <f t="shared" si="146"/>
        <v>0.05</v>
      </c>
      <c r="N3097" s="464">
        <f t="shared" si="147"/>
        <v>145308</v>
      </c>
    </row>
    <row r="3098" spans="7:14" ht="11.25" customHeight="1" x14ac:dyDescent="0.3">
      <c r="G3098" s="459"/>
      <c r="H3098" s="459">
        <v>3091</v>
      </c>
      <c r="I3098" s="444">
        <f t="shared" ca="1" si="145"/>
        <v>-129031046279.54117</v>
      </c>
      <c r="J3098" s="444">
        <f t="array" ref="J3098">IFERROR(INDEX('Retirement Calculator'!K:K,MATCH('Lorri 401b'!N3098,'Retirement Calculator'!A:A,0),0),0)</f>
        <v>0</v>
      </c>
      <c r="K3098" s="444">
        <f t="shared" ca="1" si="143"/>
        <v>-537629359.49808824</v>
      </c>
      <c r="L3098" s="444">
        <f t="shared" ca="1" si="144"/>
        <v>-129568675639.03926</v>
      </c>
      <c r="M3098" s="460">
        <f t="shared" si="146"/>
        <v>0.05</v>
      </c>
      <c r="N3098" s="464">
        <f t="shared" si="147"/>
        <v>145338</v>
      </c>
    </row>
    <row r="3099" spans="7:14" ht="11.25" customHeight="1" x14ac:dyDescent="0.3">
      <c r="G3099" s="459"/>
      <c r="H3099" s="459">
        <v>3092</v>
      </c>
      <c r="I3099" s="444">
        <f t="shared" ca="1" si="145"/>
        <v>-129568675639.03926</v>
      </c>
      <c r="J3099" s="444">
        <f t="array" ref="J3099">IFERROR(INDEX('Retirement Calculator'!K:K,MATCH('Lorri 401b'!N3099,'Retirement Calculator'!A:A,0),0),0)</f>
        <v>0</v>
      </c>
      <c r="K3099" s="444">
        <f t="shared" ca="1" si="143"/>
        <v>-539869481.82933021</v>
      </c>
      <c r="L3099" s="444">
        <f t="shared" ca="1" si="144"/>
        <v>-130108545120.86859</v>
      </c>
      <c r="M3099" s="460">
        <f t="shared" si="146"/>
        <v>0.05</v>
      </c>
      <c r="N3099" s="464">
        <f t="shared" si="147"/>
        <v>145369</v>
      </c>
    </row>
    <row r="3100" spans="7:14" ht="11.25" customHeight="1" x14ac:dyDescent="0.3">
      <c r="G3100" s="459"/>
      <c r="H3100" s="459">
        <v>3093</v>
      </c>
      <c r="I3100" s="444">
        <f t="shared" ca="1" si="145"/>
        <v>-130108545120.86859</v>
      </c>
      <c r="J3100" s="444">
        <f t="array" ref="J3100">IFERROR(INDEX('Retirement Calculator'!K:K,MATCH('Lorri 401b'!N3100,'Retirement Calculator'!A:A,0),0),0)</f>
        <v>0</v>
      </c>
      <c r="K3100" s="444">
        <f t="shared" ca="1" si="143"/>
        <v>-542118938.00361907</v>
      </c>
      <c r="L3100" s="444">
        <f t="shared" ca="1" si="144"/>
        <v>-130650664058.87221</v>
      </c>
      <c r="M3100" s="460">
        <f t="shared" si="146"/>
        <v>0.05</v>
      </c>
      <c r="N3100" s="464">
        <f t="shared" si="147"/>
        <v>145400</v>
      </c>
    </row>
    <row r="3101" spans="7:14" ht="11.25" customHeight="1" x14ac:dyDescent="0.3">
      <c r="G3101" s="459"/>
      <c r="H3101" s="459">
        <v>3094</v>
      </c>
      <c r="I3101" s="444">
        <f t="shared" ca="1" si="145"/>
        <v>-130650664058.87221</v>
      </c>
      <c r="J3101" s="444">
        <f t="array" ref="J3101">IFERROR(INDEX('Retirement Calculator'!K:K,MATCH('Lorri 401b'!N3101,'Retirement Calculator'!A:A,0),0),0)</f>
        <v>0</v>
      </c>
      <c r="K3101" s="444">
        <f t="shared" ca="1" si="143"/>
        <v>-544377766.91196752</v>
      </c>
      <c r="L3101" s="444">
        <f t="shared" ca="1" si="144"/>
        <v>-131195041825.78418</v>
      </c>
      <c r="M3101" s="460">
        <f t="shared" si="146"/>
        <v>0.05</v>
      </c>
      <c r="N3101" s="464">
        <f t="shared" si="147"/>
        <v>145428</v>
      </c>
    </row>
    <row r="3102" spans="7:14" ht="11.25" customHeight="1" x14ac:dyDescent="0.3">
      <c r="G3102" s="459"/>
      <c r="H3102" s="459">
        <v>3095</v>
      </c>
      <c r="I3102" s="444">
        <f t="shared" ca="1" si="145"/>
        <v>-131195041825.78418</v>
      </c>
      <c r="J3102" s="444">
        <f t="array" ref="J3102">IFERROR(INDEX('Retirement Calculator'!K:K,MATCH('Lorri 401b'!N3102,'Retirement Calculator'!A:A,0),0),0)</f>
        <v>0</v>
      </c>
      <c r="K3102" s="444">
        <f t="shared" ca="1" si="143"/>
        <v>-546646007.60743403</v>
      </c>
      <c r="L3102" s="444">
        <f t="shared" ca="1" si="144"/>
        <v>-131741687833.39162</v>
      </c>
      <c r="M3102" s="460">
        <f t="shared" si="146"/>
        <v>0.05</v>
      </c>
      <c r="N3102" s="464">
        <f t="shared" si="147"/>
        <v>145459</v>
      </c>
    </row>
    <row r="3103" spans="7:14" ht="11.25" customHeight="1" x14ac:dyDescent="0.3">
      <c r="G3103" s="459"/>
      <c r="H3103" s="459">
        <v>3096</v>
      </c>
      <c r="I3103" s="444">
        <f t="shared" ca="1" si="145"/>
        <v>-131741687833.39162</v>
      </c>
      <c r="J3103" s="444">
        <f t="array" ref="J3103">IFERROR(INDEX('Retirement Calculator'!K:K,MATCH('Lorri 401b'!N3103,'Retirement Calculator'!A:A,0),0),0)</f>
        <v>0</v>
      </c>
      <c r="K3103" s="444">
        <f t="shared" ca="1" si="143"/>
        <v>-548923699.30579829</v>
      </c>
      <c r="L3103" s="444">
        <f t="shared" ca="1" si="144"/>
        <v>-132290611532.69742</v>
      </c>
      <c r="M3103" s="460">
        <f t="shared" si="146"/>
        <v>0.05</v>
      </c>
      <c r="N3103" s="464">
        <f t="shared" si="147"/>
        <v>145489</v>
      </c>
    </row>
    <row r="3104" spans="7:14" ht="11.25" customHeight="1" x14ac:dyDescent="0.3">
      <c r="G3104" s="459"/>
      <c r="H3104" s="459">
        <v>3097</v>
      </c>
      <c r="I3104" s="444">
        <f t="shared" ca="1" si="145"/>
        <v>-132290611532.69742</v>
      </c>
      <c r="J3104" s="444">
        <f t="array" ref="J3104">IFERROR(INDEX('Retirement Calculator'!K:K,MATCH('Lorri 401b'!N3104,'Retirement Calculator'!A:A,0),0),0)</f>
        <v>0</v>
      </c>
      <c r="K3104" s="444">
        <f t="shared" ca="1" si="143"/>
        <v>-551210881.38623917</v>
      </c>
      <c r="L3104" s="444">
        <f t="shared" ca="1" si="144"/>
        <v>-132841822414.08366</v>
      </c>
      <c r="M3104" s="460">
        <f t="shared" si="146"/>
        <v>0.05</v>
      </c>
      <c r="N3104" s="464">
        <f t="shared" si="147"/>
        <v>145520</v>
      </c>
    </row>
    <row r="3105" spans="7:14" ht="11.25" customHeight="1" x14ac:dyDescent="0.3">
      <c r="G3105" s="459"/>
      <c r="H3105" s="459">
        <v>3098</v>
      </c>
      <c r="I3105" s="444">
        <f t="shared" ca="1" si="145"/>
        <v>-132841822414.08366</v>
      </c>
      <c r="J3105" s="444">
        <f t="array" ref="J3105">IFERROR(INDEX('Retirement Calculator'!K:K,MATCH('Lorri 401b'!N3105,'Retirement Calculator'!A:A,0),0),0)</f>
        <v>0</v>
      </c>
      <c r="K3105" s="444">
        <f t="shared" ca="1" si="143"/>
        <v>-553507593.39201522</v>
      </c>
      <c r="L3105" s="444">
        <f t="shared" ca="1" si="144"/>
        <v>-133395330007.47568</v>
      </c>
      <c r="M3105" s="460">
        <f t="shared" si="146"/>
        <v>0.05</v>
      </c>
      <c r="N3105" s="464">
        <f t="shared" si="147"/>
        <v>145550</v>
      </c>
    </row>
    <row r="3106" spans="7:14" ht="11.25" customHeight="1" x14ac:dyDescent="0.3">
      <c r="G3106" s="459"/>
      <c r="H3106" s="459">
        <v>3099</v>
      </c>
      <c r="I3106" s="444">
        <f t="shared" ca="1" si="145"/>
        <v>-133395330007.47568</v>
      </c>
      <c r="J3106" s="444">
        <f t="array" ref="J3106">IFERROR(INDEX('Retirement Calculator'!K:K,MATCH('Lorri 401b'!N3106,'Retirement Calculator'!A:A,0),0),0)</f>
        <v>0</v>
      </c>
      <c r="K3106" s="444">
        <f t="shared" ca="1" si="143"/>
        <v>-555813875.03114867</v>
      </c>
      <c r="L3106" s="444">
        <f t="shared" ca="1" si="144"/>
        <v>-133951143882.50682</v>
      </c>
      <c r="M3106" s="460">
        <f t="shared" si="146"/>
        <v>0.05</v>
      </c>
      <c r="N3106" s="464">
        <f t="shared" si="147"/>
        <v>145581</v>
      </c>
    </row>
    <row r="3107" spans="7:14" ht="11.25" customHeight="1" x14ac:dyDescent="0.3">
      <c r="G3107" s="459"/>
      <c r="H3107" s="459">
        <v>3100</v>
      </c>
      <c r="I3107" s="444">
        <f t="shared" ca="1" si="145"/>
        <v>-133951143882.50682</v>
      </c>
      <c r="J3107" s="444">
        <f t="array" ref="J3107">IFERROR(INDEX('Retirement Calculator'!K:K,MATCH('Lorri 401b'!N3107,'Retirement Calculator'!A:A,0),0),0)</f>
        <v>0</v>
      </c>
      <c r="K3107" s="444">
        <f t="shared" ca="1" si="143"/>
        <v>-558129766.17711163</v>
      </c>
      <c r="L3107" s="444">
        <f t="shared" ca="1" si="144"/>
        <v>-134509273648.68393</v>
      </c>
      <c r="M3107" s="460">
        <f t="shared" si="146"/>
        <v>0.05</v>
      </c>
      <c r="N3107" s="464">
        <f t="shared" si="147"/>
        <v>145612</v>
      </c>
    </row>
    <row r="3108" spans="7:14" ht="11.25" customHeight="1" x14ac:dyDescent="0.3">
      <c r="G3108" s="459"/>
      <c r="H3108" s="459">
        <v>3101</v>
      </c>
      <c r="I3108" s="444">
        <f t="shared" ca="1" si="145"/>
        <v>-134509273648.68393</v>
      </c>
      <c r="J3108" s="444">
        <f t="array" ref="J3108">IFERROR(INDEX('Retirement Calculator'!K:K,MATCH('Lorri 401b'!N3108,'Retirement Calculator'!A:A,0),0),0)</f>
        <v>0</v>
      </c>
      <c r="K3108" s="444">
        <f t="shared" ca="1" si="143"/>
        <v>-560455306.86951637</v>
      </c>
      <c r="L3108" s="444">
        <f t="shared" ca="1" si="144"/>
        <v>-135069728955.55345</v>
      </c>
      <c r="M3108" s="460">
        <f t="shared" si="146"/>
        <v>0.05</v>
      </c>
      <c r="N3108" s="464">
        <f t="shared" si="147"/>
        <v>145642</v>
      </c>
    </row>
    <row r="3109" spans="7:14" ht="11.25" customHeight="1" x14ac:dyDescent="0.3">
      <c r="G3109" s="459"/>
      <c r="H3109" s="459">
        <v>3102</v>
      </c>
      <c r="I3109" s="444">
        <f t="shared" ca="1" si="145"/>
        <v>-135069728955.55345</v>
      </c>
      <c r="J3109" s="444">
        <f t="array" ref="J3109">IFERROR(INDEX('Retirement Calculator'!K:K,MATCH('Lorri 401b'!N3109,'Retirement Calculator'!A:A,0),0),0)</f>
        <v>0</v>
      </c>
      <c r="K3109" s="444">
        <f t="shared" ca="1" si="143"/>
        <v>-562790537.31480598</v>
      </c>
      <c r="L3109" s="444">
        <f t="shared" ca="1" si="144"/>
        <v>-135632519492.86826</v>
      </c>
      <c r="M3109" s="460">
        <f t="shared" si="146"/>
        <v>0.05</v>
      </c>
      <c r="N3109" s="464">
        <f t="shared" si="147"/>
        <v>145673</v>
      </c>
    </row>
    <row r="3110" spans="7:14" ht="11.25" customHeight="1" x14ac:dyDescent="0.3">
      <c r="G3110" s="459"/>
      <c r="H3110" s="459">
        <v>3103</v>
      </c>
      <c r="I3110" s="444">
        <f t="shared" ca="1" si="145"/>
        <v>-135632519492.86826</v>
      </c>
      <c r="J3110" s="444">
        <f t="array" ref="J3110">IFERROR(INDEX('Retirement Calculator'!K:K,MATCH('Lorri 401b'!N3110,'Retirement Calculator'!A:A,0),0),0)</f>
        <v>0</v>
      </c>
      <c r="K3110" s="444">
        <f t="shared" ca="1" si="143"/>
        <v>-565135497.88695097</v>
      </c>
      <c r="L3110" s="444">
        <f t="shared" ca="1" si="144"/>
        <v>-136197654990.7552</v>
      </c>
      <c r="M3110" s="460">
        <f t="shared" si="146"/>
        <v>0.05</v>
      </c>
      <c r="N3110" s="464">
        <f t="shared" si="147"/>
        <v>145703</v>
      </c>
    </row>
    <row r="3111" spans="7:14" ht="11.25" customHeight="1" x14ac:dyDescent="0.3">
      <c r="G3111" s="459"/>
      <c r="H3111" s="459">
        <v>3104</v>
      </c>
      <c r="I3111" s="444">
        <f t="shared" ca="1" si="145"/>
        <v>-136197654990.7552</v>
      </c>
      <c r="J3111" s="444">
        <f t="array" ref="J3111">IFERROR(INDEX('Retirement Calculator'!K:K,MATCH('Lorri 401b'!N3111,'Retirement Calculator'!A:A,0),0),0)</f>
        <v>0</v>
      </c>
      <c r="K3111" s="444">
        <f t="shared" ca="1" si="143"/>
        <v>-567490229.12814665</v>
      </c>
      <c r="L3111" s="444">
        <f t="shared" ca="1" si="144"/>
        <v>-136765145219.88335</v>
      </c>
      <c r="M3111" s="460">
        <f t="shared" si="146"/>
        <v>0.05</v>
      </c>
      <c r="N3111" s="464">
        <f t="shared" si="147"/>
        <v>145734</v>
      </c>
    </row>
    <row r="3112" spans="7:14" ht="11.25" customHeight="1" x14ac:dyDescent="0.3">
      <c r="G3112" s="459"/>
      <c r="H3112" s="459">
        <v>3105</v>
      </c>
      <c r="I3112" s="444">
        <f t="shared" ca="1" si="145"/>
        <v>-136765145219.88335</v>
      </c>
      <c r="J3112" s="444">
        <f t="array" ref="J3112">IFERROR(INDEX('Retirement Calculator'!K:K,MATCH('Lorri 401b'!N3112,'Retirement Calculator'!A:A,0),0),0)</f>
        <v>0</v>
      </c>
      <c r="K3112" s="444">
        <f t="shared" ca="1" si="143"/>
        <v>-569854771.74951398</v>
      </c>
      <c r="L3112" s="444">
        <f t="shared" ca="1" si="144"/>
        <v>-137334999991.63286</v>
      </c>
      <c r="M3112" s="460">
        <f t="shared" si="146"/>
        <v>0.05</v>
      </c>
      <c r="N3112" s="464">
        <f t="shared" si="147"/>
        <v>145765</v>
      </c>
    </row>
    <row r="3113" spans="7:14" ht="11.25" customHeight="1" x14ac:dyDescent="0.3">
      <c r="G3113" s="459"/>
      <c r="H3113" s="459">
        <v>3106</v>
      </c>
      <c r="I3113" s="444">
        <f t="shared" ca="1" si="145"/>
        <v>-137334999991.63286</v>
      </c>
      <c r="J3113" s="444">
        <f t="array" ref="J3113">IFERROR(INDEX('Retirement Calculator'!K:K,MATCH('Lorri 401b'!N3113,'Retirement Calculator'!A:A,0),0),0)</f>
        <v>0</v>
      </c>
      <c r="K3113" s="444">
        <f t="shared" ca="1" si="143"/>
        <v>-572229166.63180363</v>
      </c>
      <c r="L3113" s="444">
        <f t="shared" ca="1" si="144"/>
        <v>-137907229158.26465</v>
      </c>
      <c r="M3113" s="460">
        <f t="shared" si="146"/>
        <v>0.05</v>
      </c>
      <c r="N3113" s="464">
        <f t="shared" si="147"/>
        <v>145793</v>
      </c>
    </row>
    <row r="3114" spans="7:14" ht="11.25" customHeight="1" x14ac:dyDescent="0.3">
      <c r="G3114" s="459"/>
      <c r="H3114" s="459">
        <v>3107</v>
      </c>
      <c r="I3114" s="444">
        <f t="shared" ca="1" si="145"/>
        <v>-137907229158.26465</v>
      </c>
      <c r="J3114" s="444">
        <f t="array" ref="J3114">IFERROR(INDEX('Retirement Calculator'!K:K,MATCH('Lorri 401b'!N3114,'Retirement Calculator'!A:A,0),0),0)</f>
        <v>0</v>
      </c>
      <c r="K3114" s="444">
        <f t="shared" ca="1" si="143"/>
        <v>-574613454.82610273</v>
      </c>
      <c r="L3114" s="444">
        <f t="shared" ca="1" si="144"/>
        <v>-138481842613.09076</v>
      </c>
      <c r="M3114" s="460">
        <f t="shared" si="146"/>
        <v>0.05</v>
      </c>
      <c r="N3114" s="464">
        <f t="shared" si="147"/>
        <v>145824</v>
      </c>
    </row>
    <row r="3115" spans="7:14" ht="11.25" customHeight="1" x14ac:dyDescent="0.3">
      <c r="G3115" s="459"/>
      <c r="H3115" s="459">
        <v>3108</v>
      </c>
      <c r="I3115" s="444">
        <f t="shared" ca="1" si="145"/>
        <v>-138481842613.09076</v>
      </c>
      <c r="J3115" s="444">
        <f t="array" ref="J3115">IFERROR(INDEX('Retirement Calculator'!K:K,MATCH('Lorri 401b'!N3115,'Retirement Calculator'!A:A,0),0),0)</f>
        <v>0</v>
      </c>
      <c r="K3115" s="444">
        <f t="shared" ca="1" si="143"/>
        <v>-577007677.55454481</v>
      </c>
      <c r="L3115" s="444">
        <f t="shared" ca="1" si="144"/>
        <v>-139058850290.64529</v>
      </c>
      <c r="M3115" s="460">
        <f t="shared" si="146"/>
        <v>0.05</v>
      </c>
      <c r="N3115" s="464">
        <f t="shared" si="147"/>
        <v>145854</v>
      </c>
    </row>
    <row r="3116" spans="7:14" ht="11.25" customHeight="1" x14ac:dyDescent="0.3">
      <c r="G3116" s="459"/>
      <c r="H3116" s="459">
        <v>3109</v>
      </c>
      <c r="I3116" s="444">
        <f t="shared" ca="1" si="145"/>
        <v>-139058850290.64529</v>
      </c>
      <c r="J3116" s="444">
        <f t="array" ref="J3116">IFERROR(INDEX('Retirement Calculator'!K:K,MATCH('Lorri 401b'!N3116,'Retirement Calculator'!A:A,0),0),0)</f>
        <v>0</v>
      </c>
      <c r="K3116" s="444">
        <f t="shared" ca="1" si="143"/>
        <v>-579411876.21102202</v>
      </c>
      <c r="L3116" s="444">
        <f t="shared" ca="1" si="144"/>
        <v>-139638262166.85632</v>
      </c>
      <c r="M3116" s="460">
        <f t="shared" si="146"/>
        <v>0.05</v>
      </c>
      <c r="N3116" s="464">
        <f t="shared" si="147"/>
        <v>145885</v>
      </c>
    </row>
    <row r="3117" spans="7:14" ht="11.25" customHeight="1" x14ac:dyDescent="0.3">
      <c r="G3117" s="459"/>
      <c r="H3117" s="459">
        <v>3110</v>
      </c>
      <c r="I3117" s="444">
        <f t="shared" ca="1" si="145"/>
        <v>-139638262166.85632</v>
      </c>
      <c r="J3117" s="444">
        <f t="array" ref="J3117">IFERROR(INDEX('Retirement Calculator'!K:K,MATCH('Lorri 401b'!N3117,'Retirement Calculator'!A:A,0),0),0)</f>
        <v>0</v>
      </c>
      <c r="K3117" s="444">
        <f t="shared" ca="1" si="143"/>
        <v>-581826092.36190128</v>
      </c>
      <c r="L3117" s="444">
        <f t="shared" ca="1" si="144"/>
        <v>-140220088259.21823</v>
      </c>
      <c r="M3117" s="460">
        <f t="shared" si="146"/>
        <v>0.05</v>
      </c>
      <c r="N3117" s="464">
        <f t="shared" si="147"/>
        <v>145915</v>
      </c>
    </row>
    <row r="3118" spans="7:14" ht="11.25" customHeight="1" x14ac:dyDescent="0.3">
      <c r="G3118" s="459"/>
      <c r="H3118" s="459">
        <v>3111</v>
      </c>
      <c r="I3118" s="444">
        <f t="shared" ca="1" si="145"/>
        <v>-140220088259.21823</v>
      </c>
      <c r="J3118" s="444">
        <f t="array" ref="J3118">IFERROR(INDEX('Retirement Calculator'!K:K,MATCH('Lorri 401b'!N3118,'Retirement Calculator'!A:A,0),0),0)</f>
        <v>0</v>
      </c>
      <c r="K3118" s="444">
        <f t="shared" ca="1" si="143"/>
        <v>-584250367.74674261</v>
      </c>
      <c r="L3118" s="444">
        <f t="shared" ca="1" si="144"/>
        <v>-140804338626.96497</v>
      </c>
      <c r="M3118" s="460">
        <f t="shared" si="146"/>
        <v>0.05</v>
      </c>
      <c r="N3118" s="464">
        <f t="shared" si="147"/>
        <v>145946</v>
      </c>
    </row>
    <row r="3119" spans="7:14" ht="11.25" customHeight="1" x14ac:dyDescent="0.3">
      <c r="G3119" s="459"/>
      <c r="H3119" s="459">
        <v>3112</v>
      </c>
      <c r="I3119" s="444">
        <f t="shared" ca="1" si="145"/>
        <v>-140804338626.96497</v>
      </c>
      <c r="J3119" s="444">
        <f t="array" ref="J3119">IFERROR(INDEX('Retirement Calculator'!K:K,MATCH('Lorri 401b'!N3119,'Retirement Calculator'!A:A,0),0),0)</f>
        <v>0</v>
      </c>
      <c r="K3119" s="444">
        <f t="shared" ca="1" si="143"/>
        <v>-586684744.27902067</v>
      </c>
      <c r="L3119" s="444">
        <f t="shared" ca="1" si="144"/>
        <v>-141391023371.24399</v>
      </c>
      <c r="M3119" s="460">
        <f t="shared" si="146"/>
        <v>0.05</v>
      </c>
      <c r="N3119" s="464">
        <f t="shared" si="147"/>
        <v>145977</v>
      </c>
    </row>
    <row r="3120" spans="7:14" ht="11.25" customHeight="1" x14ac:dyDescent="0.3">
      <c r="G3120" s="459"/>
      <c r="H3120" s="459">
        <v>3113</v>
      </c>
      <c r="I3120" s="444">
        <f t="shared" ca="1" si="145"/>
        <v>-141391023371.24399</v>
      </c>
      <c r="J3120" s="444">
        <f t="array" ref="J3120">IFERROR(INDEX('Retirement Calculator'!K:K,MATCH('Lorri 401b'!N3120,'Retirement Calculator'!A:A,0),0),0)</f>
        <v>0</v>
      </c>
      <c r="K3120" s="444">
        <f t="shared" ca="1" si="143"/>
        <v>-589129264.04684997</v>
      </c>
      <c r="L3120" s="444">
        <f t="shared" ca="1" si="144"/>
        <v>-141980152635.29083</v>
      </c>
      <c r="M3120" s="460">
        <f t="shared" si="146"/>
        <v>0.05</v>
      </c>
      <c r="N3120" s="464">
        <f t="shared" si="147"/>
        <v>146007</v>
      </c>
    </row>
    <row r="3121" spans="7:14" ht="11.25" customHeight="1" x14ac:dyDescent="0.3">
      <c r="G3121" s="459"/>
      <c r="H3121" s="459">
        <v>3114</v>
      </c>
      <c r="I3121" s="444">
        <f t="shared" ca="1" si="145"/>
        <v>-141980152635.29083</v>
      </c>
      <c r="J3121" s="444">
        <f t="array" ref="J3121">IFERROR(INDEX('Retirement Calculator'!K:K,MATCH('Lorri 401b'!N3121,'Retirement Calculator'!A:A,0),0),0)</f>
        <v>0</v>
      </c>
      <c r="K3121" s="444">
        <f t="shared" ca="1" si="143"/>
        <v>-591583969.31371176</v>
      </c>
      <c r="L3121" s="444">
        <f t="shared" ca="1" si="144"/>
        <v>-142571736604.60455</v>
      </c>
      <c r="M3121" s="460">
        <f t="shared" si="146"/>
        <v>0.05</v>
      </c>
      <c r="N3121" s="464">
        <f t="shared" si="147"/>
        <v>146038</v>
      </c>
    </row>
    <row r="3122" spans="7:14" ht="11.25" customHeight="1" x14ac:dyDescent="0.3">
      <c r="G3122" s="459"/>
      <c r="H3122" s="459">
        <v>3115</v>
      </c>
      <c r="I3122" s="444">
        <f t="shared" ca="1" si="145"/>
        <v>-142571736604.60455</v>
      </c>
      <c r="J3122" s="444">
        <f t="array" ref="J3122">IFERROR(INDEX('Retirement Calculator'!K:K,MATCH('Lorri 401b'!N3122,'Retirement Calculator'!A:A,0),0),0)</f>
        <v>0</v>
      </c>
      <c r="K3122" s="444">
        <f t="shared" ca="1" si="143"/>
        <v>-594048902.51918566</v>
      </c>
      <c r="L3122" s="444">
        <f t="shared" ca="1" si="144"/>
        <v>-143165785507.12375</v>
      </c>
      <c r="M3122" s="460">
        <f t="shared" si="146"/>
        <v>0.05</v>
      </c>
      <c r="N3122" s="464">
        <f t="shared" si="147"/>
        <v>146068</v>
      </c>
    </row>
    <row r="3123" spans="7:14" ht="11.25" customHeight="1" x14ac:dyDescent="0.3">
      <c r="G3123" s="459"/>
      <c r="H3123" s="459">
        <v>3116</v>
      </c>
      <c r="I3123" s="444">
        <f t="shared" ca="1" si="145"/>
        <v>-143165785507.12375</v>
      </c>
      <c r="J3123" s="444">
        <f t="array" ref="J3123">IFERROR(INDEX('Retirement Calculator'!K:K,MATCH('Lorri 401b'!N3123,'Retirement Calculator'!A:A,0),0),0)</f>
        <v>0</v>
      </c>
      <c r="K3123" s="444">
        <f t="shared" ca="1" si="143"/>
        <v>-596524106.27968228</v>
      </c>
      <c r="L3123" s="444">
        <f t="shared" ca="1" si="144"/>
        <v>-143762309613.40344</v>
      </c>
      <c r="M3123" s="460">
        <f t="shared" si="146"/>
        <v>0.05</v>
      </c>
      <c r="N3123" s="464">
        <f t="shared" si="147"/>
        <v>146099</v>
      </c>
    </row>
    <row r="3124" spans="7:14" ht="11.25" customHeight="1" x14ac:dyDescent="0.3">
      <c r="G3124" s="459"/>
      <c r="H3124" s="459">
        <v>3117</v>
      </c>
      <c r="I3124" s="444">
        <f t="shared" ca="1" si="145"/>
        <v>-143762309613.40344</v>
      </c>
      <c r="J3124" s="444">
        <f t="array" ref="J3124">IFERROR(INDEX('Retirement Calculator'!K:K,MATCH('Lorri 401b'!N3124,'Retirement Calculator'!A:A,0),0),0)</f>
        <v>0</v>
      </c>
      <c r="K3124" s="444">
        <f t="shared" ca="1" si="143"/>
        <v>-599009623.38918102</v>
      </c>
      <c r="L3124" s="444">
        <f t="shared" ca="1" si="144"/>
        <v>-144361319236.79263</v>
      </c>
      <c r="M3124" s="460">
        <f t="shared" si="146"/>
        <v>0.05</v>
      </c>
      <c r="N3124" s="464">
        <f t="shared" si="147"/>
        <v>146130</v>
      </c>
    </row>
    <row r="3125" spans="7:14" ht="11.25" customHeight="1" x14ac:dyDescent="0.3">
      <c r="G3125" s="459"/>
      <c r="H3125" s="459">
        <v>3118</v>
      </c>
      <c r="I3125" s="444">
        <f t="shared" ca="1" si="145"/>
        <v>-144361319236.79263</v>
      </c>
      <c r="J3125" s="444">
        <f t="array" ref="J3125">IFERROR(INDEX('Retirement Calculator'!K:K,MATCH('Lorri 401b'!N3125,'Retirement Calculator'!A:A,0),0),0)</f>
        <v>0</v>
      </c>
      <c r="K3125" s="444">
        <f t="shared" ca="1" si="143"/>
        <v>-601505496.8199693</v>
      </c>
      <c r="L3125" s="444">
        <f t="shared" ca="1" si="144"/>
        <v>-144962824733.61261</v>
      </c>
      <c r="M3125" s="460">
        <f t="shared" si="146"/>
        <v>0.05</v>
      </c>
      <c r="N3125" s="464">
        <f t="shared" si="147"/>
        <v>146158</v>
      </c>
    </row>
    <row r="3126" spans="7:14" ht="11.25" customHeight="1" x14ac:dyDescent="0.3">
      <c r="G3126" s="459"/>
      <c r="H3126" s="459">
        <v>3119</v>
      </c>
      <c r="I3126" s="444">
        <f t="shared" ca="1" si="145"/>
        <v>-144962824733.61261</v>
      </c>
      <c r="J3126" s="444">
        <f t="array" ref="J3126">IFERROR(INDEX('Retirement Calculator'!K:K,MATCH('Lorri 401b'!N3126,'Retirement Calculator'!A:A,0),0),0)</f>
        <v>0</v>
      </c>
      <c r="K3126" s="444">
        <f t="shared" ca="1" si="143"/>
        <v>-604011769.72338581</v>
      </c>
      <c r="L3126" s="444">
        <f t="shared" ca="1" si="144"/>
        <v>-145566836503.336</v>
      </c>
      <c r="M3126" s="460">
        <f t="shared" si="146"/>
        <v>0.05</v>
      </c>
      <c r="N3126" s="464">
        <f t="shared" si="147"/>
        <v>146189</v>
      </c>
    </row>
    <row r="3127" spans="7:14" ht="11.25" customHeight="1" x14ac:dyDescent="0.3">
      <c r="G3127" s="459"/>
      <c r="H3127" s="459">
        <v>3120</v>
      </c>
      <c r="I3127" s="444">
        <f t="shared" ca="1" si="145"/>
        <v>-145566836503.336</v>
      </c>
      <c r="J3127" s="444">
        <f t="array" ref="J3127">IFERROR(INDEX('Retirement Calculator'!K:K,MATCH('Lorri 401b'!N3127,'Retirement Calculator'!A:A,0),0),0)</f>
        <v>0</v>
      </c>
      <c r="K3127" s="444">
        <f t="shared" ca="1" si="143"/>
        <v>-606528485.43056667</v>
      </c>
      <c r="L3127" s="444">
        <f t="shared" ca="1" si="144"/>
        <v>-146173364988.76657</v>
      </c>
      <c r="M3127" s="460">
        <f t="shared" si="146"/>
        <v>0.05</v>
      </c>
      <c r="N3127" s="464">
        <f t="shared" si="147"/>
        <v>146219</v>
      </c>
    </row>
    <row r="3128" spans="7:14" ht="11.25" customHeight="1" x14ac:dyDescent="0.3">
      <c r="G3128" s="459"/>
      <c r="H3128" s="459">
        <v>3121</v>
      </c>
      <c r="I3128" s="444">
        <f t="shared" ca="1" si="145"/>
        <v>-146173364988.76657</v>
      </c>
      <c r="J3128" s="444">
        <f t="array" ref="J3128">IFERROR(INDEX('Retirement Calculator'!K:K,MATCH('Lorri 401b'!N3128,'Retirement Calculator'!A:A,0),0),0)</f>
        <v>0</v>
      </c>
      <c r="K3128" s="444">
        <f t="shared" ca="1" si="143"/>
        <v>-609055687.45319402</v>
      </c>
      <c r="L3128" s="444">
        <f t="shared" ca="1" si="144"/>
        <v>-146782420676.21976</v>
      </c>
      <c r="M3128" s="460">
        <f t="shared" si="146"/>
        <v>0.05</v>
      </c>
      <c r="N3128" s="464">
        <f t="shared" si="147"/>
        <v>146250</v>
      </c>
    </row>
    <row r="3129" spans="7:14" ht="11.25" customHeight="1" x14ac:dyDescent="0.3">
      <c r="G3129" s="459"/>
      <c r="H3129" s="459">
        <v>3122</v>
      </c>
      <c r="I3129" s="444">
        <f t="shared" ca="1" si="145"/>
        <v>-146782420676.21976</v>
      </c>
      <c r="J3129" s="444">
        <f t="array" ref="J3129">IFERROR(INDEX('Retirement Calculator'!K:K,MATCH('Lorri 401b'!N3129,'Retirement Calculator'!A:A,0),0),0)</f>
        <v>0</v>
      </c>
      <c r="K3129" s="444">
        <f t="shared" ca="1" si="143"/>
        <v>-611593419.484249</v>
      </c>
      <c r="L3129" s="444">
        <f t="shared" ca="1" si="144"/>
        <v>-147394014095.70401</v>
      </c>
      <c r="M3129" s="460">
        <f t="shared" si="146"/>
        <v>0.05</v>
      </c>
      <c r="N3129" s="464">
        <f t="shared" si="147"/>
        <v>146280</v>
      </c>
    </row>
    <row r="3130" spans="7:14" ht="11.25" customHeight="1" x14ac:dyDescent="0.3">
      <c r="G3130" s="459"/>
      <c r="H3130" s="459">
        <v>3123</v>
      </c>
      <c r="I3130" s="444">
        <f t="shared" ca="1" si="145"/>
        <v>-147394014095.70401</v>
      </c>
      <c r="J3130" s="444">
        <f t="array" ref="J3130">IFERROR(INDEX('Retirement Calculator'!K:K,MATCH('Lorri 401b'!N3130,'Retirement Calculator'!A:A,0),0),0)</f>
        <v>0</v>
      </c>
      <c r="K3130" s="444">
        <f t="shared" ca="1" si="143"/>
        <v>-614141725.39876676</v>
      </c>
      <c r="L3130" s="444">
        <f t="shared" ca="1" si="144"/>
        <v>-148008155821.10278</v>
      </c>
      <c r="M3130" s="460">
        <f t="shared" si="146"/>
        <v>0.05</v>
      </c>
      <c r="N3130" s="464">
        <f t="shared" si="147"/>
        <v>146311</v>
      </c>
    </row>
    <row r="3131" spans="7:14" ht="11.25" customHeight="1" x14ac:dyDescent="0.3">
      <c r="G3131" s="459"/>
      <c r="H3131" s="459">
        <v>3124</v>
      </c>
      <c r="I3131" s="444">
        <f t="shared" ca="1" si="145"/>
        <v>-148008155821.10278</v>
      </c>
      <c r="J3131" s="444">
        <f t="array" ref="J3131">IFERROR(INDEX('Retirement Calculator'!K:K,MATCH('Lorri 401b'!N3131,'Retirement Calculator'!A:A,0),0),0)</f>
        <v>0</v>
      </c>
      <c r="K3131" s="444">
        <f t="shared" ca="1" si="143"/>
        <v>-616700649.25459492</v>
      </c>
      <c r="L3131" s="444">
        <f t="shared" ca="1" si="144"/>
        <v>-148624856470.35739</v>
      </c>
      <c r="M3131" s="460">
        <f t="shared" si="146"/>
        <v>0.05</v>
      </c>
      <c r="N3131" s="464">
        <f t="shared" si="147"/>
        <v>146342</v>
      </c>
    </row>
    <row r="3132" spans="7:14" ht="11.25" customHeight="1" x14ac:dyDescent="0.3">
      <c r="G3132" s="459"/>
      <c r="H3132" s="459">
        <v>3125</v>
      </c>
      <c r="I3132" s="444">
        <f t="shared" ca="1" si="145"/>
        <v>-148624856470.35739</v>
      </c>
      <c r="J3132" s="444">
        <f t="array" ref="J3132">IFERROR(INDEX('Retirement Calculator'!K:K,MATCH('Lorri 401b'!N3132,'Retirement Calculator'!A:A,0),0),0)</f>
        <v>0</v>
      </c>
      <c r="K3132" s="444">
        <f t="shared" ca="1" si="143"/>
        <v>-619270235.29315579</v>
      </c>
      <c r="L3132" s="444">
        <f t="shared" ca="1" si="144"/>
        <v>-149244126705.65054</v>
      </c>
      <c r="M3132" s="460">
        <f t="shared" si="146"/>
        <v>0.05</v>
      </c>
      <c r="N3132" s="464">
        <f t="shared" si="147"/>
        <v>146372</v>
      </c>
    </row>
    <row r="3133" spans="7:14" ht="11.25" customHeight="1" x14ac:dyDescent="0.3">
      <c r="G3133" s="459"/>
      <c r="H3133" s="459">
        <v>3126</v>
      </c>
      <c r="I3133" s="444">
        <f t="shared" ca="1" si="145"/>
        <v>-149244126705.65054</v>
      </c>
      <c r="J3133" s="444">
        <f t="array" ref="J3133">IFERROR(INDEX('Retirement Calculator'!K:K,MATCH('Lorri 401b'!N3133,'Retirement Calculator'!A:A,0),0),0)</f>
        <v>0</v>
      </c>
      <c r="K3133" s="444">
        <f t="shared" ca="1" si="143"/>
        <v>-621850527.94021058</v>
      </c>
      <c r="L3133" s="444">
        <f t="shared" ca="1" si="144"/>
        <v>-149865977233.59076</v>
      </c>
      <c r="M3133" s="460">
        <f t="shared" si="146"/>
        <v>0.05</v>
      </c>
      <c r="N3133" s="464">
        <f t="shared" si="147"/>
        <v>146403</v>
      </c>
    </row>
    <row r="3134" spans="7:14" ht="11.25" customHeight="1" x14ac:dyDescent="0.3">
      <c r="G3134" s="459"/>
      <c r="H3134" s="459">
        <v>3127</v>
      </c>
      <c r="I3134" s="444">
        <f t="shared" ca="1" si="145"/>
        <v>-149865977233.59076</v>
      </c>
      <c r="J3134" s="444">
        <f t="array" ref="J3134">IFERROR(INDEX('Retirement Calculator'!K:K,MATCH('Lorri 401b'!N3134,'Retirement Calculator'!A:A,0),0),0)</f>
        <v>0</v>
      </c>
      <c r="K3134" s="444">
        <f t="shared" ca="1" si="143"/>
        <v>-624441571.80662811</v>
      </c>
      <c r="L3134" s="444">
        <f t="shared" ca="1" si="144"/>
        <v>-150490418805.3974</v>
      </c>
      <c r="M3134" s="460">
        <f t="shared" si="146"/>
        <v>0.05</v>
      </c>
      <c r="N3134" s="464">
        <f t="shared" si="147"/>
        <v>146433</v>
      </c>
    </row>
    <row r="3135" spans="7:14" ht="11.25" customHeight="1" x14ac:dyDescent="0.3">
      <c r="G3135" s="459"/>
      <c r="H3135" s="459">
        <v>3128</v>
      </c>
      <c r="I3135" s="444">
        <f t="shared" ca="1" si="145"/>
        <v>-150490418805.3974</v>
      </c>
      <c r="J3135" s="444">
        <f t="array" ref="J3135">IFERROR(INDEX('Retirement Calculator'!K:K,MATCH('Lorri 401b'!N3135,'Retirement Calculator'!A:A,0),0),0)</f>
        <v>0</v>
      </c>
      <c r="K3135" s="444">
        <f t="shared" ca="1" si="143"/>
        <v>-627043411.68915582</v>
      </c>
      <c r="L3135" s="444">
        <f t="shared" ca="1" si="144"/>
        <v>-151117462217.08655</v>
      </c>
      <c r="M3135" s="460">
        <f t="shared" si="146"/>
        <v>0.05</v>
      </c>
      <c r="N3135" s="464">
        <f t="shared" si="147"/>
        <v>146464</v>
      </c>
    </row>
    <row r="3136" spans="7:14" ht="11.25" customHeight="1" x14ac:dyDescent="0.3">
      <c r="G3136" s="459"/>
      <c r="H3136" s="459">
        <v>3129</v>
      </c>
      <c r="I3136" s="444">
        <f t="shared" ca="1" si="145"/>
        <v>-151117462217.08655</v>
      </c>
      <c r="J3136" s="444">
        <f t="array" ref="J3136">IFERROR(INDEX('Retirement Calculator'!K:K,MATCH('Lorri 401b'!N3136,'Retirement Calculator'!A:A,0),0),0)</f>
        <v>0</v>
      </c>
      <c r="K3136" s="444">
        <f t="shared" ca="1" si="143"/>
        <v>-629656092.57119393</v>
      </c>
      <c r="L3136" s="444">
        <f t="shared" ca="1" si="144"/>
        <v>-151747118309.65775</v>
      </c>
      <c r="M3136" s="460">
        <f t="shared" si="146"/>
        <v>0.05</v>
      </c>
      <c r="N3136" s="464">
        <f t="shared" si="147"/>
        <v>146495</v>
      </c>
    </row>
    <row r="3137" spans="7:14" ht="11.25" customHeight="1" x14ac:dyDescent="0.3">
      <c r="G3137" s="459"/>
      <c r="H3137" s="459">
        <v>3130</v>
      </c>
      <c r="I3137" s="444">
        <f t="shared" ca="1" si="145"/>
        <v>-151747118309.65775</v>
      </c>
      <c r="J3137" s="444">
        <f t="array" ref="J3137">IFERROR(INDEX('Retirement Calculator'!K:K,MATCH('Lorri 401b'!N3137,'Retirement Calculator'!A:A,0),0),0)</f>
        <v>0</v>
      </c>
      <c r="K3137" s="444">
        <f t="shared" ca="1" si="143"/>
        <v>-632279659.6235739</v>
      </c>
      <c r="L3137" s="444">
        <f t="shared" ca="1" si="144"/>
        <v>-152379397969.28131</v>
      </c>
      <c r="M3137" s="460">
        <f t="shared" si="146"/>
        <v>0.05</v>
      </c>
      <c r="N3137" s="464">
        <f t="shared" si="147"/>
        <v>146523</v>
      </c>
    </row>
    <row r="3138" spans="7:14" ht="11.25" customHeight="1" x14ac:dyDescent="0.3">
      <c r="G3138" s="459"/>
      <c r="H3138" s="459">
        <v>3131</v>
      </c>
      <c r="I3138" s="444">
        <f t="shared" ca="1" si="145"/>
        <v>-152379397969.28131</v>
      </c>
      <c r="J3138" s="444">
        <f t="array" ref="J3138">IFERROR(INDEX('Retirement Calculator'!K:K,MATCH('Lorri 401b'!N3138,'Retirement Calculator'!A:A,0),0),0)</f>
        <v>0</v>
      </c>
      <c r="K3138" s="444">
        <f t="shared" ca="1" si="143"/>
        <v>-634914158.20533884</v>
      </c>
      <c r="L3138" s="444">
        <f t="shared" ca="1" si="144"/>
        <v>-153014312127.48666</v>
      </c>
      <c r="M3138" s="460">
        <f t="shared" si="146"/>
        <v>0.05</v>
      </c>
      <c r="N3138" s="464">
        <f t="shared" si="147"/>
        <v>146554</v>
      </c>
    </row>
    <row r="3139" spans="7:14" ht="11.25" customHeight="1" x14ac:dyDescent="0.3">
      <c r="G3139" s="459"/>
      <c r="H3139" s="459">
        <v>3132</v>
      </c>
      <c r="I3139" s="444">
        <f t="shared" ca="1" si="145"/>
        <v>-153014312127.48666</v>
      </c>
      <c r="J3139" s="444">
        <f t="array" ref="J3139">IFERROR(INDEX('Retirement Calculator'!K:K,MATCH('Lorri 401b'!N3139,'Retirement Calculator'!A:A,0),0),0)</f>
        <v>0</v>
      </c>
      <c r="K3139" s="444">
        <f t="shared" ca="1" si="143"/>
        <v>-637559633.8645277</v>
      </c>
      <c r="L3139" s="444">
        <f t="shared" ca="1" si="144"/>
        <v>-153651871761.3512</v>
      </c>
      <c r="M3139" s="460">
        <f t="shared" si="146"/>
        <v>0.05</v>
      </c>
      <c r="N3139" s="464">
        <f t="shared" si="147"/>
        <v>146584</v>
      </c>
    </row>
    <row r="3140" spans="7:14" ht="11.25" customHeight="1" x14ac:dyDescent="0.3">
      <c r="G3140" s="459"/>
      <c r="H3140" s="459">
        <v>3133</v>
      </c>
      <c r="I3140" s="444">
        <f t="shared" ca="1" si="145"/>
        <v>-153651871761.3512</v>
      </c>
      <c r="J3140" s="444">
        <f t="array" ref="J3140">IFERROR(INDEX('Retirement Calculator'!K:K,MATCH('Lorri 401b'!N3140,'Retirement Calculator'!A:A,0),0),0)</f>
        <v>0</v>
      </c>
      <c r="K3140" s="444">
        <f t="shared" ca="1" si="143"/>
        <v>-640216132.33896327</v>
      </c>
      <c r="L3140" s="444">
        <f t="shared" ca="1" si="144"/>
        <v>-154292087893.69016</v>
      </c>
      <c r="M3140" s="460">
        <f t="shared" si="146"/>
        <v>0.05</v>
      </c>
      <c r="N3140" s="464">
        <f t="shared" si="147"/>
        <v>146615</v>
      </c>
    </row>
    <row r="3141" spans="7:14" ht="11.25" customHeight="1" x14ac:dyDescent="0.3">
      <c r="G3141" s="459"/>
      <c r="H3141" s="459">
        <v>3134</v>
      </c>
      <c r="I3141" s="444">
        <f t="shared" ca="1" si="145"/>
        <v>-154292087893.69016</v>
      </c>
      <c r="J3141" s="444">
        <f t="array" ref="J3141">IFERROR(INDEX('Retirement Calculator'!K:K,MATCH('Lorri 401b'!N3141,'Retirement Calculator'!A:A,0),0),0)</f>
        <v>0</v>
      </c>
      <c r="K3141" s="444">
        <f t="shared" ca="1" si="143"/>
        <v>-642883699.55704236</v>
      </c>
      <c r="L3141" s="444">
        <f t="shared" ca="1" si="144"/>
        <v>-154934971593.24719</v>
      </c>
      <c r="M3141" s="460">
        <f t="shared" si="146"/>
        <v>0.05</v>
      </c>
      <c r="N3141" s="464">
        <f t="shared" si="147"/>
        <v>146645</v>
      </c>
    </row>
    <row r="3142" spans="7:14" ht="11.25" customHeight="1" x14ac:dyDescent="0.3">
      <c r="G3142" s="459"/>
      <c r="H3142" s="459">
        <v>3135</v>
      </c>
      <c r="I3142" s="444">
        <f t="shared" ca="1" si="145"/>
        <v>-154934971593.24719</v>
      </c>
      <c r="J3142" s="444">
        <f t="array" ref="J3142">IFERROR(INDEX('Retirement Calculator'!K:K,MATCH('Lorri 401b'!N3142,'Retirement Calculator'!A:A,0),0),0)</f>
        <v>0</v>
      </c>
      <c r="K3142" s="444">
        <f t="shared" ca="1" si="143"/>
        <v>-645562381.63853002</v>
      </c>
      <c r="L3142" s="444">
        <f t="shared" ca="1" si="144"/>
        <v>-155580533974.88571</v>
      </c>
      <c r="M3142" s="460">
        <f t="shared" si="146"/>
        <v>0.05</v>
      </c>
      <c r="N3142" s="464">
        <f t="shared" si="147"/>
        <v>146676</v>
      </c>
    </row>
    <row r="3143" spans="7:14" ht="11.25" customHeight="1" x14ac:dyDescent="0.3">
      <c r="G3143" s="459"/>
      <c r="H3143" s="459">
        <v>3136</v>
      </c>
      <c r="I3143" s="444">
        <f t="shared" ca="1" si="145"/>
        <v>-155580533974.88571</v>
      </c>
      <c r="J3143" s="444">
        <f t="array" ref="J3143">IFERROR(INDEX('Retirement Calculator'!K:K,MATCH('Lorri 401b'!N3143,'Retirement Calculator'!A:A,0),0),0)</f>
        <v>0</v>
      </c>
      <c r="K3143" s="444">
        <f t="shared" ca="1" si="143"/>
        <v>-648252224.89535713</v>
      </c>
      <c r="L3143" s="444">
        <f t="shared" ca="1" si="144"/>
        <v>-156228786199.78107</v>
      </c>
      <c r="M3143" s="460">
        <f t="shared" si="146"/>
        <v>0.05</v>
      </c>
      <c r="N3143" s="464">
        <f t="shared" si="147"/>
        <v>146707</v>
      </c>
    </row>
    <row r="3144" spans="7:14" ht="11.25" customHeight="1" x14ac:dyDescent="0.3">
      <c r="G3144" s="459"/>
      <c r="H3144" s="459">
        <v>3137</v>
      </c>
      <c r="I3144" s="444">
        <f t="shared" ca="1" si="145"/>
        <v>-156228786199.78107</v>
      </c>
      <c r="J3144" s="444">
        <f t="array" ref="J3144">IFERROR(INDEX('Retirement Calculator'!K:K,MATCH('Lorri 401b'!N3144,'Retirement Calculator'!A:A,0),0),0)</f>
        <v>0</v>
      </c>
      <c r="K3144" s="444">
        <f t="shared" ca="1" si="143"/>
        <v>-650953275.83242106</v>
      </c>
      <c r="L3144" s="444">
        <f t="shared" ca="1" si="144"/>
        <v>-156879739475.61349</v>
      </c>
      <c r="M3144" s="460">
        <f t="shared" si="146"/>
        <v>0.05</v>
      </c>
      <c r="N3144" s="464">
        <f t="shared" si="147"/>
        <v>146737</v>
      </c>
    </row>
    <row r="3145" spans="7:14" ht="11.25" customHeight="1" x14ac:dyDescent="0.3">
      <c r="G3145" s="459"/>
      <c r="H3145" s="459">
        <v>3138</v>
      </c>
      <c r="I3145" s="444">
        <f t="shared" ca="1" si="145"/>
        <v>-156879739475.61349</v>
      </c>
      <c r="J3145" s="444">
        <f t="array" ref="J3145">IFERROR(INDEX('Retirement Calculator'!K:K,MATCH('Lorri 401b'!N3145,'Retirement Calculator'!A:A,0),0),0)</f>
        <v>0</v>
      </c>
      <c r="K3145" s="444">
        <f t="shared" ca="1" si="143"/>
        <v>-653665581.14838958</v>
      </c>
      <c r="L3145" s="444">
        <f t="shared" ca="1" si="144"/>
        <v>-157533405056.76187</v>
      </c>
      <c r="M3145" s="460">
        <f t="shared" si="146"/>
        <v>0.05</v>
      </c>
      <c r="N3145" s="464">
        <f t="shared" si="147"/>
        <v>146768</v>
      </c>
    </row>
    <row r="3146" spans="7:14" ht="11.25" customHeight="1" x14ac:dyDescent="0.3">
      <c r="G3146" s="459"/>
      <c r="H3146" s="459">
        <v>3139</v>
      </c>
      <c r="I3146" s="444">
        <f t="shared" ca="1" si="145"/>
        <v>-157533405056.76187</v>
      </c>
      <c r="J3146" s="444">
        <f t="array" ref="J3146">IFERROR(INDEX('Retirement Calculator'!K:K,MATCH('Lorri 401b'!N3146,'Retirement Calculator'!A:A,0),0),0)</f>
        <v>0</v>
      </c>
      <c r="K3146" s="444">
        <f t="shared" ca="1" si="143"/>
        <v>-656389187.73650777</v>
      </c>
      <c r="L3146" s="444">
        <f t="shared" ca="1" si="144"/>
        <v>-158189794244.49838</v>
      </c>
      <c r="M3146" s="460">
        <f t="shared" si="146"/>
        <v>0.05</v>
      </c>
      <c r="N3146" s="464">
        <f t="shared" si="147"/>
        <v>146798</v>
      </c>
    </row>
    <row r="3147" spans="7:14" ht="11.25" customHeight="1" x14ac:dyDescent="0.3">
      <c r="G3147" s="459"/>
      <c r="H3147" s="459">
        <v>3140</v>
      </c>
      <c r="I3147" s="444">
        <f t="shared" ca="1" si="145"/>
        <v>-158189794244.49838</v>
      </c>
      <c r="J3147" s="444">
        <f t="array" ref="J3147">IFERROR(INDEX('Retirement Calculator'!K:K,MATCH('Lorri 401b'!N3147,'Retirement Calculator'!A:A,0),0),0)</f>
        <v>0</v>
      </c>
      <c r="K3147" s="444">
        <f t="shared" ca="1" si="143"/>
        <v>-659124142.6854099</v>
      </c>
      <c r="L3147" s="444">
        <f t="shared" ca="1" si="144"/>
        <v>-158848918387.18381</v>
      </c>
      <c r="M3147" s="460">
        <f t="shared" si="146"/>
        <v>0.05</v>
      </c>
      <c r="N3147" s="464">
        <f t="shared" si="147"/>
        <v>146829</v>
      </c>
    </row>
    <row r="3148" spans="7:14" ht="11.25" customHeight="1" x14ac:dyDescent="0.3">
      <c r="G3148" s="459"/>
      <c r="H3148" s="459">
        <v>3141</v>
      </c>
      <c r="I3148" s="444">
        <f t="shared" ca="1" si="145"/>
        <v>-158848918387.18381</v>
      </c>
      <c r="J3148" s="444">
        <f t="array" ref="J3148">IFERROR(INDEX('Retirement Calculator'!K:K,MATCH('Lorri 401b'!N3148,'Retirement Calculator'!A:A,0),0),0)</f>
        <v>0</v>
      </c>
      <c r="K3148" s="444">
        <f t="shared" ca="1" si="143"/>
        <v>-661870493.2799325</v>
      </c>
      <c r="L3148" s="444">
        <f t="shared" ca="1" si="144"/>
        <v>-159510788880.46375</v>
      </c>
      <c r="M3148" s="460">
        <f t="shared" si="146"/>
        <v>0.05</v>
      </c>
      <c r="N3148" s="464">
        <f t="shared" si="147"/>
        <v>146860</v>
      </c>
    </row>
    <row r="3149" spans="7:14" ht="11.25" customHeight="1" x14ac:dyDescent="0.3">
      <c r="G3149" s="459"/>
      <c r="H3149" s="459">
        <v>3142</v>
      </c>
      <c r="I3149" s="444">
        <f t="shared" ca="1" si="145"/>
        <v>-159510788880.46375</v>
      </c>
      <c r="J3149" s="444">
        <f t="array" ref="J3149">IFERROR(INDEX('Retirement Calculator'!K:K,MATCH('Lorri 401b'!N3149,'Retirement Calculator'!A:A,0),0),0)</f>
        <v>0</v>
      </c>
      <c r="K3149" s="444">
        <f t="shared" ca="1" si="143"/>
        <v>-664628287.00193226</v>
      </c>
      <c r="L3149" s="444">
        <f t="shared" ca="1" si="144"/>
        <v>-160175417167.46567</v>
      </c>
      <c r="M3149" s="460">
        <f t="shared" si="146"/>
        <v>0.05</v>
      </c>
      <c r="N3149" s="464">
        <f t="shared" si="147"/>
        <v>146888</v>
      </c>
    </row>
    <row r="3150" spans="7:14" ht="11.25" customHeight="1" x14ac:dyDescent="0.3">
      <c r="G3150" s="459"/>
      <c r="H3150" s="459">
        <v>3143</v>
      </c>
      <c r="I3150" s="444">
        <f t="shared" ca="1" si="145"/>
        <v>-160175417167.46567</v>
      </c>
      <c r="J3150" s="444">
        <f t="array" ref="J3150">IFERROR(INDEX('Retirement Calculator'!K:K,MATCH('Lorri 401b'!N3150,'Retirement Calculator'!A:A,0),0),0)</f>
        <v>0</v>
      </c>
      <c r="K3150" s="444">
        <f t="shared" ca="1" si="143"/>
        <v>-667397571.53110695</v>
      </c>
      <c r="L3150" s="444">
        <f t="shared" ca="1" si="144"/>
        <v>-160842814738.99677</v>
      </c>
      <c r="M3150" s="460">
        <f t="shared" si="146"/>
        <v>0.05</v>
      </c>
      <c r="N3150" s="464">
        <f t="shared" si="147"/>
        <v>146919</v>
      </c>
    </row>
    <row r="3151" spans="7:14" ht="11.25" customHeight="1" x14ac:dyDescent="0.3">
      <c r="G3151" s="459"/>
      <c r="H3151" s="459">
        <v>3144</v>
      </c>
      <c r="I3151" s="444">
        <f t="shared" ca="1" si="145"/>
        <v>-160842814738.99677</v>
      </c>
      <c r="J3151" s="444">
        <f t="array" ref="J3151">IFERROR(INDEX('Retirement Calculator'!K:K,MATCH('Lorri 401b'!N3151,'Retirement Calculator'!A:A,0),0),0)</f>
        <v>0</v>
      </c>
      <c r="K3151" s="444">
        <f t="shared" ca="1" si="143"/>
        <v>-670178394.74581981</v>
      </c>
      <c r="L3151" s="444">
        <f t="shared" ca="1" si="144"/>
        <v>-161512993133.74258</v>
      </c>
      <c r="M3151" s="460">
        <f t="shared" si="146"/>
        <v>0.05</v>
      </c>
      <c r="N3151" s="464">
        <f t="shared" si="147"/>
        <v>146949</v>
      </c>
    </row>
    <row r="3152" spans="7:14" ht="11.25" customHeight="1" x14ac:dyDescent="0.3">
      <c r="G3152" s="459"/>
      <c r="H3152" s="459">
        <v>3145</v>
      </c>
      <c r="I3152" s="444">
        <f t="shared" ca="1" si="145"/>
        <v>-161512993133.74258</v>
      </c>
      <c r="J3152" s="444">
        <f t="array" ref="J3152">IFERROR(INDEX('Retirement Calculator'!K:K,MATCH('Lorri 401b'!N3152,'Retirement Calculator'!A:A,0),0),0)</f>
        <v>0</v>
      </c>
      <c r="K3152" s="444">
        <f t="shared" ca="1" si="143"/>
        <v>-672970804.72392738</v>
      </c>
      <c r="L3152" s="444">
        <f t="shared" ca="1" si="144"/>
        <v>-162185963938.46652</v>
      </c>
      <c r="M3152" s="460">
        <f t="shared" si="146"/>
        <v>0.05</v>
      </c>
      <c r="N3152" s="464">
        <f t="shared" si="147"/>
        <v>146980</v>
      </c>
    </row>
    <row r="3153" spans="7:14" ht="11.25" customHeight="1" x14ac:dyDescent="0.3">
      <c r="G3153" s="459"/>
      <c r="H3153" s="459">
        <v>3146</v>
      </c>
      <c r="I3153" s="444">
        <f t="shared" ca="1" si="145"/>
        <v>-162185963938.46652</v>
      </c>
      <c r="J3153" s="444">
        <f t="array" ref="J3153">IFERROR(INDEX('Retirement Calculator'!K:K,MATCH('Lorri 401b'!N3153,'Retirement Calculator'!A:A,0),0),0)</f>
        <v>0</v>
      </c>
      <c r="K3153" s="444">
        <f t="shared" ca="1" si="143"/>
        <v>-675774849.7436105</v>
      </c>
      <c r="L3153" s="444">
        <f t="shared" ca="1" si="144"/>
        <v>-162861738788.21014</v>
      </c>
      <c r="M3153" s="460">
        <f t="shared" si="146"/>
        <v>0.05</v>
      </c>
      <c r="N3153" s="464">
        <f t="shared" si="147"/>
        <v>147010</v>
      </c>
    </row>
    <row r="3154" spans="7:14" ht="11.25" customHeight="1" x14ac:dyDescent="0.3">
      <c r="G3154" s="459"/>
      <c r="H3154" s="459">
        <v>3147</v>
      </c>
      <c r="I3154" s="444">
        <f t="shared" ca="1" si="145"/>
        <v>-162861738788.21014</v>
      </c>
      <c r="J3154" s="444">
        <f t="array" ref="J3154">IFERROR(INDEX('Retirement Calculator'!K:K,MATCH('Lorri 401b'!N3154,'Retirement Calculator'!A:A,0),0),0)</f>
        <v>0</v>
      </c>
      <c r="K3154" s="444">
        <f t="shared" ca="1" si="143"/>
        <v>-678590578.28420889</v>
      </c>
      <c r="L3154" s="444">
        <f t="shared" ca="1" si="144"/>
        <v>-163540329366.49435</v>
      </c>
      <c r="M3154" s="460">
        <f t="shared" si="146"/>
        <v>0.05</v>
      </c>
      <c r="N3154" s="464">
        <f t="shared" si="147"/>
        <v>147041</v>
      </c>
    </row>
    <row r="3155" spans="7:14" ht="11.25" customHeight="1" x14ac:dyDescent="0.3">
      <c r="G3155" s="459"/>
      <c r="H3155" s="459">
        <v>3148</v>
      </c>
      <c r="I3155" s="444">
        <f t="shared" ca="1" si="145"/>
        <v>-163540329366.49435</v>
      </c>
      <c r="J3155" s="444">
        <f t="array" ref="J3155">IFERROR(INDEX('Retirement Calculator'!K:K,MATCH('Lorri 401b'!N3155,'Retirement Calculator'!A:A,0),0),0)</f>
        <v>0</v>
      </c>
      <c r="K3155" s="444">
        <f t="shared" ca="1" si="143"/>
        <v>-681418039.02705979</v>
      </c>
      <c r="L3155" s="444">
        <f t="shared" ca="1" si="144"/>
        <v>-164221747405.52142</v>
      </c>
      <c r="M3155" s="460">
        <f t="shared" si="146"/>
        <v>0.05</v>
      </c>
      <c r="N3155" s="464">
        <f t="shared" si="147"/>
        <v>147072</v>
      </c>
    </row>
    <row r="3156" spans="7:14" ht="11.25" customHeight="1" x14ac:dyDescent="0.3">
      <c r="G3156" s="459"/>
      <c r="H3156" s="459">
        <v>3149</v>
      </c>
      <c r="I3156" s="444">
        <f t="shared" ca="1" si="145"/>
        <v>-164221747405.52142</v>
      </c>
      <c r="J3156" s="444">
        <f t="array" ref="J3156">IFERROR(INDEX('Retirement Calculator'!K:K,MATCH('Lorri 401b'!N3156,'Retirement Calculator'!A:A,0),0),0)</f>
        <v>0</v>
      </c>
      <c r="K3156" s="444">
        <f t="shared" ca="1" si="143"/>
        <v>-684257280.85633922</v>
      </c>
      <c r="L3156" s="444">
        <f t="shared" ca="1" si="144"/>
        <v>-164906004686.37778</v>
      </c>
      <c r="M3156" s="460">
        <f t="shared" si="146"/>
        <v>0.05</v>
      </c>
      <c r="N3156" s="464">
        <f t="shared" si="147"/>
        <v>147102</v>
      </c>
    </row>
    <row r="3157" spans="7:14" ht="11.25" customHeight="1" x14ac:dyDescent="0.3">
      <c r="G3157" s="459"/>
      <c r="H3157" s="459">
        <v>3150</v>
      </c>
      <c r="I3157" s="444">
        <f t="shared" ca="1" si="145"/>
        <v>-164906004686.37778</v>
      </c>
      <c r="J3157" s="444">
        <f t="array" ref="J3157">IFERROR(INDEX('Retirement Calculator'!K:K,MATCH('Lorri 401b'!N3157,'Retirement Calculator'!A:A,0),0),0)</f>
        <v>0</v>
      </c>
      <c r="K3157" s="444">
        <f t="shared" ca="1" si="143"/>
        <v>-687108352.85990739</v>
      </c>
      <c r="L3157" s="444">
        <f t="shared" ca="1" si="144"/>
        <v>-165593113039.23767</v>
      </c>
      <c r="M3157" s="460">
        <f t="shared" si="146"/>
        <v>0.05</v>
      </c>
      <c r="N3157" s="464">
        <f t="shared" si="147"/>
        <v>147133</v>
      </c>
    </row>
    <row r="3158" spans="7:14" ht="11.25" customHeight="1" x14ac:dyDescent="0.3">
      <c r="G3158" s="459"/>
      <c r="H3158" s="459">
        <v>3151</v>
      </c>
      <c r="I3158" s="444">
        <f t="shared" ca="1" si="145"/>
        <v>-165593113039.23767</v>
      </c>
      <c r="J3158" s="444">
        <f t="array" ref="J3158">IFERROR(INDEX('Retirement Calculator'!K:K,MATCH('Lorri 401b'!N3158,'Retirement Calculator'!A:A,0),0),0)</f>
        <v>0</v>
      </c>
      <c r="K3158" s="444">
        <f t="shared" ca="1" si="143"/>
        <v>-689971304.33015692</v>
      </c>
      <c r="L3158" s="444">
        <f t="shared" ca="1" si="144"/>
        <v>-166283084343.56784</v>
      </c>
      <c r="M3158" s="460">
        <f t="shared" si="146"/>
        <v>0.05</v>
      </c>
      <c r="N3158" s="464">
        <f t="shared" si="147"/>
        <v>147163</v>
      </c>
    </row>
    <row r="3159" spans="7:14" ht="11.25" customHeight="1" x14ac:dyDescent="0.3">
      <c r="G3159" s="459"/>
      <c r="H3159" s="459">
        <v>3152</v>
      </c>
      <c r="I3159" s="444">
        <f t="shared" ca="1" si="145"/>
        <v>-166283084343.56784</v>
      </c>
      <c r="J3159" s="444">
        <f t="array" ref="J3159">IFERROR(INDEX('Retirement Calculator'!K:K,MATCH('Lorri 401b'!N3159,'Retirement Calculator'!A:A,0),0),0)</f>
        <v>0</v>
      </c>
      <c r="K3159" s="444">
        <f t="shared" ca="1" si="143"/>
        <v>-692846184.76486599</v>
      </c>
      <c r="L3159" s="444">
        <f t="shared" ca="1" si="144"/>
        <v>-166975930528.3327</v>
      </c>
      <c r="M3159" s="460">
        <f t="shared" si="146"/>
        <v>0.05</v>
      </c>
      <c r="N3159" s="464">
        <f t="shared" si="147"/>
        <v>147194</v>
      </c>
    </row>
    <row r="3160" spans="7:14" ht="11.25" customHeight="1" x14ac:dyDescent="0.3">
      <c r="G3160" s="459"/>
      <c r="H3160" s="459">
        <v>3153</v>
      </c>
      <c r="I3160" s="444">
        <f t="shared" ca="1" si="145"/>
        <v>-166975930528.3327</v>
      </c>
      <c r="J3160" s="444">
        <f t="array" ref="J3160">IFERROR(INDEX('Retirement Calculator'!K:K,MATCH('Lorri 401b'!N3160,'Retirement Calculator'!A:A,0),0),0)</f>
        <v>0</v>
      </c>
      <c r="K3160" s="444">
        <f t="shared" ca="1" si="143"/>
        <v>-695733043.86805296</v>
      </c>
      <c r="L3160" s="444">
        <f t="shared" ca="1" si="144"/>
        <v>-167671663572.20074</v>
      </c>
      <c r="M3160" s="460">
        <f t="shared" si="146"/>
        <v>0.05</v>
      </c>
      <c r="N3160" s="464">
        <f t="shared" si="147"/>
        <v>147225</v>
      </c>
    </row>
    <row r="3161" spans="7:14" ht="11.25" customHeight="1" x14ac:dyDescent="0.3">
      <c r="G3161" s="459"/>
      <c r="H3161" s="459">
        <v>3154</v>
      </c>
      <c r="I3161" s="444">
        <f t="shared" ca="1" si="145"/>
        <v>-167671663572.20074</v>
      </c>
      <c r="J3161" s="444">
        <f t="array" ref="J3161">IFERROR(INDEX('Retirement Calculator'!K:K,MATCH('Lorri 401b'!N3161,'Retirement Calculator'!A:A,0),0),0)</f>
        <v>0</v>
      </c>
      <c r="K3161" s="444">
        <f t="shared" ca="1" si="143"/>
        <v>-698631931.55083644</v>
      </c>
      <c r="L3161" s="444">
        <f t="shared" ca="1" si="144"/>
        <v>-168370295503.75159</v>
      </c>
      <c r="M3161" s="460">
        <f t="shared" si="146"/>
        <v>0.05</v>
      </c>
      <c r="N3161" s="464">
        <f t="shared" si="147"/>
        <v>147253</v>
      </c>
    </row>
    <row r="3162" spans="7:14" ht="11.25" customHeight="1" x14ac:dyDescent="0.3">
      <c r="G3162" s="459"/>
      <c r="H3162" s="459">
        <v>3155</v>
      </c>
      <c r="I3162" s="444">
        <f t="shared" ca="1" si="145"/>
        <v>-168370295503.75159</v>
      </c>
      <c r="J3162" s="444">
        <f t="array" ref="J3162">IFERROR(INDEX('Retirement Calculator'!K:K,MATCH('Lorri 401b'!N3162,'Retirement Calculator'!A:A,0),0),0)</f>
        <v>0</v>
      </c>
      <c r="K3162" s="444">
        <f t="shared" ca="1" si="143"/>
        <v>-701542897.9322983</v>
      </c>
      <c r="L3162" s="444">
        <f t="shared" ca="1" si="144"/>
        <v>-169071838401.6839</v>
      </c>
      <c r="M3162" s="460">
        <f t="shared" si="146"/>
        <v>0.05</v>
      </c>
      <c r="N3162" s="464">
        <f t="shared" si="147"/>
        <v>147284</v>
      </c>
    </row>
    <row r="3163" spans="7:14" ht="11.25" customHeight="1" x14ac:dyDescent="0.3">
      <c r="G3163" s="459"/>
      <c r="H3163" s="459">
        <v>3156</v>
      </c>
      <c r="I3163" s="444">
        <f t="shared" ca="1" si="145"/>
        <v>-169071838401.6839</v>
      </c>
      <c r="J3163" s="444">
        <f t="array" ref="J3163">IFERROR(INDEX('Retirement Calculator'!K:K,MATCH('Lorri 401b'!N3163,'Retirement Calculator'!A:A,0),0),0)</f>
        <v>0</v>
      </c>
      <c r="K3163" s="444">
        <f t="shared" ca="1" si="143"/>
        <v>-704465993.34034956</v>
      </c>
      <c r="L3163" s="444">
        <f t="shared" ca="1" si="144"/>
        <v>-169776304395.02426</v>
      </c>
      <c r="M3163" s="460">
        <f t="shared" si="146"/>
        <v>0.05</v>
      </c>
      <c r="N3163" s="464">
        <f t="shared" si="147"/>
        <v>147314</v>
      </c>
    </row>
    <row r="3164" spans="7:14" ht="11.25" customHeight="1" x14ac:dyDescent="0.3">
      <c r="G3164" s="459"/>
      <c r="H3164" s="459">
        <v>3157</v>
      </c>
      <c r="I3164" s="444">
        <f t="shared" ca="1" si="145"/>
        <v>-169776304395.02426</v>
      </c>
      <c r="J3164" s="444">
        <f t="array" ref="J3164">IFERROR(INDEX('Retirement Calculator'!K:K,MATCH('Lorri 401b'!N3164,'Retirement Calculator'!A:A,0),0),0)</f>
        <v>0</v>
      </c>
      <c r="K3164" s="444">
        <f t="shared" ca="1" si="143"/>
        <v>-707401268.31260109</v>
      </c>
      <c r="L3164" s="444">
        <f t="shared" ca="1" si="144"/>
        <v>-170483705663.33685</v>
      </c>
      <c r="M3164" s="460">
        <f t="shared" si="146"/>
        <v>0.05</v>
      </c>
      <c r="N3164" s="464">
        <f t="shared" si="147"/>
        <v>147345</v>
      </c>
    </row>
    <row r="3165" spans="7:14" ht="11.25" customHeight="1" x14ac:dyDescent="0.3">
      <c r="G3165" s="459"/>
      <c r="H3165" s="459">
        <v>3158</v>
      </c>
      <c r="I3165" s="444">
        <f t="shared" ca="1" si="145"/>
        <v>-170483705663.33685</v>
      </c>
      <c r="J3165" s="444">
        <f t="array" ref="J3165">IFERROR(INDEX('Retirement Calculator'!K:K,MATCH('Lorri 401b'!N3165,'Retirement Calculator'!A:A,0),0),0)</f>
        <v>0</v>
      </c>
      <c r="K3165" s="444">
        <f t="shared" ca="1" si="143"/>
        <v>-710348773.59723687</v>
      </c>
      <c r="L3165" s="444">
        <f t="shared" ca="1" si="144"/>
        <v>-171194054436.93408</v>
      </c>
      <c r="M3165" s="460">
        <f t="shared" si="146"/>
        <v>0.05</v>
      </c>
      <c r="N3165" s="464">
        <f t="shared" si="147"/>
        <v>147375</v>
      </c>
    </row>
    <row r="3166" spans="7:14" ht="11.25" customHeight="1" x14ac:dyDescent="0.3">
      <c r="G3166" s="459"/>
      <c r="H3166" s="459">
        <v>3159</v>
      </c>
      <c r="I3166" s="444">
        <f t="shared" ca="1" si="145"/>
        <v>-171194054436.93408</v>
      </c>
      <c r="J3166" s="444">
        <f t="array" ref="J3166">IFERROR(INDEX('Retirement Calculator'!K:K,MATCH('Lorri 401b'!N3166,'Retirement Calculator'!A:A,0),0),0)</f>
        <v>0</v>
      </c>
      <c r="K3166" s="444">
        <f t="shared" ca="1" si="143"/>
        <v>-713308560.15389204</v>
      </c>
      <c r="L3166" s="444">
        <f t="shared" ca="1" si="144"/>
        <v>-171907362997.08798</v>
      </c>
      <c r="M3166" s="460">
        <f t="shared" si="146"/>
        <v>0.05</v>
      </c>
      <c r="N3166" s="464">
        <f t="shared" si="147"/>
        <v>147406</v>
      </c>
    </row>
    <row r="3167" spans="7:14" ht="11.25" customHeight="1" x14ac:dyDescent="0.3">
      <c r="G3167" s="459"/>
      <c r="H3167" s="459">
        <v>3160</v>
      </c>
      <c r="I3167" s="444">
        <f t="shared" ca="1" si="145"/>
        <v>-171907362997.08798</v>
      </c>
      <c r="J3167" s="444">
        <f t="array" ref="J3167">IFERROR(INDEX('Retirement Calculator'!K:K,MATCH('Lorri 401b'!N3167,'Retirement Calculator'!A:A,0),0),0)</f>
        <v>0</v>
      </c>
      <c r="K3167" s="444">
        <f t="shared" ca="1" si="143"/>
        <v>-716280679.15453327</v>
      </c>
      <c r="L3167" s="444">
        <f t="shared" ca="1" si="144"/>
        <v>-172623643676.24252</v>
      </c>
      <c r="M3167" s="460">
        <f t="shared" si="146"/>
        <v>0.05</v>
      </c>
      <c r="N3167" s="464">
        <f t="shared" si="147"/>
        <v>147437</v>
      </c>
    </row>
    <row r="3168" spans="7:14" ht="11.25" customHeight="1" x14ac:dyDescent="0.3">
      <c r="G3168" s="459"/>
      <c r="H3168" s="459">
        <v>3161</v>
      </c>
      <c r="I3168" s="444">
        <f t="shared" ca="1" si="145"/>
        <v>-172623643676.24252</v>
      </c>
      <c r="J3168" s="444">
        <f t="array" ref="J3168">IFERROR(INDEX('Retirement Calculator'!K:K,MATCH('Lorri 401b'!N3168,'Retirement Calculator'!A:A,0),0),0)</f>
        <v>0</v>
      </c>
      <c r="K3168" s="444">
        <f t="shared" ca="1" si="143"/>
        <v>-719265181.98434389</v>
      </c>
      <c r="L3168" s="444">
        <f t="shared" ca="1" si="144"/>
        <v>-173342908858.22687</v>
      </c>
      <c r="M3168" s="460">
        <f t="shared" si="146"/>
        <v>0.05</v>
      </c>
      <c r="N3168" s="464">
        <f t="shared" si="147"/>
        <v>147467</v>
      </c>
    </row>
    <row r="3169" spans="7:14" ht="11.25" customHeight="1" x14ac:dyDescent="0.3">
      <c r="G3169" s="459"/>
      <c r="H3169" s="459">
        <v>3162</v>
      </c>
      <c r="I3169" s="444">
        <f t="shared" ca="1" si="145"/>
        <v>-173342908858.22687</v>
      </c>
      <c r="J3169" s="444">
        <f t="array" ref="J3169">IFERROR(INDEX('Retirement Calculator'!K:K,MATCH('Lorri 401b'!N3169,'Retirement Calculator'!A:A,0),0),0)</f>
        <v>0</v>
      </c>
      <c r="K3169" s="444">
        <f t="shared" ca="1" si="143"/>
        <v>-722262120.24261189</v>
      </c>
      <c r="L3169" s="444">
        <f t="shared" ca="1" si="144"/>
        <v>-174065170978.46948</v>
      </c>
      <c r="M3169" s="460">
        <f t="shared" si="146"/>
        <v>0.05</v>
      </c>
      <c r="N3169" s="464">
        <f t="shared" si="147"/>
        <v>147498</v>
      </c>
    </row>
    <row r="3170" spans="7:14" ht="11.25" customHeight="1" x14ac:dyDescent="0.3">
      <c r="G3170" s="459"/>
      <c r="H3170" s="459">
        <v>3163</v>
      </c>
      <c r="I3170" s="444">
        <f t="shared" ca="1" si="145"/>
        <v>-174065170978.46948</v>
      </c>
      <c r="J3170" s="444">
        <f t="array" ref="J3170">IFERROR(INDEX('Retirement Calculator'!K:K,MATCH('Lorri 401b'!N3170,'Retirement Calculator'!A:A,0),0),0)</f>
        <v>0</v>
      </c>
      <c r="K3170" s="444">
        <f t="shared" ca="1" si="143"/>
        <v>-725271545.74362278</v>
      </c>
      <c r="L3170" s="444">
        <f t="shared" ca="1" si="144"/>
        <v>-174790442524.2131</v>
      </c>
      <c r="M3170" s="460">
        <f t="shared" si="146"/>
        <v>0.05</v>
      </c>
      <c r="N3170" s="464">
        <f t="shared" si="147"/>
        <v>147528</v>
      </c>
    </row>
    <row r="3171" spans="7:14" ht="11.25" customHeight="1" x14ac:dyDescent="0.3">
      <c r="G3171" s="459"/>
      <c r="H3171" s="459">
        <v>3164</v>
      </c>
      <c r="I3171" s="444">
        <f t="shared" ca="1" si="145"/>
        <v>-174790442524.2131</v>
      </c>
      <c r="J3171" s="444">
        <f t="array" ref="J3171">IFERROR(INDEX('Retirement Calculator'!K:K,MATCH('Lorri 401b'!N3171,'Retirement Calculator'!A:A,0),0),0)</f>
        <v>0</v>
      </c>
      <c r="K3171" s="444">
        <f t="shared" ca="1" si="143"/>
        <v>-728293510.51755464</v>
      </c>
      <c r="L3171" s="444">
        <f t="shared" ca="1" si="144"/>
        <v>-175518736034.73065</v>
      </c>
      <c r="M3171" s="460">
        <f t="shared" si="146"/>
        <v>0.05</v>
      </c>
      <c r="N3171" s="464">
        <f t="shared" si="147"/>
        <v>147559</v>
      </c>
    </row>
    <row r="3172" spans="7:14" ht="11.25" customHeight="1" x14ac:dyDescent="0.3">
      <c r="G3172" s="459"/>
      <c r="H3172" s="459">
        <v>3165</v>
      </c>
      <c r="I3172" s="444">
        <f t="shared" ca="1" si="145"/>
        <v>-175518736034.73065</v>
      </c>
      <c r="J3172" s="444">
        <f t="array" ref="J3172">IFERROR(INDEX('Retirement Calculator'!K:K,MATCH('Lorri 401b'!N3172,'Retirement Calculator'!A:A,0),0),0)</f>
        <v>0</v>
      </c>
      <c r="K3172" s="444">
        <f t="shared" ca="1" si="143"/>
        <v>-731328066.81137776</v>
      </c>
      <c r="L3172" s="444">
        <f t="shared" ca="1" si="144"/>
        <v>-176250064101.54202</v>
      </c>
      <c r="M3172" s="460">
        <f t="shared" si="146"/>
        <v>0.05</v>
      </c>
      <c r="N3172" s="464">
        <f t="shared" si="147"/>
        <v>147590</v>
      </c>
    </row>
    <row r="3173" spans="7:14" ht="11.25" customHeight="1" x14ac:dyDescent="0.3">
      <c r="G3173" s="459"/>
      <c r="H3173" s="459">
        <v>3166</v>
      </c>
      <c r="I3173" s="444">
        <f t="shared" ca="1" si="145"/>
        <v>-176250064101.54202</v>
      </c>
      <c r="J3173" s="444">
        <f t="array" ref="J3173">IFERROR(INDEX('Retirement Calculator'!K:K,MATCH('Lorri 401b'!N3173,'Retirement Calculator'!A:A,0),0),0)</f>
        <v>0</v>
      </c>
      <c r="K3173" s="444">
        <f t="shared" ca="1" si="143"/>
        <v>-734375267.0897584</v>
      </c>
      <c r="L3173" s="444">
        <f t="shared" ca="1" si="144"/>
        <v>-176984439368.63177</v>
      </c>
      <c r="M3173" s="460">
        <f t="shared" si="146"/>
        <v>0.05</v>
      </c>
      <c r="N3173" s="464">
        <f t="shared" si="147"/>
        <v>147619</v>
      </c>
    </row>
    <row r="3174" spans="7:14" ht="11.25" customHeight="1" x14ac:dyDescent="0.3">
      <c r="G3174" s="459"/>
      <c r="H3174" s="459">
        <v>3167</v>
      </c>
      <c r="I3174" s="444">
        <f t="shared" ca="1" si="145"/>
        <v>-176984439368.63177</v>
      </c>
      <c r="J3174" s="444">
        <f t="array" ref="J3174">IFERROR(INDEX('Retirement Calculator'!K:K,MATCH('Lorri 401b'!N3174,'Retirement Calculator'!A:A,0),0),0)</f>
        <v>0</v>
      </c>
      <c r="K3174" s="444">
        <f t="shared" ca="1" si="143"/>
        <v>-737435164.03596568</v>
      </c>
      <c r="L3174" s="444">
        <f t="shared" ca="1" si="144"/>
        <v>-177721874532.66776</v>
      </c>
      <c r="M3174" s="460">
        <f t="shared" si="146"/>
        <v>0.05</v>
      </c>
      <c r="N3174" s="464">
        <f t="shared" si="147"/>
        <v>147650</v>
      </c>
    </row>
    <row r="3175" spans="7:14" ht="11.25" customHeight="1" x14ac:dyDescent="0.3">
      <c r="G3175" s="459"/>
      <c r="H3175" s="459">
        <v>3168</v>
      </c>
      <c r="I3175" s="444">
        <f t="shared" ca="1" si="145"/>
        <v>-177721874532.66776</v>
      </c>
      <c r="J3175" s="444">
        <f t="array" ref="J3175">IFERROR(INDEX('Retirement Calculator'!K:K,MATCH('Lorri 401b'!N3175,'Retirement Calculator'!A:A,0),0),0)</f>
        <v>0</v>
      </c>
      <c r="K3175" s="444">
        <f t="shared" ca="1" si="143"/>
        <v>-740507810.5527823</v>
      </c>
      <c r="L3175" s="444">
        <f t="shared" ca="1" si="144"/>
        <v>-178462382343.22055</v>
      </c>
      <c r="M3175" s="460">
        <f t="shared" si="146"/>
        <v>0.05</v>
      </c>
      <c r="N3175" s="464">
        <f t="shared" si="147"/>
        <v>147680</v>
      </c>
    </row>
    <row r="3176" spans="7:14" ht="11.25" customHeight="1" x14ac:dyDescent="0.3">
      <c r="G3176" s="459"/>
      <c r="H3176" s="459">
        <v>3169</v>
      </c>
      <c r="I3176" s="444">
        <f t="shared" ca="1" si="145"/>
        <v>-178462382343.22055</v>
      </c>
      <c r="J3176" s="444">
        <f t="array" ref="J3176">IFERROR(INDEX('Retirement Calculator'!K:K,MATCH('Lorri 401b'!N3176,'Retirement Calculator'!A:A,0),0),0)</f>
        <v>0</v>
      </c>
      <c r="K3176" s="444">
        <f t="shared" ca="1" si="143"/>
        <v>-743593259.76341891</v>
      </c>
      <c r="L3176" s="444">
        <f t="shared" ca="1" si="144"/>
        <v>-179205975602.98398</v>
      </c>
      <c r="M3176" s="460">
        <f t="shared" si="146"/>
        <v>0.05</v>
      </c>
      <c r="N3176" s="464">
        <f t="shared" si="147"/>
        <v>147711</v>
      </c>
    </row>
    <row r="3177" spans="7:14" ht="11.25" customHeight="1" x14ac:dyDescent="0.3">
      <c r="G3177" s="459"/>
      <c r="H3177" s="459">
        <v>3170</v>
      </c>
      <c r="I3177" s="444">
        <f t="shared" ca="1" si="145"/>
        <v>-179205975602.98398</v>
      </c>
      <c r="J3177" s="444">
        <f t="array" ref="J3177">IFERROR(INDEX('Retirement Calculator'!K:K,MATCH('Lorri 401b'!N3177,'Retirement Calculator'!A:A,0),0),0)</f>
        <v>0</v>
      </c>
      <c r="K3177" s="444">
        <f t="shared" ca="1" si="143"/>
        <v>-746691565.01243329</v>
      </c>
      <c r="L3177" s="444">
        <f t="shared" ca="1" si="144"/>
        <v>-179952667167.9964</v>
      </c>
      <c r="M3177" s="460">
        <f t="shared" si="146"/>
        <v>0.05</v>
      </c>
      <c r="N3177" s="464">
        <f t="shared" si="147"/>
        <v>147741</v>
      </c>
    </row>
    <row r="3178" spans="7:14" ht="11.25" customHeight="1" x14ac:dyDescent="0.3">
      <c r="G3178" s="459"/>
      <c r="H3178" s="459">
        <v>3171</v>
      </c>
      <c r="I3178" s="444">
        <f t="shared" ca="1" si="145"/>
        <v>-179952667167.9964</v>
      </c>
      <c r="J3178" s="444">
        <f t="array" ref="J3178">IFERROR(INDEX('Retirement Calculator'!K:K,MATCH('Lorri 401b'!N3178,'Retirement Calculator'!A:A,0),0),0)</f>
        <v>0</v>
      </c>
      <c r="K3178" s="444">
        <f t="shared" ca="1" si="143"/>
        <v>-749802779.86665165</v>
      </c>
      <c r="L3178" s="444">
        <f t="shared" ca="1" si="144"/>
        <v>-180702469947.86304</v>
      </c>
      <c r="M3178" s="460">
        <f t="shared" si="146"/>
        <v>0.05</v>
      </c>
      <c r="N3178" s="464">
        <f t="shared" si="147"/>
        <v>147772</v>
      </c>
    </row>
    <row r="3179" spans="7:14" ht="11.25" customHeight="1" x14ac:dyDescent="0.3">
      <c r="G3179" s="459"/>
      <c r="H3179" s="459">
        <v>3172</v>
      </c>
      <c r="I3179" s="444">
        <f t="shared" ca="1" si="145"/>
        <v>-180702469947.86304</v>
      </c>
      <c r="J3179" s="444">
        <f t="array" ref="J3179">IFERROR(INDEX('Retirement Calculator'!K:K,MATCH('Lorri 401b'!N3179,'Retirement Calculator'!A:A,0),0),0)</f>
        <v>0</v>
      </c>
      <c r="K3179" s="444">
        <f t="shared" ca="1" si="143"/>
        <v>-752926958.11609602</v>
      </c>
      <c r="L3179" s="444">
        <f t="shared" ca="1" si="144"/>
        <v>-181455396905.97913</v>
      </c>
      <c r="M3179" s="460">
        <f t="shared" si="146"/>
        <v>0.05</v>
      </c>
      <c r="N3179" s="464">
        <f t="shared" si="147"/>
        <v>147803</v>
      </c>
    </row>
    <row r="3180" spans="7:14" ht="11.25" customHeight="1" x14ac:dyDescent="0.3">
      <c r="G3180" s="459"/>
      <c r="H3180" s="459">
        <v>3173</v>
      </c>
      <c r="I3180" s="444">
        <f t="shared" ca="1" si="145"/>
        <v>-181455396905.97913</v>
      </c>
      <c r="J3180" s="444">
        <f t="array" ref="J3180">IFERROR(INDEX('Retirement Calculator'!K:K,MATCH('Lorri 401b'!N3180,'Retirement Calculator'!A:A,0),0),0)</f>
        <v>0</v>
      </c>
      <c r="K3180" s="444">
        <f t="shared" ca="1" si="143"/>
        <v>-756064153.77491307</v>
      </c>
      <c r="L3180" s="444">
        <f t="shared" ca="1" si="144"/>
        <v>-182211461059.75403</v>
      </c>
      <c r="M3180" s="460">
        <f t="shared" si="146"/>
        <v>0.05</v>
      </c>
      <c r="N3180" s="464">
        <f t="shared" si="147"/>
        <v>147833</v>
      </c>
    </row>
    <row r="3181" spans="7:14" ht="11.25" customHeight="1" x14ac:dyDescent="0.3">
      <c r="G3181" s="459"/>
      <c r="H3181" s="459">
        <v>3174</v>
      </c>
      <c r="I3181" s="444">
        <f t="shared" ca="1" si="145"/>
        <v>-182211461059.75403</v>
      </c>
      <c r="J3181" s="444">
        <f t="array" ref="J3181">IFERROR(INDEX('Retirement Calculator'!K:K,MATCH('Lorri 401b'!N3181,'Retirement Calculator'!A:A,0),0),0)</f>
        <v>0</v>
      </c>
      <c r="K3181" s="444">
        <f t="shared" ca="1" si="143"/>
        <v>-759214421.08230841</v>
      </c>
      <c r="L3181" s="444">
        <f t="shared" ca="1" si="144"/>
        <v>-182970675480.83633</v>
      </c>
      <c r="M3181" s="460">
        <f t="shared" si="146"/>
        <v>0.05</v>
      </c>
      <c r="N3181" s="464">
        <f t="shared" si="147"/>
        <v>147864</v>
      </c>
    </row>
    <row r="3182" spans="7:14" ht="11.25" customHeight="1" x14ac:dyDescent="0.3">
      <c r="G3182" s="459"/>
      <c r="H3182" s="459">
        <v>3175</v>
      </c>
      <c r="I3182" s="444">
        <f t="shared" ca="1" si="145"/>
        <v>-182970675480.83633</v>
      </c>
      <c r="J3182" s="444">
        <f t="array" ref="J3182">IFERROR(INDEX('Retirement Calculator'!K:K,MATCH('Lorri 401b'!N3182,'Retirement Calculator'!A:A,0),0),0)</f>
        <v>0</v>
      </c>
      <c r="K3182" s="444">
        <f t="shared" ca="1" si="143"/>
        <v>-762377814.50348473</v>
      </c>
      <c r="L3182" s="444">
        <f t="shared" ca="1" si="144"/>
        <v>-183733053295.33981</v>
      </c>
      <c r="M3182" s="460">
        <f t="shared" si="146"/>
        <v>0.05</v>
      </c>
      <c r="N3182" s="464">
        <f t="shared" si="147"/>
        <v>147894</v>
      </c>
    </row>
    <row r="3183" spans="7:14" ht="11.25" customHeight="1" x14ac:dyDescent="0.3">
      <c r="G3183" s="459"/>
      <c r="H3183" s="459">
        <v>3176</v>
      </c>
      <c r="I3183" s="444">
        <f t="shared" ca="1" si="145"/>
        <v>-183733053295.33981</v>
      </c>
      <c r="J3183" s="444">
        <f t="array" ref="J3183">IFERROR(INDEX('Retirement Calculator'!K:K,MATCH('Lorri 401b'!N3183,'Retirement Calculator'!A:A,0),0),0)</f>
        <v>0</v>
      </c>
      <c r="K3183" s="444">
        <f t="shared" ca="1" si="143"/>
        <v>-765554388.73058259</v>
      </c>
      <c r="L3183" s="444">
        <f t="shared" ca="1" si="144"/>
        <v>-184498607684.0704</v>
      </c>
      <c r="M3183" s="460">
        <f t="shared" si="146"/>
        <v>0.05</v>
      </c>
      <c r="N3183" s="464">
        <f t="shared" si="147"/>
        <v>147925</v>
      </c>
    </row>
    <row r="3184" spans="7:14" ht="11.25" customHeight="1" x14ac:dyDescent="0.3">
      <c r="G3184" s="459"/>
      <c r="H3184" s="459">
        <v>3177</v>
      </c>
      <c r="I3184" s="444">
        <f t="shared" ca="1" si="145"/>
        <v>-184498607684.0704</v>
      </c>
      <c r="J3184" s="444">
        <f t="array" ref="J3184">IFERROR(INDEX('Retirement Calculator'!K:K,MATCH('Lorri 401b'!N3184,'Retirement Calculator'!A:A,0),0),0)</f>
        <v>0</v>
      </c>
      <c r="K3184" s="444">
        <f t="shared" ca="1" si="143"/>
        <v>-768744198.68362665</v>
      </c>
      <c r="L3184" s="444">
        <f t="shared" ca="1" si="144"/>
        <v>-185267351882.75403</v>
      </c>
      <c r="M3184" s="460">
        <f t="shared" si="146"/>
        <v>0.05</v>
      </c>
      <c r="N3184" s="464">
        <f t="shared" si="147"/>
        <v>147956</v>
      </c>
    </row>
    <row r="3185" spans="7:14" ht="11.25" customHeight="1" x14ac:dyDescent="0.3">
      <c r="G3185" s="459"/>
      <c r="H3185" s="459">
        <v>3178</v>
      </c>
      <c r="I3185" s="444">
        <f t="shared" ca="1" si="145"/>
        <v>-185267351882.75403</v>
      </c>
      <c r="J3185" s="444">
        <f t="array" ref="J3185">IFERROR(INDEX('Retirement Calculator'!K:K,MATCH('Lorri 401b'!N3185,'Retirement Calculator'!A:A,0),0),0)</f>
        <v>0</v>
      </c>
      <c r="K3185" s="444">
        <f t="shared" ca="1" si="143"/>
        <v>-771947299.51147509</v>
      </c>
      <c r="L3185" s="444">
        <f t="shared" ca="1" si="144"/>
        <v>-186039299182.2655</v>
      </c>
      <c r="M3185" s="460">
        <f t="shared" si="146"/>
        <v>0.05</v>
      </c>
      <c r="N3185" s="464">
        <f t="shared" si="147"/>
        <v>147984</v>
      </c>
    </row>
    <row r="3186" spans="7:14" ht="11.25" customHeight="1" x14ac:dyDescent="0.3">
      <c r="G3186" s="459"/>
      <c r="H3186" s="459">
        <v>3179</v>
      </c>
      <c r="I3186" s="444">
        <f t="shared" ca="1" si="145"/>
        <v>-186039299182.2655</v>
      </c>
      <c r="J3186" s="444">
        <f t="array" ref="J3186">IFERROR(INDEX('Retirement Calculator'!K:K,MATCH('Lorri 401b'!N3186,'Retirement Calculator'!A:A,0),0),0)</f>
        <v>0</v>
      </c>
      <c r="K3186" s="444">
        <f t="shared" ca="1" si="143"/>
        <v>-775163746.59277296</v>
      </c>
      <c r="L3186" s="444">
        <f t="shared" ca="1" si="144"/>
        <v>-186814462928.85828</v>
      </c>
      <c r="M3186" s="460">
        <f t="shared" si="146"/>
        <v>0.05</v>
      </c>
      <c r="N3186" s="464">
        <f t="shared" si="147"/>
        <v>148015</v>
      </c>
    </row>
    <row r="3187" spans="7:14" ht="11.25" customHeight="1" x14ac:dyDescent="0.3">
      <c r="G3187" s="459"/>
      <c r="H3187" s="459">
        <v>3180</v>
      </c>
      <c r="I3187" s="444">
        <f t="shared" ca="1" si="145"/>
        <v>-186814462928.85828</v>
      </c>
      <c r="J3187" s="444">
        <f t="array" ref="J3187">IFERROR(INDEX('Retirement Calculator'!K:K,MATCH('Lorri 401b'!N3187,'Retirement Calculator'!A:A,0),0),0)</f>
        <v>0</v>
      </c>
      <c r="K3187" s="444">
        <f t="shared" ca="1" si="143"/>
        <v>-778393595.53690946</v>
      </c>
      <c r="L3187" s="444">
        <f t="shared" ca="1" si="144"/>
        <v>-187592856524.39517</v>
      </c>
      <c r="M3187" s="460">
        <f t="shared" si="146"/>
        <v>0.05</v>
      </c>
      <c r="N3187" s="464">
        <f t="shared" si="147"/>
        <v>148045</v>
      </c>
    </row>
    <row r="3188" spans="7:14" ht="11.25" customHeight="1" x14ac:dyDescent="0.3">
      <c r="G3188" s="459"/>
      <c r="H3188" s="459">
        <v>3181</v>
      </c>
      <c r="I3188" s="444">
        <f t="shared" ca="1" si="145"/>
        <v>-187592856524.39517</v>
      </c>
      <c r="J3188" s="444">
        <f t="array" ref="J3188">IFERROR(INDEX('Retirement Calculator'!K:K,MATCH('Lorri 401b'!N3188,'Retirement Calculator'!A:A,0),0),0)</f>
        <v>0</v>
      </c>
      <c r="K3188" s="444">
        <f t="shared" ca="1" si="143"/>
        <v>-781636902.18497992</v>
      </c>
      <c r="L3188" s="444">
        <f t="shared" ca="1" si="144"/>
        <v>-188374493426.58014</v>
      </c>
      <c r="M3188" s="460">
        <f t="shared" si="146"/>
        <v>0.05</v>
      </c>
      <c r="N3188" s="464">
        <f t="shared" si="147"/>
        <v>148076</v>
      </c>
    </row>
    <row r="3189" spans="7:14" ht="11.25" customHeight="1" x14ac:dyDescent="0.3">
      <c r="G3189" s="459"/>
      <c r="H3189" s="459">
        <v>3182</v>
      </c>
      <c r="I3189" s="444">
        <f t="shared" ca="1" si="145"/>
        <v>-188374493426.58014</v>
      </c>
      <c r="J3189" s="444">
        <f t="array" ref="J3189">IFERROR(INDEX('Retirement Calculator'!K:K,MATCH('Lorri 401b'!N3189,'Retirement Calculator'!A:A,0),0),0)</f>
        <v>0</v>
      </c>
      <c r="K3189" s="444">
        <f t="shared" ca="1" si="143"/>
        <v>-784893722.61075056</v>
      </c>
      <c r="L3189" s="444">
        <f t="shared" ca="1" si="144"/>
        <v>-189159387149.19089</v>
      </c>
      <c r="M3189" s="460">
        <f t="shared" si="146"/>
        <v>0.05</v>
      </c>
      <c r="N3189" s="464">
        <f t="shared" si="147"/>
        <v>148106</v>
      </c>
    </row>
    <row r="3190" spans="7:14" ht="11.25" customHeight="1" x14ac:dyDescent="0.3">
      <c r="G3190" s="459"/>
      <c r="H3190" s="459">
        <v>3183</v>
      </c>
      <c r="I3190" s="444">
        <f t="shared" ca="1" si="145"/>
        <v>-189159387149.19089</v>
      </c>
      <c r="J3190" s="444">
        <f t="array" ref="J3190">IFERROR(INDEX('Retirement Calculator'!K:K,MATCH('Lorri 401b'!N3190,'Retirement Calculator'!A:A,0),0),0)</f>
        <v>0</v>
      </c>
      <c r="K3190" s="444">
        <f t="shared" ca="1" si="143"/>
        <v>-788164113.12162864</v>
      </c>
      <c r="L3190" s="444">
        <f t="shared" ca="1" si="144"/>
        <v>-189947551262.31253</v>
      </c>
      <c r="M3190" s="460">
        <f t="shared" si="146"/>
        <v>0.05</v>
      </c>
      <c r="N3190" s="464">
        <f t="shared" si="147"/>
        <v>148137</v>
      </c>
    </row>
    <row r="3191" spans="7:14" ht="11.25" customHeight="1" x14ac:dyDescent="0.3">
      <c r="G3191" s="459"/>
      <c r="H3191" s="459">
        <v>3184</v>
      </c>
      <c r="I3191" s="444">
        <f t="shared" ca="1" si="145"/>
        <v>-189947551262.31253</v>
      </c>
      <c r="J3191" s="444">
        <f t="array" ref="J3191">IFERROR(INDEX('Retirement Calculator'!K:K,MATCH('Lorri 401b'!N3191,'Retirement Calculator'!A:A,0),0),0)</f>
        <v>0</v>
      </c>
      <c r="K3191" s="444">
        <f t="shared" ca="1" si="143"/>
        <v>-791448130.25963557</v>
      </c>
      <c r="L3191" s="444">
        <f t="shared" ca="1" si="144"/>
        <v>-190738999392.57217</v>
      </c>
      <c r="M3191" s="460">
        <f t="shared" si="146"/>
        <v>0.05</v>
      </c>
      <c r="N3191" s="464">
        <f t="shared" si="147"/>
        <v>148168</v>
      </c>
    </row>
    <row r="3192" spans="7:14" ht="11.25" customHeight="1" x14ac:dyDescent="0.3">
      <c r="G3192" s="459"/>
      <c r="H3192" s="459">
        <v>3185</v>
      </c>
      <c r="I3192" s="444">
        <f t="shared" ca="1" si="145"/>
        <v>-190738999392.57217</v>
      </c>
      <c r="J3192" s="444">
        <f t="array" ref="J3192">IFERROR(INDEX('Retirement Calculator'!K:K,MATCH('Lorri 401b'!N3192,'Retirement Calculator'!A:A,0),0),0)</f>
        <v>0</v>
      </c>
      <c r="K3192" s="444">
        <f t="shared" ca="1" si="143"/>
        <v>-794745830.80238402</v>
      </c>
      <c r="L3192" s="444">
        <f t="shared" ca="1" si="144"/>
        <v>-191533745223.37457</v>
      </c>
      <c r="M3192" s="460">
        <f t="shared" si="146"/>
        <v>0.05</v>
      </c>
      <c r="N3192" s="464">
        <f t="shared" si="147"/>
        <v>148198</v>
      </c>
    </row>
    <row r="3193" spans="7:14" ht="11.25" customHeight="1" x14ac:dyDescent="0.3">
      <c r="G3193" s="459"/>
      <c r="H3193" s="459">
        <v>3186</v>
      </c>
      <c r="I3193" s="444">
        <f t="shared" ca="1" si="145"/>
        <v>-191533745223.37457</v>
      </c>
      <c r="J3193" s="444">
        <f t="array" ref="J3193">IFERROR(INDEX('Retirement Calculator'!K:K,MATCH('Lorri 401b'!N3193,'Retirement Calculator'!A:A,0),0),0)</f>
        <v>0</v>
      </c>
      <c r="K3193" s="444">
        <f t="shared" ca="1" si="143"/>
        <v>-798057271.76406074</v>
      </c>
      <c r="L3193" s="444">
        <f t="shared" ca="1" si="144"/>
        <v>-192331802495.13864</v>
      </c>
      <c r="M3193" s="460">
        <f t="shared" si="146"/>
        <v>0.05</v>
      </c>
      <c r="N3193" s="464">
        <f t="shared" si="147"/>
        <v>148229</v>
      </c>
    </row>
    <row r="3194" spans="7:14" ht="11.25" customHeight="1" x14ac:dyDescent="0.3">
      <c r="G3194" s="459"/>
      <c r="H3194" s="459">
        <v>3187</v>
      </c>
      <c r="I3194" s="444">
        <f t="shared" ca="1" si="145"/>
        <v>-192331802495.13864</v>
      </c>
      <c r="J3194" s="444">
        <f t="array" ref="J3194">IFERROR(INDEX('Retirement Calculator'!K:K,MATCH('Lorri 401b'!N3194,'Retirement Calculator'!A:A,0),0),0)</f>
        <v>0</v>
      </c>
      <c r="K3194" s="444">
        <f t="shared" ca="1" si="143"/>
        <v>-801382510.39641094</v>
      </c>
      <c r="L3194" s="444">
        <f t="shared" ca="1" si="144"/>
        <v>-193133185005.53506</v>
      </c>
      <c r="M3194" s="460">
        <f t="shared" si="146"/>
        <v>0.05</v>
      </c>
      <c r="N3194" s="464">
        <f t="shared" si="147"/>
        <v>148259</v>
      </c>
    </row>
    <row r="3195" spans="7:14" ht="11.25" customHeight="1" x14ac:dyDescent="0.3">
      <c r="G3195" s="459"/>
      <c r="H3195" s="459">
        <v>3188</v>
      </c>
      <c r="I3195" s="444">
        <f t="shared" ca="1" si="145"/>
        <v>-193133185005.53506</v>
      </c>
      <c r="J3195" s="444">
        <f t="array" ref="J3195">IFERROR(INDEX('Retirement Calculator'!K:K,MATCH('Lorri 401b'!N3195,'Retirement Calculator'!A:A,0),0),0)</f>
        <v>0</v>
      </c>
      <c r="K3195" s="444">
        <f t="shared" ca="1" si="143"/>
        <v>-804721604.18972945</v>
      </c>
      <c r="L3195" s="444">
        <f t="shared" ca="1" si="144"/>
        <v>-193937906609.72479</v>
      </c>
      <c r="M3195" s="460">
        <f t="shared" si="146"/>
        <v>0.05</v>
      </c>
      <c r="N3195" s="464">
        <f t="shared" si="147"/>
        <v>148290</v>
      </c>
    </row>
    <row r="3196" spans="7:14" ht="11.25" customHeight="1" x14ac:dyDescent="0.3">
      <c r="G3196" s="459"/>
      <c r="H3196" s="459">
        <v>3189</v>
      </c>
      <c r="I3196" s="444">
        <f t="shared" ca="1" si="145"/>
        <v>-193937906609.72479</v>
      </c>
      <c r="J3196" s="444">
        <f t="array" ref="J3196">IFERROR(INDEX('Retirement Calculator'!K:K,MATCH('Lorri 401b'!N3196,'Retirement Calculator'!A:A,0),0),0)</f>
        <v>0</v>
      </c>
      <c r="K3196" s="444">
        <f t="shared" ca="1" si="143"/>
        <v>-808074610.87385333</v>
      </c>
      <c r="L3196" s="444">
        <f t="shared" ca="1" si="144"/>
        <v>-194745981220.59863</v>
      </c>
      <c r="M3196" s="460">
        <f t="shared" si="146"/>
        <v>0.05</v>
      </c>
      <c r="N3196" s="464">
        <f t="shared" si="147"/>
        <v>148321</v>
      </c>
    </row>
    <row r="3197" spans="7:14" ht="11.25" customHeight="1" x14ac:dyDescent="0.3">
      <c r="G3197" s="459"/>
      <c r="H3197" s="459">
        <v>3190</v>
      </c>
      <c r="I3197" s="444">
        <f t="shared" ca="1" si="145"/>
        <v>-194745981220.59863</v>
      </c>
      <c r="J3197" s="444">
        <f t="array" ref="J3197">IFERROR(INDEX('Retirement Calculator'!K:K,MATCH('Lorri 401b'!N3197,'Retirement Calculator'!A:A,0),0),0)</f>
        <v>0</v>
      </c>
      <c r="K3197" s="444">
        <f t="shared" ca="1" si="143"/>
        <v>-811441588.41916096</v>
      </c>
      <c r="L3197" s="444">
        <f t="shared" ca="1" si="144"/>
        <v>-195557422809.01779</v>
      </c>
      <c r="M3197" s="460">
        <f t="shared" si="146"/>
        <v>0.05</v>
      </c>
      <c r="N3197" s="464">
        <f t="shared" si="147"/>
        <v>148349</v>
      </c>
    </row>
    <row r="3198" spans="7:14" ht="11.25" customHeight="1" x14ac:dyDescent="0.3">
      <c r="G3198" s="459"/>
      <c r="H3198" s="459">
        <v>3191</v>
      </c>
      <c r="I3198" s="444">
        <f t="shared" ca="1" si="145"/>
        <v>-195557422809.01779</v>
      </c>
      <c r="J3198" s="444">
        <f t="array" ref="J3198">IFERROR(INDEX('Retirement Calculator'!K:K,MATCH('Lorri 401b'!N3198,'Retirement Calculator'!A:A,0),0),0)</f>
        <v>0</v>
      </c>
      <c r="K3198" s="444">
        <f t="shared" ca="1" si="143"/>
        <v>-814822595.03757417</v>
      </c>
      <c r="L3198" s="444">
        <f t="shared" ca="1" si="144"/>
        <v>-196372245404.05536</v>
      </c>
      <c r="M3198" s="460">
        <f t="shared" si="146"/>
        <v>0.05</v>
      </c>
      <c r="N3198" s="464">
        <f t="shared" si="147"/>
        <v>148380</v>
      </c>
    </row>
    <row r="3199" spans="7:14" ht="11.25" customHeight="1" x14ac:dyDescent="0.3">
      <c r="G3199" s="459"/>
      <c r="H3199" s="459">
        <v>3192</v>
      </c>
      <c r="I3199" s="444">
        <f t="shared" ca="1" si="145"/>
        <v>-196372245404.05536</v>
      </c>
      <c r="J3199" s="444">
        <f t="array" ref="J3199">IFERROR(INDEX('Retirement Calculator'!K:K,MATCH('Lorri 401b'!N3199,'Retirement Calculator'!A:A,0),0),0)</f>
        <v>0</v>
      </c>
      <c r="K3199" s="444">
        <f t="shared" ca="1" si="143"/>
        <v>-818217689.18356395</v>
      </c>
      <c r="L3199" s="444">
        <f t="shared" ca="1" si="144"/>
        <v>-197190463093.23892</v>
      </c>
      <c r="M3199" s="460">
        <f t="shared" si="146"/>
        <v>0.05</v>
      </c>
      <c r="N3199" s="464">
        <f t="shared" si="147"/>
        <v>148410</v>
      </c>
    </row>
    <row r="3200" spans="7:14" ht="11.25" customHeight="1" x14ac:dyDescent="0.3">
      <c r="G3200" s="459"/>
      <c r="H3200" s="459">
        <v>3193</v>
      </c>
      <c r="I3200" s="444">
        <f t="shared" ca="1" si="145"/>
        <v>-197190463093.23892</v>
      </c>
      <c r="J3200" s="444">
        <f t="array" ref="J3200">IFERROR(INDEX('Retirement Calculator'!K:K,MATCH('Lorri 401b'!N3200,'Retirement Calculator'!A:A,0),0),0)</f>
        <v>0</v>
      </c>
      <c r="K3200" s="444">
        <f t="shared" ca="1" si="143"/>
        <v>-821626929.55516219</v>
      </c>
      <c r="L3200" s="444">
        <f t="shared" ca="1" si="144"/>
        <v>-198012090022.7941</v>
      </c>
      <c r="M3200" s="460">
        <f t="shared" si="146"/>
        <v>0.05</v>
      </c>
      <c r="N3200" s="464">
        <f t="shared" si="147"/>
        <v>148441</v>
      </c>
    </row>
    <row r="3201" spans="7:14" ht="11.25" customHeight="1" x14ac:dyDescent="0.3">
      <c r="G3201" s="459"/>
      <c r="H3201" s="459">
        <v>3194</v>
      </c>
      <c r="I3201" s="444">
        <f t="shared" ca="1" si="145"/>
        <v>-198012090022.7941</v>
      </c>
      <c r="J3201" s="444">
        <f t="array" ref="J3201">IFERROR(INDEX('Retirement Calculator'!K:K,MATCH('Lorri 401b'!N3201,'Retirement Calculator'!A:A,0),0),0)</f>
        <v>0</v>
      </c>
      <c r="K3201" s="444">
        <f t="shared" ca="1" si="143"/>
        <v>-825050375.09497535</v>
      </c>
      <c r="L3201" s="444">
        <f t="shared" ca="1" si="144"/>
        <v>-198837140397.88907</v>
      </c>
      <c r="M3201" s="460">
        <f t="shared" si="146"/>
        <v>0.05</v>
      </c>
      <c r="N3201" s="464">
        <f t="shared" si="147"/>
        <v>148471</v>
      </c>
    </row>
    <row r="3202" spans="7:14" ht="11.25" customHeight="1" x14ac:dyDescent="0.3">
      <c r="G3202" s="459"/>
      <c r="H3202" s="459">
        <v>3195</v>
      </c>
      <c r="I3202" s="444">
        <f t="shared" ca="1" si="145"/>
        <v>-198837140397.88907</v>
      </c>
      <c r="J3202" s="444">
        <f t="array" ref="J3202">IFERROR(INDEX('Retirement Calculator'!K:K,MATCH('Lorri 401b'!N3202,'Retirement Calculator'!A:A,0),0),0)</f>
        <v>0</v>
      </c>
      <c r="K3202" s="444">
        <f t="shared" ca="1" si="143"/>
        <v>-828488084.9912045</v>
      </c>
      <c r="L3202" s="444">
        <f t="shared" ca="1" si="144"/>
        <v>-199665628482.88028</v>
      </c>
      <c r="M3202" s="460">
        <f t="shared" si="146"/>
        <v>0.05</v>
      </c>
      <c r="N3202" s="464">
        <f t="shared" si="147"/>
        <v>148502</v>
      </c>
    </row>
    <row r="3203" spans="7:14" ht="11.25" customHeight="1" x14ac:dyDescent="0.3">
      <c r="G3203" s="459"/>
      <c r="H3203" s="459">
        <v>3196</v>
      </c>
      <c r="I3203" s="444">
        <f t="shared" ca="1" si="145"/>
        <v>-199665628482.88028</v>
      </c>
      <c r="J3203" s="444">
        <f t="array" ref="J3203">IFERROR(INDEX('Retirement Calculator'!K:K,MATCH('Lorri 401b'!N3203,'Retirement Calculator'!A:A,0),0),0)</f>
        <v>0</v>
      </c>
      <c r="K3203" s="444">
        <f t="shared" ca="1" si="143"/>
        <v>-831940118.67866778</v>
      </c>
      <c r="L3203" s="444">
        <f t="shared" ca="1" si="144"/>
        <v>-200497568601.55896</v>
      </c>
      <c r="M3203" s="460">
        <f t="shared" si="146"/>
        <v>0.05</v>
      </c>
      <c r="N3203" s="464">
        <f t="shared" si="147"/>
        <v>148533</v>
      </c>
    </row>
    <row r="3204" spans="7:14" ht="11.25" customHeight="1" x14ac:dyDescent="0.3">
      <c r="G3204" s="459"/>
      <c r="H3204" s="459">
        <v>3197</v>
      </c>
      <c r="I3204" s="444">
        <f t="shared" ca="1" si="145"/>
        <v>-200497568601.55896</v>
      </c>
      <c r="J3204" s="444">
        <f t="array" ref="J3204">IFERROR(INDEX('Retirement Calculator'!K:K,MATCH('Lorri 401b'!N3204,'Retirement Calculator'!A:A,0),0),0)</f>
        <v>0</v>
      </c>
      <c r="K3204" s="444">
        <f t="shared" ca="1" si="143"/>
        <v>-835406535.83982897</v>
      </c>
      <c r="L3204" s="444">
        <f t="shared" ca="1" si="144"/>
        <v>-201332975137.3988</v>
      </c>
      <c r="M3204" s="460">
        <f t="shared" si="146"/>
        <v>0.05</v>
      </c>
      <c r="N3204" s="464">
        <f t="shared" si="147"/>
        <v>148563</v>
      </c>
    </row>
    <row r="3205" spans="7:14" ht="11.25" customHeight="1" x14ac:dyDescent="0.3">
      <c r="G3205" s="459"/>
      <c r="H3205" s="459">
        <v>3198</v>
      </c>
      <c r="I3205" s="444">
        <f t="shared" ca="1" si="145"/>
        <v>-201332975137.3988</v>
      </c>
      <c r="J3205" s="444">
        <f t="array" ref="J3205">IFERROR(INDEX('Retirement Calculator'!K:K,MATCH('Lorri 401b'!N3205,'Retirement Calculator'!A:A,0),0),0)</f>
        <v>0</v>
      </c>
      <c r="K3205" s="444">
        <f t="shared" ca="1" si="143"/>
        <v>-838887396.40582836</v>
      </c>
      <c r="L3205" s="444">
        <f t="shared" ca="1" si="144"/>
        <v>-202171862533.80463</v>
      </c>
      <c r="M3205" s="460">
        <f t="shared" si="146"/>
        <v>0.05</v>
      </c>
      <c r="N3205" s="464">
        <f t="shared" si="147"/>
        <v>148594</v>
      </c>
    </row>
    <row r="3206" spans="7:14" ht="11.25" customHeight="1" x14ac:dyDescent="0.3">
      <c r="G3206" s="459"/>
      <c r="H3206" s="459">
        <v>3199</v>
      </c>
      <c r="I3206" s="444">
        <f t="shared" ca="1" si="145"/>
        <v>-202171862533.80463</v>
      </c>
      <c r="J3206" s="444">
        <f t="array" ref="J3206">IFERROR(INDEX('Retirement Calculator'!K:K,MATCH('Lorri 401b'!N3206,'Retirement Calculator'!A:A,0),0),0)</f>
        <v>0</v>
      </c>
      <c r="K3206" s="444">
        <f t="shared" ca="1" si="143"/>
        <v>-842382760.55751932</v>
      </c>
      <c r="L3206" s="444">
        <f t="shared" ca="1" si="144"/>
        <v>-203014245294.36215</v>
      </c>
      <c r="M3206" s="460">
        <f t="shared" si="146"/>
        <v>0.05</v>
      </c>
      <c r="N3206" s="464">
        <f t="shared" si="147"/>
        <v>148624</v>
      </c>
    </row>
    <row r="3207" spans="7:14" ht="11.25" customHeight="1" x14ac:dyDescent="0.3">
      <c r="G3207" s="459"/>
      <c r="H3207" s="459">
        <v>3200</v>
      </c>
      <c r="I3207" s="444">
        <f t="shared" ca="1" si="145"/>
        <v>-203014245294.36215</v>
      </c>
      <c r="J3207" s="444">
        <f t="array" ref="J3207">IFERROR(INDEX('Retirement Calculator'!K:K,MATCH('Lorri 401b'!N3207,'Retirement Calculator'!A:A,0),0),0)</f>
        <v>0</v>
      </c>
      <c r="K3207" s="444">
        <f t="shared" ca="1" si="143"/>
        <v>-845892688.72650898</v>
      </c>
      <c r="L3207" s="444">
        <f t="shared" ca="1" si="144"/>
        <v>-203860137983.08865</v>
      </c>
      <c r="M3207" s="460">
        <f t="shared" si="146"/>
        <v>0.05</v>
      </c>
      <c r="N3207" s="464">
        <f t="shared" si="147"/>
        <v>148655</v>
      </c>
    </row>
    <row r="3208" spans="7:14" ht="11.25" customHeight="1" x14ac:dyDescent="0.3">
      <c r="G3208" s="459"/>
      <c r="H3208" s="459">
        <v>3201</v>
      </c>
      <c r="I3208" s="444">
        <f t="shared" ca="1" si="145"/>
        <v>-203860137983.08865</v>
      </c>
      <c r="J3208" s="444">
        <f t="array" ref="J3208">IFERROR(INDEX('Retirement Calculator'!K:K,MATCH('Lorri 401b'!N3208,'Retirement Calculator'!A:A,0),0),0)</f>
        <v>0</v>
      </c>
      <c r="K3208" s="444">
        <f t="shared" ca="1" si="143"/>
        <v>-849417241.59620273</v>
      </c>
      <c r="L3208" s="444">
        <f t="shared" ca="1" si="144"/>
        <v>-204709555224.68484</v>
      </c>
      <c r="M3208" s="460">
        <f t="shared" si="146"/>
        <v>0.05</v>
      </c>
      <c r="N3208" s="464">
        <f t="shared" si="147"/>
        <v>148686</v>
      </c>
    </row>
    <row r="3209" spans="7:14" ht="11.25" customHeight="1" x14ac:dyDescent="0.3">
      <c r="G3209" s="459"/>
      <c r="H3209" s="459">
        <v>3202</v>
      </c>
      <c r="I3209" s="444">
        <f t="shared" ca="1" si="145"/>
        <v>-204709555224.68484</v>
      </c>
      <c r="J3209" s="444">
        <f t="array" ref="J3209">IFERROR(INDEX('Retirement Calculator'!K:K,MATCH('Lorri 401b'!N3209,'Retirement Calculator'!A:A,0),0),0)</f>
        <v>0</v>
      </c>
      <c r="K3209" s="444">
        <f t="shared" ca="1" si="143"/>
        <v>-852956480.10285354</v>
      </c>
      <c r="L3209" s="444">
        <f t="shared" ca="1" si="144"/>
        <v>-205562511704.78769</v>
      </c>
      <c r="M3209" s="460">
        <f t="shared" si="146"/>
        <v>0.05</v>
      </c>
      <c r="N3209" s="464">
        <f t="shared" si="147"/>
        <v>148714</v>
      </c>
    </row>
    <row r="3210" spans="7:14" ht="11.25" customHeight="1" x14ac:dyDescent="0.3">
      <c r="G3210" s="459"/>
      <c r="H3210" s="459">
        <v>3203</v>
      </c>
      <c r="I3210" s="444">
        <f t="shared" ca="1" si="145"/>
        <v>-205562511704.78769</v>
      </c>
      <c r="J3210" s="444">
        <f t="array" ref="J3210">IFERROR(INDEX('Retirement Calculator'!K:K,MATCH('Lorri 401b'!N3210,'Retirement Calculator'!A:A,0),0),0)</f>
        <v>0</v>
      </c>
      <c r="K3210" s="444">
        <f t="shared" ca="1" si="143"/>
        <v>-856510465.43661535</v>
      </c>
      <c r="L3210" s="444">
        <f t="shared" ca="1" si="144"/>
        <v>-206419022170.2243</v>
      </c>
      <c r="M3210" s="460">
        <f t="shared" si="146"/>
        <v>0.05</v>
      </c>
      <c r="N3210" s="464">
        <f t="shared" si="147"/>
        <v>148745</v>
      </c>
    </row>
    <row r="3211" spans="7:14" ht="11.25" customHeight="1" x14ac:dyDescent="0.3">
      <c r="G3211" s="459"/>
      <c r="H3211" s="459">
        <v>3204</v>
      </c>
      <c r="I3211" s="444">
        <f t="shared" ca="1" si="145"/>
        <v>-206419022170.2243</v>
      </c>
      <c r="J3211" s="444">
        <f t="array" ref="J3211">IFERROR(INDEX('Retirement Calculator'!K:K,MATCH('Lorri 401b'!N3211,'Retirement Calculator'!A:A,0),0),0)</f>
        <v>0</v>
      </c>
      <c r="K3211" s="444">
        <f t="shared" ca="1" si="143"/>
        <v>-860079259.04260123</v>
      </c>
      <c r="L3211" s="444">
        <f t="shared" ca="1" si="144"/>
        <v>-207279101429.26691</v>
      </c>
      <c r="M3211" s="460">
        <f t="shared" si="146"/>
        <v>0.05</v>
      </c>
      <c r="N3211" s="464">
        <f t="shared" si="147"/>
        <v>148775</v>
      </c>
    </row>
    <row r="3212" spans="7:14" ht="11.25" customHeight="1" x14ac:dyDescent="0.3">
      <c r="G3212" s="459"/>
      <c r="H3212" s="459">
        <v>3205</v>
      </c>
      <c r="I3212" s="444">
        <f t="shared" ca="1" si="145"/>
        <v>-207279101429.26691</v>
      </c>
      <c r="J3212" s="444">
        <f t="array" ref="J3212">IFERROR(INDEX('Retirement Calculator'!K:K,MATCH('Lorri 401b'!N3212,'Retirement Calculator'!A:A,0),0),0)</f>
        <v>0</v>
      </c>
      <c r="K3212" s="444">
        <f t="shared" ca="1" si="143"/>
        <v>-863662922.62194538</v>
      </c>
      <c r="L3212" s="444">
        <f t="shared" ca="1" si="144"/>
        <v>-208142764351.88885</v>
      </c>
      <c r="M3212" s="460">
        <f t="shared" si="146"/>
        <v>0.05</v>
      </c>
      <c r="N3212" s="464">
        <f t="shared" si="147"/>
        <v>148806</v>
      </c>
    </row>
    <row r="3213" spans="7:14" ht="11.25" customHeight="1" x14ac:dyDescent="0.3">
      <c r="G3213" s="459"/>
      <c r="H3213" s="459">
        <v>3206</v>
      </c>
      <c r="I3213" s="444">
        <f t="shared" ca="1" si="145"/>
        <v>-208142764351.88885</v>
      </c>
      <c r="J3213" s="444">
        <f t="array" ref="J3213">IFERROR(INDEX('Retirement Calculator'!K:K,MATCH('Lorri 401b'!N3213,'Retirement Calculator'!A:A,0),0),0)</f>
        <v>0</v>
      </c>
      <c r="K3213" s="444">
        <f t="shared" ca="1" si="143"/>
        <v>-867261518.1328702</v>
      </c>
      <c r="L3213" s="444">
        <f t="shared" ca="1" si="144"/>
        <v>-209010025870.02173</v>
      </c>
      <c r="M3213" s="460">
        <f t="shared" si="146"/>
        <v>0.05</v>
      </c>
      <c r="N3213" s="464">
        <f t="shared" si="147"/>
        <v>148836</v>
      </c>
    </row>
    <row r="3214" spans="7:14" ht="11.25" customHeight="1" x14ac:dyDescent="0.3">
      <c r="G3214" s="459"/>
      <c r="H3214" s="459">
        <v>3207</v>
      </c>
      <c r="I3214" s="444">
        <f t="shared" ca="1" si="145"/>
        <v>-209010025870.02173</v>
      </c>
      <c r="J3214" s="444">
        <f t="array" ref="J3214">IFERROR(INDEX('Retirement Calculator'!K:K,MATCH('Lorri 401b'!N3214,'Retirement Calculator'!A:A,0),0),0)</f>
        <v>0</v>
      </c>
      <c r="K3214" s="444">
        <f t="shared" ca="1" si="143"/>
        <v>-870875107.79175723</v>
      </c>
      <c r="L3214" s="444">
        <f t="shared" ca="1" si="144"/>
        <v>-209880900977.81348</v>
      </c>
      <c r="M3214" s="460">
        <f t="shared" si="146"/>
        <v>0.05</v>
      </c>
      <c r="N3214" s="464">
        <f t="shared" si="147"/>
        <v>148867</v>
      </c>
    </row>
    <row r="3215" spans="7:14" ht="11.25" customHeight="1" x14ac:dyDescent="0.3">
      <c r="G3215" s="459"/>
      <c r="H3215" s="459">
        <v>3208</v>
      </c>
      <c r="I3215" s="444">
        <f t="shared" ca="1" si="145"/>
        <v>-209880900977.81348</v>
      </c>
      <c r="J3215" s="444">
        <f t="array" ref="J3215">IFERROR(INDEX('Retirement Calculator'!K:K,MATCH('Lorri 401b'!N3215,'Retirement Calculator'!A:A,0),0),0)</f>
        <v>0</v>
      </c>
      <c r="K3215" s="444">
        <f t="shared" ca="1" si="143"/>
        <v>-874503754.0742228</v>
      </c>
      <c r="L3215" s="444">
        <f t="shared" ca="1" si="144"/>
        <v>-210755404731.8877</v>
      </c>
      <c r="M3215" s="460">
        <f t="shared" si="146"/>
        <v>0.05</v>
      </c>
      <c r="N3215" s="464">
        <f t="shared" si="147"/>
        <v>148898</v>
      </c>
    </row>
    <row r="3216" spans="7:14" ht="11.25" customHeight="1" x14ac:dyDescent="0.3">
      <c r="G3216" s="459"/>
      <c r="H3216" s="459">
        <v>3209</v>
      </c>
      <c r="I3216" s="444">
        <f t="shared" ca="1" si="145"/>
        <v>-210755404731.8877</v>
      </c>
      <c r="J3216" s="444">
        <f t="array" ref="J3216">IFERROR(INDEX('Retirement Calculator'!K:K,MATCH('Lorri 401b'!N3216,'Retirement Calculator'!A:A,0),0),0)</f>
        <v>0</v>
      </c>
      <c r="K3216" s="444">
        <f t="shared" ca="1" si="143"/>
        <v>-878147519.71619868</v>
      </c>
      <c r="L3216" s="444">
        <f t="shared" ca="1" si="144"/>
        <v>-211633552251.60388</v>
      </c>
      <c r="M3216" s="460">
        <f t="shared" si="146"/>
        <v>0.05</v>
      </c>
      <c r="N3216" s="464">
        <f t="shared" si="147"/>
        <v>148928</v>
      </c>
    </row>
    <row r="3217" spans="7:14" ht="11.25" customHeight="1" x14ac:dyDescent="0.3">
      <c r="G3217" s="459"/>
      <c r="H3217" s="459">
        <v>3210</v>
      </c>
      <c r="I3217" s="444">
        <f t="shared" ca="1" si="145"/>
        <v>-211633552251.60388</v>
      </c>
      <c r="J3217" s="444">
        <f t="array" ref="J3217">IFERROR(INDEX('Retirement Calculator'!K:K,MATCH('Lorri 401b'!N3217,'Retirement Calculator'!A:A,0),0),0)</f>
        <v>0</v>
      </c>
      <c r="K3217" s="444">
        <f t="shared" ca="1" si="143"/>
        <v>-881806467.71501613</v>
      </c>
      <c r="L3217" s="444">
        <f t="shared" ca="1" si="144"/>
        <v>-212515358719.31891</v>
      </c>
      <c r="M3217" s="460">
        <f t="shared" si="146"/>
        <v>0.05</v>
      </c>
      <c r="N3217" s="464">
        <f t="shared" si="147"/>
        <v>148959</v>
      </c>
    </row>
    <row r="3218" spans="7:14" ht="11.25" customHeight="1" x14ac:dyDescent="0.3">
      <c r="G3218" s="459"/>
      <c r="H3218" s="459">
        <v>3211</v>
      </c>
      <c r="I3218" s="444">
        <f t="shared" ca="1" si="145"/>
        <v>-212515358719.31891</v>
      </c>
      <c r="J3218" s="444">
        <f t="array" ref="J3218">IFERROR(INDEX('Retirement Calculator'!K:K,MATCH('Lorri 401b'!N3218,'Retirement Calculator'!A:A,0),0),0)</f>
        <v>0</v>
      </c>
      <c r="K3218" s="444">
        <f t="shared" ca="1" si="143"/>
        <v>-885480661.33049548</v>
      </c>
      <c r="L3218" s="444">
        <f t="shared" ca="1" si="144"/>
        <v>-213400839380.64941</v>
      </c>
      <c r="M3218" s="460">
        <f t="shared" si="146"/>
        <v>0.05</v>
      </c>
      <c r="N3218" s="464">
        <f t="shared" si="147"/>
        <v>148989</v>
      </c>
    </row>
    <row r="3219" spans="7:14" ht="11.25" customHeight="1" x14ac:dyDescent="0.3">
      <c r="G3219" s="459"/>
      <c r="H3219" s="459">
        <v>3212</v>
      </c>
      <c r="I3219" s="444">
        <f t="shared" ca="1" si="145"/>
        <v>-213400839380.64941</v>
      </c>
      <c r="J3219" s="444">
        <f t="array" ref="J3219">IFERROR(INDEX('Retirement Calculator'!K:K,MATCH('Lorri 401b'!N3219,'Retirement Calculator'!A:A,0),0),0)</f>
        <v>0</v>
      </c>
      <c r="K3219" s="444">
        <f t="shared" ca="1" si="143"/>
        <v>-889170164.08603919</v>
      </c>
      <c r="L3219" s="444">
        <f t="shared" ca="1" si="144"/>
        <v>-214290009544.73544</v>
      </c>
      <c r="M3219" s="460">
        <f t="shared" si="146"/>
        <v>0.05</v>
      </c>
      <c r="N3219" s="464">
        <f t="shared" si="147"/>
        <v>149020</v>
      </c>
    </row>
    <row r="3220" spans="7:14" ht="11.25" customHeight="1" x14ac:dyDescent="0.3">
      <c r="G3220" s="459"/>
      <c r="H3220" s="459">
        <v>3213</v>
      </c>
      <c r="I3220" s="444">
        <f t="shared" ca="1" si="145"/>
        <v>-214290009544.73544</v>
      </c>
      <c r="J3220" s="444">
        <f t="array" ref="J3220">IFERROR(INDEX('Retirement Calculator'!K:K,MATCH('Lorri 401b'!N3220,'Retirement Calculator'!A:A,0),0),0)</f>
        <v>0</v>
      </c>
      <c r="K3220" s="444">
        <f t="shared" ca="1" si="143"/>
        <v>-892875039.76973104</v>
      </c>
      <c r="L3220" s="444">
        <f t="shared" ca="1" si="144"/>
        <v>-215182884584.50519</v>
      </c>
      <c r="M3220" s="460">
        <f t="shared" si="146"/>
        <v>0.05</v>
      </c>
      <c r="N3220" s="464">
        <f t="shared" si="147"/>
        <v>149051</v>
      </c>
    </row>
    <row r="3221" spans="7:14" ht="11.25" customHeight="1" x14ac:dyDescent="0.3">
      <c r="G3221" s="459"/>
      <c r="H3221" s="459">
        <v>3214</v>
      </c>
      <c r="I3221" s="444">
        <f t="shared" ca="1" si="145"/>
        <v>-215182884584.50519</v>
      </c>
      <c r="J3221" s="444">
        <f t="array" ref="J3221">IFERROR(INDEX('Retirement Calculator'!K:K,MATCH('Lorri 401b'!N3221,'Retirement Calculator'!A:A,0),0),0)</f>
        <v>0</v>
      </c>
      <c r="K3221" s="444">
        <f t="shared" ca="1" si="143"/>
        <v>-896595352.43543828</v>
      </c>
      <c r="L3221" s="444">
        <f t="shared" ca="1" si="144"/>
        <v>-216079479936.94061</v>
      </c>
      <c r="M3221" s="460">
        <f t="shared" si="146"/>
        <v>0.05</v>
      </c>
      <c r="N3221" s="464">
        <f t="shared" si="147"/>
        <v>149080</v>
      </c>
    </row>
    <row r="3222" spans="7:14" ht="11.25" customHeight="1" x14ac:dyDescent="0.3">
      <c r="G3222" s="459"/>
      <c r="H3222" s="459">
        <v>3215</v>
      </c>
      <c r="I3222" s="444">
        <f t="shared" ca="1" si="145"/>
        <v>-216079479936.94061</v>
      </c>
      <c r="J3222" s="444">
        <f t="array" ref="J3222">IFERROR(INDEX('Retirement Calculator'!K:K,MATCH('Lorri 401b'!N3222,'Retirement Calculator'!A:A,0),0),0)</f>
        <v>0</v>
      </c>
      <c r="K3222" s="444">
        <f t="shared" ca="1" si="143"/>
        <v>-900331166.4039191</v>
      </c>
      <c r="L3222" s="444">
        <f t="shared" ca="1" si="144"/>
        <v>-216979811103.34454</v>
      </c>
      <c r="M3222" s="460">
        <f t="shared" si="146"/>
        <v>0.05</v>
      </c>
      <c r="N3222" s="464">
        <f t="shared" si="147"/>
        <v>149111</v>
      </c>
    </row>
    <row r="3223" spans="7:14" ht="11.25" customHeight="1" x14ac:dyDescent="0.3">
      <c r="G3223" s="459"/>
      <c r="H3223" s="459">
        <v>3216</v>
      </c>
      <c r="I3223" s="444">
        <f t="shared" ca="1" si="145"/>
        <v>-216979811103.34454</v>
      </c>
      <c r="J3223" s="444">
        <f t="array" ref="J3223">IFERROR(INDEX('Retirement Calculator'!K:K,MATCH('Lorri 401b'!N3223,'Retirement Calculator'!A:A,0),0),0)</f>
        <v>0</v>
      </c>
      <c r="K3223" s="444">
        <f t="shared" ca="1" si="143"/>
        <v>-904082546.26393545</v>
      </c>
      <c r="L3223" s="444">
        <f t="shared" ca="1" si="144"/>
        <v>-217883893649.60849</v>
      </c>
      <c r="M3223" s="460">
        <f t="shared" si="146"/>
        <v>0.05</v>
      </c>
      <c r="N3223" s="464">
        <f t="shared" si="147"/>
        <v>149141</v>
      </c>
    </row>
    <row r="3224" spans="7:14" ht="11.25" customHeight="1" x14ac:dyDescent="0.3">
      <c r="G3224" s="459"/>
      <c r="H3224" s="459">
        <v>3217</v>
      </c>
      <c r="I3224" s="444">
        <f t="shared" ca="1" si="145"/>
        <v>-217883893649.60849</v>
      </c>
      <c r="J3224" s="444">
        <f t="array" ref="J3224">IFERROR(INDEX('Retirement Calculator'!K:K,MATCH('Lorri 401b'!N3224,'Retirement Calculator'!A:A,0),0),0)</f>
        <v>0</v>
      </c>
      <c r="K3224" s="444">
        <f t="shared" ca="1" si="143"/>
        <v>-907849556.87336874</v>
      </c>
      <c r="L3224" s="444">
        <f t="shared" ca="1" si="144"/>
        <v>-218791743206.48187</v>
      </c>
      <c r="M3224" s="460">
        <f t="shared" si="146"/>
        <v>0.05</v>
      </c>
      <c r="N3224" s="464">
        <f t="shared" si="147"/>
        <v>149172</v>
      </c>
    </row>
    <row r="3225" spans="7:14" ht="11.25" customHeight="1" x14ac:dyDescent="0.3">
      <c r="G3225" s="459"/>
      <c r="H3225" s="459">
        <v>3218</v>
      </c>
      <c r="I3225" s="444">
        <f t="shared" ca="1" si="145"/>
        <v>-218791743206.48187</v>
      </c>
      <c r="J3225" s="444">
        <f t="array" ref="J3225">IFERROR(INDEX('Retirement Calculator'!K:K,MATCH('Lorri 401b'!N3225,'Retirement Calculator'!A:A,0),0),0)</f>
        <v>0</v>
      </c>
      <c r="K3225" s="444">
        <f t="shared" ca="1" si="143"/>
        <v>-911632263.36034107</v>
      </c>
      <c r="L3225" s="444">
        <f t="shared" ca="1" si="144"/>
        <v>-219703375469.84222</v>
      </c>
      <c r="M3225" s="460">
        <f t="shared" si="146"/>
        <v>0.05</v>
      </c>
      <c r="N3225" s="464">
        <f t="shared" si="147"/>
        <v>149202</v>
      </c>
    </row>
    <row r="3226" spans="7:14" ht="11.25" customHeight="1" x14ac:dyDescent="0.3">
      <c r="G3226" s="459"/>
      <c r="H3226" s="459">
        <v>3219</v>
      </c>
      <c r="I3226" s="444">
        <f t="shared" ca="1" si="145"/>
        <v>-219703375469.84222</v>
      </c>
      <c r="J3226" s="444">
        <f t="array" ref="J3226">IFERROR(INDEX('Retirement Calculator'!K:K,MATCH('Lorri 401b'!N3226,'Retirement Calculator'!A:A,0),0),0)</f>
        <v>0</v>
      </c>
      <c r="K3226" s="444">
        <f t="shared" ca="1" si="143"/>
        <v>-915430731.12434268</v>
      </c>
      <c r="L3226" s="444">
        <f t="shared" ca="1" si="144"/>
        <v>-220618806200.96655</v>
      </c>
      <c r="M3226" s="460">
        <f t="shared" si="146"/>
        <v>0.05</v>
      </c>
      <c r="N3226" s="464">
        <f t="shared" si="147"/>
        <v>149233</v>
      </c>
    </row>
    <row r="3227" spans="7:14" ht="11.25" customHeight="1" x14ac:dyDescent="0.3">
      <c r="G3227" s="459"/>
      <c r="H3227" s="459">
        <v>3220</v>
      </c>
      <c r="I3227" s="444">
        <f t="shared" ca="1" si="145"/>
        <v>-220618806200.96655</v>
      </c>
      <c r="J3227" s="444">
        <f t="array" ref="J3227">IFERROR(INDEX('Retirement Calculator'!K:K,MATCH('Lorri 401b'!N3227,'Retirement Calculator'!A:A,0),0),0)</f>
        <v>0</v>
      </c>
      <c r="K3227" s="444">
        <f t="shared" ca="1" si="143"/>
        <v>-919245025.83736062</v>
      </c>
      <c r="L3227" s="444">
        <f t="shared" ca="1" si="144"/>
        <v>-221538051226.80392</v>
      </c>
      <c r="M3227" s="460">
        <f t="shared" si="146"/>
        <v>0.05</v>
      </c>
      <c r="N3227" s="464">
        <f t="shared" si="147"/>
        <v>149264</v>
      </c>
    </row>
    <row r="3228" spans="7:14" ht="11.25" customHeight="1" x14ac:dyDescent="0.3">
      <c r="G3228" s="459"/>
      <c r="H3228" s="459">
        <v>3221</v>
      </c>
      <c r="I3228" s="444">
        <f t="shared" ca="1" si="145"/>
        <v>-221538051226.80392</v>
      </c>
      <c r="J3228" s="444">
        <f t="array" ref="J3228">IFERROR(INDEX('Retirement Calculator'!K:K,MATCH('Lorri 401b'!N3228,'Retirement Calculator'!A:A,0),0),0)</f>
        <v>0</v>
      </c>
      <c r="K3228" s="444">
        <f t="shared" ca="1" si="143"/>
        <v>-923075213.44501638</v>
      </c>
      <c r="L3228" s="444">
        <f t="shared" ca="1" si="144"/>
        <v>-222461126440.24893</v>
      </c>
      <c r="M3228" s="460">
        <f t="shared" si="146"/>
        <v>0.05</v>
      </c>
      <c r="N3228" s="464">
        <f t="shared" si="147"/>
        <v>149294</v>
      </c>
    </row>
    <row r="3229" spans="7:14" ht="11.25" customHeight="1" x14ac:dyDescent="0.3">
      <c r="G3229" s="459"/>
      <c r="H3229" s="459">
        <v>3222</v>
      </c>
      <c r="I3229" s="444">
        <f t="shared" ca="1" si="145"/>
        <v>-222461126440.24893</v>
      </c>
      <c r="J3229" s="444">
        <f t="array" ref="J3229">IFERROR(INDEX('Retirement Calculator'!K:K,MATCH('Lorri 401b'!N3229,'Retirement Calculator'!A:A,0),0),0)</f>
        <v>0</v>
      </c>
      <c r="K3229" s="444">
        <f t="shared" ca="1" si="143"/>
        <v>-926921360.16770375</v>
      </c>
      <c r="L3229" s="444">
        <f t="shared" ca="1" si="144"/>
        <v>-223388047800.41663</v>
      </c>
      <c r="M3229" s="460">
        <f t="shared" si="146"/>
        <v>0.05</v>
      </c>
      <c r="N3229" s="464">
        <f t="shared" si="147"/>
        <v>149325</v>
      </c>
    </row>
    <row r="3230" spans="7:14" ht="11.25" customHeight="1" x14ac:dyDescent="0.3">
      <c r="G3230" s="459"/>
      <c r="H3230" s="459">
        <v>3223</v>
      </c>
      <c r="I3230" s="444">
        <f t="shared" ca="1" si="145"/>
        <v>-223388047800.41663</v>
      </c>
      <c r="J3230" s="444">
        <f t="array" ref="J3230">IFERROR(INDEX('Retirement Calculator'!K:K,MATCH('Lorri 401b'!N3230,'Retirement Calculator'!A:A,0),0),0)</f>
        <v>0</v>
      </c>
      <c r="K3230" s="444">
        <f t="shared" ca="1" si="143"/>
        <v>-930783532.50173604</v>
      </c>
      <c r="L3230" s="444">
        <f t="shared" ca="1" si="144"/>
        <v>-224318831332.91837</v>
      </c>
      <c r="M3230" s="460">
        <f t="shared" si="146"/>
        <v>0.05</v>
      </c>
      <c r="N3230" s="464">
        <f t="shared" si="147"/>
        <v>149355</v>
      </c>
    </row>
    <row r="3231" spans="7:14" ht="11.25" customHeight="1" x14ac:dyDescent="0.3">
      <c r="G3231" s="459"/>
      <c r="H3231" s="459">
        <v>3224</v>
      </c>
      <c r="I3231" s="444">
        <f t="shared" ca="1" si="145"/>
        <v>-224318831332.91837</v>
      </c>
      <c r="J3231" s="444">
        <f t="array" ref="J3231">IFERROR(INDEX('Retirement Calculator'!K:K,MATCH('Lorri 401b'!N3231,'Retirement Calculator'!A:A,0),0),0)</f>
        <v>0</v>
      </c>
      <c r="K3231" s="444">
        <f t="shared" ca="1" si="143"/>
        <v>-934661797.2204932</v>
      </c>
      <c r="L3231" s="444">
        <f t="shared" ca="1" si="144"/>
        <v>-225253493130.13885</v>
      </c>
      <c r="M3231" s="460">
        <f t="shared" si="146"/>
        <v>0.05</v>
      </c>
      <c r="N3231" s="464">
        <f t="shared" si="147"/>
        <v>149386</v>
      </c>
    </row>
    <row r="3232" spans="7:14" ht="11.25" customHeight="1" x14ac:dyDescent="0.3">
      <c r="G3232" s="459"/>
      <c r="H3232" s="459">
        <v>3225</v>
      </c>
      <c r="I3232" s="444">
        <f t="shared" ca="1" si="145"/>
        <v>-225253493130.13885</v>
      </c>
      <c r="J3232" s="444">
        <f t="array" ref="J3232">IFERROR(INDEX('Retirement Calculator'!K:K,MATCH('Lorri 401b'!N3232,'Retirement Calculator'!A:A,0),0),0)</f>
        <v>0</v>
      </c>
      <c r="K3232" s="444">
        <f t="shared" ca="1" si="143"/>
        <v>-938556221.37557864</v>
      </c>
      <c r="L3232" s="444">
        <f t="shared" ca="1" si="144"/>
        <v>-226192049351.51443</v>
      </c>
      <c r="M3232" s="460">
        <f t="shared" si="146"/>
        <v>0.05</v>
      </c>
      <c r="N3232" s="464">
        <f t="shared" si="147"/>
        <v>149417</v>
      </c>
    </row>
    <row r="3233" spans="7:14" ht="11.25" customHeight="1" x14ac:dyDescent="0.3">
      <c r="G3233" s="459"/>
      <c r="H3233" s="459">
        <v>3226</v>
      </c>
      <c r="I3233" s="444">
        <f t="shared" ca="1" si="145"/>
        <v>-226192049351.51443</v>
      </c>
      <c r="J3233" s="444">
        <f t="array" ref="J3233">IFERROR(INDEX('Retirement Calculator'!K:K,MATCH('Lorri 401b'!N3233,'Retirement Calculator'!A:A,0),0),0)</f>
        <v>0</v>
      </c>
      <c r="K3233" s="444">
        <f t="shared" ca="1" si="143"/>
        <v>-942466872.29797685</v>
      </c>
      <c r="L3233" s="444">
        <f t="shared" ca="1" si="144"/>
        <v>-227134516223.81241</v>
      </c>
      <c r="M3233" s="460">
        <f t="shared" si="146"/>
        <v>0.05</v>
      </c>
      <c r="N3233" s="464">
        <f t="shared" si="147"/>
        <v>149445</v>
      </c>
    </row>
    <row r="3234" spans="7:14" ht="11.25" customHeight="1" x14ac:dyDescent="0.3">
      <c r="G3234" s="459"/>
      <c r="H3234" s="459">
        <v>3227</v>
      </c>
      <c r="I3234" s="444">
        <f t="shared" ca="1" si="145"/>
        <v>-227134516223.81241</v>
      </c>
      <c r="J3234" s="444">
        <f t="array" ref="J3234">IFERROR(INDEX('Retirement Calculator'!K:K,MATCH('Lorri 401b'!N3234,'Retirement Calculator'!A:A,0),0),0)</f>
        <v>0</v>
      </c>
      <c r="K3234" s="444">
        <f t="shared" ca="1" si="143"/>
        <v>-946393817.59921837</v>
      </c>
      <c r="L3234" s="444">
        <f t="shared" ca="1" si="144"/>
        <v>-228080910041.41162</v>
      </c>
      <c r="M3234" s="460">
        <f t="shared" si="146"/>
        <v>0.05</v>
      </c>
      <c r="N3234" s="464">
        <f t="shared" si="147"/>
        <v>149476</v>
      </c>
    </row>
    <row r="3235" spans="7:14" ht="11.25" customHeight="1" x14ac:dyDescent="0.3">
      <c r="G3235" s="459"/>
      <c r="H3235" s="459">
        <v>3228</v>
      </c>
      <c r="I3235" s="444">
        <f t="shared" ca="1" si="145"/>
        <v>-228080910041.41162</v>
      </c>
      <c r="J3235" s="444">
        <f t="array" ref="J3235">IFERROR(INDEX('Retirement Calculator'!K:K,MATCH('Lorri 401b'!N3235,'Retirement Calculator'!A:A,0),0),0)</f>
        <v>0</v>
      </c>
      <c r="K3235" s="444">
        <f t="shared" ca="1" si="143"/>
        <v>-950337125.17254841</v>
      </c>
      <c r="L3235" s="444">
        <f t="shared" ca="1" si="144"/>
        <v>-229031247166.58417</v>
      </c>
      <c r="M3235" s="460">
        <f t="shared" si="146"/>
        <v>0.05</v>
      </c>
      <c r="N3235" s="464">
        <f t="shared" si="147"/>
        <v>149506</v>
      </c>
    </row>
    <row r="3236" spans="7:14" ht="11.25" customHeight="1" x14ac:dyDescent="0.3">
      <c r="G3236" s="459"/>
      <c r="H3236" s="459">
        <v>3229</v>
      </c>
      <c r="I3236" s="444">
        <f t="shared" ca="1" si="145"/>
        <v>-229031247166.58417</v>
      </c>
      <c r="J3236" s="444">
        <f t="array" ref="J3236">IFERROR(INDEX('Retirement Calculator'!K:K,MATCH('Lorri 401b'!N3236,'Retirement Calculator'!A:A,0),0),0)</f>
        <v>0</v>
      </c>
      <c r="K3236" s="444">
        <f t="shared" ca="1" si="143"/>
        <v>-954296863.19410074</v>
      </c>
      <c r="L3236" s="444">
        <f t="shared" ca="1" si="144"/>
        <v>-229985544029.77826</v>
      </c>
      <c r="M3236" s="460">
        <f t="shared" si="146"/>
        <v>0.05</v>
      </c>
      <c r="N3236" s="464">
        <f t="shared" si="147"/>
        <v>149537</v>
      </c>
    </row>
    <row r="3237" spans="7:14" ht="11.25" customHeight="1" x14ac:dyDescent="0.3">
      <c r="G3237" s="459"/>
      <c r="H3237" s="459">
        <v>3230</v>
      </c>
      <c r="I3237" s="444">
        <f t="shared" ca="1" si="145"/>
        <v>-229985544029.77826</v>
      </c>
      <c r="J3237" s="444">
        <f t="array" ref="J3237">IFERROR(INDEX('Retirement Calculator'!K:K,MATCH('Lorri 401b'!N3237,'Retirement Calculator'!A:A,0),0),0)</f>
        <v>0</v>
      </c>
      <c r="K3237" s="444">
        <f t="shared" ca="1" si="143"/>
        <v>-958273100.12407589</v>
      </c>
      <c r="L3237" s="444">
        <f t="shared" ca="1" si="144"/>
        <v>-230943817129.90234</v>
      </c>
      <c r="M3237" s="460">
        <f t="shared" si="146"/>
        <v>0.05</v>
      </c>
      <c r="N3237" s="464">
        <f t="shared" si="147"/>
        <v>149567</v>
      </c>
    </row>
    <row r="3238" spans="7:14" ht="11.25" customHeight="1" x14ac:dyDescent="0.3">
      <c r="G3238" s="459"/>
      <c r="H3238" s="459">
        <v>3231</v>
      </c>
      <c r="I3238" s="444">
        <f t="shared" ca="1" si="145"/>
        <v>-230943817129.90234</v>
      </c>
      <c r="J3238" s="444">
        <f t="array" ref="J3238">IFERROR(INDEX('Retirement Calculator'!K:K,MATCH('Lorri 401b'!N3238,'Retirement Calculator'!A:A,0),0),0)</f>
        <v>0</v>
      </c>
      <c r="K3238" s="444">
        <f t="shared" ca="1" si="143"/>
        <v>-962265904.70792639</v>
      </c>
      <c r="L3238" s="444">
        <f t="shared" ca="1" si="144"/>
        <v>-231906083034.61026</v>
      </c>
      <c r="M3238" s="460">
        <f t="shared" si="146"/>
        <v>0.05</v>
      </c>
      <c r="N3238" s="464">
        <f t="shared" si="147"/>
        <v>149598</v>
      </c>
    </row>
    <row r="3239" spans="7:14" ht="11.25" customHeight="1" x14ac:dyDescent="0.3">
      <c r="G3239" s="459"/>
      <c r="H3239" s="459">
        <v>3232</v>
      </c>
      <c r="I3239" s="444">
        <f t="shared" ca="1" si="145"/>
        <v>-231906083034.61026</v>
      </c>
      <c r="J3239" s="444">
        <f t="array" ref="J3239">IFERROR(INDEX('Retirement Calculator'!K:K,MATCH('Lorri 401b'!N3239,'Retirement Calculator'!A:A,0),0),0)</f>
        <v>0</v>
      </c>
      <c r="K3239" s="444">
        <f t="shared" ca="1" si="143"/>
        <v>-966275345.97754288</v>
      </c>
      <c r="L3239" s="444">
        <f t="shared" ca="1" si="144"/>
        <v>-232872358380.5878</v>
      </c>
      <c r="M3239" s="460">
        <f t="shared" si="146"/>
        <v>0.05</v>
      </c>
      <c r="N3239" s="464">
        <f t="shared" si="147"/>
        <v>149629</v>
      </c>
    </row>
    <row r="3240" spans="7:14" ht="11.25" customHeight="1" x14ac:dyDescent="0.3">
      <c r="G3240" s="459"/>
      <c r="H3240" s="459">
        <v>3233</v>
      </c>
      <c r="I3240" s="444">
        <f t="shared" ca="1" si="145"/>
        <v>-232872358380.5878</v>
      </c>
      <c r="J3240" s="444">
        <f t="array" ref="J3240">IFERROR(INDEX('Retirement Calculator'!K:K,MATCH('Lorri 401b'!N3240,'Retirement Calculator'!A:A,0),0),0)</f>
        <v>0</v>
      </c>
      <c r="K3240" s="444">
        <f t="shared" ca="1" si="143"/>
        <v>-970301493.25244915</v>
      </c>
      <c r="L3240" s="444">
        <f t="shared" ca="1" si="144"/>
        <v>-233842659873.84024</v>
      </c>
      <c r="M3240" s="460">
        <f t="shared" si="146"/>
        <v>0.05</v>
      </c>
      <c r="N3240" s="464">
        <f t="shared" si="147"/>
        <v>149659</v>
      </c>
    </row>
    <row r="3241" spans="7:14" ht="11.25" customHeight="1" x14ac:dyDescent="0.3">
      <c r="G3241" s="459"/>
      <c r="H3241" s="459">
        <v>3234</v>
      </c>
      <c r="I3241" s="444">
        <f t="shared" ca="1" si="145"/>
        <v>-233842659873.84024</v>
      </c>
      <c r="J3241" s="444">
        <f t="array" ref="J3241">IFERROR(INDEX('Retirement Calculator'!K:K,MATCH('Lorri 401b'!N3241,'Retirement Calculator'!A:A,0),0),0)</f>
        <v>0</v>
      </c>
      <c r="K3241" s="444">
        <f t="shared" ca="1" si="143"/>
        <v>-974344416.14100099</v>
      </c>
      <c r="L3241" s="444">
        <f t="shared" ca="1" si="144"/>
        <v>-234817004289.98123</v>
      </c>
      <c r="M3241" s="460">
        <f t="shared" si="146"/>
        <v>0.05</v>
      </c>
      <c r="N3241" s="464">
        <f t="shared" si="147"/>
        <v>149690</v>
      </c>
    </row>
    <row r="3242" spans="7:14" ht="11.25" customHeight="1" x14ac:dyDescent="0.3">
      <c r="G3242" s="459"/>
      <c r="H3242" s="459">
        <v>3235</v>
      </c>
      <c r="I3242" s="444">
        <f t="shared" ca="1" si="145"/>
        <v>-234817004289.98123</v>
      </c>
      <c r="J3242" s="444">
        <f t="array" ref="J3242">IFERROR(INDEX('Retirement Calculator'!K:K,MATCH('Lorri 401b'!N3242,'Retirement Calculator'!A:A,0),0),0)</f>
        <v>0</v>
      </c>
      <c r="K3242" s="444">
        <f t="shared" ca="1" si="143"/>
        <v>-978404184.54158854</v>
      </c>
      <c r="L3242" s="444">
        <f t="shared" ca="1" si="144"/>
        <v>-235795408474.52283</v>
      </c>
      <c r="M3242" s="460">
        <f t="shared" si="146"/>
        <v>0.05</v>
      </c>
      <c r="N3242" s="464">
        <f t="shared" si="147"/>
        <v>149720</v>
      </c>
    </row>
    <row r="3243" spans="7:14" ht="11.25" customHeight="1" x14ac:dyDescent="0.3">
      <c r="G3243" s="459"/>
      <c r="H3243" s="459">
        <v>3236</v>
      </c>
      <c r="I3243" s="444">
        <f t="shared" ca="1" si="145"/>
        <v>-235795408474.52283</v>
      </c>
      <c r="J3243" s="444">
        <f t="array" ref="J3243">IFERROR(INDEX('Retirement Calculator'!K:K,MATCH('Lorri 401b'!N3243,'Retirement Calculator'!A:A,0),0),0)</f>
        <v>0</v>
      </c>
      <c r="K3243" s="444">
        <f t="shared" ca="1" si="143"/>
        <v>-982480868.64384508</v>
      </c>
      <c r="L3243" s="444">
        <f t="shared" ca="1" si="144"/>
        <v>-236777889343.16669</v>
      </c>
      <c r="M3243" s="460">
        <f t="shared" si="146"/>
        <v>0.05</v>
      </c>
      <c r="N3243" s="464">
        <f t="shared" si="147"/>
        <v>149751</v>
      </c>
    </row>
    <row r="3244" spans="7:14" ht="11.25" customHeight="1" x14ac:dyDescent="0.3">
      <c r="G3244" s="459"/>
      <c r="H3244" s="459">
        <v>3237</v>
      </c>
      <c r="I3244" s="444">
        <f t="shared" ca="1" si="145"/>
        <v>-236777889343.16669</v>
      </c>
      <c r="J3244" s="444">
        <f t="array" ref="J3244">IFERROR(INDEX('Retirement Calculator'!K:K,MATCH('Lorri 401b'!N3244,'Retirement Calculator'!A:A,0),0),0)</f>
        <v>0</v>
      </c>
      <c r="K3244" s="444">
        <f t="shared" ca="1" si="143"/>
        <v>-986574538.92986119</v>
      </c>
      <c r="L3244" s="444">
        <f t="shared" ca="1" si="144"/>
        <v>-237764463882.09656</v>
      </c>
      <c r="M3244" s="460">
        <f t="shared" si="146"/>
        <v>0.05</v>
      </c>
      <c r="N3244" s="464">
        <f t="shared" si="147"/>
        <v>149782</v>
      </c>
    </row>
    <row r="3245" spans="7:14" ht="11.25" customHeight="1" x14ac:dyDescent="0.3">
      <c r="G3245" s="459"/>
      <c r="H3245" s="459">
        <v>3238</v>
      </c>
      <c r="I3245" s="444">
        <f t="shared" ca="1" si="145"/>
        <v>-237764463882.09656</v>
      </c>
      <c r="J3245" s="444">
        <f t="array" ref="J3245">IFERROR(INDEX('Retirement Calculator'!K:K,MATCH('Lorri 401b'!N3245,'Retirement Calculator'!A:A,0),0),0)</f>
        <v>0</v>
      </c>
      <c r="K3245" s="444">
        <f t="shared" ca="1" si="143"/>
        <v>-990685266.17540216</v>
      </c>
      <c r="L3245" s="444">
        <f t="shared" ca="1" si="144"/>
        <v>-238755149148.27197</v>
      </c>
      <c r="M3245" s="460">
        <f t="shared" si="146"/>
        <v>0.05</v>
      </c>
      <c r="N3245" s="464">
        <f t="shared" si="147"/>
        <v>149810</v>
      </c>
    </row>
    <row r="3246" spans="7:14" ht="11.25" customHeight="1" x14ac:dyDescent="0.3">
      <c r="G3246" s="459"/>
      <c r="H3246" s="459">
        <v>3239</v>
      </c>
      <c r="I3246" s="444">
        <f t="shared" ca="1" si="145"/>
        <v>-238755149148.27197</v>
      </c>
      <c r="J3246" s="444">
        <f t="array" ref="J3246">IFERROR(INDEX('Retirement Calculator'!K:K,MATCH('Lorri 401b'!N3246,'Retirement Calculator'!A:A,0),0),0)</f>
        <v>0</v>
      </c>
      <c r="K3246" s="444">
        <f t="shared" ca="1" si="143"/>
        <v>-994813121.45113337</v>
      </c>
      <c r="L3246" s="444">
        <f t="shared" ca="1" si="144"/>
        <v>-239749962269.72311</v>
      </c>
      <c r="M3246" s="460">
        <f t="shared" si="146"/>
        <v>0.05</v>
      </c>
      <c r="N3246" s="464">
        <f t="shared" si="147"/>
        <v>149841</v>
      </c>
    </row>
    <row r="3247" spans="7:14" ht="11.25" customHeight="1" x14ac:dyDescent="0.3">
      <c r="G3247" s="459"/>
      <c r="H3247" s="459">
        <v>3240</v>
      </c>
      <c r="I3247" s="444">
        <f t="shared" ca="1" si="145"/>
        <v>-239749962269.72311</v>
      </c>
      <c r="J3247" s="444">
        <f t="array" ref="J3247">IFERROR(INDEX('Retirement Calculator'!K:K,MATCH('Lorri 401b'!N3247,'Retirement Calculator'!A:A,0),0),0)</f>
        <v>0</v>
      </c>
      <c r="K3247" s="444">
        <f t="shared" ca="1" si="143"/>
        <v>-998958176.12384629</v>
      </c>
      <c r="L3247" s="444">
        <f t="shared" ca="1" si="144"/>
        <v>-240748920445.84695</v>
      </c>
      <c r="M3247" s="460">
        <f t="shared" si="146"/>
        <v>0.05</v>
      </c>
      <c r="N3247" s="464">
        <f t="shared" si="147"/>
        <v>149871</v>
      </c>
    </row>
    <row r="3248" spans="7:14" ht="11.25" customHeight="1" x14ac:dyDescent="0.3">
      <c r="G3248" s="459"/>
      <c r="H3248" s="459">
        <v>3241</v>
      </c>
      <c r="I3248" s="444">
        <f t="shared" ca="1" si="145"/>
        <v>-240748920445.84695</v>
      </c>
      <c r="J3248" s="444">
        <f t="array" ref="J3248">IFERROR(INDEX('Retirement Calculator'!K:K,MATCH('Lorri 401b'!N3248,'Retirement Calculator'!A:A,0),0),0)</f>
        <v>0</v>
      </c>
      <c r="K3248" s="444">
        <f t="shared" ca="1" si="143"/>
        <v>-1003120501.8576956</v>
      </c>
      <c r="L3248" s="444">
        <f t="shared" ca="1" si="144"/>
        <v>-241752040947.70465</v>
      </c>
      <c r="M3248" s="460">
        <f t="shared" si="146"/>
        <v>0.05</v>
      </c>
      <c r="N3248" s="464">
        <f t="shared" si="147"/>
        <v>149902</v>
      </c>
    </row>
    <row r="3249" spans="7:14" ht="11.25" customHeight="1" x14ac:dyDescent="0.3">
      <c r="G3249" s="459"/>
      <c r="H3249" s="459">
        <v>3242</v>
      </c>
      <c r="I3249" s="444">
        <f t="shared" ca="1" si="145"/>
        <v>-241752040947.70465</v>
      </c>
      <c r="J3249" s="444">
        <f t="array" ref="J3249">IFERROR(INDEX('Retirement Calculator'!K:K,MATCH('Lorri 401b'!N3249,'Retirement Calculator'!A:A,0),0),0)</f>
        <v>0</v>
      </c>
      <c r="K3249" s="444">
        <f t="shared" ca="1" si="143"/>
        <v>-1007300170.6154362</v>
      </c>
      <c r="L3249" s="444">
        <f t="shared" ca="1" si="144"/>
        <v>-242759341118.3201</v>
      </c>
      <c r="M3249" s="460">
        <f t="shared" si="146"/>
        <v>0.05</v>
      </c>
      <c r="N3249" s="464">
        <f t="shared" si="147"/>
        <v>149932</v>
      </c>
    </row>
    <row r="3250" spans="7:14" ht="11.25" customHeight="1" x14ac:dyDescent="0.3">
      <c r="G3250" s="459"/>
      <c r="H3250" s="459">
        <v>3243</v>
      </c>
      <c r="I3250" s="444">
        <f t="shared" ca="1" si="145"/>
        <v>-242759341118.3201</v>
      </c>
      <c r="J3250" s="444">
        <f t="array" ref="J3250">IFERROR(INDEX('Retirement Calculator'!K:K,MATCH('Lorri 401b'!N3250,'Retirement Calculator'!A:A,0),0),0)</f>
        <v>0</v>
      </c>
      <c r="K3250" s="444">
        <f t="shared" ca="1" si="143"/>
        <v>-1011497254.6596669</v>
      </c>
      <c r="L3250" s="444">
        <f t="shared" ca="1" si="144"/>
        <v>-243770838372.97977</v>
      </c>
      <c r="M3250" s="460">
        <f t="shared" si="146"/>
        <v>0.05</v>
      </c>
      <c r="N3250" s="464">
        <f t="shared" si="147"/>
        <v>149963</v>
      </c>
    </row>
    <row r="3251" spans="7:14" ht="11.25" customHeight="1" x14ac:dyDescent="0.3">
      <c r="G3251" s="459"/>
      <c r="H3251" s="459">
        <v>3244</v>
      </c>
      <c r="I3251" s="444">
        <f t="shared" ca="1" si="145"/>
        <v>-243770838372.97977</v>
      </c>
      <c r="J3251" s="444">
        <f t="array" ref="J3251">IFERROR(INDEX('Retirement Calculator'!K:K,MATCH('Lorri 401b'!N3251,'Retirement Calculator'!A:A,0),0),0)</f>
        <v>0</v>
      </c>
      <c r="K3251" s="444">
        <f t="shared" ca="1" si="143"/>
        <v>-1015711826.5540825</v>
      </c>
      <c r="L3251" s="444">
        <f t="shared" ca="1" si="144"/>
        <v>-244786550199.53384</v>
      </c>
      <c r="M3251" s="460">
        <f t="shared" si="146"/>
        <v>0.05</v>
      </c>
      <c r="N3251" s="464">
        <f t="shared" si="147"/>
        <v>149994</v>
      </c>
    </row>
    <row r="3252" spans="7:14" ht="11.25" customHeight="1" x14ac:dyDescent="0.3">
      <c r="G3252" s="459"/>
      <c r="H3252" s="459">
        <v>3245</v>
      </c>
      <c r="I3252" s="444">
        <f t="shared" ca="1" si="145"/>
        <v>-244786550199.53384</v>
      </c>
      <c r="J3252" s="444">
        <f t="array" ref="J3252">IFERROR(INDEX('Retirement Calculator'!K:K,MATCH('Lorri 401b'!N3252,'Retirement Calculator'!A:A,0),0),0)</f>
        <v>0</v>
      </c>
      <c r="K3252" s="444">
        <f t="shared" ca="1" si="143"/>
        <v>-1019943959.1647245</v>
      </c>
      <c r="L3252" s="444">
        <f t="shared" ca="1" si="144"/>
        <v>-245806494158.69858</v>
      </c>
      <c r="M3252" s="460">
        <f t="shared" si="146"/>
        <v>0.05</v>
      </c>
      <c r="N3252" s="464">
        <f t="shared" si="147"/>
        <v>150024</v>
      </c>
    </row>
    <row r="3253" spans="7:14" ht="11.25" customHeight="1" x14ac:dyDescent="0.3">
      <c r="G3253" s="459"/>
      <c r="H3253" s="459">
        <v>3246</v>
      </c>
      <c r="I3253" s="444">
        <f t="shared" ca="1" si="145"/>
        <v>-245806494158.69858</v>
      </c>
      <c r="J3253" s="444">
        <f t="array" ref="J3253">IFERROR(INDEX('Retirement Calculator'!K:K,MATCH('Lorri 401b'!N3253,'Retirement Calculator'!A:A,0),0),0)</f>
        <v>0</v>
      </c>
      <c r="K3253" s="444">
        <f t="shared" ca="1" si="143"/>
        <v>-1024193725.6612439</v>
      </c>
      <c r="L3253" s="444">
        <f t="shared" ca="1" si="144"/>
        <v>-246830687884.35983</v>
      </c>
      <c r="M3253" s="460">
        <f t="shared" si="146"/>
        <v>0.05</v>
      </c>
      <c r="N3253" s="464">
        <f t="shared" si="147"/>
        <v>150055</v>
      </c>
    </row>
    <row r="3254" spans="7:14" ht="11.25" customHeight="1" x14ac:dyDescent="0.3">
      <c r="G3254" s="459"/>
      <c r="H3254" s="459">
        <v>3247</v>
      </c>
      <c r="I3254" s="444">
        <f t="shared" ca="1" si="145"/>
        <v>-246830687884.35983</v>
      </c>
      <c r="J3254" s="444">
        <f t="array" ref="J3254">IFERROR(INDEX('Retirement Calculator'!K:K,MATCH('Lorri 401b'!N3254,'Retirement Calculator'!A:A,0),0),0)</f>
        <v>0</v>
      </c>
      <c r="K3254" s="444">
        <f t="shared" ca="1" si="143"/>
        <v>-1028461199.5181659</v>
      </c>
      <c r="L3254" s="444">
        <f t="shared" ca="1" si="144"/>
        <v>-247859149083.87799</v>
      </c>
      <c r="M3254" s="460">
        <f t="shared" si="146"/>
        <v>0.05</v>
      </c>
      <c r="N3254" s="464">
        <f t="shared" si="147"/>
        <v>150085</v>
      </c>
    </row>
    <row r="3255" spans="7:14" ht="11.25" customHeight="1" x14ac:dyDescent="0.3">
      <c r="G3255" s="459"/>
      <c r="H3255" s="459">
        <v>3248</v>
      </c>
      <c r="I3255" s="444">
        <f t="shared" ca="1" si="145"/>
        <v>-247859149083.87799</v>
      </c>
      <c r="J3255" s="444">
        <f t="array" ref="J3255">IFERROR(INDEX('Retirement Calculator'!K:K,MATCH('Lorri 401b'!N3255,'Retirement Calculator'!A:A,0),0),0)</f>
        <v>0</v>
      </c>
      <c r="K3255" s="444">
        <f t="shared" ca="1" si="143"/>
        <v>-1032746454.5161582</v>
      </c>
      <c r="L3255" s="444">
        <f t="shared" ca="1" si="144"/>
        <v>-248891895538.39413</v>
      </c>
      <c r="M3255" s="460">
        <f t="shared" si="146"/>
        <v>0.05</v>
      </c>
      <c r="N3255" s="464">
        <f t="shared" si="147"/>
        <v>150116</v>
      </c>
    </row>
    <row r="3256" spans="7:14" ht="11.25" customHeight="1" x14ac:dyDescent="0.3">
      <c r="G3256" s="459"/>
      <c r="H3256" s="459">
        <v>3249</v>
      </c>
      <c r="I3256" s="444">
        <f t="shared" ca="1" si="145"/>
        <v>-248891895538.39413</v>
      </c>
      <c r="J3256" s="444">
        <f t="array" ref="J3256">IFERROR(INDEX('Retirement Calculator'!K:K,MATCH('Lorri 401b'!N3256,'Retirement Calculator'!A:A,0),0),0)</f>
        <v>0</v>
      </c>
      <c r="K3256" s="444">
        <f t="shared" ca="1" si="143"/>
        <v>-1037049564.7433089</v>
      </c>
      <c r="L3256" s="444">
        <f t="shared" ca="1" si="144"/>
        <v>-249928945103.13745</v>
      </c>
      <c r="M3256" s="460">
        <f t="shared" si="146"/>
        <v>0.05</v>
      </c>
      <c r="N3256" s="464">
        <f t="shared" si="147"/>
        <v>150147</v>
      </c>
    </row>
    <row r="3257" spans="7:14" ht="11.25" customHeight="1" x14ac:dyDescent="0.3">
      <c r="G3257" s="459"/>
      <c r="H3257" s="459">
        <v>3250</v>
      </c>
      <c r="I3257" s="444">
        <f t="shared" ca="1" si="145"/>
        <v>-249928945103.13745</v>
      </c>
      <c r="J3257" s="444">
        <f t="array" ref="J3257">IFERROR(INDEX('Retirement Calculator'!K:K,MATCH('Lorri 401b'!N3257,'Retirement Calculator'!A:A,0),0),0)</f>
        <v>0</v>
      </c>
      <c r="K3257" s="444">
        <f t="shared" ca="1" si="143"/>
        <v>-1041370604.596406</v>
      </c>
      <c r="L3257" s="444">
        <f t="shared" ca="1" si="144"/>
        <v>-250970315707.73386</v>
      </c>
      <c r="M3257" s="460">
        <f t="shared" si="146"/>
        <v>0.05</v>
      </c>
      <c r="N3257" s="464">
        <f t="shared" si="147"/>
        <v>150175</v>
      </c>
    </row>
    <row r="3258" spans="7:14" ht="11.25" customHeight="1" x14ac:dyDescent="0.3">
      <c r="G3258" s="459"/>
      <c r="H3258" s="459">
        <v>3251</v>
      </c>
      <c r="I3258" s="444">
        <f t="shared" ca="1" si="145"/>
        <v>-250970315707.73386</v>
      </c>
      <c r="J3258" s="444">
        <f t="array" ref="J3258">IFERROR(INDEX('Retirement Calculator'!K:K,MATCH('Lorri 401b'!N3258,'Retirement Calculator'!A:A,0),0),0)</f>
        <v>0</v>
      </c>
      <c r="K3258" s="444">
        <f t="shared" ca="1" si="143"/>
        <v>-1045709648.7822243</v>
      </c>
      <c r="L3258" s="444">
        <f t="shared" ca="1" si="144"/>
        <v>-252016025356.51608</v>
      </c>
      <c r="M3258" s="460">
        <f t="shared" si="146"/>
        <v>0.05</v>
      </c>
      <c r="N3258" s="464">
        <f t="shared" si="147"/>
        <v>150206</v>
      </c>
    </row>
    <row r="3259" spans="7:14" ht="11.25" customHeight="1" x14ac:dyDescent="0.3">
      <c r="G3259" s="459"/>
      <c r="H3259" s="459">
        <v>3252</v>
      </c>
      <c r="I3259" s="444">
        <f t="shared" ca="1" si="145"/>
        <v>-252016025356.51608</v>
      </c>
      <c r="J3259" s="444">
        <f t="array" ref="J3259">IFERROR(INDEX('Retirement Calculator'!K:K,MATCH('Lorri 401b'!N3259,'Retirement Calculator'!A:A,0),0),0)</f>
        <v>0</v>
      </c>
      <c r="K3259" s="444">
        <f t="shared" ca="1" si="143"/>
        <v>-1050066772.3188171</v>
      </c>
      <c r="L3259" s="444">
        <f t="shared" ca="1" si="144"/>
        <v>-253066092128.8349</v>
      </c>
      <c r="M3259" s="460">
        <f t="shared" si="146"/>
        <v>0.05</v>
      </c>
      <c r="N3259" s="464">
        <f t="shared" si="147"/>
        <v>150236</v>
      </c>
    </row>
    <row r="3260" spans="7:14" ht="11.25" customHeight="1" x14ac:dyDescent="0.3">
      <c r="G3260" s="459"/>
      <c r="H3260" s="459">
        <v>3253</v>
      </c>
      <c r="I3260" s="444">
        <f t="shared" ca="1" si="145"/>
        <v>-253066092128.8349</v>
      </c>
      <c r="J3260" s="444">
        <f t="array" ref="J3260">IFERROR(INDEX('Retirement Calculator'!K:K,MATCH('Lorri 401b'!N3260,'Retirement Calculator'!A:A,0),0),0)</f>
        <v>0</v>
      </c>
      <c r="K3260" s="444">
        <f t="shared" ca="1" si="143"/>
        <v>-1054442050.5368121</v>
      </c>
      <c r="L3260" s="444">
        <f t="shared" ca="1" si="144"/>
        <v>-254120534179.3717</v>
      </c>
      <c r="M3260" s="460">
        <f t="shared" si="146"/>
        <v>0.05</v>
      </c>
      <c r="N3260" s="464">
        <f t="shared" si="147"/>
        <v>150267</v>
      </c>
    </row>
    <row r="3261" spans="7:14" ht="11.25" customHeight="1" x14ac:dyDescent="0.3">
      <c r="G3261" s="459"/>
      <c r="H3261" s="459">
        <v>3254</v>
      </c>
      <c r="I3261" s="444">
        <f t="shared" ca="1" si="145"/>
        <v>-254120534179.3717</v>
      </c>
      <c r="J3261" s="444">
        <f t="array" ref="J3261">IFERROR(INDEX('Retirement Calculator'!K:K,MATCH('Lorri 401b'!N3261,'Retirement Calculator'!A:A,0),0),0)</f>
        <v>0</v>
      </c>
      <c r="K3261" s="444">
        <f t="shared" ca="1" si="143"/>
        <v>-1058835559.0807153</v>
      </c>
      <c r="L3261" s="444">
        <f t="shared" ca="1" si="144"/>
        <v>-255179369738.45242</v>
      </c>
      <c r="M3261" s="460">
        <f t="shared" si="146"/>
        <v>0.05</v>
      </c>
      <c r="N3261" s="464">
        <f t="shared" si="147"/>
        <v>150297</v>
      </c>
    </row>
    <row r="3262" spans="7:14" ht="11.25" customHeight="1" x14ac:dyDescent="0.3">
      <c r="G3262" s="459"/>
      <c r="H3262" s="459">
        <v>3255</v>
      </c>
      <c r="I3262" s="444">
        <f t="shared" ca="1" si="145"/>
        <v>-255179369738.45242</v>
      </c>
      <c r="J3262" s="444">
        <f t="array" ref="J3262">IFERROR(INDEX('Retirement Calculator'!K:K,MATCH('Lorri 401b'!N3262,'Retirement Calculator'!A:A,0),0),0)</f>
        <v>0</v>
      </c>
      <c r="K3262" s="444">
        <f t="shared" ca="1" si="143"/>
        <v>-1063247373.9102186</v>
      </c>
      <c r="L3262" s="444">
        <f t="shared" ca="1" si="144"/>
        <v>-256242617112.36264</v>
      </c>
      <c r="M3262" s="460">
        <f t="shared" si="146"/>
        <v>0.05</v>
      </c>
      <c r="N3262" s="464">
        <f t="shared" si="147"/>
        <v>150328</v>
      </c>
    </row>
    <row r="3263" spans="7:14" ht="11.25" customHeight="1" x14ac:dyDescent="0.3">
      <c r="G3263" s="459"/>
      <c r="H3263" s="459">
        <v>3256</v>
      </c>
      <c r="I3263" s="444">
        <f t="shared" ca="1" si="145"/>
        <v>-256242617112.36264</v>
      </c>
      <c r="J3263" s="444">
        <f t="array" ref="J3263">IFERROR(INDEX('Retirement Calculator'!K:K,MATCH('Lorri 401b'!N3263,'Retirement Calculator'!A:A,0),0),0)</f>
        <v>0</v>
      </c>
      <c r="K3263" s="444">
        <f t="shared" ca="1" si="143"/>
        <v>-1067677571.3015109</v>
      </c>
      <c r="L3263" s="444">
        <f t="shared" ca="1" si="144"/>
        <v>-257310294683.66415</v>
      </c>
      <c r="M3263" s="460">
        <f t="shared" si="146"/>
        <v>0.05</v>
      </c>
      <c r="N3263" s="464">
        <f t="shared" si="147"/>
        <v>150359</v>
      </c>
    </row>
    <row r="3264" spans="7:14" ht="11.25" customHeight="1" x14ac:dyDescent="0.3">
      <c r="G3264" s="459"/>
      <c r="H3264" s="459">
        <v>3257</v>
      </c>
      <c r="I3264" s="444">
        <f t="shared" ca="1" si="145"/>
        <v>-257310294683.66415</v>
      </c>
      <c r="J3264" s="444">
        <f t="array" ref="J3264">IFERROR(INDEX('Retirement Calculator'!K:K,MATCH('Lorri 401b'!N3264,'Retirement Calculator'!A:A,0),0),0)</f>
        <v>0</v>
      </c>
      <c r="K3264" s="444">
        <f t="shared" ca="1" si="143"/>
        <v>-1072126227.8486006</v>
      </c>
      <c r="L3264" s="444">
        <f t="shared" ca="1" si="144"/>
        <v>-258382420911.51276</v>
      </c>
      <c r="M3264" s="460">
        <f t="shared" si="146"/>
        <v>0.05</v>
      </c>
      <c r="N3264" s="464">
        <f t="shared" si="147"/>
        <v>150389</v>
      </c>
    </row>
    <row r="3265" spans="7:14" ht="11.25" customHeight="1" x14ac:dyDescent="0.3">
      <c r="G3265" s="459"/>
      <c r="H3265" s="459">
        <v>3258</v>
      </c>
      <c r="I3265" s="444">
        <f t="shared" ca="1" si="145"/>
        <v>-258382420911.51276</v>
      </c>
      <c r="J3265" s="444">
        <f t="array" ref="J3265">IFERROR(INDEX('Retirement Calculator'!K:K,MATCH('Lorri 401b'!N3265,'Retirement Calculator'!A:A,0),0),0)</f>
        <v>0</v>
      </c>
      <c r="K3265" s="444">
        <f t="shared" ca="1" si="143"/>
        <v>-1076593420.4646363</v>
      </c>
      <c r="L3265" s="444">
        <f t="shared" ca="1" si="144"/>
        <v>-259459014331.97739</v>
      </c>
      <c r="M3265" s="460">
        <f t="shared" si="146"/>
        <v>0.05</v>
      </c>
      <c r="N3265" s="464">
        <f t="shared" si="147"/>
        <v>150420</v>
      </c>
    </row>
    <row r="3266" spans="7:14" ht="11.25" customHeight="1" x14ac:dyDescent="0.3">
      <c r="G3266" s="459"/>
      <c r="H3266" s="459">
        <v>3259</v>
      </c>
      <c r="I3266" s="444">
        <f t="shared" ca="1" si="145"/>
        <v>-259459014331.97739</v>
      </c>
      <c r="J3266" s="444">
        <f t="array" ref="J3266">IFERROR(INDEX('Retirement Calculator'!K:K,MATCH('Lorri 401b'!N3266,'Retirement Calculator'!A:A,0),0),0)</f>
        <v>0</v>
      </c>
      <c r="K3266" s="444">
        <f t="shared" ca="1" si="143"/>
        <v>-1081079226.383239</v>
      </c>
      <c r="L3266" s="444">
        <f t="shared" ca="1" si="144"/>
        <v>-260540093558.36063</v>
      </c>
      <c r="M3266" s="460">
        <f t="shared" si="146"/>
        <v>0.05</v>
      </c>
      <c r="N3266" s="464">
        <f t="shared" si="147"/>
        <v>150450</v>
      </c>
    </row>
    <row r="3267" spans="7:14" ht="11.25" customHeight="1" x14ac:dyDescent="0.3">
      <c r="G3267" s="459"/>
      <c r="H3267" s="459">
        <v>3260</v>
      </c>
      <c r="I3267" s="444">
        <f t="shared" ca="1" si="145"/>
        <v>-260540093558.36063</v>
      </c>
      <c r="J3267" s="444">
        <f t="array" ref="J3267">IFERROR(INDEX('Retirement Calculator'!K:K,MATCH('Lorri 401b'!N3267,'Retirement Calculator'!A:A,0),0),0)</f>
        <v>0</v>
      </c>
      <c r="K3267" s="444">
        <f t="shared" ca="1" si="143"/>
        <v>-1085583723.1598358</v>
      </c>
      <c r="L3267" s="444">
        <f t="shared" ca="1" si="144"/>
        <v>-261625677281.52045</v>
      </c>
      <c r="M3267" s="460">
        <f t="shared" si="146"/>
        <v>0.05</v>
      </c>
      <c r="N3267" s="464">
        <f t="shared" si="147"/>
        <v>150481</v>
      </c>
    </row>
    <row r="3268" spans="7:14" ht="11.25" customHeight="1" x14ac:dyDescent="0.3">
      <c r="G3268" s="459"/>
      <c r="H3268" s="459">
        <v>3261</v>
      </c>
      <c r="I3268" s="444">
        <f t="shared" ca="1" si="145"/>
        <v>-261625677281.52045</v>
      </c>
      <c r="J3268" s="444">
        <f t="array" ref="J3268">IFERROR(INDEX('Retirement Calculator'!K:K,MATCH('Lorri 401b'!N3268,'Retirement Calculator'!A:A,0),0),0)</f>
        <v>0</v>
      </c>
      <c r="K3268" s="444">
        <f t="shared" ca="1" si="143"/>
        <v>-1090106988.6730018</v>
      </c>
      <c r="L3268" s="444">
        <f t="shared" ca="1" si="144"/>
        <v>-262715784270.19345</v>
      </c>
      <c r="M3268" s="460">
        <f t="shared" si="146"/>
        <v>0.05</v>
      </c>
      <c r="N3268" s="464">
        <f t="shared" si="147"/>
        <v>150512</v>
      </c>
    </row>
    <row r="3269" spans="7:14" ht="11.25" customHeight="1" x14ac:dyDescent="0.3">
      <c r="G3269" s="459"/>
      <c r="H3269" s="459">
        <v>3262</v>
      </c>
      <c r="I3269" s="444">
        <f t="shared" ca="1" si="145"/>
        <v>-262715784270.19345</v>
      </c>
      <c r="J3269" s="444">
        <f t="array" ref="J3269">IFERROR(INDEX('Retirement Calculator'!K:K,MATCH('Lorri 401b'!N3269,'Retirement Calculator'!A:A,0),0),0)</f>
        <v>0</v>
      </c>
      <c r="K3269" s="444">
        <f t="shared" ca="1" si="143"/>
        <v>-1094649101.1258061</v>
      </c>
      <c r="L3269" s="444">
        <f t="shared" ca="1" si="144"/>
        <v>-263810433371.31924</v>
      </c>
      <c r="M3269" s="460">
        <f t="shared" si="146"/>
        <v>0.05</v>
      </c>
      <c r="N3269" s="464">
        <f t="shared" si="147"/>
        <v>150541</v>
      </c>
    </row>
    <row r="3270" spans="7:14" ht="11.25" customHeight="1" x14ac:dyDescent="0.3">
      <c r="G3270" s="459"/>
      <c r="H3270" s="459">
        <v>3263</v>
      </c>
      <c r="I3270" s="444">
        <f t="shared" ca="1" si="145"/>
        <v>-263810433371.31924</v>
      </c>
      <c r="J3270" s="444">
        <f t="array" ref="J3270">IFERROR(INDEX('Retirement Calculator'!K:K,MATCH('Lorri 401b'!N3270,'Retirement Calculator'!A:A,0),0),0)</f>
        <v>0</v>
      </c>
      <c r="K3270" s="444">
        <f t="shared" ca="1" si="143"/>
        <v>-1099210139.0471635</v>
      </c>
      <c r="L3270" s="444">
        <f t="shared" ca="1" si="144"/>
        <v>-264909643510.36639</v>
      </c>
      <c r="M3270" s="460">
        <f t="shared" si="146"/>
        <v>0.05</v>
      </c>
      <c r="N3270" s="464">
        <f t="shared" si="147"/>
        <v>150572</v>
      </c>
    </row>
    <row r="3271" spans="7:14" ht="11.25" customHeight="1" x14ac:dyDescent="0.3">
      <c r="G3271" s="459"/>
      <c r="H3271" s="459">
        <v>3264</v>
      </c>
      <c r="I3271" s="444">
        <f t="shared" ca="1" si="145"/>
        <v>-264909643510.36639</v>
      </c>
      <c r="J3271" s="444">
        <f t="array" ref="J3271">IFERROR(INDEX('Retirement Calculator'!K:K,MATCH('Lorri 401b'!N3271,'Retirement Calculator'!A:A,0),0),0)</f>
        <v>0</v>
      </c>
      <c r="K3271" s="444">
        <f t="shared" ca="1" si="143"/>
        <v>-1103790181.2931933</v>
      </c>
      <c r="L3271" s="444">
        <f t="shared" ca="1" si="144"/>
        <v>-266013433691.65958</v>
      </c>
      <c r="M3271" s="460">
        <f t="shared" si="146"/>
        <v>0.05</v>
      </c>
      <c r="N3271" s="464">
        <f t="shared" si="147"/>
        <v>150602</v>
      </c>
    </row>
    <row r="3272" spans="7:14" ht="11.25" customHeight="1" x14ac:dyDescent="0.3">
      <c r="G3272" s="459"/>
      <c r="H3272" s="459">
        <v>3265</v>
      </c>
      <c r="I3272" s="444">
        <f t="shared" ca="1" si="145"/>
        <v>-266013433691.65958</v>
      </c>
      <c r="J3272" s="444">
        <f t="array" ref="J3272">IFERROR(INDEX('Retirement Calculator'!K:K,MATCH('Lorri 401b'!N3272,'Retirement Calculator'!A:A,0),0),0)</f>
        <v>0</v>
      </c>
      <c r="K3272" s="444">
        <f t="shared" ca="1" si="143"/>
        <v>-1108389307.0485814</v>
      </c>
      <c r="L3272" s="444">
        <f t="shared" ca="1" si="144"/>
        <v>-267121822998.70816</v>
      </c>
      <c r="M3272" s="460">
        <f t="shared" si="146"/>
        <v>0.05</v>
      </c>
      <c r="N3272" s="464">
        <f t="shared" si="147"/>
        <v>150633</v>
      </c>
    </row>
    <row r="3273" spans="7:14" ht="11.25" customHeight="1" x14ac:dyDescent="0.3">
      <c r="G3273" s="459"/>
      <c r="H3273" s="459">
        <v>3266</v>
      </c>
      <c r="I3273" s="444">
        <f t="shared" ca="1" si="145"/>
        <v>-267121822998.70816</v>
      </c>
      <c r="J3273" s="444">
        <f t="array" ref="J3273">IFERROR(INDEX('Retirement Calculator'!K:K,MATCH('Lorri 401b'!N3273,'Retirement Calculator'!A:A,0),0),0)</f>
        <v>0</v>
      </c>
      <c r="K3273" s="444">
        <f t="shared" ca="1" si="143"/>
        <v>-1113007595.8279507</v>
      </c>
      <c r="L3273" s="444">
        <f t="shared" ca="1" si="144"/>
        <v>-268234830594.5361</v>
      </c>
      <c r="M3273" s="460">
        <f t="shared" si="146"/>
        <v>0.05</v>
      </c>
      <c r="N3273" s="464">
        <f t="shared" si="147"/>
        <v>150663</v>
      </c>
    </row>
    <row r="3274" spans="7:14" ht="11.25" customHeight="1" x14ac:dyDescent="0.3">
      <c r="G3274" s="459"/>
      <c r="H3274" s="459">
        <v>3267</v>
      </c>
      <c r="I3274" s="444">
        <f t="shared" ca="1" si="145"/>
        <v>-268234830594.5361</v>
      </c>
      <c r="J3274" s="444">
        <f t="array" ref="J3274">IFERROR(INDEX('Retirement Calculator'!K:K,MATCH('Lorri 401b'!N3274,'Retirement Calculator'!A:A,0),0),0)</f>
        <v>0</v>
      </c>
      <c r="K3274" s="444">
        <f t="shared" ca="1" si="143"/>
        <v>-1117645127.4772336</v>
      </c>
      <c r="L3274" s="444">
        <f t="shared" ca="1" si="144"/>
        <v>-269352475722.01334</v>
      </c>
      <c r="M3274" s="460">
        <f t="shared" si="146"/>
        <v>0.05</v>
      </c>
      <c r="N3274" s="464">
        <f t="shared" si="147"/>
        <v>150694</v>
      </c>
    </row>
    <row r="3275" spans="7:14" ht="11.25" customHeight="1" x14ac:dyDescent="0.3">
      <c r="G3275" s="459"/>
      <c r="H3275" s="459">
        <v>3268</v>
      </c>
      <c r="I3275" s="444">
        <f t="shared" ca="1" si="145"/>
        <v>-269352475722.01334</v>
      </c>
      <c r="J3275" s="444">
        <f t="array" ref="J3275">IFERROR(INDEX('Retirement Calculator'!K:K,MATCH('Lorri 401b'!N3275,'Retirement Calculator'!A:A,0),0),0)</f>
        <v>0</v>
      </c>
      <c r="K3275" s="444">
        <f t="shared" ca="1" si="143"/>
        <v>-1122301982.1750555</v>
      </c>
      <c r="L3275" s="444">
        <f t="shared" ca="1" si="144"/>
        <v>-270474777704.18839</v>
      </c>
      <c r="M3275" s="460">
        <f t="shared" si="146"/>
        <v>0.05</v>
      </c>
      <c r="N3275" s="464">
        <f t="shared" si="147"/>
        <v>150725</v>
      </c>
    </row>
    <row r="3276" spans="7:14" ht="11.25" customHeight="1" x14ac:dyDescent="0.3">
      <c r="G3276" s="459"/>
      <c r="H3276" s="459">
        <v>3269</v>
      </c>
      <c r="I3276" s="444">
        <f t="shared" ca="1" si="145"/>
        <v>-270474777704.18839</v>
      </c>
      <c r="J3276" s="444">
        <f t="array" ref="J3276">IFERROR(INDEX('Retirement Calculator'!K:K,MATCH('Lorri 401b'!N3276,'Retirement Calculator'!A:A,0),0),0)</f>
        <v>0</v>
      </c>
      <c r="K3276" s="444">
        <f t="shared" ca="1" si="143"/>
        <v>-1126978240.434118</v>
      </c>
      <c r="L3276" s="444">
        <f t="shared" ca="1" si="144"/>
        <v>-271601755944.6225</v>
      </c>
      <c r="M3276" s="460">
        <f t="shared" si="146"/>
        <v>0.05</v>
      </c>
      <c r="N3276" s="464">
        <f t="shared" si="147"/>
        <v>150755</v>
      </c>
    </row>
    <row r="3277" spans="7:14" ht="11.25" customHeight="1" x14ac:dyDescent="0.3">
      <c r="G3277" s="459"/>
      <c r="H3277" s="459">
        <v>3270</v>
      </c>
      <c r="I3277" s="444">
        <f t="shared" ca="1" si="145"/>
        <v>-271601755944.6225</v>
      </c>
      <c r="J3277" s="444">
        <f t="array" ref="J3277">IFERROR(INDEX('Retirement Calculator'!K:K,MATCH('Lorri 401b'!N3277,'Retirement Calculator'!A:A,0),0),0)</f>
        <v>0</v>
      </c>
      <c r="K3277" s="444">
        <f t="shared" ca="1" si="143"/>
        <v>-1131673983.1025937</v>
      </c>
      <c r="L3277" s="444">
        <f t="shared" ca="1" si="144"/>
        <v>-272733429927.7251</v>
      </c>
      <c r="M3277" s="460">
        <f t="shared" si="146"/>
        <v>0.05</v>
      </c>
      <c r="N3277" s="464">
        <f t="shared" si="147"/>
        <v>150786</v>
      </c>
    </row>
    <row r="3278" spans="7:14" ht="11.25" customHeight="1" x14ac:dyDescent="0.3">
      <c r="G3278" s="459"/>
      <c r="H3278" s="459">
        <v>3271</v>
      </c>
      <c r="I3278" s="444">
        <f t="shared" ca="1" si="145"/>
        <v>-272733429927.7251</v>
      </c>
      <c r="J3278" s="444">
        <f t="array" ref="J3278">IFERROR(INDEX('Retirement Calculator'!K:K,MATCH('Lorri 401b'!N3278,'Retirement Calculator'!A:A,0),0),0)</f>
        <v>0</v>
      </c>
      <c r="K3278" s="444">
        <f t="shared" ca="1" si="143"/>
        <v>-1136389291.3655212</v>
      </c>
      <c r="L3278" s="444">
        <f t="shared" ca="1" si="144"/>
        <v>-273869819219.09061</v>
      </c>
      <c r="M3278" s="460">
        <f t="shared" si="146"/>
        <v>0.05</v>
      </c>
      <c r="N3278" s="464">
        <f t="shared" si="147"/>
        <v>150816</v>
      </c>
    </row>
    <row r="3279" spans="7:14" ht="11.25" customHeight="1" x14ac:dyDescent="0.3">
      <c r="G3279" s="459"/>
      <c r="H3279" s="459">
        <v>3272</v>
      </c>
      <c r="I3279" s="444">
        <f t="shared" ca="1" si="145"/>
        <v>-273869819219.09061</v>
      </c>
      <c r="J3279" s="444">
        <f t="array" ref="J3279">IFERROR(INDEX('Retirement Calculator'!K:K,MATCH('Lorri 401b'!N3279,'Retirement Calculator'!A:A,0),0),0)</f>
        <v>0</v>
      </c>
      <c r="K3279" s="444">
        <f t="shared" ca="1" si="143"/>
        <v>-1141124246.7462111</v>
      </c>
      <c r="L3279" s="444">
        <f t="shared" ca="1" si="144"/>
        <v>-275010943465.83679</v>
      </c>
      <c r="M3279" s="460">
        <f t="shared" si="146"/>
        <v>0.05</v>
      </c>
      <c r="N3279" s="464">
        <f t="shared" si="147"/>
        <v>150847</v>
      </c>
    </row>
    <row r="3280" spans="7:14" ht="11.25" customHeight="1" x14ac:dyDescent="0.3">
      <c r="G3280" s="459"/>
      <c r="H3280" s="459">
        <v>3273</v>
      </c>
      <c r="I3280" s="444">
        <f t="shared" ca="1" si="145"/>
        <v>-275010943465.83679</v>
      </c>
      <c r="J3280" s="444">
        <f t="array" ref="J3280">IFERROR(INDEX('Retirement Calculator'!K:K,MATCH('Lorri 401b'!N3280,'Retirement Calculator'!A:A,0),0),0)</f>
        <v>0</v>
      </c>
      <c r="K3280" s="444">
        <f t="shared" ca="1" si="143"/>
        <v>-1145878931.1076534</v>
      </c>
      <c r="L3280" s="444">
        <f t="shared" ca="1" si="144"/>
        <v>-276156822396.94446</v>
      </c>
      <c r="M3280" s="460">
        <f t="shared" si="146"/>
        <v>0.05</v>
      </c>
      <c r="N3280" s="464">
        <f t="shared" si="147"/>
        <v>150878</v>
      </c>
    </row>
    <row r="3281" spans="7:14" ht="11.25" customHeight="1" x14ac:dyDescent="0.3">
      <c r="G3281" s="459"/>
      <c r="H3281" s="459">
        <v>3274</v>
      </c>
      <c r="I3281" s="444">
        <f t="shared" ca="1" si="145"/>
        <v>-276156822396.94446</v>
      </c>
      <c r="J3281" s="444">
        <f t="array" ref="J3281">IFERROR(INDEX('Retirement Calculator'!K:K,MATCH('Lorri 401b'!N3281,'Retirement Calculator'!A:A,0),0),0)</f>
        <v>0</v>
      </c>
      <c r="K3281" s="444">
        <f t="shared" ca="1" si="143"/>
        <v>-1150653426.6539352</v>
      </c>
      <c r="L3281" s="444">
        <f t="shared" ca="1" si="144"/>
        <v>-277307475823.59839</v>
      </c>
      <c r="M3281" s="460">
        <f t="shared" si="146"/>
        <v>0.05</v>
      </c>
      <c r="N3281" s="464">
        <f t="shared" si="147"/>
        <v>150906</v>
      </c>
    </row>
    <row r="3282" spans="7:14" ht="11.25" customHeight="1" x14ac:dyDescent="0.3">
      <c r="G3282" s="459"/>
      <c r="H3282" s="459">
        <v>3275</v>
      </c>
      <c r="I3282" s="444">
        <f t="shared" ca="1" si="145"/>
        <v>-277307475823.59839</v>
      </c>
      <c r="J3282" s="444">
        <f t="array" ref="J3282">IFERROR(INDEX('Retirement Calculator'!K:K,MATCH('Lorri 401b'!N3282,'Retirement Calculator'!A:A,0),0),0)</f>
        <v>0</v>
      </c>
      <c r="K3282" s="444">
        <f t="shared" ca="1" si="143"/>
        <v>-1155447815.9316599</v>
      </c>
      <c r="L3282" s="444">
        <f t="shared" ca="1" si="144"/>
        <v>-278462923639.53003</v>
      </c>
      <c r="M3282" s="460">
        <f t="shared" si="146"/>
        <v>0.05</v>
      </c>
      <c r="N3282" s="464">
        <f t="shared" si="147"/>
        <v>150937</v>
      </c>
    </row>
    <row r="3283" spans="7:14" ht="11.25" customHeight="1" x14ac:dyDescent="0.3">
      <c r="G3283" s="459"/>
      <c r="H3283" s="459">
        <v>3276</v>
      </c>
      <c r="I3283" s="444">
        <f t="shared" ca="1" si="145"/>
        <v>-278462923639.53003</v>
      </c>
      <c r="J3283" s="444">
        <f t="array" ref="J3283">IFERROR(INDEX('Retirement Calculator'!K:K,MATCH('Lorri 401b'!N3283,'Retirement Calculator'!A:A,0),0),0)</f>
        <v>0</v>
      </c>
      <c r="K3283" s="444">
        <f t="shared" ca="1" si="143"/>
        <v>-1160262181.8313751</v>
      </c>
      <c r="L3283" s="444">
        <f t="shared" ca="1" si="144"/>
        <v>-279623185821.36139</v>
      </c>
      <c r="M3283" s="460">
        <f t="shared" si="146"/>
        <v>0.05</v>
      </c>
      <c r="N3283" s="464">
        <f t="shared" si="147"/>
        <v>150967</v>
      </c>
    </row>
    <row r="3284" spans="7:14" ht="11.25" customHeight="1" x14ac:dyDescent="0.3">
      <c r="G3284" s="459"/>
      <c r="H3284" s="459">
        <v>3277</v>
      </c>
      <c r="I3284" s="444">
        <f t="shared" ca="1" si="145"/>
        <v>-279623185821.36139</v>
      </c>
      <c r="J3284" s="444">
        <f t="array" ref="J3284">IFERROR(INDEX('Retirement Calculator'!K:K,MATCH('Lorri 401b'!N3284,'Retirement Calculator'!A:A,0),0),0)</f>
        <v>0</v>
      </c>
      <c r="K3284" s="444">
        <f t="shared" ca="1" si="143"/>
        <v>-1165096607.5890057</v>
      </c>
      <c r="L3284" s="444">
        <f t="shared" ca="1" si="144"/>
        <v>-280788282428.95038</v>
      </c>
      <c r="M3284" s="460">
        <f t="shared" si="146"/>
        <v>0.05</v>
      </c>
      <c r="N3284" s="464">
        <f t="shared" si="147"/>
        <v>150998</v>
      </c>
    </row>
    <row r="3285" spans="7:14" ht="11.25" customHeight="1" x14ac:dyDescent="0.3">
      <c r="G3285" s="459"/>
      <c r="H3285" s="459">
        <v>3278</v>
      </c>
      <c r="I3285" s="444">
        <f t="shared" ca="1" si="145"/>
        <v>-280788282428.95038</v>
      </c>
      <c r="J3285" s="444">
        <f t="array" ref="J3285">IFERROR(INDEX('Retirement Calculator'!K:K,MATCH('Lorri 401b'!N3285,'Retirement Calculator'!A:A,0),0),0)</f>
        <v>0</v>
      </c>
      <c r="K3285" s="444">
        <f t="shared" ca="1" si="143"/>
        <v>-1169951176.7872932</v>
      </c>
      <c r="L3285" s="444">
        <f t="shared" ca="1" si="144"/>
        <v>-281958233605.73767</v>
      </c>
      <c r="M3285" s="460">
        <f t="shared" si="146"/>
        <v>0.05</v>
      </c>
      <c r="N3285" s="464">
        <f t="shared" si="147"/>
        <v>151028</v>
      </c>
    </row>
    <row r="3286" spans="7:14" ht="11.25" customHeight="1" x14ac:dyDescent="0.3">
      <c r="G3286" s="459"/>
      <c r="H3286" s="459">
        <v>3279</v>
      </c>
      <c r="I3286" s="444">
        <f t="shared" ca="1" si="145"/>
        <v>-281958233605.73767</v>
      </c>
      <c r="J3286" s="444">
        <f t="array" ref="J3286">IFERROR(INDEX('Retirement Calculator'!K:K,MATCH('Lorri 401b'!N3286,'Retirement Calculator'!A:A,0),0),0)</f>
        <v>0</v>
      </c>
      <c r="K3286" s="444">
        <f t="shared" ca="1" si="143"/>
        <v>-1174825973.3572402</v>
      </c>
      <c r="L3286" s="444">
        <f t="shared" ca="1" si="144"/>
        <v>-283133059579.09491</v>
      </c>
      <c r="M3286" s="460">
        <f t="shared" si="146"/>
        <v>0.05</v>
      </c>
      <c r="N3286" s="464">
        <f t="shared" si="147"/>
        <v>151059</v>
      </c>
    </row>
    <row r="3287" spans="7:14" ht="11.25" customHeight="1" x14ac:dyDescent="0.3">
      <c r="G3287" s="459"/>
      <c r="H3287" s="459">
        <v>3280</v>
      </c>
      <c r="I3287" s="444">
        <f t="shared" ca="1" si="145"/>
        <v>-283133059579.09491</v>
      </c>
      <c r="J3287" s="444">
        <f t="array" ref="J3287">IFERROR(INDEX('Retirement Calculator'!K:K,MATCH('Lorri 401b'!N3287,'Retirement Calculator'!A:A,0),0),0)</f>
        <v>0</v>
      </c>
      <c r="K3287" s="444">
        <f t="shared" ca="1" si="143"/>
        <v>-1179721081.5795622</v>
      </c>
      <c r="L3287" s="444">
        <f t="shared" ca="1" si="144"/>
        <v>-284312780660.6745</v>
      </c>
      <c r="M3287" s="460">
        <f t="shared" si="146"/>
        <v>0.05</v>
      </c>
      <c r="N3287" s="464">
        <f t="shared" si="147"/>
        <v>151090</v>
      </c>
    </row>
    <row r="3288" spans="7:14" ht="11.25" customHeight="1" x14ac:dyDescent="0.3">
      <c r="G3288" s="459"/>
      <c r="H3288" s="459">
        <v>3281</v>
      </c>
      <c r="I3288" s="444">
        <f t="shared" ca="1" si="145"/>
        <v>-284312780660.6745</v>
      </c>
      <c r="J3288" s="444">
        <f t="array" ref="J3288">IFERROR(INDEX('Retirement Calculator'!K:K,MATCH('Lorri 401b'!N3288,'Retirement Calculator'!A:A,0),0),0)</f>
        <v>0</v>
      </c>
      <c r="K3288" s="444">
        <f t="shared" ca="1" si="143"/>
        <v>-1184636586.0861437</v>
      </c>
      <c r="L3288" s="444">
        <f t="shared" ca="1" si="144"/>
        <v>-285497417246.76062</v>
      </c>
      <c r="M3288" s="460">
        <f t="shared" si="146"/>
        <v>0.05</v>
      </c>
      <c r="N3288" s="464">
        <f t="shared" si="147"/>
        <v>151120</v>
      </c>
    </row>
    <row r="3289" spans="7:14" ht="11.25" customHeight="1" x14ac:dyDescent="0.3">
      <c r="G3289" s="459"/>
      <c r="H3289" s="459">
        <v>3282</v>
      </c>
      <c r="I3289" s="444">
        <f t="shared" ca="1" si="145"/>
        <v>-285497417246.76062</v>
      </c>
      <c r="J3289" s="444">
        <f t="array" ref="J3289">IFERROR(INDEX('Retirement Calculator'!K:K,MATCH('Lorri 401b'!N3289,'Retirement Calculator'!A:A,0),0),0)</f>
        <v>0</v>
      </c>
      <c r="K3289" s="444">
        <f t="shared" ca="1" si="143"/>
        <v>-1189572571.8615026</v>
      </c>
      <c r="L3289" s="444">
        <f t="shared" ca="1" si="144"/>
        <v>-286686989818.62213</v>
      </c>
      <c r="M3289" s="460">
        <f t="shared" si="146"/>
        <v>0.05</v>
      </c>
      <c r="N3289" s="464">
        <f t="shared" si="147"/>
        <v>151151</v>
      </c>
    </row>
    <row r="3290" spans="7:14" ht="11.25" customHeight="1" x14ac:dyDescent="0.3">
      <c r="G3290" s="459"/>
      <c r="H3290" s="459">
        <v>3283</v>
      </c>
      <c r="I3290" s="444">
        <f t="shared" ca="1" si="145"/>
        <v>-286686989818.62213</v>
      </c>
      <c r="J3290" s="444">
        <f t="array" ref="J3290">IFERROR(INDEX('Retirement Calculator'!K:K,MATCH('Lorri 401b'!N3290,'Retirement Calculator'!A:A,0),0),0)</f>
        <v>0</v>
      </c>
      <c r="K3290" s="444">
        <f t="shared" ca="1" si="143"/>
        <v>-1194529124.2442589</v>
      </c>
      <c r="L3290" s="444">
        <f t="shared" ca="1" si="144"/>
        <v>-287881518942.86639</v>
      </c>
      <c r="M3290" s="460">
        <f t="shared" si="146"/>
        <v>0.05</v>
      </c>
      <c r="N3290" s="464">
        <f t="shared" si="147"/>
        <v>151181</v>
      </c>
    </row>
    <row r="3291" spans="7:14" ht="11.25" customHeight="1" x14ac:dyDescent="0.3">
      <c r="G3291" s="459"/>
      <c r="H3291" s="459">
        <v>3284</v>
      </c>
      <c r="I3291" s="444">
        <f t="shared" ca="1" si="145"/>
        <v>-287881518942.86639</v>
      </c>
      <c r="J3291" s="444">
        <f t="array" ref="J3291">IFERROR(INDEX('Retirement Calculator'!K:K,MATCH('Lorri 401b'!N3291,'Retirement Calculator'!A:A,0),0),0)</f>
        <v>0</v>
      </c>
      <c r="K3291" s="444">
        <f t="shared" ca="1" si="143"/>
        <v>-1199506328.9286098</v>
      </c>
      <c r="L3291" s="444">
        <f t="shared" ca="1" si="144"/>
        <v>-289081025271.79498</v>
      </c>
      <c r="M3291" s="460">
        <f t="shared" si="146"/>
        <v>0.05</v>
      </c>
      <c r="N3291" s="464">
        <f t="shared" si="147"/>
        <v>151212</v>
      </c>
    </row>
    <row r="3292" spans="7:14" ht="11.25" customHeight="1" x14ac:dyDescent="0.3">
      <c r="G3292" s="459"/>
      <c r="H3292" s="459">
        <v>3285</v>
      </c>
      <c r="I3292" s="444">
        <f t="shared" ca="1" si="145"/>
        <v>-289081025271.79498</v>
      </c>
      <c r="J3292" s="444">
        <f t="array" ref="J3292">IFERROR(INDEX('Retirement Calculator'!K:K,MATCH('Lorri 401b'!N3292,'Retirement Calculator'!A:A,0),0),0)</f>
        <v>0</v>
      </c>
      <c r="K3292" s="444">
        <f t="shared" ca="1" si="143"/>
        <v>-1204504271.9658124</v>
      </c>
      <c r="L3292" s="444">
        <f t="shared" ca="1" si="144"/>
        <v>-290285529543.7608</v>
      </c>
      <c r="M3292" s="460">
        <f t="shared" si="146"/>
        <v>0.05</v>
      </c>
      <c r="N3292" s="464">
        <f t="shared" si="147"/>
        <v>151243</v>
      </c>
    </row>
    <row r="3293" spans="7:14" ht="11.25" customHeight="1" x14ac:dyDescent="0.3">
      <c r="G3293" s="459"/>
      <c r="H3293" s="459">
        <v>3286</v>
      </c>
      <c r="I3293" s="444">
        <f t="shared" ca="1" si="145"/>
        <v>-290285529543.7608</v>
      </c>
      <c r="J3293" s="444">
        <f t="array" ref="J3293">IFERROR(INDEX('Retirement Calculator'!K:K,MATCH('Lorri 401b'!N3293,'Retirement Calculator'!A:A,0),0),0)</f>
        <v>0</v>
      </c>
      <c r="K3293" s="444">
        <f t="shared" ca="1" si="143"/>
        <v>-1209523039.7656701</v>
      </c>
      <c r="L3293" s="444">
        <f t="shared" ca="1" si="144"/>
        <v>-291495052583.52649</v>
      </c>
      <c r="M3293" s="460">
        <f t="shared" si="146"/>
        <v>0.05</v>
      </c>
      <c r="N3293" s="464">
        <f t="shared" si="147"/>
        <v>151271</v>
      </c>
    </row>
    <row r="3294" spans="7:14" ht="11.25" customHeight="1" x14ac:dyDescent="0.3">
      <c r="G3294" s="459"/>
      <c r="H3294" s="459">
        <v>3287</v>
      </c>
      <c r="I3294" s="444">
        <f t="shared" ca="1" si="145"/>
        <v>-291495052583.52649</v>
      </c>
      <c r="J3294" s="444">
        <f t="array" ref="J3294">IFERROR(INDEX('Retirement Calculator'!K:K,MATCH('Lorri 401b'!N3294,'Retirement Calculator'!A:A,0),0),0)</f>
        <v>0</v>
      </c>
      <c r="K3294" s="444">
        <f t="shared" ca="1" si="143"/>
        <v>-1214562719.098027</v>
      </c>
      <c r="L3294" s="444">
        <f t="shared" ca="1" si="144"/>
        <v>-292709615302.62451</v>
      </c>
      <c r="M3294" s="460">
        <f t="shared" si="146"/>
        <v>0.05</v>
      </c>
      <c r="N3294" s="464">
        <f t="shared" si="147"/>
        <v>151302</v>
      </c>
    </row>
    <row r="3295" spans="7:14" ht="11.25" customHeight="1" x14ac:dyDescent="0.3">
      <c r="G3295" s="459"/>
      <c r="H3295" s="459">
        <v>3288</v>
      </c>
      <c r="I3295" s="444">
        <f t="shared" ca="1" si="145"/>
        <v>-292709615302.62451</v>
      </c>
      <c r="J3295" s="444">
        <f t="array" ref="J3295">IFERROR(INDEX('Retirement Calculator'!K:K,MATCH('Lorri 401b'!N3295,'Retirement Calculator'!A:A,0),0),0)</f>
        <v>0</v>
      </c>
      <c r="K3295" s="444">
        <f t="shared" ca="1" si="143"/>
        <v>-1219623397.0942688</v>
      </c>
      <c r="L3295" s="444">
        <f t="shared" ca="1" si="144"/>
        <v>-293929238699.71875</v>
      </c>
      <c r="M3295" s="460">
        <f t="shared" si="146"/>
        <v>0.05</v>
      </c>
      <c r="N3295" s="464">
        <f t="shared" si="147"/>
        <v>151332</v>
      </c>
    </row>
    <row r="3296" spans="7:14" ht="11.25" customHeight="1" x14ac:dyDescent="0.3">
      <c r="G3296" s="459"/>
      <c r="H3296" s="459">
        <v>3289</v>
      </c>
      <c r="I3296" s="444">
        <f t="shared" ca="1" si="145"/>
        <v>-293929238699.71875</v>
      </c>
      <c r="J3296" s="444">
        <f t="array" ref="J3296">IFERROR(INDEX('Retirement Calculator'!K:K,MATCH('Lorri 401b'!N3296,'Retirement Calculator'!A:A,0),0),0)</f>
        <v>0</v>
      </c>
      <c r="K3296" s="444">
        <f t="shared" ca="1" si="143"/>
        <v>-1224705161.2488282</v>
      </c>
      <c r="L3296" s="444">
        <f t="shared" ca="1" si="144"/>
        <v>-295153943860.96759</v>
      </c>
      <c r="M3296" s="460">
        <f t="shared" si="146"/>
        <v>0.05</v>
      </c>
      <c r="N3296" s="464">
        <f t="shared" si="147"/>
        <v>151363</v>
      </c>
    </row>
    <row r="3297" spans="7:14" ht="11.25" customHeight="1" x14ac:dyDescent="0.3">
      <c r="G3297" s="459"/>
      <c r="H3297" s="459">
        <v>3290</v>
      </c>
      <c r="I3297" s="444">
        <f t="shared" ca="1" si="145"/>
        <v>-295153943860.96759</v>
      </c>
      <c r="J3297" s="444">
        <f t="array" ref="J3297">IFERROR(INDEX('Retirement Calculator'!K:K,MATCH('Lorri 401b'!N3297,'Retirement Calculator'!A:A,0),0),0)</f>
        <v>0</v>
      </c>
      <c r="K3297" s="444">
        <f t="shared" ca="1" si="143"/>
        <v>-1229808099.4206982</v>
      </c>
      <c r="L3297" s="444">
        <f t="shared" ca="1" si="144"/>
        <v>-296383751960.38831</v>
      </c>
      <c r="M3297" s="460">
        <f t="shared" si="146"/>
        <v>0.05</v>
      </c>
      <c r="N3297" s="464">
        <f t="shared" si="147"/>
        <v>151393</v>
      </c>
    </row>
    <row r="3298" spans="7:14" ht="11.25" customHeight="1" x14ac:dyDescent="0.3">
      <c r="G3298" s="459"/>
      <c r="H3298" s="459">
        <v>3291</v>
      </c>
      <c r="I3298" s="444">
        <f t="shared" ca="1" si="145"/>
        <v>-296383751960.38831</v>
      </c>
      <c r="J3298" s="444">
        <f t="array" ref="J3298">IFERROR(INDEX('Retirement Calculator'!K:K,MATCH('Lorri 401b'!N3298,'Retirement Calculator'!A:A,0),0),0)</f>
        <v>0</v>
      </c>
      <c r="K3298" s="444">
        <f t="shared" ca="1" si="143"/>
        <v>-1234932299.8349512</v>
      </c>
      <c r="L3298" s="444">
        <f t="shared" ca="1" si="144"/>
        <v>-297618684260.22327</v>
      </c>
      <c r="M3298" s="460">
        <f t="shared" si="146"/>
        <v>0.05</v>
      </c>
      <c r="N3298" s="464">
        <f t="shared" si="147"/>
        <v>151424</v>
      </c>
    </row>
    <row r="3299" spans="7:14" ht="11.25" customHeight="1" x14ac:dyDescent="0.3">
      <c r="G3299" s="459"/>
      <c r="H3299" s="459">
        <v>3292</v>
      </c>
      <c r="I3299" s="444">
        <f t="shared" ca="1" si="145"/>
        <v>-297618684260.22327</v>
      </c>
      <c r="J3299" s="444">
        <f t="array" ref="J3299">IFERROR(INDEX('Retirement Calculator'!K:K,MATCH('Lorri 401b'!N3299,'Retirement Calculator'!A:A,0),0),0)</f>
        <v>0</v>
      </c>
      <c r="K3299" s="444">
        <f t="shared" ca="1" si="143"/>
        <v>-1240077851.0842636</v>
      </c>
      <c r="L3299" s="444">
        <f t="shared" ca="1" si="144"/>
        <v>-298858762111.30756</v>
      </c>
      <c r="M3299" s="460">
        <f t="shared" si="146"/>
        <v>0.05</v>
      </c>
      <c r="N3299" s="464">
        <f t="shared" si="147"/>
        <v>151455</v>
      </c>
    </row>
    <row r="3300" spans="7:14" ht="11.25" customHeight="1" x14ac:dyDescent="0.3">
      <c r="G3300" s="459"/>
      <c r="H3300" s="459">
        <v>3293</v>
      </c>
      <c r="I3300" s="444">
        <f t="shared" ca="1" si="145"/>
        <v>-298858762111.30756</v>
      </c>
      <c r="J3300" s="444">
        <f t="array" ref="J3300">IFERROR(INDEX('Retirement Calculator'!K:K,MATCH('Lorri 401b'!N3300,'Retirement Calculator'!A:A,0),0),0)</f>
        <v>0</v>
      </c>
      <c r="K3300" s="444">
        <f t="shared" ca="1" si="143"/>
        <v>-1245244842.1304481</v>
      </c>
      <c r="L3300" s="444">
        <f t="shared" ca="1" si="144"/>
        <v>-300104006953.43799</v>
      </c>
      <c r="M3300" s="460">
        <f t="shared" si="146"/>
        <v>0.05</v>
      </c>
      <c r="N3300" s="464">
        <f t="shared" si="147"/>
        <v>151485</v>
      </c>
    </row>
    <row r="3301" spans="7:14" ht="11.25" customHeight="1" x14ac:dyDescent="0.3">
      <c r="G3301" s="459"/>
      <c r="H3301" s="459">
        <v>3294</v>
      </c>
      <c r="I3301" s="444">
        <f t="shared" ca="1" si="145"/>
        <v>-300104006953.43799</v>
      </c>
      <c r="J3301" s="444">
        <f t="array" ref="J3301">IFERROR(INDEX('Retirement Calculator'!K:K,MATCH('Lorri 401b'!N3301,'Retirement Calculator'!A:A,0),0),0)</f>
        <v>0</v>
      </c>
      <c r="K3301" s="444">
        <f t="shared" ca="1" si="143"/>
        <v>-1250433362.3059916</v>
      </c>
      <c r="L3301" s="444">
        <f t="shared" ca="1" si="144"/>
        <v>-301354440315.74396</v>
      </c>
      <c r="M3301" s="460">
        <f t="shared" si="146"/>
        <v>0.05</v>
      </c>
      <c r="N3301" s="464">
        <f t="shared" si="147"/>
        <v>151516</v>
      </c>
    </row>
    <row r="3302" spans="7:14" ht="11.25" customHeight="1" x14ac:dyDescent="0.3">
      <c r="G3302" s="459"/>
      <c r="H3302" s="459">
        <v>3295</v>
      </c>
      <c r="I3302" s="444">
        <f t="shared" ca="1" si="145"/>
        <v>-301354440315.74396</v>
      </c>
      <c r="J3302" s="444">
        <f t="array" ref="J3302">IFERROR(INDEX('Retirement Calculator'!K:K,MATCH('Lorri 401b'!N3302,'Retirement Calculator'!A:A,0),0),0)</f>
        <v>0</v>
      </c>
      <c r="K3302" s="444">
        <f t="shared" ca="1" si="143"/>
        <v>-1255643501.3155999</v>
      </c>
      <c r="L3302" s="444">
        <f t="shared" ca="1" si="144"/>
        <v>-302610083817.05957</v>
      </c>
      <c r="M3302" s="460">
        <f t="shared" si="146"/>
        <v>0.05</v>
      </c>
      <c r="N3302" s="464">
        <f t="shared" si="147"/>
        <v>151546</v>
      </c>
    </row>
    <row r="3303" spans="7:14" ht="11.25" customHeight="1" x14ac:dyDescent="0.3">
      <c r="G3303" s="459"/>
      <c r="H3303" s="459">
        <v>3296</v>
      </c>
      <c r="I3303" s="444">
        <f t="shared" ca="1" si="145"/>
        <v>-302610083817.05957</v>
      </c>
      <c r="J3303" s="444">
        <f t="array" ref="J3303">IFERROR(INDEX('Retirement Calculator'!K:K,MATCH('Lorri 401b'!N3303,'Retirement Calculator'!A:A,0),0),0)</f>
        <v>0</v>
      </c>
      <c r="K3303" s="444">
        <f t="shared" ca="1" si="143"/>
        <v>-1260875349.2377481</v>
      </c>
      <c r="L3303" s="444">
        <f t="shared" ca="1" si="144"/>
        <v>-303870959166.2973</v>
      </c>
      <c r="M3303" s="460">
        <f t="shared" si="146"/>
        <v>0.05</v>
      </c>
      <c r="N3303" s="464">
        <f t="shared" si="147"/>
        <v>151577</v>
      </c>
    </row>
    <row r="3304" spans="7:14" ht="11.25" customHeight="1" x14ac:dyDescent="0.3">
      <c r="G3304" s="459"/>
      <c r="H3304" s="459">
        <v>3297</v>
      </c>
      <c r="I3304" s="444">
        <f t="shared" ca="1" si="145"/>
        <v>-303870959166.2973</v>
      </c>
      <c r="J3304" s="444">
        <f t="array" ref="J3304">IFERROR(INDEX('Retirement Calculator'!K:K,MATCH('Lorri 401b'!N3304,'Retirement Calculator'!A:A,0),0),0)</f>
        <v>0</v>
      </c>
      <c r="K3304" s="444">
        <f t="shared" ca="1" si="143"/>
        <v>-1266128996.5262387</v>
      </c>
      <c r="L3304" s="444">
        <f t="shared" ca="1" si="144"/>
        <v>-305137088162.82355</v>
      </c>
      <c r="M3304" s="460">
        <f t="shared" si="146"/>
        <v>0.05</v>
      </c>
      <c r="N3304" s="464">
        <f t="shared" si="147"/>
        <v>151608</v>
      </c>
    </row>
    <row r="3305" spans="7:14" ht="11.25" customHeight="1" x14ac:dyDescent="0.3">
      <c r="G3305" s="459"/>
      <c r="H3305" s="459">
        <v>3298</v>
      </c>
      <c r="I3305" s="444">
        <f t="shared" ca="1" si="145"/>
        <v>-305137088162.82355</v>
      </c>
      <c r="J3305" s="444">
        <f t="array" ref="J3305">IFERROR(INDEX('Retirement Calculator'!K:K,MATCH('Lorri 401b'!N3305,'Retirement Calculator'!A:A,0),0),0)</f>
        <v>0</v>
      </c>
      <c r="K3305" s="444">
        <f t="shared" ca="1" si="143"/>
        <v>-1271404534.0117648</v>
      </c>
      <c r="L3305" s="444">
        <f t="shared" ca="1" si="144"/>
        <v>-306408492696.83533</v>
      </c>
      <c r="M3305" s="460">
        <f t="shared" si="146"/>
        <v>0.05</v>
      </c>
      <c r="N3305" s="464">
        <f t="shared" si="147"/>
        <v>151636</v>
      </c>
    </row>
    <row r="3306" spans="7:14" ht="11.25" customHeight="1" x14ac:dyDescent="0.3">
      <c r="G3306" s="459"/>
      <c r="H3306" s="459">
        <v>3299</v>
      </c>
      <c r="I3306" s="444">
        <f t="shared" ca="1" si="145"/>
        <v>-306408492696.83533</v>
      </c>
      <c r="J3306" s="444">
        <f t="array" ref="J3306">IFERROR(INDEX('Retirement Calculator'!K:K,MATCH('Lorri 401b'!N3306,'Retirement Calculator'!A:A,0),0),0)</f>
        <v>0</v>
      </c>
      <c r="K3306" s="444">
        <f t="shared" ca="1" si="143"/>
        <v>-1276702052.9034805</v>
      </c>
      <c r="L3306" s="444">
        <f t="shared" ca="1" si="144"/>
        <v>-307685194749.73883</v>
      </c>
      <c r="M3306" s="460">
        <f t="shared" si="146"/>
        <v>0.05</v>
      </c>
      <c r="N3306" s="464">
        <f t="shared" si="147"/>
        <v>151667</v>
      </c>
    </row>
    <row r="3307" spans="7:14" ht="11.25" customHeight="1" x14ac:dyDescent="0.3">
      <c r="G3307" s="459"/>
      <c r="H3307" s="459">
        <v>3300</v>
      </c>
      <c r="I3307" s="444">
        <f t="shared" ca="1" si="145"/>
        <v>-307685194749.73883</v>
      </c>
      <c r="J3307" s="444">
        <f t="array" ref="J3307">IFERROR(INDEX('Retirement Calculator'!K:K,MATCH('Lorri 401b'!N3307,'Retirement Calculator'!A:A,0),0),0)</f>
        <v>0</v>
      </c>
      <c r="K3307" s="444">
        <f t="shared" ca="1" si="143"/>
        <v>-1282021644.7905784</v>
      </c>
      <c r="L3307" s="444">
        <f t="shared" ca="1" si="144"/>
        <v>-308967216394.52942</v>
      </c>
      <c r="M3307" s="460">
        <f t="shared" si="146"/>
        <v>0.05</v>
      </c>
      <c r="N3307" s="464">
        <f t="shared" si="147"/>
        <v>151697</v>
      </c>
    </row>
    <row r="3308" spans="7:14" ht="11.25" customHeight="1" x14ac:dyDescent="0.3">
      <c r="G3308" s="459"/>
      <c r="H3308" s="459">
        <v>3301</v>
      </c>
      <c r="I3308" s="444">
        <f t="shared" ca="1" si="145"/>
        <v>-308967216394.52942</v>
      </c>
      <c r="J3308" s="444">
        <f t="array" ref="J3308">IFERROR(INDEX('Retirement Calculator'!K:K,MATCH('Lorri 401b'!N3308,'Retirement Calculator'!A:A,0),0),0)</f>
        <v>0</v>
      </c>
      <c r="K3308" s="444">
        <f t="shared" ca="1" si="143"/>
        <v>-1287363401.6438725</v>
      </c>
      <c r="L3308" s="444">
        <f t="shared" ca="1" si="144"/>
        <v>-310254579796.17328</v>
      </c>
      <c r="M3308" s="460">
        <f t="shared" si="146"/>
        <v>0.05</v>
      </c>
      <c r="N3308" s="464">
        <f t="shared" si="147"/>
        <v>151728</v>
      </c>
    </row>
    <row r="3309" spans="7:14" ht="11.25" customHeight="1" x14ac:dyDescent="0.3">
      <c r="G3309" s="459"/>
      <c r="H3309" s="459">
        <v>3302</v>
      </c>
      <c r="I3309" s="444">
        <f t="shared" ca="1" si="145"/>
        <v>-310254579796.17328</v>
      </c>
      <c r="J3309" s="444">
        <f t="array" ref="J3309">IFERROR(INDEX('Retirement Calculator'!K:K,MATCH('Lorri 401b'!N3309,'Retirement Calculator'!A:A,0),0),0)</f>
        <v>0</v>
      </c>
      <c r="K3309" s="444">
        <f t="shared" ca="1" si="143"/>
        <v>-1292727415.8173885</v>
      </c>
      <c r="L3309" s="444">
        <f t="shared" ca="1" si="144"/>
        <v>-311547307211.99066</v>
      </c>
      <c r="M3309" s="460">
        <f t="shared" si="146"/>
        <v>0.05</v>
      </c>
      <c r="N3309" s="464">
        <f t="shared" si="147"/>
        <v>151758</v>
      </c>
    </row>
    <row r="3310" spans="7:14" ht="11.25" customHeight="1" x14ac:dyDescent="0.3">
      <c r="G3310" s="459"/>
      <c r="H3310" s="459">
        <v>3303</v>
      </c>
      <c r="I3310" s="444">
        <f t="shared" ca="1" si="145"/>
        <v>-311547307211.99066</v>
      </c>
      <c r="J3310" s="444">
        <f t="array" ref="J3310">IFERROR(INDEX('Retirement Calculator'!K:K,MATCH('Lorri 401b'!N3310,'Retirement Calculator'!A:A,0),0),0)</f>
        <v>0</v>
      </c>
      <c r="K3310" s="444">
        <f t="shared" ca="1" si="143"/>
        <v>-1298113780.0499611</v>
      </c>
      <c r="L3310" s="444">
        <f t="shared" ca="1" si="144"/>
        <v>-312845420992.04065</v>
      </c>
      <c r="M3310" s="460">
        <f t="shared" si="146"/>
        <v>0.05</v>
      </c>
      <c r="N3310" s="464">
        <f t="shared" si="147"/>
        <v>151789</v>
      </c>
    </row>
    <row r="3311" spans="7:14" ht="11.25" customHeight="1" x14ac:dyDescent="0.3">
      <c r="G3311" s="459"/>
      <c r="H3311" s="459">
        <v>3304</v>
      </c>
      <c r="I3311" s="444">
        <f t="shared" ca="1" si="145"/>
        <v>-312845420992.04065</v>
      </c>
      <c r="J3311" s="444">
        <f t="array" ref="J3311">IFERROR(INDEX('Retirement Calculator'!K:K,MATCH('Lorri 401b'!N3311,'Retirement Calculator'!A:A,0),0),0)</f>
        <v>0</v>
      </c>
      <c r="K3311" s="444">
        <f t="shared" ca="1" si="143"/>
        <v>-1303522587.466836</v>
      </c>
      <c r="L3311" s="444">
        <f t="shared" ca="1" si="144"/>
        <v>-314148943579.50751</v>
      </c>
      <c r="M3311" s="460">
        <f t="shared" si="146"/>
        <v>0.05</v>
      </c>
      <c r="N3311" s="464">
        <f t="shared" si="147"/>
        <v>151820</v>
      </c>
    </row>
    <row r="3312" spans="7:14" ht="11.25" customHeight="1" x14ac:dyDescent="0.3">
      <c r="G3312" s="459"/>
      <c r="H3312" s="459">
        <v>3305</v>
      </c>
      <c r="I3312" s="444">
        <f t="shared" ca="1" si="145"/>
        <v>-314148943579.50751</v>
      </c>
      <c r="J3312" s="444">
        <f t="array" ref="J3312">IFERROR(INDEX('Retirement Calculator'!K:K,MATCH('Lorri 401b'!N3312,'Retirement Calculator'!A:A,0),0),0)</f>
        <v>0</v>
      </c>
      <c r="K3312" s="444">
        <f t="shared" ca="1" si="143"/>
        <v>-1308953931.5812812</v>
      </c>
      <c r="L3312" s="444">
        <f t="shared" ca="1" si="144"/>
        <v>-315457897511.08881</v>
      </c>
      <c r="M3312" s="460">
        <f t="shared" si="146"/>
        <v>0.05</v>
      </c>
      <c r="N3312" s="464">
        <f t="shared" si="147"/>
        <v>151850</v>
      </c>
    </row>
    <row r="3313" spans="7:14" ht="11.25" customHeight="1" x14ac:dyDescent="0.3">
      <c r="G3313" s="459"/>
      <c r="H3313" s="459">
        <v>3306</v>
      </c>
      <c r="I3313" s="444">
        <f t="shared" ca="1" si="145"/>
        <v>-315457897511.08881</v>
      </c>
      <c r="J3313" s="444">
        <f t="array" ref="J3313">IFERROR(INDEX('Retirement Calculator'!K:K,MATCH('Lorri 401b'!N3313,'Retirement Calculator'!A:A,0),0),0)</f>
        <v>0</v>
      </c>
      <c r="K3313" s="444">
        <f t="shared" ca="1" si="143"/>
        <v>-1314407906.2962034</v>
      </c>
      <c r="L3313" s="444">
        <f t="shared" ca="1" si="144"/>
        <v>-316772305417.38501</v>
      </c>
      <c r="M3313" s="460">
        <f t="shared" si="146"/>
        <v>0.05</v>
      </c>
      <c r="N3313" s="464">
        <f t="shared" si="147"/>
        <v>151881</v>
      </c>
    </row>
    <row r="3314" spans="7:14" ht="11.25" customHeight="1" x14ac:dyDescent="0.3">
      <c r="G3314" s="459"/>
      <c r="H3314" s="459">
        <v>3307</v>
      </c>
      <c r="I3314" s="444">
        <f t="shared" ca="1" si="145"/>
        <v>-316772305417.38501</v>
      </c>
      <c r="J3314" s="444">
        <f t="array" ref="J3314">IFERROR(INDEX('Retirement Calculator'!K:K,MATCH('Lorri 401b'!N3314,'Retirement Calculator'!A:A,0),0),0)</f>
        <v>0</v>
      </c>
      <c r="K3314" s="444">
        <f t="shared" ca="1" si="143"/>
        <v>-1319884605.9057708</v>
      </c>
      <c r="L3314" s="444">
        <f t="shared" ca="1" si="144"/>
        <v>-318092190023.29077</v>
      </c>
      <c r="M3314" s="460">
        <f t="shared" si="146"/>
        <v>0.05</v>
      </c>
      <c r="N3314" s="464">
        <f t="shared" si="147"/>
        <v>151911</v>
      </c>
    </row>
    <row r="3315" spans="7:14" ht="11.25" customHeight="1" x14ac:dyDescent="0.3">
      <c r="G3315" s="459"/>
      <c r="H3315" s="459">
        <v>3308</v>
      </c>
      <c r="I3315" s="444">
        <f t="shared" ca="1" si="145"/>
        <v>-318092190023.29077</v>
      </c>
      <c r="J3315" s="444">
        <f t="array" ref="J3315">IFERROR(INDEX('Retirement Calculator'!K:K,MATCH('Lorri 401b'!N3315,'Retirement Calculator'!A:A,0),0),0)</f>
        <v>0</v>
      </c>
      <c r="K3315" s="444">
        <f t="shared" ca="1" si="143"/>
        <v>-1325384125.0970449</v>
      </c>
      <c r="L3315" s="444">
        <f t="shared" ca="1" si="144"/>
        <v>-319417574148.38782</v>
      </c>
      <c r="M3315" s="460">
        <f t="shared" si="146"/>
        <v>0.05</v>
      </c>
      <c r="N3315" s="464">
        <f t="shared" si="147"/>
        <v>151942</v>
      </c>
    </row>
    <row r="3316" spans="7:14" ht="11.25" customHeight="1" x14ac:dyDescent="0.3">
      <c r="G3316" s="459"/>
      <c r="H3316" s="459">
        <v>3309</v>
      </c>
      <c r="I3316" s="444">
        <f t="shared" ca="1" si="145"/>
        <v>-319417574148.38782</v>
      </c>
      <c r="J3316" s="444">
        <f t="array" ref="J3316">IFERROR(INDEX('Retirement Calculator'!K:K,MATCH('Lorri 401b'!N3316,'Retirement Calculator'!A:A,0),0),0)</f>
        <v>0</v>
      </c>
      <c r="K3316" s="444">
        <f t="shared" ca="1" si="143"/>
        <v>-1330906558.9516158</v>
      </c>
      <c r="L3316" s="444">
        <f t="shared" ca="1" si="144"/>
        <v>-320748480707.33942</v>
      </c>
      <c r="M3316" s="460">
        <f t="shared" si="146"/>
        <v>0.05</v>
      </c>
      <c r="N3316" s="464">
        <f t="shared" si="147"/>
        <v>151973</v>
      </c>
    </row>
    <row r="3317" spans="7:14" ht="11.25" customHeight="1" x14ac:dyDescent="0.3">
      <c r="G3317" s="459"/>
      <c r="H3317" s="459">
        <v>3310</v>
      </c>
      <c r="I3317" s="444">
        <f t="shared" ca="1" si="145"/>
        <v>-320748480707.33942</v>
      </c>
      <c r="J3317" s="444">
        <f t="array" ref="J3317">IFERROR(INDEX('Retirement Calculator'!K:K,MATCH('Lorri 401b'!N3317,'Retirement Calculator'!A:A,0),0),0)</f>
        <v>0</v>
      </c>
      <c r="K3317" s="444">
        <f t="shared" ca="1" si="143"/>
        <v>-1336452002.9472475</v>
      </c>
      <c r="L3317" s="444">
        <f t="shared" ca="1" si="144"/>
        <v>-322084932710.28668</v>
      </c>
      <c r="M3317" s="460">
        <f t="shared" si="146"/>
        <v>0.05</v>
      </c>
      <c r="N3317" s="464">
        <f t="shared" si="147"/>
        <v>152002</v>
      </c>
    </row>
    <row r="3318" spans="7:14" ht="11.25" customHeight="1" x14ac:dyDescent="0.3">
      <c r="G3318" s="459"/>
      <c r="H3318" s="459">
        <v>3311</v>
      </c>
      <c r="I3318" s="444">
        <f t="shared" ca="1" si="145"/>
        <v>-322084932710.28668</v>
      </c>
      <c r="J3318" s="444">
        <f t="array" ref="J3318">IFERROR(INDEX('Retirement Calculator'!K:K,MATCH('Lorri 401b'!N3318,'Retirement Calculator'!A:A,0),0),0)</f>
        <v>0</v>
      </c>
      <c r="K3318" s="444">
        <f t="shared" ca="1" si="143"/>
        <v>-1342020552.9595277</v>
      </c>
      <c r="L3318" s="444">
        <f t="shared" ca="1" si="144"/>
        <v>-323426953263.24622</v>
      </c>
      <c r="M3318" s="460">
        <f t="shared" si="146"/>
        <v>0.05</v>
      </c>
      <c r="N3318" s="464">
        <f t="shared" si="147"/>
        <v>152033</v>
      </c>
    </row>
    <row r="3319" spans="7:14" ht="11.25" customHeight="1" x14ac:dyDescent="0.3">
      <c r="G3319" s="459"/>
      <c r="H3319" s="459">
        <v>3312</v>
      </c>
      <c r="I3319" s="444">
        <f t="shared" ca="1" si="145"/>
        <v>-323426953263.24622</v>
      </c>
      <c r="J3319" s="444">
        <f t="array" ref="J3319">IFERROR(INDEX('Retirement Calculator'!K:K,MATCH('Lorri 401b'!N3319,'Retirement Calculator'!A:A,0),0),0)</f>
        <v>0</v>
      </c>
      <c r="K3319" s="444">
        <f t="shared" ca="1" si="143"/>
        <v>-1347612305.263526</v>
      </c>
      <c r="L3319" s="444">
        <f t="shared" ca="1" si="144"/>
        <v>-324774565568.50977</v>
      </c>
      <c r="M3319" s="460">
        <f t="shared" si="146"/>
        <v>0.05</v>
      </c>
      <c r="N3319" s="464">
        <f t="shared" si="147"/>
        <v>152063</v>
      </c>
    </row>
    <row r="3320" spans="7:14" ht="11.25" customHeight="1" x14ac:dyDescent="0.3">
      <c r="G3320" s="459"/>
      <c r="H3320" s="459">
        <v>3313</v>
      </c>
      <c r="I3320" s="444">
        <f t="shared" ca="1" si="145"/>
        <v>-324774565568.50977</v>
      </c>
      <c r="J3320" s="444">
        <f t="array" ref="J3320">IFERROR(INDEX('Retirement Calculator'!K:K,MATCH('Lorri 401b'!N3320,'Retirement Calculator'!A:A,0),0),0)</f>
        <v>0</v>
      </c>
      <c r="K3320" s="444">
        <f t="shared" ca="1" si="143"/>
        <v>-1353227356.5354574</v>
      </c>
      <c r="L3320" s="444">
        <f t="shared" ca="1" si="144"/>
        <v>-326127792925.04523</v>
      </c>
      <c r="M3320" s="460">
        <f t="shared" si="146"/>
        <v>0.05</v>
      </c>
      <c r="N3320" s="464">
        <f t="shared" si="147"/>
        <v>152094</v>
      </c>
    </row>
    <row r="3321" spans="7:14" ht="11.25" customHeight="1" x14ac:dyDescent="0.3">
      <c r="G3321" s="459"/>
      <c r="H3321" s="459">
        <v>3314</v>
      </c>
      <c r="I3321" s="444">
        <f t="shared" ca="1" si="145"/>
        <v>-326127792925.04523</v>
      </c>
      <c r="J3321" s="444">
        <f t="array" ref="J3321">IFERROR(INDEX('Retirement Calculator'!K:K,MATCH('Lorri 401b'!N3321,'Retirement Calculator'!A:A,0),0),0)</f>
        <v>0</v>
      </c>
      <c r="K3321" s="444">
        <f t="shared" ca="1" si="143"/>
        <v>-1358865803.8543551</v>
      </c>
      <c r="L3321" s="444">
        <f t="shared" ca="1" si="144"/>
        <v>-327486658728.8996</v>
      </c>
      <c r="M3321" s="460">
        <f t="shared" si="146"/>
        <v>0.05</v>
      </c>
      <c r="N3321" s="464">
        <f t="shared" si="147"/>
        <v>152124</v>
      </c>
    </row>
    <row r="3322" spans="7:14" ht="11.25" customHeight="1" x14ac:dyDescent="0.3">
      <c r="G3322" s="459"/>
      <c r="H3322" s="459">
        <v>3315</v>
      </c>
      <c r="I3322" s="444">
        <f t="shared" ca="1" si="145"/>
        <v>-327486658728.8996</v>
      </c>
      <c r="J3322" s="444">
        <f t="array" ref="J3322">IFERROR(INDEX('Retirement Calculator'!K:K,MATCH('Lorri 401b'!N3322,'Retirement Calculator'!A:A,0),0),0)</f>
        <v>0</v>
      </c>
      <c r="K3322" s="444">
        <f t="shared" ca="1" si="143"/>
        <v>-1364527744.7037482</v>
      </c>
      <c r="L3322" s="444">
        <f t="shared" ca="1" si="144"/>
        <v>-328851186473.60333</v>
      </c>
      <c r="M3322" s="460">
        <f t="shared" si="146"/>
        <v>0.05</v>
      </c>
      <c r="N3322" s="464">
        <f t="shared" si="147"/>
        <v>152155</v>
      </c>
    </row>
    <row r="3323" spans="7:14" ht="11.25" customHeight="1" x14ac:dyDescent="0.3">
      <c r="G3323" s="459"/>
      <c r="H3323" s="459">
        <v>3316</v>
      </c>
      <c r="I3323" s="444">
        <f t="shared" ca="1" si="145"/>
        <v>-328851186473.60333</v>
      </c>
      <c r="J3323" s="444">
        <f t="array" ref="J3323">IFERROR(INDEX('Retirement Calculator'!K:K,MATCH('Lorri 401b'!N3323,'Retirement Calculator'!A:A,0),0),0)</f>
        <v>0</v>
      </c>
      <c r="K3323" s="444">
        <f t="shared" ref="K3323:K3577" ca="1" si="148">IPMT(M3323/12,1,12,-I3323+J3323,,0)</f>
        <v>-1370213276.9733472</v>
      </c>
      <c r="L3323" s="444">
        <f t="shared" ref="L3323:L3577" ca="1" si="149">I3323-J3323+K3323</f>
        <v>-330221399750.57666</v>
      </c>
      <c r="M3323" s="460">
        <f t="shared" si="146"/>
        <v>0.05</v>
      </c>
      <c r="N3323" s="464">
        <f t="shared" si="147"/>
        <v>152186</v>
      </c>
    </row>
    <row r="3324" spans="7:14" ht="11.25" customHeight="1" x14ac:dyDescent="0.3">
      <c r="G3324" s="459"/>
      <c r="H3324" s="459">
        <v>3317</v>
      </c>
      <c r="I3324" s="444">
        <f t="shared" ref="I3324:I3578" ca="1" si="150">L3323</f>
        <v>-330221399750.57666</v>
      </c>
      <c r="J3324" s="444">
        <f t="array" ref="J3324">IFERROR(INDEX('Retirement Calculator'!K:K,MATCH('Lorri 401b'!N3324,'Retirement Calculator'!A:A,0),0),0)</f>
        <v>0</v>
      </c>
      <c r="K3324" s="444">
        <f t="shared" ca="1" si="148"/>
        <v>-1375922498.960736</v>
      </c>
      <c r="L3324" s="444">
        <f t="shared" ca="1" si="149"/>
        <v>-331597322249.53741</v>
      </c>
      <c r="M3324" s="460">
        <f t="shared" ref="M3324:M3578" si="151">M3323</f>
        <v>0.05</v>
      </c>
      <c r="N3324" s="464">
        <f t="shared" ref="N3324:N3578" si="152">EDATE(N3323,1)</f>
        <v>152216</v>
      </c>
    </row>
    <row r="3325" spans="7:14" ht="11.25" customHeight="1" x14ac:dyDescent="0.3">
      <c r="G3325" s="459"/>
      <c r="H3325" s="459">
        <v>3318</v>
      </c>
      <c r="I3325" s="444">
        <f t="shared" ca="1" si="150"/>
        <v>-331597322249.53741</v>
      </c>
      <c r="J3325" s="444">
        <f t="array" ref="J3325">IFERROR(INDEX('Retirement Calculator'!K:K,MATCH('Lorri 401b'!N3325,'Retirement Calculator'!A:A,0),0),0)</f>
        <v>0</v>
      </c>
      <c r="K3325" s="444">
        <f t="shared" ca="1" si="148"/>
        <v>-1381655509.3730726</v>
      </c>
      <c r="L3325" s="444">
        <f t="shared" ca="1" si="149"/>
        <v>-332978977758.91046</v>
      </c>
      <c r="M3325" s="460">
        <f t="shared" si="151"/>
        <v>0.05</v>
      </c>
      <c r="N3325" s="464">
        <f t="shared" si="152"/>
        <v>152247</v>
      </c>
    </row>
    <row r="3326" spans="7:14" ht="11.25" customHeight="1" x14ac:dyDescent="0.3">
      <c r="G3326" s="459"/>
      <c r="H3326" s="459">
        <v>3319</v>
      </c>
      <c r="I3326" s="444">
        <f t="shared" ca="1" si="150"/>
        <v>-332978977758.91046</v>
      </c>
      <c r="J3326" s="444">
        <f t="array" ref="J3326">IFERROR(INDEX('Retirement Calculator'!K:K,MATCH('Lorri 401b'!N3326,'Retirement Calculator'!A:A,0),0),0)</f>
        <v>0</v>
      </c>
      <c r="K3326" s="444">
        <f t="shared" ca="1" si="148"/>
        <v>-1387412407.3287935</v>
      </c>
      <c r="L3326" s="444">
        <f t="shared" ca="1" si="149"/>
        <v>-334366390166.23926</v>
      </c>
      <c r="M3326" s="460">
        <f t="shared" si="151"/>
        <v>0.05</v>
      </c>
      <c r="N3326" s="464">
        <f t="shared" si="152"/>
        <v>152277</v>
      </c>
    </row>
    <row r="3327" spans="7:14" ht="11.25" customHeight="1" x14ac:dyDescent="0.3">
      <c r="G3327" s="459"/>
      <c r="H3327" s="459">
        <v>3320</v>
      </c>
      <c r="I3327" s="444">
        <f t="shared" ca="1" si="150"/>
        <v>-334366390166.23926</v>
      </c>
      <c r="J3327" s="444">
        <f t="array" ref="J3327">IFERROR(INDEX('Retirement Calculator'!K:K,MATCH('Lorri 401b'!N3327,'Retirement Calculator'!A:A,0),0),0)</f>
        <v>0</v>
      </c>
      <c r="K3327" s="444">
        <f t="shared" ca="1" si="148"/>
        <v>-1393193292.3593302</v>
      </c>
      <c r="L3327" s="444">
        <f t="shared" ca="1" si="149"/>
        <v>-335759583458.59857</v>
      </c>
      <c r="M3327" s="460">
        <f t="shared" si="151"/>
        <v>0.05</v>
      </c>
      <c r="N3327" s="464">
        <f t="shared" si="152"/>
        <v>152308</v>
      </c>
    </row>
    <row r="3328" spans="7:14" ht="11.25" customHeight="1" x14ac:dyDescent="0.3">
      <c r="G3328" s="459"/>
      <c r="H3328" s="459">
        <v>3321</v>
      </c>
      <c r="I3328" s="444">
        <f t="shared" ca="1" si="150"/>
        <v>-335759583458.59857</v>
      </c>
      <c r="J3328" s="444">
        <f t="array" ref="J3328">IFERROR(INDEX('Retirement Calculator'!K:K,MATCH('Lorri 401b'!N3328,'Retirement Calculator'!A:A,0),0),0)</f>
        <v>0</v>
      </c>
      <c r="K3328" s="444">
        <f t="shared" ca="1" si="148"/>
        <v>-1398998264.4108274</v>
      </c>
      <c r="L3328" s="444">
        <f t="shared" ca="1" si="149"/>
        <v>-337158581723.0094</v>
      </c>
      <c r="M3328" s="460">
        <f t="shared" si="151"/>
        <v>0.05</v>
      </c>
      <c r="N3328" s="464">
        <f t="shared" si="152"/>
        <v>152339</v>
      </c>
    </row>
    <row r="3329" spans="7:14" ht="11.25" customHeight="1" x14ac:dyDescent="0.3">
      <c r="G3329" s="459"/>
      <c r="H3329" s="459">
        <v>3322</v>
      </c>
      <c r="I3329" s="444">
        <f t="shared" ca="1" si="150"/>
        <v>-337158581723.0094</v>
      </c>
      <c r="J3329" s="444">
        <f t="array" ref="J3329">IFERROR(INDEX('Retirement Calculator'!K:K,MATCH('Lorri 401b'!N3329,'Retirement Calculator'!A:A,0),0),0)</f>
        <v>0</v>
      </c>
      <c r="K3329" s="444">
        <f t="shared" ca="1" si="148"/>
        <v>-1404827423.8458724</v>
      </c>
      <c r="L3329" s="444">
        <f t="shared" ca="1" si="149"/>
        <v>-338563409146.85529</v>
      </c>
      <c r="M3329" s="460">
        <f t="shared" si="151"/>
        <v>0.05</v>
      </c>
      <c r="N3329" s="464">
        <f t="shared" si="152"/>
        <v>152367</v>
      </c>
    </row>
    <row r="3330" spans="7:14" ht="11.25" customHeight="1" x14ac:dyDescent="0.3">
      <c r="G3330" s="459"/>
      <c r="H3330" s="459">
        <v>3323</v>
      </c>
      <c r="I3330" s="444">
        <f t="shared" ca="1" si="150"/>
        <v>-338563409146.85529</v>
      </c>
      <c r="J3330" s="444">
        <f t="array" ref="J3330">IFERROR(INDEX('Retirement Calculator'!K:K,MATCH('Lorri 401b'!N3330,'Retirement Calculator'!A:A,0),0),0)</f>
        <v>0</v>
      </c>
      <c r="K3330" s="444">
        <f t="shared" ca="1" si="148"/>
        <v>-1410680871.4452302</v>
      </c>
      <c r="L3330" s="444">
        <f t="shared" ca="1" si="149"/>
        <v>-339974090018.30054</v>
      </c>
      <c r="M3330" s="460">
        <f t="shared" si="151"/>
        <v>0.05</v>
      </c>
      <c r="N3330" s="464">
        <f t="shared" si="152"/>
        <v>152398</v>
      </c>
    </row>
    <row r="3331" spans="7:14" ht="11.25" customHeight="1" x14ac:dyDescent="0.3">
      <c r="G3331" s="459"/>
      <c r="H3331" s="459">
        <v>3324</v>
      </c>
      <c r="I3331" s="444">
        <f t="shared" ca="1" si="150"/>
        <v>-339974090018.30054</v>
      </c>
      <c r="J3331" s="444">
        <f t="array" ref="J3331">IFERROR(INDEX('Retirement Calculator'!K:K,MATCH('Lorri 401b'!N3331,'Retirement Calculator'!A:A,0),0),0)</f>
        <v>0</v>
      </c>
      <c r="K3331" s="444">
        <f t="shared" ca="1" si="148"/>
        <v>-1416558708.4095855</v>
      </c>
      <c r="L3331" s="444">
        <f t="shared" ca="1" si="149"/>
        <v>-341390648726.71014</v>
      </c>
      <c r="M3331" s="460">
        <f t="shared" si="151"/>
        <v>0.05</v>
      </c>
      <c r="N3331" s="464">
        <f t="shared" si="152"/>
        <v>152428</v>
      </c>
    </row>
    <row r="3332" spans="7:14" ht="11.25" customHeight="1" x14ac:dyDescent="0.3">
      <c r="G3332" s="459"/>
      <c r="H3332" s="459">
        <v>3325</v>
      </c>
      <c r="I3332" s="444">
        <f t="shared" ca="1" si="150"/>
        <v>-341390648726.71014</v>
      </c>
      <c r="J3332" s="444">
        <f t="array" ref="J3332">IFERROR(INDEX('Retirement Calculator'!K:K,MATCH('Lorri 401b'!N3332,'Retirement Calculator'!A:A,0),0),0)</f>
        <v>0</v>
      </c>
      <c r="K3332" s="444">
        <f t="shared" ca="1" si="148"/>
        <v>-1422461036.3612924</v>
      </c>
      <c r="L3332" s="444">
        <f t="shared" ca="1" si="149"/>
        <v>-342813109763.07141</v>
      </c>
      <c r="M3332" s="460">
        <f t="shared" si="151"/>
        <v>0.05</v>
      </c>
      <c r="N3332" s="464">
        <f t="shared" si="152"/>
        <v>152459</v>
      </c>
    </row>
    <row r="3333" spans="7:14" ht="11.25" customHeight="1" x14ac:dyDescent="0.3">
      <c r="G3333" s="459"/>
      <c r="H3333" s="459">
        <v>3326</v>
      </c>
      <c r="I3333" s="444">
        <f t="shared" ca="1" si="150"/>
        <v>-342813109763.07141</v>
      </c>
      <c r="J3333" s="444">
        <f t="array" ref="J3333">IFERROR(INDEX('Retirement Calculator'!K:K,MATCH('Lorri 401b'!N3333,'Retirement Calculator'!A:A,0),0),0)</f>
        <v>0</v>
      </c>
      <c r="K3333" s="444">
        <f t="shared" ca="1" si="148"/>
        <v>-1428387957.3461308</v>
      </c>
      <c r="L3333" s="444">
        <f t="shared" ca="1" si="149"/>
        <v>-344241497720.41754</v>
      </c>
      <c r="M3333" s="460">
        <f t="shared" si="151"/>
        <v>0.05</v>
      </c>
      <c r="N3333" s="464">
        <f t="shared" si="152"/>
        <v>152489</v>
      </c>
    </row>
    <row r="3334" spans="7:14" ht="11.25" customHeight="1" x14ac:dyDescent="0.3">
      <c r="G3334" s="459"/>
      <c r="H3334" s="459">
        <v>3327</v>
      </c>
      <c r="I3334" s="444">
        <f t="shared" ca="1" si="150"/>
        <v>-344241497720.41754</v>
      </c>
      <c r="J3334" s="444">
        <f t="array" ref="J3334">IFERROR(INDEX('Retirement Calculator'!K:K,MATCH('Lorri 401b'!N3334,'Retirement Calculator'!A:A,0),0),0)</f>
        <v>0</v>
      </c>
      <c r="K3334" s="444">
        <f t="shared" ca="1" si="148"/>
        <v>-1434339573.835073</v>
      </c>
      <c r="L3334" s="444">
        <f t="shared" ca="1" si="149"/>
        <v>-345675837294.25262</v>
      </c>
      <c r="M3334" s="460">
        <f t="shared" si="151"/>
        <v>0.05</v>
      </c>
      <c r="N3334" s="464">
        <f t="shared" si="152"/>
        <v>152520</v>
      </c>
    </row>
    <row r="3335" spans="7:14" ht="11.25" customHeight="1" x14ac:dyDescent="0.3">
      <c r="G3335" s="459"/>
      <c r="H3335" s="459">
        <v>3328</v>
      </c>
      <c r="I3335" s="444">
        <f t="shared" ca="1" si="150"/>
        <v>-345675837294.25262</v>
      </c>
      <c r="J3335" s="444">
        <f t="array" ref="J3335">IFERROR(INDEX('Retirement Calculator'!K:K,MATCH('Lorri 401b'!N3335,'Retirement Calculator'!A:A,0),0),0)</f>
        <v>0</v>
      </c>
      <c r="K3335" s="444">
        <f t="shared" ca="1" si="148"/>
        <v>-1440315988.7260525</v>
      </c>
      <c r="L3335" s="444">
        <f t="shared" ca="1" si="149"/>
        <v>-347116153282.9787</v>
      </c>
      <c r="M3335" s="460">
        <f t="shared" si="151"/>
        <v>0.05</v>
      </c>
      <c r="N3335" s="464">
        <f t="shared" si="152"/>
        <v>152551</v>
      </c>
    </row>
    <row r="3336" spans="7:14" ht="11.25" customHeight="1" x14ac:dyDescent="0.3">
      <c r="G3336" s="459"/>
      <c r="H3336" s="459">
        <v>3329</v>
      </c>
      <c r="I3336" s="444">
        <f t="shared" ca="1" si="150"/>
        <v>-347116153282.9787</v>
      </c>
      <c r="J3336" s="444">
        <f t="array" ref="J3336">IFERROR(INDEX('Retirement Calculator'!K:K,MATCH('Lorri 401b'!N3336,'Retirement Calculator'!A:A,0),0),0)</f>
        <v>0</v>
      </c>
      <c r="K3336" s="444">
        <f t="shared" ca="1" si="148"/>
        <v>-1446317305.3457446</v>
      </c>
      <c r="L3336" s="444">
        <f t="shared" ca="1" si="149"/>
        <v>-348562470588.32446</v>
      </c>
      <c r="M3336" s="460">
        <f t="shared" si="151"/>
        <v>0.05</v>
      </c>
      <c r="N3336" s="464">
        <f t="shared" si="152"/>
        <v>152581</v>
      </c>
    </row>
    <row r="3337" spans="7:14" ht="11.25" customHeight="1" x14ac:dyDescent="0.3">
      <c r="G3337" s="459"/>
      <c r="H3337" s="459">
        <v>3330</v>
      </c>
      <c r="I3337" s="444">
        <f t="shared" ca="1" si="150"/>
        <v>-348562470588.32446</v>
      </c>
      <c r="J3337" s="444">
        <f t="array" ref="J3337">IFERROR(INDEX('Retirement Calculator'!K:K,MATCH('Lorri 401b'!N3337,'Retirement Calculator'!A:A,0),0),0)</f>
        <v>0</v>
      </c>
      <c r="K3337" s="444">
        <f t="shared" ca="1" si="148"/>
        <v>-1452343627.4513519</v>
      </c>
      <c r="L3337" s="444">
        <f t="shared" ca="1" si="149"/>
        <v>-350014814215.77582</v>
      </c>
      <c r="M3337" s="460">
        <f t="shared" si="151"/>
        <v>0.05</v>
      </c>
      <c r="N3337" s="464">
        <f t="shared" si="152"/>
        <v>152612</v>
      </c>
    </row>
    <row r="3338" spans="7:14" ht="11.25" customHeight="1" x14ac:dyDescent="0.3">
      <c r="G3338" s="459"/>
      <c r="H3338" s="459">
        <v>3331</v>
      </c>
      <c r="I3338" s="444">
        <f t="shared" ca="1" si="150"/>
        <v>-350014814215.77582</v>
      </c>
      <c r="J3338" s="444">
        <f t="array" ref="J3338">IFERROR(INDEX('Retirement Calculator'!K:K,MATCH('Lorri 401b'!N3338,'Retirement Calculator'!A:A,0),0),0)</f>
        <v>0</v>
      </c>
      <c r="K3338" s="444">
        <f t="shared" ca="1" si="148"/>
        <v>-1458395059.2323992</v>
      </c>
      <c r="L3338" s="444">
        <f t="shared" ca="1" si="149"/>
        <v>-351473209275.00824</v>
      </c>
      <c r="M3338" s="460">
        <f t="shared" si="151"/>
        <v>0.05</v>
      </c>
      <c r="N3338" s="464">
        <f t="shared" si="152"/>
        <v>152642</v>
      </c>
    </row>
    <row r="3339" spans="7:14" ht="11.25" customHeight="1" x14ac:dyDescent="0.3">
      <c r="G3339" s="459"/>
      <c r="H3339" s="459">
        <v>3332</v>
      </c>
      <c r="I3339" s="444">
        <f t="shared" ca="1" si="150"/>
        <v>-351473209275.00824</v>
      </c>
      <c r="J3339" s="444">
        <f t="array" ref="J3339">IFERROR(INDEX('Retirement Calculator'!K:K,MATCH('Lorri 401b'!N3339,'Retirement Calculator'!A:A,0),0),0)</f>
        <v>0</v>
      </c>
      <c r="K3339" s="444">
        <f t="shared" ca="1" si="148"/>
        <v>-1464471705.3125343</v>
      </c>
      <c r="L3339" s="444">
        <f t="shared" ca="1" si="149"/>
        <v>-352937680980.3208</v>
      </c>
      <c r="M3339" s="460">
        <f t="shared" si="151"/>
        <v>0.05</v>
      </c>
      <c r="N3339" s="464">
        <f t="shared" si="152"/>
        <v>152673</v>
      </c>
    </row>
    <row r="3340" spans="7:14" ht="11.25" customHeight="1" x14ac:dyDescent="0.3">
      <c r="G3340" s="459"/>
      <c r="H3340" s="459">
        <v>3333</v>
      </c>
      <c r="I3340" s="444">
        <f t="shared" ca="1" si="150"/>
        <v>-352937680980.3208</v>
      </c>
      <c r="J3340" s="444">
        <f t="array" ref="J3340">IFERROR(INDEX('Retirement Calculator'!K:K,MATCH('Lorri 401b'!N3340,'Retirement Calculator'!A:A,0),0),0)</f>
        <v>0</v>
      </c>
      <c r="K3340" s="444">
        <f t="shared" ca="1" si="148"/>
        <v>-1470573670.7513366</v>
      </c>
      <c r="L3340" s="444">
        <f t="shared" ca="1" si="149"/>
        <v>-354408254651.07214</v>
      </c>
      <c r="M3340" s="460">
        <f t="shared" si="151"/>
        <v>0.05</v>
      </c>
      <c r="N3340" s="464">
        <f t="shared" si="152"/>
        <v>152704</v>
      </c>
    </row>
    <row r="3341" spans="7:14" ht="11.25" customHeight="1" x14ac:dyDescent="0.3">
      <c r="G3341" s="459"/>
      <c r="H3341" s="459">
        <v>3334</v>
      </c>
      <c r="I3341" s="444">
        <f t="shared" ca="1" si="150"/>
        <v>-354408254651.07214</v>
      </c>
      <c r="J3341" s="444">
        <f t="array" ref="J3341">IFERROR(INDEX('Retirement Calculator'!K:K,MATCH('Lorri 401b'!N3341,'Retirement Calculator'!A:A,0),0),0)</f>
        <v>0</v>
      </c>
      <c r="K3341" s="444">
        <f t="shared" ca="1" si="148"/>
        <v>-1476701061.046134</v>
      </c>
      <c r="L3341" s="444">
        <f t="shared" ca="1" si="149"/>
        <v>-355884955712.11829</v>
      </c>
      <c r="M3341" s="460">
        <f t="shared" si="151"/>
        <v>0.05</v>
      </c>
      <c r="N3341" s="464">
        <f t="shared" si="152"/>
        <v>152732</v>
      </c>
    </row>
    <row r="3342" spans="7:14" ht="11.25" customHeight="1" x14ac:dyDescent="0.3">
      <c r="G3342" s="459"/>
      <c r="H3342" s="459">
        <v>3335</v>
      </c>
      <c r="I3342" s="444">
        <f t="shared" ca="1" si="150"/>
        <v>-355884955712.11829</v>
      </c>
      <c r="J3342" s="444">
        <f t="array" ref="J3342">IFERROR(INDEX('Retirement Calculator'!K:K,MATCH('Lorri 401b'!N3342,'Retirement Calculator'!A:A,0),0),0)</f>
        <v>0</v>
      </c>
      <c r="K3342" s="444">
        <f t="shared" ca="1" si="148"/>
        <v>-1482853982.1338263</v>
      </c>
      <c r="L3342" s="444">
        <f t="shared" ca="1" si="149"/>
        <v>-357367809694.25214</v>
      </c>
      <c r="M3342" s="460">
        <f t="shared" si="151"/>
        <v>0.05</v>
      </c>
      <c r="N3342" s="464">
        <f t="shared" si="152"/>
        <v>152763</v>
      </c>
    </row>
    <row r="3343" spans="7:14" ht="11.25" customHeight="1" x14ac:dyDescent="0.3">
      <c r="G3343" s="459"/>
      <c r="H3343" s="459">
        <v>3336</v>
      </c>
      <c r="I3343" s="444">
        <f t="shared" ca="1" si="150"/>
        <v>-357367809694.25214</v>
      </c>
      <c r="J3343" s="444">
        <f t="array" ref="J3343">IFERROR(INDEX('Retirement Calculator'!K:K,MATCH('Lorri 401b'!N3343,'Retirement Calculator'!A:A,0),0),0)</f>
        <v>0</v>
      </c>
      <c r="K3343" s="444">
        <f t="shared" ca="1" si="148"/>
        <v>-1489032540.3927171</v>
      </c>
      <c r="L3343" s="444">
        <f t="shared" ca="1" si="149"/>
        <v>-358856842234.64484</v>
      </c>
      <c r="M3343" s="460">
        <f t="shared" si="151"/>
        <v>0.05</v>
      </c>
      <c r="N3343" s="464">
        <f t="shared" si="152"/>
        <v>152793</v>
      </c>
    </row>
    <row r="3344" spans="7:14" ht="11.25" customHeight="1" x14ac:dyDescent="0.3">
      <c r="G3344" s="459"/>
      <c r="H3344" s="459">
        <v>3337</v>
      </c>
      <c r="I3344" s="444">
        <f t="shared" ca="1" si="150"/>
        <v>-358856842234.64484</v>
      </c>
      <c r="J3344" s="444">
        <f t="array" ref="J3344">IFERROR(INDEX('Retirement Calculator'!K:K,MATCH('Lorri 401b'!N3344,'Retirement Calculator'!A:A,0),0),0)</f>
        <v>0</v>
      </c>
      <c r="K3344" s="444">
        <f t="shared" ca="1" si="148"/>
        <v>-1495236842.6443534</v>
      </c>
      <c r="L3344" s="444">
        <f t="shared" ca="1" si="149"/>
        <v>-360352079077.28918</v>
      </c>
      <c r="M3344" s="460">
        <f t="shared" si="151"/>
        <v>0.05</v>
      </c>
      <c r="N3344" s="464">
        <f t="shared" si="152"/>
        <v>152824</v>
      </c>
    </row>
    <row r="3345" spans="7:14" ht="11.25" customHeight="1" x14ac:dyDescent="0.3">
      <c r="G3345" s="459"/>
      <c r="H3345" s="459">
        <v>3338</v>
      </c>
      <c r="I3345" s="444">
        <f t="shared" ca="1" si="150"/>
        <v>-360352079077.28918</v>
      </c>
      <c r="J3345" s="444">
        <f t="array" ref="J3345">IFERROR(INDEX('Retirement Calculator'!K:K,MATCH('Lorri 401b'!N3345,'Retirement Calculator'!A:A,0),0),0)</f>
        <v>0</v>
      </c>
      <c r="K3345" s="444">
        <f t="shared" ca="1" si="148"/>
        <v>-1501466996.1553717</v>
      </c>
      <c r="L3345" s="444">
        <f t="shared" ca="1" si="149"/>
        <v>-361853546073.44458</v>
      </c>
      <c r="M3345" s="460">
        <f t="shared" si="151"/>
        <v>0.05</v>
      </c>
      <c r="N3345" s="464">
        <f t="shared" si="152"/>
        <v>152854</v>
      </c>
    </row>
    <row r="3346" spans="7:14" ht="11.25" customHeight="1" x14ac:dyDescent="0.3">
      <c r="G3346" s="459"/>
      <c r="H3346" s="459">
        <v>3339</v>
      </c>
      <c r="I3346" s="444">
        <f t="shared" ca="1" si="150"/>
        <v>-361853546073.44458</v>
      </c>
      <c r="J3346" s="444">
        <f t="array" ref="J3346">IFERROR(INDEX('Retirement Calculator'!K:K,MATCH('Lorri 401b'!N3346,'Retirement Calculator'!A:A,0),0),0)</f>
        <v>0</v>
      </c>
      <c r="K3346" s="444">
        <f t="shared" ca="1" si="148"/>
        <v>-1507723108.6393523</v>
      </c>
      <c r="L3346" s="444">
        <f t="shared" ca="1" si="149"/>
        <v>-363361269182.08392</v>
      </c>
      <c r="M3346" s="460">
        <f t="shared" si="151"/>
        <v>0.05</v>
      </c>
      <c r="N3346" s="464">
        <f t="shared" si="152"/>
        <v>152885</v>
      </c>
    </row>
    <row r="3347" spans="7:14" ht="11.25" customHeight="1" x14ac:dyDescent="0.3">
      <c r="G3347" s="459"/>
      <c r="H3347" s="459">
        <v>3340</v>
      </c>
      <c r="I3347" s="444">
        <f t="shared" ca="1" si="150"/>
        <v>-363361269182.08392</v>
      </c>
      <c r="J3347" s="444">
        <f t="array" ref="J3347">IFERROR(INDEX('Retirement Calculator'!K:K,MATCH('Lorri 401b'!N3347,'Retirement Calculator'!A:A,0),0),0)</f>
        <v>0</v>
      </c>
      <c r="K3347" s="444">
        <f t="shared" ca="1" si="148"/>
        <v>-1514005288.258683</v>
      </c>
      <c r="L3347" s="444">
        <f t="shared" ca="1" si="149"/>
        <v>-364875274470.34259</v>
      </c>
      <c r="M3347" s="460">
        <f t="shared" si="151"/>
        <v>0.05</v>
      </c>
      <c r="N3347" s="464">
        <f t="shared" si="152"/>
        <v>152916</v>
      </c>
    </row>
    <row r="3348" spans="7:14" ht="11.25" customHeight="1" x14ac:dyDescent="0.3">
      <c r="G3348" s="459"/>
      <c r="H3348" s="459">
        <v>3341</v>
      </c>
      <c r="I3348" s="444">
        <f t="shared" ca="1" si="150"/>
        <v>-364875274470.34259</v>
      </c>
      <c r="J3348" s="444">
        <f t="array" ref="J3348">IFERROR(INDEX('Retirement Calculator'!K:K,MATCH('Lorri 401b'!N3348,'Retirement Calculator'!A:A,0),0),0)</f>
        <v>0</v>
      </c>
      <c r="K3348" s="444">
        <f t="shared" ca="1" si="148"/>
        <v>-1520313643.6264274</v>
      </c>
      <c r="L3348" s="444">
        <f t="shared" ca="1" si="149"/>
        <v>-366395588113.96899</v>
      </c>
      <c r="M3348" s="460">
        <f t="shared" si="151"/>
        <v>0.05</v>
      </c>
      <c r="N3348" s="464">
        <f t="shared" si="152"/>
        <v>152946</v>
      </c>
    </row>
    <row r="3349" spans="7:14" ht="11.25" customHeight="1" x14ac:dyDescent="0.3">
      <c r="G3349" s="459"/>
      <c r="H3349" s="459">
        <v>3342</v>
      </c>
      <c r="I3349" s="444">
        <f t="shared" ca="1" si="150"/>
        <v>-366395588113.96899</v>
      </c>
      <c r="J3349" s="444">
        <f t="array" ref="J3349">IFERROR(INDEX('Retirement Calculator'!K:K,MATCH('Lorri 401b'!N3349,'Retirement Calculator'!A:A,0),0),0)</f>
        <v>0</v>
      </c>
      <c r="K3349" s="444">
        <f t="shared" ca="1" si="148"/>
        <v>-1526648283.8082042</v>
      </c>
      <c r="L3349" s="444">
        <f t="shared" ca="1" si="149"/>
        <v>-367922236397.77722</v>
      </c>
      <c r="M3349" s="460">
        <f t="shared" si="151"/>
        <v>0.05</v>
      </c>
      <c r="N3349" s="464">
        <f t="shared" si="152"/>
        <v>152977</v>
      </c>
    </row>
    <row r="3350" spans="7:14" ht="11.25" customHeight="1" x14ac:dyDescent="0.3">
      <c r="G3350" s="459"/>
      <c r="H3350" s="459">
        <v>3343</v>
      </c>
      <c r="I3350" s="444">
        <f t="shared" ca="1" si="150"/>
        <v>-367922236397.77722</v>
      </c>
      <c r="J3350" s="444">
        <f t="array" ref="J3350">IFERROR(INDEX('Retirement Calculator'!K:K,MATCH('Lorri 401b'!N3350,'Retirement Calculator'!A:A,0),0),0)</f>
        <v>0</v>
      </c>
      <c r="K3350" s="444">
        <f t="shared" ca="1" si="148"/>
        <v>-1533009318.3240716</v>
      </c>
      <c r="L3350" s="444">
        <f t="shared" ca="1" si="149"/>
        <v>-369455245716.10132</v>
      </c>
      <c r="M3350" s="460">
        <f t="shared" si="151"/>
        <v>0.05</v>
      </c>
      <c r="N3350" s="464">
        <f t="shared" si="152"/>
        <v>153007</v>
      </c>
    </row>
    <row r="3351" spans="7:14" ht="11.25" customHeight="1" x14ac:dyDescent="0.3">
      <c r="G3351" s="459"/>
      <c r="H3351" s="459">
        <v>3344</v>
      </c>
      <c r="I3351" s="444">
        <f t="shared" ca="1" si="150"/>
        <v>-369455245716.10132</v>
      </c>
      <c r="J3351" s="444">
        <f t="array" ref="J3351">IFERROR(INDEX('Retirement Calculator'!K:K,MATCH('Lorri 401b'!N3351,'Retirement Calculator'!A:A,0),0),0)</f>
        <v>0</v>
      </c>
      <c r="K3351" s="444">
        <f t="shared" ca="1" si="148"/>
        <v>-1539396857.1504221</v>
      </c>
      <c r="L3351" s="444">
        <f t="shared" ca="1" si="149"/>
        <v>-370994642573.25177</v>
      </c>
      <c r="M3351" s="460">
        <f t="shared" si="151"/>
        <v>0.05</v>
      </c>
      <c r="N3351" s="464">
        <f t="shared" si="152"/>
        <v>153038</v>
      </c>
    </row>
    <row r="3352" spans="7:14" ht="11.25" customHeight="1" x14ac:dyDescent="0.3">
      <c r="G3352" s="459"/>
      <c r="H3352" s="459">
        <v>3345</v>
      </c>
      <c r="I3352" s="444">
        <f t="shared" ca="1" si="150"/>
        <v>-370994642573.25177</v>
      </c>
      <c r="J3352" s="444">
        <f t="array" ref="J3352">IFERROR(INDEX('Retirement Calculator'!K:K,MATCH('Lorri 401b'!N3352,'Retirement Calculator'!A:A,0),0),0)</f>
        <v>0</v>
      </c>
      <c r="K3352" s="444">
        <f t="shared" ca="1" si="148"/>
        <v>-1545811010.7218823</v>
      </c>
      <c r="L3352" s="444">
        <f t="shared" ca="1" si="149"/>
        <v>-372540453583.97363</v>
      </c>
      <c r="M3352" s="460">
        <f t="shared" si="151"/>
        <v>0.05</v>
      </c>
      <c r="N3352" s="464">
        <f t="shared" si="152"/>
        <v>153069</v>
      </c>
    </row>
    <row r="3353" spans="7:14" ht="11.25" customHeight="1" x14ac:dyDescent="0.3">
      <c r="G3353" s="459"/>
      <c r="H3353" s="459">
        <v>3346</v>
      </c>
      <c r="I3353" s="444">
        <f t="shared" ca="1" si="150"/>
        <v>-372540453583.97363</v>
      </c>
      <c r="J3353" s="444">
        <f t="array" ref="J3353">IFERROR(INDEX('Retirement Calculator'!K:K,MATCH('Lorri 401b'!N3353,'Retirement Calculator'!A:A,0),0),0)</f>
        <v>0</v>
      </c>
      <c r="K3353" s="444">
        <f t="shared" ca="1" si="148"/>
        <v>-1552251889.9332235</v>
      </c>
      <c r="L3353" s="444">
        <f t="shared" ca="1" si="149"/>
        <v>-374092705473.90686</v>
      </c>
      <c r="M3353" s="460">
        <f t="shared" si="151"/>
        <v>0.05</v>
      </c>
      <c r="N3353" s="464">
        <f t="shared" si="152"/>
        <v>153097</v>
      </c>
    </row>
    <row r="3354" spans="7:14" ht="11.25" customHeight="1" x14ac:dyDescent="0.3">
      <c r="G3354" s="459"/>
      <c r="H3354" s="459">
        <v>3347</v>
      </c>
      <c r="I3354" s="444">
        <f t="shared" ca="1" si="150"/>
        <v>-374092705473.90686</v>
      </c>
      <c r="J3354" s="444">
        <f t="array" ref="J3354">IFERROR(INDEX('Retirement Calculator'!K:K,MATCH('Lorri 401b'!N3354,'Retirement Calculator'!A:A,0),0),0)</f>
        <v>0</v>
      </c>
      <c r="K3354" s="444">
        <f t="shared" ca="1" si="148"/>
        <v>-1558719606.1412785</v>
      </c>
      <c r="L3354" s="444">
        <f t="shared" ca="1" si="149"/>
        <v>-375651425080.04816</v>
      </c>
      <c r="M3354" s="460">
        <f t="shared" si="151"/>
        <v>0.05</v>
      </c>
      <c r="N3354" s="464">
        <f t="shared" si="152"/>
        <v>153128</v>
      </c>
    </row>
    <row r="3355" spans="7:14" ht="11.25" customHeight="1" x14ac:dyDescent="0.3">
      <c r="G3355" s="459"/>
      <c r="H3355" s="459">
        <v>3348</v>
      </c>
      <c r="I3355" s="444">
        <f t="shared" ca="1" si="150"/>
        <v>-375651425080.04816</v>
      </c>
      <c r="J3355" s="444">
        <f t="array" ref="J3355">IFERROR(INDEX('Retirement Calculator'!K:K,MATCH('Lorri 401b'!N3355,'Retirement Calculator'!A:A,0),0),0)</f>
        <v>0</v>
      </c>
      <c r="K3355" s="444">
        <f t="shared" ca="1" si="148"/>
        <v>-1565214271.1668673</v>
      </c>
      <c r="L3355" s="444">
        <f t="shared" ca="1" si="149"/>
        <v>-377216639351.21503</v>
      </c>
      <c r="M3355" s="460">
        <f t="shared" si="151"/>
        <v>0.05</v>
      </c>
      <c r="N3355" s="464">
        <f t="shared" si="152"/>
        <v>153158</v>
      </c>
    </row>
    <row r="3356" spans="7:14" ht="11.25" customHeight="1" x14ac:dyDescent="0.3">
      <c r="G3356" s="459"/>
      <c r="H3356" s="459">
        <v>3349</v>
      </c>
      <c r="I3356" s="444">
        <f t="shared" ca="1" si="150"/>
        <v>-377216639351.21503</v>
      </c>
      <c r="J3356" s="444">
        <f t="array" ref="J3356">IFERROR(INDEX('Retirement Calculator'!K:K,MATCH('Lorri 401b'!N3356,'Retirement Calculator'!A:A,0),0),0)</f>
        <v>0</v>
      </c>
      <c r="K3356" s="444">
        <f t="shared" ca="1" si="148"/>
        <v>-1571735997.2967293</v>
      </c>
      <c r="L3356" s="444">
        <f t="shared" ca="1" si="149"/>
        <v>-378788375348.51178</v>
      </c>
      <c r="M3356" s="460">
        <f t="shared" si="151"/>
        <v>0.05</v>
      </c>
      <c r="N3356" s="464">
        <f t="shared" si="152"/>
        <v>153189</v>
      </c>
    </row>
    <row r="3357" spans="7:14" ht="11.25" customHeight="1" x14ac:dyDescent="0.3">
      <c r="G3357" s="459"/>
      <c r="H3357" s="459">
        <v>3350</v>
      </c>
      <c r="I3357" s="444">
        <f t="shared" ca="1" si="150"/>
        <v>-378788375348.51178</v>
      </c>
      <c r="J3357" s="444">
        <f t="array" ref="J3357">IFERROR(INDEX('Retirement Calculator'!K:K,MATCH('Lorri 401b'!N3357,'Retirement Calculator'!A:A,0),0),0)</f>
        <v>0</v>
      </c>
      <c r="K3357" s="444">
        <f t="shared" ca="1" si="148"/>
        <v>-1578284897.2854657</v>
      </c>
      <c r="L3357" s="444">
        <f t="shared" ca="1" si="149"/>
        <v>-380366660245.79724</v>
      </c>
      <c r="M3357" s="460">
        <f t="shared" si="151"/>
        <v>0.05</v>
      </c>
      <c r="N3357" s="464">
        <f t="shared" si="152"/>
        <v>153219</v>
      </c>
    </row>
    <row r="3358" spans="7:14" ht="11.25" customHeight="1" x14ac:dyDescent="0.3">
      <c r="G3358" s="459"/>
      <c r="H3358" s="459">
        <v>3351</v>
      </c>
      <c r="I3358" s="444">
        <f t="shared" ca="1" si="150"/>
        <v>-380366660245.79724</v>
      </c>
      <c r="J3358" s="444">
        <f t="array" ref="J3358">IFERROR(INDEX('Retirement Calculator'!K:K,MATCH('Lorri 401b'!N3358,'Retirement Calculator'!A:A,0),0),0)</f>
        <v>0</v>
      </c>
      <c r="K3358" s="444">
        <f t="shared" ca="1" si="148"/>
        <v>-1584861084.3574884</v>
      </c>
      <c r="L3358" s="444">
        <f t="shared" ca="1" si="149"/>
        <v>-381951521330.15472</v>
      </c>
      <c r="M3358" s="460">
        <f t="shared" si="151"/>
        <v>0.05</v>
      </c>
      <c r="N3358" s="464">
        <f t="shared" si="152"/>
        <v>153250</v>
      </c>
    </row>
    <row r="3359" spans="7:14" ht="11.25" customHeight="1" x14ac:dyDescent="0.3">
      <c r="G3359" s="459"/>
      <c r="H3359" s="459">
        <v>3352</v>
      </c>
      <c r="I3359" s="444">
        <f t="shared" ca="1" si="150"/>
        <v>-381951521330.15472</v>
      </c>
      <c r="J3359" s="444">
        <f t="array" ref="J3359">IFERROR(INDEX('Retirement Calculator'!K:K,MATCH('Lorri 401b'!N3359,'Retirement Calculator'!A:A,0),0),0)</f>
        <v>0</v>
      </c>
      <c r="K3359" s="444">
        <f t="shared" ca="1" si="148"/>
        <v>-1591464672.2089779</v>
      </c>
      <c r="L3359" s="444">
        <f t="shared" ca="1" si="149"/>
        <v>-383542986002.36371</v>
      </c>
      <c r="M3359" s="460">
        <f t="shared" si="151"/>
        <v>0.05</v>
      </c>
      <c r="N3359" s="464">
        <f t="shared" si="152"/>
        <v>153281</v>
      </c>
    </row>
    <row r="3360" spans="7:14" ht="11.25" customHeight="1" x14ac:dyDescent="0.3">
      <c r="G3360" s="459"/>
      <c r="H3360" s="459">
        <v>3353</v>
      </c>
      <c r="I3360" s="444">
        <f t="shared" ca="1" si="150"/>
        <v>-383542986002.36371</v>
      </c>
      <c r="J3360" s="444">
        <f t="array" ref="J3360">IFERROR(INDEX('Retirement Calculator'!K:K,MATCH('Lorri 401b'!N3360,'Retirement Calculator'!A:A,0),0),0)</f>
        <v>0</v>
      </c>
      <c r="K3360" s="444">
        <f t="shared" ca="1" si="148"/>
        <v>-1598095775.0098488</v>
      </c>
      <c r="L3360" s="444">
        <f t="shared" ca="1" si="149"/>
        <v>-385141081777.37354</v>
      </c>
      <c r="M3360" s="460">
        <f t="shared" si="151"/>
        <v>0.05</v>
      </c>
      <c r="N3360" s="464">
        <f t="shared" si="152"/>
        <v>153311</v>
      </c>
    </row>
    <row r="3361" spans="7:14" ht="11.25" customHeight="1" x14ac:dyDescent="0.3">
      <c r="G3361" s="459"/>
      <c r="H3361" s="459">
        <v>3354</v>
      </c>
      <c r="I3361" s="444">
        <f t="shared" ca="1" si="150"/>
        <v>-385141081777.37354</v>
      </c>
      <c r="J3361" s="444">
        <f t="array" ref="J3361">IFERROR(INDEX('Retirement Calculator'!K:K,MATCH('Lorri 401b'!N3361,'Retirement Calculator'!A:A,0),0),0)</f>
        <v>0</v>
      </c>
      <c r="K3361" s="444">
        <f t="shared" ca="1" si="148"/>
        <v>-1604754507.4057231</v>
      </c>
      <c r="L3361" s="444">
        <f t="shared" ca="1" si="149"/>
        <v>-386745836284.77924</v>
      </c>
      <c r="M3361" s="460">
        <f t="shared" si="151"/>
        <v>0.05</v>
      </c>
      <c r="N3361" s="464">
        <f t="shared" si="152"/>
        <v>153342</v>
      </c>
    </row>
    <row r="3362" spans="7:14" ht="11.25" customHeight="1" x14ac:dyDescent="0.3">
      <c r="G3362" s="459"/>
      <c r="H3362" s="459">
        <v>3355</v>
      </c>
      <c r="I3362" s="444">
        <f t="shared" ca="1" si="150"/>
        <v>-386745836284.77924</v>
      </c>
      <c r="J3362" s="444">
        <f t="array" ref="J3362">IFERROR(INDEX('Retirement Calculator'!K:K,MATCH('Lorri 401b'!N3362,'Retirement Calculator'!A:A,0),0),0)</f>
        <v>0</v>
      </c>
      <c r="K3362" s="444">
        <f t="shared" ca="1" si="148"/>
        <v>-1611440984.5199134</v>
      </c>
      <c r="L3362" s="444">
        <f t="shared" ca="1" si="149"/>
        <v>-388357277269.29913</v>
      </c>
      <c r="M3362" s="460">
        <f t="shared" si="151"/>
        <v>0.05</v>
      </c>
      <c r="N3362" s="464">
        <f t="shared" si="152"/>
        <v>153372</v>
      </c>
    </row>
    <row r="3363" spans="7:14" ht="11.25" customHeight="1" x14ac:dyDescent="0.3">
      <c r="G3363" s="459"/>
      <c r="H3363" s="459">
        <v>3356</v>
      </c>
      <c r="I3363" s="444">
        <f t="shared" ca="1" si="150"/>
        <v>-388357277269.29913</v>
      </c>
      <c r="J3363" s="444">
        <f t="array" ref="J3363">IFERROR(INDEX('Retirement Calculator'!K:K,MATCH('Lorri 401b'!N3363,'Retirement Calculator'!A:A,0),0),0)</f>
        <v>0</v>
      </c>
      <c r="K3363" s="444">
        <f t="shared" ca="1" si="148"/>
        <v>-1618155321.9554131</v>
      </c>
      <c r="L3363" s="444">
        <f t="shared" ca="1" si="149"/>
        <v>-389975432591.25452</v>
      </c>
      <c r="M3363" s="460">
        <f t="shared" si="151"/>
        <v>0.05</v>
      </c>
      <c r="N3363" s="464">
        <f t="shared" si="152"/>
        <v>153403</v>
      </c>
    </row>
    <row r="3364" spans="7:14" ht="11.25" customHeight="1" x14ac:dyDescent="0.3">
      <c r="G3364" s="459"/>
      <c r="H3364" s="459">
        <v>3357</v>
      </c>
      <c r="I3364" s="444">
        <f t="shared" ca="1" si="150"/>
        <v>-389975432591.25452</v>
      </c>
      <c r="J3364" s="444">
        <f t="array" ref="J3364">IFERROR(INDEX('Retirement Calculator'!K:K,MATCH('Lorri 401b'!N3364,'Retirement Calculator'!A:A,0),0),0)</f>
        <v>0</v>
      </c>
      <c r="K3364" s="444">
        <f t="shared" ca="1" si="148"/>
        <v>-1624897635.7968938</v>
      </c>
      <c r="L3364" s="444">
        <f t="shared" ca="1" si="149"/>
        <v>-391600330227.05139</v>
      </c>
      <c r="M3364" s="460">
        <f t="shared" si="151"/>
        <v>0.05</v>
      </c>
      <c r="N3364" s="464">
        <f t="shared" si="152"/>
        <v>153434</v>
      </c>
    </row>
    <row r="3365" spans="7:14" ht="11.25" customHeight="1" x14ac:dyDescent="0.3">
      <c r="G3365" s="459"/>
      <c r="H3365" s="459">
        <v>3358</v>
      </c>
      <c r="I3365" s="444">
        <f t="shared" ca="1" si="150"/>
        <v>-391600330227.05139</v>
      </c>
      <c r="J3365" s="444">
        <f t="array" ref="J3365">IFERROR(INDEX('Retirement Calculator'!K:K,MATCH('Lorri 401b'!N3365,'Retirement Calculator'!A:A,0),0),0)</f>
        <v>0</v>
      </c>
      <c r="K3365" s="444">
        <f t="shared" ca="1" si="148"/>
        <v>-1631668042.6127141</v>
      </c>
      <c r="L3365" s="444">
        <f t="shared" ca="1" si="149"/>
        <v>-393231998269.66412</v>
      </c>
      <c r="M3365" s="460">
        <f t="shared" si="151"/>
        <v>0.05</v>
      </c>
      <c r="N3365" s="464">
        <f t="shared" si="152"/>
        <v>153463</v>
      </c>
    </row>
    <row r="3366" spans="7:14" ht="11.25" customHeight="1" x14ac:dyDescent="0.3">
      <c r="G3366" s="459"/>
      <c r="H3366" s="459">
        <v>3359</v>
      </c>
      <c r="I3366" s="444">
        <f t="shared" ca="1" si="150"/>
        <v>-393231998269.66412</v>
      </c>
      <c r="J3366" s="444">
        <f t="array" ref="J3366">IFERROR(INDEX('Retirement Calculator'!K:K,MATCH('Lorri 401b'!N3366,'Retirement Calculator'!A:A,0),0),0)</f>
        <v>0</v>
      </c>
      <c r="K3366" s="444">
        <f t="shared" ca="1" si="148"/>
        <v>-1638466659.4569337</v>
      </c>
      <c r="L3366" s="444">
        <f t="shared" ca="1" si="149"/>
        <v>-394870464929.12103</v>
      </c>
      <c r="M3366" s="460">
        <f t="shared" si="151"/>
        <v>0.05</v>
      </c>
      <c r="N3366" s="464">
        <f t="shared" si="152"/>
        <v>153494</v>
      </c>
    </row>
    <row r="3367" spans="7:14" ht="11.25" customHeight="1" x14ac:dyDescent="0.3">
      <c r="G3367" s="459"/>
      <c r="H3367" s="459">
        <v>3360</v>
      </c>
      <c r="I3367" s="444">
        <f t="shared" ca="1" si="150"/>
        <v>-394870464929.12103</v>
      </c>
      <c r="J3367" s="444">
        <f t="array" ref="J3367">IFERROR(INDEX('Retirement Calculator'!K:K,MATCH('Lorri 401b'!N3367,'Retirement Calculator'!A:A,0),0),0)</f>
        <v>0</v>
      </c>
      <c r="K3367" s="444">
        <f t="shared" ca="1" si="148"/>
        <v>-1645293603.8713377</v>
      </c>
      <c r="L3367" s="444">
        <f t="shared" ca="1" si="149"/>
        <v>-396515758532.99237</v>
      </c>
      <c r="M3367" s="460">
        <f t="shared" si="151"/>
        <v>0.05</v>
      </c>
      <c r="N3367" s="464">
        <f t="shared" si="152"/>
        <v>153524</v>
      </c>
    </row>
    <row r="3368" spans="7:14" ht="11.25" customHeight="1" x14ac:dyDescent="0.3">
      <c r="G3368" s="459"/>
      <c r="H3368" s="459">
        <v>3361</v>
      </c>
      <c r="I3368" s="444">
        <f t="shared" ca="1" si="150"/>
        <v>-396515758532.99237</v>
      </c>
      <c r="J3368" s="444">
        <f t="array" ref="J3368">IFERROR(INDEX('Retirement Calculator'!K:K,MATCH('Lorri 401b'!N3368,'Retirement Calculator'!A:A,0),0),0)</f>
        <v>0</v>
      </c>
      <c r="K3368" s="444">
        <f t="shared" ca="1" si="148"/>
        <v>-1652148993.8874681</v>
      </c>
      <c r="L3368" s="444">
        <f t="shared" ca="1" si="149"/>
        <v>-398167907526.87982</v>
      </c>
      <c r="M3368" s="460">
        <f t="shared" si="151"/>
        <v>0.05</v>
      </c>
      <c r="N3368" s="464">
        <f t="shared" si="152"/>
        <v>153555</v>
      </c>
    </row>
    <row r="3369" spans="7:14" ht="11.25" customHeight="1" x14ac:dyDescent="0.3">
      <c r="G3369" s="459"/>
      <c r="H3369" s="459">
        <v>3362</v>
      </c>
      <c r="I3369" s="444">
        <f t="shared" ca="1" si="150"/>
        <v>-398167907526.87982</v>
      </c>
      <c r="J3369" s="444">
        <f t="array" ref="J3369">IFERROR(INDEX('Retirement Calculator'!K:K,MATCH('Lorri 401b'!N3369,'Retirement Calculator'!A:A,0),0),0)</f>
        <v>0</v>
      </c>
      <c r="K3369" s="444">
        <f t="shared" ca="1" si="148"/>
        <v>-1659032948.028666</v>
      </c>
      <c r="L3369" s="444">
        <f t="shared" ca="1" si="149"/>
        <v>-399826940474.90851</v>
      </c>
      <c r="M3369" s="460">
        <f t="shared" si="151"/>
        <v>0.05</v>
      </c>
      <c r="N3369" s="464">
        <f t="shared" si="152"/>
        <v>153585</v>
      </c>
    </row>
    <row r="3370" spans="7:14" ht="11.25" customHeight="1" x14ac:dyDescent="0.3">
      <c r="G3370" s="459"/>
      <c r="H3370" s="459">
        <v>3363</v>
      </c>
      <c r="I3370" s="444">
        <f t="shared" ca="1" si="150"/>
        <v>-399826940474.90851</v>
      </c>
      <c r="J3370" s="444">
        <f t="array" ref="J3370">IFERROR(INDEX('Retirement Calculator'!K:K,MATCH('Lorri 401b'!N3370,'Retirement Calculator'!A:A,0),0),0)</f>
        <v>0</v>
      </c>
      <c r="K3370" s="444">
        <f t="shared" ca="1" si="148"/>
        <v>-1665945585.3121188</v>
      </c>
      <c r="L3370" s="444">
        <f t="shared" ca="1" si="149"/>
        <v>-401492886060.22064</v>
      </c>
      <c r="M3370" s="460">
        <f t="shared" si="151"/>
        <v>0.05</v>
      </c>
      <c r="N3370" s="464">
        <f t="shared" si="152"/>
        <v>153616</v>
      </c>
    </row>
    <row r="3371" spans="7:14" ht="11.25" customHeight="1" x14ac:dyDescent="0.3">
      <c r="G3371" s="459"/>
      <c r="H3371" s="459">
        <v>3364</v>
      </c>
      <c r="I3371" s="444">
        <f t="shared" ca="1" si="150"/>
        <v>-401492886060.22064</v>
      </c>
      <c r="J3371" s="444">
        <f t="array" ref="J3371">IFERROR(INDEX('Retirement Calculator'!K:K,MATCH('Lorri 401b'!N3371,'Retirement Calculator'!A:A,0),0),0)</f>
        <v>0</v>
      </c>
      <c r="K3371" s="444">
        <f t="shared" ca="1" si="148"/>
        <v>-1672887025.2509193</v>
      </c>
      <c r="L3371" s="444">
        <f t="shared" ca="1" si="149"/>
        <v>-403165773085.47156</v>
      </c>
      <c r="M3371" s="460">
        <f t="shared" si="151"/>
        <v>0.05</v>
      </c>
      <c r="N3371" s="464">
        <f t="shared" si="152"/>
        <v>153647</v>
      </c>
    </row>
    <row r="3372" spans="7:14" ht="11.25" customHeight="1" x14ac:dyDescent="0.3">
      <c r="G3372" s="459"/>
      <c r="H3372" s="459">
        <v>3365</v>
      </c>
      <c r="I3372" s="444">
        <f t="shared" ca="1" si="150"/>
        <v>-403165773085.47156</v>
      </c>
      <c r="J3372" s="444">
        <f t="array" ref="J3372">IFERROR(INDEX('Retirement Calculator'!K:K,MATCH('Lorri 401b'!N3372,'Retirement Calculator'!A:A,0),0),0)</f>
        <v>0</v>
      </c>
      <c r="K3372" s="444">
        <f t="shared" ca="1" si="148"/>
        <v>-1679857387.8561316</v>
      </c>
      <c r="L3372" s="444">
        <f t="shared" ca="1" si="149"/>
        <v>-404845630473.3277</v>
      </c>
      <c r="M3372" s="460">
        <f t="shared" si="151"/>
        <v>0.05</v>
      </c>
      <c r="N3372" s="464">
        <f t="shared" si="152"/>
        <v>153677</v>
      </c>
    </row>
    <row r="3373" spans="7:14" ht="11.25" customHeight="1" x14ac:dyDescent="0.3">
      <c r="G3373" s="459"/>
      <c r="H3373" s="459">
        <v>3366</v>
      </c>
      <c r="I3373" s="444">
        <f t="shared" ca="1" si="150"/>
        <v>-404845630473.3277</v>
      </c>
      <c r="J3373" s="444">
        <f t="array" ref="J3373">IFERROR(INDEX('Retirement Calculator'!K:K,MATCH('Lorri 401b'!N3373,'Retirement Calculator'!A:A,0),0),0)</f>
        <v>0</v>
      </c>
      <c r="K3373" s="444">
        <f t="shared" ca="1" si="148"/>
        <v>-1686856793.6388655</v>
      </c>
      <c r="L3373" s="444">
        <f t="shared" ca="1" si="149"/>
        <v>-406532487266.96655</v>
      </c>
      <c r="M3373" s="460">
        <f t="shared" si="151"/>
        <v>0.05</v>
      </c>
      <c r="N3373" s="464">
        <f t="shared" si="152"/>
        <v>153708</v>
      </c>
    </row>
    <row r="3374" spans="7:14" ht="11.25" customHeight="1" x14ac:dyDescent="0.3">
      <c r="G3374" s="459"/>
      <c r="H3374" s="459">
        <v>3367</v>
      </c>
      <c r="I3374" s="444">
        <f t="shared" ca="1" si="150"/>
        <v>-406532487266.96655</v>
      </c>
      <c r="J3374" s="444">
        <f t="array" ref="J3374">IFERROR(INDEX('Retirement Calculator'!K:K,MATCH('Lorri 401b'!N3374,'Retirement Calculator'!A:A,0),0),0)</f>
        <v>0</v>
      </c>
      <c r="K3374" s="444">
        <f t="shared" ca="1" si="148"/>
        <v>-1693885363.6123607</v>
      </c>
      <c r="L3374" s="444">
        <f t="shared" ca="1" si="149"/>
        <v>-408226372630.57892</v>
      </c>
      <c r="M3374" s="460">
        <f t="shared" si="151"/>
        <v>0.05</v>
      </c>
      <c r="N3374" s="464">
        <f t="shared" si="152"/>
        <v>153738</v>
      </c>
    </row>
    <row r="3375" spans="7:14" ht="11.25" customHeight="1" x14ac:dyDescent="0.3">
      <c r="G3375" s="459"/>
      <c r="H3375" s="459">
        <v>3368</v>
      </c>
      <c r="I3375" s="444">
        <f t="shared" ca="1" si="150"/>
        <v>-408226372630.57892</v>
      </c>
      <c r="J3375" s="444">
        <f t="array" ref="J3375">IFERROR(INDEX('Retirement Calculator'!K:K,MATCH('Lorri 401b'!N3375,'Retirement Calculator'!A:A,0),0),0)</f>
        <v>0</v>
      </c>
      <c r="K3375" s="444">
        <f t="shared" ca="1" si="148"/>
        <v>-1700943219.2940788</v>
      </c>
      <c r="L3375" s="444">
        <f t="shared" ca="1" si="149"/>
        <v>-409927315849.87299</v>
      </c>
      <c r="M3375" s="460">
        <f t="shared" si="151"/>
        <v>0.05</v>
      </c>
      <c r="N3375" s="464">
        <f t="shared" si="152"/>
        <v>153769</v>
      </c>
    </row>
    <row r="3376" spans="7:14" ht="11.25" customHeight="1" x14ac:dyDescent="0.3">
      <c r="G3376" s="459"/>
      <c r="H3376" s="459">
        <v>3369</v>
      </c>
      <c r="I3376" s="444">
        <f t="shared" ca="1" si="150"/>
        <v>-409927315849.87299</v>
      </c>
      <c r="J3376" s="444">
        <f t="array" ref="J3376">IFERROR(INDEX('Retirement Calculator'!K:K,MATCH('Lorri 401b'!N3376,'Retirement Calculator'!A:A,0),0),0)</f>
        <v>0</v>
      </c>
      <c r="K3376" s="444">
        <f t="shared" ca="1" si="148"/>
        <v>-1708030482.7078042</v>
      </c>
      <c r="L3376" s="444">
        <f t="shared" ca="1" si="149"/>
        <v>-411635346332.58081</v>
      </c>
      <c r="M3376" s="460">
        <f t="shared" si="151"/>
        <v>0.05</v>
      </c>
      <c r="N3376" s="464">
        <f t="shared" si="152"/>
        <v>153800</v>
      </c>
    </row>
    <row r="3377" spans="7:14" ht="11.25" customHeight="1" x14ac:dyDescent="0.3">
      <c r="G3377" s="459"/>
      <c r="H3377" s="459">
        <v>3370</v>
      </c>
      <c r="I3377" s="444">
        <f t="shared" ca="1" si="150"/>
        <v>-411635346332.58081</v>
      </c>
      <c r="J3377" s="444">
        <f t="array" ref="J3377">IFERROR(INDEX('Retirement Calculator'!K:K,MATCH('Lorri 401b'!N3377,'Retirement Calculator'!A:A,0),0),0)</f>
        <v>0</v>
      </c>
      <c r="K3377" s="444">
        <f t="shared" ca="1" si="148"/>
        <v>-1715147276.3857534</v>
      </c>
      <c r="L3377" s="444">
        <f t="shared" ca="1" si="149"/>
        <v>-413350493608.96655</v>
      </c>
      <c r="M3377" s="460">
        <f t="shared" si="151"/>
        <v>0.05</v>
      </c>
      <c r="N3377" s="464">
        <f t="shared" si="152"/>
        <v>153828</v>
      </c>
    </row>
    <row r="3378" spans="7:14" ht="11.25" customHeight="1" x14ac:dyDescent="0.3">
      <c r="G3378" s="459"/>
      <c r="H3378" s="459">
        <v>3371</v>
      </c>
      <c r="I3378" s="444">
        <f t="shared" ca="1" si="150"/>
        <v>-413350493608.96655</v>
      </c>
      <c r="J3378" s="444">
        <f t="array" ref="J3378">IFERROR(INDEX('Retirement Calculator'!K:K,MATCH('Lorri 401b'!N3378,'Retirement Calculator'!A:A,0),0),0)</f>
        <v>0</v>
      </c>
      <c r="K3378" s="444">
        <f t="shared" ca="1" si="148"/>
        <v>-1722293723.3706939</v>
      </c>
      <c r="L3378" s="444">
        <f t="shared" ca="1" si="149"/>
        <v>-415072787332.33722</v>
      </c>
      <c r="M3378" s="460">
        <f t="shared" si="151"/>
        <v>0.05</v>
      </c>
      <c r="N3378" s="464">
        <f t="shared" si="152"/>
        <v>153859</v>
      </c>
    </row>
    <row r="3379" spans="7:14" ht="11.25" customHeight="1" x14ac:dyDescent="0.3">
      <c r="G3379" s="459"/>
      <c r="H3379" s="459">
        <v>3372</v>
      </c>
      <c r="I3379" s="444">
        <f t="shared" ca="1" si="150"/>
        <v>-415072787332.33722</v>
      </c>
      <c r="J3379" s="444">
        <f t="array" ref="J3379">IFERROR(INDEX('Retirement Calculator'!K:K,MATCH('Lorri 401b'!N3379,'Retirement Calculator'!A:A,0),0),0)</f>
        <v>0</v>
      </c>
      <c r="K3379" s="444">
        <f t="shared" ca="1" si="148"/>
        <v>-1729469947.2180717</v>
      </c>
      <c r="L3379" s="444">
        <f t="shared" ca="1" si="149"/>
        <v>-416802257279.5553</v>
      </c>
      <c r="M3379" s="460">
        <f t="shared" si="151"/>
        <v>0.05</v>
      </c>
      <c r="N3379" s="464">
        <f t="shared" si="152"/>
        <v>153889</v>
      </c>
    </row>
    <row r="3380" spans="7:14" ht="11.25" customHeight="1" x14ac:dyDescent="0.3">
      <c r="G3380" s="459"/>
      <c r="H3380" s="459">
        <v>3373</v>
      </c>
      <c r="I3380" s="444">
        <f t="shared" ca="1" si="150"/>
        <v>-416802257279.5553</v>
      </c>
      <c r="J3380" s="444">
        <f t="array" ref="J3380">IFERROR(INDEX('Retirement Calculator'!K:K,MATCH('Lorri 401b'!N3380,'Retirement Calculator'!A:A,0),0),0)</f>
        <v>0</v>
      </c>
      <c r="K3380" s="444">
        <f t="shared" ca="1" si="148"/>
        <v>-1736676071.998147</v>
      </c>
      <c r="L3380" s="444">
        <f t="shared" ca="1" si="149"/>
        <v>-418538933351.55347</v>
      </c>
      <c r="M3380" s="460">
        <f t="shared" si="151"/>
        <v>0.05</v>
      </c>
      <c r="N3380" s="464">
        <f t="shared" si="152"/>
        <v>153920</v>
      </c>
    </row>
    <row r="3381" spans="7:14" ht="11.25" customHeight="1" x14ac:dyDescent="0.3">
      <c r="G3381" s="459"/>
      <c r="H3381" s="459">
        <v>3374</v>
      </c>
      <c r="I3381" s="444">
        <f t="shared" ca="1" si="150"/>
        <v>-418538933351.55347</v>
      </c>
      <c r="J3381" s="444">
        <f t="array" ref="J3381">IFERROR(INDEX('Retirement Calculator'!K:K,MATCH('Lorri 401b'!N3381,'Retirement Calculator'!A:A,0),0),0)</f>
        <v>0</v>
      </c>
      <c r="K3381" s="444">
        <f t="shared" ca="1" si="148"/>
        <v>-1743912222.2981393</v>
      </c>
      <c r="L3381" s="444">
        <f t="shared" ca="1" si="149"/>
        <v>-420282845573.85162</v>
      </c>
      <c r="M3381" s="460">
        <f t="shared" si="151"/>
        <v>0.05</v>
      </c>
      <c r="N3381" s="464">
        <f t="shared" si="152"/>
        <v>153950</v>
      </c>
    </row>
    <row r="3382" spans="7:14" ht="11.25" customHeight="1" x14ac:dyDescent="0.3">
      <c r="G3382" s="459"/>
      <c r="H3382" s="459">
        <v>3375</v>
      </c>
      <c r="I3382" s="444">
        <f t="shared" ca="1" si="150"/>
        <v>-420282845573.85162</v>
      </c>
      <c r="J3382" s="444">
        <f t="array" ref="J3382">IFERROR(INDEX('Retirement Calculator'!K:K,MATCH('Lorri 401b'!N3382,'Retirement Calculator'!A:A,0),0),0)</f>
        <v>0</v>
      </c>
      <c r="K3382" s="444">
        <f t="shared" ca="1" si="148"/>
        <v>-1751178523.2243817</v>
      </c>
      <c r="L3382" s="444">
        <f t="shared" ca="1" si="149"/>
        <v>-422034024097.07599</v>
      </c>
      <c r="M3382" s="460">
        <f t="shared" si="151"/>
        <v>0.05</v>
      </c>
      <c r="N3382" s="464">
        <f t="shared" si="152"/>
        <v>153981</v>
      </c>
    </row>
    <row r="3383" spans="7:14" ht="11.25" customHeight="1" x14ac:dyDescent="0.3">
      <c r="G3383" s="459"/>
      <c r="H3383" s="459">
        <v>3376</v>
      </c>
      <c r="I3383" s="444">
        <f t="shared" ca="1" si="150"/>
        <v>-422034024097.07599</v>
      </c>
      <c r="J3383" s="444">
        <f t="array" ref="J3383">IFERROR(INDEX('Retirement Calculator'!K:K,MATCH('Lorri 401b'!N3383,'Retirement Calculator'!A:A,0),0),0)</f>
        <v>0</v>
      </c>
      <c r="K3383" s="444">
        <f t="shared" ca="1" si="148"/>
        <v>-1758475100.4044833</v>
      </c>
      <c r="L3383" s="444">
        <f t="shared" ca="1" si="149"/>
        <v>-423792499197.48047</v>
      </c>
      <c r="M3383" s="460">
        <f t="shared" si="151"/>
        <v>0.05</v>
      </c>
      <c r="N3383" s="464">
        <f t="shared" si="152"/>
        <v>154012</v>
      </c>
    </row>
    <row r="3384" spans="7:14" ht="11.25" customHeight="1" x14ac:dyDescent="0.3">
      <c r="G3384" s="459"/>
      <c r="H3384" s="459">
        <v>3377</v>
      </c>
      <c r="I3384" s="444">
        <f t="shared" ca="1" si="150"/>
        <v>-423792499197.48047</v>
      </c>
      <c r="J3384" s="444">
        <f t="array" ref="J3384">IFERROR(INDEX('Retirement Calculator'!K:K,MATCH('Lorri 401b'!N3384,'Retirement Calculator'!A:A,0),0),0)</f>
        <v>0</v>
      </c>
      <c r="K3384" s="444">
        <f t="shared" ca="1" si="148"/>
        <v>-1765802079.989502</v>
      </c>
      <c r="L3384" s="444">
        <f t="shared" ca="1" si="149"/>
        <v>-425558301277.46997</v>
      </c>
      <c r="M3384" s="460">
        <f t="shared" si="151"/>
        <v>0.05</v>
      </c>
      <c r="N3384" s="464">
        <f t="shared" si="152"/>
        <v>154042</v>
      </c>
    </row>
    <row r="3385" spans="7:14" ht="11.25" customHeight="1" x14ac:dyDescent="0.3">
      <c r="G3385" s="459"/>
      <c r="H3385" s="459">
        <v>3378</v>
      </c>
      <c r="I3385" s="444">
        <f t="shared" ca="1" si="150"/>
        <v>-425558301277.46997</v>
      </c>
      <c r="J3385" s="444">
        <f t="array" ref="J3385">IFERROR(INDEX('Retirement Calculator'!K:K,MATCH('Lorri 401b'!N3385,'Retirement Calculator'!A:A,0),0),0)</f>
        <v>0</v>
      </c>
      <c r="K3385" s="444">
        <f t="shared" ca="1" si="148"/>
        <v>-1773159588.6561248</v>
      </c>
      <c r="L3385" s="444">
        <f t="shared" ca="1" si="149"/>
        <v>-427331460866.1261</v>
      </c>
      <c r="M3385" s="460">
        <f t="shared" si="151"/>
        <v>0.05</v>
      </c>
      <c r="N3385" s="464">
        <f t="shared" si="152"/>
        <v>154073</v>
      </c>
    </row>
    <row r="3386" spans="7:14" ht="11.25" customHeight="1" x14ac:dyDescent="0.3">
      <c r="G3386" s="459"/>
      <c r="H3386" s="459">
        <v>3379</v>
      </c>
      <c r="I3386" s="444">
        <f t="shared" ca="1" si="150"/>
        <v>-427331460866.1261</v>
      </c>
      <c r="J3386" s="444">
        <f t="array" ref="J3386">IFERROR(INDEX('Retirement Calculator'!K:K,MATCH('Lorri 401b'!N3386,'Retirement Calculator'!A:A,0),0),0)</f>
        <v>0</v>
      </c>
      <c r="K3386" s="444">
        <f t="shared" ca="1" si="148"/>
        <v>-1780547753.6088588</v>
      </c>
      <c r="L3386" s="444">
        <f t="shared" ca="1" si="149"/>
        <v>-429112008619.73499</v>
      </c>
      <c r="M3386" s="460">
        <f t="shared" si="151"/>
        <v>0.05</v>
      </c>
      <c r="N3386" s="464">
        <f t="shared" si="152"/>
        <v>154103</v>
      </c>
    </row>
    <row r="3387" spans="7:14" ht="11.25" customHeight="1" x14ac:dyDescent="0.3">
      <c r="G3387" s="459"/>
      <c r="H3387" s="459">
        <v>3380</v>
      </c>
      <c r="I3387" s="444">
        <f t="shared" ca="1" si="150"/>
        <v>-429112008619.73499</v>
      </c>
      <c r="J3387" s="444">
        <f t="array" ref="J3387">IFERROR(INDEX('Retirement Calculator'!K:K,MATCH('Lorri 401b'!N3387,'Retirement Calculator'!A:A,0),0),0)</f>
        <v>0</v>
      </c>
      <c r="K3387" s="444">
        <f t="shared" ca="1" si="148"/>
        <v>-1787966702.5822291</v>
      </c>
      <c r="L3387" s="444">
        <f t="shared" ca="1" si="149"/>
        <v>-430899975322.3172</v>
      </c>
      <c r="M3387" s="460">
        <f t="shared" si="151"/>
        <v>0.05</v>
      </c>
      <c r="N3387" s="464">
        <f t="shared" si="152"/>
        <v>154134</v>
      </c>
    </row>
    <row r="3388" spans="7:14" ht="11.25" customHeight="1" x14ac:dyDescent="0.3">
      <c r="G3388" s="459"/>
      <c r="H3388" s="459">
        <v>3381</v>
      </c>
      <c r="I3388" s="444">
        <f t="shared" ca="1" si="150"/>
        <v>-430899975322.3172</v>
      </c>
      <c r="J3388" s="444">
        <f t="array" ref="J3388">IFERROR(INDEX('Retirement Calculator'!K:K,MATCH('Lorri 401b'!N3388,'Retirement Calculator'!A:A,0),0),0)</f>
        <v>0</v>
      </c>
      <c r="K3388" s="444">
        <f t="shared" ca="1" si="148"/>
        <v>-1795416563.842988</v>
      </c>
      <c r="L3388" s="444">
        <f t="shared" ca="1" si="149"/>
        <v>-432695391886.16022</v>
      </c>
      <c r="M3388" s="460">
        <f t="shared" si="151"/>
        <v>0.05</v>
      </c>
      <c r="N3388" s="464">
        <f t="shared" si="152"/>
        <v>154165</v>
      </c>
    </row>
    <row r="3389" spans="7:14" ht="11.25" customHeight="1" x14ac:dyDescent="0.3">
      <c r="G3389" s="459"/>
      <c r="H3389" s="459">
        <v>3382</v>
      </c>
      <c r="I3389" s="444">
        <f t="shared" ca="1" si="150"/>
        <v>-432695391886.16022</v>
      </c>
      <c r="J3389" s="444">
        <f t="array" ref="J3389">IFERROR(INDEX('Retirement Calculator'!K:K,MATCH('Lorri 401b'!N3389,'Retirement Calculator'!A:A,0),0),0)</f>
        <v>0</v>
      </c>
      <c r="K3389" s="444">
        <f t="shared" ca="1" si="148"/>
        <v>-1802897466.1923344</v>
      </c>
      <c r="L3389" s="444">
        <f t="shared" ca="1" si="149"/>
        <v>-434498289352.35254</v>
      </c>
      <c r="M3389" s="460">
        <f t="shared" si="151"/>
        <v>0.05</v>
      </c>
      <c r="N3389" s="464">
        <f t="shared" si="152"/>
        <v>154193</v>
      </c>
    </row>
    <row r="3390" spans="7:14" ht="11.25" customHeight="1" x14ac:dyDescent="0.3">
      <c r="G3390" s="459"/>
      <c r="H3390" s="459">
        <v>3383</v>
      </c>
      <c r="I3390" s="444">
        <f t="shared" ca="1" si="150"/>
        <v>-434498289352.35254</v>
      </c>
      <c r="J3390" s="444">
        <f t="array" ref="J3390">IFERROR(INDEX('Retirement Calculator'!K:K,MATCH('Lorri 401b'!N3390,'Retirement Calculator'!A:A,0),0),0)</f>
        <v>0</v>
      </c>
      <c r="K3390" s="444">
        <f t="shared" ca="1" si="148"/>
        <v>-1810409538.9681358</v>
      </c>
      <c r="L3390" s="444">
        <f t="shared" ca="1" si="149"/>
        <v>-436308698891.32068</v>
      </c>
      <c r="M3390" s="460">
        <f t="shared" si="151"/>
        <v>0.05</v>
      </c>
      <c r="N3390" s="464">
        <f t="shared" si="152"/>
        <v>154224</v>
      </c>
    </row>
    <row r="3391" spans="7:14" ht="11.25" customHeight="1" x14ac:dyDescent="0.3">
      <c r="G3391" s="459"/>
      <c r="H3391" s="459">
        <v>3384</v>
      </c>
      <c r="I3391" s="444">
        <f t="shared" ca="1" si="150"/>
        <v>-436308698891.32068</v>
      </c>
      <c r="J3391" s="444">
        <f t="array" ref="J3391">IFERROR(INDEX('Retirement Calculator'!K:K,MATCH('Lorri 401b'!N3391,'Retirement Calculator'!A:A,0),0),0)</f>
        <v>0</v>
      </c>
      <c r="K3391" s="444">
        <f t="shared" ca="1" si="148"/>
        <v>-1817952912.0471694</v>
      </c>
      <c r="L3391" s="444">
        <f t="shared" ca="1" si="149"/>
        <v>-438126651803.36786</v>
      </c>
      <c r="M3391" s="460">
        <f t="shared" si="151"/>
        <v>0.05</v>
      </c>
      <c r="N3391" s="464">
        <f t="shared" si="152"/>
        <v>154254</v>
      </c>
    </row>
    <row r="3392" spans="7:14" ht="11.25" customHeight="1" x14ac:dyDescent="0.3">
      <c r="G3392" s="459"/>
      <c r="H3392" s="459">
        <v>3385</v>
      </c>
      <c r="I3392" s="444">
        <f t="shared" ca="1" si="150"/>
        <v>-438126651803.36786</v>
      </c>
      <c r="J3392" s="444">
        <f t="array" ref="J3392">IFERROR(INDEX('Retirement Calculator'!K:K,MATCH('Lorri 401b'!N3392,'Retirement Calculator'!A:A,0),0),0)</f>
        <v>0</v>
      </c>
      <c r="K3392" s="444">
        <f t="shared" ca="1" si="148"/>
        <v>-1825527715.8473661</v>
      </c>
      <c r="L3392" s="444">
        <f t="shared" ca="1" si="149"/>
        <v>-439952179519.21521</v>
      </c>
      <c r="M3392" s="460">
        <f t="shared" si="151"/>
        <v>0.05</v>
      </c>
      <c r="N3392" s="464">
        <f t="shared" si="152"/>
        <v>154285</v>
      </c>
    </row>
    <row r="3393" spans="7:14" ht="11.25" customHeight="1" x14ac:dyDescent="0.3">
      <c r="G3393" s="459"/>
      <c r="H3393" s="459">
        <v>3386</v>
      </c>
      <c r="I3393" s="444">
        <f t="shared" ca="1" si="150"/>
        <v>-439952179519.21521</v>
      </c>
      <c r="J3393" s="444">
        <f t="array" ref="J3393">IFERROR(INDEX('Retirement Calculator'!K:K,MATCH('Lorri 401b'!N3393,'Retirement Calculator'!A:A,0),0),0)</f>
        <v>0</v>
      </c>
      <c r="K3393" s="444">
        <f t="shared" ca="1" si="148"/>
        <v>-1833134081.3300633</v>
      </c>
      <c r="L3393" s="444">
        <f t="shared" ca="1" si="149"/>
        <v>-441785313600.54529</v>
      </c>
      <c r="M3393" s="460">
        <f t="shared" si="151"/>
        <v>0.05</v>
      </c>
      <c r="N3393" s="464">
        <f t="shared" si="152"/>
        <v>154315</v>
      </c>
    </row>
    <row r="3394" spans="7:14" ht="11.25" customHeight="1" x14ac:dyDescent="0.3">
      <c r="G3394" s="459"/>
      <c r="H3394" s="459">
        <v>3387</v>
      </c>
      <c r="I3394" s="444">
        <f t="shared" ca="1" si="150"/>
        <v>-441785313600.54529</v>
      </c>
      <c r="J3394" s="444">
        <f t="array" ref="J3394">IFERROR(INDEX('Retirement Calculator'!K:K,MATCH('Lorri 401b'!N3394,'Retirement Calculator'!A:A,0),0),0)</f>
        <v>0</v>
      </c>
      <c r="K3394" s="444">
        <f t="shared" ca="1" si="148"/>
        <v>-1840772140.0022719</v>
      </c>
      <c r="L3394" s="444">
        <f t="shared" ca="1" si="149"/>
        <v>-443626085740.54755</v>
      </c>
      <c r="M3394" s="460">
        <f t="shared" si="151"/>
        <v>0.05</v>
      </c>
      <c r="N3394" s="464">
        <f t="shared" si="152"/>
        <v>154346</v>
      </c>
    </row>
    <row r="3395" spans="7:14" ht="11.25" customHeight="1" x14ac:dyDescent="0.3">
      <c r="G3395" s="459"/>
      <c r="H3395" s="459">
        <v>3388</v>
      </c>
      <c r="I3395" s="444">
        <f t="shared" ca="1" si="150"/>
        <v>-443626085740.54755</v>
      </c>
      <c r="J3395" s="444">
        <f t="array" ref="J3395">IFERROR(INDEX('Retirement Calculator'!K:K,MATCH('Lorri 401b'!N3395,'Retirement Calculator'!A:A,0),0),0)</f>
        <v>0</v>
      </c>
      <c r="K3395" s="444">
        <f t="shared" ca="1" si="148"/>
        <v>-1848442023.9189484</v>
      </c>
      <c r="L3395" s="444">
        <f t="shared" ca="1" si="149"/>
        <v>-445474527764.46649</v>
      </c>
      <c r="M3395" s="460">
        <f t="shared" si="151"/>
        <v>0.05</v>
      </c>
      <c r="N3395" s="464">
        <f t="shared" si="152"/>
        <v>154377</v>
      </c>
    </row>
    <row r="3396" spans="7:14" ht="11.25" customHeight="1" x14ac:dyDescent="0.3">
      <c r="G3396" s="459"/>
      <c r="H3396" s="459">
        <v>3389</v>
      </c>
      <c r="I3396" s="444">
        <f t="shared" ca="1" si="150"/>
        <v>-445474527764.46649</v>
      </c>
      <c r="J3396" s="444">
        <f t="array" ref="J3396">IFERROR(INDEX('Retirement Calculator'!K:K,MATCH('Lorri 401b'!N3396,'Retirement Calculator'!A:A,0),0),0)</f>
        <v>0</v>
      </c>
      <c r="K3396" s="444">
        <f t="shared" ca="1" si="148"/>
        <v>-1856143865.685277</v>
      </c>
      <c r="L3396" s="444">
        <f t="shared" ca="1" si="149"/>
        <v>-447330671630.15179</v>
      </c>
      <c r="M3396" s="460">
        <f t="shared" si="151"/>
        <v>0.05</v>
      </c>
      <c r="N3396" s="464">
        <f t="shared" si="152"/>
        <v>154407</v>
      </c>
    </row>
    <row r="3397" spans="7:14" ht="11.25" customHeight="1" x14ac:dyDescent="0.3">
      <c r="G3397" s="459"/>
      <c r="H3397" s="459">
        <v>3390</v>
      </c>
      <c r="I3397" s="444">
        <f t="shared" ca="1" si="150"/>
        <v>-447330671630.15179</v>
      </c>
      <c r="J3397" s="444">
        <f t="array" ref="J3397">IFERROR(INDEX('Retirement Calculator'!K:K,MATCH('Lorri 401b'!N3397,'Retirement Calculator'!A:A,0),0),0)</f>
        <v>0</v>
      </c>
      <c r="K3397" s="444">
        <f t="shared" ca="1" si="148"/>
        <v>-1863877798.458966</v>
      </c>
      <c r="L3397" s="444">
        <f t="shared" ca="1" si="149"/>
        <v>-449194549428.61078</v>
      </c>
      <c r="M3397" s="460">
        <f t="shared" si="151"/>
        <v>0.05</v>
      </c>
      <c r="N3397" s="464">
        <f t="shared" si="152"/>
        <v>154438</v>
      </c>
    </row>
    <row r="3398" spans="7:14" ht="11.25" customHeight="1" x14ac:dyDescent="0.3">
      <c r="G3398" s="459"/>
      <c r="H3398" s="459">
        <v>3391</v>
      </c>
      <c r="I3398" s="444">
        <f t="shared" ca="1" si="150"/>
        <v>-449194549428.61078</v>
      </c>
      <c r="J3398" s="444">
        <f t="array" ref="J3398">IFERROR(INDEX('Retirement Calculator'!K:K,MATCH('Lorri 401b'!N3398,'Retirement Calculator'!A:A,0),0),0)</f>
        <v>0</v>
      </c>
      <c r="K3398" s="444">
        <f t="shared" ca="1" si="148"/>
        <v>-1871643955.9525449</v>
      </c>
      <c r="L3398" s="444">
        <f t="shared" ca="1" si="149"/>
        <v>-451066193384.56329</v>
      </c>
      <c r="M3398" s="460">
        <f t="shared" si="151"/>
        <v>0.05</v>
      </c>
      <c r="N3398" s="464">
        <f t="shared" si="152"/>
        <v>154468</v>
      </c>
    </row>
    <row r="3399" spans="7:14" ht="11.25" customHeight="1" x14ac:dyDescent="0.3">
      <c r="G3399" s="459"/>
      <c r="H3399" s="459">
        <v>3392</v>
      </c>
      <c r="I3399" s="444">
        <f t="shared" ca="1" si="150"/>
        <v>-451066193384.56329</v>
      </c>
      <c r="J3399" s="444">
        <f t="array" ref="J3399">IFERROR(INDEX('Retirement Calculator'!K:K,MATCH('Lorri 401b'!N3399,'Retirement Calculator'!A:A,0),0),0)</f>
        <v>0</v>
      </c>
      <c r="K3399" s="444">
        <f t="shared" ca="1" si="148"/>
        <v>-1879442472.4356802</v>
      </c>
      <c r="L3399" s="444">
        <f t="shared" ca="1" si="149"/>
        <v>-452945635856.99896</v>
      </c>
      <c r="M3399" s="460">
        <f t="shared" si="151"/>
        <v>0.05</v>
      </c>
      <c r="N3399" s="464">
        <f t="shared" si="152"/>
        <v>154499</v>
      </c>
    </row>
    <row r="3400" spans="7:14" ht="11.25" customHeight="1" x14ac:dyDescent="0.3">
      <c r="G3400" s="459"/>
      <c r="H3400" s="459">
        <v>3393</v>
      </c>
      <c r="I3400" s="444">
        <f t="shared" ca="1" si="150"/>
        <v>-452945635856.99896</v>
      </c>
      <c r="J3400" s="444">
        <f t="array" ref="J3400">IFERROR(INDEX('Retirement Calculator'!K:K,MATCH('Lorri 401b'!N3400,'Retirement Calculator'!A:A,0),0),0)</f>
        <v>0</v>
      </c>
      <c r="K3400" s="444">
        <f t="shared" ca="1" si="148"/>
        <v>-1887273482.7374957</v>
      </c>
      <c r="L3400" s="444">
        <f t="shared" ca="1" si="149"/>
        <v>-454832909339.73645</v>
      </c>
      <c r="M3400" s="460">
        <f t="shared" si="151"/>
        <v>0.05</v>
      </c>
      <c r="N3400" s="464">
        <f t="shared" si="152"/>
        <v>154530</v>
      </c>
    </row>
    <row r="3401" spans="7:14" ht="11.25" customHeight="1" x14ac:dyDescent="0.3">
      <c r="G3401" s="459"/>
      <c r="H3401" s="459">
        <v>3394</v>
      </c>
      <c r="I3401" s="444">
        <f t="shared" ca="1" si="150"/>
        <v>-454832909339.73645</v>
      </c>
      <c r="J3401" s="444">
        <f t="array" ref="J3401">IFERROR(INDEX('Retirement Calculator'!K:K,MATCH('Lorri 401b'!N3401,'Retirement Calculator'!A:A,0),0),0)</f>
        <v>0</v>
      </c>
      <c r="K3401" s="444">
        <f t="shared" ca="1" si="148"/>
        <v>-1895137122.2489016</v>
      </c>
      <c r="L3401" s="444">
        <f t="shared" ca="1" si="149"/>
        <v>-456728046461.98535</v>
      </c>
      <c r="M3401" s="460">
        <f t="shared" si="151"/>
        <v>0.05</v>
      </c>
      <c r="N3401" s="464">
        <f t="shared" si="152"/>
        <v>154558</v>
      </c>
    </row>
    <row r="3402" spans="7:14" ht="11.25" customHeight="1" x14ac:dyDescent="0.3">
      <c r="G3402" s="459"/>
      <c r="H3402" s="459">
        <v>3395</v>
      </c>
      <c r="I3402" s="444">
        <f t="shared" ca="1" si="150"/>
        <v>-456728046461.98535</v>
      </c>
      <c r="J3402" s="444">
        <f t="array" ref="J3402">IFERROR(INDEX('Retirement Calculator'!K:K,MATCH('Lorri 401b'!N3402,'Retirement Calculator'!A:A,0),0),0)</f>
        <v>0</v>
      </c>
      <c r="K3402" s="444">
        <f t="shared" ca="1" si="148"/>
        <v>-1903033526.9249389</v>
      </c>
      <c r="L3402" s="444">
        <f t="shared" ca="1" si="149"/>
        <v>-458631079988.91028</v>
      </c>
      <c r="M3402" s="460">
        <f t="shared" si="151"/>
        <v>0.05</v>
      </c>
      <c r="N3402" s="464">
        <f t="shared" si="152"/>
        <v>154589</v>
      </c>
    </row>
    <row r="3403" spans="7:14" ht="11.25" customHeight="1" x14ac:dyDescent="0.3">
      <c r="G3403" s="459"/>
      <c r="H3403" s="459">
        <v>3396</v>
      </c>
      <c r="I3403" s="444">
        <f t="shared" ca="1" si="150"/>
        <v>-458631079988.91028</v>
      </c>
      <c r="J3403" s="444">
        <f t="array" ref="J3403">IFERROR(INDEX('Retirement Calculator'!K:K,MATCH('Lorri 401b'!N3403,'Retirement Calculator'!A:A,0),0),0)</f>
        <v>0</v>
      </c>
      <c r="K3403" s="444">
        <f t="shared" ca="1" si="148"/>
        <v>-1910962833.2871263</v>
      </c>
      <c r="L3403" s="444">
        <f t="shared" ca="1" si="149"/>
        <v>-460542042822.19739</v>
      </c>
      <c r="M3403" s="460">
        <f t="shared" si="151"/>
        <v>0.05</v>
      </c>
      <c r="N3403" s="464">
        <f t="shared" si="152"/>
        <v>154619</v>
      </c>
    </row>
    <row r="3404" spans="7:14" ht="11.25" customHeight="1" x14ac:dyDescent="0.3">
      <c r="G3404" s="459"/>
      <c r="H3404" s="459">
        <v>3397</v>
      </c>
      <c r="I3404" s="444">
        <f t="shared" ca="1" si="150"/>
        <v>-460542042822.19739</v>
      </c>
      <c r="J3404" s="444">
        <f t="array" ref="J3404">IFERROR(INDEX('Retirement Calculator'!K:K,MATCH('Lorri 401b'!N3404,'Retirement Calculator'!A:A,0),0),0)</f>
        <v>0</v>
      </c>
      <c r="K3404" s="444">
        <f t="shared" ca="1" si="148"/>
        <v>-1918925178.4258227</v>
      </c>
      <c r="L3404" s="444">
        <f t="shared" ca="1" si="149"/>
        <v>-462460968000.62323</v>
      </c>
      <c r="M3404" s="460">
        <f t="shared" si="151"/>
        <v>0.05</v>
      </c>
      <c r="N3404" s="464">
        <f t="shared" si="152"/>
        <v>154650</v>
      </c>
    </row>
    <row r="3405" spans="7:14" ht="11.25" customHeight="1" x14ac:dyDescent="0.3">
      <c r="G3405" s="459"/>
      <c r="H3405" s="459">
        <v>3398</v>
      </c>
      <c r="I3405" s="444">
        <f t="shared" ca="1" si="150"/>
        <v>-462460968000.62323</v>
      </c>
      <c r="J3405" s="444">
        <f t="array" ref="J3405">IFERROR(INDEX('Retirement Calculator'!K:K,MATCH('Lorri 401b'!N3405,'Retirement Calculator'!A:A,0),0),0)</f>
        <v>0</v>
      </c>
      <c r="K3405" s="444">
        <f t="shared" ca="1" si="148"/>
        <v>-1926920700.0025969</v>
      </c>
      <c r="L3405" s="444">
        <f t="shared" ca="1" si="149"/>
        <v>-464387888700.62585</v>
      </c>
      <c r="M3405" s="460">
        <f t="shared" si="151"/>
        <v>0.05</v>
      </c>
      <c r="N3405" s="464">
        <f t="shared" si="152"/>
        <v>154680</v>
      </c>
    </row>
    <row r="3406" spans="7:14" ht="11.25" customHeight="1" x14ac:dyDescent="0.3">
      <c r="G3406" s="459"/>
      <c r="H3406" s="459">
        <v>3399</v>
      </c>
      <c r="I3406" s="444">
        <f t="shared" ca="1" si="150"/>
        <v>-464387888700.62585</v>
      </c>
      <c r="J3406" s="444">
        <f t="array" ref="J3406">IFERROR(INDEX('Retirement Calculator'!K:K,MATCH('Lorri 401b'!N3406,'Retirement Calculator'!A:A,0),0),0)</f>
        <v>0</v>
      </c>
      <c r="K3406" s="444">
        <f t="shared" ca="1" si="148"/>
        <v>-1934949536.2526076</v>
      </c>
      <c r="L3406" s="444">
        <f t="shared" ca="1" si="149"/>
        <v>-466322838236.87848</v>
      </c>
      <c r="M3406" s="460">
        <f t="shared" si="151"/>
        <v>0.05</v>
      </c>
      <c r="N3406" s="464">
        <f t="shared" si="152"/>
        <v>154711</v>
      </c>
    </row>
    <row r="3407" spans="7:14" ht="11.25" customHeight="1" x14ac:dyDescent="0.3">
      <c r="G3407" s="459"/>
      <c r="H3407" s="459">
        <v>3400</v>
      </c>
      <c r="I3407" s="444">
        <f t="shared" ca="1" si="150"/>
        <v>-466322838236.87848</v>
      </c>
      <c r="J3407" s="444">
        <f t="array" ref="J3407">IFERROR(INDEX('Retirement Calculator'!K:K,MATCH('Lorri 401b'!N3407,'Retirement Calculator'!A:A,0),0),0)</f>
        <v>0</v>
      </c>
      <c r="K3407" s="444">
        <f t="shared" ca="1" si="148"/>
        <v>-1943011825.9869936</v>
      </c>
      <c r="L3407" s="444">
        <f t="shared" ca="1" si="149"/>
        <v>-468265850062.86548</v>
      </c>
      <c r="M3407" s="460">
        <f t="shared" si="151"/>
        <v>0.05</v>
      </c>
      <c r="N3407" s="464">
        <f t="shared" si="152"/>
        <v>154742</v>
      </c>
    </row>
    <row r="3408" spans="7:14" ht="11.25" customHeight="1" x14ac:dyDescent="0.3">
      <c r="G3408" s="459"/>
      <c r="H3408" s="459">
        <v>3401</v>
      </c>
      <c r="I3408" s="444">
        <f t="shared" ca="1" si="150"/>
        <v>-468265850062.86548</v>
      </c>
      <c r="J3408" s="444">
        <f t="array" ref="J3408">IFERROR(INDEX('Retirement Calculator'!K:K,MATCH('Lorri 401b'!N3408,'Retirement Calculator'!A:A,0),0),0)</f>
        <v>0</v>
      </c>
      <c r="K3408" s="444">
        <f t="shared" ca="1" si="148"/>
        <v>-1951107708.595273</v>
      </c>
      <c r="L3408" s="444">
        <f t="shared" ca="1" si="149"/>
        <v>-470216957771.46075</v>
      </c>
      <c r="M3408" s="460">
        <f t="shared" si="151"/>
        <v>0.05</v>
      </c>
      <c r="N3408" s="464">
        <f t="shared" si="152"/>
        <v>154772</v>
      </c>
    </row>
    <row r="3409" spans="7:14" ht="11.25" customHeight="1" x14ac:dyDescent="0.3">
      <c r="G3409" s="459"/>
      <c r="H3409" s="459">
        <v>3402</v>
      </c>
      <c r="I3409" s="444">
        <f t="shared" ca="1" si="150"/>
        <v>-470216957771.46075</v>
      </c>
      <c r="J3409" s="444">
        <f t="array" ref="J3409">IFERROR(INDEX('Retirement Calculator'!K:K,MATCH('Lorri 401b'!N3409,'Retirement Calculator'!A:A,0),0),0)</f>
        <v>0</v>
      </c>
      <c r="K3409" s="444">
        <f t="shared" ca="1" si="148"/>
        <v>-1959237324.0477533</v>
      </c>
      <c r="L3409" s="444">
        <f t="shared" ca="1" si="149"/>
        <v>-472176195095.50848</v>
      </c>
      <c r="M3409" s="460">
        <f t="shared" si="151"/>
        <v>0.05</v>
      </c>
      <c r="N3409" s="464">
        <f t="shared" si="152"/>
        <v>154803</v>
      </c>
    </row>
    <row r="3410" spans="7:14" ht="11.25" customHeight="1" x14ac:dyDescent="0.3">
      <c r="G3410" s="459"/>
      <c r="H3410" s="459">
        <v>3403</v>
      </c>
      <c r="I3410" s="444">
        <f t="shared" ca="1" si="150"/>
        <v>-472176195095.50848</v>
      </c>
      <c r="J3410" s="444">
        <f t="array" ref="J3410">IFERROR(INDEX('Retirement Calculator'!K:K,MATCH('Lorri 401b'!N3410,'Retirement Calculator'!A:A,0),0),0)</f>
        <v>0</v>
      </c>
      <c r="K3410" s="444">
        <f t="shared" ca="1" si="148"/>
        <v>-1967400812.8979518</v>
      </c>
      <c r="L3410" s="444">
        <f t="shared" ca="1" si="149"/>
        <v>-474143595908.40643</v>
      </c>
      <c r="M3410" s="460">
        <f t="shared" si="151"/>
        <v>0.05</v>
      </c>
      <c r="N3410" s="464">
        <f t="shared" si="152"/>
        <v>154833</v>
      </c>
    </row>
    <row r="3411" spans="7:14" ht="11.25" customHeight="1" x14ac:dyDescent="0.3">
      <c r="G3411" s="459"/>
      <c r="H3411" s="459">
        <v>3404</v>
      </c>
      <c r="I3411" s="444">
        <f t="shared" ca="1" si="150"/>
        <v>-474143595908.40643</v>
      </c>
      <c r="J3411" s="444">
        <f t="array" ref="J3411">IFERROR(INDEX('Retirement Calculator'!K:K,MATCH('Lorri 401b'!N3411,'Retirement Calculator'!A:A,0),0),0)</f>
        <v>0</v>
      </c>
      <c r="K3411" s="444">
        <f t="shared" ca="1" si="148"/>
        <v>-1975598316.285027</v>
      </c>
      <c r="L3411" s="444">
        <f t="shared" ca="1" si="149"/>
        <v>-476119194224.69147</v>
      </c>
      <c r="M3411" s="460">
        <f t="shared" si="151"/>
        <v>0.05</v>
      </c>
      <c r="N3411" s="464">
        <f t="shared" si="152"/>
        <v>154864</v>
      </c>
    </row>
    <row r="3412" spans="7:14" ht="11.25" customHeight="1" x14ac:dyDescent="0.3">
      <c r="G3412" s="459"/>
      <c r="H3412" s="459">
        <v>3405</v>
      </c>
      <c r="I3412" s="444">
        <f t="shared" ca="1" si="150"/>
        <v>-476119194224.69147</v>
      </c>
      <c r="J3412" s="444">
        <f t="array" ref="J3412">IFERROR(INDEX('Retirement Calculator'!K:K,MATCH('Lorri 401b'!N3412,'Retirement Calculator'!A:A,0),0),0)</f>
        <v>0</v>
      </c>
      <c r="K3412" s="444">
        <f t="shared" ca="1" si="148"/>
        <v>-1983829975.9362142</v>
      </c>
      <c r="L3412" s="444">
        <f t="shared" ca="1" si="149"/>
        <v>-478103024200.62769</v>
      </c>
      <c r="M3412" s="460">
        <f t="shared" si="151"/>
        <v>0.05</v>
      </c>
      <c r="N3412" s="464">
        <f t="shared" si="152"/>
        <v>154895</v>
      </c>
    </row>
    <row r="3413" spans="7:14" ht="11.25" customHeight="1" x14ac:dyDescent="0.3">
      <c r="G3413" s="459"/>
      <c r="H3413" s="459">
        <v>3406</v>
      </c>
      <c r="I3413" s="444">
        <f t="shared" ca="1" si="150"/>
        <v>-478103024200.62769</v>
      </c>
      <c r="J3413" s="444">
        <f t="array" ref="J3413">IFERROR(INDEX('Retirement Calculator'!K:K,MATCH('Lorri 401b'!N3413,'Retirement Calculator'!A:A,0),0),0)</f>
        <v>0</v>
      </c>
      <c r="K3413" s="444">
        <f t="shared" ca="1" si="148"/>
        <v>-1992095934.169282</v>
      </c>
      <c r="L3413" s="444">
        <f t="shared" ca="1" si="149"/>
        <v>-480095120134.797</v>
      </c>
      <c r="M3413" s="460">
        <f t="shared" si="151"/>
        <v>0.05</v>
      </c>
      <c r="N3413" s="464">
        <f t="shared" si="152"/>
        <v>154924</v>
      </c>
    </row>
    <row r="3414" spans="7:14" ht="11.25" customHeight="1" x14ac:dyDescent="0.3">
      <c r="G3414" s="459"/>
      <c r="H3414" s="459">
        <v>3407</v>
      </c>
      <c r="I3414" s="444">
        <f t="shared" ca="1" si="150"/>
        <v>-480095120134.797</v>
      </c>
      <c r="J3414" s="444">
        <f t="array" ref="J3414">IFERROR(INDEX('Retirement Calculator'!K:K,MATCH('Lorri 401b'!N3414,'Retirement Calculator'!A:A,0),0),0)</f>
        <v>0</v>
      </c>
      <c r="K3414" s="444">
        <f t="shared" ca="1" si="148"/>
        <v>-2000396333.8949873</v>
      </c>
      <c r="L3414" s="444">
        <f t="shared" ca="1" si="149"/>
        <v>-482095516468.69196</v>
      </c>
      <c r="M3414" s="460">
        <f t="shared" si="151"/>
        <v>0.05</v>
      </c>
      <c r="N3414" s="464">
        <f t="shared" si="152"/>
        <v>154955</v>
      </c>
    </row>
    <row r="3415" spans="7:14" ht="11.25" customHeight="1" x14ac:dyDescent="0.3">
      <c r="G3415" s="459"/>
      <c r="H3415" s="459">
        <v>3408</v>
      </c>
      <c r="I3415" s="444">
        <f t="shared" ca="1" si="150"/>
        <v>-482095516468.69196</v>
      </c>
      <c r="J3415" s="444">
        <f t="array" ref="J3415">IFERROR(INDEX('Retirement Calculator'!K:K,MATCH('Lorri 401b'!N3415,'Retirement Calculator'!A:A,0),0),0)</f>
        <v>0</v>
      </c>
      <c r="K3415" s="444">
        <f t="shared" ca="1" si="148"/>
        <v>-2008731318.6195495</v>
      </c>
      <c r="L3415" s="444">
        <f t="shared" ca="1" si="149"/>
        <v>-484104247787.31152</v>
      </c>
      <c r="M3415" s="460">
        <f t="shared" si="151"/>
        <v>0.05</v>
      </c>
      <c r="N3415" s="464">
        <f t="shared" si="152"/>
        <v>154985</v>
      </c>
    </row>
    <row r="3416" spans="7:14" ht="11.25" customHeight="1" x14ac:dyDescent="0.3">
      <c r="G3416" s="459"/>
      <c r="H3416" s="459">
        <v>3409</v>
      </c>
      <c r="I3416" s="444">
        <f t="shared" ca="1" si="150"/>
        <v>-484104247787.31152</v>
      </c>
      <c r="J3416" s="444">
        <f t="array" ref="J3416">IFERROR(INDEX('Retirement Calculator'!K:K,MATCH('Lorri 401b'!N3416,'Retirement Calculator'!A:A,0),0),0)</f>
        <v>0</v>
      </c>
      <c r="K3416" s="444">
        <f t="shared" ca="1" si="148"/>
        <v>-2017101032.4471314</v>
      </c>
      <c r="L3416" s="444">
        <f t="shared" ca="1" si="149"/>
        <v>-486121348819.75867</v>
      </c>
      <c r="M3416" s="460">
        <f t="shared" si="151"/>
        <v>0.05</v>
      </c>
      <c r="N3416" s="464">
        <f t="shared" si="152"/>
        <v>155016</v>
      </c>
    </row>
    <row r="3417" spans="7:14" ht="11.25" customHeight="1" x14ac:dyDescent="0.3">
      <c r="G3417" s="459"/>
      <c r="H3417" s="459">
        <v>3410</v>
      </c>
      <c r="I3417" s="444">
        <f t="shared" ca="1" si="150"/>
        <v>-486121348819.75867</v>
      </c>
      <c r="J3417" s="444">
        <f t="array" ref="J3417">IFERROR(INDEX('Retirement Calculator'!K:K,MATCH('Lorri 401b'!N3417,'Retirement Calculator'!A:A,0),0),0)</f>
        <v>0</v>
      </c>
      <c r="K3417" s="444">
        <f t="shared" ca="1" si="148"/>
        <v>-2025505620.0823278</v>
      </c>
      <c r="L3417" s="444">
        <f t="shared" ca="1" si="149"/>
        <v>-488146854439.841</v>
      </c>
      <c r="M3417" s="460">
        <f t="shared" si="151"/>
        <v>0.05</v>
      </c>
      <c r="N3417" s="464">
        <f t="shared" si="152"/>
        <v>155046</v>
      </c>
    </row>
    <row r="3418" spans="7:14" ht="11.25" customHeight="1" x14ac:dyDescent="0.3">
      <c r="G3418" s="459"/>
      <c r="H3418" s="459">
        <v>3411</v>
      </c>
      <c r="I3418" s="444">
        <f t="shared" ca="1" si="150"/>
        <v>-488146854439.841</v>
      </c>
      <c r="J3418" s="444">
        <f t="array" ref="J3418">IFERROR(INDEX('Retirement Calculator'!K:K,MATCH('Lorri 401b'!N3418,'Retirement Calculator'!A:A,0),0),0)</f>
        <v>0</v>
      </c>
      <c r="K3418" s="444">
        <f t="shared" ca="1" si="148"/>
        <v>-2033945226.8326709</v>
      </c>
      <c r="L3418" s="444">
        <f t="shared" ca="1" si="149"/>
        <v>-490180799666.67365</v>
      </c>
      <c r="M3418" s="460">
        <f t="shared" si="151"/>
        <v>0.05</v>
      </c>
      <c r="N3418" s="464">
        <f t="shared" si="152"/>
        <v>155077</v>
      </c>
    </row>
    <row r="3419" spans="7:14" ht="11.25" customHeight="1" x14ac:dyDescent="0.3">
      <c r="G3419" s="459"/>
      <c r="H3419" s="459">
        <v>3412</v>
      </c>
      <c r="I3419" s="444">
        <f t="shared" ca="1" si="150"/>
        <v>-490180799666.67365</v>
      </c>
      <c r="J3419" s="444">
        <f t="array" ref="J3419">IFERROR(INDEX('Retirement Calculator'!K:K,MATCH('Lorri 401b'!N3419,'Retirement Calculator'!A:A,0),0),0)</f>
        <v>0</v>
      </c>
      <c r="K3419" s="444">
        <f t="shared" ca="1" si="148"/>
        <v>-2042419998.6111403</v>
      </c>
      <c r="L3419" s="444">
        <f t="shared" ca="1" si="149"/>
        <v>-492223219665.28479</v>
      </c>
      <c r="M3419" s="460">
        <f t="shared" si="151"/>
        <v>0.05</v>
      </c>
      <c r="N3419" s="464">
        <f t="shared" si="152"/>
        <v>155108</v>
      </c>
    </row>
    <row r="3420" spans="7:14" ht="11.25" customHeight="1" x14ac:dyDescent="0.3">
      <c r="G3420" s="459"/>
      <c r="H3420" s="459">
        <v>3413</v>
      </c>
      <c r="I3420" s="444">
        <f t="shared" ca="1" si="150"/>
        <v>-492223219665.28479</v>
      </c>
      <c r="J3420" s="444">
        <f t="array" ref="J3420">IFERROR(INDEX('Retirement Calculator'!K:K,MATCH('Lorri 401b'!N3420,'Retirement Calculator'!A:A,0),0),0)</f>
        <v>0</v>
      </c>
      <c r="K3420" s="444">
        <f t="shared" ca="1" si="148"/>
        <v>-2050930081.9386868</v>
      </c>
      <c r="L3420" s="444">
        <f t="shared" ca="1" si="149"/>
        <v>-494274149747.22345</v>
      </c>
      <c r="M3420" s="460">
        <f t="shared" si="151"/>
        <v>0.05</v>
      </c>
      <c r="N3420" s="464">
        <f t="shared" si="152"/>
        <v>155138</v>
      </c>
    </row>
    <row r="3421" spans="7:14" ht="11.25" customHeight="1" x14ac:dyDescent="0.3">
      <c r="G3421" s="459"/>
      <c r="H3421" s="459">
        <v>3414</v>
      </c>
      <c r="I3421" s="444">
        <f t="shared" ca="1" si="150"/>
        <v>-494274149747.22345</v>
      </c>
      <c r="J3421" s="444">
        <f t="array" ref="J3421">IFERROR(INDEX('Retirement Calculator'!K:K,MATCH('Lorri 401b'!N3421,'Retirement Calculator'!A:A,0),0),0)</f>
        <v>0</v>
      </c>
      <c r="K3421" s="444">
        <f t="shared" ca="1" si="148"/>
        <v>-2059475623.9467642</v>
      </c>
      <c r="L3421" s="444">
        <f t="shared" ca="1" si="149"/>
        <v>-496333625371.17023</v>
      </c>
      <c r="M3421" s="460">
        <f t="shared" si="151"/>
        <v>0.05</v>
      </c>
      <c r="N3421" s="464">
        <f t="shared" si="152"/>
        <v>155169</v>
      </c>
    </row>
    <row r="3422" spans="7:14" ht="11.25" customHeight="1" x14ac:dyDescent="0.3">
      <c r="G3422" s="459"/>
      <c r="H3422" s="459">
        <v>3415</v>
      </c>
      <c r="I3422" s="444">
        <f t="shared" ca="1" si="150"/>
        <v>-496333625371.17023</v>
      </c>
      <c r="J3422" s="444">
        <f t="array" ref="J3422">IFERROR(INDEX('Retirement Calculator'!K:K,MATCH('Lorri 401b'!N3422,'Retirement Calculator'!A:A,0),0),0)</f>
        <v>0</v>
      </c>
      <c r="K3422" s="444">
        <f t="shared" ca="1" si="148"/>
        <v>-2068056772.3798761</v>
      </c>
      <c r="L3422" s="444">
        <f t="shared" ca="1" si="149"/>
        <v>-498401682143.55011</v>
      </c>
      <c r="M3422" s="460">
        <f t="shared" si="151"/>
        <v>0.05</v>
      </c>
      <c r="N3422" s="464">
        <f t="shared" si="152"/>
        <v>155199</v>
      </c>
    </row>
    <row r="3423" spans="7:14" ht="11.25" customHeight="1" x14ac:dyDescent="0.3">
      <c r="G3423" s="459"/>
      <c r="H3423" s="459">
        <v>3416</v>
      </c>
      <c r="I3423" s="444">
        <f t="shared" ca="1" si="150"/>
        <v>-498401682143.55011</v>
      </c>
      <c r="J3423" s="444">
        <f t="array" ref="J3423">IFERROR(INDEX('Retirement Calculator'!K:K,MATCH('Lorri 401b'!N3423,'Retirement Calculator'!A:A,0),0),0)</f>
        <v>0</v>
      </c>
      <c r="K3423" s="444">
        <f t="shared" ca="1" si="148"/>
        <v>-2076673675.5981252</v>
      </c>
      <c r="L3423" s="444">
        <f t="shared" ca="1" si="149"/>
        <v>-500478355819.14825</v>
      </c>
      <c r="M3423" s="460">
        <f t="shared" si="151"/>
        <v>0.05</v>
      </c>
      <c r="N3423" s="464">
        <f t="shared" si="152"/>
        <v>155230</v>
      </c>
    </row>
    <row r="3424" spans="7:14" ht="11.25" customHeight="1" x14ac:dyDescent="0.3">
      <c r="G3424" s="459"/>
      <c r="H3424" s="459">
        <v>3417</v>
      </c>
      <c r="I3424" s="444">
        <f t="shared" ca="1" si="150"/>
        <v>-500478355819.14825</v>
      </c>
      <c r="J3424" s="444">
        <f t="array" ref="J3424">IFERROR(INDEX('Retirement Calculator'!K:K,MATCH('Lorri 401b'!N3424,'Retirement Calculator'!A:A,0),0),0)</f>
        <v>0</v>
      </c>
      <c r="K3424" s="444">
        <f t="shared" ca="1" si="148"/>
        <v>-2085326482.5797844</v>
      </c>
      <c r="L3424" s="444">
        <f t="shared" ca="1" si="149"/>
        <v>-502563682301.72803</v>
      </c>
      <c r="M3424" s="460">
        <f t="shared" si="151"/>
        <v>0.05</v>
      </c>
      <c r="N3424" s="464">
        <f t="shared" si="152"/>
        <v>155261</v>
      </c>
    </row>
    <row r="3425" spans="7:14" ht="11.25" customHeight="1" x14ac:dyDescent="0.3">
      <c r="G3425" s="459"/>
      <c r="H3425" s="459">
        <v>3418</v>
      </c>
      <c r="I3425" s="444">
        <f t="shared" ca="1" si="150"/>
        <v>-502563682301.72803</v>
      </c>
      <c r="J3425" s="444">
        <f t="array" ref="J3425">IFERROR(INDEX('Retirement Calculator'!K:K,MATCH('Lorri 401b'!N3425,'Retirement Calculator'!A:A,0),0),0)</f>
        <v>0</v>
      </c>
      <c r="K3425" s="444">
        <f t="shared" ca="1" si="148"/>
        <v>-2094015342.9238667</v>
      </c>
      <c r="L3425" s="444">
        <f t="shared" ca="1" si="149"/>
        <v>-504657697644.65192</v>
      </c>
      <c r="M3425" s="460">
        <f t="shared" si="151"/>
        <v>0.05</v>
      </c>
      <c r="N3425" s="464">
        <f t="shared" si="152"/>
        <v>155289</v>
      </c>
    </row>
    <row r="3426" spans="7:14" ht="11.25" customHeight="1" x14ac:dyDescent="0.3">
      <c r="G3426" s="459"/>
      <c r="H3426" s="459">
        <v>3419</v>
      </c>
      <c r="I3426" s="444">
        <f t="shared" ca="1" si="150"/>
        <v>-504657697644.65192</v>
      </c>
      <c r="J3426" s="444">
        <f t="array" ref="J3426">IFERROR(INDEX('Retirement Calculator'!K:K,MATCH('Lorri 401b'!N3426,'Retirement Calculator'!A:A,0),0),0)</f>
        <v>0</v>
      </c>
      <c r="K3426" s="444">
        <f t="shared" ca="1" si="148"/>
        <v>-2102740406.8527162</v>
      </c>
      <c r="L3426" s="444">
        <f t="shared" ca="1" si="149"/>
        <v>-506760438051.50464</v>
      </c>
      <c r="M3426" s="460">
        <f t="shared" si="151"/>
        <v>0.05</v>
      </c>
      <c r="N3426" s="464">
        <f t="shared" si="152"/>
        <v>155320</v>
      </c>
    </row>
    <row r="3427" spans="7:14" ht="11.25" customHeight="1" x14ac:dyDescent="0.3">
      <c r="G3427" s="459"/>
      <c r="H3427" s="459">
        <v>3420</v>
      </c>
      <c r="I3427" s="444">
        <f t="shared" ca="1" si="150"/>
        <v>-506760438051.50464</v>
      </c>
      <c r="J3427" s="444">
        <f t="array" ref="J3427">IFERROR(INDEX('Retirement Calculator'!K:K,MATCH('Lorri 401b'!N3427,'Retirement Calculator'!A:A,0),0),0)</f>
        <v>0</v>
      </c>
      <c r="K3427" s="444">
        <f t="shared" ca="1" si="148"/>
        <v>-2111501825.2146027</v>
      </c>
      <c r="L3427" s="444">
        <f t="shared" ca="1" si="149"/>
        <v>-508871939876.71924</v>
      </c>
      <c r="M3427" s="460">
        <f t="shared" si="151"/>
        <v>0.05</v>
      </c>
      <c r="N3427" s="464">
        <f t="shared" si="152"/>
        <v>155350</v>
      </c>
    </row>
    <row r="3428" spans="7:14" ht="11.25" customHeight="1" x14ac:dyDescent="0.3">
      <c r="G3428" s="459"/>
      <c r="H3428" s="459">
        <v>3421</v>
      </c>
      <c r="I3428" s="444">
        <f t="shared" ca="1" si="150"/>
        <v>-508871939876.71924</v>
      </c>
      <c r="J3428" s="444">
        <f t="array" ref="J3428">IFERROR(INDEX('Retirement Calculator'!K:K,MATCH('Lorri 401b'!N3428,'Retirement Calculator'!A:A,0),0),0)</f>
        <v>0</v>
      </c>
      <c r="K3428" s="444">
        <f t="shared" ca="1" si="148"/>
        <v>-2120299749.4863298</v>
      </c>
      <c r="L3428" s="444">
        <f t="shared" ca="1" si="149"/>
        <v>-510992239626.20557</v>
      </c>
      <c r="M3428" s="460">
        <f t="shared" si="151"/>
        <v>0.05</v>
      </c>
      <c r="N3428" s="464">
        <f t="shared" si="152"/>
        <v>155381</v>
      </c>
    </row>
    <row r="3429" spans="7:14" ht="11.25" customHeight="1" x14ac:dyDescent="0.3">
      <c r="G3429" s="459"/>
      <c r="H3429" s="459">
        <v>3422</v>
      </c>
      <c r="I3429" s="444">
        <f t="shared" ca="1" si="150"/>
        <v>-510992239626.20557</v>
      </c>
      <c r="J3429" s="444">
        <f t="array" ref="J3429">IFERROR(INDEX('Retirement Calculator'!K:K,MATCH('Lorri 401b'!N3429,'Retirement Calculator'!A:A,0),0),0)</f>
        <v>0</v>
      </c>
      <c r="K3429" s="444">
        <f t="shared" ca="1" si="148"/>
        <v>-2129134331.7758563</v>
      </c>
      <c r="L3429" s="444">
        <f t="shared" ca="1" si="149"/>
        <v>-513121373957.98145</v>
      </c>
      <c r="M3429" s="460">
        <f t="shared" si="151"/>
        <v>0.05</v>
      </c>
      <c r="N3429" s="464">
        <f t="shared" si="152"/>
        <v>155411</v>
      </c>
    </row>
    <row r="3430" spans="7:14" ht="11.25" customHeight="1" x14ac:dyDescent="0.3">
      <c r="G3430" s="459"/>
      <c r="H3430" s="459">
        <v>3423</v>
      </c>
      <c r="I3430" s="444">
        <f t="shared" ca="1" si="150"/>
        <v>-513121373957.98145</v>
      </c>
      <c r="J3430" s="444">
        <f t="array" ref="J3430">IFERROR(INDEX('Retirement Calculator'!K:K,MATCH('Lorri 401b'!N3430,'Retirement Calculator'!A:A,0),0),0)</f>
        <v>0</v>
      </c>
      <c r="K3430" s="444">
        <f t="shared" ca="1" si="148"/>
        <v>-2138005724.8249226</v>
      </c>
      <c r="L3430" s="444">
        <f t="shared" ca="1" si="149"/>
        <v>-515259379682.8064</v>
      </c>
      <c r="M3430" s="460">
        <f t="shared" si="151"/>
        <v>0.05</v>
      </c>
      <c r="N3430" s="464">
        <f t="shared" si="152"/>
        <v>155442</v>
      </c>
    </row>
    <row r="3431" spans="7:14" ht="11.25" customHeight="1" x14ac:dyDescent="0.3">
      <c r="G3431" s="459"/>
      <c r="H3431" s="459">
        <v>3424</v>
      </c>
      <c r="I3431" s="444">
        <f t="shared" ca="1" si="150"/>
        <v>-515259379682.8064</v>
      </c>
      <c r="J3431" s="444">
        <f t="array" ref="J3431">IFERROR(INDEX('Retirement Calculator'!K:K,MATCH('Lorri 401b'!N3431,'Retirement Calculator'!A:A,0),0),0)</f>
        <v>0</v>
      </c>
      <c r="K3431" s="444">
        <f t="shared" ca="1" si="148"/>
        <v>-2146914082.011693</v>
      </c>
      <c r="L3431" s="444">
        <f t="shared" ca="1" si="149"/>
        <v>-517406293764.81812</v>
      </c>
      <c r="M3431" s="460">
        <f t="shared" si="151"/>
        <v>0.05</v>
      </c>
      <c r="N3431" s="464">
        <f t="shared" si="152"/>
        <v>155473</v>
      </c>
    </row>
    <row r="3432" spans="7:14" ht="11.25" customHeight="1" x14ac:dyDescent="0.3">
      <c r="G3432" s="459"/>
      <c r="H3432" s="459">
        <v>3425</v>
      </c>
      <c r="I3432" s="444">
        <f t="shared" ca="1" si="150"/>
        <v>-517406293764.81812</v>
      </c>
      <c r="J3432" s="444">
        <f t="array" ref="J3432">IFERROR(INDEX('Retirement Calculator'!K:K,MATCH('Lorri 401b'!N3432,'Retirement Calculator'!A:A,0),0),0)</f>
        <v>0</v>
      </c>
      <c r="K3432" s="444">
        <f t="shared" ca="1" si="148"/>
        <v>-2155859557.3534083</v>
      </c>
      <c r="L3432" s="444">
        <f t="shared" ca="1" si="149"/>
        <v>-519562153322.17151</v>
      </c>
      <c r="M3432" s="460">
        <f t="shared" si="151"/>
        <v>0.05</v>
      </c>
      <c r="N3432" s="464">
        <f t="shared" si="152"/>
        <v>155503</v>
      </c>
    </row>
    <row r="3433" spans="7:14" ht="11.25" customHeight="1" x14ac:dyDescent="0.3">
      <c r="G3433" s="459"/>
      <c r="H3433" s="459">
        <v>3426</v>
      </c>
      <c r="I3433" s="444">
        <f t="shared" ca="1" si="150"/>
        <v>-519562153322.17151</v>
      </c>
      <c r="J3433" s="444">
        <f t="array" ref="J3433">IFERROR(INDEX('Retirement Calculator'!K:K,MATCH('Lorri 401b'!N3433,'Retirement Calculator'!A:A,0),0),0)</f>
        <v>0</v>
      </c>
      <c r="K3433" s="444">
        <f t="shared" ca="1" si="148"/>
        <v>-2164842305.509048</v>
      </c>
      <c r="L3433" s="444">
        <f t="shared" ca="1" si="149"/>
        <v>-521726995627.68054</v>
      </c>
      <c r="M3433" s="460">
        <f t="shared" si="151"/>
        <v>0.05</v>
      </c>
      <c r="N3433" s="464">
        <f t="shared" si="152"/>
        <v>155534</v>
      </c>
    </row>
    <row r="3434" spans="7:14" ht="11.25" customHeight="1" x14ac:dyDescent="0.3">
      <c r="G3434" s="459"/>
      <c r="H3434" s="459">
        <v>3427</v>
      </c>
      <c r="I3434" s="444">
        <f t="shared" ca="1" si="150"/>
        <v>-521726995627.68054</v>
      </c>
      <c r="J3434" s="444">
        <f t="array" ref="J3434">IFERROR(INDEX('Retirement Calculator'!K:K,MATCH('Lorri 401b'!N3434,'Retirement Calculator'!A:A,0),0),0)</f>
        <v>0</v>
      </c>
      <c r="K3434" s="444">
        <f t="shared" ca="1" si="148"/>
        <v>-2173862481.7820024</v>
      </c>
      <c r="L3434" s="444">
        <f t="shared" ca="1" si="149"/>
        <v>-523900858109.46252</v>
      </c>
      <c r="M3434" s="460">
        <f t="shared" si="151"/>
        <v>0.05</v>
      </c>
      <c r="N3434" s="464">
        <f t="shared" si="152"/>
        <v>155564</v>
      </c>
    </row>
    <row r="3435" spans="7:14" ht="11.25" customHeight="1" x14ac:dyDescent="0.3">
      <c r="G3435" s="459"/>
      <c r="H3435" s="459">
        <v>3428</v>
      </c>
      <c r="I3435" s="444">
        <f t="shared" ca="1" si="150"/>
        <v>-523900858109.46252</v>
      </c>
      <c r="J3435" s="444">
        <f t="array" ref="J3435">IFERROR(INDEX('Retirement Calculator'!K:K,MATCH('Lorri 401b'!N3435,'Retirement Calculator'!A:A,0),0),0)</f>
        <v>0</v>
      </c>
      <c r="K3435" s="444">
        <f t="shared" ca="1" si="148"/>
        <v>-2182920242.1227603</v>
      </c>
      <c r="L3435" s="444">
        <f t="shared" ca="1" si="149"/>
        <v>-526083778351.58527</v>
      </c>
      <c r="M3435" s="460">
        <f t="shared" si="151"/>
        <v>0.05</v>
      </c>
      <c r="N3435" s="464">
        <f t="shared" si="152"/>
        <v>155595</v>
      </c>
    </row>
    <row r="3436" spans="7:14" ht="11.25" customHeight="1" x14ac:dyDescent="0.3">
      <c r="G3436" s="459"/>
      <c r="H3436" s="459">
        <v>3429</v>
      </c>
      <c r="I3436" s="444">
        <f t="shared" ca="1" si="150"/>
        <v>-526083778351.58527</v>
      </c>
      <c r="J3436" s="444">
        <f t="array" ref="J3436">IFERROR(INDEX('Retirement Calculator'!K:K,MATCH('Lorri 401b'!N3436,'Retirement Calculator'!A:A,0),0),0)</f>
        <v>0</v>
      </c>
      <c r="K3436" s="444">
        <f t="shared" ca="1" si="148"/>
        <v>-2192015743.1316056</v>
      </c>
      <c r="L3436" s="444">
        <f t="shared" ca="1" si="149"/>
        <v>-528275794094.71686</v>
      </c>
      <c r="M3436" s="460">
        <f t="shared" si="151"/>
        <v>0.05</v>
      </c>
      <c r="N3436" s="464">
        <f t="shared" si="152"/>
        <v>155626</v>
      </c>
    </row>
    <row r="3437" spans="7:14" ht="11.25" customHeight="1" x14ac:dyDescent="0.3">
      <c r="G3437" s="459"/>
      <c r="H3437" s="459">
        <v>3430</v>
      </c>
      <c r="I3437" s="444">
        <f t="shared" ca="1" si="150"/>
        <v>-528275794094.71686</v>
      </c>
      <c r="J3437" s="444">
        <f t="array" ref="J3437">IFERROR(INDEX('Retirement Calculator'!K:K,MATCH('Lorri 401b'!N3437,'Retirement Calculator'!A:A,0),0),0)</f>
        <v>0</v>
      </c>
      <c r="K3437" s="444">
        <f t="shared" ca="1" si="148"/>
        <v>-2201149142.0613198</v>
      </c>
      <c r="L3437" s="444">
        <f t="shared" ca="1" si="149"/>
        <v>-530476943236.7782</v>
      </c>
      <c r="M3437" s="460">
        <f t="shared" si="151"/>
        <v>0.05</v>
      </c>
      <c r="N3437" s="464">
        <f t="shared" si="152"/>
        <v>155654</v>
      </c>
    </row>
    <row r="3438" spans="7:14" ht="11.25" customHeight="1" x14ac:dyDescent="0.3">
      <c r="G3438" s="459"/>
      <c r="H3438" s="459">
        <v>3431</v>
      </c>
      <c r="I3438" s="444">
        <f t="shared" ca="1" si="150"/>
        <v>-530476943236.7782</v>
      </c>
      <c r="J3438" s="444">
        <f t="array" ref="J3438">IFERROR(INDEX('Retirement Calculator'!K:K,MATCH('Lorri 401b'!N3438,'Retirement Calculator'!A:A,0),0),0)</f>
        <v>0</v>
      </c>
      <c r="K3438" s="444">
        <f t="shared" ca="1" si="148"/>
        <v>-2210320596.8199091</v>
      </c>
      <c r="L3438" s="444">
        <f t="shared" ca="1" si="149"/>
        <v>-532687263833.59808</v>
      </c>
      <c r="M3438" s="460">
        <f t="shared" si="151"/>
        <v>0.05</v>
      </c>
      <c r="N3438" s="464">
        <f t="shared" si="152"/>
        <v>155685</v>
      </c>
    </row>
    <row r="3439" spans="7:14" ht="11.25" customHeight="1" x14ac:dyDescent="0.3">
      <c r="G3439" s="459"/>
      <c r="H3439" s="459">
        <v>3432</v>
      </c>
      <c r="I3439" s="444">
        <f t="shared" ca="1" si="150"/>
        <v>-532687263833.59808</v>
      </c>
      <c r="J3439" s="444">
        <f t="array" ref="J3439">IFERROR(INDEX('Retirement Calculator'!K:K,MATCH('Lorri 401b'!N3439,'Retirement Calculator'!A:A,0),0),0)</f>
        <v>0</v>
      </c>
      <c r="K3439" s="444">
        <f t="shared" ca="1" si="148"/>
        <v>-2219530265.9733253</v>
      </c>
      <c r="L3439" s="444">
        <f t="shared" ca="1" si="149"/>
        <v>-534906794099.57141</v>
      </c>
      <c r="M3439" s="460">
        <f t="shared" si="151"/>
        <v>0.05</v>
      </c>
      <c r="N3439" s="464">
        <f t="shared" si="152"/>
        <v>155715</v>
      </c>
    </row>
    <row r="3440" spans="7:14" ht="11.25" customHeight="1" x14ac:dyDescent="0.3">
      <c r="G3440" s="459"/>
      <c r="H3440" s="459">
        <v>3433</v>
      </c>
      <c r="I3440" s="444">
        <f t="shared" ca="1" si="150"/>
        <v>-534906794099.57141</v>
      </c>
      <c r="J3440" s="444">
        <f t="array" ref="J3440">IFERROR(INDEX('Retirement Calculator'!K:K,MATCH('Lorri 401b'!N3440,'Retirement Calculator'!A:A,0),0),0)</f>
        <v>0</v>
      </c>
      <c r="K3440" s="444">
        <f t="shared" ca="1" si="148"/>
        <v>-2228778308.7482142</v>
      </c>
      <c r="L3440" s="444">
        <f t="shared" ca="1" si="149"/>
        <v>-537135572408.31964</v>
      </c>
      <c r="M3440" s="460">
        <f t="shared" si="151"/>
        <v>0.05</v>
      </c>
      <c r="N3440" s="464">
        <f t="shared" si="152"/>
        <v>155746</v>
      </c>
    </row>
    <row r="3441" spans="7:14" ht="11.25" customHeight="1" x14ac:dyDescent="0.3">
      <c r="G3441" s="459"/>
      <c r="H3441" s="459">
        <v>3434</v>
      </c>
      <c r="I3441" s="444">
        <f t="shared" ca="1" si="150"/>
        <v>-537135572408.31964</v>
      </c>
      <c r="J3441" s="444">
        <f t="array" ref="J3441">IFERROR(INDEX('Retirement Calculator'!K:K,MATCH('Lorri 401b'!N3441,'Retirement Calculator'!A:A,0),0),0)</f>
        <v>0</v>
      </c>
      <c r="K3441" s="444">
        <f t="shared" ca="1" si="148"/>
        <v>-2238064885.0346651</v>
      </c>
      <c r="L3441" s="444">
        <f t="shared" ca="1" si="149"/>
        <v>-539373637293.35431</v>
      </c>
      <c r="M3441" s="460">
        <f t="shared" si="151"/>
        <v>0.05</v>
      </c>
      <c r="N3441" s="464">
        <f t="shared" si="152"/>
        <v>155776</v>
      </c>
    </row>
    <row r="3442" spans="7:14" ht="11.25" customHeight="1" x14ac:dyDescent="0.3">
      <c r="G3442" s="459"/>
      <c r="H3442" s="459">
        <v>3435</v>
      </c>
      <c r="I3442" s="444">
        <f t="shared" ca="1" si="150"/>
        <v>-539373637293.35431</v>
      </c>
      <c r="J3442" s="444">
        <f t="array" ref="J3442">IFERROR(INDEX('Retirement Calculator'!K:K,MATCH('Lorri 401b'!N3442,'Retirement Calculator'!A:A,0),0),0)</f>
        <v>0</v>
      </c>
      <c r="K3442" s="444">
        <f t="shared" ca="1" si="148"/>
        <v>-2247390155.3889761</v>
      </c>
      <c r="L3442" s="444">
        <f t="shared" ca="1" si="149"/>
        <v>-541621027448.74329</v>
      </c>
      <c r="M3442" s="460">
        <f t="shared" si="151"/>
        <v>0.05</v>
      </c>
      <c r="N3442" s="464">
        <f t="shared" si="152"/>
        <v>155807</v>
      </c>
    </row>
    <row r="3443" spans="7:14" ht="11.25" customHeight="1" x14ac:dyDescent="0.3">
      <c r="G3443" s="459"/>
      <c r="H3443" s="459">
        <v>3436</v>
      </c>
      <c r="I3443" s="444">
        <f t="shared" ca="1" si="150"/>
        <v>-541621027448.74329</v>
      </c>
      <c r="J3443" s="444">
        <f t="array" ref="J3443">IFERROR(INDEX('Retirement Calculator'!K:K,MATCH('Lorri 401b'!N3443,'Retirement Calculator'!A:A,0),0),0)</f>
        <v>0</v>
      </c>
      <c r="K3443" s="444">
        <f t="shared" ca="1" si="148"/>
        <v>-2256754281.0364304</v>
      </c>
      <c r="L3443" s="444">
        <f t="shared" ca="1" si="149"/>
        <v>-543877781729.77972</v>
      </c>
      <c r="M3443" s="460">
        <f t="shared" si="151"/>
        <v>0.05</v>
      </c>
      <c r="N3443" s="464">
        <f t="shared" si="152"/>
        <v>155838</v>
      </c>
    </row>
    <row r="3444" spans="7:14" ht="11.25" customHeight="1" x14ac:dyDescent="0.3">
      <c r="G3444" s="459"/>
      <c r="H3444" s="459">
        <v>3437</v>
      </c>
      <c r="I3444" s="444">
        <f t="shared" ca="1" si="150"/>
        <v>-543877781729.77972</v>
      </c>
      <c r="J3444" s="444">
        <f t="array" ref="J3444">IFERROR(INDEX('Retirement Calculator'!K:K,MATCH('Lorri 401b'!N3444,'Retirement Calculator'!A:A,0),0),0)</f>
        <v>0</v>
      </c>
      <c r="K3444" s="444">
        <f t="shared" ca="1" si="148"/>
        <v>-2266157423.8740821</v>
      </c>
      <c r="L3444" s="444">
        <f t="shared" ca="1" si="149"/>
        <v>-546143939153.65381</v>
      </c>
      <c r="M3444" s="460">
        <f t="shared" si="151"/>
        <v>0.05</v>
      </c>
      <c r="N3444" s="464">
        <f t="shared" si="152"/>
        <v>155868</v>
      </c>
    </row>
    <row r="3445" spans="7:14" ht="11.25" customHeight="1" x14ac:dyDescent="0.3">
      <c r="G3445" s="459"/>
      <c r="H3445" s="459">
        <v>3438</v>
      </c>
      <c r="I3445" s="444">
        <f t="shared" ca="1" si="150"/>
        <v>-546143939153.65381</v>
      </c>
      <c r="J3445" s="444">
        <f t="array" ref="J3445">IFERROR(INDEX('Retirement Calculator'!K:K,MATCH('Lorri 401b'!N3445,'Retirement Calculator'!A:A,0),0),0)</f>
        <v>0</v>
      </c>
      <c r="K3445" s="444">
        <f t="shared" ca="1" si="148"/>
        <v>-2275599746.4735575</v>
      </c>
      <c r="L3445" s="444">
        <f t="shared" ca="1" si="149"/>
        <v>-548419538900.12738</v>
      </c>
      <c r="M3445" s="460">
        <f t="shared" si="151"/>
        <v>0.05</v>
      </c>
      <c r="N3445" s="464">
        <f t="shared" si="152"/>
        <v>155899</v>
      </c>
    </row>
    <row r="3446" spans="7:14" ht="11.25" customHeight="1" x14ac:dyDescent="0.3">
      <c r="G3446" s="459"/>
      <c r="H3446" s="459">
        <v>3439</v>
      </c>
      <c r="I3446" s="444">
        <f t="shared" ca="1" si="150"/>
        <v>-548419538900.12738</v>
      </c>
      <c r="J3446" s="444">
        <f t="array" ref="J3446">IFERROR(INDEX('Retirement Calculator'!K:K,MATCH('Lorri 401b'!N3446,'Retirement Calculator'!A:A,0),0),0)</f>
        <v>0</v>
      </c>
      <c r="K3446" s="444">
        <f t="shared" ca="1" si="148"/>
        <v>-2285081412.0838642</v>
      </c>
      <c r="L3446" s="444">
        <f t="shared" ca="1" si="149"/>
        <v>-550704620312.2113</v>
      </c>
      <c r="M3446" s="460">
        <f t="shared" si="151"/>
        <v>0.05</v>
      </c>
      <c r="N3446" s="464">
        <f t="shared" si="152"/>
        <v>155929</v>
      </c>
    </row>
    <row r="3447" spans="7:14" ht="11.25" customHeight="1" x14ac:dyDescent="0.3">
      <c r="G3447" s="459"/>
      <c r="H3447" s="459">
        <v>3440</v>
      </c>
      <c r="I3447" s="444">
        <f t="shared" ca="1" si="150"/>
        <v>-550704620312.2113</v>
      </c>
      <c r="J3447" s="444">
        <f t="array" ref="J3447">IFERROR(INDEX('Retirement Calculator'!K:K,MATCH('Lorri 401b'!N3447,'Retirement Calculator'!A:A,0),0),0)</f>
        <v>0</v>
      </c>
      <c r="K3447" s="444">
        <f t="shared" ca="1" si="148"/>
        <v>-2294602584.6342139</v>
      </c>
      <c r="L3447" s="444">
        <f t="shared" ca="1" si="149"/>
        <v>-552999222896.84546</v>
      </c>
      <c r="M3447" s="460">
        <f t="shared" si="151"/>
        <v>0.05</v>
      </c>
      <c r="N3447" s="464">
        <f t="shared" si="152"/>
        <v>155960</v>
      </c>
    </row>
    <row r="3448" spans="7:14" ht="11.25" customHeight="1" x14ac:dyDescent="0.3">
      <c r="G3448" s="459"/>
      <c r="H3448" s="459">
        <v>3441</v>
      </c>
      <c r="I3448" s="444">
        <f t="shared" ca="1" si="150"/>
        <v>-552999222896.84546</v>
      </c>
      <c r="J3448" s="444">
        <f t="array" ref="J3448">IFERROR(INDEX('Retirement Calculator'!K:K,MATCH('Lorri 401b'!N3448,'Retirement Calculator'!A:A,0),0),0)</f>
        <v>0</v>
      </c>
      <c r="K3448" s="444">
        <f t="shared" ca="1" si="148"/>
        <v>-2304163428.736856</v>
      </c>
      <c r="L3448" s="444">
        <f t="shared" ca="1" si="149"/>
        <v>-555303386325.58228</v>
      </c>
      <c r="M3448" s="460">
        <f t="shared" si="151"/>
        <v>0.05</v>
      </c>
      <c r="N3448" s="464">
        <f t="shared" si="152"/>
        <v>155991</v>
      </c>
    </row>
    <row r="3449" spans="7:14" ht="11.25" customHeight="1" x14ac:dyDescent="0.3">
      <c r="G3449" s="459"/>
      <c r="H3449" s="459">
        <v>3442</v>
      </c>
      <c r="I3449" s="444">
        <f t="shared" ca="1" si="150"/>
        <v>-555303386325.58228</v>
      </c>
      <c r="J3449" s="444">
        <f t="array" ref="J3449">IFERROR(INDEX('Retirement Calculator'!K:K,MATCH('Lorri 401b'!N3449,'Retirement Calculator'!A:A,0),0),0)</f>
        <v>0</v>
      </c>
      <c r="K3449" s="444">
        <f t="shared" ca="1" si="148"/>
        <v>-2313764109.6899261</v>
      </c>
      <c r="L3449" s="444">
        <f t="shared" ca="1" si="149"/>
        <v>-557617150435.27222</v>
      </c>
      <c r="M3449" s="460">
        <f t="shared" si="151"/>
        <v>0.05</v>
      </c>
      <c r="N3449" s="464">
        <f t="shared" si="152"/>
        <v>156019</v>
      </c>
    </row>
    <row r="3450" spans="7:14" ht="11.25" customHeight="1" x14ac:dyDescent="0.3">
      <c r="G3450" s="459"/>
      <c r="H3450" s="459">
        <v>3443</v>
      </c>
      <c r="I3450" s="444">
        <f t="shared" ca="1" si="150"/>
        <v>-557617150435.27222</v>
      </c>
      <c r="J3450" s="444">
        <f t="array" ref="J3450">IFERROR(INDEX('Retirement Calculator'!K:K,MATCH('Lorri 401b'!N3450,'Retirement Calculator'!A:A,0),0),0)</f>
        <v>0</v>
      </c>
      <c r="K3450" s="444">
        <f t="shared" ca="1" si="148"/>
        <v>-2323404793.4803009</v>
      </c>
      <c r="L3450" s="444">
        <f t="shared" ca="1" si="149"/>
        <v>-559940555228.75256</v>
      </c>
      <c r="M3450" s="460">
        <f t="shared" si="151"/>
        <v>0.05</v>
      </c>
      <c r="N3450" s="464">
        <f t="shared" si="152"/>
        <v>156050</v>
      </c>
    </row>
    <row r="3451" spans="7:14" ht="11.25" customHeight="1" x14ac:dyDescent="0.3">
      <c r="G3451" s="459"/>
      <c r="H3451" s="459">
        <v>3444</v>
      </c>
      <c r="I3451" s="444">
        <f t="shared" ca="1" si="150"/>
        <v>-559940555228.75256</v>
      </c>
      <c r="J3451" s="444">
        <f t="array" ref="J3451">IFERROR(INDEX('Retirement Calculator'!K:K,MATCH('Lorri 401b'!N3451,'Retirement Calculator'!A:A,0),0),0)</f>
        <v>0</v>
      </c>
      <c r="K3451" s="444">
        <f t="shared" ca="1" si="148"/>
        <v>-2333085646.786469</v>
      </c>
      <c r="L3451" s="444">
        <f t="shared" ca="1" si="149"/>
        <v>-562273640875.53906</v>
      </c>
      <c r="M3451" s="460">
        <f t="shared" si="151"/>
        <v>0.05</v>
      </c>
      <c r="N3451" s="464">
        <f t="shared" si="152"/>
        <v>156080</v>
      </c>
    </row>
    <row r="3452" spans="7:14" ht="11.25" customHeight="1" x14ac:dyDescent="0.3">
      <c r="G3452" s="459"/>
      <c r="H3452" s="459">
        <v>3445</v>
      </c>
      <c r="I3452" s="444">
        <f t="shared" ca="1" si="150"/>
        <v>-562273640875.53906</v>
      </c>
      <c r="J3452" s="444">
        <f t="array" ref="J3452">IFERROR(INDEX('Retirement Calculator'!K:K,MATCH('Lorri 401b'!N3452,'Retirement Calculator'!A:A,0),0),0)</f>
        <v>0</v>
      </c>
      <c r="K3452" s="444">
        <f t="shared" ca="1" si="148"/>
        <v>-2342806836.9814129</v>
      </c>
      <c r="L3452" s="444">
        <f t="shared" ca="1" si="149"/>
        <v>-564616447712.52051</v>
      </c>
      <c r="M3452" s="460">
        <f t="shared" si="151"/>
        <v>0.05</v>
      </c>
      <c r="N3452" s="464">
        <f t="shared" si="152"/>
        <v>156111</v>
      </c>
    </row>
    <row r="3453" spans="7:14" ht="11.25" customHeight="1" x14ac:dyDescent="0.3">
      <c r="G3453" s="459"/>
      <c r="H3453" s="459">
        <v>3446</v>
      </c>
      <c r="I3453" s="444">
        <f t="shared" ca="1" si="150"/>
        <v>-564616447712.52051</v>
      </c>
      <c r="J3453" s="444">
        <f t="array" ref="J3453">IFERROR(INDEX('Retirement Calculator'!K:K,MATCH('Lorri 401b'!N3453,'Retirement Calculator'!A:A,0),0),0)</f>
        <v>0</v>
      </c>
      <c r="K3453" s="444">
        <f t="shared" ca="1" si="148"/>
        <v>-2352568532.1355019</v>
      </c>
      <c r="L3453" s="444">
        <f t="shared" ca="1" si="149"/>
        <v>-566969016244.65601</v>
      </c>
      <c r="M3453" s="460">
        <f t="shared" si="151"/>
        <v>0.05</v>
      </c>
      <c r="N3453" s="464">
        <f t="shared" si="152"/>
        <v>156141</v>
      </c>
    </row>
    <row r="3454" spans="7:14" ht="11.25" customHeight="1" x14ac:dyDescent="0.3">
      <c r="G3454" s="459"/>
      <c r="H3454" s="459">
        <v>3447</v>
      </c>
      <c r="I3454" s="444">
        <f t="shared" ca="1" si="150"/>
        <v>-566969016244.65601</v>
      </c>
      <c r="J3454" s="444">
        <f t="array" ref="J3454">IFERROR(INDEX('Retirement Calculator'!K:K,MATCH('Lorri 401b'!N3454,'Retirement Calculator'!A:A,0),0),0)</f>
        <v>0</v>
      </c>
      <c r="K3454" s="444">
        <f t="shared" ca="1" si="148"/>
        <v>-2362370901.0194001</v>
      </c>
      <c r="L3454" s="444">
        <f t="shared" ca="1" si="149"/>
        <v>-569331387145.67542</v>
      </c>
      <c r="M3454" s="460">
        <f t="shared" si="151"/>
        <v>0.05</v>
      </c>
      <c r="N3454" s="464">
        <f t="shared" si="152"/>
        <v>156172</v>
      </c>
    </row>
    <row r="3455" spans="7:14" ht="11.25" customHeight="1" x14ac:dyDescent="0.3">
      <c r="G3455" s="459"/>
      <c r="H3455" s="459">
        <v>3448</v>
      </c>
      <c r="I3455" s="444">
        <f t="shared" ca="1" si="150"/>
        <v>-569331387145.67542</v>
      </c>
      <c r="J3455" s="444">
        <f t="array" ref="J3455">IFERROR(INDEX('Retirement Calculator'!K:K,MATCH('Lorri 401b'!N3455,'Retirement Calculator'!A:A,0),0),0)</f>
        <v>0</v>
      </c>
      <c r="K3455" s="444">
        <f t="shared" ca="1" si="148"/>
        <v>-2372214113.1069808</v>
      </c>
      <c r="L3455" s="444">
        <f t="shared" ca="1" si="149"/>
        <v>-571703601258.78235</v>
      </c>
      <c r="M3455" s="460">
        <f t="shared" si="151"/>
        <v>0.05</v>
      </c>
      <c r="N3455" s="464">
        <f t="shared" si="152"/>
        <v>156203</v>
      </c>
    </row>
    <row r="3456" spans="7:14" ht="11.25" customHeight="1" x14ac:dyDescent="0.3">
      <c r="G3456" s="459"/>
      <c r="H3456" s="459">
        <v>3449</v>
      </c>
      <c r="I3456" s="444">
        <f t="shared" ca="1" si="150"/>
        <v>-571703601258.78235</v>
      </c>
      <c r="J3456" s="444">
        <f t="array" ref="J3456">IFERROR(INDEX('Retirement Calculator'!K:K,MATCH('Lorri 401b'!N3456,'Retirement Calculator'!A:A,0),0),0)</f>
        <v>0</v>
      </c>
      <c r="K3456" s="444">
        <f t="shared" ca="1" si="148"/>
        <v>-2382098338.5782599</v>
      </c>
      <c r="L3456" s="444">
        <f t="shared" ca="1" si="149"/>
        <v>-574085699597.3606</v>
      </c>
      <c r="M3456" s="460">
        <f t="shared" si="151"/>
        <v>0.05</v>
      </c>
      <c r="N3456" s="464">
        <f t="shared" si="152"/>
        <v>156233</v>
      </c>
    </row>
    <row r="3457" spans="7:14" ht="11.25" customHeight="1" x14ac:dyDescent="0.3">
      <c r="G3457" s="459"/>
      <c r="H3457" s="459">
        <v>3450</v>
      </c>
      <c r="I3457" s="444">
        <f t="shared" ca="1" si="150"/>
        <v>-574085699597.3606</v>
      </c>
      <c r="J3457" s="444">
        <f t="array" ref="J3457">IFERROR(INDEX('Retirement Calculator'!K:K,MATCH('Lorri 401b'!N3457,'Retirement Calculator'!A:A,0),0),0)</f>
        <v>0</v>
      </c>
      <c r="K3457" s="444">
        <f t="shared" ca="1" si="148"/>
        <v>-2392023748.3223357</v>
      </c>
      <c r="L3457" s="444">
        <f t="shared" ca="1" si="149"/>
        <v>-576477723345.68298</v>
      </c>
      <c r="M3457" s="460">
        <f t="shared" si="151"/>
        <v>0.05</v>
      </c>
      <c r="N3457" s="464">
        <f t="shared" si="152"/>
        <v>156264</v>
      </c>
    </row>
    <row r="3458" spans="7:14" ht="11.25" customHeight="1" x14ac:dyDescent="0.3">
      <c r="G3458" s="459"/>
      <c r="H3458" s="459">
        <v>3451</v>
      </c>
      <c r="I3458" s="444">
        <f t="shared" ca="1" si="150"/>
        <v>-576477723345.68298</v>
      </c>
      <c r="J3458" s="444">
        <f t="array" ref="J3458">IFERROR(INDEX('Retirement Calculator'!K:K,MATCH('Lorri 401b'!N3458,'Retirement Calculator'!A:A,0),0),0)</f>
        <v>0</v>
      </c>
      <c r="K3458" s="444">
        <f t="shared" ca="1" si="148"/>
        <v>-2401990513.9403458</v>
      </c>
      <c r="L3458" s="444">
        <f t="shared" ca="1" si="149"/>
        <v>-578879713859.62329</v>
      </c>
      <c r="M3458" s="460">
        <f t="shared" si="151"/>
        <v>0.05</v>
      </c>
      <c r="N3458" s="464">
        <f t="shared" si="152"/>
        <v>156294</v>
      </c>
    </row>
    <row r="3459" spans="7:14" ht="11.25" customHeight="1" x14ac:dyDescent="0.3">
      <c r="G3459" s="459"/>
      <c r="H3459" s="459">
        <v>3452</v>
      </c>
      <c r="I3459" s="444">
        <f t="shared" ca="1" si="150"/>
        <v>-578879713859.62329</v>
      </c>
      <c r="J3459" s="444">
        <f t="array" ref="J3459">IFERROR(INDEX('Retirement Calculator'!K:K,MATCH('Lorri 401b'!N3459,'Retirement Calculator'!A:A,0),0),0)</f>
        <v>0</v>
      </c>
      <c r="K3459" s="444">
        <f t="shared" ca="1" si="148"/>
        <v>-2411998807.7484303</v>
      </c>
      <c r="L3459" s="444">
        <f t="shared" ca="1" si="149"/>
        <v>-581291712667.3717</v>
      </c>
      <c r="M3459" s="460">
        <f t="shared" si="151"/>
        <v>0.05</v>
      </c>
      <c r="N3459" s="464">
        <f t="shared" si="152"/>
        <v>156325</v>
      </c>
    </row>
    <row r="3460" spans="7:14" ht="11.25" customHeight="1" x14ac:dyDescent="0.3">
      <c r="G3460" s="459"/>
      <c r="H3460" s="459">
        <v>3453</v>
      </c>
      <c r="I3460" s="444">
        <f t="shared" ca="1" si="150"/>
        <v>-581291712667.3717</v>
      </c>
      <c r="J3460" s="444">
        <f t="array" ref="J3460">IFERROR(INDEX('Retirement Calculator'!K:K,MATCH('Lorri 401b'!N3460,'Retirement Calculator'!A:A,0),0),0)</f>
        <v>0</v>
      </c>
      <c r="K3460" s="444">
        <f t="shared" ca="1" si="148"/>
        <v>-2422048802.7807155</v>
      </c>
      <c r="L3460" s="444">
        <f t="shared" ca="1" si="149"/>
        <v>-583713761470.15247</v>
      </c>
      <c r="M3460" s="460">
        <f t="shared" si="151"/>
        <v>0.05</v>
      </c>
      <c r="N3460" s="464">
        <f t="shared" si="152"/>
        <v>156356</v>
      </c>
    </row>
    <row r="3461" spans="7:14" ht="11.25" customHeight="1" x14ac:dyDescent="0.3">
      <c r="G3461" s="459"/>
      <c r="H3461" s="459">
        <v>3454</v>
      </c>
      <c r="I3461" s="444">
        <f t="shared" ca="1" si="150"/>
        <v>-583713761470.15247</v>
      </c>
      <c r="J3461" s="444">
        <f t="array" ref="J3461">IFERROR(INDEX('Retirement Calculator'!K:K,MATCH('Lorri 401b'!N3461,'Retirement Calculator'!A:A,0),0),0)</f>
        <v>0</v>
      </c>
      <c r="K3461" s="444">
        <f t="shared" ca="1" si="148"/>
        <v>-2432140672.7923021</v>
      </c>
      <c r="L3461" s="444">
        <f t="shared" ca="1" si="149"/>
        <v>-586145902142.94482</v>
      </c>
      <c r="M3461" s="460">
        <f t="shared" si="151"/>
        <v>0.05</v>
      </c>
      <c r="N3461" s="464">
        <f t="shared" si="152"/>
        <v>156385</v>
      </c>
    </row>
    <row r="3462" spans="7:14" ht="11.25" customHeight="1" x14ac:dyDescent="0.3">
      <c r="G3462" s="459"/>
      <c r="H3462" s="459">
        <v>3455</v>
      </c>
      <c r="I3462" s="444">
        <f t="shared" ca="1" si="150"/>
        <v>-586145902142.94482</v>
      </c>
      <c r="J3462" s="444">
        <f t="array" ref="J3462">IFERROR(INDEX('Retirement Calculator'!K:K,MATCH('Lorri 401b'!N3462,'Retirement Calculator'!A:A,0),0),0)</f>
        <v>0</v>
      </c>
      <c r="K3462" s="444">
        <f t="shared" ca="1" si="148"/>
        <v>-2442274592.26227</v>
      </c>
      <c r="L3462" s="444">
        <f t="shared" ca="1" si="149"/>
        <v>-588588176735.20715</v>
      </c>
      <c r="M3462" s="460">
        <f t="shared" si="151"/>
        <v>0.05</v>
      </c>
      <c r="N3462" s="464">
        <f t="shared" si="152"/>
        <v>156416</v>
      </c>
    </row>
    <row r="3463" spans="7:14" ht="11.25" customHeight="1" x14ac:dyDescent="0.3">
      <c r="G3463" s="459"/>
      <c r="H3463" s="459">
        <v>3456</v>
      </c>
      <c r="I3463" s="444">
        <f t="shared" ca="1" si="150"/>
        <v>-588588176735.20715</v>
      </c>
      <c r="J3463" s="444">
        <f t="array" ref="J3463">IFERROR(INDEX('Retirement Calculator'!K:K,MATCH('Lorri 401b'!N3463,'Retirement Calculator'!A:A,0),0),0)</f>
        <v>0</v>
      </c>
      <c r="K3463" s="444">
        <f t="shared" ca="1" si="148"/>
        <v>-2452450736.3966966</v>
      </c>
      <c r="L3463" s="444">
        <f t="shared" ca="1" si="149"/>
        <v>-591040627471.60388</v>
      </c>
      <c r="M3463" s="460">
        <f t="shared" si="151"/>
        <v>0.05</v>
      </c>
      <c r="N3463" s="464">
        <f t="shared" si="152"/>
        <v>156446</v>
      </c>
    </row>
    <row r="3464" spans="7:14" ht="11.25" customHeight="1" x14ac:dyDescent="0.3">
      <c r="G3464" s="459"/>
      <c r="H3464" s="459">
        <v>3457</v>
      </c>
      <c r="I3464" s="444">
        <f t="shared" ca="1" si="150"/>
        <v>-591040627471.60388</v>
      </c>
      <c r="J3464" s="444">
        <f t="array" ref="J3464">IFERROR(INDEX('Retirement Calculator'!K:K,MATCH('Lorri 401b'!N3464,'Retirement Calculator'!A:A,0),0),0)</f>
        <v>0</v>
      </c>
      <c r="K3464" s="444">
        <f t="shared" ca="1" si="148"/>
        <v>-2462669281.1316829</v>
      </c>
      <c r="L3464" s="444">
        <f t="shared" ca="1" si="149"/>
        <v>-593503296752.7356</v>
      </c>
      <c r="M3464" s="460">
        <f t="shared" si="151"/>
        <v>0.05</v>
      </c>
      <c r="N3464" s="464">
        <f t="shared" si="152"/>
        <v>156477</v>
      </c>
    </row>
    <row r="3465" spans="7:14" ht="11.25" customHeight="1" x14ac:dyDescent="0.3">
      <c r="G3465" s="459"/>
      <c r="H3465" s="459">
        <v>3458</v>
      </c>
      <c r="I3465" s="444">
        <f t="shared" ca="1" si="150"/>
        <v>-593503296752.7356</v>
      </c>
      <c r="J3465" s="444">
        <f t="array" ref="J3465">IFERROR(INDEX('Retirement Calculator'!K:K,MATCH('Lorri 401b'!N3465,'Retirement Calculator'!A:A,0),0),0)</f>
        <v>0</v>
      </c>
      <c r="K3465" s="444">
        <f t="shared" ca="1" si="148"/>
        <v>-2472930403.1363983</v>
      </c>
      <c r="L3465" s="444">
        <f t="shared" ca="1" si="149"/>
        <v>-595976227155.87195</v>
      </c>
      <c r="M3465" s="460">
        <f t="shared" si="151"/>
        <v>0.05</v>
      </c>
      <c r="N3465" s="464">
        <f t="shared" si="152"/>
        <v>156507</v>
      </c>
    </row>
    <row r="3466" spans="7:14" ht="11.25" customHeight="1" x14ac:dyDescent="0.3">
      <c r="G3466" s="459"/>
      <c r="H3466" s="459">
        <v>3459</v>
      </c>
      <c r="I3466" s="444">
        <f t="shared" ca="1" si="150"/>
        <v>-595976227155.87195</v>
      </c>
      <c r="J3466" s="444">
        <f t="array" ref="J3466">IFERROR(INDEX('Retirement Calculator'!K:K,MATCH('Lorri 401b'!N3466,'Retirement Calculator'!A:A,0),0),0)</f>
        <v>0</v>
      </c>
      <c r="K3466" s="444">
        <f t="shared" ca="1" si="148"/>
        <v>-2483234279.816133</v>
      </c>
      <c r="L3466" s="444">
        <f t="shared" ca="1" si="149"/>
        <v>-598459461435.68811</v>
      </c>
      <c r="M3466" s="460">
        <f t="shared" si="151"/>
        <v>0.05</v>
      </c>
      <c r="N3466" s="464">
        <f t="shared" si="152"/>
        <v>156538</v>
      </c>
    </row>
    <row r="3467" spans="7:14" ht="11.25" customHeight="1" x14ac:dyDescent="0.3">
      <c r="G3467" s="459"/>
      <c r="H3467" s="459">
        <v>3460</v>
      </c>
      <c r="I3467" s="444">
        <f t="shared" ca="1" si="150"/>
        <v>-598459461435.68811</v>
      </c>
      <c r="J3467" s="444">
        <f t="array" ref="J3467">IFERROR(INDEX('Retirement Calculator'!K:K,MATCH('Lorri 401b'!N3467,'Retirement Calculator'!A:A,0),0),0)</f>
        <v>0</v>
      </c>
      <c r="K3467" s="444">
        <f t="shared" ca="1" si="148"/>
        <v>-2493581089.3153672</v>
      </c>
      <c r="L3467" s="444">
        <f t="shared" ca="1" si="149"/>
        <v>-600953042525.00342</v>
      </c>
      <c r="M3467" s="460">
        <f t="shared" si="151"/>
        <v>0.05</v>
      </c>
      <c r="N3467" s="464">
        <f t="shared" si="152"/>
        <v>156569</v>
      </c>
    </row>
    <row r="3468" spans="7:14" ht="11.25" customHeight="1" x14ac:dyDescent="0.3">
      <c r="G3468" s="459"/>
      <c r="H3468" s="459">
        <v>3461</v>
      </c>
      <c r="I3468" s="444">
        <f t="shared" ca="1" si="150"/>
        <v>-600953042525.00342</v>
      </c>
      <c r="J3468" s="444">
        <f t="array" ref="J3468">IFERROR(INDEX('Retirement Calculator'!K:K,MATCH('Lorri 401b'!N3468,'Retirement Calculator'!A:A,0),0),0)</f>
        <v>0</v>
      </c>
      <c r="K3468" s="444">
        <f t="shared" ca="1" si="148"/>
        <v>-2503971010.5208473</v>
      </c>
      <c r="L3468" s="444">
        <f t="shared" ca="1" si="149"/>
        <v>-603457013535.52429</v>
      </c>
      <c r="M3468" s="460">
        <f t="shared" si="151"/>
        <v>0.05</v>
      </c>
      <c r="N3468" s="464">
        <f t="shared" si="152"/>
        <v>156599</v>
      </c>
    </row>
    <row r="3469" spans="7:14" ht="11.25" customHeight="1" x14ac:dyDescent="0.3">
      <c r="G3469" s="459"/>
      <c r="H3469" s="459">
        <v>3462</v>
      </c>
      <c r="I3469" s="444">
        <f t="shared" ca="1" si="150"/>
        <v>-603457013535.52429</v>
      </c>
      <c r="J3469" s="444">
        <f t="array" ref="J3469">IFERROR(INDEX('Retirement Calculator'!K:K,MATCH('Lorri 401b'!N3469,'Retirement Calculator'!A:A,0),0),0)</f>
        <v>0</v>
      </c>
      <c r="K3469" s="444">
        <f t="shared" ca="1" si="148"/>
        <v>-2514404223.0646844</v>
      </c>
      <c r="L3469" s="444">
        <f t="shared" ca="1" si="149"/>
        <v>-605971417758.58899</v>
      </c>
      <c r="M3469" s="460">
        <f t="shared" si="151"/>
        <v>0.05</v>
      </c>
      <c r="N3469" s="464">
        <f t="shared" si="152"/>
        <v>156630</v>
      </c>
    </row>
    <row r="3470" spans="7:14" ht="11.25" customHeight="1" x14ac:dyDescent="0.3">
      <c r="G3470" s="459"/>
      <c r="H3470" s="459">
        <v>3463</v>
      </c>
      <c r="I3470" s="444">
        <f t="shared" ca="1" si="150"/>
        <v>-605971417758.58899</v>
      </c>
      <c r="J3470" s="444">
        <f t="array" ref="J3470">IFERROR(INDEX('Retirement Calculator'!K:K,MATCH('Lorri 401b'!N3470,'Retirement Calculator'!A:A,0),0),0)</f>
        <v>0</v>
      </c>
      <c r="K3470" s="444">
        <f t="shared" ca="1" si="148"/>
        <v>-2524880907.3274541</v>
      </c>
      <c r="L3470" s="444">
        <f t="shared" ca="1" si="149"/>
        <v>-608496298665.9165</v>
      </c>
      <c r="M3470" s="460">
        <f t="shared" si="151"/>
        <v>0.05</v>
      </c>
      <c r="N3470" s="464">
        <f t="shared" si="152"/>
        <v>156660</v>
      </c>
    </row>
    <row r="3471" spans="7:14" ht="11.25" customHeight="1" x14ac:dyDescent="0.3">
      <c r="G3471" s="459"/>
      <c r="H3471" s="459">
        <v>3464</v>
      </c>
      <c r="I3471" s="444">
        <f t="shared" ca="1" si="150"/>
        <v>-608496298665.9165</v>
      </c>
      <c r="J3471" s="444">
        <f t="array" ref="J3471">IFERROR(INDEX('Retirement Calculator'!K:K,MATCH('Lorri 401b'!N3471,'Retirement Calculator'!A:A,0),0),0)</f>
        <v>0</v>
      </c>
      <c r="K3471" s="444">
        <f t="shared" ca="1" si="148"/>
        <v>-2535401244.4413185</v>
      </c>
      <c r="L3471" s="444">
        <f t="shared" ca="1" si="149"/>
        <v>-611031699910.35779</v>
      </c>
      <c r="M3471" s="460">
        <f t="shared" si="151"/>
        <v>0.05</v>
      </c>
      <c r="N3471" s="464">
        <f t="shared" si="152"/>
        <v>156691</v>
      </c>
    </row>
    <row r="3472" spans="7:14" ht="11.25" customHeight="1" x14ac:dyDescent="0.3">
      <c r="G3472" s="459"/>
      <c r="H3472" s="459">
        <v>3465</v>
      </c>
      <c r="I3472" s="444">
        <f t="shared" ca="1" si="150"/>
        <v>-611031699910.35779</v>
      </c>
      <c r="J3472" s="444">
        <f t="array" ref="J3472">IFERROR(INDEX('Retirement Calculator'!K:K,MATCH('Lorri 401b'!N3472,'Retirement Calculator'!A:A,0),0),0)</f>
        <v>0</v>
      </c>
      <c r="K3472" s="444">
        <f t="shared" ca="1" si="148"/>
        <v>-2545965416.2931576</v>
      </c>
      <c r="L3472" s="444">
        <f t="shared" ca="1" si="149"/>
        <v>-613577665326.651</v>
      </c>
      <c r="M3472" s="460">
        <f t="shared" si="151"/>
        <v>0.05</v>
      </c>
      <c r="N3472" s="464">
        <f t="shared" si="152"/>
        <v>156722</v>
      </c>
    </row>
    <row r="3473" spans="7:14" ht="11.25" customHeight="1" x14ac:dyDescent="0.3">
      <c r="G3473" s="459"/>
      <c r="H3473" s="459">
        <v>3466</v>
      </c>
      <c r="I3473" s="444">
        <f t="shared" ca="1" si="150"/>
        <v>-613577665326.651</v>
      </c>
      <c r="J3473" s="444">
        <f t="array" ref="J3473">IFERROR(INDEX('Retirement Calculator'!K:K,MATCH('Lorri 401b'!N3473,'Retirement Calculator'!A:A,0),0),0)</f>
        <v>0</v>
      </c>
      <c r="K3473" s="444">
        <f t="shared" ca="1" si="148"/>
        <v>-2556573605.5277123</v>
      </c>
      <c r="L3473" s="444">
        <f t="shared" ca="1" si="149"/>
        <v>-616134238932.17871</v>
      </c>
      <c r="M3473" s="460">
        <f t="shared" si="151"/>
        <v>0.05</v>
      </c>
      <c r="N3473" s="464">
        <f t="shared" si="152"/>
        <v>156750</v>
      </c>
    </row>
    <row r="3474" spans="7:14" ht="11.25" customHeight="1" x14ac:dyDescent="0.3">
      <c r="G3474" s="459"/>
      <c r="H3474" s="459">
        <v>3467</v>
      </c>
      <c r="I3474" s="444">
        <f t="shared" ca="1" si="150"/>
        <v>-616134238932.17871</v>
      </c>
      <c r="J3474" s="444">
        <f t="array" ref="J3474">IFERROR(INDEX('Retirement Calculator'!K:K,MATCH('Lorri 401b'!N3474,'Retirement Calculator'!A:A,0),0),0)</f>
        <v>0</v>
      </c>
      <c r="K3474" s="444">
        <f t="shared" ca="1" si="148"/>
        <v>-2567225995.5507445</v>
      </c>
      <c r="L3474" s="444">
        <f t="shared" ca="1" si="149"/>
        <v>-618701464927.72949</v>
      </c>
      <c r="M3474" s="460">
        <f t="shared" si="151"/>
        <v>0.05</v>
      </c>
      <c r="N3474" s="464">
        <f t="shared" si="152"/>
        <v>156781</v>
      </c>
    </row>
    <row r="3475" spans="7:14" ht="11.25" customHeight="1" x14ac:dyDescent="0.3">
      <c r="G3475" s="459"/>
      <c r="H3475" s="459">
        <v>3468</v>
      </c>
      <c r="I3475" s="444">
        <f t="shared" ca="1" si="150"/>
        <v>-618701464927.72949</v>
      </c>
      <c r="J3475" s="444">
        <f t="array" ref="J3475">IFERROR(INDEX('Retirement Calculator'!K:K,MATCH('Lorri 401b'!N3475,'Retirement Calculator'!A:A,0),0),0)</f>
        <v>0</v>
      </c>
      <c r="K3475" s="444">
        <f t="shared" ca="1" si="148"/>
        <v>-2577922770.5322061</v>
      </c>
      <c r="L3475" s="444">
        <f t="shared" ca="1" si="149"/>
        <v>-621279387698.26172</v>
      </c>
      <c r="M3475" s="460">
        <f t="shared" si="151"/>
        <v>0.05</v>
      </c>
      <c r="N3475" s="464">
        <f t="shared" si="152"/>
        <v>156811</v>
      </c>
    </row>
    <row r="3476" spans="7:14" ht="11.25" customHeight="1" x14ac:dyDescent="0.3">
      <c r="G3476" s="459"/>
      <c r="H3476" s="459">
        <v>3469</v>
      </c>
      <c r="I3476" s="444">
        <f t="shared" ca="1" si="150"/>
        <v>-621279387698.26172</v>
      </c>
      <c r="J3476" s="444">
        <f t="array" ref="J3476">IFERROR(INDEX('Retirement Calculator'!K:K,MATCH('Lorri 401b'!N3476,'Retirement Calculator'!A:A,0),0),0)</f>
        <v>0</v>
      </c>
      <c r="K3476" s="444">
        <f t="shared" ca="1" si="148"/>
        <v>-2588664115.4094238</v>
      </c>
      <c r="L3476" s="444">
        <f t="shared" ca="1" si="149"/>
        <v>-623868051813.67114</v>
      </c>
      <c r="M3476" s="460">
        <f t="shared" si="151"/>
        <v>0.05</v>
      </c>
      <c r="N3476" s="464">
        <f t="shared" si="152"/>
        <v>156842</v>
      </c>
    </row>
    <row r="3477" spans="7:14" ht="11.25" customHeight="1" x14ac:dyDescent="0.3">
      <c r="G3477" s="459"/>
      <c r="H3477" s="459">
        <v>3470</v>
      </c>
      <c r="I3477" s="444">
        <f t="shared" ca="1" si="150"/>
        <v>-623868051813.67114</v>
      </c>
      <c r="J3477" s="444">
        <f t="array" ref="J3477">IFERROR(INDEX('Retirement Calculator'!K:K,MATCH('Lorri 401b'!N3477,'Retirement Calculator'!A:A,0),0),0)</f>
        <v>0</v>
      </c>
      <c r="K3477" s="444">
        <f t="shared" ca="1" si="148"/>
        <v>-2599450215.8902965</v>
      </c>
      <c r="L3477" s="444">
        <f t="shared" ca="1" si="149"/>
        <v>-626467502029.5614</v>
      </c>
      <c r="M3477" s="460">
        <f t="shared" si="151"/>
        <v>0.05</v>
      </c>
      <c r="N3477" s="464">
        <f t="shared" si="152"/>
        <v>156872</v>
      </c>
    </row>
    <row r="3478" spans="7:14" ht="11.25" customHeight="1" x14ac:dyDescent="0.3">
      <c r="G3478" s="459"/>
      <c r="H3478" s="459">
        <v>3471</v>
      </c>
      <c r="I3478" s="444">
        <f t="shared" ca="1" si="150"/>
        <v>-626467502029.5614</v>
      </c>
      <c r="J3478" s="444">
        <f t="array" ref="J3478">IFERROR(INDEX('Retirement Calculator'!K:K,MATCH('Lorri 401b'!N3478,'Retirement Calculator'!A:A,0),0),0)</f>
        <v>0</v>
      </c>
      <c r="K3478" s="444">
        <f t="shared" ca="1" si="148"/>
        <v>-2610281258.4565058</v>
      </c>
      <c r="L3478" s="444">
        <f t="shared" ca="1" si="149"/>
        <v>-629077783288.01794</v>
      </c>
      <c r="M3478" s="460">
        <f t="shared" si="151"/>
        <v>0.05</v>
      </c>
      <c r="N3478" s="464">
        <f t="shared" si="152"/>
        <v>156903</v>
      </c>
    </row>
    <row r="3479" spans="7:14" ht="11.25" customHeight="1" x14ac:dyDescent="0.3">
      <c r="G3479" s="459"/>
      <c r="H3479" s="459">
        <v>3472</v>
      </c>
      <c r="I3479" s="444">
        <f t="shared" ca="1" si="150"/>
        <v>-629077783288.01794</v>
      </c>
      <c r="J3479" s="444">
        <f t="array" ref="J3479">IFERROR(INDEX('Retirement Calculator'!K:K,MATCH('Lorri 401b'!N3479,'Retirement Calculator'!A:A,0),0),0)</f>
        <v>0</v>
      </c>
      <c r="K3479" s="444">
        <f t="shared" ca="1" si="148"/>
        <v>-2621157430.3667412</v>
      </c>
      <c r="L3479" s="444">
        <f t="shared" ca="1" si="149"/>
        <v>-631698940718.38464</v>
      </c>
      <c r="M3479" s="460">
        <f t="shared" si="151"/>
        <v>0.05</v>
      </c>
      <c r="N3479" s="464">
        <f t="shared" si="152"/>
        <v>156934</v>
      </c>
    </row>
    <row r="3480" spans="7:14" ht="11.25" customHeight="1" x14ac:dyDescent="0.3">
      <c r="G3480" s="459"/>
      <c r="H3480" s="459">
        <v>3473</v>
      </c>
      <c r="I3480" s="444">
        <f t="shared" ca="1" si="150"/>
        <v>-631698940718.38464</v>
      </c>
      <c r="J3480" s="444">
        <f t="array" ref="J3480">IFERROR(INDEX('Retirement Calculator'!K:K,MATCH('Lorri 401b'!N3480,'Retirement Calculator'!A:A,0),0),0)</f>
        <v>0</v>
      </c>
      <c r="K3480" s="444">
        <f t="shared" ca="1" si="148"/>
        <v>-2632078919.659936</v>
      </c>
      <c r="L3480" s="444">
        <f t="shared" ca="1" si="149"/>
        <v>-634331019638.04456</v>
      </c>
      <c r="M3480" s="460">
        <f t="shared" si="151"/>
        <v>0.05</v>
      </c>
      <c r="N3480" s="464">
        <f t="shared" si="152"/>
        <v>156964</v>
      </c>
    </row>
    <row r="3481" spans="7:14" ht="11.25" customHeight="1" x14ac:dyDescent="0.3">
      <c r="G3481" s="459"/>
      <c r="H3481" s="459">
        <v>3474</v>
      </c>
      <c r="I3481" s="444">
        <f t="shared" ca="1" si="150"/>
        <v>-634331019638.04456</v>
      </c>
      <c r="J3481" s="444">
        <f t="array" ref="J3481">IFERROR(INDEX('Retirement Calculator'!K:K,MATCH('Lorri 401b'!N3481,'Retirement Calculator'!A:A,0),0),0)</f>
        <v>0</v>
      </c>
      <c r="K3481" s="444">
        <f t="shared" ca="1" si="148"/>
        <v>-2643045915.1585188</v>
      </c>
      <c r="L3481" s="444">
        <f t="shared" ca="1" si="149"/>
        <v>-636974065553.20313</v>
      </c>
      <c r="M3481" s="460">
        <f t="shared" si="151"/>
        <v>0.05</v>
      </c>
      <c r="N3481" s="464">
        <f t="shared" si="152"/>
        <v>156995</v>
      </c>
    </row>
    <row r="3482" spans="7:14" ht="11.25" customHeight="1" x14ac:dyDescent="0.3">
      <c r="G3482" s="459"/>
      <c r="H3482" s="459">
        <v>3475</v>
      </c>
      <c r="I3482" s="444">
        <f t="shared" ca="1" si="150"/>
        <v>-636974065553.20313</v>
      </c>
      <c r="J3482" s="444">
        <f t="array" ref="J3482">IFERROR(INDEX('Retirement Calculator'!K:K,MATCH('Lorri 401b'!N3482,'Retirement Calculator'!A:A,0),0),0)</f>
        <v>0</v>
      </c>
      <c r="K3482" s="444">
        <f t="shared" ca="1" si="148"/>
        <v>-2654058606.4716797</v>
      </c>
      <c r="L3482" s="444">
        <f t="shared" ca="1" si="149"/>
        <v>-639628124159.6748</v>
      </c>
      <c r="M3482" s="460">
        <f t="shared" si="151"/>
        <v>0.05</v>
      </c>
      <c r="N3482" s="464">
        <f t="shared" si="152"/>
        <v>157025</v>
      </c>
    </row>
    <row r="3483" spans="7:14" ht="11.25" customHeight="1" x14ac:dyDescent="0.3">
      <c r="G3483" s="459"/>
      <c r="H3483" s="459">
        <v>3476</v>
      </c>
      <c r="I3483" s="444">
        <f t="shared" ca="1" si="150"/>
        <v>-639628124159.6748</v>
      </c>
      <c r="J3483" s="444">
        <f t="array" ref="J3483">IFERROR(INDEX('Retirement Calculator'!K:K,MATCH('Lorri 401b'!N3483,'Retirement Calculator'!A:A,0),0),0)</f>
        <v>0</v>
      </c>
      <c r="K3483" s="444">
        <f t="shared" ca="1" si="148"/>
        <v>-2665117183.9986448</v>
      </c>
      <c r="L3483" s="444">
        <f t="shared" ca="1" si="149"/>
        <v>-642293241343.67346</v>
      </c>
      <c r="M3483" s="460">
        <f t="shared" si="151"/>
        <v>0.05</v>
      </c>
      <c r="N3483" s="464">
        <f t="shared" si="152"/>
        <v>157056</v>
      </c>
    </row>
    <row r="3484" spans="7:14" ht="11.25" customHeight="1" x14ac:dyDescent="0.3">
      <c r="G3484" s="459"/>
      <c r="H3484" s="459">
        <v>3477</v>
      </c>
      <c r="I3484" s="444">
        <f t="shared" ca="1" si="150"/>
        <v>-642293241343.67346</v>
      </c>
      <c r="J3484" s="444">
        <f t="array" ref="J3484">IFERROR(INDEX('Retirement Calculator'!K:K,MATCH('Lorri 401b'!N3484,'Retirement Calculator'!A:A,0),0),0)</f>
        <v>0</v>
      </c>
      <c r="K3484" s="444">
        <f t="shared" ca="1" si="148"/>
        <v>-2676221838.9319725</v>
      </c>
      <c r="L3484" s="444">
        <f t="shared" ca="1" si="149"/>
        <v>-644969463182.60547</v>
      </c>
      <c r="M3484" s="460">
        <f t="shared" si="151"/>
        <v>0.05</v>
      </c>
      <c r="N3484" s="464">
        <f t="shared" si="152"/>
        <v>157087</v>
      </c>
    </row>
    <row r="3485" spans="7:14" ht="11.25" customHeight="1" x14ac:dyDescent="0.3">
      <c r="G3485" s="459"/>
      <c r="H3485" s="459">
        <v>3478</v>
      </c>
      <c r="I3485" s="444">
        <f t="shared" ca="1" si="150"/>
        <v>-644969463182.60547</v>
      </c>
      <c r="J3485" s="444">
        <f t="array" ref="J3485">IFERROR(INDEX('Retirement Calculator'!K:K,MATCH('Lorri 401b'!N3485,'Retirement Calculator'!A:A,0),0),0)</f>
        <v>0</v>
      </c>
      <c r="K3485" s="444">
        <f t="shared" ca="1" si="148"/>
        <v>-2687372763.2608562</v>
      </c>
      <c r="L3485" s="444">
        <f t="shared" ca="1" si="149"/>
        <v>-647656835945.86633</v>
      </c>
      <c r="M3485" s="460">
        <f t="shared" si="151"/>
        <v>0.05</v>
      </c>
      <c r="N3485" s="464">
        <f t="shared" si="152"/>
        <v>157115</v>
      </c>
    </row>
    <row r="3486" spans="7:14" ht="11.25" customHeight="1" x14ac:dyDescent="0.3">
      <c r="G3486" s="459"/>
      <c r="H3486" s="459">
        <v>3479</v>
      </c>
      <c r="I3486" s="444">
        <f t="shared" ca="1" si="150"/>
        <v>-647656835945.86633</v>
      </c>
      <c r="J3486" s="444">
        <f t="array" ref="J3486">IFERROR(INDEX('Retirement Calculator'!K:K,MATCH('Lorri 401b'!N3486,'Retirement Calculator'!A:A,0),0),0)</f>
        <v>0</v>
      </c>
      <c r="K3486" s="444">
        <f t="shared" ca="1" si="148"/>
        <v>-2698570149.7744431</v>
      </c>
      <c r="L3486" s="444">
        <f t="shared" ca="1" si="149"/>
        <v>-650355406095.64075</v>
      </c>
      <c r="M3486" s="460">
        <f t="shared" si="151"/>
        <v>0.05</v>
      </c>
      <c r="N3486" s="464">
        <f t="shared" si="152"/>
        <v>157146</v>
      </c>
    </row>
    <row r="3487" spans="7:14" ht="11.25" customHeight="1" x14ac:dyDescent="0.3">
      <c r="G3487" s="459"/>
      <c r="H3487" s="459">
        <v>3480</v>
      </c>
      <c r="I3487" s="444">
        <f t="shared" ca="1" si="150"/>
        <v>-650355406095.64075</v>
      </c>
      <c r="J3487" s="444">
        <f t="array" ref="J3487">IFERROR(INDEX('Retirement Calculator'!K:K,MATCH('Lorri 401b'!N3487,'Retirement Calculator'!A:A,0),0),0)</f>
        <v>0</v>
      </c>
      <c r="K3487" s="444">
        <f t="shared" ca="1" si="148"/>
        <v>-2709814192.0651698</v>
      </c>
      <c r="L3487" s="444">
        <f t="shared" ca="1" si="149"/>
        <v>-653065220287.70593</v>
      </c>
      <c r="M3487" s="460">
        <f t="shared" si="151"/>
        <v>0.05</v>
      </c>
      <c r="N3487" s="464">
        <f t="shared" si="152"/>
        <v>157176</v>
      </c>
    </row>
    <row r="3488" spans="7:14" ht="11.25" customHeight="1" x14ac:dyDescent="0.3">
      <c r="G3488" s="459"/>
      <c r="H3488" s="459">
        <v>3481</v>
      </c>
      <c r="I3488" s="444">
        <f t="shared" ca="1" si="150"/>
        <v>-653065220287.70593</v>
      </c>
      <c r="J3488" s="444">
        <f t="array" ref="J3488">IFERROR(INDEX('Retirement Calculator'!K:K,MATCH('Lorri 401b'!N3488,'Retirement Calculator'!A:A,0),0),0)</f>
        <v>0</v>
      </c>
      <c r="K3488" s="444">
        <f t="shared" ca="1" si="148"/>
        <v>-2721105084.5321078</v>
      </c>
      <c r="L3488" s="444">
        <f t="shared" ca="1" si="149"/>
        <v>-655786325372.23804</v>
      </c>
      <c r="M3488" s="460">
        <f t="shared" si="151"/>
        <v>0.05</v>
      </c>
      <c r="N3488" s="464">
        <f t="shared" si="152"/>
        <v>157207</v>
      </c>
    </row>
    <row r="3489" spans="7:14" ht="11.25" customHeight="1" x14ac:dyDescent="0.3">
      <c r="G3489" s="459"/>
      <c r="H3489" s="459">
        <v>3482</v>
      </c>
      <c r="I3489" s="444">
        <f t="shared" ca="1" si="150"/>
        <v>-655786325372.23804</v>
      </c>
      <c r="J3489" s="444">
        <f t="array" ref="J3489">IFERROR(INDEX('Retirement Calculator'!K:K,MATCH('Lorri 401b'!N3489,'Retirement Calculator'!A:A,0),0),0)</f>
        <v>0</v>
      </c>
      <c r="K3489" s="444">
        <f t="shared" ca="1" si="148"/>
        <v>-2732443022.384325</v>
      </c>
      <c r="L3489" s="444">
        <f t="shared" ca="1" si="149"/>
        <v>-658518768394.62231</v>
      </c>
      <c r="M3489" s="460">
        <f t="shared" si="151"/>
        <v>0.05</v>
      </c>
      <c r="N3489" s="464">
        <f t="shared" si="152"/>
        <v>157237</v>
      </c>
    </row>
    <row r="3490" spans="7:14" ht="11.25" customHeight="1" x14ac:dyDescent="0.3">
      <c r="G3490" s="459"/>
      <c r="H3490" s="459">
        <v>3483</v>
      </c>
      <c r="I3490" s="444">
        <f t="shared" ca="1" si="150"/>
        <v>-658518768394.62231</v>
      </c>
      <c r="J3490" s="444">
        <f t="array" ref="J3490">IFERROR(INDEX('Retirement Calculator'!K:K,MATCH('Lorri 401b'!N3490,'Retirement Calculator'!A:A,0),0),0)</f>
        <v>0</v>
      </c>
      <c r="K3490" s="444">
        <f t="shared" ca="1" si="148"/>
        <v>-2743828201.6442595</v>
      </c>
      <c r="L3490" s="444">
        <f t="shared" ca="1" si="149"/>
        <v>-661262596596.2666</v>
      </c>
      <c r="M3490" s="460">
        <f t="shared" si="151"/>
        <v>0.05</v>
      </c>
      <c r="N3490" s="464">
        <f t="shared" si="152"/>
        <v>157268</v>
      </c>
    </row>
    <row r="3491" spans="7:14" ht="11.25" customHeight="1" x14ac:dyDescent="0.3">
      <c r="G3491" s="459"/>
      <c r="H3491" s="459">
        <v>3484</v>
      </c>
      <c r="I3491" s="444">
        <f t="shared" ca="1" si="150"/>
        <v>-661262596596.2666</v>
      </c>
      <c r="J3491" s="444">
        <f t="array" ref="J3491">IFERROR(INDEX('Retirement Calculator'!K:K,MATCH('Lorri 401b'!N3491,'Retirement Calculator'!A:A,0),0),0)</f>
        <v>0</v>
      </c>
      <c r="K3491" s="444">
        <f t="shared" ca="1" si="148"/>
        <v>-2755260819.1511106</v>
      </c>
      <c r="L3491" s="444">
        <f t="shared" ca="1" si="149"/>
        <v>-664017857415.41772</v>
      </c>
      <c r="M3491" s="460">
        <f t="shared" si="151"/>
        <v>0.05</v>
      </c>
      <c r="N3491" s="464">
        <f t="shared" si="152"/>
        <v>157299</v>
      </c>
    </row>
    <row r="3492" spans="7:14" ht="11.25" customHeight="1" x14ac:dyDescent="0.3">
      <c r="G3492" s="459"/>
      <c r="H3492" s="459">
        <v>3485</v>
      </c>
      <c r="I3492" s="444">
        <f t="shared" ca="1" si="150"/>
        <v>-664017857415.41772</v>
      </c>
      <c r="J3492" s="444">
        <f t="array" ref="J3492">IFERROR(INDEX('Retirement Calculator'!K:K,MATCH('Lorri 401b'!N3492,'Retirement Calculator'!A:A,0),0),0)</f>
        <v>0</v>
      </c>
      <c r="K3492" s="444">
        <f t="shared" ca="1" si="148"/>
        <v>-2766741072.5642405</v>
      </c>
      <c r="L3492" s="444">
        <f t="shared" ca="1" si="149"/>
        <v>-666784598487.98193</v>
      </c>
      <c r="M3492" s="460">
        <f t="shared" si="151"/>
        <v>0.05</v>
      </c>
      <c r="N3492" s="464">
        <f t="shared" si="152"/>
        <v>157329</v>
      </c>
    </row>
    <row r="3493" spans="7:14" ht="11.25" customHeight="1" x14ac:dyDescent="0.3">
      <c r="G3493" s="459"/>
      <c r="H3493" s="459">
        <v>3486</v>
      </c>
      <c r="I3493" s="444">
        <f t="shared" ca="1" si="150"/>
        <v>-666784598487.98193</v>
      </c>
      <c r="J3493" s="444">
        <f t="array" ref="J3493">IFERROR(INDEX('Retirement Calculator'!K:K,MATCH('Lorri 401b'!N3493,'Retirement Calculator'!A:A,0),0),0)</f>
        <v>0</v>
      </c>
      <c r="K3493" s="444">
        <f t="shared" ca="1" si="148"/>
        <v>-2778269160.3665915</v>
      </c>
      <c r="L3493" s="444">
        <f t="shared" ca="1" si="149"/>
        <v>-669562867648.34851</v>
      </c>
      <c r="M3493" s="460">
        <f t="shared" si="151"/>
        <v>0.05</v>
      </c>
      <c r="N3493" s="464">
        <f t="shared" si="152"/>
        <v>157360</v>
      </c>
    </row>
    <row r="3494" spans="7:14" ht="11.25" customHeight="1" x14ac:dyDescent="0.3">
      <c r="G3494" s="459"/>
      <c r="H3494" s="459">
        <v>3487</v>
      </c>
      <c r="I3494" s="444">
        <f t="shared" ca="1" si="150"/>
        <v>-669562867648.34851</v>
      </c>
      <c r="J3494" s="444">
        <f t="array" ref="J3494">IFERROR(INDEX('Retirement Calculator'!K:K,MATCH('Lorri 401b'!N3494,'Retirement Calculator'!A:A,0),0),0)</f>
        <v>0</v>
      </c>
      <c r="K3494" s="444">
        <f t="shared" ca="1" si="148"/>
        <v>-2789845281.8681188</v>
      </c>
      <c r="L3494" s="444">
        <f t="shared" ca="1" si="149"/>
        <v>-672352712930.21667</v>
      </c>
      <c r="M3494" s="460">
        <f t="shared" si="151"/>
        <v>0.05</v>
      </c>
      <c r="N3494" s="464">
        <f t="shared" si="152"/>
        <v>157390</v>
      </c>
    </row>
    <row r="3495" spans="7:14" ht="11.25" customHeight="1" x14ac:dyDescent="0.3">
      <c r="G3495" s="459"/>
      <c r="H3495" s="459">
        <v>3488</v>
      </c>
      <c r="I3495" s="444">
        <f t="shared" ca="1" si="150"/>
        <v>-672352712930.21667</v>
      </c>
      <c r="J3495" s="444">
        <f t="array" ref="J3495">IFERROR(INDEX('Retirement Calculator'!K:K,MATCH('Lorri 401b'!N3495,'Retirement Calculator'!A:A,0),0),0)</f>
        <v>0</v>
      </c>
      <c r="K3495" s="444">
        <f t="shared" ca="1" si="148"/>
        <v>-2801469637.2092361</v>
      </c>
      <c r="L3495" s="444">
        <f t="shared" ca="1" si="149"/>
        <v>-675154182567.4259</v>
      </c>
      <c r="M3495" s="460">
        <f t="shared" si="151"/>
        <v>0.05</v>
      </c>
      <c r="N3495" s="464">
        <f t="shared" si="152"/>
        <v>157421</v>
      </c>
    </row>
    <row r="3496" spans="7:14" ht="11.25" customHeight="1" x14ac:dyDescent="0.3">
      <c r="G3496" s="459"/>
      <c r="H3496" s="459">
        <v>3489</v>
      </c>
      <c r="I3496" s="444">
        <f t="shared" ca="1" si="150"/>
        <v>-675154182567.4259</v>
      </c>
      <c r="J3496" s="444">
        <f t="array" ref="J3496">IFERROR(INDEX('Retirement Calculator'!K:K,MATCH('Lorri 401b'!N3496,'Retirement Calculator'!A:A,0),0),0)</f>
        <v>0</v>
      </c>
      <c r="K3496" s="444">
        <f t="shared" ca="1" si="148"/>
        <v>-2813142427.3642745</v>
      </c>
      <c r="L3496" s="444">
        <f t="shared" ca="1" si="149"/>
        <v>-677967324994.79016</v>
      </c>
      <c r="M3496" s="460">
        <f t="shared" si="151"/>
        <v>0.05</v>
      </c>
      <c r="N3496" s="464">
        <f t="shared" si="152"/>
        <v>157452</v>
      </c>
    </row>
    <row r="3497" spans="7:14" ht="11.25" customHeight="1" x14ac:dyDescent="0.3">
      <c r="G3497" s="459"/>
      <c r="H3497" s="459">
        <v>3490</v>
      </c>
      <c r="I3497" s="444">
        <f t="shared" ca="1" si="150"/>
        <v>-677967324994.79016</v>
      </c>
      <c r="J3497" s="444">
        <f t="array" ref="J3497">IFERROR(INDEX('Retirement Calculator'!K:K,MATCH('Lorri 401b'!N3497,'Retirement Calculator'!A:A,0),0),0)</f>
        <v>0</v>
      </c>
      <c r="K3497" s="444">
        <f t="shared" ca="1" si="148"/>
        <v>-2824863854.144959</v>
      </c>
      <c r="L3497" s="444">
        <f t="shared" ca="1" si="149"/>
        <v>-680792188848.93518</v>
      </c>
      <c r="M3497" s="460">
        <f t="shared" si="151"/>
        <v>0.05</v>
      </c>
      <c r="N3497" s="464">
        <f t="shared" si="152"/>
        <v>157480</v>
      </c>
    </row>
    <row r="3498" spans="7:14" ht="11.25" customHeight="1" x14ac:dyDescent="0.3">
      <c r="G3498" s="459"/>
      <c r="H3498" s="459">
        <v>3491</v>
      </c>
      <c r="I3498" s="444">
        <f t="shared" ca="1" si="150"/>
        <v>-680792188848.93518</v>
      </c>
      <c r="J3498" s="444">
        <f t="array" ref="J3498">IFERROR(INDEX('Retirement Calculator'!K:K,MATCH('Lorri 401b'!N3498,'Retirement Calculator'!A:A,0),0),0)</f>
        <v>0</v>
      </c>
      <c r="K3498" s="444">
        <f t="shared" ca="1" si="148"/>
        <v>-2836634120.2038965</v>
      </c>
      <c r="L3498" s="444">
        <f t="shared" ca="1" si="149"/>
        <v>-683628822969.13904</v>
      </c>
      <c r="M3498" s="460">
        <f t="shared" si="151"/>
        <v>0.05</v>
      </c>
      <c r="N3498" s="464">
        <f t="shared" si="152"/>
        <v>157511</v>
      </c>
    </row>
    <row r="3499" spans="7:14" ht="11.25" customHeight="1" x14ac:dyDescent="0.3">
      <c r="G3499" s="459"/>
      <c r="H3499" s="459">
        <v>3492</v>
      </c>
      <c r="I3499" s="444">
        <f t="shared" ca="1" si="150"/>
        <v>-683628822969.13904</v>
      </c>
      <c r="J3499" s="444">
        <f t="array" ref="J3499">IFERROR(INDEX('Retirement Calculator'!K:K,MATCH('Lorri 401b'!N3499,'Retirement Calculator'!A:A,0),0),0)</f>
        <v>0</v>
      </c>
      <c r="K3499" s="444">
        <f t="shared" ca="1" si="148"/>
        <v>-2848453429.0380793</v>
      </c>
      <c r="L3499" s="444">
        <f t="shared" ca="1" si="149"/>
        <v>-686477276398.17712</v>
      </c>
      <c r="M3499" s="460">
        <f t="shared" si="151"/>
        <v>0.05</v>
      </c>
      <c r="N3499" s="464">
        <f t="shared" si="152"/>
        <v>157541</v>
      </c>
    </row>
    <row r="3500" spans="7:14" ht="11.25" customHeight="1" x14ac:dyDescent="0.3">
      <c r="G3500" s="459"/>
      <c r="H3500" s="459">
        <v>3493</v>
      </c>
      <c r="I3500" s="444">
        <f t="shared" ca="1" si="150"/>
        <v>-686477276398.17712</v>
      </c>
      <c r="J3500" s="444">
        <f t="array" ref="J3500">IFERROR(INDEX('Retirement Calculator'!K:K,MATCH('Lorri 401b'!N3500,'Retirement Calculator'!A:A,0),0),0)</f>
        <v>0</v>
      </c>
      <c r="K3500" s="444">
        <f t="shared" ca="1" si="148"/>
        <v>-2860321984.9924045</v>
      </c>
      <c r="L3500" s="444">
        <f t="shared" ca="1" si="149"/>
        <v>-689337598383.16956</v>
      </c>
      <c r="M3500" s="460">
        <f t="shared" si="151"/>
        <v>0.05</v>
      </c>
      <c r="N3500" s="464">
        <f t="shared" si="152"/>
        <v>157572</v>
      </c>
    </row>
    <row r="3501" spans="7:14" ht="11.25" customHeight="1" x14ac:dyDescent="0.3">
      <c r="G3501" s="459"/>
      <c r="H3501" s="459">
        <v>3494</v>
      </c>
      <c r="I3501" s="444">
        <f t="shared" ca="1" si="150"/>
        <v>-689337598383.16956</v>
      </c>
      <c r="J3501" s="444">
        <f t="array" ref="J3501">IFERROR(INDEX('Retirement Calculator'!K:K,MATCH('Lorri 401b'!N3501,'Retirement Calculator'!A:A,0),0),0)</f>
        <v>0</v>
      </c>
      <c r="K3501" s="444">
        <f t="shared" ca="1" si="148"/>
        <v>-2872239993.2632065</v>
      </c>
      <c r="L3501" s="444">
        <f t="shared" ca="1" si="149"/>
        <v>-692209838376.43274</v>
      </c>
      <c r="M3501" s="460">
        <f t="shared" si="151"/>
        <v>0.05</v>
      </c>
      <c r="N3501" s="464">
        <f t="shared" si="152"/>
        <v>157602</v>
      </c>
    </row>
    <row r="3502" spans="7:14" ht="11.25" customHeight="1" x14ac:dyDescent="0.3">
      <c r="G3502" s="459"/>
      <c r="H3502" s="459">
        <v>3495</v>
      </c>
      <c r="I3502" s="444">
        <f t="shared" ca="1" si="150"/>
        <v>-692209838376.43274</v>
      </c>
      <c r="J3502" s="444">
        <f t="array" ref="J3502">IFERROR(INDEX('Retirement Calculator'!K:K,MATCH('Lorri 401b'!N3502,'Retirement Calculator'!A:A,0),0),0)</f>
        <v>0</v>
      </c>
      <c r="K3502" s="444">
        <f t="shared" ca="1" si="148"/>
        <v>-2884207659.901803</v>
      </c>
      <c r="L3502" s="444">
        <f t="shared" ca="1" si="149"/>
        <v>-695094046036.33459</v>
      </c>
      <c r="M3502" s="460">
        <f t="shared" si="151"/>
        <v>0.05</v>
      </c>
      <c r="N3502" s="464">
        <f t="shared" si="152"/>
        <v>157633</v>
      </c>
    </row>
    <row r="3503" spans="7:14" ht="11.25" customHeight="1" x14ac:dyDescent="0.3">
      <c r="G3503" s="459"/>
      <c r="H3503" s="459">
        <v>3496</v>
      </c>
      <c r="I3503" s="444">
        <f t="shared" ca="1" si="150"/>
        <v>-695094046036.33459</v>
      </c>
      <c r="J3503" s="444">
        <f t="array" ref="J3503">IFERROR(INDEX('Retirement Calculator'!K:K,MATCH('Lorri 401b'!N3503,'Retirement Calculator'!A:A,0),0),0)</f>
        <v>0</v>
      </c>
      <c r="K3503" s="444">
        <f t="shared" ca="1" si="148"/>
        <v>-2896225191.8180609</v>
      </c>
      <c r="L3503" s="444">
        <f t="shared" ca="1" si="149"/>
        <v>-697990271228.15271</v>
      </c>
      <c r="M3503" s="460">
        <f t="shared" si="151"/>
        <v>0.05</v>
      </c>
      <c r="N3503" s="464">
        <f t="shared" si="152"/>
        <v>157664</v>
      </c>
    </row>
    <row r="3504" spans="7:14" ht="11.25" customHeight="1" x14ac:dyDescent="0.3">
      <c r="G3504" s="459"/>
      <c r="H3504" s="459">
        <v>3497</v>
      </c>
      <c r="I3504" s="444">
        <f t="shared" ca="1" si="150"/>
        <v>-697990271228.15271</v>
      </c>
      <c r="J3504" s="444">
        <f t="array" ref="J3504">IFERROR(INDEX('Retirement Calculator'!K:K,MATCH('Lorri 401b'!N3504,'Retirement Calculator'!A:A,0),0),0)</f>
        <v>0</v>
      </c>
      <c r="K3504" s="444">
        <f t="shared" ca="1" si="148"/>
        <v>-2908292796.7839694</v>
      </c>
      <c r="L3504" s="444">
        <f t="shared" ca="1" si="149"/>
        <v>-700898564024.93665</v>
      </c>
      <c r="M3504" s="460">
        <f t="shared" si="151"/>
        <v>0.05</v>
      </c>
      <c r="N3504" s="464">
        <f t="shared" si="152"/>
        <v>157694</v>
      </c>
    </row>
    <row r="3505" spans="7:14" ht="11.25" customHeight="1" x14ac:dyDescent="0.3">
      <c r="G3505" s="459"/>
      <c r="H3505" s="459">
        <v>3498</v>
      </c>
      <c r="I3505" s="444">
        <f t="shared" ca="1" si="150"/>
        <v>-700898564024.93665</v>
      </c>
      <c r="J3505" s="444">
        <f t="array" ref="J3505">IFERROR(INDEX('Retirement Calculator'!K:K,MATCH('Lorri 401b'!N3505,'Retirement Calculator'!A:A,0),0),0)</f>
        <v>0</v>
      </c>
      <c r="K3505" s="444">
        <f t="shared" ca="1" si="148"/>
        <v>-2920410683.4372358</v>
      </c>
      <c r="L3505" s="444">
        <f t="shared" ca="1" si="149"/>
        <v>-703818974708.3739</v>
      </c>
      <c r="M3505" s="460">
        <f t="shared" si="151"/>
        <v>0.05</v>
      </c>
      <c r="N3505" s="464">
        <f t="shared" si="152"/>
        <v>157725</v>
      </c>
    </row>
    <row r="3506" spans="7:14" ht="11.25" customHeight="1" x14ac:dyDescent="0.3">
      <c r="G3506" s="459"/>
      <c r="H3506" s="459">
        <v>3499</v>
      </c>
      <c r="I3506" s="444">
        <f t="shared" ca="1" si="150"/>
        <v>-703818974708.3739</v>
      </c>
      <c r="J3506" s="444">
        <f t="array" ref="J3506">IFERROR(INDEX('Retirement Calculator'!K:K,MATCH('Lorri 401b'!N3506,'Retirement Calculator'!A:A,0),0),0)</f>
        <v>0</v>
      </c>
      <c r="K3506" s="444">
        <f t="shared" ca="1" si="148"/>
        <v>-2932579061.2848911</v>
      </c>
      <c r="L3506" s="444">
        <f t="shared" ca="1" si="149"/>
        <v>-706751553769.65881</v>
      </c>
      <c r="M3506" s="460">
        <f t="shared" si="151"/>
        <v>0.05</v>
      </c>
      <c r="N3506" s="464">
        <f t="shared" si="152"/>
        <v>157755</v>
      </c>
    </row>
    <row r="3507" spans="7:14" ht="11.25" customHeight="1" x14ac:dyDescent="0.3">
      <c r="G3507" s="459"/>
      <c r="H3507" s="459">
        <v>3500</v>
      </c>
      <c r="I3507" s="444">
        <f t="shared" ca="1" si="150"/>
        <v>-706751553769.65881</v>
      </c>
      <c r="J3507" s="444">
        <f t="array" ref="J3507">IFERROR(INDEX('Retirement Calculator'!K:K,MATCH('Lorri 401b'!N3507,'Retirement Calculator'!A:A,0),0),0)</f>
        <v>0</v>
      </c>
      <c r="K3507" s="444">
        <f t="shared" ca="1" si="148"/>
        <v>-2944798140.7069116</v>
      </c>
      <c r="L3507" s="444">
        <f t="shared" ca="1" si="149"/>
        <v>-709696351910.36572</v>
      </c>
      <c r="M3507" s="460">
        <f t="shared" si="151"/>
        <v>0.05</v>
      </c>
      <c r="N3507" s="464">
        <f t="shared" si="152"/>
        <v>157786</v>
      </c>
    </row>
    <row r="3508" spans="7:14" ht="11.25" customHeight="1" x14ac:dyDescent="0.3">
      <c r="G3508" s="459"/>
      <c r="H3508" s="459">
        <v>3501</v>
      </c>
      <c r="I3508" s="444">
        <f t="shared" ca="1" si="150"/>
        <v>-709696351910.36572</v>
      </c>
      <c r="J3508" s="444">
        <f t="array" ref="J3508">IFERROR(INDEX('Retirement Calculator'!K:K,MATCH('Lorri 401b'!N3508,'Retirement Calculator'!A:A,0),0),0)</f>
        <v>0</v>
      </c>
      <c r="K3508" s="444">
        <f t="shared" ca="1" si="148"/>
        <v>-2957068132.959857</v>
      </c>
      <c r="L3508" s="444">
        <f t="shared" ca="1" si="149"/>
        <v>-712653420043.32556</v>
      </c>
      <c r="M3508" s="460">
        <f t="shared" si="151"/>
        <v>0.05</v>
      </c>
      <c r="N3508" s="464">
        <f t="shared" si="152"/>
        <v>157817</v>
      </c>
    </row>
    <row r="3509" spans="7:14" ht="11.25" customHeight="1" x14ac:dyDescent="0.3">
      <c r="G3509" s="459"/>
      <c r="H3509" s="459">
        <v>3502</v>
      </c>
      <c r="I3509" s="444">
        <f t="shared" ca="1" si="150"/>
        <v>-712653420043.32556</v>
      </c>
      <c r="J3509" s="444">
        <f t="array" ref="J3509">IFERROR(INDEX('Retirement Calculator'!K:K,MATCH('Lorri 401b'!N3509,'Retirement Calculator'!A:A,0),0),0)</f>
        <v>0</v>
      </c>
      <c r="K3509" s="444">
        <f t="shared" ca="1" si="148"/>
        <v>-2969389250.1805229</v>
      </c>
      <c r="L3509" s="444">
        <f t="shared" ca="1" si="149"/>
        <v>-715622809293.5061</v>
      </c>
      <c r="M3509" s="460">
        <f t="shared" si="151"/>
        <v>0.05</v>
      </c>
      <c r="N3509" s="464">
        <f t="shared" si="152"/>
        <v>157846</v>
      </c>
    </row>
    <row r="3510" spans="7:14" ht="11.25" customHeight="1" x14ac:dyDescent="0.3">
      <c r="G3510" s="459"/>
      <c r="H3510" s="459">
        <v>3503</v>
      </c>
      <c r="I3510" s="444">
        <f t="shared" ca="1" si="150"/>
        <v>-715622809293.5061</v>
      </c>
      <c r="J3510" s="444">
        <f t="array" ref="J3510">IFERROR(INDEX('Retirement Calculator'!K:K,MATCH('Lorri 401b'!N3510,'Retirement Calculator'!A:A,0),0),0)</f>
        <v>0</v>
      </c>
      <c r="K3510" s="444">
        <f t="shared" ca="1" si="148"/>
        <v>-2981761705.3896089</v>
      </c>
      <c r="L3510" s="444">
        <f t="shared" ca="1" si="149"/>
        <v>-718604570998.89575</v>
      </c>
      <c r="M3510" s="460">
        <f t="shared" si="151"/>
        <v>0.05</v>
      </c>
      <c r="N3510" s="464">
        <f t="shared" si="152"/>
        <v>157877</v>
      </c>
    </row>
    <row r="3511" spans="7:14" ht="11.25" customHeight="1" x14ac:dyDescent="0.3">
      <c r="G3511" s="459"/>
      <c r="H3511" s="459">
        <v>3504</v>
      </c>
      <c r="I3511" s="444">
        <f t="shared" ca="1" si="150"/>
        <v>-718604570998.89575</v>
      </c>
      <c r="J3511" s="444">
        <f t="array" ref="J3511">IFERROR(INDEX('Retirement Calculator'!K:K,MATCH('Lorri 401b'!N3511,'Retirement Calculator'!A:A,0),0),0)</f>
        <v>0</v>
      </c>
      <c r="K3511" s="444">
        <f t="shared" ca="1" si="148"/>
        <v>-2994185712.495399</v>
      </c>
      <c r="L3511" s="444">
        <f t="shared" ca="1" si="149"/>
        <v>-721598756711.39111</v>
      </c>
      <c r="M3511" s="460">
        <f t="shared" si="151"/>
        <v>0.05</v>
      </c>
      <c r="N3511" s="464">
        <f t="shared" si="152"/>
        <v>157907</v>
      </c>
    </row>
    <row r="3512" spans="7:14" ht="11.25" customHeight="1" x14ac:dyDescent="0.3">
      <c r="G3512" s="459"/>
      <c r="H3512" s="459">
        <v>3505</v>
      </c>
      <c r="I3512" s="444">
        <f t="shared" ca="1" si="150"/>
        <v>-721598756711.39111</v>
      </c>
      <c r="J3512" s="444">
        <f t="array" ref="J3512">IFERROR(INDEX('Retirement Calculator'!K:K,MATCH('Lorri 401b'!N3512,'Retirement Calculator'!A:A,0),0),0)</f>
        <v>0</v>
      </c>
      <c r="K3512" s="444">
        <f t="shared" ca="1" si="148"/>
        <v>-3006661486.2974629</v>
      </c>
      <c r="L3512" s="444">
        <f t="shared" ca="1" si="149"/>
        <v>-724605418197.6886</v>
      </c>
      <c r="M3512" s="460">
        <f t="shared" si="151"/>
        <v>0.05</v>
      </c>
      <c r="N3512" s="464">
        <f t="shared" si="152"/>
        <v>157938</v>
      </c>
    </row>
    <row r="3513" spans="7:14" ht="11.25" customHeight="1" x14ac:dyDescent="0.3">
      <c r="G3513" s="459"/>
      <c r="H3513" s="459">
        <v>3506</v>
      </c>
      <c r="I3513" s="444">
        <f t="shared" ca="1" si="150"/>
        <v>-724605418197.6886</v>
      </c>
      <c r="J3513" s="444">
        <f t="array" ref="J3513">IFERROR(INDEX('Retirement Calculator'!K:K,MATCH('Lorri 401b'!N3513,'Retirement Calculator'!A:A,0),0),0)</f>
        <v>0</v>
      </c>
      <c r="K3513" s="444">
        <f t="shared" ca="1" si="148"/>
        <v>-3019189242.4903693</v>
      </c>
      <c r="L3513" s="444">
        <f t="shared" ca="1" si="149"/>
        <v>-727624607440.17896</v>
      </c>
      <c r="M3513" s="460">
        <f t="shared" si="151"/>
        <v>0.05</v>
      </c>
      <c r="N3513" s="464">
        <f t="shared" si="152"/>
        <v>157968</v>
      </c>
    </row>
    <row r="3514" spans="7:14" ht="11.25" customHeight="1" x14ac:dyDescent="0.3">
      <c r="G3514" s="459"/>
      <c r="H3514" s="459">
        <v>3507</v>
      </c>
      <c r="I3514" s="444">
        <f t="shared" ca="1" si="150"/>
        <v>-727624607440.17896</v>
      </c>
      <c r="J3514" s="444">
        <f t="array" ref="J3514">IFERROR(INDEX('Retirement Calculator'!K:K,MATCH('Lorri 401b'!N3514,'Retirement Calculator'!A:A,0),0),0)</f>
        <v>0</v>
      </c>
      <c r="K3514" s="444">
        <f t="shared" ca="1" si="148"/>
        <v>-3031769197.6674123</v>
      </c>
      <c r="L3514" s="444">
        <f t="shared" ca="1" si="149"/>
        <v>-730656376637.84631</v>
      </c>
      <c r="M3514" s="460">
        <f t="shared" si="151"/>
        <v>0.05</v>
      </c>
      <c r="N3514" s="464">
        <f t="shared" si="152"/>
        <v>157999</v>
      </c>
    </row>
    <row r="3515" spans="7:14" ht="11.25" customHeight="1" x14ac:dyDescent="0.3">
      <c r="G3515" s="459"/>
      <c r="H3515" s="459">
        <v>3508</v>
      </c>
      <c r="I3515" s="444">
        <f t="shared" ca="1" si="150"/>
        <v>-730656376637.84631</v>
      </c>
      <c r="J3515" s="444">
        <f t="array" ref="J3515">IFERROR(INDEX('Retirement Calculator'!K:K,MATCH('Lorri 401b'!N3515,'Retirement Calculator'!A:A,0),0),0)</f>
        <v>0</v>
      </c>
      <c r="K3515" s="444">
        <f t="shared" ca="1" si="148"/>
        <v>-3044401569.3243594</v>
      </c>
      <c r="L3515" s="444">
        <f t="shared" ca="1" si="149"/>
        <v>-733700778207.17065</v>
      </c>
      <c r="M3515" s="460">
        <f t="shared" si="151"/>
        <v>0.05</v>
      </c>
      <c r="N3515" s="464">
        <f t="shared" si="152"/>
        <v>158030</v>
      </c>
    </row>
    <row r="3516" spans="7:14" ht="11.25" customHeight="1" x14ac:dyDescent="0.3">
      <c r="G3516" s="459"/>
      <c r="H3516" s="459">
        <v>3509</v>
      </c>
      <c r="I3516" s="444">
        <f t="shared" ca="1" si="150"/>
        <v>-733700778207.17065</v>
      </c>
      <c r="J3516" s="444">
        <f t="array" ref="J3516">IFERROR(INDEX('Retirement Calculator'!K:K,MATCH('Lorri 401b'!N3516,'Retirement Calculator'!A:A,0),0),0)</f>
        <v>0</v>
      </c>
      <c r="K3516" s="444">
        <f t="shared" ca="1" si="148"/>
        <v>-3057086575.8632112</v>
      </c>
      <c r="L3516" s="444">
        <f t="shared" ca="1" si="149"/>
        <v>-736757864783.03381</v>
      </c>
      <c r="M3516" s="460">
        <f t="shared" si="151"/>
        <v>0.05</v>
      </c>
      <c r="N3516" s="464">
        <f t="shared" si="152"/>
        <v>158060</v>
      </c>
    </row>
    <row r="3517" spans="7:14" ht="11.25" customHeight="1" x14ac:dyDescent="0.3">
      <c r="G3517" s="459"/>
      <c r="H3517" s="459">
        <v>3510</v>
      </c>
      <c r="I3517" s="444">
        <f t="shared" ca="1" si="150"/>
        <v>-736757864783.03381</v>
      </c>
      <c r="J3517" s="444">
        <f t="array" ref="J3517">IFERROR(INDEX('Retirement Calculator'!K:K,MATCH('Lorri 401b'!N3517,'Retirement Calculator'!A:A,0),0),0)</f>
        <v>0</v>
      </c>
      <c r="K3517" s="444">
        <f t="shared" ca="1" si="148"/>
        <v>-3069824436.595974</v>
      </c>
      <c r="L3517" s="444">
        <f t="shared" ca="1" si="149"/>
        <v>-739827689219.62976</v>
      </c>
      <c r="M3517" s="460">
        <f t="shared" si="151"/>
        <v>0.05</v>
      </c>
      <c r="N3517" s="464">
        <f t="shared" si="152"/>
        <v>158091</v>
      </c>
    </row>
    <row r="3518" spans="7:14" ht="11.25" customHeight="1" x14ac:dyDescent="0.3">
      <c r="G3518" s="459"/>
      <c r="H3518" s="459">
        <v>3511</v>
      </c>
      <c r="I3518" s="444">
        <f t="shared" ca="1" si="150"/>
        <v>-739827689219.62976</v>
      </c>
      <c r="J3518" s="444">
        <f t="array" ref="J3518">IFERROR(INDEX('Retirement Calculator'!K:K,MATCH('Lorri 401b'!N3518,'Retirement Calculator'!A:A,0),0),0)</f>
        <v>0</v>
      </c>
      <c r="K3518" s="444">
        <f t="shared" ca="1" si="148"/>
        <v>-3082615371.7484574</v>
      </c>
      <c r="L3518" s="444">
        <f t="shared" ca="1" si="149"/>
        <v>-742910304591.37817</v>
      </c>
      <c r="M3518" s="460">
        <f t="shared" si="151"/>
        <v>0.05</v>
      </c>
      <c r="N3518" s="464">
        <f t="shared" si="152"/>
        <v>158121</v>
      </c>
    </row>
    <row r="3519" spans="7:14" ht="11.25" customHeight="1" x14ac:dyDescent="0.3">
      <c r="G3519" s="459"/>
      <c r="H3519" s="459">
        <v>3512</v>
      </c>
      <c r="I3519" s="444">
        <f t="shared" ca="1" si="150"/>
        <v>-742910304591.37817</v>
      </c>
      <c r="J3519" s="444">
        <f t="array" ref="J3519">IFERROR(INDEX('Retirement Calculator'!K:K,MATCH('Lorri 401b'!N3519,'Retirement Calculator'!A:A,0),0),0)</f>
        <v>0</v>
      </c>
      <c r="K3519" s="444">
        <f t="shared" ca="1" si="148"/>
        <v>-3095459602.4640756</v>
      </c>
      <c r="L3519" s="444">
        <f t="shared" ca="1" si="149"/>
        <v>-746005764193.84229</v>
      </c>
      <c r="M3519" s="460">
        <f t="shared" si="151"/>
        <v>0.05</v>
      </c>
      <c r="N3519" s="464">
        <f t="shared" si="152"/>
        <v>158152</v>
      </c>
    </row>
    <row r="3520" spans="7:14" ht="11.25" customHeight="1" x14ac:dyDescent="0.3">
      <c r="G3520" s="459"/>
      <c r="H3520" s="459">
        <v>3513</v>
      </c>
      <c r="I3520" s="444">
        <f t="shared" ca="1" si="150"/>
        <v>-746005764193.84229</v>
      </c>
      <c r="J3520" s="444">
        <f t="array" ref="J3520">IFERROR(INDEX('Retirement Calculator'!K:K,MATCH('Lorri 401b'!N3520,'Retirement Calculator'!A:A,0),0),0)</f>
        <v>0</v>
      </c>
      <c r="K3520" s="444">
        <f t="shared" ca="1" si="148"/>
        <v>-3108357350.8076763</v>
      </c>
      <c r="L3520" s="444">
        <f t="shared" ca="1" si="149"/>
        <v>-749114121544.6499</v>
      </c>
      <c r="M3520" s="460">
        <f t="shared" si="151"/>
        <v>0.05</v>
      </c>
      <c r="N3520" s="464">
        <f t="shared" si="152"/>
        <v>158183</v>
      </c>
    </row>
    <row r="3521" spans="7:14" ht="11.25" customHeight="1" x14ac:dyDescent="0.3">
      <c r="G3521" s="459"/>
      <c r="H3521" s="459">
        <v>3514</v>
      </c>
      <c r="I3521" s="444">
        <f t="shared" ca="1" si="150"/>
        <v>-749114121544.6499</v>
      </c>
      <c r="J3521" s="444">
        <f t="array" ref="J3521">IFERROR(INDEX('Retirement Calculator'!K:K,MATCH('Lorri 401b'!N3521,'Retirement Calculator'!A:A,0),0),0)</f>
        <v>0</v>
      </c>
      <c r="K3521" s="444">
        <f t="shared" ca="1" si="148"/>
        <v>-3121308839.7693744</v>
      </c>
      <c r="L3521" s="444">
        <f t="shared" ca="1" si="149"/>
        <v>-752235430384.41931</v>
      </c>
      <c r="M3521" s="460">
        <f t="shared" si="151"/>
        <v>0.05</v>
      </c>
      <c r="N3521" s="464">
        <f t="shared" si="152"/>
        <v>158211</v>
      </c>
    </row>
    <row r="3522" spans="7:14" ht="11.25" customHeight="1" x14ac:dyDescent="0.3">
      <c r="G3522" s="459"/>
      <c r="H3522" s="459">
        <v>3515</v>
      </c>
      <c r="I3522" s="444">
        <f t="shared" ca="1" si="150"/>
        <v>-752235430384.41931</v>
      </c>
      <c r="J3522" s="444">
        <f t="array" ref="J3522">IFERROR(INDEX('Retirement Calculator'!K:K,MATCH('Lorri 401b'!N3522,'Retirement Calculator'!A:A,0),0),0)</f>
        <v>0</v>
      </c>
      <c r="K3522" s="444">
        <f t="shared" ca="1" si="148"/>
        <v>-3134314293.2684135</v>
      </c>
      <c r="L3522" s="444">
        <f t="shared" ca="1" si="149"/>
        <v>-755369744677.68774</v>
      </c>
      <c r="M3522" s="460">
        <f t="shared" si="151"/>
        <v>0.05</v>
      </c>
      <c r="N3522" s="464">
        <f t="shared" si="152"/>
        <v>158242</v>
      </c>
    </row>
    <row r="3523" spans="7:14" ht="11.25" customHeight="1" x14ac:dyDescent="0.3">
      <c r="G3523" s="459"/>
      <c r="H3523" s="459">
        <v>3516</v>
      </c>
      <c r="I3523" s="444">
        <f t="shared" ca="1" si="150"/>
        <v>-755369744677.68774</v>
      </c>
      <c r="J3523" s="444">
        <f t="array" ref="J3523">IFERROR(INDEX('Retirement Calculator'!K:K,MATCH('Lorri 401b'!N3523,'Retirement Calculator'!A:A,0),0),0)</f>
        <v>0</v>
      </c>
      <c r="K3523" s="444">
        <f t="shared" ca="1" si="148"/>
        <v>-3147373936.157032</v>
      </c>
      <c r="L3523" s="444">
        <f t="shared" ca="1" si="149"/>
        <v>-758517118613.84473</v>
      </c>
      <c r="M3523" s="460">
        <f t="shared" si="151"/>
        <v>0.05</v>
      </c>
      <c r="N3523" s="464">
        <f t="shared" si="152"/>
        <v>158272</v>
      </c>
    </row>
    <row r="3524" spans="7:14" ht="11.25" customHeight="1" x14ac:dyDescent="0.3">
      <c r="G3524" s="459"/>
      <c r="H3524" s="459">
        <v>3517</v>
      </c>
      <c r="I3524" s="444">
        <f t="shared" ca="1" si="150"/>
        <v>-758517118613.84473</v>
      </c>
      <c r="J3524" s="444">
        <f t="array" ref="J3524">IFERROR(INDEX('Retirement Calculator'!K:K,MATCH('Lorri 401b'!N3524,'Retirement Calculator'!A:A,0),0),0)</f>
        <v>0</v>
      </c>
      <c r="K3524" s="444">
        <f t="shared" ca="1" si="148"/>
        <v>-3160487994.2243528</v>
      </c>
      <c r="L3524" s="444">
        <f t="shared" ca="1" si="149"/>
        <v>-761677606608.06909</v>
      </c>
      <c r="M3524" s="460">
        <f t="shared" si="151"/>
        <v>0.05</v>
      </c>
      <c r="N3524" s="464">
        <f t="shared" si="152"/>
        <v>158303</v>
      </c>
    </row>
    <row r="3525" spans="7:14" ht="11.25" customHeight="1" x14ac:dyDescent="0.3">
      <c r="G3525" s="459"/>
      <c r="H3525" s="459">
        <v>3518</v>
      </c>
      <c r="I3525" s="444">
        <f t="shared" ca="1" si="150"/>
        <v>-761677606608.06909</v>
      </c>
      <c r="J3525" s="444">
        <f t="array" ref="J3525">IFERROR(INDEX('Retirement Calculator'!K:K,MATCH('Lorri 401b'!N3525,'Retirement Calculator'!A:A,0),0),0)</f>
        <v>0</v>
      </c>
      <c r="K3525" s="444">
        <f t="shared" ca="1" si="148"/>
        <v>-3173656694.2002878</v>
      </c>
      <c r="L3525" s="444">
        <f t="shared" ca="1" si="149"/>
        <v>-764851263302.26941</v>
      </c>
      <c r="M3525" s="460">
        <f t="shared" si="151"/>
        <v>0.05</v>
      </c>
      <c r="N3525" s="464">
        <f t="shared" si="152"/>
        <v>158333</v>
      </c>
    </row>
    <row r="3526" spans="7:14" ht="11.25" customHeight="1" x14ac:dyDescent="0.3">
      <c r="G3526" s="459"/>
      <c r="H3526" s="459">
        <v>3519</v>
      </c>
      <c r="I3526" s="444">
        <f t="shared" ca="1" si="150"/>
        <v>-764851263302.26941</v>
      </c>
      <c r="J3526" s="444">
        <f t="array" ref="J3526">IFERROR(INDEX('Retirement Calculator'!K:K,MATCH('Lorri 401b'!N3526,'Retirement Calculator'!A:A,0),0),0)</f>
        <v>0</v>
      </c>
      <c r="K3526" s="444">
        <f t="shared" ca="1" si="148"/>
        <v>-3186880263.7594557</v>
      </c>
      <c r="L3526" s="444">
        <f t="shared" ca="1" si="149"/>
        <v>-768038143566.02881</v>
      </c>
      <c r="M3526" s="460">
        <f t="shared" si="151"/>
        <v>0.05</v>
      </c>
      <c r="N3526" s="464">
        <f t="shared" si="152"/>
        <v>158364</v>
      </c>
    </row>
    <row r="3527" spans="7:14" ht="11.25" customHeight="1" x14ac:dyDescent="0.3">
      <c r="G3527" s="459"/>
      <c r="H3527" s="459">
        <v>3520</v>
      </c>
      <c r="I3527" s="444">
        <f t="shared" ca="1" si="150"/>
        <v>-768038143566.02881</v>
      </c>
      <c r="J3527" s="444">
        <f t="array" ref="J3527">IFERROR(INDEX('Retirement Calculator'!K:K,MATCH('Lorri 401b'!N3527,'Retirement Calculator'!A:A,0),0),0)</f>
        <v>0</v>
      </c>
      <c r="K3527" s="444">
        <f t="shared" ca="1" si="148"/>
        <v>-3200158931.5251198</v>
      </c>
      <c r="L3527" s="444">
        <f t="shared" ca="1" si="149"/>
        <v>-771238302497.55396</v>
      </c>
      <c r="M3527" s="460">
        <f t="shared" si="151"/>
        <v>0.05</v>
      </c>
      <c r="N3527" s="464">
        <f t="shared" si="152"/>
        <v>158395</v>
      </c>
    </row>
    <row r="3528" spans="7:14" ht="11.25" customHeight="1" x14ac:dyDescent="0.3">
      <c r="G3528" s="459"/>
      <c r="H3528" s="459">
        <v>3521</v>
      </c>
      <c r="I3528" s="444">
        <f t="shared" ca="1" si="150"/>
        <v>-771238302497.55396</v>
      </c>
      <c r="J3528" s="444">
        <f t="array" ref="J3528">IFERROR(INDEX('Retirement Calculator'!K:K,MATCH('Lorri 401b'!N3528,'Retirement Calculator'!A:A,0),0),0)</f>
        <v>0</v>
      </c>
      <c r="K3528" s="444">
        <f t="shared" ca="1" si="148"/>
        <v>-3213492927.0731416</v>
      </c>
      <c r="L3528" s="444">
        <f t="shared" ca="1" si="149"/>
        <v>-774451795424.62708</v>
      </c>
      <c r="M3528" s="460">
        <f t="shared" si="151"/>
        <v>0.05</v>
      </c>
      <c r="N3528" s="464">
        <f t="shared" si="152"/>
        <v>158425</v>
      </c>
    </row>
    <row r="3529" spans="7:14" ht="11.25" customHeight="1" x14ac:dyDescent="0.3">
      <c r="G3529" s="459"/>
      <c r="H3529" s="459">
        <v>3522</v>
      </c>
      <c r="I3529" s="444">
        <f t="shared" ca="1" si="150"/>
        <v>-774451795424.62708</v>
      </c>
      <c r="J3529" s="444">
        <f t="array" ref="J3529">IFERROR(INDEX('Retirement Calculator'!K:K,MATCH('Lorri 401b'!N3529,'Retirement Calculator'!A:A,0),0),0)</f>
        <v>0</v>
      </c>
      <c r="K3529" s="444">
        <f t="shared" ca="1" si="148"/>
        <v>-3226882480.935946</v>
      </c>
      <c r="L3529" s="444">
        <f t="shared" ca="1" si="149"/>
        <v>-777678677905.56299</v>
      </c>
      <c r="M3529" s="460">
        <f t="shared" si="151"/>
        <v>0.05</v>
      </c>
      <c r="N3529" s="464">
        <f t="shared" si="152"/>
        <v>158456</v>
      </c>
    </row>
    <row r="3530" spans="7:14" ht="11.25" customHeight="1" x14ac:dyDescent="0.3">
      <c r="G3530" s="459"/>
      <c r="H3530" s="459">
        <v>3523</v>
      </c>
      <c r="I3530" s="444">
        <f t="shared" ca="1" si="150"/>
        <v>-777678677905.56299</v>
      </c>
      <c r="J3530" s="444">
        <f t="array" ref="J3530">IFERROR(INDEX('Retirement Calculator'!K:K,MATCH('Lorri 401b'!N3530,'Retirement Calculator'!A:A,0),0),0)</f>
        <v>0</v>
      </c>
      <c r="K3530" s="444">
        <f t="shared" ca="1" si="148"/>
        <v>-3240327824.6065125</v>
      </c>
      <c r="L3530" s="444">
        <f t="shared" ca="1" si="149"/>
        <v>-780919005730.16956</v>
      </c>
      <c r="M3530" s="460">
        <f t="shared" si="151"/>
        <v>0.05</v>
      </c>
      <c r="N3530" s="464">
        <f t="shared" si="152"/>
        <v>158486</v>
      </c>
    </row>
    <row r="3531" spans="7:14" ht="11.25" customHeight="1" x14ac:dyDescent="0.3">
      <c r="G3531" s="459"/>
      <c r="H3531" s="459">
        <v>3524</v>
      </c>
      <c r="I3531" s="444">
        <f t="shared" ca="1" si="150"/>
        <v>-780919005730.16956</v>
      </c>
      <c r="J3531" s="444">
        <f t="array" ref="J3531">IFERROR(INDEX('Retirement Calculator'!K:K,MATCH('Lorri 401b'!N3531,'Retirement Calculator'!A:A,0),0),0)</f>
        <v>0</v>
      </c>
      <c r="K3531" s="444">
        <f t="shared" ca="1" si="148"/>
        <v>-3253829190.5423732</v>
      </c>
      <c r="L3531" s="444">
        <f t="shared" ca="1" si="149"/>
        <v>-784172834920.71191</v>
      </c>
      <c r="M3531" s="460">
        <f t="shared" si="151"/>
        <v>0.05</v>
      </c>
      <c r="N3531" s="464">
        <f t="shared" si="152"/>
        <v>158517</v>
      </c>
    </row>
    <row r="3532" spans="7:14" ht="11.25" customHeight="1" x14ac:dyDescent="0.3">
      <c r="G3532" s="459"/>
      <c r="H3532" s="459">
        <v>3525</v>
      </c>
      <c r="I3532" s="444">
        <f t="shared" ca="1" si="150"/>
        <v>-784172834920.71191</v>
      </c>
      <c r="J3532" s="444">
        <f t="array" ref="J3532">IFERROR(INDEX('Retirement Calculator'!K:K,MATCH('Lorri 401b'!N3532,'Retirement Calculator'!A:A,0),0),0)</f>
        <v>0</v>
      </c>
      <c r="K3532" s="444">
        <f t="shared" ca="1" si="148"/>
        <v>-3267386812.1696329</v>
      </c>
      <c r="L3532" s="444">
        <f t="shared" ca="1" si="149"/>
        <v>-787440221732.88159</v>
      </c>
      <c r="M3532" s="460">
        <f t="shared" si="151"/>
        <v>0.05</v>
      </c>
      <c r="N3532" s="464">
        <f t="shared" si="152"/>
        <v>158548</v>
      </c>
    </row>
    <row r="3533" spans="7:14" ht="11.25" customHeight="1" x14ac:dyDescent="0.3">
      <c r="G3533" s="459"/>
      <c r="H3533" s="459">
        <v>3526</v>
      </c>
      <c r="I3533" s="444">
        <f t="shared" ca="1" si="150"/>
        <v>-787440221732.88159</v>
      </c>
      <c r="J3533" s="444">
        <f t="array" ref="J3533">IFERROR(INDEX('Retirement Calculator'!K:K,MATCH('Lorri 401b'!N3533,'Retirement Calculator'!A:A,0),0),0)</f>
        <v>0</v>
      </c>
      <c r="K3533" s="444">
        <f t="shared" ca="1" si="148"/>
        <v>-3281000923.8870068</v>
      </c>
      <c r="L3533" s="444">
        <f t="shared" ca="1" si="149"/>
        <v>-790721222656.76855</v>
      </c>
      <c r="M3533" s="460">
        <f t="shared" si="151"/>
        <v>0.05</v>
      </c>
      <c r="N3533" s="464">
        <f t="shared" si="152"/>
        <v>158576</v>
      </c>
    </row>
    <row r="3534" spans="7:14" ht="11.25" customHeight="1" x14ac:dyDescent="0.3">
      <c r="G3534" s="459"/>
      <c r="H3534" s="459">
        <v>3527</v>
      </c>
      <c r="I3534" s="444">
        <f t="shared" ca="1" si="150"/>
        <v>-790721222656.76855</v>
      </c>
      <c r="J3534" s="444">
        <f t="array" ref="J3534">IFERROR(INDEX('Retirement Calculator'!K:K,MATCH('Lorri 401b'!N3534,'Retirement Calculator'!A:A,0),0),0)</f>
        <v>0</v>
      </c>
      <c r="K3534" s="444">
        <f t="shared" ca="1" si="148"/>
        <v>-3294671761.069869</v>
      </c>
      <c r="L3534" s="444">
        <f t="shared" ca="1" si="149"/>
        <v>-794015894417.83838</v>
      </c>
      <c r="M3534" s="460">
        <f t="shared" si="151"/>
        <v>0.05</v>
      </c>
      <c r="N3534" s="464">
        <f t="shared" si="152"/>
        <v>158607</v>
      </c>
    </row>
    <row r="3535" spans="7:14" ht="11.25" customHeight="1" x14ac:dyDescent="0.3">
      <c r="G3535" s="459"/>
      <c r="H3535" s="459">
        <v>3528</v>
      </c>
      <c r="I3535" s="444">
        <f t="shared" ca="1" si="150"/>
        <v>-794015894417.83838</v>
      </c>
      <c r="J3535" s="444">
        <f t="array" ref="J3535">IFERROR(INDEX('Retirement Calculator'!K:K,MATCH('Lorri 401b'!N3535,'Retirement Calculator'!A:A,0),0),0)</f>
        <v>0</v>
      </c>
      <c r="K3535" s="444">
        <f t="shared" ca="1" si="148"/>
        <v>-3308399560.0743265</v>
      </c>
      <c r="L3535" s="444">
        <f t="shared" ca="1" si="149"/>
        <v>-797324293977.91272</v>
      </c>
      <c r="M3535" s="460">
        <f t="shared" si="151"/>
        <v>0.05</v>
      </c>
      <c r="N3535" s="464">
        <f t="shared" si="152"/>
        <v>158637</v>
      </c>
    </row>
    <row r="3536" spans="7:14" ht="11.25" customHeight="1" x14ac:dyDescent="0.3">
      <c r="G3536" s="459"/>
      <c r="H3536" s="459">
        <v>3529</v>
      </c>
      <c r="I3536" s="444">
        <f t="shared" ca="1" si="150"/>
        <v>-797324293977.91272</v>
      </c>
      <c r="J3536" s="444">
        <f t="array" ref="J3536">IFERROR(INDEX('Retirement Calculator'!K:K,MATCH('Lorri 401b'!N3536,'Retirement Calculator'!A:A,0),0),0)</f>
        <v>0</v>
      </c>
      <c r="K3536" s="444">
        <f t="shared" ca="1" si="148"/>
        <v>-3322184558.241303</v>
      </c>
      <c r="L3536" s="444">
        <f t="shared" ca="1" si="149"/>
        <v>-800646478536.15405</v>
      </c>
      <c r="M3536" s="460">
        <f t="shared" si="151"/>
        <v>0.05</v>
      </c>
      <c r="N3536" s="464">
        <f t="shared" si="152"/>
        <v>158668</v>
      </c>
    </row>
    <row r="3537" spans="7:14" ht="11.25" customHeight="1" x14ac:dyDescent="0.3">
      <c r="G3537" s="459"/>
      <c r="H3537" s="459">
        <v>3530</v>
      </c>
      <c r="I3537" s="444">
        <f t="shared" ca="1" si="150"/>
        <v>-800646478536.15405</v>
      </c>
      <c r="J3537" s="444">
        <f t="array" ref="J3537">IFERROR(INDEX('Retirement Calculator'!K:K,MATCH('Lorri 401b'!N3537,'Retirement Calculator'!A:A,0),0),0)</f>
        <v>0</v>
      </c>
      <c r="K3537" s="444">
        <f t="shared" ca="1" si="148"/>
        <v>-3336026993.9006419</v>
      </c>
      <c r="L3537" s="444">
        <f t="shared" ca="1" si="149"/>
        <v>-803982505530.05469</v>
      </c>
      <c r="M3537" s="460">
        <f t="shared" si="151"/>
        <v>0.05</v>
      </c>
      <c r="N3537" s="464">
        <f t="shared" si="152"/>
        <v>158698</v>
      </c>
    </row>
    <row r="3538" spans="7:14" ht="11.25" customHeight="1" x14ac:dyDescent="0.3">
      <c r="G3538" s="459"/>
      <c r="H3538" s="459">
        <v>3531</v>
      </c>
      <c r="I3538" s="444">
        <f t="shared" ca="1" si="150"/>
        <v>-803982505530.05469</v>
      </c>
      <c r="J3538" s="444">
        <f t="array" ref="J3538">IFERROR(INDEX('Retirement Calculator'!K:K,MATCH('Lorri 401b'!N3538,'Retirement Calculator'!A:A,0),0),0)</f>
        <v>0</v>
      </c>
      <c r="K3538" s="444">
        <f t="shared" ca="1" si="148"/>
        <v>-3349927106.3752279</v>
      </c>
      <c r="L3538" s="444">
        <f t="shared" ca="1" si="149"/>
        <v>-807332432636.42993</v>
      </c>
      <c r="M3538" s="460">
        <f t="shared" si="151"/>
        <v>0.05</v>
      </c>
      <c r="N3538" s="464">
        <f t="shared" si="152"/>
        <v>158729</v>
      </c>
    </row>
    <row r="3539" spans="7:14" ht="11.25" customHeight="1" x14ac:dyDescent="0.3">
      <c r="G3539" s="459"/>
      <c r="H3539" s="459">
        <v>3532</v>
      </c>
      <c r="I3539" s="444">
        <f t="shared" ca="1" si="150"/>
        <v>-807332432636.42993</v>
      </c>
      <c r="J3539" s="444">
        <f t="array" ref="J3539">IFERROR(INDEX('Retirement Calculator'!K:K,MATCH('Lorri 401b'!N3539,'Retirement Calculator'!A:A,0),0),0)</f>
        <v>0</v>
      </c>
      <c r="K3539" s="444">
        <f t="shared" ca="1" si="148"/>
        <v>-3363885135.9851246</v>
      </c>
      <c r="L3539" s="444">
        <f t="shared" ca="1" si="149"/>
        <v>-810696317772.41504</v>
      </c>
      <c r="M3539" s="460">
        <f t="shared" si="151"/>
        <v>0.05</v>
      </c>
      <c r="N3539" s="464">
        <f t="shared" si="152"/>
        <v>158760</v>
      </c>
    </row>
    <row r="3540" spans="7:14" ht="11.25" customHeight="1" x14ac:dyDescent="0.3">
      <c r="G3540" s="459"/>
      <c r="H3540" s="459">
        <v>3533</v>
      </c>
      <c r="I3540" s="444">
        <f t="shared" ca="1" si="150"/>
        <v>-810696317772.41504</v>
      </c>
      <c r="J3540" s="444">
        <f t="array" ref="J3540">IFERROR(INDEX('Retirement Calculator'!K:K,MATCH('Lorri 401b'!N3540,'Retirement Calculator'!A:A,0),0),0)</f>
        <v>0</v>
      </c>
      <c r="K3540" s="444">
        <f t="shared" ca="1" si="148"/>
        <v>-3377901324.0517292</v>
      </c>
      <c r="L3540" s="444">
        <f t="shared" ca="1" si="149"/>
        <v>-814074219096.4668</v>
      </c>
      <c r="M3540" s="460">
        <f t="shared" si="151"/>
        <v>0.05</v>
      </c>
      <c r="N3540" s="464">
        <f t="shared" si="152"/>
        <v>158790</v>
      </c>
    </row>
    <row r="3541" spans="7:14" ht="11.25" customHeight="1" x14ac:dyDescent="0.3">
      <c r="G3541" s="459"/>
      <c r="H3541" s="459">
        <v>3534</v>
      </c>
      <c r="I3541" s="444">
        <f t="shared" ca="1" si="150"/>
        <v>-814074219096.4668</v>
      </c>
      <c r="J3541" s="444">
        <f t="array" ref="J3541">IFERROR(INDEX('Retirement Calculator'!K:K,MATCH('Lorri 401b'!N3541,'Retirement Calculator'!A:A,0),0),0)</f>
        <v>0</v>
      </c>
      <c r="K3541" s="444">
        <f t="shared" ca="1" si="148"/>
        <v>-3391975912.9019451</v>
      </c>
      <c r="L3541" s="444">
        <f t="shared" ca="1" si="149"/>
        <v>-817466195009.36877</v>
      </c>
      <c r="M3541" s="460">
        <f t="shared" si="151"/>
        <v>0.05</v>
      </c>
      <c r="N3541" s="464">
        <f t="shared" si="152"/>
        <v>158821</v>
      </c>
    </row>
    <row r="3542" spans="7:14" ht="11.25" customHeight="1" x14ac:dyDescent="0.3">
      <c r="G3542" s="459"/>
      <c r="H3542" s="459">
        <v>3535</v>
      </c>
      <c r="I3542" s="444">
        <f t="shared" ca="1" si="150"/>
        <v>-817466195009.36877</v>
      </c>
      <c r="J3542" s="444">
        <f t="array" ref="J3542">IFERROR(INDEX('Retirement Calculator'!K:K,MATCH('Lorri 401b'!N3542,'Retirement Calculator'!A:A,0),0),0)</f>
        <v>0</v>
      </c>
      <c r="K3542" s="444">
        <f t="shared" ca="1" si="148"/>
        <v>-3406109145.8723698</v>
      </c>
      <c r="L3542" s="444">
        <f t="shared" ca="1" si="149"/>
        <v>-820872304155.24109</v>
      </c>
      <c r="M3542" s="460">
        <f t="shared" si="151"/>
        <v>0.05</v>
      </c>
      <c r="N3542" s="464">
        <f t="shared" si="152"/>
        <v>158851</v>
      </c>
    </row>
    <row r="3543" spans="7:14" ht="11.25" customHeight="1" x14ac:dyDescent="0.3">
      <c r="G3543" s="459"/>
      <c r="H3543" s="459">
        <v>3536</v>
      </c>
      <c r="I3543" s="444">
        <f t="shared" ca="1" si="150"/>
        <v>-820872304155.24109</v>
      </c>
      <c r="J3543" s="444">
        <f t="array" ref="J3543">IFERROR(INDEX('Retirement Calculator'!K:K,MATCH('Lorri 401b'!N3543,'Retirement Calculator'!A:A,0),0),0)</f>
        <v>0</v>
      </c>
      <c r="K3543" s="444">
        <f t="shared" ca="1" si="148"/>
        <v>-3420301267.3135047</v>
      </c>
      <c r="L3543" s="444">
        <f t="shared" ca="1" si="149"/>
        <v>-824292605422.55457</v>
      </c>
      <c r="M3543" s="460">
        <f t="shared" si="151"/>
        <v>0.05</v>
      </c>
      <c r="N3543" s="464">
        <f t="shared" si="152"/>
        <v>158882</v>
      </c>
    </row>
    <row r="3544" spans="7:14" ht="11.25" customHeight="1" x14ac:dyDescent="0.3">
      <c r="G3544" s="459"/>
      <c r="H3544" s="459">
        <v>3537</v>
      </c>
      <c r="I3544" s="444">
        <f t="shared" ca="1" si="150"/>
        <v>-824292605422.55457</v>
      </c>
      <c r="J3544" s="444">
        <f t="array" ref="J3544">IFERROR(INDEX('Retirement Calculator'!K:K,MATCH('Lorri 401b'!N3544,'Retirement Calculator'!A:A,0),0),0)</f>
        <v>0</v>
      </c>
      <c r="K3544" s="444">
        <f t="shared" ca="1" si="148"/>
        <v>-3434552522.5939775</v>
      </c>
      <c r="L3544" s="444">
        <f t="shared" ca="1" si="149"/>
        <v>-827727157945.14856</v>
      </c>
      <c r="M3544" s="460">
        <f t="shared" si="151"/>
        <v>0.05</v>
      </c>
      <c r="N3544" s="464">
        <f t="shared" si="152"/>
        <v>158913</v>
      </c>
    </row>
    <row r="3545" spans="7:14" ht="11.25" customHeight="1" x14ac:dyDescent="0.3">
      <c r="G3545" s="459"/>
      <c r="H3545" s="459">
        <v>3538</v>
      </c>
      <c r="I3545" s="444">
        <f t="shared" ca="1" si="150"/>
        <v>-827727157945.14856</v>
      </c>
      <c r="J3545" s="444">
        <f t="array" ref="J3545">IFERROR(INDEX('Retirement Calculator'!K:K,MATCH('Lorri 401b'!N3545,'Retirement Calculator'!A:A,0),0),0)</f>
        <v>0</v>
      </c>
      <c r="K3545" s="444">
        <f t="shared" ca="1" si="148"/>
        <v>-3448863158.1047854</v>
      </c>
      <c r="L3545" s="444">
        <f t="shared" ca="1" si="149"/>
        <v>-831176021103.2533</v>
      </c>
      <c r="M3545" s="460">
        <f t="shared" si="151"/>
        <v>0.05</v>
      </c>
      <c r="N3545" s="464">
        <f t="shared" si="152"/>
        <v>158941</v>
      </c>
    </row>
    <row r="3546" spans="7:14" ht="11.25" customHeight="1" x14ac:dyDescent="0.3">
      <c r="G3546" s="459"/>
      <c r="H3546" s="459">
        <v>3539</v>
      </c>
      <c r="I3546" s="444">
        <f t="shared" ca="1" si="150"/>
        <v>-831176021103.2533</v>
      </c>
      <c r="J3546" s="444">
        <f t="array" ref="J3546">IFERROR(INDEX('Retirement Calculator'!K:K,MATCH('Lorri 401b'!N3546,'Retirement Calculator'!A:A,0),0),0)</f>
        <v>0</v>
      </c>
      <c r="K3546" s="444">
        <f t="shared" ca="1" si="148"/>
        <v>-3463233421.2635555</v>
      </c>
      <c r="L3546" s="444">
        <f t="shared" ca="1" si="149"/>
        <v>-834639254524.51685</v>
      </c>
      <c r="M3546" s="460">
        <f t="shared" si="151"/>
        <v>0.05</v>
      </c>
      <c r="N3546" s="464">
        <f t="shared" si="152"/>
        <v>158972</v>
      </c>
    </row>
    <row r="3547" spans="7:14" ht="11.25" customHeight="1" x14ac:dyDescent="0.3">
      <c r="G3547" s="459"/>
      <c r="H3547" s="459">
        <v>3540</v>
      </c>
      <c r="I3547" s="444">
        <f t="shared" ca="1" si="150"/>
        <v>-834639254524.51685</v>
      </c>
      <c r="J3547" s="444">
        <f t="array" ref="J3547">IFERROR(INDEX('Retirement Calculator'!K:K,MATCH('Lorri 401b'!N3547,'Retirement Calculator'!A:A,0),0),0)</f>
        <v>0</v>
      </c>
      <c r="K3547" s="444">
        <f t="shared" ca="1" si="148"/>
        <v>-3477663560.5188203</v>
      </c>
      <c r="L3547" s="444">
        <f t="shared" ca="1" si="149"/>
        <v>-838116918085.03564</v>
      </c>
      <c r="M3547" s="460">
        <f t="shared" si="151"/>
        <v>0.05</v>
      </c>
      <c r="N3547" s="464">
        <f t="shared" si="152"/>
        <v>159002</v>
      </c>
    </row>
    <row r="3548" spans="7:14" ht="11.25" customHeight="1" x14ac:dyDescent="0.3">
      <c r="G3548" s="459"/>
      <c r="H3548" s="459">
        <v>3541</v>
      </c>
      <c r="I3548" s="444">
        <f t="shared" ca="1" si="150"/>
        <v>-838116918085.03564</v>
      </c>
      <c r="J3548" s="444">
        <f t="array" ref="J3548">IFERROR(INDEX('Retirement Calculator'!K:K,MATCH('Lorri 401b'!N3548,'Retirement Calculator'!A:A,0),0),0)</f>
        <v>0</v>
      </c>
      <c r="K3548" s="444">
        <f t="shared" ca="1" si="148"/>
        <v>-3492153825.3543153</v>
      </c>
      <c r="L3548" s="444">
        <f t="shared" ca="1" si="149"/>
        <v>-841609071910.39001</v>
      </c>
      <c r="M3548" s="460">
        <f t="shared" si="151"/>
        <v>0.05</v>
      </c>
      <c r="N3548" s="464">
        <f t="shared" si="152"/>
        <v>159033</v>
      </c>
    </row>
    <row r="3549" spans="7:14" ht="11.25" customHeight="1" x14ac:dyDescent="0.3">
      <c r="G3549" s="459"/>
      <c r="H3549" s="459">
        <v>3542</v>
      </c>
      <c r="I3549" s="444">
        <f t="shared" ca="1" si="150"/>
        <v>-841609071910.39001</v>
      </c>
      <c r="J3549" s="444">
        <f t="array" ref="J3549">IFERROR(INDEX('Retirement Calculator'!K:K,MATCH('Lorri 401b'!N3549,'Retirement Calculator'!A:A,0),0),0)</f>
        <v>0</v>
      </c>
      <c r="K3549" s="444">
        <f t="shared" ca="1" si="148"/>
        <v>-3506704466.2932916</v>
      </c>
      <c r="L3549" s="444">
        <f t="shared" ca="1" si="149"/>
        <v>-845115776376.68335</v>
      </c>
      <c r="M3549" s="460">
        <f t="shared" si="151"/>
        <v>0.05</v>
      </c>
      <c r="N3549" s="464">
        <f t="shared" si="152"/>
        <v>159063</v>
      </c>
    </row>
    <row r="3550" spans="7:14" ht="11.25" customHeight="1" x14ac:dyDescent="0.3">
      <c r="G3550" s="459"/>
      <c r="H3550" s="459">
        <v>3543</v>
      </c>
      <c r="I3550" s="444">
        <f t="shared" ca="1" si="150"/>
        <v>-845115776376.68335</v>
      </c>
      <c r="J3550" s="444">
        <f t="array" ref="J3550">IFERROR(INDEX('Retirement Calculator'!K:K,MATCH('Lorri 401b'!N3550,'Retirement Calculator'!A:A,0),0),0)</f>
        <v>0</v>
      </c>
      <c r="K3550" s="444">
        <f t="shared" ca="1" si="148"/>
        <v>-3521315734.9028473</v>
      </c>
      <c r="L3550" s="444">
        <f t="shared" ca="1" si="149"/>
        <v>-848637092111.58618</v>
      </c>
      <c r="M3550" s="460">
        <f t="shared" si="151"/>
        <v>0.05</v>
      </c>
      <c r="N3550" s="464">
        <f t="shared" si="152"/>
        <v>159094</v>
      </c>
    </row>
    <row r="3551" spans="7:14" ht="11.25" customHeight="1" x14ac:dyDescent="0.3">
      <c r="G3551" s="459"/>
      <c r="H3551" s="459">
        <v>3544</v>
      </c>
      <c r="I3551" s="444">
        <f t="shared" ca="1" si="150"/>
        <v>-848637092111.58618</v>
      </c>
      <c r="J3551" s="444">
        <f t="array" ref="J3551">IFERROR(INDEX('Retirement Calculator'!K:K,MATCH('Lorri 401b'!N3551,'Retirement Calculator'!A:A,0),0),0)</f>
        <v>0</v>
      </c>
      <c r="K3551" s="444">
        <f t="shared" ca="1" si="148"/>
        <v>-3535987883.7982755</v>
      </c>
      <c r="L3551" s="444">
        <f t="shared" ca="1" si="149"/>
        <v>-852173079995.3844</v>
      </c>
      <c r="M3551" s="460">
        <f t="shared" si="151"/>
        <v>0.05</v>
      </c>
      <c r="N3551" s="464">
        <f t="shared" si="152"/>
        <v>159125</v>
      </c>
    </row>
    <row r="3552" spans="7:14" ht="11.25" customHeight="1" x14ac:dyDescent="0.3">
      <c r="G3552" s="459"/>
      <c r="H3552" s="459">
        <v>3545</v>
      </c>
      <c r="I3552" s="444">
        <f t="shared" ca="1" si="150"/>
        <v>-852173079995.3844</v>
      </c>
      <c r="J3552" s="444">
        <f t="array" ref="J3552">IFERROR(INDEX('Retirement Calculator'!K:K,MATCH('Lorri 401b'!N3552,'Retirement Calculator'!A:A,0),0),0)</f>
        <v>0</v>
      </c>
      <c r="K3552" s="444">
        <f t="shared" ca="1" si="148"/>
        <v>-3550721166.6474347</v>
      </c>
      <c r="L3552" s="444">
        <f t="shared" ca="1" si="149"/>
        <v>-855723801162.03186</v>
      </c>
      <c r="M3552" s="460">
        <f t="shared" si="151"/>
        <v>0.05</v>
      </c>
      <c r="N3552" s="464">
        <f t="shared" si="152"/>
        <v>159155</v>
      </c>
    </row>
    <row r="3553" spans="7:14" ht="11.25" customHeight="1" x14ac:dyDescent="0.3">
      <c r="G3553" s="459"/>
      <c r="H3553" s="459">
        <v>3546</v>
      </c>
      <c r="I3553" s="444">
        <f t="shared" ca="1" si="150"/>
        <v>-855723801162.03186</v>
      </c>
      <c r="J3553" s="444">
        <f t="array" ref="J3553">IFERROR(INDEX('Retirement Calculator'!K:K,MATCH('Lorri 401b'!N3553,'Retirement Calculator'!A:A,0),0),0)</f>
        <v>0</v>
      </c>
      <c r="K3553" s="444">
        <f t="shared" ca="1" si="148"/>
        <v>-3565515838.1751328</v>
      </c>
      <c r="L3553" s="444">
        <f t="shared" ca="1" si="149"/>
        <v>-859289317000.20703</v>
      </c>
      <c r="M3553" s="460">
        <f t="shared" si="151"/>
        <v>0.05</v>
      </c>
      <c r="N3553" s="464">
        <f t="shared" si="152"/>
        <v>159186</v>
      </c>
    </row>
    <row r="3554" spans="7:14" ht="11.25" customHeight="1" x14ac:dyDescent="0.3">
      <c r="G3554" s="459"/>
      <c r="H3554" s="459">
        <v>3547</v>
      </c>
      <c r="I3554" s="444">
        <f t="shared" ca="1" si="150"/>
        <v>-859289317000.20703</v>
      </c>
      <c r="J3554" s="444">
        <f t="array" ref="J3554">IFERROR(INDEX('Retirement Calculator'!K:K,MATCH('Lorri 401b'!N3554,'Retirement Calculator'!A:A,0),0),0)</f>
        <v>0</v>
      </c>
      <c r="K3554" s="444">
        <f t="shared" ca="1" si="148"/>
        <v>-3580372154.1675291</v>
      </c>
      <c r="L3554" s="444">
        <f t="shared" ca="1" si="149"/>
        <v>-862869689154.37451</v>
      </c>
      <c r="M3554" s="460">
        <f t="shared" si="151"/>
        <v>0.05</v>
      </c>
      <c r="N3554" s="464">
        <f t="shared" si="152"/>
        <v>159216</v>
      </c>
    </row>
    <row r="3555" spans="7:14" ht="11.25" customHeight="1" x14ac:dyDescent="0.3">
      <c r="G3555" s="459"/>
      <c r="H3555" s="459">
        <v>3548</v>
      </c>
      <c r="I3555" s="444">
        <f t="shared" ca="1" si="150"/>
        <v>-862869689154.37451</v>
      </c>
      <c r="J3555" s="444">
        <f t="array" ref="J3555">IFERROR(INDEX('Retirement Calculator'!K:K,MATCH('Lorri 401b'!N3555,'Retirement Calculator'!A:A,0),0),0)</f>
        <v>0</v>
      </c>
      <c r="K3555" s="444">
        <f t="shared" ca="1" si="148"/>
        <v>-3595290371.4765601</v>
      </c>
      <c r="L3555" s="444">
        <f t="shared" ca="1" si="149"/>
        <v>-866464979525.85107</v>
      </c>
      <c r="M3555" s="460">
        <f t="shared" si="151"/>
        <v>0.05</v>
      </c>
      <c r="N3555" s="464">
        <f t="shared" si="152"/>
        <v>159247</v>
      </c>
    </row>
    <row r="3556" spans="7:14" ht="11.25" customHeight="1" x14ac:dyDescent="0.3">
      <c r="G3556" s="459"/>
      <c r="H3556" s="459">
        <v>3549</v>
      </c>
      <c r="I3556" s="444">
        <f t="shared" ca="1" si="150"/>
        <v>-866464979525.85107</v>
      </c>
      <c r="J3556" s="444">
        <f t="array" ref="J3556">IFERROR(INDEX('Retirement Calculator'!K:K,MATCH('Lorri 401b'!N3556,'Retirement Calculator'!A:A,0),0),0)</f>
        <v>0</v>
      </c>
      <c r="K3556" s="444">
        <f t="shared" ca="1" si="148"/>
        <v>-3610270748.0243793</v>
      </c>
      <c r="L3556" s="444">
        <f t="shared" ca="1" si="149"/>
        <v>-870075250273.87549</v>
      </c>
      <c r="M3556" s="460">
        <f t="shared" si="151"/>
        <v>0.05</v>
      </c>
      <c r="N3556" s="464">
        <f t="shared" si="152"/>
        <v>159278</v>
      </c>
    </row>
    <row r="3557" spans="7:14" ht="11.25" customHeight="1" x14ac:dyDescent="0.3">
      <c r="G3557" s="459"/>
      <c r="H3557" s="459">
        <v>3550</v>
      </c>
      <c r="I3557" s="444">
        <f t="shared" ca="1" si="150"/>
        <v>-870075250273.87549</v>
      </c>
      <c r="J3557" s="444">
        <f t="array" ref="J3557">IFERROR(INDEX('Retirement Calculator'!K:K,MATCH('Lorri 401b'!N3557,'Retirement Calculator'!A:A,0),0),0)</f>
        <v>0</v>
      </c>
      <c r="K3557" s="444">
        <f t="shared" ca="1" si="148"/>
        <v>-3625313542.8078146</v>
      </c>
      <c r="L3557" s="444">
        <f t="shared" ca="1" si="149"/>
        <v>-873700563816.68335</v>
      </c>
      <c r="M3557" s="460">
        <f t="shared" si="151"/>
        <v>0.05</v>
      </c>
      <c r="N3557" s="464">
        <f t="shared" si="152"/>
        <v>159307</v>
      </c>
    </row>
    <row r="3558" spans="7:14" ht="11.25" customHeight="1" x14ac:dyDescent="0.3">
      <c r="G3558" s="459"/>
      <c r="H3558" s="459">
        <v>3551</v>
      </c>
      <c r="I3558" s="444">
        <f t="shared" ca="1" si="150"/>
        <v>-873700563816.68335</v>
      </c>
      <c r="J3558" s="444">
        <f t="array" ref="J3558">IFERROR(INDEX('Retirement Calculator'!K:K,MATCH('Lorri 401b'!N3558,'Retirement Calculator'!A:A,0),0),0)</f>
        <v>0</v>
      </c>
      <c r="K3558" s="444">
        <f t="shared" ca="1" si="148"/>
        <v>-3640419015.9028478</v>
      </c>
      <c r="L3558" s="444">
        <f t="shared" ca="1" si="149"/>
        <v>-877340982832.58618</v>
      </c>
      <c r="M3558" s="460">
        <f t="shared" si="151"/>
        <v>0.05</v>
      </c>
      <c r="N3558" s="464">
        <f t="shared" si="152"/>
        <v>159338</v>
      </c>
    </row>
    <row r="3559" spans="7:14" ht="11.25" customHeight="1" x14ac:dyDescent="0.3">
      <c r="G3559" s="459"/>
      <c r="H3559" s="459">
        <v>3552</v>
      </c>
      <c r="I3559" s="444">
        <f t="shared" ca="1" si="150"/>
        <v>-877340982832.58618</v>
      </c>
      <c r="J3559" s="444">
        <f t="array" ref="J3559">IFERROR(INDEX('Retirement Calculator'!K:K,MATCH('Lorri 401b'!N3559,'Retirement Calculator'!A:A,0),0),0)</f>
        <v>0</v>
      </c>
      <c r="K3559" s="444">
        <f t="shared" ca="1" si="148"/>
        <v>-3655587428.4691091</v>
      </c>
      <c r="L3559" s="444">
        <f t="shared" ca="1" si="149"/>
        <v>-880996570261.0553</v>
      </c>
      <c r="M3559" s="460">
        <f t="shared" si="151"/>
        <v>0.05</v>
      </c>
      <c r="N3559" s="464">
        <f t="shared" si="152"/>
        <v>159368</v>
      </c>
    </row>
    <row r="3560" spans="7:14" ht="11.25" customHeight="1" x14ac:dyDescent="0.3">
      <c r="G3560" s="459"/>
      <c r="H3560" s="459">
        <v>3553</v>
      </c>
      <c r="I3560" s="444">
        <f t="shared" ca="1" si="150"/>
        <v>-880996570261.0553</v>
      </c>
      <c r="J3560" s="444">
        <f t="array" ref="J3560">IFERROR(INDEX('Retirement Calculator'!K:K,MATCH('Lorri 401b'!N3560,'Retirement Calculator'!A:A,0),0),0)</f>
        <v>0</v>
      </c>
      <c r="K3560" s="444">
        <f t="shared" ca="1" si="148"/>
        <v>-3670819042.7543969</v>
      </c>
      <c r="L3560" s="444">
        <f t="shared" ca="1" si="149"/>
        <v>-884667389303.80969</v>
      </c>
      <c r="M3560" s="460">
        <f t="shared" si="151"/>
        <v>0.05</v>
      </c>
      <c r="N3560" s="464">
        <f t="shared" si="152"/>
        <v>159399</v>
      </c>
    </row>
    <row r="3561" spans="7:14" ht="11.25" customHeight="1" x14ac:dyDescent="0.3">
      <c r="G3561" s="459"/>
      <c r="H3561" s="459">
        <v>3554</v>
      </c>
      <c r="I3561" s="444">
        <f t="shared" ca="1" si="150"/>
        <v>-884667389303.80969</v>
      </c>
      <c r="J3561" s="444">
        <f t="array" ref="J3561">IFERROR(INDEX('Retirement Calculator'!K:K,MATCH('Lorri 401b'!N3561,'Retirement Calculator'!A:A,0),0),0)</f>
        <v>0</v>
      </c>
      <c r="K3561" s="444">
        <f t="shared" ca="1" si="148"/>
        <v>-3686114122.0992069</v>
      </c>
      <c r="L3561" s="444">
        <f t="shared" ca="1" si="149"/>
        <v>-888353503425.90894</v>
      </c>
      <c r="M3561" s="460">
        <f t="shared" si="151"/>
        <v>0.05</v>
      </c>
      <c r="N3561" s="464">
        <f t="shared" si="152"/>
        <v>159429</v>
      </c>
    </row>
    <row r="3562" spans="7:14" ht="11.25" customHeight="1" x14ac:dyDescent="0.3">
      <c r="G3562" s="459"/>
      <c r="H3562" s="459">
        <v>3555</v>
      </c>
      <c r="I3562" s="444">
        <f t="shared" ca="1" si="150"/>
        <v>-888353503425.90894</v>
      </c>
      <c r="J3562" s="444">
        <f t="array" ref="J3562">IFERROR(INDEX('Retirement Calculator'!K:K,MATCH('Lorri 401b'!N3562,'Retirement Calculator'!A:A,0),0),0)</f>
        <v>0</v>
      </c>
      <c r="K3562" s="444">
        <f t="shared" ca="1" si="148"/>
        <v>-3701472930.941287</v>
      </c>
      <c r="L3562" s="444">
        <f t="shared" ca="1" si="149"/>
        <v>-892054976356.85022</v>
      </c>
      <c r="M3562" s="460">
        <f t="shared" si="151"/>
        <v>0.05</v>
      </c>
      <c r="N3562" s="464">
        <f t="shared" si="152"/>
        <v>159460</v>
      </c>
    </row>
    <row r="3563" spans="7:14" ht="11.25" customHeight="1" x14ac:dyDescent="0.3">
      <c r="G3563" s="459"/>
      <c r="H3563" s="459">
        <v>3556</v>
      </c>
      <c r="I3563" s="444">
        <f t="shared" ca="1" si="150"/>
        <v>-892054976356.85022</v>
      </c>
      <c r="J3563" s="444">
        <f t="array" ref="J3563">IFERROR(INDEX('Retirement Calculator'!K:K,MATCH('Lorri 401b'!N3563,'Retirement Calculator'!A:A,0),0),0)</f>
        <v>0</v>
      </c>
      <c r="K3563" s="444">
        <f t="shared" ca="1" si="148"/>
        <v>-3716895734.820209</v>
      </c>
      <c r="L3563" s="444">
        <f t="shared" ca="1" si="149"/>
        <v>-895771872091.67041</v>
      </c>
      <c r="M3563" s="460">
        <f t="shared" si="151"/>
        <v>0.05</v>
      </c>
      <c r="N3563" s="464">
        <f t="shared" si="152"/>
        <v>159491</v>
      </c>
    </row>
    <row r="3564" spans="7:14" ht="11.25" customHeight="1" x14ac:dyDescent="0.3">
      <c r="G3564" s="459"/>
      <c r="H3564" s="459">
        <v>3557</v>
      </c>
      <c r="I3564" s="444">
        <f t="shared" ca="1" si="150"/>
        <v>-895771872091.67041</v>
      </c>
      <c r="J3564" s="444">
        <f t="array" ref="J3564">IFERROR(INDEX('Retirement Calculator'!K:K,MATCH('Lorri 401b'!N3564,'Retirement Calculator'!A:A,0),0),0)</f>
        <v>0</v>
      </c>
      <c r="K3564" s="444">
        <f t="shared" ca="1" si="148"/>
        <v>-3732382800.3819604</v>
      </c>
      <c r="L3564" s="444">
        <f t="shared" ca="1" si="149"/>
        <v>-899504254892.05237</v>
      </c>
      <c r="M3564" s="460">
        <f t="shared" si="151"/>
        <v>0.05</v>
      </c>
      <c r="N3564" s="464">
        <f t="shared" si="152"/>
        <v>159521</v>
      </c>
    </row>
    <row r="3565" spans="7:14" ht="11.25" customHeight="1" x14ac:dyDescent="0.3">
      <c r="G3565" s="459"/>
      <c r="H3565" s="459">
        <v>3558</v>
      </c>
      <c r="I3565" s="444">
        <f t="shared" ca="1" si="150"/>
        <v>-899504254892.05237</v>
      </c>
      <c r="J3565" s="444">
        <f t="array" ref="J3565">IFERROR(INDEX('Retirement Calculator'!K:K,MATCH('Lorri 401b'!N3565,'Retirement Calculator'!A:A,0),0),0)</f>
        <v>0</v>
      </c>
      <c r="K3565" s="444">
        <f t="shared" ca="1" si="148"/>
        <v>-3747934395.3835516</v>
      </c>
      <c r="L3565" s="444">
        <f t="shared" ca="1" si="149"/>
        <v>-903252189287.43591</v>
      </c>
      <c r="M3565" s="460">
        <f t="shared" si="151"/>
        <v>0.05</v>
      </c>
      <c r="N3565" s="464">
        <f t="shared" si="152"/>
        <v>159552</v>
      </c>
    </row>
    <row r="3566" spans="7:14" ht="11.25" customHeight="1" x14ac:dyDescent="0.3">
      <c r="G3566" s="459"/>
      <c r="H3566" s="459">
        <v>3559</v>
      </c>
      <c r="I3566" s="444">
        <f t="shared" ca="1" si="150"/>
        <v>-903252189287.43591</v>
      </c>
      <c r="J3566" s="444">
        <f t="array" ref="J3566">IFERROR(INDEX('Retirement Calculator'!K:K,MATCH('Lorri 401b'!N3566,'Retirement Calculator'!A:A,0),0),0)</f>
        <v>0</v>
      </c>
      <c r="K3566" s="444">
        <f t="shared" ca="1" si="148"/>
        <v>-3763550788.6976495</v>
      </c>
      <c r="L3566" s="444">
        <f t="shared" ca="1" si="149"/>
        <v>-907015740076.13354</v>
      </c>
      <c r="M3566" s="460">
        <f t="shared" si="151"/>
        <v>0.05</v>
      </c>
      <c r="N3566" s="464">
        <f t="shared" si="152"/>
        <v>159582</v>
      </c>
    </row>
    <row r="3567" spans="7:14" ht="11.25" customHeight="1" x14ac:dyDescent="0.3">
      <c r="G3567" s="459"/>
      <c r="H3567" s="459">
        <v>3560</v>
      </c>
      <c r="I3567" s="444">
        <f t="shared" ca="1" si="150"/>
        <v>-907015740076.13354</v>
      </c>
      <c r="J3567" s="444">
        <f t="array" ref="J3567">IFERROR(INDEX('Retirement Calculator'!K:K,MATCH('Lorri 401b'!N3567,'Retirement Calculator'!A:A,0),0),0)</f>
        <v>0</v>
      </c>
      <c r="K3567" s="444">
        <f t="shared" ca="1" si="148"/>
        <v>-3779232250.3172231</v>
      </c>
      <c r="L3567" s="444">
        <f t="shared" ca="1" si="149"/>
        <v>-910794972326.45081</v>
      </c>
      <c r="M3567" s="460">
        <f t="shared" si="151"/>
        <v>0.05</v>
      </c>
      <c r="N3567" s="464">
        <f t="shared" si="152"/>
        <v>159613</v>
      </c>
    </row>
    <row r="3568" spans="7:14" ht="11.25" customHeight="1" x14ac:dyDescent="0.3">
      <c r="G3568" s="459"/>
      <c r="H3568" s="459">
        <v>3561</v>
      </c>
      <c r="I3568" s="444">
        <f t="shared" ca="1" si="150"/>
        <v>-910794972326.45081</v>
      </c>
      <c r="J3568" s="444">
        <f t="array" ref="J3568">IFERROR(INDEX('Retirement Calculator'!K:K,MATCH('Lorri 401b'!N3568,'Retirement Calculator'!A:A,0),0),0)</f>
        <v>0</v>
      </c>
      <c r="K3568" s="444">
        <f t="shared" ca="1" si="148"/>
        <v>-3794979051.3602118</v>
      </c>
      <c r="L3568" s="444">
        <f t="shared" ca="1" si="149"/>
        <v>-914589951377.81104</v>
      </c>
      <c r="M3568" s="460">
        <f t="shared" si="151"/>
        <v>0.05</v>
      </c>
      <c r="N3568" s="464">
        <f t="shared" si="152"/>
        <v>159644</v>
      </c>
    </row>
    <row r="3569" spans="7:14" ht="11.25" customHeight="1" x14ac:dyDescent="0.3">
      <c r="G3569" s="459"/>
      <c r="H3569" s="459">
        <v>3562</v>
      </c>
      <c r="I3569" s="444">
        <f t="shared" ca="1" si="150"/>
        <v>-914589951377.81104</v>
      </c>
      <c r="J3569" s="444">
        <f t="array" ref="J3569">IFERROR(INDEX('Retirement Calculator'!K:K,MATCH('Lorri 401b'!N3569,'Retirement Calculator'!A:A,0),0),0)</f>
        <v>0</v>
      </c>
      <c r="K3569" s="444">
        <f t="shared" ca="1" si="148"/>
        <v>-3810791464.0742126</v>
      </c>
      <c r="L3569" s="444">
        <f t="shared" ca="1" si="149"/>
        <v>-918400742841.88525</v>
      </c>
      <c r="M3569" s="460">
        <f t="shared" si="151"/>
        <v>0.05</v>
      </c>
      <c r="N3569" s="464">
        <f t="shared" si="152"/>
        <v>159672</v>
      </c>
    </row>
    <row r="3570" spans="7:14" ht="11.25" customHeight="1" x14ac:dyDescent="0.3">
      <c r="G3570" s="459"/>
      <c r="H3570" s="459">
        <v>3563</v>
      </c>
      <c r="I3570" s="444">
        <f t="shared" ca="1" si="150"/>
        <v>-918400742841.88525</v>
      </c>
      <c r="J3570" s="444">
        <f t="array" ref="J3570">IFERROR(INDEX('Retirement Calculator'!K:K,MATCH('Lorri 401b'!N3570,'Retirement Calculator'!A:A,0),0),0)</f>
        <v>0</v>
      </c>
      <c r="K3570" s="444">
        <f t="shared" ca="1" si="148"/>
        <v>-3826669761.841188</v>
      </c>
      <c r="L3570" s="444">
        <f t="shared" ca="1" si="149"/>
        <v>-922227412603.72644</v>
      </c>
      <c r="M3570" s="460">
        <f t="shared" si="151"/>
        <v>0.05</v>
      </c>
      <c r="N3570" s="464">
        <f t="shared" si="152"/>
        <v>159703</v>
      </c>
    </row>
    <row r="3571" spans="7:14" ht="11.25" customHeight="1" x14ac:dyDescent="0.3">
      <c r="G3571" s="459"/>
      <c r="H3571" s="459">
        <v>3564</v>
      </c>
      <c r="I3571" s="444">
        <f t="shared" ca="1" si="150"/>
        <v>-922227412603.72644</v>
      </c>
      <c r="J3571" s="444">
        <f t="array" ref="J3571">IFERROR(INDEX('Retirement Calculator'!K:K,MATCH('Lorri 401b'!N3571,'Retirement Calculator'!A:A,0),0),0)</f>
        <v>0</v>
      </c>
      <c r="K3571" s="444">
        <f t="shared" ca="1" si="148"/>
        <v>-3842614219.1821928</v>
      </c>
      <c r="L3571" s="444">
        <f t="shared" ca="1" si="149"/>
        <v>-926070026822.90869</v>
      </c>
      <c r="M3571" s="460">
        <f t="shared" si="151"/>
        <v>0.05</v>
      </c>
      <c r="N3571" s="464">
        <f t="shared" si="152"/>
        <v>159733</v>
      </c>
    </row>
    <row r="3572" spans="7:14" ht="11.25" customHeight="1" x14ac:dyDescent="0.3">
      <c r="G3572" s="459"/>
      <c r="H3572" s="459">
        <v>3565</v>
      </c>
      <c r="I3572" s="444">
        <f t="shared" ca="1" si="150"/>
        <v>-926070026822.90869</v>
      </c>
      <c r="J3572" s="444">
        <f t="array" ref="J3572">IFERROR(INDEX('Retirement Calculator'!K:K,MATCH('Lorri 401b'!N3572,'Retirement Calculator'!A:A,0),0),0)</f>
        <v>0</v>
      </c>
      <c r="K3572" s="444">
        <f t="shared" ca="1" si="148"/>
        <v>-3858625111.7621193</v>
      </c>
      <c r="L3572" s="444">
        <f t="shared" ca="1" si="149"/>
        <v>-929928651934.67078</v>
      </c>
      <c r="M3572" s="460">
        <f t="shared" si="151"/>
        <v>0.05</v>
      </c>
      <c r="N3572" s="464">
        <f t="shared" si="152"/>
        <v>159764</v>
      </c>
    </row>
    <row r="3573" spans="7:14" ht="11.25" customHeight="1" x14ac:dyDescent="0.3">
      <c r="G3573" s="459"/>
      <c r="H3573" s="459">
        <v>3566</v>
      </c>
      <c r="I3573" s="444">
        <f t="shared" ca="1" si="150"/>
        <v>-929928651934.67078</v>
      </c>
      <c r="J3573" s="444">
        <f t="array" ref="J3573">IFERROR(INDEX('Retirement Calculator'!K:K,MATCH('Lorri 401b'!N3573,'Retirement Calculator'!A:A,0),0),0)</f>
        <v>0</v>
      </c>
      <c r="K3573" s="444">
        <f t="shared" ca="1" si="148"/>
        <v>-3874702716.3944612</v>
      </c>
      <c r="L3573" s="444">
        <f t="shared" ca="1" si="149"/>
        <v>-933803354651.06519</v>
      </c>
      <c r="M3573" s="460">
        <f t="shared" si="151"/>
        <v>0.05</v>
      </c>
      <c r="N3573" s="464">
        <f t="shared" si="152"/>
        <v>159794</v>
      </c>
    </row>
    <row r="3574" spans="7:14" ht="11.25" customHeight="1" x14ac:dyDescent="0.3">
      <c r="G3574" s="459"/>
      <c r="H3574" s="459">
        <v>3567</v>
      </c>
      <c r="I3574" s="444">
        <f t="shared" ca="1" si="150"/>
        <v>-933803354651.06519</v>
      </c>
      <c r="J3574" s="444">
        <f t="array" ref="J3574">IFERROR(INDEX('Retirement Calculator'!K:K,MATCH('Lorri 401b'!N3574,'Retirement Calculator'!A:A,0),0),0)</f>
        <v>0</v>
      </c>
      <c r="K3574" s="444">
        <f t="shared" ca="1" si="148"/>
        <v>-3890847311.0461044</v>
      </c>
      <c r="L3574" s="444">
        <f t="shared" ca="1" si="149"/>
        <v>-937694201962.11133</v>
      </c>
      <c r="M3574" s="460">
        <f t="shared" si="151"/>
        <v>0.05</v>
      </c>
      <c r="N3574" s="464">
        <f t="shared" si="152"/>
        <v>159825</v>
      </c>
    </row>
    <row r="3575" spans="7:14" ht="11.25" customHeight="1" x14ac:dyDescent="0.3">
      <c r="G3575" s="459"/>
      <c r="H3575" s="459">
        <v>3568</v>
      </c>
      <c r="I3575" s="444">
        <f t="shared" ca="1" si="150"/>
        <v>-937694201962.11133</v>
      </c>
      <c r="J3575" s="444">
        <f t="array" ref="J3575">IFERROR(INDEX('Retirement Calculator'!K:K,MATCH('Lorri 401b'!N3575,'Retirement Calculator'!A:A,0),0),0)</f>
        <v>0</v>
      </c>
      <c r="K3575" s="444">
        <f t="shared" ca="1" si="148"/>
        <v>-3907059174.8421302</v>
      </c>
      <c r="L3575" s="444">
        <f t="shared" ca="1" si="149"/>
        <v>-941601261136.95349</v>
      </c>
      <c r="M3575" s="460">
        <f t="shared" si="151"/>
        <v>0.05</v>
      </c>
      <c r="N3575" s="464">
        <f t="shared" si="152"/>
        <v>159856</v>
      </c>
    </row>
    <row r="3576" spans="7:14" ht="11.25" customHeight="1" x14ac:dyDescent="0.3">
      <c r="G3576" s="459"/>
      <c r="H3576" s="459">
        <v>3569</v>
      </c>
      <c r="I3576" s="444">
        <f t="shared" ca="1" si="150"/>
        <v>-941601261136.95349</v>
      </c>
      <c r="J3576" s="444">
        <f t="array" ref="J3576">IFERROR(INDEX('Retirement Calculator'!K:K,MATCH('Lorri 401b'!N3576,'Retirement Calculator'!A:A,0),0),0)</f>
        <v>0</v>
      </c>
      <c r="K3576" s="444">
        <f t="shared" ca="1" si="148"/>
        <v>-3923338588.0706396</v>
      </c>
      <c r="L3576" s="444">
        <f t="shared" ca="1" si="149"/>
        <v>-945524599725.02417</v>
      </c>
      <c r="M3576" s="460">
        <f t="shared" si="151"/>
        <v>0.05</v>
      </c>
      <c r="N3576" s="464">
        <f t="shared" si="152"/>
        <v>159886</v>
      </c>
    </row>
    <row r="3577" spans="7:14" ht="11.25" customHeight="1" x14ac:dyDescent="0.3">
      <c r="G3577" s="459"/>
      <c r="H3577" s="459">
        <v>3570</v>
      </c>
      <c r="I3577" s="444">
        <f t="shared" ca="1" si="150"/>
        <v>-945524599725.02417</v>
      </c>
      <c r="J3577" s="444">
        <f t="array" ref="J3577">IFERROR(INDEX('Retirement Calculator'!K:K,MATCH('Lorri 401b'!N3577,'Retirement Calculator'!A:A,0),0),0)</f>
        <v>0</v>
      </c>
      <c r="K3577" s="444">
        <f t="shared" ca="1" si="148"/>
        <v>-3939685832.1876006</v>
      </c>
      <c r="L3577" s="444">
        <f t="shared" ca="1" si="149"/>
        <v>-949464285557.21179</v>
      </c>
      <c r="M3577" s="460">
        <f t="shared" si="151"/>
        <v>0.05</v>
      </c>
      <c r="N3577" s="464">
        <f t="shared" si="152"/>
        <v>159917</v>
      </c>
    </row>
    <row r="3578" spans="7:14" ht="11.25" customHeight="1" x14ac:dyDescent="0.3">
      <c r="G3578" s="459"/>
      <c r="H3578" s="459">
        <v>3571</v>
      </c>
      <c r="I3578" s="444">
        <f t="shared" ca="1" si="150"/>
        <v>-949464285557.21179</v>
      </c>
      <c r="J3578" s="444">
        <f t="array" ref="J3578">IFERROR(INDEX('Retirement Calculator'!K:K,MATCH('Lorri 401b'!N3578,'Retirement Calculator'!A:A,0),0),0)</f>
        <v>0</v>
      </c>
      <c r="K3578" s="444">
        <f t="shared" ref="K3578:K3832" ca="1" si="153">IPMT(M3578/12,1,12,-I3578+J3578,,0)</f>
        <v>-3956101189.8217158</v>
      </c>
      <c r="L3578" s="444">
        <f t="shared" ref="L3578:L3832" ca="1" si="154">I3578-J3578+K3578</f>
        <v>-953420386747.03345</v>
      </c>
      <c r="M3578" s="460">
        <f t="shared" si="151"/>
        <v>0.05</v>
      </c>
      <c r="N3578" s="464">
        <f t="shared" si="152"/>
        <v>159947</v>
      </c>
    </row>
    <row r="3579" spans="7:14" ht="11.25" customHeight="1" x14ac:dyDescent="0.3">
      <c r="G3579" s="459"/>
      <c r="H3579" s="459">
        <v>3572</v>
      </c>
      <c r="I3579" s="444">
        <f t="shared" ref="I3579:I3833" ca="1" si="155">L3578</f>
        <v>-953420386747.03345</v>
      </c>
      <c r="J3579" s="444">
        <f t="array" ref="J3579">IFERROR(INDEX('Retirement Calculator'!K:K,MATCH('Lorri 401b'!N3579,'Retirement Calculator'!A:A,0),0),0)</f>
        <v>0</v>
      </c>
      <c r="K3579" s="444">
        <f t="shared" ca="1" si="153"/>
        <v>-3972584944.7793059</v>
      </c>
      <c r="L3579" s="444">
        <f t="shared" ca="1" si="154"/>
        <v>-957392971691.81274</v>
      </c>
      <c r="M3579" s="460">
        <f t="shared" ref="M3579:M3833" si="156">M3578</f>
        <v>0.05</v>
      </c>
      <c r="N3579" s="464">
        <f t="shared" ref="N3579:N3833" si="157">EDATE(N3578,1)</f>
        <v>159978</v>
      </c>
    </row>
    <row r="3580" spans="7:14" ht="11.25" customHeight="1" x14ac:dyDescent="0.3">
      <c r="G3580" s="459"/>
      <c r="H3580" s="459">
        <v>3573</v>
      </c>
      <c r="I3580" s="444">
        <f t="shared" ca="1" si="155"/>
        <v>-957392971691.81274</v>
      </c>
      <c r="J3580" s="444">
        <f t="array" ref="J3580">IFERROR(INDEX('Retirement Calculator'!K:K,MATCH('Lorri 401b'!N3580,'Retirement Calculator'!A:A,0),0),0)</f>
        <v>0</v>
      </c>
      <c r="K3580" s="444">
        <f t="shared" ca="1" si="153"/>
        <v>-3989137382.0492196</v>
      </c>
      <c r="L3580" s="444">
        <f t="shared" ca="1" si="154"/>
        <v>-961382109073.86194</v>
      </c>
      <c r="M3580" s="460">
        <f t="shared" si="156"/>
        <v>0.05</v>
      </c>
      <c r="N3580" s="464">
        <f t="shared" si="157"/>
        <v>160009</v>
      </c>
    </row>
    <row r="3581" spans="7:14" ht="11.25" customHeight="1" x14ac:dyDescent="0.3">
      <c r="G3581" s="459"/>
      <c r="H3581" s="459">
        <v>3574</v>
      </c>
      <c r="I3581" s="444">
        <f t="shared" ca="1" si="155"/>
        <v>-961382109073.86194</v>
      </c>
      <c r="J3581" s="444">
        <f t="array" ref="J3581">IFERROR(INDEX('Retirement Calculator'!K:K,MATCH('Lorri 401b'!N3581,'Retirement Calculator'!A:A,0),0),0)</f>
        <v>0</v>
      </c>
      <c r="K3581" s="444">
        <f t="shared" ca="1" si="153"/>
        <v>-4005758787.8077583</v>
      </c>
      <c r="L3581" s="444">
        <f t="shared" ca="1" si="154"/>
        <v>-965387867861.66968</v>
      </c>
      <c r="M3581" s="460">
        <f t="shared" si="156"/>
        <v>0.05</v>
      </c>
      <c r="N3581" s="464">
        <f t="shared" si="157"/>
        <v>160037</v>
      </c>
    </row>
    <row r="3582" spans="7:14" ht="11.25" customHeight="1" x14ac:dyDescent="0.3">
      <c r="G3582" s="459"/>
      <c r="H3582" s="459">
        <v>3575</v>
      </c>
      <c r="I3582" s="444">
        <f t="shared" ca="1" si="155"/>
        <v>-965387867861.66968</v>
      </c>
      <c r="J3582" s="444">
        <f t="array" ref="J3582">IFERROR(INDEX('Retirement Calculator'!K:K,MATCH('Lorri 401b'!N3582,'Retirement Calculator'!A:A,0),0),0)</f>
        <v>0</v>
      </c>
      <c r="K3582" s="444">
        <f t="shared" ca="1" si="153"/>
        <v>-4022449449.4236236</v>
      </c>
      <c r="L3582" s="444">
        <f t="shared" ca="1" si="154"/>
        <v>-969410317311.09326</v>
      </c>
      <c r="M3582" s="460">
        <f t="shared" si="156"/>
        <v>0.05</v>
      </c>
      <c r="N3582" s="464">
        <f t="shared" si="157"/>
        <v>160068</v>
      </c>
    </row>
    <row r="3583" spans="7:14" ht="11.25" customHeight="1" x14ac:dyDescent="0.3">
      <c r="G3583" s="459"/>
      <c r="H3583" s="459">
        <v>3576</v>
      </c>
      <c r="I3583" s="444">
        <f t="shared" ca="1" si="155"/>
        <v>-969410317311.09326</v>
      </c>
      <c r="J3583" s="444">
        <f t="array" ref="J3583">IFERROR(INDEX('Retirement Calculator'!K:K,MATCH('Lorri 401b'!N3583,'Retirement Calculator'!A:A,0),0),0)</f>
        <v>0</v>
      </c>
      <c r="K3583" s="444">
        <f t="shared" ca="1" si="153"/>
        <v>-4039209655.4628887</v>
      </c>
      <c r="L3583" s="444">
        <f t="shared" ca="1" si="154"/>
        <v>-973449526966.55615</v>
      </c>
      <c r="M3583" s="460">
        <f t="shared" si="156"/>
        <v>0.05</v>
      </c>
      <c r="N3583" s="464">
        <f t="shared" si="157"/>
        <v>160098</v>
      </c>
    </row>
    <row r="3584" spans="7:14" ht="11.25" customHeight="1" x14ac:dyDescent="0.3">
      <c r="G3584" s="459"/>
      <c r="H3584" s="459">
        <v>3577</v>
      </c>
      <c r="I3584" s="444">
        <f t="shared" ca="1" si="155"/>
        <v>-973449526966.55615</v>
      </c>
      <c r="J3584" s="444">
        <f t="array" ref="J3584">IFERROR(INDEX('Retirement Calculator'!K:K,MATCH('Lorri 401b'!N3584,'Retirement Calculator'!A:A,0),0),0)</f>
        <v>0</v>
      </c>
      <c r="K3584" s="444">
        <f t="shared" ca="1" si="153"/>
        <v>-4056039695.693984</v>
      </c>
      <c r="L3584" s="444">
        <f t="shared" ca="1" si="154"/>
        <v>-977505566662.25012</v>
      </c>
      <c r="M3584" s="460">
        <f t="shared" si="156"/>
        <v>0.05</v>
      </c>
      <c r="N3584" s="464">
        <f t="shared" si="157"/>
        <v>160129</v>
      </c>
    </row>
    <row r="3585" spans="7:14" ht="11.25" customHeight="1" x14ac:dyDescent="0.3">
      <c r="G3585" s="459"/>
      <c r="H3585" s="459">
        <v>3578</v>
      </c>
      <c r="I3585" s="444">
        <f t="shared" ca="1" si="155"/>
        <v>-977505566662.25012</v>
      </c>
      <c r="J3585" s="444">
        <f t="array" ref="J3585">IFERROR(INDEX('Retirement Calculator'!K:K,MATCH('Lorri 401b'!N3585,'Retirement Calculator'!A:A,0),0),0)</f>
        <v>0</v>
      </c>
      <c r="K3585" s="444">
        <f t="shared" ca="1" si="153"/>
        <v>-4072939861.0927086</v>
      </c>
      <c r="L3585" s="444">
        <f t="shared" ca="1" si="154"/>
        <v>-981578506523.34277</v>
      </c>
      <c r="M3585" s="460">
        <f t="shared" si="156"/>
        <v>0.05</v>
      </c>
      <c r="N3585" s="464">
        <f t="shared" si="157"/>
        <v>160159</v>
      </c>
    </row>
    <row r="3586" spans="7:14" ht="11.25" customHeight="1" x14ac:dyDescent="0.3">
      <c r="G3586" s="459"/>
      <c r="H3586" s="459">
        <v>3579</v>
      </c>
      <c r="I3586" s="444">
        <f t="shared" ca="1" si="155"/>
        <v>-981578506523.34277</v>
      </c>
      <c r="J3586" s="444">
        <f t="array" ref="J3586">IFERROR(INDEX('Retirement Calculator'!K:K,MATCH('Lorri 401b'!N3586,'Retirement Calculator'!A:A,0),0),0)</f>
        <v>0</v>
      </c>
      <c r="K3586" s="444">
        <f t="shared" ca="1" si="153"/>
        <v>-4089910443.8472619</v>
      </c>
      <c r="L3586" s="444">
        <f t="shared" ca="1" si="154"/>
        <v>-985668416967.19006</v>
      </c>
      <c r="M3586" s="460">
        <f t="shared" si="156"/>
        <v>0.05</v>
      </c>
      <c r="N3586" s="464">
        <f t="shared" si="157"/>
        <v>160190</v>
      </c>
    </row>
    <row r="3587" spans="7:14" ht="11.25" customHeight="1" x14ac:dyDescent="0.3">
      <c r="G3587" s="459"/>
      <c r="H3587" s="459">
        <v>3580</v>
      </c>
      <c r="I3587" s="444">
        <f t="shared" ca="1" si="155"/>
        <v>-985668416967.19006</v>
      </c>
      <c r="J3587" s="444">
        <f t="array" ref="J3587">IFERROR(INDEX('Retirement Calculator'!K:K,MATCH('Lorri 401b'!N3587,'Retirement Calculator'!A:A,0),0),0)</f>
        <v>0</v>
      </c>
      <c r="K3587" s="444">
        <f t="shared" ca="1" si="153"/>
        <v>-4106951737.3632922</v>
      </c>
      <c r="L3587" s="444">
        <f t="shared" ca="1" si="154"/>
        <v>-989775368704.55334</v>
      </c>
      <c r="M3587" s="460">
        <f t="shared" si="156"/>
        <v>0.05</v>
      </c>
      <c r="N3587" s="464">
        <f t="shared" si="157"/>
        <v>160221</v>
      </c>
    </row>
    <row r="3588" spans="7:14" ht="11.25" customHeight="1" x14ac:dyDescent="0.3">
      <c r="G3588" s="459"/>
      <c r="H3588" s="459">
        <v>3581</v>
      </c>
      <c r="I3588" s="444">
        <f t="shared" ca="1" si="155"/>
        <v>-989775368704.55334</v>
      </c>
      <c r="J3588" s="444">
        <f t="array" ref="J3588">IFERROR(INDEX('Retirement Calculator'!K:K,MATCH('Lorri 401b'!N3588,'Retirement Calculator'!A:A,0),0),0)</f>
        <v>0</v>
      </c>
      <c r="K3588" s="444">
        <f t="shared" ca="1" si="153"/>
        <v>-4124064036.2689724</v>
      </c>
      <c r="L3588" s="444">
        <f t="shared" ca="1" si="154"/>
        <v>-993899432740.82227</v>
      </c>
      <c r="M3588" s="460">
        <f t="shared" si="156"/>
        <v>0.05</v>
      </c>
      <c r="N3588" s="464">
        <f t="shared" si="157"/>
        <v>160251</v>
      </c>
    </row>
    <row r="3589" spans="7:14" ht="11.25" customHeight="1" x14ac:dyDescent="0.3">
      <c r="G3589" s="459"/>
      <c r="H3589" s="459">
        <v>3582</v>
      </c>
      <c r="I3589" s="444">
        <f t="shared" ca="1" si="155"/>
        <v>-993899432740.82227</v>
      </c>
      <c r="J3589" s="444">
        <f t="array" ref="J3589">IFERROR(INDEX('Retirement Calculator'!K:K,MATCH('Lorri 401b'!N3589,'Retirement Calculator'!A:A,0),0),0)</f>
        <v>0</v>
      </c>
      <c r="K3589" s="444">
        <f t="shared" ca="1" si="153"/>
        <v>-4141247636.4200926</v>
      </c>
      <c r="L3589" s="444">
        <f t="shared" ca="1" si="154"/>
        <v>-998040680377.24231</v>
      </c>
      <c r="M3589" s="460">
        <f t="shared" si="156"/>
        <v>0.05</v>
      </c>
      <c r="N3589" s="464">
        <f t="shared" si="157"/>
        <v>160282</v>
      </c>
    </row>
    <row r="3590" spans="7:14" ht="11.25" customHeight="1" x14ac:dyDescent="0.3">
      <c r="G3590" s="459"/>
      <c r="H3590" s="459">
        <v>3583</v>
      </c>
      <c r="I3590" s="444">
        <f t="shared" ca="1" si="155"/>
        <v>-998040680377.24231</v>
      </c>
      <c r="J3590" s="444">
        <f t="array" ref="J3590">IFERROR(INDEX('Retirement Calculator'!K:K,MATCH('Lorri 401b'!N3590,'Retirement Calculator'!A:A,0),0),0)</f>
        <v>0</v>
      </c>
      <c r="K3590" s="444">
        <f t="shared" ca="1" si="153"/>
        <v>-4158502834.9051757</v>
      </c>
      <c r="L3590" s="444">
        <f t="shared" ca="1" si="154"/>
        <v>-1002199183212.1475</v>
      </c>
      <c r="M3590" s="460">
        <f t="shared" si="156"/>
        <v>0.05</v>
      </c>
      <c r="N3590" s="464">
        <f t="shared" si="157"/>
        <v>160312</v>
      </c>
    </row>
    <row r="3591" spans="7:14" ht="11.25" customHeight="1" x14ac:dyDescent="0.3">
      <c r="G3591" s="459"/>
      <c r="H3591" s="459">
        <v>3584</v>
      </c>
      <c r="I3591" s="444">
        <f t="shared" ca="1" si="155"/>
        <v>-1002199183212.1475</v>
      </c>
      <c r="J3591" s="444">
        <f t="array" ref="J3591">IFERROR(INDEX('Retirement Calculator'!K:K,MATCH('Lorri 401b'!N3591,'Retirement Calculator'!A:A,0),0),0)</f>
        <v>0</v>
      </c>
      <c r="K3591" s="444">
        <f t="shared" ca="1" si="153"/>
        <v>-4175829930.0506148</v>
      </c>
      <c r="L3591" s="444">
        <f t="shared" ca="1" si="154"/>
        <v>-1006375013142.1981</v>
      </c>
      <c r="M3591" s="460">
        <f t="shared" si="156"/>
        <v>0.05</v>
      </c>
      <c r="N3591" s="464">
        <f t="shared" si="157"/>
        <v>160343</v>
      </c>
    </row>
    <row r="3592" spans="7:14" ht="11.25" customHeight="1" x14ac:dyDescent="0.3">
      <c r="G3592" s="459"/>
      <c r="H3592" s="459">
        <v>3585</v>
      </c>
      <c r="I3592" s="444">
        <f t="shared" ca="1" si="155"/>
        <v>-1006375013142.1981</v>
      </c>
      <c r="J3592" s="444">
        <f t="array" ref="J3592">IFERROR(INDEX('Retirement Calculator'!K:K,MATCH('Lorri 401b'!N3592,'Retirement Calculator'!A:A,0),0),0)</f>
        <v>0</v>
      </c>
      <c r="K3592" s="444">
        <f t="shared" ca="1" si="153"/>
        <v>-4193229221.4258256</v>
      </c>
      <c r="L3592" s="444">
        <f t="shared" ca="1" si="154"/>
        <v>-1010568242363.6239</v>
      </c>
      <c r="M3592" s="460">
        <f t="shared" si="156"/>
        <v>0.05</v>
      </c>
      <c r="N3592" s="464">
        <f t="shared" si="157"/>
        <v>160374</v>
      </c>
    </row>
    <row r="3593" spans="7:14" ht="11.25" customHeight="1" x14ac:dyDescent="0.3">
      <c r="G3593" s="459"/>
      <c r="H3593" s="459">
        <v>3586</v>
      </c>
      <c r="I3593" s="444">
        <f t="shared" ca="1" si="155"/>
        <v>-1010568242363.6239</v>
      </c>
      <c r="J3593" s="444">
        <f t="array" ref="J3593">IFERROR(INDEX('Retirement Calculator'!K:K,MATCH('Lorri 401b'!N3593,'Retirement Calculator'!A:A,0),0),0)</f>
        <v>0</v>
      </c>
      <c r="K3593" s="444">
        <f t="shared" ca="1" si="153"/>
        <v>-4210701009.848433</v>
      </c>
      <c r="L3593" s="444">
        <f t="shared" ca="1" si="154"/>
        <v>-1014778943373.4723</v>
      </c>
      <c r="M3593" s="460">
        <f t="shared" si="156"/>
        <v>0.05</v>
      </c>
      <c r="N3593" s="464">
        <f t="shared" si="157"/>
        <v>160402</v>
      </c>
    </row>
    <row r="3594" spans="7:14" ht="11.25" customHeight="1" x14ac:dyDescent="0.3">
      <c r="G3594" s="459"/>
      <c r="H3594" s="459">
        <v>3587</v>
      </c>
      <c r="I3594" s="444">
        <f t="shared" ca="1" si="155"/>
        <v>-1014778943373.4723</v>
      </c>
      <c r="J3594" s="444">
        <f t="array" ref="J3594">IFERROR(INDEX('Retirement Calculator'!K:K,MATCH('Lorri 401b'!N3594,'Retirement Calculator'!A:A,0),0),0)</f>
        <v>0</v>
      </c>
      <c r="K3594" s="444">
        <f t="shared" ca="1" si="153"/>
        <v>-4228245597.3894682</v>
      </c>
      <c r="L3594" s="444">
        <f t="shared" ca="1" si="154"/>
        <v>-1019007188970.8618</v>
      </c>
      <c r="M3594" s="460">
        <f t="shared" si="156"/>
        <v>0.05</v>
      </c>
      <c r="N3594" s="464">
        <f t="shared" si="157"/>
        <v>160433</v>
      </c>
    </row>
    <row r="3595" spans="7:14" ht="11.25" customHeight="1" x14ac:dyDescent="0.3">
      <c r="G3595" s="459"/>
      <c r="H3595" s="459">
        <v>3588</v>
      </c>
      <c r="I3595" s="444">
        <f t="shared" ca="1" si="155"/>
        <v>-1019007188970.8618</v>
      </c>
      <c r="J3595" s="444">
        <f t="array" ref="J3595">IFERROR(INDEX('Retirement Calculator'!K:K,MATCH('Lorri 401b'!N3595,'Retirement Calculator'!A:A,0),0),0)</f>
        <v>0</v>
      </c>
      <c r="K3595" s="444">
        <f t="shared" ca="1" si="153"/>
        <v>-4245863287.3785911</v>
      </c>
      <c r="L3595" s="444">
        <f t="shared" ca="1" si="154"/>
        <v>-1023253052258.2404</v>
      </c>
      <c r="M3595" s="460">
        <f t="shared" si="156"/>
        <v>0.05</v>
      </c>
      <c r="N3595" s="464">
        <f t="shared" si="157"/>
        <v>160463</v>
      </c>
    </row>
    <row r="3596" spans="7:14" ht="11.25" customHeight="1" x14ac:dyDescent="0.3">
      <c r="G3596" s="459"/>
      <c r="H3596" s="459">
        <v>3589</v>
      </c>
      <c r="I3596" s="444">
        <f t="shared" ca="1" si="155"/>
        <v>-1023253052258.2404</v>
      </c>
      <c r="J3596" s="444">
        <f t="array" ref="J3596">IFERROR(INDEX('Retirement Calculator'!K:K,MATCH('Lorri 401b'!N3596,'Retirement Calculator'!A:A,0),0),0)</f>
        <v>0</v>
      </c>
      <c r="K3596" s="444">
        <f t="shared" ca="1" si="153"/>
        <v>-4263554384.4093351</v>
      </c>
      <c r="L3596" s="444">
        <f t="shared" ca="1" si="154"/>
        <v>-1027516606642.6497</v>
      </c>
      <c r="M3596" s="460">
        <f t="shared" si="156"/>
        <v>0.05</v>
      </c>
      <c r="N3596" s="464">
        <f t="shared" si="157"/>
        <v>160494</v>
      </c>
    </row>
    <row r="3597" spans="7:14" ht="11.25" customHeight="1" x14ac:dyDescent="0.3">
      <c r="G3597" s="459"/>
      <c r="H3597" s="459">
        <v>3590</v>
      </c>
      <c r="I3597" s="444">
        <f t="shared" ca="1" si="155"/>
        <v>-1027516606642.6497</v>
      </c>
      <c r="J3597" s="444">
        <f t="array" ref="J3597">IFERROR(INDEX('Retirement Calculator'!K:K,MATCH('Lorri 401b'!N3597,'Retirement Calculator'!A:A,0),0),0)</f>
        <v>0</v>
      </c>
      <c r="K3597" s="444">
        <f t="shared" ca="1" si="153"/>
        <v>-4281319194.3443737</v>
      </c>
      <c r="L3597" s="444">
        <f t="shared" ca="1" si="154"/>
        <v>-1031797925836.994</v>
      </c>
      <c r="M3597" s="460">
        <f t="shared" si="156"/>
        <v>0.05</v>
      </c>
      <c r="N3597" s="464">
        <f t="shared" si="157"/>
        <v>160524</v>
      </c>
    </row>
    <row r="3598" spans="7:14" ht="11.25" customHeight="1" x14ac:dyDescent="0.3">
      <c r="G3598" s="459"/>
      <c r="H3598" s="459">
        <v>3591</v>
      </c>
      <c r="I3598" s="444">
        <f t="shared" ca="1" si="155"/>
        <v>-1031797925836.994</v>
      </c>
      <c r="J3598" s="444">
        <f t="array" ref="J3598">IFERROR(INDEX('Retirement Calculator'!K:K,MATCH('Lorri 401b'!N3598,'Retirement Calculator'!A:A,0),0),0)</f>
        <v>0</v>
      </c>
      <c r="K3598" s="444">
        <f t="shared" ca="1" si="153"/>
        <v>-4299158024.3208084</v>
      </c>
      <c r="L3598" s="444">
        <f t="shared" ca="1" si="154"/>
        <v>-1036097083861.3148</v>
      </c>
      <c r="M3598" s="460">
        <f t="shared" si="156"/>
        <v>0.05</v>
      </c>
      <c r="N3598" s="464">
        <f t="shared" si="157"/>
        <v>160555</v>
      </c>
    </row>
    <row r="3599" spans="7:14" ht="11.25" customHeight="1" x14ac:dyDescent="0.3">
      <c r="G3599" s="459"/>
      <c r="H3599" s="459">
        <v>3592</v>
      </c>
      <c r="I3599" s="444">
        <f t="shared" ca="1" si="155"/>
        <v>-1036097083861.3148</v>
      </c>
      <c r="J3599" s="444">
        <f t="array" ref="J3599">IFERROR(INDEX('Retirement Calculator'!K:K,MATCH('Lorri 401b'!N3599,'Retirement Calculator'!A:A,0),0),0)</f>
        <v>0</v>
      </c>
      <c r="K3599" s="444">
        <f t="shared" ca="1" si="153"/>
        <v>-4317071182.7554779</v>
      </c>
      <c r="L3599" s="444">
        <f t="shared" ca="1" si="154"/>
        <v>-1040414155044.0703</v>
      </c>
      <c r="M3599" s="460">
        <f t="shared" si="156"/>
        <v>0.05</v>
      </c>
      <c r="N3599" s="464">
        <f t="shared" si="157"/>
        <v>160586</v>
      </c>
    </row>
    <row r="3600" spans="7:14" ht="11.25" customHeight="1" x14ac:dyDescent="0.3">
      <c r="G3600" s="459"/>
      <c r="H3600" s="459">
        <v>3593</v>
      </c>
      <c r="I3600" s="444">
        <f t="shared" ca="1" si="155"/>
        <v>-1040414155044.0703</v>
      </c>
      <c r="J3600" s="444">
        <f t="array" ref="J3600">IFERROR(INDEX('Retirement Calculator'!K:K,MATCH('Lorri 401b'!N3600,'Retirement Calculator'!A:A,0),0),0)</f>
        <v>0</v>
      </c>
      <c r="K3600" s="444">
        <f t="shared" ca="1" si="153"/>
        <v>-4335058979.3502932</v>
      </c>
      <c r="L3600" s="444">
        <f t="shared" ca="1" si="154"/>
        <v>-1044749214023.4207</v>
      </c>
      <c r="M3600" s="460">
        <f t="shared" si="156"/>
        <v>0.05</v>
      </c>
      <c r="N3600" s="464">
        <f t="shared" si="157"/>
        <v>160616</v>
      </c>
    </row>
    <row r="3601" spans="7:14" ht="11.25" customHeight="1" x14ac:dyDescent="0.3">
      <c r="G3601" s="459"/>
      <c r="H3601" s="459">
        <v>3594</v>
      </c>
      <c r="I3601" s="444">
        <f t="shared" ca="1" si="155"/>
        <v>-1044749214023.4207</v>
      </c>
      <c r="J3601" s="444">
        <f t="array" ref="J3601">IFERROR(INDEX('Retirement Calculator'!K:K,MATCH('Lorri 401b'!N3601,'Retirement Calculator'!A:A,0),0),0)</f>
        <v>0</v>
      </c>
      <c r="K3601" s="444">
        <f t="shared" ca="1" si="153"/>
        <v>-4353121725.0975857</v>
      </c>
      <c r="L3601" s="444">
        <f t="shared" ca="1" si="154"/>
        <v>-1049102335748.5182</v>
      </c>
      <c r="M3601" s="460">
        <f t="shared" si="156"/>
        <v>0.05</v>
      </c>
      <c r="N3601" s="464">
        <f t="shared" si="157"/>
        <v>160647</v>
      </c>
    </row>
    <row r="3602" spans="7:14" ht="11.25" customHeight="1" x14ac:dyDescent="0.3">
      <c r="G3602" s="459"/>
      <c r="H3602" s="459">
        <v>3595</v>
      </c>
      <c r="I3602" s="444">
        <f t="shared" ca="1" si="155"/>
        <v>-1049102335748.5182</v>
      </c>
      <c r="J3602" s="444">
        <f t="array" ref="J3602">IFERROR(INDEX('Retirement Calculator'!K:K,MATCH('Lorri 401b'!N3602,'Retirement Calculator'!A:A,0),0),0)</f>
        <v>0</v>
      </c>
      <c r="K3602" s="444">
        <f t="shared" ca="1" si="153"/>
        <v>-4371259732.2854929</v>
      </c>
      <c r="L3602" s="444">
        <f t="shared" ca="1" si="154"/>
        <v>-1053473595480.8037</v>
      </c>
      <c r="M3602" s="460">
        <f t="shared" si="156"/>
        <v>0.05</v>
      </c>
      <c r="N3602" s="464">
        <f t="shared" si="157"/>
        <v>160677</v>
      </c>
    </row>
    <row r="3603" spans="7:14" ht="11.25" customHeight="1" x14ac:dyDescent="0.3">
      <c r="G3603" s="459"/>
      <c r="H3603" s="459">
        <v>3596</v>
      </c>
      <c r="I3603" s="444">
        <f t="shared" ca="1" si="155"/>
        <v>-1053473595480.8037</v>
      </c>
      <c r="J3603" s="444">
        <f t="array" ref="J3603">IFERROR(INDEX('Retirement Calculator'!K:K,MATCH('Lorri 401b'!N3603,'Retirement Calculator'!A:A,0),0),0)</f>
        <v>0</v>
      </c>
      <c r="K3603" s="444">
        <f t="shared" ca="1" si="153"/>
        <v>-4389473314.5033484</v>
      </c>
      <c r="L3603" s="444">
        <f t="shared" ca="1" si="154"/>
        <v>-1057863068795.307</v>
      </c>
      <c r="M3603" s="460">
        <f t="shared" si="156"/>
        <v>0.05</v>
      </c>
      <c r="N3603" s="464">
        <f t="shared" si="157"/>
        <v>160708</v>
      </c>
    </row>
    <row r="3604" spans="7:14" ht="11.25" customHeight="1" x14ac:dyDescent="0.3">
      <c r="G3604" s="459"/>
      <c r="H3604" s="459">
        <v>3597</v>
      </c>
      <c r="I3604" s="444">
        <f t="shared" ca="1" si="155"/>
        <v>-1057863068795.307</v>
      </c>
      <c r="J3604" s="444">
        <f t="array" ref="J3604">IFERROR(INDEX('Retirement Calculator'!K:K,MATCH('Lorri 401b'!N3604,'Retirement Calculator'!A:A,0),0),0)</f>
        <v>0</v>
      </c>
      <c r="K3604" s="444">
        <f t="shared" ca="1" si="153"/>
        <v>-4407762786.6471128</v>
      </c>
      <c r="L3604" s="444">
        <f t="shared" ca="1" si="154"/>
        <v>-1062270831581.9541</v>
      </c>
      <c r="M3604" s="460">
        <f t="shared" si="156"/>
        <v>0.05</v>
      </c>
      <c r="N3604" s="464">
        <f t="shared" si="157"/>
        <v>160739</v>
      </c>
    </row>
    <row r="3605" spans="7:14" ht="11.25" customHeight="1" x14ac:dyDescent="0.3">
      <c r="G3605" s="459"/>
      <c r="H3605" s="459">
        <v>3598</v>
      </c>
      <c r="I3605" s="444">
        <f t="shared" ca="1" si="155"/>
        <v>-1062270831581.9541</v>
      </c>
      <c r="J3605" s="444">
        <f t="array" ref="J3605">IFERROR(INDEX('Retirement Calculator'!K:K,MATCH('Lorri 401b'!N3605,'Retirement Calculator'!A:A,0),0),0)</f>
        <v>0</v>
      </c>
      <c r="K3605" s="444">
        <f t="shared" ca="1" si="153"/>
        <v>-4426128464.9248085</v>
      </c>
      <c r="L3605" s="444">
        <f t="shared" ca="1" si="154"/>
        <v>-1066696960046.8789</v>
      </c>
      <c r="M3605" s="460">
        <f t="shared" si="156"/>
        <v>0.05</v>
      </c>
      <c r="N3605" s="464">
        <f t="shared" si="157"/>
        <v>160768</v>
      </c>
    </row>
    <row r="3606" spans="7:14" ht="11.25" customHeight="1" x14ac:dyDescent="0.3">
      <c r="G3606" s="459"/>
      <c r="H3606" s="459">
        <v>3599</v>
      </c>
      <c r="I3606" s="444">
        <f t="shared" ca="1" si="155"/>
        <v>-1066696960046.8789</v>
      </c>
      <c r="J3606" s="444">
        <f t="array" ref="J3606">IFERROR(INDEX('Retirement Calculator'!K:K,MATCH('Lorri 401b'!N3606,'Retirement Calculator'!A:A,0),0),0)</f>
        <v>0</v>
      </c>
      <c r="K3606" s="444">
        <f t="shared" ca="1" si="153"/>
        <v>-4444570666.8619957</v>
      </c>
      <c r="L3606" s="444">
        <f t="shared" ca="1" si="154"/>
        <v>-1071141530713.7408</v>
      </c>
      <c r="M3606" s="460">
        <f t="shared" si="156"/>
        <v>0.05</v>
      </c>
      <c r="N3606" s="464">
        <f t="shared" si="157"/>
        <v>160799</v>
      </c>
    </row>
    <row r="3607" spans="7:14" ht="11.25" customHeight="1" x14ac:dyDescent="0.3">
      <c r="G3607" s="459"/>
      <c r="H3607" s="459">
        <v>3600</v>
      </c>
      <c r="I3607" s="444">
        <f t="shared" ca="1" si="155"/>
        <v>-1071141530713.7408</v>
      </c>
      <c r="J3607" s="444">
        <f t="array" ref="J3607">IFERROR(INDEX('Retirement Calculator'!K:K,MATCH('Lorri 401b'!N3607,'Retirement Calculator'!A:A,0),0),0)</f>
        <v>0</v>
      </c>
      <c r="K3607" s="444">
        <f t="shared" ca="1" si="153"/>
        <v>-4463089711.3072538</v>
      </c>
      <c r="L3607" s="444">
        <f t="shared" ca="1" si="154"/>
        <v>-1075604620425.0481</v>
      </c>
      <c r="M3607" s="460">
        <f t="shared" si="156"/>
        <v>0.05</v>
      </c>
      <c r="N3607" s="464">
        <f t="shared" si="157"/>
        <v>160829</v>
      </c>
    </row>
    <row r="3608" spans="7:14" ht="11.25" customHeight="1" x14ac:dyDescent="0.3">
      <c r="G3608" s="459"/>
      <c r="H3608" s="459">
        <v>3601</v>
      </c>
      <c r="I3608" s="444">
        <f t="shared" ca="1" si="155"/>
        <v>-1075604620425.0481</v>
      </c>
      <c r="J3608" s="444">
        <f t="array" ref="J3608">IFERROR(INDEX('Retirement Calculator'!K:K,MATCH('Lorri 401b'!N3608,'Retirement Calculator'!A:A,0),0),0)</f>
        <v>0</v>
      </c>
      <c r="K3608" s="444">
        <f t="shared" ca="1" si="153"/>
        <v>-4481685918.4377003</v>
      </c>
      <c r="L3608" s="444">
        <f t="shared" ca="1" si="154"/>
        <v>-1080086306343.4858</v>
      </c>
      <c r="M3608" s="460">
        <f t="shared" si="156"/>
        <v>0.05</v>
      </c>
      <c r="N3608" s="464">
        <f t="shared" si="157"/>
        <v>160860</v>
      </c>
    </row>
    <row r="3609" spans="7:14" ht="11.25" customHeight="1" x14ac:dyDescent="0.3">
      <c r="G3609" s="459"/>
      <c r="H3609" s="459">
        <v>3602</v>
      </c>
      <c r="I3609" s="444">
        <f t="shared" ca="1" si="155"/>
        <v>-1080086306343.4858</v>
      </c>
      <c r="J3609" s="444">
        <f t="array" ref="J3609">IFERROR(INDEX('Retirement Calculator'!K:K,MATCH('Lorri 401b'!N3609,'Retirement Calculator'!A:A,0),0),0)</f>
        <v>0</v>
      </c>
      <c r="K3609" s="444">
        <f t="shared" ca="1" si="153"/>
        <v>-4500359609.7645245</v>
      </c>
      <c r="L3609" s="444">
        <f t="shared" ca="1" si="154"/>
        <v>-1084586665953.2504</v>
      </c>
      <c r="M3609" s="460">
        <f t="shared" si="156"/>
        <v>0.05</v>
      </c>
      <c r="N3609" s="464">
        <f t="shared" si="157"/>
        <v>160890</v>
      </c>
    </row>
    <row r="3610" spans="7:14" ht="11.25" customHeight="1" x14ac:dyDescent="0.3">
      <c r="G3610" s="459"/>
      <c r="H3610" s="459">
        <v>3603</v>
      </c>
      <c r="I3610" s="444">
        <f t="shared" ca="1" si="155"/>
        <v>-1084586665953.2504</v>
      </c>
      <c r="J3610" s="444">
        <f t="array" ref="J3610">IFERROR(INDEX('Retirement Calculator'!K:K,MATCH('Lorri 401b'!N3610,'Retirement Calculator'!A:A,0),0),0)</f>
        <v>0</v>
      </c>
      <c r="K3610" s="444">
        <f t="shared" ca="1" si="153"/>
        <v>-4519111108.1385431</v>
      </c>
      <c r="L3610" s="444">
        <f t="shared" ca="1" si="154"/>
        <v>-1089105777061.3889</v>
      </c>
      <c r="M3610" s="460">
        <f t="shared" si="156"/>
        <v>0.05</v>
      </c>
      <c r="N3610" s="464">
        <f t="shared" si="157"/>
        <v>160921</v>
      </c>
    </row>
    <row r="3611" spans="7:14" ht="11.25" customHeight="1" x14ac:dyDescent="0.3">
      <c r="G3611" s="459"/>
      <c r="H3611" s="459">
        <v>3604</v>
      </c>
      <c r="I3611" s="444">
        <f t="shared" ca="1" si="155"/>
        <v>-1089105777061.3889</v>
      </c>
      <c r="J3611" s="444">
        <f t="array" ref="J3611">IFERROR(INDEX('Retirement Calculator'!K:K,MATCH('Lorri 401b'!N3611,'Retirement Calculator'!A:A,0),0),0)</f>
        <v>0</v>
      </c>
      <c r="K3611" s="444">
        <f t="shared" ca="1" si="153"/>
        <v>-4537940737.7557878</v>
      </c>
      <c r="L3611" s="444">
        <f t="shared" ca="1" si="154"/>
        <v>-1093643717799.1447</v>
      </c>
      <c r="M3611" s="460">
        <f t="shared" si="156"/>
        <v>0.05</v>
      </c>
      <c r="N3611" s="464">
        <f t="shared" si="157"/>
        <v>160952</v>
      </c>
    </row>
    <row r="3612" spans="7:14" ht="11.25" customHeight="1" x14ac:dyDescent="0.3">
      <c r="G3612" s="459"/>
      <c r="H3612" s="459">
        <v>3605</v>
      </c>
      <c r="I3612" s="444">
        <f t="shared" ca="1" si="155"/>
        <v>-1093643717799.1447</v>
      </c>
      <c r="J3612" s="444">
        <f t="array" ref="J3612">IFERROR(INDEX('Retirement Calculator'!K:K,MATCH('Lorri 401b'!N3612,'Retirement Calculator'!A:A,0),0),0)</f>
        <v>0</v>
      </c>
      <c r="K3612" s="444">
        <f t="shared" ca="1" si="153"/>
        <v>-4556848824.1631031</v>
      </c>
      <c r="L3612" s="444">
        <f t="shared" ca="1" si="154"/>
        <v>-1098200566623.3077</v>
      </c>
      <c r="M3612" s="460">
        <f t="shared" si="156"/>
        <v>0.05</v>
      </c>
      <c r="N3612" s="464">
        <f t="shared" si="157"/>
        <v>160982</v>
      </c>
    </row>
    <row r="3613" spans="7:14" ht="11.25" customHeight="1" x14ac:dyDescent="0.3">
      <c r="G3613" s="459"/>
      <c r="H3613" s="459">
        <v>3606</v>
      </c>
      <c r="I3613" s="444">
        <f t="shared" ca="1" si="155"/>
        <v>-1098200566623.3077</v>
      </c>
      <c r="J3613" s="444">
        <f t="array" ref="J3613">IFERROR(INDEX('Retirement Calculator'!K:K,MATCH('Lorri 401b'!N3613,'Retirement Calculator'!A:A,0),0),0)</f>
        <v>0</v>
      </c>
      <c r="K3613" s="444">
        <f t="shared" ca="1" si="153"/>
        <v>-4575835694.2637825</v>
      </c>
      <c r="L3613" s="444">
        <f t="shared" ca="1" si="154"/>
        <v>-1102776402317.5715</v>
      </c>
      <c r="M3613" s="460">
        <f t="shared" si="156"/>
        <v>0.05</v>
      </c>
      <c r="N3613" s="464">
        <f t="shared" si="157"/>
        <v>161013</v>
      </c>
    </row>
    <row r="3614" spans="7:14" ht="11.25" customHeight="1" x14ac:dyDescent="0.3">
      <c r="G3614" s="459"/>
      <c r="H3614" s="459">
        <v>3607</v>
      </c>
      <c r="I3614" s="444">
        <f t="shared" ca="1" si="155"/>
        <v>-1102776402317.5715</v>
      </c>
      <c r="J3614" s="444">
        <f t="array" ref="J3614">IFERROR(INDEX('Retirement Calculator'!K:K,MATCH('Lorri 401b'!N3614,'Retirement Calculator'!A:A,0),0),0)</f>
        <v>0</v>
      </c>
      <c r="K3614" s="444">
        <f t="shared" ca="1" si="153"/>
        <v>-4594901676.3232145</v>
      </c>
      <c r="L3614" s="444">
        <f t="shared" ca="1" si="154"/>
        <v>-1107371303993.8948</v>
      </c>
      <c r="M3614" s="460">
        <f t="shared" si="156"/>
        <v>0.05</v>
      </c>
      <c r="N3614" s="464">
        <f t="shared" si="157"/>
        <v>161043</v>
      </c>
    </row>
    <row r="3615" spans="7:14" ht="11.25" customHeight="1" x14ac:dyDescent="0.3">
      <c r="G3615" s="459"/>
      <c r="H3615" s="459">
        <v>3608</v>
      </c>
      <c r="I3615" s="444">
        <f t="shared" ca="1" si="155"/>
        <v>-1107371303993.8948</v>
      </c>
      <c r="J3615" s="444">
        <f t="array" ref="J3615">IFERROR(INDEX('Retirement Calculator'!K:K,MATCH('Lorri 401b'!N3615,'Retirement Calculator'!A:A,0),0),0)</f>
        <v>0</v>
      </c>
      <c r="K3615" s="444">
        <f t="shared" ca="1" si="153"/>
        <v>-4614047099.9745617</v>
      </c>
      <c r="L3615" s="444">
        <f t="shared" ca="1" si="154"/>
        <v>-1111985351093.8694</v>
      </c>
      <c r="M3615" s="460">
        <f t="shared" si="156"/>
        <v>0.05</v>
      </c>
      <c r="N3615" s="464">
        <f t="shared" si="157"/>
        <v>161074</v>
      </c>
    </row>
    <row r="3616" spans="7:14" ht="11.25" customHeight="1" x14ac:dyDescent="0.3">
      <c r="G3616" s="459"/>
      <c r="H3616" s="459">
        <v>3609</v>
      </c>
      <c r="I3616" s="444">
        <f t="shared" ca="1" si="155"/>
        <v>-1111985351093.8694</v>
      </c>
      <c r="J3616" s="444">
        <f t="array" ref="J3616">IFERROR(INDEX('Retirement Calculator'!K:K,MATCH('Lorri 401b'!N3616,'Retirement Calculator'!A:A,0),0),0)</f>
        <v>0</v>
      </c>
      <c r="K3616" s="444">
        <f t="shared" ca="1" si="153"/>
        <v>-4633272296.2244558</v>
      </c>
      <c r="L3616" s="444">
        <f t="shared" ca="1" si="154"/>
        <v>-1116618623390.0938</v>
      </c>
      <c r="M3616" s="460">
        <f t="shared" si="156"/>
        <v>0.05</v>
      </c>
      <c r="N3616" s="464">
        <f t="shared" si="157"/>
        <v>161105</v>
      </c>
    </row>
    <row r="3617" spans="7:14" ht="11.25" customHeight="1" x14ac:dyDescent="0.3">
      <c r="G3617" s="459"/>
      <c r="H3617" s="459">
        <v>3610</v>
      </c>
      <c r="I3617" s="444">
        <f t="shared" ca="1" si="155"/>
        <v>-1116618623390.0938</v>
      </c>
      <c r="J3617" s="444">
        <f t="array" ref="J3617">IFERROR(INDEX('Retirement Calculator'!K:K,MATCH('Lorri 401b'!N3617,'Retirement Calculator'!A:A,0),0),0)</f>
        <v>0</v>
      </c>
      <c r="K3617" s="444">
        <f t="shared" ca="1" si="153"/>
        <v>-4652577597.458724</v>
      </c>
      <c r="L3617" s="444">
        <f t="shared" ca="1" si="154"/>
        <v>-1121271200987.5525</v>
      </c>
      <c r="M3617" s="460">
        <f t="shared" si="156"/>
        <v>0.05</v>
      </c>
      <c r="N3617" s="464">
        <f t="shared" si="157"/>
        <v>161133</v>
      </c>
    </row>
    <row r="3618" spans="7:14" ht="11.25" customHeight="1" x14ac:dyDescent="0.3">
      <c r="G3618" s="459"/>
      <c r="H3618" s="459">
        <v>3611</v>
      </c>
      <c r="I3618" s="444">
        <f t="shared" ca="1" si="155"/>
        <v>-1121271200987.5525</v>
      </c>
      <c r="J3618" s="444">
        <f t="array" ref="J3618">IFERROR(INDEX('Retirement Calculator'!K:K,MATCH('Lorri 401b'!N3618,'Retirement Calculator'!A:A,0),0),0)</f>
        <v>0</v>
      </c>
      <c r="K3618" s="444">
        <f t="shared" ca="1" si="153"/>
        <v>-4671963337.4481354</v>
      </c>
      <c r="L3618" s="444">
        <f t="shared" ca="1" si="154"/>
        <v>-1125943164325.0007</v>
      </c>
      <c r="M3618" s="460">
        <f t="shared" si="156"/>
        <v>0.05</v>
      </c>
      <c r="N3618" s="464">
        <f t="shared" si="157"/>
        <v>161164</v>
      </c>
    </row>
    <row r="3619" spans="7:14" ht="11.25" customHeight="1" x14ac:dyDescent="0.3">
      <c r="G3619" s="459"/>
      <c r="H3619" s="459">
        <v>3612</v>
      </c>
      <c r="I3619" s="444">
        <f t="shared" ca="1" si="155"/>
        <v>-1125943164325.0007</v>
      </c>
      <c r="J3619" s="444">
        <f t="array" ref="J3619">IFERROR(INDEX('Retirement Calculator'!K:K,MATCH('Lorri 401b'!N3619,'Retirement Calculator'!A:A,0),0),0)</f>
        <v>0</v>
      </c>
      <c r="K3619" s="444">
        <f t="shared" ca="1" si="153"/>
        <v>-4691429851.3541698</v>
      </c>
      <c r="L3619" s="444">
        <f t="shared" ca="1" si="154"/>
        <v>-1130634594176.355</v>
      </c>
      <c r="M3619" s="460">
        <f t="shared" si="156"/>
        <v>0.05</v>
      </c>
      <c r="N3619" s="464">
        <f t="shared" si="157"/>
        <v>161194</v>
      </c>
    </row>
    <row r="3620" spans="7:14" ht="11.25" customHeight="1" x14ac:dyDescent="0.3">
      <c r="G3620" s="459"/>
      <c r="H3620" s="459">
        <v>3613</v>
      </c>
      <c r="I3620" s="444">
        <f t="shared" ca="1" si="155"/>
        <v>-1130634594176.355</v>
      </c>
      <c r="J3620" s="444">
        <f t="array" ref="J3620">IFERROR(INDEX('Retirement Calculator'!K:K,MATCH('Lorri 401b'!N3620,'Retirement Calculator'!A:A,0),0),0)</f>
        <v>0</v>
      </c>
      <c r="K3620" s="444">
        <f t="shared" ca="1" si="153"/>
        <v>-4710977475.7348127</v>
      </c>
      <c r="L3620" s="444">
        <f t="shared" ca="1" si="154"/>
        <v>-1135345571652.0898</v>
      </c>
      <c r="M3620" s="460">
        <f t="shared" si="156"/>
        <v>0.05</v>
      </c>
      <c r="N3620" s="464">
        <f t="shared" si="157"/>
        <v>161225</v>
      </c>
    </row>
    <row r="3621" spans="7:14" ht="11.25" customHeight="1" x14ac:dyDescent="0.3">
      <c r="G3621" s="459"/>
      <c r="H3621" s="459">
        <v>3614</v>
      </c>
      <c r="I3621" s="444">
        <f t="shared" ca="1" si="155"/>
        <v>-1135345571652.0898</v>
      </c>
      <c r="J3621" s="444">
        <f t="array" ref="J3621">IFERROR(INDEX('Retirement Calculator'!K:K,MATCH('Lorri 401b'!N3621,'Retirement Calculator'!A:A,0),0),0)</f>
        <v>0</v>
      </c>
      <c r="K3621" s="444">
        <f t="shared" ca="1" si="153"/>
        <v>-4730606548.550374</v>
      </c>
      <c r="L3621" s="444">
        <f t="shared" ca="1" si="154"/>
        <v>-1140076178200.6401</v>
      </c>
      <c r="M3621" s="460">
        <f t="shared" si="156"/>
        <v>0.05</v>
      </c>
      <c r="N3621" s="464">
        <f t="shared" si="157"/>
        <v>161255</v>
      </c>
    </row>
    <row r="3622" spans="7:14" ht="11.25" customHeight="1" x14ac:dyDescent="0.3">
      <c r="G3622" s="459"/>
      <c r="H3622" s="459">
        <v>3615</v>
      </c>
      <c r="I3622" s="444">
        <f t="shared" ca="1" si="155"/>
        <v>-1140076178200.6401</v>
      </c>
      <c r="J3622" s="444">
        <f t="array" ref="J3622">IFERROR(INDEX('Retirement Calculator'!K:K,MATCH('Lorri 401b'!N3622,'Retirement Calculator'!A:A,0),0),0)</f>
        <v>0</v>
      </c>
      <c r="K3622" s="444">
        <f t="shared" ca="1" si="153"/>
        <v>-4750317409.1693335</v>
      </c>
      <c r="L3622" s="444">
        <f t="shared" ca="1" si="154"/>
        <v>-1144826495609.8096</v>
      </c>
      <c r="M3622" s="460">
        <f t="shared" si="156"/>
        <v>0.05</v>
      </c>
      <c r="N3622" s="464">
        <f t="shared" si="157"/>
        <v>161286</v>
      </c>
    </row>
    <row r="3623" spans="7:14" ht="11.25" customHeight="1" x14ac:dyDescent="0.3">
      <c r="G3623" s="459"/>
      <c r="H3623" s="459">
        <v>3616</v>
      </c>
      <c r="I3623" s="444">
        <f t="shared" ca="1" si="155"/>
        <v>-1144826495609.8096</v>
      </c>
      <c r="J3623" s="444">
        <f t="array" ref="J3623">IFERROR(INDEX('Retirement Calculator'!K:K,MATCH('Lorri 401b'!N3623,'Retirement Calculator'!A:A,0),0),0)</f>
        <v>0</v>
      </c>
      <c r="K3623" s="444">
        <f t="shared" ca="1" si="153"/>
        <v>-4770110398.3742065</v>
      </c>
      <c r="L3623" s="444">
        <f t="shared" ca="1" si="154"/>
        <v>-1149596606008.1838</v>
      </c>
      <c r="M3623" s="460">
        <f t="shared" si="156"/>
        <v>0.05</v>
      </c>
      <c r="N3623" s="464">
        <f t="shared" si="157"/>
        <v>161317</v>
      </c>
    </row>
    <row r="3624" spans="7:14" ht="11.25" customHeight="1" x14ac:dyDescent="0.3">
      <c r="G3624" s="459"/>
      <c r="H3624" s="459">
        <v>3617</v>
      </c>
      <c r="I3624" s="444">
        <f t="shared" ca="1" si="155"/>
        <v>-1149596606008.1838</v>
      </c>
      <c r="J3624" s="444">
        <f t="array" ref="J3624">IFERROR(INDEX('Retirement Calculator'!K:K,MATCH('Lorri 401b'!N3624,'Retirement Calculator'!A:A,0),0),0)</f>
        <v>0</v>
      </c>
      <c r="K3624" s="444">
        <f t="shared" ca="1" si="153"/>
        <v>-4789985858.3674326</v>
      </c>
      <c r="L3624" s="444">
        <f t="shared" ca="1" si="154"/>
        <v>-1154386591866.5513</v>
      </c>
      <c r="M3624" s="460">
        <f t="shared" si="156"/>
        <v>0.05</v>
      </c>
      <c r="N3624" s="464">
        <f t="shared" si="157"/>
        <v>161347</v>
      </c>
    </row>
    <row r="3625" spans="7:14" ht="11.25" customHeight="1" x14ac:dyDescent="0.3">
      <c r="G3625" s="459"/>
      <c r="H3625" s="459">
        <v>3618</v>
      </c>
      <c r="I3625" s="444">
        <f t="shared" ca="1" si="155"/>
        <v>-1154386591866.5513</v>
      </c>
      <c r="J3625" s="444">
        <f t="array" ref="J3625">IFERROR(INDEX('Retirement Calculator'!K:K,MATCH('Lorri 401b'!N3625,'Retirement Calculator'!A:A,0),0),0)</f>
        <v>0</v>
      </c>
      <c r="K3625" s="444">
        <f t="shared" ca="1" si="153"/>
        <v>-4809944132.777297</v>
      </c>
      <c r="L3625" s="444">
        <f t="shared" ca="1" si="154"/>
        <v>-1159196535999.3286</v>
      </c>
      <c r="M3625" s="460">
        <f t="shared" si="156"/>
        <v>0.05</v>
      </c>
      <c r="N3625" s="464">
        <f t="shared" si="157"/>
        <v>161378</v>
      </c>
    </row>
    <row r="3626" spans="7:14" ht="11.25" customHeight="1" x14ac:dyDescent="0.3">
      <c r="G3626" s="459"/>
      <c r="H3626" s="459">
        <v>3619</v>
      </c>
      <c r="I3626" s="444">
        <f t="shared" ca="1" si="155"/>
        <v>-1159196535999.3286</v>
      </c>
      <c r="J3626" s="444">
        <f t="array" ref="J3626">IFERROR(INDEX('Retirement Calculator'!K:K,MATCH('Lorri 401b'!N3626,'Retirement Calculator'!A:A,0),0),0)</f>
        <v>0</v>
      </c>
      <c r="K3626" s="444">
        <f t="shared" ca="1" si="153"/>
        <v>-4829985566.6638689</v>
      </c>
      <c r="L3626" s="444">
        <f t="shared" ca="1" si="154"/>
        <v>-1164026521565.9924</v>
      </c>
      <c r="M3626" s="460">
        <f t="shared" si="156"/>
        <v>0.05</v>
      </c>
      <c r="N3626" s="464">
        <f t="shared" si="157"/>
        <v>161408</v>
      </c>
    </row>
    <row r="3627" spans="7:14" ht="11.25" customHeight="1" x14ac:dyDescent="0.3">
      <c r="G3627" s="459"/>
      <c r="H3627" s="459">
        <v>3620</v>
      </c>
      <c r="I3627" s="444">
        <f t="shared" ca="1" si="155"/>
        <v>-1164026521565.9924</v>
      </c>
      <c r="J3627" s="444">
        <f t="array" ref="J3627">IFERROR(INDEX('Retirement Calculator'!K:K,MATCH('Lorri 401b'!N3627,'Retirement Calculator'!A:A,0),0),0)</f>
        <v>0</v>
      </c>
      <c r="K3627" s="444">
        <f t="shared" ca="1" si="153"/>
        <v>-4850110506.5249681</v>
      </c>
      <c r="L3627" s="444">
        <f t="shared" ca="1" si="154"/>
        <v>-1168876632072.5173</v>
      </c>
      <c r="M3627" s="460">
        <f t="shared" si="156"/>
        <v>0.05</v>
      </c>
      <c r="N3627" s="464">
        <f t="shared" si="157"/>
        <v>161439</v>
      </c>
    </row>
    <row r="3628" spans="7:14" ht="11.25" customHeight="1" x14ac:dyDescent="0.3">
      <c r="G3628" s="459"/>
      <c r="H3628" s="459">
        <v>3621</v>
      </c>
      <c r="I3628" s="444">
        <f t="shared" ca="1" si="155"/>
        <v>-1168876632072.5173</v>
      </c>
      <c r="J3628" s="444">
        <f t="array" ref="J3628">IFERROR(INDEX('Retirement Calculator'!K:K,MATCH('Lorri 401b'!N3628,'Retirement Calculator'!A:A,0),0),0)</f>
        <v>0</v>
      </c>
      <c r="K3628" s="444">
        <f t="shared" ca="1" si="153"/>
        <v>-4870319300.3021555</v>
      </c>
      <c r="L3628" s="444">
        <f t="shared" ca="1" si="154"/>
        <v>-1173746951372.8196</v>
      </c>
      <c r="M3628" s="460">
        <f t="shared" si="156"/>
        <v>0.05</v>
      </c>
      <c r="N3628" s="464">
        <f t="shared" si="157"/>
        <v>161470</v>
      </c>
    </row>
    <row r="3629" spans="7:14" ht="11.25" customHeight="1" x14ac:dyDescent="0.3">
      <c r="G3629" s="459"/>
      <c r="H3629" s="459">
        <v>3622</v>
      </c>
      <c r="I3629" s="444">
        <f t="shared" ca="1" si="155"/>
        <v>-1173746951372.8196</v>
      </c>
      <c r="J3629" s="444">
        <f t="array" ref="J3629">IFERROR(INDEX('Retirement Calculator'!K:K,MATCH('Lorri 401b'!N3629,'Retirement Calculator'!A:A,0),0),0)</f>
        <v>0</v>
      </c>
      <c r="K3629" s="444">
        <f t="shared" ca="1" si="153"/>
        <v>-4890612297.3867483</v>
      </c>
      <c r="L3629" s="444">
        <f t="shared" ca="1" si="154"/>
        <v>-1178637563670.2063</v>
      </c>
      <c r="M3629" s="460">
        <f t="shared" si="156"/>
        <v>0.05</v>
      </c>
      <c r="N3629" s="464">
        <f t="shared" si="157"/>
        <v>161498</v>
      </c>
    </row>
    <row r="3630" spans="7:14" ht="11.25" customHeight="1" x14ac:dyDescent="0.3">
      <c r="G3630" s="459"/>
      <c r="H3630" s="459">
        <v>3623</v>
      </c>
      <c r="I3630" s="444">
        <f t="shared" ca="1" si="155"/>
        <v>-1178637563670.2063</v>
      </c>
      <c r="J3630" s="444">
        <f t="array" ref="J3630">IFERROR(INDEX('Retirement Calculator'!K:K,MATCH('Lorri 401b'!N3630,'Retirement Calculator'!A:A,0),0),0)</f>
        <v>0</v>
      </c>
      <c r="K3630" s="444">
        <f t="shared" ca="1" si="153"/>
        <v>-4910989848.6258593</v>
      </c>
      <c r="L3630" s="444">
        <f t="shared" ca="1" si="154"/>
        <v>-1183548553518.8323</v>
      </c>
      <c r="M3630" s="460">
        <f t="shared" si="156"/>
        <v>0.05</v>
      </c>
      <c r="N3630" s="464">
        <f t="shared" si="157"/>
        <v>161529</v>
      </c>
    </row>
    <row r="3631" spans="7:14" ht="11.25" customHeight="1" x14ac:dyDescent="0.3">
      <c r="G3631" s="459"/>
      <c r="H3631" s="459">
        <v>3624</v>
      </c>
      <c r="I3631" s="444">
        <f t="shared" ca="1" si="155"/>
        <v>-1183548553518.8323</v>
      </c>
      <c r="J3631" s="444">
        <f t="array" ref="J3631">IFERROR(INDEX('Retirement Calculator'!K:K,MATCH('Lorri 401b'!N3631,'Retirement Calculator'!A:A,0),0),0)</f>
        <v>0</v>
      </c>
      <c r="K3631" s="444">
        <f t="shared" ca="1" si="153"/>
        <v>-4931452306.3284674</v>
      </c>
      <c r="L3631" s="444">
        <f t="shared" ca="1" si="154"/>
        <v>-1188480005825.1606</v>
      </c>
      <c r="M3631" s="460">
        <f t="shared" si="156"/>
        <v>0.05</v>
      </c>
      <c r="N3631" s="464">
        <f t="shared" si="157"/>
        <v>161559</v>
      </c>
    </row>
    <row r="3632" spans="7:14" ht="11.25" customHeight="1" x14ac:dyDescent="0.3">
      <c r="G3632" s="459"/>
      <c r="H3632" s="459">
        <v>3625</v>
      </c>
      <c r="I3632" s="444">
        <f t="shared" ca="1" si="155"/>
        <v>-1188480005825.1606</v>
      </c>
      <c r="J3632" s="444">
        <f t="array" ref="J3632">IFERROR(INDEX('Retirement Calculator'!K:K,MATCH('Lorri 401b'!N3632,'Retirement Calculator'!A:A,0),0),0)</f>
        <v>0</v>
      </c>
      <c r="K3632" s="444">
        <f t="shared" ca="1" si="153"/>
        <v>-4952000024.2715025</v>
      </c>
      <c r="L3632" s="444">
        <f t="shared" ca="1" si="154"/>
        <v>-1193432005849.4321</v>
      </c>
      <c r="M3632" s="460">
        <f t="shared" si="156"/>
        <v>0.05</v>
      </c>
      <c r="N3632" s="464">
        <f t="shared" si="157"/>
        <v>161590</v>
      </c>
    </row>
    <row r="3633" spans="7:14" ht="11.25" customHeight="1" x14ac:dyDescent="0.3">
      <c r="G3633" s="459"/>
      <c r="H3633" s="459">
        <v>3626</v>
      </c>
      <c r="I3633" s="444">
        <f t="shared" ca="1" si="155"/>
        <v>-1193432005849.4321</v>
      </c>
      <c r="J3633" s="444">
        <f t="array" ref="J3633">IFERROR(INDEX('Retirement Calculator'!K:K,MATCH('Lorri 401b'!N3633,'Retirement Calculator'!A:A,0),0),0)</f>
        <v>0</v>
      </c>
      <c r="K3633" s="444">
        <f t="shared" ca="1" si="153"/>
        <v>-4972633357.7059669</v>
      </c>
      <c r="L3633" s="444">
        <f t="shared" ca="1" si="154"/>
        <v>-1198404639207.1382</v>
      </c>
      <c r="M3633" s="460">
        <f t="shared" si="156"/>
        <v>0.05</v>
      </c>
      <c r="N3633" s="464">
        <f t="shared" si="157"/>
        <v>161620</v>
      </c>
    </row>
    <row r="3634" spans="7:14" ht="11.25" customHeight="1" x14ac:dyDescent="0.3">
      <c r="G3634" s="459"/>
      <c r="H3634" s="459">
        <v>3627</v>
      </c>
      <c r="I3634" s="444">
        <f t="shared" ca="1" si="155"/>
        <v>-1198404639207.1382</v>
      </c>
      <c r="J3634" s="444">
        <f t="array" ref="J3634">IFERROR(INDEX('Retirement Calculator'!K:K,MATCH('Lorri 401b'!N3634,'Retirement Calculator'!A:A,0),0),0)</f>
        <v>0</v>
      </c>
      <c r="K3634" s="444">
        <f t="shared" ca="1" si="153"/>
        <v>-4993352663.3630753</v>
      </c>
      <c r="L3634" s="444">
        <f t="shared" ca="1" si="154"/>
        <v>-1203397991870.5012</v>
      </c>
      <c r="M3634" s="460">
        <f t="shared" si="156"/>
        <v>0.05</v>
      </c>
      <c r="N3634" s="464">
        <f t="shared" si="157"/>
        <v>161651</v>
      </c>
    </row>
    <row r="3635" spans="7:14" ht="11.25" customHeight="1" x14ac:dyDescent="0.3">
      <c r="G3635" s="459"/>
      <c r="H3635" s="459">
        <v>3628</v>
      </c>
      <c r="I3635" s="444">
        <f t="shared" ca="1" si="155"/>
        <v>-1203397991870.5012</v>
      </c>
      <c r="J3635" s="444">
        <f t="array" ref="J3635">IFERROR(INDEX('Retirement Calculator'!K:K,MATCH('Lorri 401b'!N3635,'Retirement Calculator'!A:A,0),0),0)</f>
        <v>0</v>
      </c>
      <c r="K3635" s="444">
        <f t="shared" ca="1" si="153"/>
        <v>-5014158299.4604216</v>
      </c>
      <c r="L3635" s="444">
        <f t="shared" ca="1" si="154"/>
        <v>-1208412150169.9617</v>
      </c>
      <c r="M3635" s="460">
        <f t="shared" si="156"/>
        <v>0.05</v>
      </c>
      <c r="N3635" s="464">
        <f t="shared" si="157"/>
        <v>161682</v>
      </c>
    </row>
    <row r="3636" spans="7:14" ht="11.25" customHeight="1" x14ac:dyDescent="0.3">
      <c r="G3636" s="459"/>
      <c r="H3636" s="459">
        <v>3629</v>
      </c>
      <c r="I3636" s="444">
        <f t="shared" ca="1" si="155"/>
        <v>-1208412150169.9617</v>
      </c>
      <c r="J3636" s="444">
        <f t="array" ref="J3636">IFERROR(INDEX('Retirement Calculator'!K:K,MATCH('Lorri 401b'!N3636,'Retirement Calculator'!A:A,0),0),0)</f>
        <v>0</v>
      </c>
      <c r="K3636" s="444">
        <f t="shared" ca="1" si="153"/>
        <v>-5035050625.7081738</v>
      </c>
      <c r="L3636" s="444">
        <f t="shared" ca="1" si="154"/>
        <v>-1213447200795.6699</v>
      </c>
      <c r="M3636" s="460">
        <f t="shared" si="156"/>
        <v>0.05</v>
      </c>
      <c r="N3636" s="464">
        <f t="shared" si="157"/>
        <v>161712</v>
      </c>
    </row>
    <row r="3637" spans="7:14" ht="11.25" customHeight="1" x14ac:dyDescent="0.3">
      <c r="G3637" s="459"/>
      <c r="H3637" s="459">
        <v>3630</v>
      </c>
      <c r="I3637" s="444">
        <f t="shared" ca="1" si="155"/>
        <v>-1213447200795.6699</v>
      </c>
      <c r="J3637" s="444">
        <f t="array" ref="J3637">IFERROR(INDEX('Retirement Calculator'!K:K,MATCH('Lorri 401b'!N3637,'Retirement Calculator'!A:A,0),0),0)</f>
        <v>0</v>
      </c>
      <c r="K3637" s="444">
        <f t="shared" ca="1" si="153"/>
        <v>-5056030003.3152914</v>
      </c>
      <c r="L3637" s="444">
        <f t="shared" ca="1" si="154"/>
        <v>-1218503230798.9851</v>
      </c>
      <c r="M3637" s="460">
        <f t="shared" si="156"/>
        <v>0.05</v>
      </c>
      <c r="N3637" s="464">
        <f t="shared" si="157"/>
        <v>161743</v>
      </c>
    </row>
    <row r="3638" spans="7:14" ht="11.25" customHeight="1" x14ac:dyDescent="0.3">
      <c r="G3638" s="459"/>
      <c r="H3638" s="459">
        <v>3631</v>
      </c>
      <c r="I3638" s="444">
        <f t="shared" ca="1" si="155"/>
        <v>-1218503230798.9851</v>
      </c>
      <c r="J3638" s="444">
        <f t="array" ref="J3638">IFERROR(INDEX('Retirement Calculator'!K:K,MATCH('Lorri 401b'!N3638,'Retirement Calculator'!A:A,0),0),0)</f>
        <v>0</v>
      </c>
      <c r="K3638" s="444">
        <f t="shared" ca="1" si="153"/>
        <v>-5077096794.9957714</v>
      </c>
      <c r="L3638" s="444">
        <f t="shared" ca="1" si="154"/>
        <v>-1223580327593.981</v>
      </c>
      <c r="M3638" s="460">
        <f t="shared" si="156"/>
        <v>0.05</v>
      </c>
      <c r="N3638" s="464">
        <f t="shared" si="157"/>
        <v>161773</v>
      </c>
    </row>
    <row r="3639" spans="7:14" ht="11.25" customHeight="1" x14ac:dyDescent="0.3">
      <c r="G3639" s="459"/>
      <c r="H3639" s="459">
        <v>3632</v>
      </c>
      <c r="I3639" s="444">
        <f t="shared" ca="1" si="155"/>
        <v>-1223580327593.981</v>
      </c>
      <c r="J3639" s="444">
        <f t="array" ref="J3639">IFERROR(INDEX('Retirement Calculator'!K:K,MATCH('Lorri 401b'!N3639,'Retirement Calculator'!A:A,0),0),0)</f>
        <v>0</v>
      </c>
      <c r="K3639" s="444">
        <f t="shared" ca="1" si="153"/>
        <v>-5098251364.9749203</v>
      </c>
      <c r="L3639" s="444">
        <f t="shared" ca="1" si="154"/>
        <v>-1228678578958.9558</v>
      </c>
      <c r="M3639" s="460">
        <f t="shared" si="156"/>
        <v>0.05</v>
      </c>
      <c r="N3639" s="464">
        <f t="shared" si="157"/>
        <v>161804</v>
      </c>
    </row>
    <row r="3640" spans="7:14" ht="11.25" customHeight="1" x14ac:dyDescent="0.3">
      <c r="G3640" s="459"/>
      <c r="H3640" s="459">
        <v>3633</v>
      </c>
      <c r="I3640" s="444">
        <f t="shared" ca="1" si="155"/>
        <v>-1228678578958.9558</v>
      </c>
      <c r="J3640" s="444">
        <f t="array" ref="J3640">IFERROR(INDEX('Retirement Calculator'!K:K,MATCH('Lorri 401b'!N3640,'Retirement Calculator'!A:A,0),0),0)</f>
        <v>0</v>
      </c>
      <c r="K3640" s="444">
        <f t="shared" ca="1" si="153"/>
        <v>-5119494078.9956493</v>
      </c>
      <c r="L3640" s="444">
        <f t="shared" ca="1" si="154"/>
        <v>-1233798073037.9514</v>
      </c>
      <c r="M3640" s="460">
        <f t="shared" si="156"/>
        <v>0.05</v>
      </c>
      <c r="N3640" s="464">
        <f t="shared" si="157"/>
        <v>161835</v>
      </c>
    </row>
    <row r="3641" spans="7:14" ht="11.25" customHeight="1" x14ac:dyDescent="0.3">
      <c r="G3641" s="459"/>
      <c r="H3641" s="459">
        <v>3634</v>
      </c>
      <c r="I3641" s="444">
        <f t="shared" ca="1" si="155"/>
        <v>-1233798073037.9514</v>
      </c>
      <c r="J3641" s="444">
        <f t="array" ref="J3641">IFERROR(INDEX('Retirement Calculator'!K:K,MATCH('Lorri 401b'!N3641,'Retirement Calculator'!A:A,0),0),0)</f>
        <v>0</v>
      </c>
      <c r="K3641" s="444">
        <f t="shared" ca="1" si="153"/>
        <v>-5140825304.3247976</v>
      </c>
      <c r="L3641" s="444">
        <f t="shared" ca="1" si="154"/>
        <v>-1238938898342.2761</v>
      </c>
      <c r="M3641" s="460">
        <f t="shared" si="156"/>
        <v>0.05</v>
      </c>
      <c r="N3641" s="464">
        <f t="shared" si="157"/>
        <v>161863</v>
      </c>
    </row>
    <row r="3642" spans="7:14" ht="11.25" customHeight="1" x14ac:dyDescent="0.3">
      <c r="G3642" s="459"/>
      <c r="H3642" s="459">
        <v>3635</v>
      </c>
      <c r="I3642" s="444">
        <f t="shared" ca="1" si="155"/>
        <v>-1238938898342.2761</v>
      </c>
      <c r="J3642" s="444">
        <f t="array" ref="J3642">IFERROR(INDEX('Retirement Calculator'!K:K,MATCH('Lorri 401b'!N3642,'Retirement Calculator'!A:A,0),0),0)</f>
        <v>0</v>
      </c>
      <c r="K3642" s="444">
        <f t="shared" ca="1" si="153"/>
        <v>-5162245409.7594833</v>
      </c>
      <c r="L3642" s="444">
        <f t="shared" ca="1" si="154"/>
        <v>-1244101143752.0356</v>
      </c>
      <c r="M3642" s="460">
        <f t="shared" si="156"/>
        <v>0.05</v>
      </c>
      <c r="N3642" s="464">
        <f t="shared" si="157"/>
        <v>161894</v>
      </c>
    </row>
    <row r="3643" spans="7:14" ht="11.25" customHeight="1" x14ac:dyDescent="0.3">
      <c r="G3643" s="459"/>
      <c r="H3643" s="459">
        <v>3636</v>
      </c>
      <c r="I3643" s="444">
        <f t="shared" ca="1" si="155"/>
        <v>-1244101143752.0356</v>
      </c>
      <c r="J3643" s="444">
        <f t="array" ref="J3643">IFERROR(INDEX('Retirement Calculator'!K:K,MATCH('Lorri 401b'!N3643,'Retirement Calculator'!A:A,0),0),0)</f>
        <v>0</v>
      </c>
      <c r="K3643" s="444">
        <f t="shared" ca="1" si="153"/>
        <v>-5183754765.633482</v>
      </c>
      <c r="L3643" s="444">
        <f t="shared" ca="1" si="154"/>
        <v>-1249284898517.6692</v>
      </c>
      <c r="M3643" s="460">
        <f t="shared" si="156"/>
        <v>0.05</v>
      </c>
      <c r="N3643" s="464">
        <f t="shared" si="157"/>
        <v>161924</v>
      </c>
    </row>
    <row r="3644" spans="7:14" ht="11.25" customHeight="1" x14ac:dyDescent="0.3">
      <c r="G3644" s="459"/>
      <c r="H3644" s="459">
        <v>3637</v>
      </c>
      <c r="I3644" s="444">
        <f t="shared" ca="1" si="155"/>
        <v>-1249284898517.6692</v>
      </c>
      <c r="J3644" s="444">
        <f t="array" ref="J3644">IFERROR(INDEX('Retirement Calculator'!K:K,MATCH('Lorri 401b'!N3644,'Retirement Calculator'!A:A,0),0),0)</f>
        <v>0</v>
      </c>
      <c r="K3644" s="444">
        <f t="shared" ca="1" si="153"/>
        <v>-5205353743.8236217</v>
      </c>
      <c r="L3644" s="444">
        <f t="shared" ca="1" si="154"/>
        <v>-1254490252261.4929</v>
      </c>
      <c r="M3644" s="460">
        <f t="shared" si="156"/>
        <v>0.05</v>
      </c>
      <c r="N3644" s="464">
        <f t="shared" si="157"/>
        <v>161955</v>
      </c>
    </row>
    <row r="3645" spans="7:14" ht="11.25" customHeight="1" x14ac:dyDescent="0.3">
      <c r="G3645" s="459"/>
      <c r="H3645" s="459">
        <v>3638</v>
      </c>
      <c r="I3645" s="444">
        <f t="shared" ca="1" si="155"/>
        <v>-1254490252261.4929</v>
      </c>
      <c r="J3645" s="444">
        <f t="array" ref="J3645">IFERROR(INDEX('Retirement Calculator'!K:K,MATCH('Lorri 401b'!N3645,'Retirement Calculator'!A:A,0),0),0)</f>
        <v>0</v>
      </c>
      <c r="K3645" s="444">
        <f t="shared" ca="1" si="153"/>
        <v>-5227042717.7562208</v>
      </c>
      <c r="L3645" s="444">
        <f t="shared" ca="1" si="154"/>
        <v>-1259717294979.249</v>
      </c>
      <c r="M3645" s="460">
        <f t="shared" si="156"/>
        <v>0.05</v>
      </c>
      <c r="N3645" s="464">
        <f t="shared" si="157"/>
        <v>161985</v>
      </c>
    </row>
    <row r="3646" spans="7:14" ht="11.25" customHeight="1" x14ac:dyDescent="0.3">
      <c r="G3646" s="459"/>
      <c r="H3646" s="459">
        <v>3639</v>
      </c>
      <c r="I3646" s="444">
        <f t="shared" ca="1" si="155"/>
        <v>-1259717294979.249</v>
      </c>
      <c r="J3646" s="444">
        <f t="array" ref="J3646">IFERROR(INDEX('Retirement Calculator'!K:K,MATCH('Lorri 401b'!N3646,'Retirement Calculator'!A:A,0),0),0)</f>
        <v>0</v>
      </c>
      <c r="K3646" s="444">
        <f t="shared" ca="1" si="153"/>
        <v>-5248822062.413538</v>
      </c>
      <c r="L3646" s="444">
        <f t="shared" ca="1" si="154"/>
        <v>-1264966117041.6626</v>
      </c>
      <c r="M3646" s="460">
        <f t="shared" si="156"/>
        <v>0.05</v>
      </c>
      <c r="N3646" s="464">
        <f t="shared" si="157"/>
        <v>162016</v>
      </c>
    </row>
    <row r="3647" spans="7:14" ht="11.25" customHeight="1" x14ac:dyDescent="0.3">
      <c r="G3647" s="459"/>
      <c r="H3647" s="459">
        <v>3640</v>
      </c>
      <c r="I3647" s="444">
        <f t="shared" ca="1" si="155"/>
        <v>-1264966117041.6626</v>
      </c>
      <c r="J3647" s="444">
        <f t="array" ref="J3647">IFERROR(INDEX('Retirement Calculator'!K:K,MATCH('Lorri 401b'!N3647,'Retirement Calculator'!A:A,0),0),0)</f>
        <v>0</v>
      </c>
      <c r="K3647" s="444">
        <f t="shared" ca="1" si="153"/>
        <v>-5270692154.3402605</v>
      </c>
      <c r="L3647" s="444">
        <f t="shared" ca="1" si="154"/>
        <v>-1270236809196.0029</v>
      </c>
      <c r="M3647" s="460">
        <f t="shared" si="156"/>
        <v>0.05</v>
      </c>
      <c r="N3647" s="464">
        <f t="shared" si="157"/>
        <v>162047</v>
      </c>
    </row>
    <row r="3648" spans="7:14" ht="11.25" customHeight="1" x14ac:dyDescent="0.3">
      <c r="G3648" s="459"/>
      <c r="H3648" s="459">
        <v>3641</v>
      </c>
      <c r="I3648" s="444">
        <f t="shared" ca="1" si="155"/>
        <v>-1270236809196.0029</v>
      </c>
      <c r="J3648" s="444">
        <f t="array" ref="J3648">IFERROR(INDEX('Retirement Calculator'!K:K,MATCH('Lorri 401b'!N3648,'Retirement Calculator'!A:A,0),0),0)</f>
        <v>0</v>
      </c>
      <c r="K3648" s="444">
        <f t="shared" ca="1" si="153"/>
        <v>-5292653371.650012</v>
      </c>
      <c r="L3648" s="444">
        <f t="shared" ca="1" si="154"/>
        <v>-1275529462567.6528</v>
      </c>
      <c r="M3648" s="460">
        <f t="shared" si="156"/>
        <v>0.05</v>
      </c>
      <c r="N3648" s="464">
        <f t="shared" si="157"/>
        <v>162077</v>
      </c>
    </row>
    <row r="3649" spans="7:14" ht="11.25" customHeight="1" x14ac:dyDescent="0.3">
      <c r="G3649" s="459"/>
      <c r="H3649" s="459">
        <v>3642</v>
      </c>
      <c r="I3649" s="444">
        <f t="shared" ca="1" si="155"/>
        <v>-1275529462567.6528</v>
      </c>
      <c r="J3649" s="444">
        <f t="array" ref="J3649">IFERROR(INDEX('Retirement Calculator'!K:K,MATCH('Lorri 401b'!N3649,'Retirement Calculator'!A:A,0),0),0)</f>
        <v>0</v>
      </c>
      <c r="K3649" s="444">
        <f t="shared" ca="1" si="153"/>
        <v>-5314706094.0318871</v>
      </c>
      <c r="L3649" s="444">
        <f t="shared" ca="1" si="154"/>
        <v>-1280844168661.6848</v>
      </c>
      <c r="M3649" s="460">
        <f t="shared" si="156"/>
        <v>0.05</v>
      </c>
      <c r="N3649" s="464">
        <f t="shared" si="157"/>
        <v>162108</v>
      </c>
    </row>
    <row r="3650" spans="7:14" ht="11.25" customHeight="1" x14ac:dyDescent="0.3">
      <c r="G3650" s="459"/>
      <c r="H3650" s="459">
        <v>3643</v>
      </c>
      <c r="I3650" s="444">
        <f t="shared" ca="1" si="155"/>
        <v>-1280844168661.6848</v>
      </c>
      <c r="J3650" s="444">
        <f t="array" ref="J3650">IFERROR(INDEX('Retirement Calculator'!K:K,MATCH('Lorri 401b'!N3650,'Retirement Calculator'!A:A,0),0),0)</f>
        <v>0</v>
      </c>
      <c r="K3650" s="444">
        <f t="shared" ca="1" si="153"/>
        <v>-5336850702.75702</v>
      </c>
      <c r="L3650" s="444">
        <f t="shared" ca="1" si="154"/>
        <v>-1286181019364.4419</v>
      </c>
      <c r="M3650" s="460">
        <f t="shared" si="156"/>
        <v>0.05</v>
      </c>
      <c r="N3650" s="464">
        <f t="shared" si="157"/>
        <v>162138</v>
      </c>
    </row>
    <row r="3651" spans="7:14" ht="11.25" customHeight="1" x14ac:dyDescent="0.3">
      <c r="G3651" s="459"/>
      <c r="H3651" s="459">
        <v>3644</v>
      </c>
      <c r="I3651" s="444">
        <f t="shared" ca="1" si="155"/>
        <v>-1286181019364.4419</v>
      </c>
      <c r="J3651" s="444">
        <f t="array" ref="J3651">IFERROR(INDEX('Retirement Calculator'!K:K,MATCH('Lorri 401b'!N3651,'Retirement Calculator'!A:A,0),0),0)</f>
        <v>0</v>
      </c>
      <c r="K3651" s="444">
        <f t="shared" ca="1" si="153"/>
        <v>-5359087580.6851749</v>
      </c>
      <c r="L3651" s="444">
        <f t="shared" ca="1" si="154"/>
        <v>-1291540106945.127</v>
      </c>
      <c r="M3651" s="460">
        <f t="shared" si="156"/>
        <v>0.05</v>
      </c>
      <c r="N3651" s="464">
        <f t="shared" si="157"/>
        <v>162169</v>
      </c>
    </row>
    <row r="3652" spans="7:14" ht="11.25" customHeight="1" x14ac:dyDescent="0.3">
      <c r="G3652" s="459"/>
      <c r="H3652" s="459">
        <v>3645</v>
      </c>
      <c r="I3652" s="444">
        <f t="shared" ca="1" si="155"/>
        <v>-1291540106945.127</v>
      </c>
      <c r="J3652" s="444">
        <f t="array" ref="J3652">IFERROR(INDEX('Retirement Calculator'!K:K,MATCH('Lorri 401b'!N3652,'Retirement Calculator'!A:A,0),0),0)</f>
        <v>0</v>
      </c>
      <c r="K3652" s="444">
        <f t="shared" ca="1" si="153"/>
        <v>-5381417112.2713623</v>
      </c>
      <c r="L3652" s="444">
        <f t="shared" ca="1" si="154"/>
        <v>-1296921524057.3984</v>
      </c>
      <c r="M3652" s="460">
        <f t="shared" si="156"/>
        <v>0.05</v>
      </c>
      <c r="N3652" s="464">
        <f t="shared" si="157"/>
        <v>162200</v>
      </c>
    </row>
    <row r="3653" spans="7:14" ht="11.25" customHeight="1" x14ac:dyDescent="0.3">
      <c r="G3653" s="459"/>
      <c r="H3653" s="459">
        <v>3646</v>
      </c>
      <c r="I3653" s="444">
        <f t="shared" ca="1" si="155"/>
        <v>-1296921524057.3984</v>
      </c>
      <c r="J3653" s="444">
        <f t="array" ref="J3653">IFERROR(INDEX('Retirement Calculator'!K:K,MATCH('Lorri 401b'!N3653,'Retirement Calculator'!A:A,0),0),0)</f>
        <v>0</v>
      </c>
      <c r="K3653" s="444">
        <f t="shared" ca="1" si="153"/>
        <v>-5403839683.5724936</v>
      </c>
      <c r="L3653" s="444">
        <f t="shared" ca="1" si="154"/>
        <v>-1302325363740.9709</v>
      </c>
      <c r="M3653" s="460">
        <f t="shared" si="156"/>
        <v>0.05</v>
      </c>
      <c r="N3653" s="464">
        <f t="shared" si="157"/>
        <v>162229</v>
      </c>
    </row>
    <row r="3654" spans="7:14" ht="11.25" customHeight="1" x14ac:dyDescent="0.3">
      <c r="G3654" s="459"/>
      <c r="H3654" s="459">
        <v>3647</v>
      </c>
      <c r="I3654" s="444">
        <f t="shared" ca="1" si="155"/>
        <v>-1302325363740.9709</v>
      </c>
      <c r="J3654" s="444">
        <f t="array" ref="J3654">IFERROR(INDEX('Retirement Calculator'!K:K,MATCH('Lorri 401b'!N3654,'Retirement Calculator'!A:A,0),0),0)</f>
        <v>0</v>
      </c>
      <c r="K3654" s="444">
        <f t="shared" ca="1" si="153"/>
        <v>-5426355682.2540455</v>
      </c>
      <c r="L3654" s="444">
        <f t="shared" ca="1" si="154"/>
        <v>-1307751719423.2251</v>
      </c>
      <c r="M3654" s="460">
        <f t="shared" si="156"/>
        <v>0.05</v>
      </c>
      <c r="N3654" s="464">
        <f t="shared" si="157"/>
        <v>162260</v>
      </c>
    </row>
    <row r="3655" spans="7:14" ht="11.25" customHeight="1" x14ac:dyDescent="0.3">
      <c r="G3655" s="459"/>
      <c r="H3655" s="459">
        <v>3648</v>
      </c>
      <c r="I3655" s="444">
        <f t="shared" ca="1" si="155"/>
        <v>-1307751719423.2251</v>
      </c>
      <c r="J3655" s="444">
        <f t="array" ref="J3655">IFERROR(INDEX('Retirement Calculator'!K:K,MATCH('Lorri 401b'!N3655,'Retirement Calculator'!A:A,0),0),0)</f>
        <v>0</v>
      </c>
      <c r="K3655" s="444">
        <f t="shared" ca="1" si="153"/>
        <v>-5448965497.5967712</v>
      </c>
      <c r="L3655" s="444">
        <f t="shared" ca="1" si="154"/>
        <v>-1313200684920.8218</v>
      </c>
      <c r="M3655" s="460">
        <f t="shared" si="156"/>
        <v>0.05</v>
      </c>
      <c r="N3655" s="464">
        <f t="shared" si="157"/>
        <v>162290</v>
      </c>
    </row>
    <row r="3656" spans="7:14" ht="11.25" customHeight="1" x14ac:dyDescent="0.3">
      <c r="G3656" s="459"/>
      <c r="H3656" s="459">
        <v>3649</v>
      </c>
      <c r="I3656" s="444">
        <f t="shared" ca="1" si="155"/>
        <v>-1313200684920.8218</v>
      </c>
      <c r="J3656" s="444">
        <f t="array" ref="J3656">IFERROR(INDEX('Retirement Calculator'!K:K,MATCH('Lorri 401b'!N3656,'Retirement Calculator'!A:A,0),0),0)</f>
        <v>0</v>
      </c>
      <c r="K3656" s="444">
        <f t="shared" ca="1" si="153"/>
        <v>-5471669520.5034237</v>
      </c>
      <c r="L3656" s="444">
        <f t="shared" ca="1" si="154"/>
        <v>-1318672354441.3252</v>
      </c>
      <c r="M3656" s="460">
        <f t="shared" si="156"/>
        <v>0.05</v>
      </c>
      <c r="N3656" s="464">
        <f t="shared" si="157"/>
        <v>162321</v>
      </c>
    </row>
    <row r="3657" spans="7:14" ht="11.25" customHeight="1" x14ac:dyDescent="0.3">
      <c r="G3657" s="459"/>
      <c r="H3657" s="459">
        <v>3650</v>
      </c>
      <c r="I3657" s="444">
        <f t="shared" ca="1" si="155"/>
        <v>-1318672354441.3252</v>
      </c>
      <c r="J3657" s="444">
        <f t="array" ref="J3657">IFERROR(INDEX('Retirement Calculator'!K:K,MATCH('Lorri 401b'!N3657,'Retirement Calculator'!A:A,0),0),0)</f>
        <v>0</v>
      </c>
      <c r="K3657" s="444">
        <f t="shared" ca="1" si="153"/>
        <v>-5494468143.5055218</v>
      </c>
      <c r="L3657" s="444">
        <f t="shared" ca="1" si="154"/>
        <v>-1324166822584.8308</v>
      </c>
      <c r="M3657" s="460">
        <f t="shared" si="156"/>
        <v>0.05</v>
      </c>
      <c r="N3657" s="464">
        <f t="shared" si="157"/>
        <v>162351</v>
      </c>
    </row>
    <row r="3658" spans="7:14" ht="11.25" customHeight="1" x14ac:dyDescent="0.3">
      <c r="G3658" s="459"/>
      <c r="H3658" s="459">
        <v>3651</v>
      </c>
      <c r="I3658" s="444">
        <f t="shared" ca="1" si="155"/>
        <v>-1324166822584.8308</v>
      </c>
      <c r="J3658" s="444">
        <f t="array" ref="J3658">IFERROR(INDEX('Retirement Calculator'!K:K,MATCH('Lorri 401b'!N3658,'Retirement Calculator'!A:A,0),0),0)</f>
        <v>0</v>
      </c>
      <c r="K3658" s="444">
        <f t="shared" ca="1" si="153"/>
        <v>-5517361760.7701283</v>
      </c>
      <c r="L3658" s="444">
        <f t="shared" ca="1" si="154"/>
        <v>-1329684184345.6008</v>
      </c>
      <c r="M3658" s="460">
        <f t="shared" si="156"/>
        <v>0.05</v>
      </c>
      <c r="N3658" s="464">
        <f t="shared" si="157"/>
        <v>162382</v>
      </c>
    </row>
    <row r="3659" spans="7:14" ht="11.25" customHeight="1" x14ac:dyDescent="0.3">
      <c r="G3659" s="459"/>
      <c r="H3659" s="459">
        <v>3652</v>
      </c>
      <c r="I3659" s="444">
        <f t="shared" ca="1" si="155"/>
        <v>-1329684184345.6008</v>
      </c>
      <c r="J3659" s="444">
        <f t="array" ref="J3659">IFERROR(INDEX('Retirement Calculator'!K:K,MATCH('Lorri 401b'!N3659,'Retirement Calculator'!A:A,0),0),0)</f>
        <v>0</v>
      </c>
      <c r="K3659" s="444">
        <f t="shared" ca="1" si="153"/>
        <v>-5540350768.1066704</v>
      </c>
      <c r="L3659" s="444">
        <f t="shared" ca="1" si="154"/>
        <v>-1335224535113.7075</v>
      </c>
      <c r="M3659" s="460">
        <f t="shared" si="156"/>
        <v>0.05</v>
      </c>
      <c r="N3659" s="464">
        <f t="shared" si="157"/>
        <v>162413</v>
      </c>
    </row>
    <row r="3660" spans="7:14" ht="11.25" customHeight="1" x14ac:dyDescent="0.3">
      <c r="G3660" s="459"/>
      <c r="H3660" s="459">
        <v>3653</v>
      </c>
      <c r="I3660" s="444">
        <f t="shared" ca="1" si="155"/>
        <v>-1335224535113.7075</v>
      </c>
      <c r="J3660" s="444">
        <f t="array" ref="J3660">IFERROR(INDEX('Retirement Calculator'!K:K,MATCH('Lorri 401b'!N3660,'Retirement Calculator'!A:A,0),0),0)</f>
        <v>0</v>
      </c>
      <c r="K3660" s="444">
        <f t="shared" ca="1" si="153"/>
        <v>-5563435562.9737816</v>
      </c>
      <c r="L3660" s="444">
        <f t="shared" ca="1" si="154"/>
        <v>-1340787970676.6814</v>
      </c>
      <c r="M3660" s="460">
        <f t="shared" si="156"/>
        <v>0.05</v>
      </c>
      <c r="N3660" s="464">
        <f t="shared" si="157"/>
        <v>162443</v>
      </c>
    </row>
    <row r="3661" spans="7:14" ht="11.25" customHeight="1" x14ac:dyDescent="0.3">
      <c r="G3661" s="459"/>
      <c r="H3661" s="459">
        <v>3654</v>
      </c>
      <c r="I3661" s="444">
        <f t="shared" ca="1" si="155"/>
        <v>-1340787970676.6814</v>
      </c>
      <c r="J3661" s="444">
        <f t="array" ref="J3661">IFERROR(INDEX('Retirement Calculator'!K:K,MATCH('Lorri 401b'!N3661,'Retirement Calculator'!A:A,0),0),0)</f>
        <v>0</v>
      </c>
      <c r="K3661" s="444">
        <f t="shared" ca="1" si="153"/>
        <v>-5586616544.4861727</v>
      </c>
      <c r="L3661" s="444">
        <f t="shared" ca="1" si="154"/>
        <v>-1346374587221.1675</v>
      </c>
      <c r="M3661" s="460">
        <f t="shared" si="156"/>
        <v>0.05</v>
      </c>
      <c r="N3661" s="464">
        <f t="shared" si="157"/>
        <v>162474</v>
      </c>
    </row>
    <row r="3662" spans="7:14" ht="11.25" customHeight="1" x14ac:dyDescent="0.3">
      <c r="G3662" s="459"/>
      <c r="H3662" s="459">
        <v>3655</v>
      </c>
      <c r="I3662" s="444">
        <f t="shared" ca="1" si="155"/>
        <v>-1346374587221.1675</v>
      </c>
      <c r="J3662" s="444">
        <f t="array" ref="J3662">IFERROR(INDEX('Retirement Calculator'!K:K,MATCH('Lorri 401b'!N3662,'Retirement Calculator'!A:A,0),0),0)</f>
        <v>0</v>
      </c>
      <c r="K3662" s="444">
        <f t="shared" ca="1" si="153"/>
        <v>-5609894113.4215307</v>
      </c>
      <c r="L3662" s="444">
        <f t="shared" ca="1" si="154"/>
        <v>-1351984481334.5891</v>
      </c>
      <c r="M3662" s="460">
        <f t="shared" si="156"/>
        <v>0.05</v>
      </c>
      <c r="N3662" s="464">
        <f t="shared" si="157"/>
        <v>162504</v>
      </c>
    </row>
    <row r="3663" spans="7:14" ht="11.25" customHeight="1" x14ac:dyDescent="0.3">
      <c r="G3663" s="459"/>
      <c r="H3663" s="459">
        <v>3656</v>
      </c>
      <c r="I3663" s="444">
        <f t="shared" ca="1" si="155"/>
        <v>-1351984481334.5891</v>
      </c>
      <c r="J3663" s="444">
        <f t="array" ref="J3663">IFERROR(INDEX('Retirement Calculator'!K:K,MATCH('Lorri 401b'!N3663,'Retirement Calculator'!A:A,0),0),0)</f>
        <v>0</v>
      </c>
      <c r="K3663" s="444">
        <f t="shared" ca="1" si="153"/>
        <v>-5633268672.2274542</v>
      </c>
      <c r="L3663" s="444">
        <f t="shared" ca="1" si="154"/>
        <v>-1357617750006.8167</v>
      </c>
      <c r="M3663" s="460">
        <f t="shared" si="156"/>
        <v>0.05</v>
      </c>
      <c r="N3663" s="464">
        <f t="shared" si="157"/>
        <v>162535</v>
      </c>
    </row>
    <row r="3664" spans="7:14" ht="11.25" customHeight="1" x14ac:dyDescent="0.3">
      <c r="G3664" s="459"/>
      <c r="H3664" s="459">
        <v>3657</v>
      </c>
      <c r="I3664" s="444">
        <f t="shared" ca="1" si="155"/>
        <v>-1357617750006.8167</v>
      </c>
      <c r="J3664" s="444">
        <f t="array" ref="J3664">IFERROR(INDEX('Retirement Calculator'!K:K,MATCH('Lorri 401b'!N3664,'Retirement Calculator'!A:A,0),0),0)</f>
        <v>0</v>
      </c>
      <c r="K3664" s="444">
        <f t="shared" ca="1" si="153"/>
        <v>-5656740625.0284023</v>
      </c>
      <c r="L3664" s="444">
        <f t="shared" ca="1" si="154"/>
        <v>-1363274490631.845</v>
      </c>
      <c r="M3664" s="460">
        <f t="shared" si="156"/>
        <v>0.05</v>
      </c>
      <c r="N3664" s="464">
        <f t="shared" si="157"/>
        <v>162566</v>
      </c>
    </row>
    <row r="3665" spans="7:14" ht="11.25" customHeight="1" x14ac:dyDescent="0.3">
      <c r="G3665" s="459"/>
      <c r="H3665" s="459">
        <v>3658</v>
      </c>
      <c r="I3665" s="444">
        <f t="shared" ca="1" si="155"/>
        <v>-1363274490631.845</v>
      </c>
      <c r="J3665" s="444">
        <f t="array" ref="J3665">IFERROR(INDEX('Retirement Calculator'!K:K,MATCH('Lorri 401b'!N3665,'Retirement Calculator'!A:A,0),0),0)</f>
        <v>0</v>
      </c>
      <c r="K3665" s="444">
        <f t="shared" ca="1" si="153"/>
        <v>-5680310377.6326876</v>
      </c>
      <c r="L3665" s="444">
        <f t="shared" ca="1" si="154"/>
        <v>-1368954801009.4775</v>
      </c>
      <c r="M3665" s="460">
        <f t="shared" si="156"/>
        <v>0.05</v>
      </c>
      <c r="N3665" s="464">
        <f t="shared" si="157"/>
        <v>162594</v>
      </c>
    </row>
    <row r="3666" spans="7:14" ht="11.25" customHeight="1" x14ac:dyDescent="0.3">
      <c r="G3666" s="459"/>
      <c r="H3666" s="459">
        <v>3659</v>
      </c>
      <c r="I3666" s="444">
        <f t="shared" ca="1" si="155"/>
        <v>-1368954801009.4775</v>
      </c>
      <c r="J3666" s="444">
        <f t="array" ref="J3666">IFERROR(INDEX('Retirement Calculator'!K:K,MATCH('Lorri 401b'!N3666,'Retirement Calculator'!A:A,0),0),0)</f>
        <v>0</v>
      </c>
      <c r="K3666" s="444">
        <f t="shared" ca="1" si="153"/>
        <v>-5703978337.5394897</v>
      </c>
      <c r="L3666" s="444">
        <f t="shared" ca="1" si="154"/>
        <v>-1374658779347.0171</v>
      </c>
      <c r="M3666" s="460">
        <f t="shared" si="156"/>
        <v>0.05</v>
      </c>
      <c r="N3666" s="464">
        <f t="shared" si="157"/>
        <v>162625</v>
      </c>
    </row>
    <row r="3667" spans="7:14" ht="11.25" customHeight="1" x14ac:dyDescent="0.3">
      <c r="G3667" s="459"/>
      <c r="H3667" s="459">
        <v>3660</v>
      </c>
      <c r="I3667" s="444">
        <f t="shared" ca="1" si="155"/>
        <v>-1374658779347.0171</v>
      </c>
      <c r="J3667" s="444">
        <f t="array" ref="J3667">IFERROR(INDEX('Retirement Calculator'!K:K,MATCH('Lorri 401b'!N3667,'Retirement Calculator'!A:A,0),0),0)</f>
        <v>0</v>
      </c>
      <c r="K3667" s="444">
        <f t="shared" ca="1" si="153"/>
        <v>-5727744913.9459047</v>
      </c>
      <c r="L3667" s="444">
        <f t="shared" ca="1" si="154"/>
        <v>-1380386524260.9629</v>
      </c>
      <c r="M3667" s="460">
        <f t="shared" si="156"/>
        <v>0.05</v>
      </c>
      <c r="N3667" s="464">
        <f t="shared" si="157"/>
        <v>162655</v>
      </c>
    </row>
    <row r="3668" spans="7:14" ht="11.25" customHeight="1" x14ac:dyDescent="0.3">
      <c r="G3668" s="459"/>
      <c r="H3668" s="459">
        <v>3661</v>
      </c>
      <c r="I3668" s="444">
        <f t="shared" ca="1" si="155"/>
        <v>-1380386524260.9629</v>
      </c>
      <c r="J3668" s="444">
        <f t="array" ref="J3668">IFERROR(INDEX('Retirement Calculator'!K:K,MATCH('Lorri 401b'!N3668,'Retirement Calculator'!A:A,0),0),0)</f>
        <v>0</v>
      </c>
      <c r="K3668" s="444">
        <f t="shared" ca="1" si="153"/>
        <v>-5751610517.7540121</v>
      </c>
      <c r="L3668" s="444">
        <f t="shared" ca="1" si="154"/>
        <v>-1386138134778.7168</v>
      </c>
      <c r="M3668" s="460">
        <f t="shared" si="156"/>
        <v>0.05</v>
      </c>
      <c r="N3668" s="464">
        <f t="shared" si="157"/>
        <v>162686</v>
      </c>
    </row>
    <row r="3669" spans="7:14" ht="11.25" customHeight="1" x14ac:dyDescent="0.3">
      <c r="G3669" s="459"/>
      <c r="H3669" s="459">
        <v>3662</v>
      </c>
      <c r="I3669" s="444">
        <f t="shared" ca="1" si="155"/>
        <v>-1386138134778.7168</v>
      </c>
      <c r="J3669" s="444">
        <f t="array" ref="J3669">IFERROR(INDEX('Retirement Calculator'!K:K,MATCH('Lorri 401b'!N3669,'Retirement Calculator'!A:A,0),0),0)</f>
        <v>0</v>
      </c>
      <c r="K3669" s="444">
        <f t="shared" ca="1" si="153"/>
        <v>-5775575561.5779867</v>
      </c>
      <c r="L3669" s="444">
        <f t="shared" ca="1" si="154"/>
        <v>-1391913710340.2947</v>
      </c>
      <c r="M3669" s="460">
        <f t="shared" si="156"/>
        <v>0.05</v>
      </c>
      <c r="N3669" s="464">
        <f t="shared" si="157"/>
        <v>162716</v>
      </c>
    </row>
    <row r="3670" spans="7:14" ht="11.25" customHeight="1" x14ac:dyDescent="0.3">
      <c r="G3670" s="459"/>
      <c r="H3670" s="459">
        <v>3663</v>
      </c>
      <c r="I3670" s="444">
        <f t="shared" ca="1" si="155"/>
        <v>-1391913710340.2947</v>
      </c>
      <c r="J3670" s="444">
        <f t="array" ref="J3670">IFERROR(INDEX('Retirement Calculator'!K:K,MATCH('Lorri 401b'!N3670,'Retirement Calculator'!A:A,0),0),0)</f>
        <v>0</v>
      </c>
      <c r="K3670" s="444">
        <f t="shared" ca="1" si="153"/>
        <v>-5799640459.7512274</v>
      </c>
      <c r="L3670" s="444">
        <f t="shared" ca="1" si="154"/>
        <v>-1397713350800.0459</v>
      </c>
      <c r="M3670" s="460">
        <f t="shared" si="156"/>
        <v>0.05</v>
      </c>
      <c r="N3670" s="464">
        <f t="shared" si="157"/>
        <v>162747</v>
      </c>
    </row>
    <row r="3671" spans="7:14" ht="11.25" customHeight="1" x14ac:dyDescent="0.3">
      <c r="G3671" s="459"/>
      <c r="H3671" s="459">
        <v>3664</v>
      </c>
      <c r="I3671" s="444">
        <f t="shared" ca="1" si="155"/>
        <v>-1397713350800.0459</v>
      </c>
      <c r="J3671" s="444">
        <f t="array" ref="J3671">IFERROR(INDEX('Retirement Calculator'!K:K,MATCH('Lorri 401b'!N3671,'Retirement Calculator'!A:A,0),0),0)</f>
        <v>0</v>
      </c>
      <c r="K3671" s="444">
        <f t="shared" ca="1" si="153"/>
        <v>-5823805628.3335247</v>
      </c>
      <c r="L3671" s="444">
        <f t="shared" ca="1" si="154"/>
        <v>-1403537156428.3794</v>
      </c>
      <c r="M3671" s="460">
        <f t="shared" si="156"/>
        <v>0.05</v>
      </c>
      <c r="N3671" s="464">
        <f t="shared" si="157"/>
        <v>162778</v>
      </c>
    </row>
    <row r="3672" spans="7:14" ht="11.25" customHeight="1" x14ac:dyDescent="0.3">
      <c r="G3672" s="459"/>
      <c r="H3672" s="459">
        <v>3665</v>
      </c>
      <c r="I3672" s="444">
        <f t="shared" ca="1" si="155"/>
        <v>-1403537156428.3794</v>
      </c>
      <c r="J3672" s="444">
        <f t="array" ref="J3672">IFERROR(INDEX('Retirement Calculator'!K:K,MATCH('Lorri 401b'!N3672,'Retirement Calculator'!A:A,0),0),0)</f>
        <v>0</v>
      </c>
      <c r="K3672" s="444">
        <f t="shared" ca="1" si="153"/>
        <v>-5848071485.118247</v>
      </c>
      <c r="L3672" s="444">
        <f t="shared" ca="1" si="154"/>
        <v>-1409385227913.4976</v>
      </c>
      <c r="M3672" s="460">
        <f t="shared" si="156"/>
        <v>0.05</v>
      </c>
      <c r="N3672" s="464">
        <f t="shared" si="157"/>
        <v>162808</v>
      </c>
    </row>
    <row r="3673" spans="7:14" ht="11.25" customHeight="1" x14ac:dyDescent="0.3">
      <c r="G3673" s="459"/>
      <c r="H3673" s="459">
        <v>3666</v>
      </c>
      <c r="I3673" s="444">
        <f t="shared" ca="1" si="155"/>
        <v>-1409385227913.4976</v>
      </c>
      <c r="J3673" s="444">
        <f t="array" ref="J3673">IFERROR(INDEX('Retirement Calculator'!K:K,MATCH('Lorri 401b'!N3673,'Retirement Calculator'!A:A,0),0),0)</f>
        <v>0</v>
      </c>
      <c r="K3673" s="444">
        <f t="shared" ca="1" si="153"/>
        <v>-5872438449.6395731</v>
      </c>
      <c r="L3673" s="444">
        <f t="shared" ca="1" si="154"/>
        <v>-1415257666363.1372</v>
      </c>
      <c r="M3673" s="460">
        <f t="shared" si="156"/>
        <v>0.05</v>
      </c>
      <c r="N3673" s="464">
        <f t="shared" si="157"/>
        <v>162839</v>
      </c>
    </row>
    <row r="3674" spans="7:14" ht="11.25" customHeight="1" x14ac:dyDescent="0.3">
      <c r="G3674" s="459"/>
      <c r="H3674" s="459">
        <v>3667</v>
      </c>
      <c r="I3674" s="444">
        <f t="shared" ca="1" si="155"/>
        <v>-1415257666363.1372</v>
      </c>
      <c r="J3674" s="444">
        <f t="array" ref="J3674">IFERROR(INDEX('Retirement Calculator'!K:K,MATCH('Lorri 401b'!N3674,'Retirement Calculator'!A:A,0),0),0)</f>
        <v>0</v>
      </c>
      <c r="K3674" s="444">
        <f t="shared" ca="1" si="153"/>
        <v>-5896906943.179738</v>
      </c>
      <c r="L3674" s="444">
        <f t="shared" ca="1" si="154"/>
        <v>-1421154573306.3169</v>
      </c>
      <c r="M3674" s="460">
        <f t="shared" si="156"/>
        <v>0.05</v>
      </c>
      <c r="N3674" s="464">
        <f t="shared" si="157"/>
        <v>162869</v>
      </c>
    </row>
    <row r="3675" spans="7:14" ht="11.25" customHeight="1" x14ac:dyDescent="0.3">
      <c r="G3675" s="459"/>
      <c r="H3675" s="459">
        <v>3668</v>
      </c>
      <c r="I3675" s="444">
        <f t="shared" ca="1" si="155"/>
        <v>-1421154573306.3169</v>
      </c>
      <c r="J3675" s="444">
        <f t="array" ref="J3675">IFERROR(INDEX('Retirement Calculator'!K:K,MATCH('Lorri 401b'!N3675,'Retirement Calculator'!A:A,0),0),0)</f>
        <v>0</v>
      </c>
      <c r="K3675" s="444">
        <f t="shared" ca="1" si="153"/>
        <v>-5921477388.7763205</v>
      </c>
      <c r="L3675" s="444">
        <f t="shared" ca="1" si="154"/>
        <v>-1427076050695.0933</v>
      </c>
      <c r="M3675" s="460">
        <f t="shared" si="156"/>
        <v>0.05</v>
      </c>
      <c r="N3675" s="464">
        <f t="shared" si="157"/>
        <v>162900</v>
      </c>
    </row>
    <row r="3676" spans="7:14" ht="11.25" customHeight="1" x14ac:dyDescent="0.3">
      <c r="G3676" s="459"/>
      <c r="H3676" s="459">
        <v>3669</v>
      </c>
      <c r="I3676" s="444">
        <f t="shared" ca="1" si="155"/>
        <v>-1427076050695.0933</v>
      </c>
      <c r="J3676" s="444">
        <f t="array" ref="J3676">IFERROR(INDEX('Retirement Calculator'!K:K,MATCH('Lorri 401b'!N3676,'Retirement Calculator'!A:A,0),0),0)</f>
        <v>0</v>
      </c>
      <c r="K3676" s="444">
        <f t="shared" ca="1" si="153"/>
        <v>-5946150211.2295551</v>
      </c>
      <c r="L3676" s="444">
        <f t="shared" ca="1" si="154"/>
        <v>-1433022200906.3228</v>
      </c>
      <c r="M3676" s="460">
        <f t="shared" si="156"/>
        <v>0.05</v>
      </c>
      <c r="N3676" s="464">
        <f t="shared" si="157"/>
        <v>162931</v>
      </c>
    </row>
    <row r="3677" spans="7:14" ht="11.25" customHeight="1" x14ac:dyDescent="0.3">
      <c r="G3677" s="459"/>
      <c r="H3677" s="459">
        <v>3670</v>
      </c>
      <c r="I3677" s="444">
        <f t="shared" ca="1" si="155"/>
        <v>-1433022200906.3228</v>
      </c>
      <c r="J3677" s="444">
        <f t="array" ref="J3677">IFERROR(INDEX('Retirement Calculator'!K:K,MATCH('Lorri 401b'!N3677,'Retirement Calculator'!A:A,0),0),0)</f>
        <v>0</v>
      </c>
      <c r="K3677" s="444">
        <f t="shared" ca="1" si="153"/>
        <v>-5970925837.1096783</v>
      </c>
      <c r="L3677" s="444">
        <f t="shared" ca="1" si="154"/>
        <v>-1438993126743.4324</v>
      </c>
      <c r="M3677" s="460">
        <f t="shared" si="156"/>
        <v>0.05</v>
      </c>
      <c r="N3677" s="464">
        <f t="shared" si="157"/>
        <v>162959</v>
      </c>
    </row>
    <row r="3678" spans="7:14" ht="11.25" customHeight="1" x14ac:dyDescent="0.3">
      <c r="G3678" s="459"/>
      <c r="H3678" s="459">
        <v>3671</v>
      </c>
      <c r="I3678" s="444">
        <f t="shared" ca="1" si="155"/>
        <v>-1438993126743.4324</v>
      </c>
      <c r="J3678" s="444">
        <f t="array" ref="J3678">IFERROR(INDEX('Retirement Calculator'!K:K,MATCH('Lorri 401b'!N3678,'Retirement Calculator'!A:A,0),0),0)</f>
        <v>0</v>
      </c>
      <c r="K3678" s="444">
        <f t="shared" ca="1" si="153"/>
        <v>-5995804694.7643013</v>
      </c>
      <c r="L3678" s="444">
        <f t="shared" ca="1" si="154"/>
        <v>-1444988931438.1968</v>
      </c>
      <c r="M3678" s="460">
        <f t="shared" si="156"/>
        <v>0.05</v>
      </c>
      <c r="N3678" s="464">
        <f t="shared" si="157"/>
        <v>162990</v>
      </c>
    </row>
    <row r="3679" spans="7:14" ht="11.25" customHeight="1" x14ac:dyDescent="0.3">
      <c r="G3679" s="459"/>
      <c r="H3679" s="459">
        <v>3672</v>
      </c>
      <c r="I3679" s="444">
        <f t="shared" ca="1" si="155"/>
        <v>-1444988931438.1968</v>
      </c>
      <c r="J3679" s="444">
        <f t="array" ref="J3679">IFERROR(INDEX('Retirement Calculator'!K:K,MATCH('Lorri 401b'!N3679,'Retirement Calculator'!A:A,0),0),0)</f>
        <v>0</v>
      </c>
      <c r="K3679" s="444">
        <f t="shared" ca="1" si="153"/>
        <v>-6020787214.32582</v>
      </c>
      <c r="L3679" s="444">
        <f t="shared" ca="1" si="154"/>
        <v>-1451009718652.5227</v>
      </c>
      <c r="M3679" s="460">
        <f t="shared" si="156"/>
        <v>0.05</v>
      </c>
      <c r="N3679" s="464">
        <f t="shared" si="157"/>
        <v>163020</v>
      </c>
    </row>
    <row r="3680" spans="7:14" ht="11.25" customHeight="1" x14ac:dyDescent="0.3">
      <c r="G3680" s="459"/>
      <c r="H3680" s="459">
        <v>3673</v>
      </c>
      <c r="I3680" s="444">
        <f t="shared" ca="1" si="155"/>
        <v>-1451009718652.5227</v>
      </c>
      <c r="J3680" s="444">
        <f t="array" ref="J3680">IFERROR(INDEX('Retirement Calculator'!K:K,MATCH('Lorri 401b'!N3680,'Retirement Calculator'!A:A,0),0),0)</f>
        <v>0</v>
      </c>
      <c r="K3680" s="444">
        <f t="shared" ca="1" si="153"/>
        <v>-6045873827.7188444</v>
      </c>
      <c r="L3680" s="444">
        <f t="shared" ca="1" si="154"/>
        <v>-1457055592480.2415</v>
      </c>
      <c r="M3680" s="460">
        <f t="shared" si="156"/>
        <v>0.05</v>
      </c>
      <c r="N3680" s="464">
        <f t="shared" si="157"/>
        <v>163051</v>
      </c>
    </row>
    <row r="3681" spans="7:14" ht="11.25" customHeight="1" x14ac:dyDescent="0.3">
      <c r="G3681" s="459"/>
      <c r="H3681" s="459">
        <v>3674</v>
      </c>
      <c r="I3681" s="444">
        <f t="shared" ca="1" si="155"/>
        <v>-1457055592480.2415</v>
      </c>
      <c r="J3681" s="444">
        <f t="array" ref="J3681">IFERROR(INDEX('Retirement Calculator'!K:K,MATCH('Lorri 401b'!N3681,'Retirement Calculator'!A:A,0),0),0)</f>
        <v>0</v>
      </c>
      <c r="K3681" s="444">
        <f t="shared" ca="1" si="153"/>
        <v>-6071064968.6676731</v>
      </c>
      <c r="L3681" s="444">
        <f t="shared" ca="1" si="154"/>
        <v>-1463126657448.9092</v>
      </c>
      <c r="M3681" s="460">
        <f t="shared" si="156"/>
        <v>0.05</v>
      </c>
      <c r="N3681" s="464">
        <f t="shared" si="157"/>
        <v>163081</v>
      </c>
    </row>
    <row r="3682" spans="7:14" ht="11.25" customHeight="1" x14ac:dyDescent="0.3">
      <c r="G3682" s="459"/>
      <c r="H3682" s="459">
        <v>3675</v>
      </c>
      <c r="I3682" s="444">
        <f t="shared" ca="1" si="155"/>
        <v>-1463126657448.9092</v>
      </c>
      <c r="J3682" s="444">
        <f t="array" ref="J3682">IFERROR(INDEX('Retirement Calculator'!K:K,MATCH('Lorri 401b'!N3682,'Retirement Calculator'!A:A,0),0),0)</f>
        <v>0</v>
      </c>
      <c r="K3682" s="444">
        <f t="shared" ca="1" si="153"/>
        <v>-6096361072.7037878</v>
      </c>
      <c r="L3682" s="444">
        <f t="shared" ca="1" si="154"/>
        <v>-1469223018521.613</v>
      </c>
      <c r="M3682" s="460">
        <f t="shared" si="156"/>
        <v>0.05</v>
      </c>
      <c r="N3682" s="464">
        <f t="shared" si="157"/>
        <v>163112</v>
      </c>
    </row>
    <row r="3683" spans="7:14" ht="11.25" customHeight="1" x14ac:dyDescent="0.3">
      <c r="G3683" s="459"/>
      <c r="H3683" s="459">
        <v>3676</v>
      </c>
      <c r="I3683" s="444">
        <f t="shared" ca="1" si="155"/>
        <v>-1469223018521.613</v>
      </c>
      <c r="J3683" s="444">
        <f t="array" ref="J3683">IFERROR(INDEX('Retirement Calculator'!K:K,MATCH('Lorri 401b'!N3683,'Retirement Calculator'!A:A,0),0),0)</f>
        <v>0</v>
      </c>
      <c r="K3683" s="444">
        <f t="shared" ca="1" si="153"/>
        <v>-6121762577.1733875</v>
      </c>
      <c r="L3683" s="444">
        <f t="shared" ca="1" si="154"/>
        <v>-1475344781098.7864</v>
      </c>
      <c r="M3683" s="460">
        <f t="shared" si="156"/>
        <v>0.05</v>
      </c>
      <c r="N3683" s="464">
        <f t="shared" si="157"/>
        <v>163143</v>
      </c>
    </row>
    <row r="3684" spans="7:14" ht="11.25" customHeight="1" x14ac:dyDescent="0.3">
      <c r="G3684" s="459"/>
      <c r="H3684" s="459">
        <v>3677</v>
      </c>
      <c r="I3684" s="444">
        <f t="shared" ca="1" si="155"/>
        <v>-1475344781098.7864</v>
      </c>
      <c r="J3684" s="444">
        <f t="array" ref="J3684">IFERROR(INDEX('Retirement Calculator'!K:K,MATCH('Lorri 401b'!N3684,'Retirement Calculator'!A:A,0),0),0)</f>
        <v>0</v>
      </c>
      <c r="K3684" s="444">
        <f t="shared" ca="1" si="153"/>
        <v>-6147269921.2449436</v>
      </c>
      <c r="L3684" s="444">
        <f t="shared" ca="1" si="154"/>
        <v>-1481492051020.0313</v>
      </c>
      <c r="M3684" s="460">
        <f t="shared" si="156"/>
        <v>0.05</v>
      </c>
      <c r="N3684" s="464">
        <f t="shared" si="157"/>
        <v>163173</v>
      </c>
    </row>
    <row r="3685" spans="7:14" ht="11.25" customHeight="1" x14ac:dyDescent="0.3">
      <c r="G3685" s="459"/>
      <c r="H3685" s="459">
        <v>3678</v>
      </c>
      <c r="I3685" s="444">
        <f t="shared" ca="1" si="155"/>
        <v>-1481492051020.0313</v>
      </c>
      <c r="J3685" s="444">
        <f t="array" ref="J3685">IFERROR(INDEX('Retirement Calculator'!K:K,MATCH('Lorri 401b'!N3685,'Retirement Calculator'!A:A,0),0),0)</f>
        <v>0</v>
      </c>
      <c r="K3685" s="444">
        <f t="shared" ca="1" si="153"/>
        <v>-6172883545.9167967</v>
      </c>
      <c r="L3685" s="444">
        <f t="shared" ca="1" si="154"/>
        <v>-1487664934565.948</v>
      </c>
      <c r="M3685" s="460">
        <f t="shared" si="156"/>
        <v>0.05</v>
      </c>
      <c r="N3685" s="464">
        <f t="shared" si="157"/>
        <v>163204</v>
      </c>
    </row>
    <row r="3686" spans="7:14" ht="11.25" customHeight="1" x14ac:dyDescent="0.3">
      <c r="G3686" s="459"/>
      <c r="H3686" s="459">
        <v>3679</v>
      </c>
      <c r="I3686" s="444">
        <f t="shared" ca="1" si="155"/>
        <v>-1487664934565.948</v>
      </c>
      <c r="J3686" s="444">
        <f t="array" ref="J3686">IFERROR(INDEX('Retirement Calculator'!K:K,MATCH('Lorri 401b'!N3686,'Retirement Calculator'!A:A,0),0),0)</f>
        <v>0</v>
      </c>
      <c r="K3686" s="444">
        <f t="shared" ca="1" si="153"/>
        <v>-6198603894.0247831</v>
      </c>
      <c r="L3686" s="444">
        <f t="shared" ca="1" si="154"/>
        <v>-1493863538459.9729</v>
      </c>
      <c r="M3686" s="460">
        <f t="shared" si="156"/>
        <v>0.05</v>
      </c>
      <c r="N3686" s="464">
        <f t="shared" si="157"/>
        <v>163234</v>
      </c>
    </row>
    <row r="3687" spans="7:14" ht="11.25" customHeight="1" x14ac:dyDescent="0.3">
      <c r="G3687" s="459"/>
      <c r="H3687" s="459">
        <v>3680</v>
      </c>
      <c r="I3687" s="444">
        <f t="shared" ca="1" si="155"/>
        <v>-1493863538459.9729</v>
      </c>
      <c r="J3687" s="444">
        <f t="array" ref="J3687">IFERROR(INDEX('Retirement Calculator'!K:K,MATCH('Lorri 401b'!N3687,'Retirement Calculator'!A:A,0),0),0)</f>
        <v>0</v>
      </c>
      <c r="K3687" s="444">
        <f t="shared" ca="1" si="153"/>
        <v>-6224431410.2498875</v>
      </c>
      <c r="L3687" s="444">
        <f t="shared" ca="1" si="154"/>
        <v>-1500087969870.2229</v>
      </c>
      <c r="M3687" s="460">
        <f t="shared" si="156"/>
        <v>0.05</v>
      </c>
      <c r="N3687" s="464">
        <f t="shared" si="157"/>
        <v>163265</v>
      </c>
    </row>
    <row r="3688" spans="7:14" ht="11.25" customHeight="1" x14ac:dyDescent="0.3">
      <c r="G3688" s="459"/>
      <c r="H3688" s="459">
        <v>3681</v>
      </c>
      <c r="I3688" s="444">
        <f t="shared" ca="1" si="155"/>
        <v>-1500087969870.2229</v>
      </c>
      <c r="J3688" s="444">
        <f t="array" ref="J3688">IFERROR(INDEX('Retirement Calculator'!K:K,MATCH('Lorri 401b'!N3688,'Retirement Calculator'!A:A,0),0),0)</f>
        <v>0</v>
      </c>
      <c r="K3688" s="444">
        <f t="shared" ca="1" si="153"/>
        <v>-6250366541.1259289</v>
      </c>
      <c r="L3688" s="444">
        <f t="shared" ca="1" si="154"/>
        <v>-1506338336411.3489</v>
      </c>
      <c r="M3688" s="460">
        <f t="shared" si="156"/>
        <v>0.05</v>
      </c>
      <c r="N3688" s="464">
        <f t="shared" si="157"/>
        <v>163296</v>
      </c>
    </row>
    <row r="3689" spans="7:14" ht="11.25" customHeight="1" x14ac:dyDescent="0.3">
      <c r="G3689" s="459"/>
      <c r="H3689" s="459">
        <v>3682</v>
      </c>
      <c r="I3689" s="444">
        <f t="shared" ca="1" si="155"/>
        <v>-1506338336411.3489</v>
      </c>
      <c r="J3689" s="444">
        <f t="array" ref="J3689">IFERROR(INDEX('Retirement Calculator'!K:K,MATCH('Lorri 401b'!N3689,'Retirement Calculator'!A:A,0),0),0)</f>
        <v>0</v>
      </c>
      <c r="K3689" s="444">
        <f t="shared" ca="1" si="153"/>
        <v>-6276409735.047287</v>
      </c>
      <c r="L3689" s="444">
        <f t="shared" ca="1" si="154"/>
        <v>-1512614746146.3962</v>
      </c>
      <c r="M3689" s="460">
        <f t="shared" si="156"/>
        <v>0.05</v>
      </c>
      <c r="N3689" s="464">
        <f t="shared" si="157"/>
        <v>163324</v>
      </c>
    </row>
    <row r="3690" spans="7:14" ht="11.25" customHeight="1" x14ac:dyDescent="0.3">
      <c r="G3690" s="459"/>
      <c r="H3690" s="459">
        <v>3683</v>
      </c>
      <c r="I3690" s="444">
        <f t="shared" ca="1" si="155"/>
        <v>-1512614746146.3962</v>
      </c>
      <c r="J3690" s="444">
        <f t="array" ref="J3690">IFERROR(INDEX('Retirement Calculator'!K:K,MATCH('Lorri 401b'!N3690,'Retirement Calculator'!A:A,0),0),0)</f>
        <v>0</v>
      </c>
      <c r="K3690" s="444">
        <f t="shared" ca="1" si="153"/>
        <v>-6302561442.2766514</v>
      </c>
      <c r="L3690" s="444">
        <f t="shared" ca="1" si="154"/>
        <v>-1518917307588.6729</v>
      </c>
      <c r="M3690" s="460">
        <f t="shared" si="156"/>
        <v>0.05</v>
      </c>
      <c r="N3690" s="464">
        <f t="shared" si="157"/>
        <v>163355</v>
      </c>
    </row>
    <row r="3691" spans="7:14" ht="11.25" customHeight="1" x14ac:dyDescent="0.3">
      <c r="G3691" s="459"/>
      <c r="H3691" s="459">
        <v>3684</v>
      </c>
      <c r="I3691" s="444">
        <f t="shared" ca="1" si="155"/>
        <v>-1518917307588.6729</v>
      </c>
      <c r="J3691" s="444">
        <f t="array" ref="J3691">IFERROR(INDEX('Retirement Calculator'!K:K,MATCH('Lorri 401b'!N3691,'Retirement Calculator'!A:A,0),0),0)</f>
        <v>0</v>
      </c>
      <c r="K3691" s="444">
        <f t="shared" ca="1" si="153"/>
        <v>-6328822114.9528036</v>
      </c>
      <c r="L3691" s="444">
        <f t="shared" ca="1" si="154"/>
        <v>-1525246129703.6257</v>
      </c>
      <c r="M3691" s="460">
        <f t="shared" si="156"/>
        <v>0.05</v>
      </c>
      <c r="N3691" s="464">
        <f t="shared" si="157"/>
        <v>163385</v>
      </c>
    </row>
    <row r="3692" spans="7:14" ht="11.25" customHeight="1" x14ac:dyDescent="0.3">
      <c r="G3692" s="459"/>
      <c r="H3692" s="459">
        <v>3685</v>
      </c>
      <c r="I3692" s="444">
        <f t="shared" ca="1" si="155"/>
        <v>-1525246129703.6257</v>
      </c>
      <c r="J3692" s="444">
        <f t="array" ref="J3692">IFERROR(INDEX('Retirement Calculator'!K:K,MATCH('Lorri 401b'!N3692,'Retirement Calculator'!A:A,0),0),0)</f>
        <v>0</v>
      </c>
      <c r="K3692" s="444">
        <f t="shared" ca="1" si="153"/>
        <v>-6355192207.0984402</v>
      </c>
      <c r="L3692" s="444">
        <f t="shared" ca="1" si="154"/>
        <v>-1531601321910.7241</v>
      </c>
      <c r="M3692" s="460">
        <f t="shared" si="156"/>
        <v>0.05</v>
      </c>
      <c r="N3692" s="464">
        <f t="shared" si="157"/>
        <v>163416</v>
      </c>
    </row>
    <row r="3693" spans="7:14" ht="11.25" customHeight="1" x14ac:dyDescent="0.3">
      <c r="G3693" s="459"/>
      <c r="H3693" s="459">
        <v>3686</v>
      </c>
      <c r="I3693" s="444">
        <f t="shared" ca="1" si="155"/>
        <v>-1531601321910.7241</v>
      </c>
      <c r="J3693" s="444">
        <f t="array" ref="J3693">IFERROR(INDEX('Retirement Calculator'!K:K,MATCH('Lorri 401b'!N3693,'Retirement Calculator'!A:A,0),0),0)</f>
        <v>0</v>
      </c>
      <c r="K3693" s="444">
        <f t="shared" ca="1" si="153"/>
        <v>-6381672174.6280174</v>
      </c>
      <c r="L3693" s="444">
        <f t="shared" ca="1" si="154"/>
        <v>-1537982994085.3521</v>
      </c>
      <c r="M3693" s="460">
        <f t="shared" si="156"/>
        <v>0.05</v>
      </c>
      <c r="N3693" s="464">
        <f t="shared" si="157"/>
        <v>163446</v>
      </c>
    </row>
    <row r="3694" spans="7:14" ht="11.25" customHeight="1" x14ac:dyDescent="0.3">
      <c r="G3694" s="459"/>
      <c r="H3694" s="459">
        <v>3687</v>
      </c>
      <c r="I3694" s="444">
        <f t="shared" ca="1" si="155"/>
        <v>-1537982994085.3521</v>
      </c>
      <c r="J3694" s="444">
        <f t="array" ref="J3694">IFERROR(INDEX('Retirement Calculator'!K:K,MATCH('Lorri 401b'!N3694,'Retirement Calculator'!A:A,0),0),0)</f>
        <v>0</v>
      </c>
      <c r="K3694" s="444">
        <f t="shared" ca="1" si="153"/>
        <v>-6408262475.3556337</v>
      </c>
      <c r="L3694" s="444">
        <f t="shared" ca="1" si="154"/>
        <v>-1544391256560.7078</v>
      </c>
      <c r="M3694" s="460">
        <f t="shared" si="156"/>
        <v>0.05</v>
      </c>
      <c r="N3694" s="464">
        <f t="shared" si="157"/>
        <v>163477</v>
      </c>
    </row>
    <row r="3695" spans="7:14" ht="11.25" customHeight="1" x14ac:dyDescent="0.3">
      <c r="G3695" s="459"/>
      <c r="H3695" s="459">
        <v>3688</v>
      </c>
      <c r="I3695" s="444">
        <f t="shared" ca="1" si="155"/>
        <v>-1544391256560.7078</v>
      </c>
      <c r="J3695" s="444">
        <f t="array" ref="J3695">IFERROR(INDEX('Retirement Calculator'!K:K,MATCH('Lorri 401b'!N3695,'Retirement Calculator'!A:A,0),0),0)</f>
        <v>0</v>
      </c>
      <c r="K3695" s="444">
        <f t="shared" ca="1" si="153"/>
        <v>-6434963569.0029488</v>
      </c>
      <c r="L3695" s="444">
        <f t="shared" ca="1" si="154"/>
        <v>-1550826220129.7107</v>
      </c>
      <c r="M3695" s="460">
        <f t="shared" si="156"/>
        <v>0.05</v>
      </c>
      <c r="N3695" s="464">
        <f t="shared" si="157"/>
        <v>163508</v>
      </c>
    </row>
    <row r="3696" spans="7:14" ht="11.25" customHeight="1" x14ac:dyDescent="0.3">
      <c r="G3696" s="459"/>
      <c r="H3696" s="459">
        <v>3689</v>
      </c>
      <c r="I3696" s="444">
        <f t="shared" ca="1" si="155"/>
        <v>-1550826220129.7107</v>
      </c>
      <c r="J3696" s="444">
        <f t="array" ref="J3696">IFERROR(INDEX('Retirement Calculator'!K:K,MATCH('Lorri 401b'!N3696,'Retirement Calculator'!A:A,0),0),0)</f>
        <v>0</v>
      </c>
      <c r="K3696" s="444">
        <f t="shared" ca="1" si="153"/>
        <v>-6461775917.2071276</v>
      </c>
      <c r="L3696" s="444">
        <f t="shared" ca="1" si="154"/>
        <v>-1557287996046.9177</v>
      </c>
      <c r="M3696" s="460">
        <f t="shared" si="156"/>
        <v>0.05</v>
      </c>
      <c r="N3696" s="464">
        <f t="shared" si="157"/>
        <v>163538</v>
      </c>
    </row>
    <row r="3697" spans="7:14" ht="11.25" customHeight="1" x14ac:dyDescent="0.3">
      <c r="G3697" s="459"/>
      <c r="H3697" s="459">
        <v>3690</v>
      </c>
      <c r="I3697" s="444">
        <f t="shared" ca="1" si="155"/>
        <v>-1557287996046.9177</v>
      </c>
      <c r="J3697" s="444">
        <f t="array" ref="J3697">IFERROR(INDEX('Retirement Calculator'!K:K,MATCH('Lorri 401b'!N3697,'Retirement Calculator'!A:A,0),0),0)</f>
        <v>0</v>
      </c>
      <c r="K3697" s="444">
        <f t="shared" ca="1" si="153"/>
        <v>-6488699983.5288239</v>
      </c>
      <c r="L3697" s="444">
        <f t="shared" ca="1" si="154"/>
        <v>-1563776696030.4465</v>
      </c>
      <c r="M3697" s="460">
        <f t="shared" si="156"/>
        <v>0.05</v>
      </c>
      <c r="N3697" s="464">
        <f t="shared" si="157"/>
        <v>163569</v>
      </c>
    </row>
    <row r="3698" spans="7:14" ht="11.25" customHeight="1" x14ac:dyDescent="0.3">
      <c r="G3698" s="459"/>
      <c r="H3698" s="459">
        <v>3691</v>
      </c>
      <c r="I3698" s="444">
        <f t="shared" ca="1" si="155"/>
        <v>-1563776696030.4465</v>
      </c>
      <c r="J3698" s="444">
        <f t="array" ref="J3698">IFERROR(INDEX('Retirement Calculator'!K:K,MATCH('Lorri 401b'!N3698,'Retirement Calculator'!A:A,0),0),0)</f>
        <v>0</v>
      </c>
      <c r="K3698" s="444">
        <f t="shared" ca="1" si="153"/>
        <v>-6515736233.4601936</v>
      </c>
      <c r="L3698" s="444">
        <f t="shared" ca="1" si="154"/>
        <v>-1570292432263.9067</v>
      </c>
      <c r="M3698" s="460">
        <f t="shared" si="156"/>
        <v>0.05</v>
      </c>
      <c r="N3698" s="464">
        <f t="shared" si="157"/>
        <v>163599</v>
      </c>
    </row>
    <row r="3699" spans="7:14" ht="11.25" customHeight="1" x14ac:dyDescent="0.3">
      <c r="G3699" s="459"/>
      <c r="H3699" s="459">
        <v>3692</v>
      </c>
      <c r="I3699" s="444">
        <f t="shared" ca="1" si="155"/>
        <v>-1570292432263.9067</v>
      </c>
      <c r="J3699" s="444">
        <f t="array" ref="J3699">IFERROR(INDEX('Retirement Calculator'!K:K,MATCH('Lorri 401b'!N3699,'Retirement Calculator'!A:A,0),0),0)</f>
        <v>0</v>
      </c>
      <c r="K3699" s="444">
        <f t="shared" ca="1" si="153"/>
        <v>-6542885134.4329443</v>
      </c>
      <c r="L3699" s="444">
        <f t="shared" ca="1" si="154"/>
        <v>-1576835317398.3396</v>
      </c>
      <c r="M3699" s="460">
        <f t="shared" si="156"/>
        <v>0.05</v>
      </c>
      <c r="N3699" s="464">
        <f t="shared" si="157"/>
        <v>163630</v>
      </c>
    </row>
    <row r="3700" spans="7:14" ht="11.25" customHeight="1" x14ac:dyDescent="0.3">
      <c r="G3700" s="459"/>
      <c r="H3700" s="459">
        <v>3693</v>
      </c>
      <c r="I3700" s="444">
        <f t="shared" ca="1" si="155"/>
        <v>-1576835317398.3396</v>
      </c>
      <c r="J3700" s="444">
        <f t="array" ref="J3700">IFERROR(INDEX('Retirement Calculator'!K:K,MATCH('Lorri 401b'!N3700,'Retirement Calculator'!A:A,0),0),0)</f>
        <v>0</v>
      </c>
      <c r="K3700" s="444">
        <f t="shared" ca="1" si="153"/>
        <v>-6570147155.8264151</v>
      </c>
      <c r="L3700" s="444">
        <f t="shared" ca="1" si="154"/>
        <v>-1583405464554.166</v>
      </c>
      <c r="M3700" s="460">
        <f t="shared" si="156"/>
        <v>0.05</v>
      </c>
      <c r="N3700" s="464">
        <f t="shared" si="157"/>
        <v>163661</v>
      </c>
    </row>
    <row r="3701" spans="7:14" ht="11.25" customHeight="1" x14ac:dyDescent="0.3">
      <c r="G3701" s="459"/>
      <c r="H3701" s="459">
        <v>3694</v>
      </c>
      <c r="I3701" s="444">
        <f t="shared" ca="1" si="155"/>
        <v>-1583405464554.166</v>
      </c>
      <c r="J3701" s="444">
        <f t="array" ref="J3701">IFERROR(INDEX('Retirement Calculator'!K:K,MATCH('Lorri 401b'!N3701,'Retirement Calculator'!A:A,0),0),0)</f>
        <v>0</v>
      </c>
      <c r="K3701" s="444">
        <f t="shared" ca="1" si="153"/>
        <v>-6597522768.9756918</v>
      </c>
      <c r="L3701" s="444">
        <f t="shared" ca="1" si="154"/>
        <v>-1590002987323.1416</v>
      </c>
      <c r="M3701" s="460">
        <f t="shared" si="156"/>
        <v>0.05</v>
      </c>
      <c r="N3701" s="464">
        <f t="shared" si="157"/>
        <v>163690</v>
      </c>
    </row>
    <row r="3702" spans="7:14" ht="11.25" customHeight="1" x14ac:dyDescent="0.3">
      <c r="G3702" s="459"/>
      <c r="H3702" s="459">
        <v>3695</v>
      </c>
      <c r="I3702" s="444">
        <f t="shared" ca="1" si="155"/>
        <v>-1590002987323.1416</v>
      </c>
      <c r="J3702" s="444">
        <f t="array" ref="J3702">IFERROR(INDEX('Retirement Calculator'!K:K,MATCH('Lorri 401b'!N3702,'Retirement Calculator'!A:A,0),0),0)</f>
        <v>0</v>
      </c>
      <c r="K3702" s="444">
        <f t="shared" ca="1" si="153"/>
        <v>-6625012447.1797562</v>
      </c>
      <c r="L3702" s="444">
        <f t="shared" ca="1" si="154"/>
        <v>-1596627999770.3213</v>
      </c>
      <c r="M3702" s="460">
        <f t="shared" si="156"/>
        <v>0.05</v>
      </c>
      <c r="N3702" s="464">
        <f t="shared" si="157"/>
        <v>163721</v>
      </c>
    </row>
    <row r="3703" spans="7:14" ht="11.25" customHeight="1" x14ac:dyDescent="0.3">
      <c r="G3703" s="459"/>
      <c r="H3703" s="459">
        <v>3696</v>
      </c>
      <c r="I3703" s="444">
        <f t="shared" ca="1" si="155"/>
        <v>-1596627999770.3213</v>
      </c>
      <c r="J3703" s="444">
        <f t="array" ref="J3703">IFERROR(INDEX('Retirement Calculator'!K:K,MATCH('Lorri 401b'!N3703,'Retirement Calculator'!A:A,0),0),0)</f>
        <v>0</v>
      </c>
      <c r="K3703" s="444">
        <f t="shared" ca="1" si="153"/>
        <v>-6652616665.709672</v>
      </c>
      <c r="L3703" s="444">
        <f t="shared" ca="1" si="154"/>
        <v>-1603280616436.031</v>
      </c>
      <c r="M3703" s="460">
        <f t="shared" si="156"/>
        <v>0.05</v>
      </c>
      <c r="N3703" s="464">
        <f t="shared" si="157"/>
        <v>163751</v>
      </c>
    </row>
    <row r="3704" spans="7:14" ht="11.25" customHeight="1" x14ac:dyDescent="0.3">
      <c r="G3704" s="459"/>
      <c r="H3704" s="459">
        <v>3697</v>
      </c>
      <c r="I3704" s="444">
        <f t="shared" ca="1" si="155"/>
        <v>-1603280616436.031</v>
      </c>
      <c r="J3704" s="444">
        <f t="array" ref="J3704">IFERROR(INDEX('Retirement Calculator'!K:K,MATCH('Lorri 401b'!N3704,'Retirement Calculator'!A:A,0),0),0)</f>
        <v>0</v>
      </c>
      <c r="K3704" s="444">
        <f t="shared" ca="1" si="153"/>
        <v>-6680335901.8167953</v>
      </c>
      <c r="L3704" s="444">
        <f t="shared" ca="1" si="154"/>
        <v>-1609960952337.8479</v>
      </c>
      <c r="M3704" s="460">
        <f t="shared" si="156"/>
        <v>0.05</v>
      </c>
      <c r="N3704" s="464">
        <f t="shared" si="157"/>
        <v>163782</v>
      </c>
    </row>
    <row r="3705" spans="7:14" ht="11.25" customHeight="1" x14ac:dyDescent="0.3">
      <c r="G3705" s="459"/>
      <c r="H3705" s="459">
        <v>3698</v>
      </c>
      <c r="I3705" s="444">
        <f t="shared" ca="1" si="155"/>
        <v>-1609960952337.8479</v>
      </c>
      <c r="J3705" s="444">
        <f t="array" ref="J3705">IFERROR(INDEX('Retirement Calculator'!K:K,MATCH('Lorri 401b'!N3705,'Retirement Calculator'!A:A,0),0),0)</f>
        <v>0</v>
      </c>
      <c r="K3705" s="444">
        <f t="shared" ca="1" si="153"/>
        <v>-6708170634.7410326</v>
      </c>
      <c r="L3705" s="444">
        <f t="shared" ca="1" si="154"/>
        <v>-1616669122972.5889</v>
      </c>
      <c r="M3705" s="460">
        <f t="shared" si="156"/>
        <v>0.05</v>
      </c>
      <c r="N3705" s="464">
        <f t="shared" si="157"/>
        <v>163812</v>
      </c>
    </row>
    <row r="3706" spans="7:14" ht="11.25" customHeight="1" x14ac:dyDescent="0.3">
      <c r="G3706" s="459"/>
      <c r="H3706" s="459">
        <v>3699</v>
      </c>
      <c r="I3706" s="444">
        <f t="shared" ca="1" si="155"/>
        <v>-1616669122972.5889</v>
      </c>
      <c r="J3706" s="444">
        <f t="array" ref="J3706">IFERROR(INDEX('Retirement Calculator'!K:K,MATCH('Lorri 401b'!N3706,'Retirement Calculator'!A:A,0),0),0)</f>
        <v>0</v>
      </c>
      <c r="K3706" s="444">
        <f t="shared" ca="1" si="153"/>
        <v>-6736121345.71912</v>
      </c>
      <c r="L3706" s="444">
        <f t="shared" ca="1" si="154"/>
        <v>-1623405244318.3081</v>
      </c>
      <c r="M3706" s="460">
        <f t="shared" si="156"/>
        <v>0.05</v>
      </c>
      <c r="N3706" s="464">
        <f t="shared" si="157"/>
        <v>163843</v>
      </c>
    </row>
    <row r="3707" spans="7:14" ht="11.25" customHeight="1" x14ac:dyDescent="0.3">
      <c r="G3707" s="459"/>
      <c r="H3707" s="459">
        <v>3700</v>
      </c>
      <c r="I3707" s="444">
        <f t="shared" ca="1" si="155"/>
        <v>-1623405244318.3081</v>
      </c>
      <c r="J3707" s="444">
        <f t="array" ref="J3707">IFERROR(INDEX('Retirement Calculator'!K:K,MATCH('Lorri 401b'!N3707,'Retirement Calculator'!A:A,0),0),0)</f>
        <v>0</v>
      </c>
      <c r="K3707" s="444">
        <f t="shared" ca="1" si="153"/>
        <v>-6764188517.9929504</v>
      </c>
      <c r="L3707" s="444">
        <f t="shared" ca="1" si="154"/>
        <v>-1630169432836.301</v>
      </c>
      <c r="M3707" s="460">
        <f t="shared" si="156"/>
        <v>0.05</v>
      </c>
      <c r="N3707" s="464">
        <f t="shared" si="157"/>
        <v>163874</v>
      </c>
    </row>
    <row r="3708" spans="7:14" ht="11.25" customHeight="1" x14ac:dyDescent="0.3">
      <c r="G3708" s="459"/>
      <c r="H3708" s="459">
        <v>3701</v>
      </c>
      <c r="I3708" s="444">
        <f t="shared" ca="1" si="155"/>
        <v>-1630169432836.301</v>
      </c>
      <c r="J3708" s="444">
        <f t="array" ref="J3708">IFERROR(INDEX('Retirement Calculator'!K:K,MATCH('Lorri 401b'!N3708,'Retirement Calculator'!A:A,0),0),0)</f>
        <v>0</v>
      </c>
      <c r="K3708" s="444">
        <f t="shared" ca="1" si="153"/>
        <v>-6792372636.8179207</v>
      </c>
      <c r="L3708" s="444">
        <f t="shared" ca="1" si="154"/>
        <v>-1636961805473.1189</v>
      </c>
      <c r="M3708" s="460">
        <f t="shared" si="156"/>
        <v>0.05</v>
      </c>
      <c r="N3708" s="464">
        <f t="shared" si="157"/>
        <v>163904</v>
      </c>
    </row>
    <row r="3709" spans="7:14" ht="11.25" customHeight="1" x14ac:dyDescent="0.3">
      <c r="G3709" s="459"/>
      <c r="H3709" s="459">
        <v>3702</v>
      </c>
      <c r="I3709" s="444">
        <f t="shared" ca="1" si="155"/>
        <v>-1636961805473.1189</v>
      </c>
      <c r="J3709" s="444">
        <f t="array" ref="J3709">IFERROR(INDEX('Retirement Calculator'!K:K,MATCH('Lorri 401b'!N3709,'Retirement Calculator'!A:A,0),0),0)</f>
        <v>0</v>
      </c>
      <c r="K3709" s="444">
        <f t="shared" ca="1" si="153"/>
        <v>-6820674189.4713287</v>
      </c>
      <c r="L3709" s="444">
        <f t="shared" ca="1" si="154"/>
        <v>-1643782479662.5903</v>
      </c>
      <c r="M3709" s="460">
        <f t="shared" si="156"/>
        <v>0.05</v>
      </c>
      <c r="N3709" s="464">
        <f t="shared" si="157"/>
        <v>163935</v>
      </c>
    </row>
    <row r="3710" spans="7:14" ht="11.25" customHeight="1" x14ac:dyDescent="0.3">
      <c r="G3710" s="459"/>
      <c r="H3710" s="459">
        <v>3703</v>
      </c>
      <c r="I3710" s="444">
        <f t="shared" ca="1" si="155"/>
        <v>-1643782479662.5903</v>
      </c>
      <c r="J3710" s="444">
        <f t="array" ref="J3710">IFERROR(INDEX('Retirement Calculator'!K:K,MATCH('Lorri 401b'!N3710,'Retirement Calculator'!A:A,0),0),0)</f>
        <v>0</v>
      </c>
      <c r="K3710" s="444">
        <f t="shared" ca="1" si="153"/>
        <v>-6849093665.2607927</v>
      </c>
      <c r="L3710" s="444">
        <f t="shared" ca="1" si="154"/>
        <v>-1650631573327.8511</v>
      </c>
      <c r="M3710" s="460">
        <f t="shared" si="156"/>
        <v>0.05</v>
      </c>
      <c r="N3710" s="464">
        <f t="shared" si="157"/>
        <v>163965</v>
      </c>
    </row>
    <row r="3711" spans="7:14" ht="11.25" customHeight="1" x14ac:dyDescent="0.3">
      <c r="G3711" s="459"/>
      <c r="H3711" s="459">
        <v>3704</v>
      </c>
      <c r="I3711" s="444">
        <f t="shared" ca="1" si="155"/>
        <v>-1650631573327.8511</v>
      </c>
      <c r="J3711" s="444">
        <f t="array" ref="J3711">IFERROR(INDEX('Retirement Calculator'!K:K,MATCH('Lorri 401b'!N3711,'Retirement Calculator'!A:A,0),0),0)</f>
        <v>0</v>
      </c>
      <c r="K3711" s="444">
        <f t="shared" ca="1" si="153"/>
        <v>-6877631555.5327129</v>
      </c>
      <c r="L3711" s="444">
        <f t="shared" ca="1" si="154"/>
        <v>-1657509204883.3838</v>
      </c>
      <c r="M3711" s="460">
        <f t="shared" si="156"/>
        <v>0.05</v>
      </c>
      <c r="N3711" s="464">
        <f t="shared" si="157"/>
        <v>163996</v>
      </c>
    </row>
    <row r="3712" spans="7:14" ht="11.25" customHeight="1" x14ac:dyDescent="0.3">
      <c r="G3712" s="459"/>
      <c r="H3712" s="459">
        <v>3705</v>
      </c>
      <c r="I3712" s="444">
        <f t="shared" ca="1" si="155"/>
        <v>-1657509204883.3838</v>
      </c>
      <c r="J3712" s="444">
        <f t="array" ref="J3712">IFERROR(INDEX('Retirement Calculator'!K:K,MATCH('Lorri 401b'!N3712,'Retirement Calculator'!A:A,0),0),0)</f>
        <v>0</v>
      </c>
      <c r="K3712" s="444">
        <f t="shared" ca="1" si="153"/>
        <v>-6906288353.6807661</v>
      </c>
      <c r="L3712" s="444">
        <f t="shared" ca="1" si="154"/>
        <v>-1664415493237.0645</v>
      </c>
      <c r="M3712" s="460">
        <f t="shared" si="156"/>
        <v>0.05</v>
      </c>
      <c r="N3712" s="464">
        <f t="shared" si="157"/>
        <v>164027</v>
      </c>
    </row>
    <row r="3713" spans="7:14" ht="11.25" customHeight="1" x14ac:dyDescent="0.3">
      <c r="G3713" s="459"/>
      <c r="H3713" s="459">
        <v>3706</v>
      </c>
      <c r="I3713" s="444">
        <f t="shared" ca="1" si="155"/>
        <v>-1664415493237.0645</v>
      </c>
      <c r="J3713" s="444">
        <f t="array" ref="J3713">IFERROR(INDEX('Retirement Calculator'!K:K,MATCH('Lorri 401b'!N3713,'Retirement Calculator'!A:A,0),0),0)</f>
        <v>0</v>
      </c>
      <c r="K3713" s="444">
        <f t="shared" ca="1" si="153"/>
        <v>-6935064555.1544352</v>
      </c>
      <c r="L3713" s="444">
        <f t="shared" ca="1" si="154"/>
        <v>-1671350557792.219</v>
      </c>
      <c r="M3713" s="460">
        <f t="shared" si="156"/>
        <v>0.05</v>
      </c>
      <c r="N3713" s="464">
        <f t="shared" si="157"/>
        <v>164055</v>
      </c>
    </row>
    <row r="3714" spans="7:14" ht="11.25" customHeight="1" x14ac:dyDescent="0.3">
      <c r="G3714" s="459"/>
      <c r="H3714" s="459">
        <v>3707</v>
      </c>
      <c r="I3714" s="444">
        <f t="shared" ca="1" si="155"/>
        <v>-1671350557792.219</v>
      </c>
      <c r="J3714" s="444">
        <f t="array" ref="J3714">IFERROR(INDEX('Retirement Calculator'!K:K,MATCH('Lorri 401b'!N3714,'Retirement Calculator'!A:A,0),0),0)</f>
        <v>0</v>
      </c>
      <c r="K3714" s="444">
        <f t="shared" ca="1" si="153"/>
        <v>-6963960657.4675789</v>
      </c>
      <c r="L3714" s="444">
        <f t="shared" ca="1" si="154"/>
        <v>-1678314518449.6865</v>
      </c>
      <c r="M3714" s="460">
        <f t="shared" si="156"/>
        <v>0.05</v>
      </c>
      <c r="N3714" s="464">
        <f t="shared" si="157"/>
        <v>164086</v>
      </c>
    </row>
    <row r="3715" spans="7:14" ht="11.25" customHeight="1" x14ac:dyDescent="0.3">
      <c r="G3715" s="459"/>
      <c r="H3715" s="459">
        <v>3708</v>
      </c>
      <c r="I3715" s="444">
        <f t="shared" ca="1" si="155"/>
        <v>-1678314518449.6865</v>
      </c>
      <c r="J3715" s="444">
        <f t="array" ref="J3715">IFERROR(INDEX('Retirement Calculator'!K:K,MATCH('Lorri 401b'!N3715,'Retirement Calculator'!A:A,0),0),0)</f>
        <v>0</v>
      </c>
      <c r="K3715" s="444">
        <f t="shared" ca="1" si="153"/>
        <v>-6992977160.2070274</v>
      </c>
      <c r="L3715" s="444">
        <f t="shared" ca="1" si="154"/>
        <v>-1685307495609.8936</v>
      </c>
      <c r="M3715" s="460">
        <f t="shared" si="156"/>
        <v>0.05</v>
      </c>
      <c r="N3715" s="464">
        <f t="shared" si="157"/>
        <v>164116</v>
      </c>
    </row>
    <row r="3716" spans="7:14" ht="11.25" customHeight="1" x14ac:dyDescent="0.3">
      <c r="G3716" s="459"/>
      <c r="H3716" s="459">
        <v>3709</v>
      </c>
      <c r="I3716" s="444">
        <f t="shared" ca="1" si="155"/>
        <v>-1685307495609.8936</v>
      </c>
      <c r="J3716" s="444">
        <f t="array" ref="J3716">IFERROR(INDEX('Retirement Calculator'!K:K,MATCH('Lorri 401b'!N3716,'Retirement Calculator'!A:A,0),0),0)</f>
        <v>0</v>
      </c>
      <c r="K3716" s="444">
        <f t="shared" ca="1" si="153"/>
        <v>-7022114565.0412226</v>
      </c>
      <c r="L3716" s="444">
        <f t="shared" ca="1" si="154"/>
        <v>-1692329610174.9348</v>
      </c>
      <c r="M3716" s="460">
        <f t="shared" si="156"/>
        <v>0.05</v>
      </c>
      <c r="N3716" s="464">
        <f t="shared" si="157"/>
        <v>164147</v>
      </c>
    </row>
    <row r="3717" spans="7:14" ht="11.25" customHeight="1" x14ac:dyDescent="0.3">
      <c r="G3717" s="459"/>
      <c r="H3717" s="459">
        <v>3710</v>
      </c>
      <c r="I3717" s="444">
        <f t="shared" ca="1" si="155"/>
        <v>-1692329610174.9348</v>
      </c>
      <c r="J3717" s="444">
        <f t="array" ref="J3717">IFERROR(INDEX('Retirement Calculator'!K:K,MATCH('Lorri 401b'!N3717,'Retirement Calculator'!A:A,0),0),0)</f>
        <v>0</v>
      </c>
      <c r="K3717" s="444">
        <f t="shared" ca="1" si="153"/>
        <v>-7051373375.7288952</v>
      </c>
      <c r="L3717" s="444">
        <f t="shared" ca="1" si="154"/>
        <v>-1699380983550.6638</v>
      </c>
      <c r="M3717" s="460">
        <f t="shared" si="156"/>
        <v>0.05</v>
      </c>
      <c r="N3717" s="464">
        <f t="shared" si="157"/>
        <v>164177</v>
      </c>
    </row>
    <row r="3718" spans="7:14" ht="11.25" customHeight="1" x14ac:dyDescent="0.3">
      <c r="G3718" s="459"/>
      <c r="H3718" s="459">
        <v>3711</v>
      </c>
      <c r="I3718" s="444">
        <f t="shared" ca="1" si="155"/>
        <v>-1699380983550.6638</v>
      </c>
      <c r="J3718" s="444">
        <f t="array" ref="J3718">IFERROR(INDEX('Retirement Calculator'!K:K,MATCH('Lorri 401b'!N3718,'Retirement Calculator'!A:A,0),0),0)</f>
        <v>0</v>
      </c>
      <c r="K3718" s="444">
        <f t="shared" ca="1" si="153"/>
        <v>-7080754098.1277657</v>
      </c>
      <c r="L3718" s="444">
        <f t="shared" ca="1" si="154"/>
        <v>-1706461737648.7915</v>
      </c>
      <c r="M3718" s="460">
        <f t="shared" si="156"/>
        <v>0.05</v>
      </c>
      <c r="N3718" s="464">
        <f t="shared" si="157"/>
        <v>164208</v>
      </c>
    </row>
    <row r="3719" spans="7:14" ht="11.25" customHeight="1" x14ac:dyDescent="0.3">
      <c r="G3719" s="459"/>
      <c r="H3719" s="459">
        <v>3712</v>
      </c>
      <c r="I3719" s="444">
        <f t="shared" ca="1" si="155"/>
        <v>-1706461737648.7915</v>
      </c>
      <c r="J3719" s="444">
        <f t="array" ref="J3719">IFERROR(INDEX('Retirement Calculator'!K:K,MATCH('Lorri 401b'!N3719,'Retirement Calculator'!A:A,0),0),0)</f>
        <v>0</v>
      </c>
      <c r="K3719" s="444">
        <f t="shared" ca="1" si="153"/>
        <v>-7110257240.2032976</v>
      </c>
      <c r="L3719" s="444">
        <f t="shared" ca="1" si="154"/>
        <v>-1713571994888.9949</v>
      </c>
      <c r="M3719" s="460">
        <f t="shared" si="156"/>
        <v>0.05</v>
      </c>
      <c r="N3719" s="464">
        <f t="shared" si="157"/>
        <v>164239</v>
      </c>
    </row>
    <row r="3720" spans="7:14" ht="11.25" customHeight="1" x14ac:dyDescent="0.3">
      <c r="G3720" s="459"/>
      <c r="H3720" s="459">
        <v>3713</v>
      </c>
      <c r="I3720" s="444">
        <f t="shared" ca="1" si="155"/>
        <v>-1713571994888.9949</v>
      </c>
      <c r="J3720" s="444">
        <f t="array" ref="J3720">IFERROR(INDEX('Retirement Calculator'!K:K,MATCH('Lorri 401b'!N3720,'Retirement Calculator'!A:A,0),0),0)</f>
        <v>0</v>
      </c>
      <c r="K3720" s="444">
        <f t="shared" ca="1" si="153"/>
        <v>-7139883312.0374784</v>
      </c>
      <c r="L3720" s="444">
        <f t="shared" ca="1" si="154"/>
        <v>-1720711878201.0325</v>
      </c>
      <c r="M3720" s="460">
        <f t="shared" si="156"/>
        <v>0.05</v>
      </c>
      <c r="N3720" s="464">
        <f t="shared" si="157"/>
        <v>164269</v>
      </c>
    </row>
    <row r="3721" spans="7:14" ht="11.25" customHeight="1" x14ac:dyDescent="0.3">
      <c r="G3721" s="459"/>
      <c r="H3721" s="459">
        <v>3714</v>
      </c>
      <c r="I3721" s="444">
        <f t="shared" ca="1" si="155"/>
        <v>-1720711878201.0325</v>
      </c>
      <c r="J3721" s="444">
        <f t="array" ref="J3721">IFERROR(INDEX('Retirement Calculator'!K:K,MATCH('Lorri 401b'!N3721,'Retirement Calculator'!A:A,0),0),0)</f>
        <v>0</v>
      </c>
      <c r="K3721" s="444">
        <f t="shared" ca="1" si="153"/>
        <v>-7169632825.8376341</v>
      </c>
      <c r="L3721" s="444">
        <f t="shared" ca="1" si="154"/>
        <v>-1727881511026.8701</v>
      </c>
      <c r="M3721" s="460">
        <f t="shared" si="156"/>
        <v>0.05</v>
      </c>
      <c r="N3721" s="464">
        <f t="shared" si="157"/>
        <v>164300</v>
      </c>
    </row>
    <row r="3722" spans="7:14" ht="11.25" customHeight="1" x14ac:dyDescent="0.3">
      <c r="G3722" s="459"/>
      <c r="H3722" s="459">
        <v>3715</v>
      </c>
      <c r="I3722" s="444">
        <f t="shared" ca="1" si="155"/>
        <v>-1727881511026.8701</v>
      </c>
      <c r="J3722" s="444">
        <f t="array" ref="J3722">IFERROR(INDEX('Retirement Calculator'!K:K,MATCH('Lorri 401b'!N3722,'Retirement Calculator'!A:A,0),0),0)</f>
        <v>0</v>
      </c>
      <c r="K3722" s="444">
        <f t="shared" ca="1" si="153"/>
        <v>-7199506295.9452925</v>
      </c>
      <c r="L3722" s="444">
        <f t="shared" ca="1" si="154"/>
        <v>-1735081017322.8154</v>
      </c>
      <c r="M3722" s="460">
        <f t="shared" si="156"/>
        <v>0.05</v>
      </c>
      <c r="N3722" s="464">
        <f t="shared" si="157"/>
        <v>164330</v>
      </c>
    </row>
    <row r="3723" spans="7:14" ht="11.25" customHeight="1" x14ac:dyDescent="0.3">
      <c r="G3723" s="459"/>
      <c r="H3723" s="459">
        <v>3716</v>
      </c>
      <c r="I3723" s="444">
        <f t="shared" ca="1" si="155"/>
        <v>-1735081017322.8154</v>
      </c>
      <c r="J3723" s="444">
        <f t="array" ref="J3723">IFERROR(INDEX('Retirement Calculator'!K:K,MATCH('Lorri 401b'!N3723,'Retirement Calculator'!A:A,0),0),0)</f>
        <v>0</v>
      </c>
      <c r="K3723" s="444">
        <f t="shared" ca="1" si="153"/>
        <v>-7229504238.8450632</v>
      </c>
      <c r="L3723" s="444">
        <f t="shared" ca="1" si="154"/>
        <v>-1742310521561.6604</v>
      </c>
      <c r="M3723" s="460">
        <f t="shared" si="156"/>
        <v>0.05</v>
      </c>
      <c r="N3723" s="464">
        <f t="shared" si="157"/>
        <v>164361</v>
      </c>
    </row>
    <row r="3724" spans="7:14" ht="11.25" customHeight="1" x14ac:dyDescent="0.3">
      <c r="G3724" s="459"/>
      <c r="H3724" s="459">
        <v>3717</v>
      </c>
      <c r="I3724" s="444">
        <f t="shared" ca="1" si="155"/>
        <v>-1742310521561.6604</v>
      </c>
      <c r="J3724" s="444">
        <f t="array" ref="J3724">IFERROR(INDEX('Retirement Calculator'!K:K,MATCH('Lorri 401b'!N3724,'Retirement Calculator'!A:A,0),0),0)</f>
        <v>0</v>
      </c>
      <c r="K3724" s="444">
        <f t="shared" ca="1" si="153"/>
        <v>-7259627173.1735849</v>
      </c>
      <c r="L3724" s="444">
        <f t="shared" ca="1" si="154"/>
        <v>-1749570148734.834</v>
      </c>
      <c r="M3724" s="460">
        <f t="shared" si="156"/>
        <v>0.05</v>
      </c>
      <c r="N3724" s="464">
        <f t="shared" si="157"/>
        <v>164392</v>
      </c>
    </row>
    <row r="3725" spans="7:14" ht="11.25" customHeight="1" x14ac:dyDescent="0.3">
      <c r="G3725" s="459"/>
      <c r="H3725" s="459">
        <v>3718</v>
      </c>
      <c r="I3725" s="444">
        <f t="shared" ca="1" si="155"/>
        <v>-1749570148734.834</v>
      </c>
      <c r="J3725" s="444">
        <f t="array" ref="J3725">IFERROR(INDEX('Retirement Calculator'!K:K,MATCH('Lorri 401b'!N3725,'Retirement Calculator'!A:A,0),0),0)</f>
        <v>0</v>
      </c>
      <c r="K3725" s="444">
        <f t="shared" ca="1" si="153"/>
        <v>-7289875619.7284746</v>
      </c>
      <c r="L3725" s="444">
        <f t="shared" ca="1" si="154"/>
        <v>-1756860024354.5625</v>
      </c>
      <c r="M3725" s="460">
        <f t="shared" si="156"/>
        <v>0.05</v>
      </c>
      <c r="N3725" s="464">
        <f t="shared" si="157"/>
        <v>164420</v>
      </c>
    </row>
    <row r="3726" spans="7:14" ht="11.25" customHeight="1" x14ac:dyDescent="0.3">
      <c r="G3726" s="459"/>
      <c r="H3726" s="459">
        <v>3719</v>
      </c>
      <c r="I3726" s="444">
        <f t="shared" ca="1" si="155"/>
        <v>-1756860024354.5625</v>
      </c>
      <c r="J3726" s="444">
        <f t="array" ref="J3726">IFERROR(INDEX('Retirement Calculator'!K:K,MATCH('Lorri 401b'!N3726,'Retirement Calculator'!A:A,0),0),0)</f>
        <v>0</v>
      </c>
      <c r="K3726" s="444">
        <f t="shared" ca="1" si="153"/>
        <v>-7320250101.4773445</v>
      </c>
      <c r="L3726" s="444">
        <f t="shared" ca="1" si="154"/>
        <v>-1764180274456.0398</v>
      </c>
      <c r="M3726" s="460">
        <f t="shared" si="156"/>
        <v>0.05</v>
      </c>
      <c r="N3726" s="464">
        <f t="shared" si="157"/>
        <v>164451</v>
      </c>
    </row>
    <row r="3727" spans="7:14" ht="11.25" customHeight="1" x14ac:dyDescent="0.3">
      <c r="G3727" s="459"/>
      <c r="H3727" s="459">
        <v>3720</v>
      </c>
      <c r="I3727" s="444">
        <f t="shared" ca="1" si="155"/>
        <v>-1764180274456.0398</v>
      </c>
      <c r="J3727" s="444">
        <f t="array" ref="J3727">IFERROR(INDEX('Retirement Calculator'!K:K,MATCH('Lorri 401b'!N3727,'Retirement Calculator'!A:A,0),0),0)</f>
        <v>0</v>
      </c>
      <c r="K3727" s="444">
        <f t="shared" ca="1" si="153"/>
        <v>-7350751143.5668325</v>
      </c>
      <c r="L3727" s="444">
        <f t="shared" ca="1" si="154"/>
        <v>-1771531025599.6067</v>
      </c>
      <c r="M3727" s="460">
        <f t="shared" si="156"/>
        <v>0.05</v>
      </c>
      <c r="N3727" s="464">
        <f t="shared" si="157"/>
        <v>164481</v>
      </c>
    </row>
    <row r="3728" spans="7:14" ht="11.25" customHeight="1" x14ac:dyDescent="0.3">
      <c r="G3728" s="459"/>
      <c r="H3728" s="459">
        <v>3721</v>
      </c>
      <c r="I3728" s="444">
        <f t="shared" ca="1" si="155"/>
        <v>-1771531025599.6067</v>
      </c>
      <c r="J3728" s="444">
        <f t="array" ref="J3728">IFERROR(INDEX('Retirement Calculator'!K:K,MATCH('Lorri 401b'!N3728,'Retirement Calculator'!A:A,0),0),0)</f>
        <v>0</v>
      </c>
      <c r="K3728" s="444">
        <f t="shared" ca="1" si="153"/>
        <v>-7381379273.3316946</v>
      </c>
      <c r="L3728" s="444">
        <f t="shared" ca="1" si="154"/>
        <v>-1778912404872.9385</v>
      </c>
      <c r="M3728" s="460">
        <f t="shared" si="156"/>
        <v>0.05</v>
      </c>
      <c r="N3728" s="464">
        <f t="shared" si="157"/>
        <v>164512</v>
      </c>
    </row>
    <row r="3729" spans="7:14" ht="11.25" customHeight="1" x14ac:dyDescent="0.3">
      <c r="G3729" s="459"/>
      <c r="H3729" s="459">
        <v>3722</v>
      </c>
      <c r="I3729" s="444">
        <f t="shared" ca="1" si="155"/>
        <v>-1778912404872.9385</v>
      </c>
      <c r="J3729" s="444">
        <f t="array" ref="J3729">IFERROR(INDEX('Retirement Calculator'!K:K,MATCH('Lorri 401b'!N3729,'Retirement Calculator'!A:A,0),0),0)</f>
        <v>0</v>
      </c>
      <c r="K3729" s="444">
        <f t="shared" ca="1" si="153"/>
        <v>-7412135020.3039103</v>
      </c>
      <c r="L3729" s="444">
        <f t="shared" ca="1" si="154"/>
        <v>-1786324539893.2424</v>
      </c>
      <c r="M3729" s="460">
        <f t="shared" si="156"/>
        <v>0.05</v>
      </c>
      <c r="N3729" s="464">
        <f t="shared" si="157"/>
        <v>164542</v>
      </c>
    </row>
    <row r="3730" spans="7:14" ht="11.25" customHeight="1" x14ac:dyDescent="0.3">
      <c r="G3730" s="459"/>
      <c r="H3730" s="459">
        <v>3723</v>
      </c>
      <c r="I3730" s="444">
        <f t="shared" ca="1" si="155"/>
        <v>-1786324539893.2424</v>
      </c>
      <c r="J3730" s="444">
        <f t="array" ref="J3730">IFERROR(INDEX('Retirement Calculator'!K:K,MATCH('Lorri 401b'!N3730,'Retirement Calculator'!A:A,0),0),0)</f>
        <v>0</v>
      </c>
      <c r="K3730" s="444">
        <f t="shared" ca="1" si="153"/>
        <v>-7443018916.2218437</v>
      </c>
      <c r="L3730" s="444">
        <f t="shared" ca="1" si="154"/>
        <v>-1793767558809.4644</v>
      </c>
      <c r="M3730" s="460">
        <f t="shared" si="156"/>
        <v>0.05</v>
      </c>
      <c r="N3730" s="464">
        <f t="shared" si="157"/>
        <v>164573</v>
      </c>
    </row>
    <row r="3731" spans="7:14" ht="11.25" customHeight="1" x14ac:dyDescent="0.3">
      <c r="G3731" s="459"/>
      <c r="H3731" s="459">
        <v>3724</v>
      </c>
      <c r="I3731" s="444">
        <f t="shared" ca="1" si="155"/>
        <v>-1793767558809.4644</v>
      </c>
      <c r="J3731" s="444">
        <f t="array" ref="J3731">IFERROR(INDEX('Retirement Calculator'!K:K,MATCH('Lorri 401b'!N3731,'Retirement Calculator'!A:A,0),0),0)</f>
        <v>0</v>
      </c>
      <c r="K3731" s="444">
        <f t="shared" ca="1" si="153"/>
        <v>-7474031495.0394335</v>
      </c>
      <c r="L3731" s="444">
        <f t="shared" ca="1" si="154"/>
        <v>-1801241590304.5039</v>
      </c>
      <c r="M3731" s="460">
        <f t="shared" si="156"/>
        <v>0.05</v>
      </c>
      <c r="N3731" s="464">
        <f t="shared" si="157"/>
        <v>164604</v>
      </c>
    </row>
    <row r="3732" spans="7:14" ht="11.25" customHeight="1" x14ac:dyDescent="0.3">
      <c r="G3732" s="459"/>
      <c r="H3732" s="459">
        <v>3725</v>
      </c>
      <c r="I3732" s="444">
        <f t="shared" ca="1" si="155"/>
        <v>-1801241590304.5039</v>
      </c>
      <c r="J3732" s="444">
        <f t="array" ref="J3732">IFERROR(INDEX('Retirement Calculator'!K:K,MATCH('Lorri 401b'!N3732,'Retirement Calculator'!A:A,0),0),0)</f>
        <v>0</v>
      </c>
      <c r="K3732" s="444">
        <f t="shared" ca="1" si="153"/>
        <v>-7505173292.9354324</v>
      </c>
      <c r="L3732" s="444">
        <f t="shared" ca="1" si="154"/>
        <v>-1808746763597.4395</v>
      </c>
      <c r="M3732" s="460">
        <f t="shared" si="156"/>
        <v>0.05</v>
      </c>
      <c r="N3732" s="464">
        <f t="shared" si="157"/>
        <v>164634</v>
      </c>
    </row>
    <row r="3733" spans="7:14" ht="11.25" customHeight="1" x14ac:dyDescent="0.3">
      <c r="G3733" s="459"/>
      <c r="H3733" s="459">
        <v>3726</v>
      </c>
      <c r="I3733" s="444">
        <f t="shared" ca="1" si="155"/>
        <v>-1808746763597.4395</v>
      </c>
      <c r="J3733" s="444">
        <f t="array" ref="J3733">IFERROR(INDEX('Retirement Calculator'!K:K,MATCH('Lorri 401b'!N3733,'Retirement Calculator'!A:A,0),0),0)</f>
        <v>0</v>
      </c>
      <c r="K3733" s="444">
        <f t="shared" ca="1" si="153"/>
        <v>-7536444848.3226643</v>
      </c>
      <c r="L3733" s="444">
        <f t="shared" ca="1" si="154"/>
        <v>-1816283208445.7622</v>
      </c>
      <c r="M3733" s="460">
        <f t="shared" si="156"/>
        <v>0.05</v>
      </c>
      <c r="N3733" s="464">
        <f t="shared" si="157"/>
        <v>164665</v>
      </c>
    </row>
    <row r="3734" spans="7:14" ht="11.25" customHeight="1" x14ac:dyDescent="0.3">
      <c r="G3734" s="459"/>
      <c r="H3734" s="459">
        <v>3727</v>
      </c>
      <c r="I3734" s="444">
        <f t="shared" ca="1" si="155"/>
        <v>-1816283208445.7622</v>
      </c>
      <c r="J3734" s="444">
        <f t="array" ref="J3734">IFERROR(INDEX('Retirement Calculator'!K:K,MATCH('Lorri 401b'!N3734,'Retirement Calculator'!A:A,0),0),0)</f>
        <v>0</v>
      </c>
      <c r="K3734" s="444">
        <f t="shared" ca="1" si="153"/>
        <v>-7567846701.8573427</v>
      </c>
      <c r="L3734" s="444">
        <f t="shared" ca="1" si="154"/>
        <v>-1823851055147.6196</v>
      </c>
      <c r="M3734" s="460">
        <f t="shared" si="156"/>
        <v>0.05</v>
      </c>
      <c r="N3734" s="464">
        <f t="shared" si="157"/>
        <v>164695</v>
      </c>
    </row>
    <row r="3735" spans="7:14" ht="11.25" customHeight="1" x14ac:dyDescent="0.3">
      <c r="G3735" s="459"/>
      <c r="H3735" s="459">
        <v>3728</v>
      </c>
      <c r="I3735" s="444">
        <f t="shared" ca="1" si="155"/>
        <v>-1823851055147.6196</v>
      </c>
      <c r="J3735" s="444">
        <f t="array" ref="J3735">IFERROR(INDEX('Retirement Calculator'!K:K,MATCH('Lorri 401b'!N3735,'Retirement Calculator'!A:A,0),0),0)</f>
        <v>0</v>
      </c>
      <c r="K3735" s="444">
        <f t="shared" ca="1" si="153"/>
        <v>-7599379396.4484148</v>
      </c>
      <c r="L3735" s="444">
        <f t="shared" ca="1" si="154"/>
        <v>-1831450434544.0681</v>
      </c>
      <c r="M3735" s="460">
        <f t="shared" si="156"/>
        <v>0.05</v>
      </c>
      <c r="N3735" s="464">
        <f t="shared" si="157"/>
        <v>164726</v>
      </c>
    </row>
    <row r="3736" spans="7:14" ht="11.25" customHeight="1" x14ac:dyDescent="0.3">
      <c r="G3736" s="459"/>
      <c r="H3736" s="459">
        <v>3729</v>
      </c>
      <c r="I3736" s="444">
        <f t="shared" ca="1" si="155"/>
        <v>-1831450434544.0681</v>
      </c>
      <c r="J3736" s="444">
        <f t="array" ref="J3736">IFERROR(INDEX('Retirement Calculator'!K:K,MATCH('Lorri 401b'!N3736,'Retirement Calculator'!A:A,0),0),0)</f>
        <v>0</v>
      </c>
      <c r="K3736" s="444">
        <f t="shared" ca="1" si="153"/>
        <v>-7631043477.2669506</v>
      </c>
      <c r="L3736" s="444">
        <f t="shared" ca="1" si="154"/>
        <v>-1839081478021.335</v>
      </c>
      <c r="M3736" s="460">
        <f t="shared" si="156"/>
        <v>0.05</v>
      </c>
      <c r="N3736" s="464">
        <f t="shared" si="157"/>
        <v>164757</v>
      </c>
    </row>
    <row r="3737" spans="7:14" ht="11.25" customHeight="1" x14ac:dyDescent="0.3">
      <c r="G3737" s="459"/>
      <c r="H3737" s="459">
        <v>3730</v>
      </c>
      <c r="I3737" s="444">
        <f t="shared" ca="1" si="155"/>
        <v>-1839081478021.335</v>
      </c>
      <c r="J3737" s="444">
        <f t="array" ref="J3737">IFERROR(INDEX('Retirement Calculator'!K:K,MATCH('Lorri 401b'!N3737,'Retirement Calculator'!A:A,0),0),0)</f>
        <v>0</v>
      </c>
      <c r="K3737" s="444">
        <f t="shared" ca="1" si="153"/>
        <v>-7662839491.7555618</v>
      </c>
      <c r="L3737" s="444">
        <f t="shared" ca="1" si="154"/>
        <v>-1846744317513.0906</v>
      </c>
      <c r="M3737" s="460">
        <f t="shared" si="156"/>
        <v>0.05</v>
      </c>
      <c r="N3737" s="464">
        <f t="shared" si="157"/>
        <v>164785</v>
      </c>
    </row>
    <row r="3738" spans="7:14" ht="11.25" customHeight="1" x14ac:dyDescent="0.3">
      <c r="G3738" s="459"/>
      <c r="H3738" s="459">
        <v>3731</v>
      </c>
      <c r="I3738" s="444">
        <f t="shared" ca="1" si="155"/>
        <v>-1846744317513.0906</v>
      </c>
      <c r="J3738" s="444">
        <f t="array" ref="J3738">IFERROR(INDEX('Retirement Calculator'!K:K,MATCH('Lorri 401b'!N3738,'Retirement Calculator'!A:A,0),0),0)</f>
        <v>0</v>
      </c>
      <c r="K3738" s="444">
        <f t="shared" ca="1" si="153"/>
        <v>-7694767989.6378775</v>
      </c>
      <c r="L3738" s="444">
        <f t="shared" ca="1" si="154"/>
        <v>-1854439085502.7285</v>
      </c>
      <c r="M3738" s="460">
        <f t="shared" si="156"/>
        <v>0.05</v>
      </c>
      <c r="N3738" s="464">
        <f t="shared" si="157"/>
        <v>164816</v>
      </c>
    </row>
    <row r="3739" spans="7:14" ht="11.25" customHeight="1" x14ac:dyDescent="0.3">
      <c r="G3739" s="459"/>
      <c r="H3739" s="459">
        <v>3732</v>
      </c>
      <c r="I3739" s="444">
        <f t="shared" ca="1" si="155"/>
        <v>-1854439085502.7285</v>
      </c>
      <c r="J3739" s="444">
        <f t="array" ref="J3739">IFERROR(INDEX('Retirement Calculator'!K:K,MATCH('Lorri 401b'!N3739,'Retirement Calculator'!A:A,0),0),0)</f>
        <v>0</v>
      </c>
      <c r="K3739" s="444">
        <f t="shared" ca="1" si="153"/>
        <v>-7726829522.9280367</v>
      </c>
      <c r="L3739" s="444">
        <f t="shared" ca="1" si="154"/>
        <v>-1862165915025.6565</v>
      </c>
      <c r="M3739" s="460">
        <f t="shared" si="156"/>
        <v>0.05</v>
      </c>
      <c r="N3739" s="464">
        <f t="shared" si="157"/>
        <v>164846</v>
      </c>
    </row>
    <row r="3740" spans="7:14" ht="11.25" customHeight="1" x14ac:dyDescent="0.3">
      <c r="G3740" s="459"/>
      <c r="H3740" s="459">
        <v>3733</v>
      </c>
      <c r="I3740" s="444">
        <f t="shared" ca="1" si="155"/>
        <v>-1862165915025.6565</v>
      </c>
      <c r="J3740" s="444">
        <f t="array" ref="J3740">IFERROR(INDEX('Retirement Calculator'!K:K,MATCH('Lorri 401b'!N3740,'Retirement Calculator'!A:A,0),0),0)</f>
        <v>0</v>
      </c>
      <c r="K3740" s="444">
        <f t="shared" ca="1" si="153"/>
        <v>-7759024645.9402351</v>
      </c>
      <c r="L3740" s="444">
        <f t="shared" ca="1" si="154"/>
        <v>-1869924939671.5967</v>
      </c>
      <c r="M3740" s="460">
        <f t="shared" si="156"/>
        <v>0.05</v>
      </c>
      <c r="N3740" s="464">
        <f t="shared" si="157"/>
        <v>164877</v>
      </c>
    </row>
    <row r="3741" spans="7:14" ht="11.25" customHeight="1" x14ac:dyDescent="0.3">
      <c r="G3741" s="459"/>
      <c r="H3741" s="459">
        <v>3734</v>
      </c>
      <c r="I3741" s="444">
        <f t="shared" ca="1" si="155"/>
        <v>-1869924939671.5967</v>
      </c>
      <c r="J3741" s="444">
        <f t="array" ref="J3741">IFERROR(INDEX('Retirement Calculator'!K:K,MATCH('Lorri 401b'!N3741,'Retirement Calculator'!A:A,0),0),0)</f>
        <v>0</v>
      </c>
      <c r="K3741" s="444">
        <f t="shared" ca="1" si="153"/>
        <v>-7791353915.2983198</v>
      </c>
      <c r="L3741" s="444">
        <f t="shared" ca="1" si="154"/>
        <v>-1877716293586.895</v>
      </c>
      <c r="M3741" s="460">
        <f t="shared" si="156"/>
        <v>0.05</v>
      </c>
      <c r="N3741" s="464">
        <f t="shared" si="157"/>
        <v>164907</v>
      </c>
    </row>
    <row r="3742" spans="7:14" ht="11.25" customHeight="1" x14ac:dyDescent="0.3">
      <c r="G3742" s="459"/>
      <c r="H3742" s="459">
        <v>3735</v>
      </c>
      <c r="I3742" s="444">
        <f t="shared" ca="1" si="155"/>
        <v>-1877716293586.895</v>
      </c>
      <c r="J3742" s="444">
        <f t="array" ref="J3742">IFERROR(INDEX('Retirement Calculator'!K:K,MATCH('Lorri 401b'!N3742,'Retirement Calculator'!A:A,0),0),0)</f>
        <v>0</v>
      </c>
      <c r="K3742" s="444">
        <f t="shared" ca="1" si="153"/>
        <v>-7823817889.9453955</v>
      </c>
      <c r="L3742" s="444">
        <f t="shared" ca="1" si="154"/>
        <v>-1885540111476.8403</v>
      </c>
      <c r="M3742" s="460">
        <f t="shared" si="156"/>
        <v>0.05</v>
      </c>
      <c r="N3742" s="464">
        <f t="shared" si="157"/>
        <v>164938</v>
      </c>
    </row>
    <row r="3743" spans="7:14" ht="11.25" customHeight="1" x14ac:dyDescent="0.3">
      <c r="G3743" s="459"/>
      <c r="H3743" s="459">
        <v>3736</v>
      </c>
      <c r="I3743" s="444">
        <f t="shared" ca="1" si="155"/>
        <v>-1885540111476.8403</v>
      </c>
      <c r="J3743" s="444">
        <f t="array" ref="J3743">IFERROR(INDEX('Retirement Calculator'!K:K,MATCH('Lorri 401b'!N3743,'Retirement Calculator'!A:A,0),0),0)</f>
        <v>0</v>
      </c>
      <c r="K3743" s="444">
        <f t="shared" ca="1" si="153"/>
        <v>-7856417131.1535015</v>
      </c>
      <c r="L3743" s="444">
        <f t="shared" ca="1" si="154"/>
        <v>-1893396528607.9939</v>
      </c>
      <c r="M3743" s="460">
        <f t="shared" si="156"/>
        <v>0.05</v>
      </c>
      <c r="N3743" s="464">
        <f t="shared" si="157"/>
        <v>164969</v>
      </c>
    </row>
    <row r="3744" spans="7:14" ht="11.25" customHeight="1" x14ac:dyDescent="0.3">
      <c r="G3744" s="459"/>
      <c r="H3744" s="459">
        <v>3737</v>
      </c>
      <c r="I3744" s="444">
        <f t="shared" ca="1" si="155"/>
        <v>-1893396528607.9939</v>
      </c>
      <c r="J3744" s="444">
        <f t="array" ref="J3744">IFERROR(INDEX('Retirement Calculator'!K:K,MATCH('Lorri 401b'!N3744,'Retirement Calculator'!A:A,0),0),0)</f>
        <v>0</v>
      </c>
      <c r="K3744" s="444">
        <f t="shared" ca="1" si="153"/>
        <v>-7889152202.533308</v>
      </c>
      <c r="L3744" s="444">
        <f t="shared" ca="1" si="154"/>
        <v>-1901285680810.5271</v>
      </c>
      <c r="M3744" s="460">
        <f t="shared" si="156"/>
        <v>0.05</v>
      </c>
      <c r="N3744" s="464">
        <f t="shared" si="157"/>
        <v>164999</v>
      </c>
    </row>
    <row r="3745" spans="7:14" ht="11.25" customHeight="1" x14ac:dyDescent="0.3">
      <c r="G3745" s="459"/>
      <c r="H3745" s="459">
        <v>3738</v>
      </c>
      <c r="I3745" s="444">
        <f t="shared" ca="1" si="155"/>
        <v>-1901285680810.5271</v>
      </c>
      <c r="J3745" s="444">
        <f t="array" ref="J3745">IFERROR(INDEX('Retirement Calculator'!K:K,MATCH('Lorri 401b'!N3745,'Retirement Calculator'!A:A,0),0),0)</f>
        <v>0</v>
      </c>
      <c r="K3745" s="444">
        <f t="shared" ca="1" si="153"/>
        <v>-7922023670.0438614</v>
      </c>
      <c r="L3745" s="444">
        <f t="shared" ca="1" si="154"/>
        <v>-1909207704480.571</v>
      </c>
      <c r="M3745" s="460">
        <f t="shared" si="156"/>
        <v>0.05</v>
      </c>
      <c r="N3745" s="464">
        <f t="shared" si="157"/>
        <v>165030</v>
      </c>
    </row>
    <row r="3746" spans="7:14" ht="11.25" customHeight="1" x14ac:dyDescent="0.3">
      <c r="G3746" s="459"/>
      <c r="H3746" s="459">
        <v>3739</v>
      </c>
      <c r="I3746" s="444">
        <f t="shared" ca="1" si="155"/>
        <v>-1909207704480.571</v>
      </c>
      <c r="J3746" s="444">
        <f t="array" ref="J3746">IFERROR(INDEX('Retirement Calculator'!K:K,MATCH('Lorri 401b'!N3746,'Retirement Calculator'!A:A,0),0),0)</f>
        <v>0</v>
      </c>
      <c r="K3746" s="444">
        <f t="shared" ca="1" si="153"/>
        <v>-7955032102.0023794</v>
      </c>
      <c r="L3746" s="444">
        <f t="shared" ca="1" si="154"/>
        <v>-1917162736582.5735</v>
      </c>
      <c r="M3746" s="460">
        <f t="shared" si="156"/>
        <v>0.05</v>
      </c>
      <c r="N3746" s="464">
        <f t="shared" si="157"/>
        <v>165060</v>
      </c>
    </row>
    <row r="3747" spans="7:14" ht="11.25" customHeight="1" x14ac:dyDescent="0.3">
      <c r="G3747" s="459"/>
      <c r="H3747" s="459">
        <v>3740</v>
      </c>
      <c r="I3747" s="444">
        <f t="shared" ca="1" si="155"/>
        <v>-1917162736582.5735</v>
      </c>
      <c r="J3747" s="444">
        <f t="array" ref="J3747">IFERROR(INDEX('Retirement Calculator'!K:K,MATCH('Lorri 401b'!N3747,'Retirement Calculator'!A:A,0),0),0)</f>
        <v>0</v>
      </c>
      <c r="K3747" s="444">
        <f t="shared" ca="1" si="153"/>
        <v>-7988178069.0940571</v>
      </c>
      <c r="L3747" s="444">
        <f t="shared" ca="1" si="154"/>
        <v>-1925150914651.6675</v>
      </c>
      <c r="M3747" s="460">
        <f t="shared" si="156"/>
        <v>0.05</v>
      </c>
      <c r="N3747" s="464">
        <f t="shared" si="157"/>
        <v>165091</v>
      </c>
    </row>
    <row r="3748" spans="7:14" ht="11.25" customHeight="1" x14ac:dyDescent="0.3">
      <c r="G3748" s="459"/>
      <c r="H3748" s="459">
        <v>3741</v>
      </c>
      <c r="I3748" s="444">
        <f t="shared" ca="1" si="155"/>
        <v>-1925150914651.6675</v>
      </c>
      <c r="J3748" s="444">
        <f t="array" ref="J3748">IFERROR(INDEX('Retirement Calculator'!K:K,MATCH('Lorri 401b'!N3748,'Retirement Calculator'!A:A,0),0),0)</f>
        <v>0</v>
      </c>
      <c r="K3748" s="444">
        <f t="shared" ca="1" si="153"/>
        <v>-8021462144.3819475</v>
      </c>
      <c r="L3748" s="444">
        <f t="shared" ca="1" si="154"/>
        <v>-1933172376796.0493</v>
      </c>
      <c r="M3748" s="460">
        <f t="shared" si="156"/>
        <v>0.05</v>
      </c>
      <c r="N3748" s="464">
        <f t="shared" si="157"/>
        <v>165122</v>
      </c>
    </row>
    <row r="3749" spans="7:14" ht="11.25" customHeight="1" x14ac:dyDescent="0.3">
      <c r="G3749" s="459"/>
      <c r="H3749" s="459">
        <v>3742</v>
      </c>
      <c r="I3749" s="444">
        <f t="shared" ca="1" si="155"/>
        <v>-1933172376796.0493</v>
      </c>
      <c r="J3749" s="444">
        <f t="array" ref="J3749">IFERROR(INDEX('Retirement Calculator'!K:K,MATCH('Lorri 401b'!N3749,'Retirement Calculator'!A:A,0),0),0)</f>
        <v>0</v>
      </c>
      <c r="K3749" s="444">
        <f t="shared" ca="1" si="153"/>
        <v>-8054884903.3168716</v>
      </c>
      <c r="L3749" s="444">
        <f t="shared" ca="1" si="154"/>
        <v>-1941227261699.3662</v>
      </c>
      <c r="M3749" s="460">
        <f t="shared" si="156"/>
        <v>0.05</v>
      </c>
      <c r="N3749" s="464">
        <f t="shared" si="157"/>
        <v>165151</v>
      </c>
    </row>
    <row r="3750" spans="7:14" ht="11.25" customHeight="1" x14ac:dyDescent="0.3">
      <c r="G3750" s="459"/>
      <c r="H3750" s="459">
        <v>3743</v>
      </c>
      <c r="I3750" s="444">
        <f t="shared" ca="1" si="155"/>
        <v>-1941227261699.3662</v>
      </c>
      <c r="J3750" s="444">
        <f t="array" ref="J3750">IFERROR(INDEX('Retirement Calculator'!K:K,MATCH('Lorri 401b'!N3750,'Retirement Calculator'!A:A,0),0),0)</f>
        <v>0</v>
      </c>
      <c r="K3750" s="444">
        <f t="shared" ca="1" si="153"/>
        <v>-8088446923.7473583</v>
      </c>
      <c r="L3750" s="444">
        <f t="shared" ca="1" si="154"/>
        <v>-1949315708623.1135</v>
      </c>
      <c r="M3750" s="460">
        <f t="shared" si="156"/>
        <v>0.05</v>
      </c>
      <c r="N3750" s="464">
        <f t="shared" si="157"/>
        <v>165182</v>
      </c>
    </row>
    <row r="3751" spans="7:14" ht="11.25" customHeight="1" x14ac:dyDescent="0.3">
      <c r="G3751" s="459"/>
      <c r="H3751" s="459">
        <v>3744</v>
      </c>
      <c r="I3751" s="444">
        <f t="shared" ca="1" si="155"/>
        <v>-1949315708623.1135</v>
      </c>
      <c r="J3751" s="444">
        <f t="array" ref="J3751">IFERROR(INDEX('Retirement Calculator'!K:K,MATCH('Lorri 401b'!N3751,'Retirement Calculator'!A:A,0),0),0)</f>
        <v>0</v>
      </c>
      <c r="K3751" s="444">
        <f t="shared" ca="1" si="153"/>
        <v>-8122148785.9296389</v>
      </c>
      <c r="L3751" s="444">
        <f t="shared" ca="1" si="154"/>
        <v>-1957437857409.0432</v>
      </c>
      <c r="M3751" s="460">
        <f t="shared" si="156"/>
        <v>0.05</v>
      </c>
      <c r="N3751" s="464">
        <f t="shared" si="157"/>
        <v>165212</v>
      </c>
    </row>
    <row r="3752" spans="7:14" ht="11.25" customHeight="1" x14ac:dyDescent="0.3">
      <c r="G3752" s="459"/>
      <c r="H3752" s="459">
        <v>3745</v>
      </c>
      <c r="I3752" s="444">
        <f t="shared" ca="1" si="155"/>
        <v>-1957437857409.0432</v>
      </c>
      <c r="J3752" s="444">
        <f t="array" ref="J3752">IFERROR(INDEX('Retirement Calculator'!K:K,MATCH('Lorri 401b'!N3752,'Retirement Calculator'!A:A,0),0),0)</f>
        <v>0</v>
      </c>
      <c r="K3752" s="444">
        <f t="shared" ca="1" si="153"/>
        <v>-8155991072.5376797</v>
      </c>
      <c r="L3752" s="444">
        <f t="shared" ca="1" si="154"/>
        <v>-1965593848481.5808</v>
      </c>
      <c r="M3752" s="460">
        <f t="shared" si="156"/>
        <v>0.05</v>
      </c>
      <c r="N3752" s="464">
        <f t="shared" si="157"/>
        <v>165243</v>
      </c>
    </row>
    <row r="3753" spans="7:14" ht="11.25" customHeight="1" x14ac:dyDescent="0.3">
      <c r="G3753" s="459"/>
      <c r="H3753" s="459">
        <v>3746</v>
      </c>
      <c r="I3753" s="444">
        <f t="shared" ca="1" si="155"/>
        <v>-1965593848481.5808</v>
      </c>
      <c r="J3753" s="444">
        <f t="array" ref="J3753">IFERROR(INDEX('Retirement Calculator'!K:K,MATCH('Lorri 401b'!N3753,'Retirement Calculator'!A:A,0),0),0)</f>
        <v>0</v>
      </c>
      <c r="K3753" s="444">
        <f t="shared" ca="1" si="153"/>
        <v>-8189974368.673254</v>
      </c>
      <c r="L3753" s="444">
        <f t="shared" ca="1" si="154"/>
        <v>-1973783822850.2542</v>
      </c>
      <c r="M3753" s="460">
        <f t="shared" si="156"/>
        <v>0.05</v>
      </c>
      <c r="N3753" s="464">
        <f t="shared" si="157"/>
        <v>165273</v>
      </c>
    </row>
    <row r="3754" spans="7:14" ht="11.25" customHeight="1" x14ac:dyDescent="0.3">
      <c r="G3754" s="459"/>
      <c r="H3754" s="459">
        <v>3747</v>
      </c>
      <c r="I3754" s="444">
        <f t="shared" ca="1" si="155"/>
        <v>-1973783822850.2542</v>
      </c>
      <c r="J3754" s="444">
        <f t="array" ref="J3754">IFERROR(INDEX('Retirement Calculator'!K:K,MATCH('Lorri 401b'!N3754,'Retirement Calculator'!A:A,0),0),0)</f>
        <v>0</v>
      </c>
      <c r="K3754" s="444">
        <f t="shared" ca="1" si="153"/>
        <v>-8224099261.8760586</v>
      </c>
      <c r="L3754" s="444">
        <f t="shared" ca="1" si="154"/>
        <v>-1982007922112.1301</v>
      </c>
      <c r="M3754" s="460">
        <f t="shared" si="156"/>
        <v>0.05</v>
      </c>
      <c r="N3754" s="464">
        <f t="shared" si="157"/>
        <v>165304</v>
      </c>
    </row>
    <row r="3755" spans="7:14" ht="11.25" customHeight="1" x14ac:dyDescent="0.3">
      <c r="G3755" s="459"/>
      <c r="H3755" s="459">
        <v>3748</v>
      </c>
      <c r="I3755" s="444">
        <f t="shared" ca="1" si="155"/>
        <v>-1982007922112.1301</v>
      </c>
      <c r="J3755" s="444">
        <f t="array" ref="J3755">IFERROR(INDEX('Retirement Calculator'!K:K,MATCH('Lorri 401b'!N3755,'Retirement Calculator'!A:A,0),0),0)</f>
        <v>0</v>
      </c>
      <c r="K3755" s="444">
        <f t="shared" ca="1" si="153"/>
        <v>-8258366342.1338758</v>
      </c>
      <c r="L3755" s="444">
        <f t="shared" ca="1" si="154"/>
        <v>-1990266288454.2639</v>
      </c>
      <c r="M3755" s="460">
        <f t="shared" si="156"/>
        <v>0.05</v>
      </c>
      <c r="N3755" s="464">
        <f t="shared" si="157"/>
        <v>165335</v>
      </c>
    </row>
    <row r="3756" spans="7:14" ht="11.25" customHeight="1" x14ac:dyDescent="0.3">
      <c r="G3756" s="459"/>
      <c r="H3756" s="459">
        <v>3749</v>
      </c>
      <c r="I3756" s="444">
        <f t="shared" ca="1" si="155"/>
        <v>-1990266288454.2639</v>
      </c>
      <c r="J3756" s="444">
        <f t="array" ref="J3756">IFERROR(INDEX('Retirement Calculator'!K:K,MATCH('Lorri 401b'!N3756,'Retirement Calculator'!A:A,0),0),0)</f>
        <v>0</v>
      </c>
      <c r="K3756" s="444">
        <f t="shared" ca="1" si="153"/>
        <v>-8292776201.892766</v>
      </c>
      <c r="L3756" s="444">
        <f t="shared" ca="1" si="154"/>
        <v>-1998559064656.1567</v>
      </c>
      <c r="M3756" s="460">
        <f t="shared" si="156"/>
        <v>0.05</v>
      </c>
      <c r="N3756" s="464">
        <f t="shared" si="157"/>
        <v>165365</v>
      </c>
    </row>
    <row r="3757" spans="7:14" ht="11.25" customHeight="1" x14ac:dyDescent="0.3">
      <c r="G3757" s="459"/>
      <c r="H3757" s="459">
        <v>3750</v>
      </c>
      <c r="I3757" s="444">
        <f t="shared" ca="1" si="155"/>
        <v>-1998559064656.1567</v>
      </c>
      <c r="J3757" s="444">
        <f t="array" ref="J3757">IFERROR(INDEX('Retirement Calculator'!K:K,MATCH('Lorri 401b'!N3757,'Retirement Calculator'!A:A,0),0),0)</f>
        <v>0</v>
      </c>
      <c r="K3757" s="444">
        <f t="shared" ca="1" si="153"/>
        <v>-8327329436.0673199</v>
      </c>
      <c r="L3757" s="444">
        <f t="shared" ca="1" si="154"/>
        <v>-2006886394092.2241</v>
      </c>
      <c r="M3757" s="460">
        <f t="shared" si="156"/>
        <v>0.05</v>
      </c>
      <c r="N3757" s="464">
        <f t="shared" si="157"/>
        <v>165396</v>
      </c>
    </row>
    <row r="3758" spans="7:14" ht="11.25" customHeight="1" x14ac:dyDescent="0.3">
      <c r="G3758" s="459"/>
      <c r="H3758" s="459">
        <v>3751</v>
      </c>
      <c r="I3758" s="444">
        <f t="shared" ca="1" si="155"/>
        <v>-2006886394092.2241</v>
      </c>
      <c r="J3758" s="444">
        <f t="array" ref="J3758">IFERROR(INDEX('Retirement Calculator'!K:K,MATCH('Lorri 401b'!N3758,'Retirement Calculator'!A:A,0),0),0)</f>
        <v>0</v>
      </c>
      <c r="K3758" s="444">
        <f t="shared" ca="1" si="153"/>
        <v>-8362026642.0509348</v>
      </c>
      <c r="L3758" s="444">
        <f t="shared" ca="1" si="154"/>
        <v>-2015248420734.2751</v>
      </c>
      <c r="M3758" s="460">
        <f t="shared" si="156"/>
        <v>0.05</v>
      </c>
      <c r="N3758" s="464">
        <f t="shared" si="157"/>
        <v>165426</v>
      </c>
    </row>
    <row r="3759" spans="7:14" ht="11.25" customHeight="1" x14ac:dyDescent="0.3">
      <c r="G3759" s="459"/>
      <c r="H3759" s="459">
        <v>3752</v>
      </c>
      <c r="I3759" s="444">
        <f t="shared" ca="1" si="155"/>
        <v>-2015248420734.2751</v>
      </c>
      <c r="J3759" s="444">
        <f t="array" ref="J3759">IFERROR(INDEX('Retirement Calculator'!K:K,MATCH('Lorri 401b'!N3759,'Retirement Calculator'!A:A,0),0),0)</f>
        <v>0</v>
      </c>
      <c r="K3759" s="444">
        <f t="shared" ca="1" si="153"/>
        <v>-8396868419.7261477</v>
      </c>
      <c r="L3759" s="444">
        <f t="shared" ca="1" si="154"/>
        <v>-2023645289154.0012</v>
      </c>
      <c r="M3759" s="460">
        <f t="shared" si="156"/>
        <v>0.05</v>
      </c>
      <c r="N3759" s="464">
        <f t="shared" si="157"/>
        <v>165457</v>
      </c>
    </row>
    <row r="3760" spans="7:14" ht="11.25" customHeight="1" x14ac:dyDescent="0.3">
      <c r="G3760" s="459"/>
      <c r="H3760" s="459">
        <v>3753</v>
      </c>
      <c r="I3760" s="444">
        <f t="shared" ca="1" si="155"/>
        <v>-2023645289154.0012</v>
      </c>
      <c r="J3760" s="444">
        <f t="array" ref="J3760">IFERROR(INDEX('Retirement Calculator'!K:K,MATCH('Lorri 401b'!N3760,'Retirement Calculator'!A:A,0),0),0)</f>
        <v>0</v>
      </c>
      <c r="K3760" s="444">
        <f t="shared" ca="1" si="153"/>
        <v>-8431855371.4750051</v>
      </c>
      <c r="L3760" s="444">
        <f t="shared" ca="1" si="154"/>
        <v>-2032077144525.4763</v>
      </c>
      <c r="M3760" s="460">
        <f t="shared" si="156"/>
        <v>0.05</v>
      </c>
      <c r="N3760" s="464">
        <f t="shared" si="157"/>
        <v>165488</v>
      </c>
    </row>
    <row r="3761" spans="7:14" ht="11.25" customHeight="1" x14ac:dyDescent="0.3">
      <c r="G3761" s="459"/>
      <c r="H3761" s="459">
        <v>3754</v>
      </c>
      <c r="I3761" s="444">
        <f t="shared" ca="1" si="155"/>
        <v>-2032077144525.4763</v>
      </c>
      <c r="J3761" s="444">
        <f t="array" ref="J3761">IFERROR(INDEX('Retirement Calculator'!K:K,MATCH('Lorri 401b'!N3761,'Retirement Calculator'!A:A,0),0),0)</f>
        <v>0</v>
      </c>
      <c r="K3761" s="444">
        <f t="shared" ca="1" si="153"/>
        <v>-8466988102.1894846</v>
      </c>
      <c r="L3761" s="444">
        <f t="shared" ca="1" si="154"/>
        <v>-2040544132627.6658</v>
      </c>
      <c r="M3761" s="460">
        <f t="shared" si="156"/>
        <v>0.05</v>
      </c>
      <c r="N3761" s="464">
        <f t="shared" si="157"/>
        <v>165516</v>
      </c>
    </row>
    <row r="3762" spans="7:14" ht="11.25" customHeight="1" x14ac:dyDescent="0.3">
      <c r="G3762" s="459"/>
      <c r="H3762" s="459">
        <v>3755</v>
      </c>
      <c r="I3762" s="444">
        <f t="shared" ca="1" si="155"/>
        <v>-2040544132627.6658</v>
      </c>
      <c r="J3762" s="444">
        <f t="array" ref="J3762">IFERROR(INDEX('Retirement Calculator'!K:K,MATCH('Lorri 401b'!N3762,'Retirement Calculator'!A:A,0),0),0)</f>
        <v>0</v>
      </c>
      <c r="K3762" s="444">
        <f t="shared" ca="1" si="153"/>
        <v>-8502267219.2819405</v>
      </c>
      <c r="L3762" s="444">
        <f t="shared" ca="1" si="154"/>
        <v>-2049046399846.9478</v>
      </c>
      <c r="M3762" s="460">
        <f t="shared" si="156"/>
        <v>0.05</v>
      </c>
      <c r="N3762" s="464">
        <f t="shared" si="157"/>
        <v>165547</v>
      </c>
    </row>
    <row r="3763" spans="7:14" ht="11.25" customHeight="1" x14ac:dyDescent="0.3">
      <c r="G3763" s="459"/>
      <c r="H3763" s="459">
        <v>3756</v>
      </c>
      <c r="I3763" s="444">
        <f t="shared" ca="1" si="155"/>
        <v>-2049046399846.9478</v>
      </c>
      <c r="J3763" s="444">
        <f t="array" ref="J3763">IFERROR(INDEX('Retirement Calculator'!K:K,MATCH('Lorri 401b'!N3763,'Retirement Calculator'!A:A,0),0),0)</f>
        <v>0</v>
      </c>
      <c r="K3763" s="444">
        <f t="shared" ca="1" si="153"/>
        <v>-8537693332.6956158</v>
      </c>
      <c r="L3763" s="444">
        <f t="shared" ca="1" si="154"/>
        <v>-2057584093179.6433</v>
      </c>
      <c r="M3763" s="460">
        <f t="shared" si="156"/>
        <v>0.05</v>
      </c>
      <c r="N3763" s="464">
        <f t="shared" si="157"/>
        <v>165577</v>
      </c>
    </row>
    <row r="3764" spans="7:14" ht="11.25" customHeight="1" x14ac:dyDescent="0.3">
      <c r="G3764" s="459"/>
      <c r="H3764" s="459">
        <v>3757</v>
      </c>
      <c r="I3764" s="444">
        <f t="shared" ca="1" si="155"/>
        <v>-2057584093179.6433</v>
      </c>
      <c r="J3764" s="444">
        <f t="array" ref="J3764">IFERROR(INDEX('Retirement Calculator'!K:K,MATCH('Lorri 401b'!N3764,'Retirement Calculator'!A:A,0),0),0)</f>
        <v>0</v>
      </c>
      <c r="K3764" s="444">
        <f t="shared" ca="1" si="153"/>
        <v>-8573267054.9151812</v>
      </c>
      <c r="L3764" s="444">
        <f t="shared" ca="1" si="154"/>
        <v>-2066157360234.5586</v>
      </c>
      <c r="M3764" s="460">
        <f t="shared" si="156"/>
        <v>0.05</v>
      </c>
      <c r="N3764" s="464">
        <f t="shared" si="157"/>
        <v>165608</v>
      </c>
    </row>
    <row r="3765" spans="7:14" ht="11.25" customHeight="1" x14ac:dyDescent="0.3">
      <c r="G3765" s="459"/>
      <c r="H3765" s="459">
        <v>3758</v>
      </c>
      <c r="I3765" s="444">
        <f t="shared" ca="1" si="155"/>
        <v>-2066157360234.5586</v>
      </c>
      <c r="J3765" s="444">
        <f t="array" ref="J3765">IFERROR(INDEX('Retirement Calculator'!K:K,MATCH('Lorri 401b'!N3765,'Retirement Calculator'!A:A,0),0),0)</f>
        <v>0</v>
      </c>
      <c r="K3765" s="444">
        <f t="shared" ca="1" si="153"/>
        <v>-8608989000.9773293</v>
      </c>
      <c r="L3765" s="444">
        <f t="shared" ca="1" si="154"/>
        <v>-2074766349235.5359</v>
      </c>
      <c r="M3765" s="460">
        <f t="shared" si="156"/>
        <v>0.05</v>
      </c>
      <c r="N3765" s="464">
        <f t="shared" si="157"/>
        <v>165638</v>
      </c>
    </row>
    <row r="3766" spans="7:14" ht="11.25" customHeight="1" x14ac:dyDescent="0.3">
      <c r="G3766" s="459"/>
      <c r="H3766" s="459">
        <v>3759</v>
      </c>
      <c r="I3766" s="444">
        <f t="shared" ca="1" si="155"/>
        <v>-2074766349235.5359</v>
      </c>
      <c r="J3766" s="444">
        <f t="array" ref="J3766">IFERROR(INDEX('Retirement Calculator'!K:K,MATCH('Lorri 401b'!N3766,'Retirement Calculator'!A:A,0),0),0)</f>
        <v>0</v>
      </c>
      <c r="K3766" s="444">
        <f t="shared" ca="1" si="153"/>
        <v>-8644859788.4813995</v>
      </c>
      <c r="L3766" s="444">
        <f t="shared" ca="1" si="154"/>
        <v>-2083411209024.0173</v>
      </c>
      <c r="M3766" s="460">
        <f t="shared" si="156"/>
        <v>0.05</v>
      </c>
      <c r="N3766" s="464">
        <f t="shared" si="157"/>
        <v>165669</v>
      </c>
    </row>
    <row r="3767" spans="7:14" ht="11.25" customHeight="1" x14ac:dyDescent="0.3">
      <c r="G3767" s="459"/>
      <c r="H3767" s="459">
        <v>3760</v>
      </c>
      <c r="I3767" s="444">
        <f t="shared" ca="1" si="155"/>
        <v>-2083411209024.0173</v>
      </c>
      <c r="J3767" s="444">
        <f t="array" ref="J3767">IFERROR(INDEX('Retirement Calculator'!K:K,MATCH('Lorri 401b'!N3767,'Retirement Calculator'!A:A,0),0),0)</f>
        <v>0</v>
      </c>
      <c r="K3767" s="444">
        <f t="shared" ca="1" si="153"/>
        <v>-8680880037.6000729</v>
      </c>
      <c r="L3767" s="444">
        <f t="shared" ca="1" si="154"/>
        <v>-2092092089061.6174</v>
      </c>
      <c r="M3767" s="460">
        <f t="shared" si="156"/>
        <v>0.05</v>
      </c>
      <c r="N3767" s="464">
        <f t="shared" si="157"/>
        <v>165700</v>
      </c>
    </row>
    <row r="3768" spans="7:14" ht="11.25" customHeight="1" x14ac:dyDescent="0.3">
      <c r="G3768" s="459"/>
      <c r="H3768" s="459">
        <v>3761</v>
      </c>
      <c r="I3768" s="444">
        <f t="shared" ca="1" si="155"/>
        <v>-2092092089061.6174</v>
      </c>
      <c r="J3768" s="444">
        <f t="array" ref="J3768">IFERROR(INDEX('Retirement Calculator'!K:K,MATCH('Lorri 401b'!N3768,'Retirement Calculator'!A:A,0),0),0)</f>
        <v>0</v>
      </c>
      <c r="K3768" s="444">
        <f t="shared" ca="1" si="153"/>
        <v>-8717050371.0900726</v>
      </c>
      <c r="L3768" s="444">
        <f t="shared" ca="1" si="154"/>
        <v>-2100809139432.7075</v>
      </c>
      <c r="M3768" s="460">
        <f t="shared" si="156"/>
        <v>0.05</v>
      </c>
      <c r="N3768" s="464">
        <f t="shared" si="157"/>
        <v>165730</v>
      </c>
    </row>
    <row r="3769" spans="7:14" ht="11.25" customHeight="1" x14ac:dyDescent="0.3">
      <c r="G3769" s="459"/>
      <c r="H3769" s="459">
        <v>3762</v>
      </c>
      <c r="I3769" s="444">
        <f t="shared" ca="1" si="155"/>
        <v>-2100809139432.7075</v>
      </c>
      <c r="J3769" s="444">
        <f t="array" ref="J3769">IFERROR(INDEX('Retirement Calculator'!K:K,MATCH('Lorri 401b'!N3769,'Retirement Calculator'!A:A,0),0),0)</f>
        <v>0</v>
      </c>
      <c r="K3769" s="444">
        <f t="shared" ca="1" si="153"/>
        <v>-8753371414.302948</v>
      </c>
      <c r="L3769" s="444">
        <f t="shared" ca="1" si="154"/>
        <v>-2109562510847.0105</v>
      </c>
      <c r="M3769" s="460">
        <f t="shared" si="156"/>
        <v>0.05</v>
      </c>
      <c r="N3769" s="464">
        <f t="shared" si="157"/>
        <v>165761</v>
      </c>
    </row>
    <row r="3770" spans="7:14" ht="11.25" customHeight="1" x14ac:dyDescent="0.3">
      <c r="G3770" s="459"/>
      <c r="H3770" s="459">
        <v>3763</v>
      </c>
      <c r="I3770" s="444">
        <f t="shared" ca="1" si="155"/>
        <v>-2109562510847.0105</v>
      </c>
      <c r="J3770" s="444">
        <f t="array" ref="J3770">IFERROR(INDEX('Retirement Calculator'!K:K,MATCH('Lorri 401b'!N3770,'Retirement Calculator'!A:A,0),0),0)</f>
        <v>0</v>
      </c>
      <c r="K3770" s="444">
        <f t="shared" ca="1" si="153"/>
        <v>-8789843795.1958771</v>
      </c>
      <c r="L3770" s="444">
        <f t="shared" ca="1" si="154"/>
        <v>-2118352354642.2063</v>
      </c>
      <c r="M3770" s="460">
        <f t="shared" si="156"/>
        <v>0.05</v>
      </c>
      <c r="N3770" s="464">
        <f t="shared" si="157"/>
        <v>165791</v>
      </c>
    </row>
    <row r="3771" spans="7:14" ht="11.25" customHeight="1" x14ac:dyDescent="0.3">
      <c r="G3771" s="459"/>
      <c r="H3771" s="459">
        <v>3764</v>
      </c>
      <c r="I3771" s="444">
        <f t="shared" ca="1" si="155"/>
        <v>-2118352354642.2063</v>
      </c>
      <c r="J3771" s="444">
        <f t="array" ref="J3771">IFERROR(INDEX('Retirement Calculator'!K:K,MATCH('Lorri 401b'!N3771,'Retirement Calculator'!A:A,0),0),0)</f>
        <v>0</v>
      </c>
      <c r="K3771" s="444">
        <f t="shared" ca="1" si="153"/>
        <v>-8826468144.3425255</v>
      </c>
      <c r="L3771" s="444">
        <f t="shared" ca="1" si="154"/>
        <v>-2127178822786.5488</v>
      </c>
      <c r="M3771" s="460">
        <f t="shared" si="156"/>
        <v>0.05</v>
      </c>
      <c r="N3771" s="464">
        <f t="shared" si="157"/>
        <v>165822</v>
      </c>
    </row>
    <row r="3772" spans="7:14" ht="11.25" customHeight="1" x14ac:dyDescent="0.3">
      <c r="G3772" s="459"/>
      <c r="H3772" s="459">
        <v>3765</v>
      </c>
      <c r="I3772" s="444">
        <f t="shared" ca="1" si="155"/>
        <v>-2127178822786.5488</v>
      </c>
      <c r="J3772" s="444">
        <f t="array" ref="J3772">IFERROR(INDEX('Retirement Calculator'!K:K,MATCH('Lorri 401b'!N3772,'Retirement Calculator'!A:A,0),0),0)</f>
        <v>0</v>
      </c>
      <c r="K3772" s="444">
        <f t="shared" ca="1" si="153"/>
        <v>-8863245094.9439526</v>
      </c>
      <c r="L3772" s="444">
        <f t="shared" ca="1" si="154"/>
        <v>-2136042067881.4927</v>
      </c>
      <c r="M3772" s="460">
        <f t="shared" si="156"/>
        <v>0.05</v>
      </c>
      <c r="N3772" s="464">
        <f t="shared" si="157"/>
        <v>165853</v>
      </c>
    </row>
    <row r="3773" spans="7:14" ht="11.25" customHeight="1" x14ac:dyDescent="0.3">
      <c r="G3773" s="459"/>
      <c r="H3773" s="459">
        <v>3766</v>
      </c>
      <c r="I3773" s="444">
        <f t="shared" ca="1" si="155"/>
        <v>-2136042067881.4927</v>
      </c>
      <c r="J3773" s="444">
        <f t="array" ref="J3773">IFERROR(INDEX('Retirement Calculator'!K:K,MATCH('Lorri 401b'!N3773,'Retirement Calculator'!A:A,0),0),0)</f>
        <v>0</v>
      </c>
      <c r="K3773" s="444">
        <f t="shared" ca="1" si="153"/>
        <v>-8900175282.8395519</v>
      </c>
      <c r="L3773" s="444">
        <f t="shared" ca="1" si="154"/>
        <v>-2144942243164.3323</v>
      </c>
      <c r="M3773" s="460">
        <f t="shared" si="156"/>
        <v>0.05</v>
      </c>
      <c r="N3773" s="464">
        <f t="shared" si="157"/>
        <v>165881</v>
      </c>
    </row>
    <row r="3774" spans="7:14" ht="11.25" customHeight="1" x14ac:dyDescent="0.3">
      <c r="G3774" s="459"/>
      <c r="H3774" s="459">
        <v>3767</v>
      </c>
      <c r="I3774" s="444">
        <f t="shared" ca="1" si="155"/>
        <v>-2144942243164.3323</v>
      </c>
      <c r="J3774" s="444">
        <f t="array" ref="J3774">IFERROR(INDEX('Retirement Calculator'!K:K,MATCH('Lorri 401b'!N3774,'Retirement Calculator'!A:A,0),0),0)</f>
        <v>0</v>
      </c>
      <c r="K3774" s="444">
        <f t="shared" ca="1" si="153"/>
        <v>-8937259346.5180492</v>
      </c>
      <c r="L3774" s="444">
        <f t="shared" ca="1" si="154"/>
        <v>-2153879502510.8503</v>
      </c>
      <c r="M3774" s="460">
        <f t="shared" si="156"/>
        <v>0.05</v>
      </c>
      <c r="N3774" s="464">
        <f t="shared" si="157"/>
        <v>165912</v>
      </c>
    </row>
    <row r="3775" spans="7:14" ht="11.25" customHeight="1" x14ac:dyDescent="0.3">
      <c r="G3775" s="459"/>
      <c r="H3775" s="459">
        <v>3768</v>
      </c>
      <c r="I3775" s="444">
        <f t="shared" ca="1" si="155"/>
        <v>-2153879502510.8503</v>
      </c>
      <c r="J3775" s="444">
        <f t="array" ref="J3775">IFERROR(INDEX('Retirement Calculator'!K:K,MATCH('Lorri 401b'!N3775,'Retirement Calculator'!A:A,0),0),0)</f>
        <v>0</v>
      </c>
      <c r="K3775" s="444">
        <f t="shared" ca="1" si="153"/>
        <v>-8974497927.1285439</v>
      </c>
      <c r="L3775" s="444">
        <f t="shared" ca="1" si="154"/>
        <v>-2162854000437.979</v>
      </c>
      <c r="M3775" s="460">
        <f t="shared" si="156"/>
        <v>0.05</v>
      </c>
      <c r="N3775" s="464">
        <f t="shared" si="157"/>
        <v>165942</v>
      </c>
    </row>
    <row r="3776" spans="7:14" ht="11.25" customHeight="1" x14ac:dyDescent="0.3">
      <c r="G3776" s="459"/>
      <c r="H3776" s="459">
        <v>3769</v>
      </c>
      <c r="I3776" s="444">
        <f t="shared" ca="1" si="155"/>
        <v>-2162854000437.979</v>
      </c>
      <c r="J3776" s="444">
        <f t="array" ref="J3776">IFERROR(INDEX('Retirement Calculator'!K:K,MATCH('Lorri 401b'!N3776,'Retirement Calculator'!A:A,0),0),0)</f>
        <v>0</v>
      </c>
      <c r="K3776" s="444">
        <f t="shared" ca="1" si="153"/>
        <v>-9011891668.4915771</v>
      </c>
      <c r="L3776" s="444">
        <f t="shared" ca="1" si="154"/>
        <v>-2171865892106.4707</v>
      </c>
      <c r="M3776" s="460">
        <f t="shared" si="156"/>
        <v>0.05</v>
      </c>
      <c r="N3776" s="464">
        <f t="shared" si="157"/>
        <v>165973</v>
      </c>
    </row>
    <row r="3777" spans="7:14" ht="11.25" customHeight="1" x14ac:dyDescent="0.3">
      <c r="G3777" s="459"/>
      <c r="H3777" s="459">
        <v>3770</v>
      </c>
      <c r="I3777" s="444">
        <f t="shared" ca="1" si="155"/>
        <v>-2171865892106.4707</v>
      </c>
      <c r="J3777" s="444">
        <f t="array" ref="J3777">IFERROR(INDEX('Retirement Calculator'!K:K,MATCH('Lorri 401b'!N3777,'Retirement Calculator'!A:A,0),0),0)</f>
        <v>0</v>
      </c>
      <c r="K3777" s="444">
        <f t="shared" ca="1" si="153"/>
        <v>-9049441217.1102943</v>
      </c>
      <c r="L3777" s="444">
        <f t="shared" ca="1" si="154"/>
        <v>-2180915333323.5811</v>
      </c>
      <c r="M3777" s="460">
        <f t="shared" si="156"/>
        <v>0.05</v>
      </c>
      <c r="N3777" s="464">
        <f t="shared" si="157"/>
        <v>166003</v>
      </c>
    </row>
    <row r="3778" spans="7:14" ht="11.25" customHeight="1" x14ac:dyDescent="0.3">
      <c r="G3778" s="459"/>
      <c r="H3778" s="459">
        <v>3771</v>
      </c>
      <c r="I3778" s="444">
        <f t="shared" ca="1" si="155"/>
        <v>-2180915333323.5811</v>
      </c>
      <c r="J3778" s="444">
        <f t="array" ref="J3778">IFERROR(INDEX('Retirement Calculator'!K:K,MATCH('Lorri 401b'!N3778,'Retirement Calculator'!A:A,0),0),0)</f>
        <v>0</v>
      </c>
      <c r="K3778" s="444">
        <f t="shared" ca="1" si="153"/>
        <v>-9087147222.1815872</v>
      </c>
      <c r="L3778" s="444">
        <f t="shared" ca="1" si="154"/>
        <v>-2190002480545.7627</v>
      </c>
      <c r="M3778" s="460">
        <f t="shared" si="156"/>
        <v>0.05</v>
      </c>
      <c r="N3778" s="464">
        <f t="shared" si="157"/>
        <v>166034</v>
      </c>
    </row>
    <row r="3779" spans="7:14" ht="11.25" customHeight="1" x14ac:dyDescent="0.3">
      <c r="G3779" s="459"/>
      <c r="H3779" s="459">
        <v>3772</v>
      </c>
      <c r="I3779" s="444">
        <f t="shared" ca="1" si="155"/>
        <v>-2190002480545.7627</v>
      </c>
      <c r="J3779" s="444">
        <f t="array" ref="J3779">IFERROR(INDEX('Retirement Calculator'!K:K,MATCH('Lorri 401b'!N3779,'Retirement Calculator'!A:A,0),0),0)</f>
        <v>0</v>
      </c>
      <c r="K3779" s="444">
        <f t="shared" ca="1" si="153"/>
        <v>-9125010335.6073437</v>
      </c>
      <c r="L3779" s="444">
        <f t="shared" ca="1" si="154"/>
        <v>-2199127490881.3701</v>
      </c>
      <c r="M3779" s="460">
        <f t="shared" si="156"/>
        <v>0.05</v>
      </c>
      <c r="N3779" s="464">
        <f t="shared" si="157"/>
        <v>166065</v>
      </c>
    </row>
    <row r="3780" spans="7:14" ht="11.25" customHeight="1" x14ac:dyDescent="0.3">
      <c r="G3780" s="459"/>
      <c r="H3780" s="459">
        <v>3773</v>
      </c>
      <c r="I3780" s="444">
        <f t="shared" ca="1" si="155"/>
        <v>-2199127490881.3701</v>
      </c>
      <c r="J3780" s="444">
        <f t="array" ref="J3780">IFERROR(INDEX('Retirement Calculator'!K:K,MATCH('Lorri 401b'!N3780,'Retirement Calculator'!A:A,0),0),0)</f>
        <v>0</v>
      </c>
      <c r="K3780" s="444">
        <f t="shared" ca="1" si="153"/>
        <v>-9163031212.0057087</v>
      </c>
      <c r="L3780" s="444">
        <f t="shared" ca="1" si="154"/>
        <v>-2208290522093.376</v>
      </c>
      <c r="M3780" s="460">
        <f t="shared" si="156"/>
        <v>0.05</v>
      </c>
      <c r="N3780" s="464">
        <f t="shared" si="157"/>
        <v>166095</v>
      </c>
    </row>
    <row r="3781" spans="7:14" ht="11.25" customHeight="1" x14ac:dyDescent="0.3">
      <c r="G3781" s="459"/>
      <c r="H3781" s="459">
        <v>3774</v>
      </c>
      <c r="I3781" s="444">
        <f t="shared" ca="1" si="155"/>
        <v>-2208290522093.376</v>
      </c>
      <c r="J3781" s="444">
        <f t="array" ref="J3781">IFERROR(INDEX('Retirement Calculator'!K:K,MATCH('Lorri 401b'!N3781,'Retirement Calculator'!A:A,0),0),0)</f>
        <v>0</v>
      </c>
      <c r="K3781" s="444">
        <f t="shared" ca="1" si="153"/>
        <v>-9201210508.7224007</v>
      </c>
      <c r="L3781" s="444">
        <f t="shared" ca="1" si="154"/>
        <v>-2217491732602.0981</v>
      </c>
      <c r="M3781" s="460">
        <f t="shared" si="156"/>
        <v>0.05</v>
      </c>
      <c r="N3781" s="464">
        <f t="shared" si="157"/>
        <v>166126</v>
      </c>
    </row>
    <row r="3782" spans="7:14" ht="11.25" customHeight="1" x14ac:dyDescent="0.3">
      <c r="G3782" s="459"/>
      <c r="H3782" s="459">
        <v>3775</v>
      </c>
      <c r="I3782" s="444">
        <f t="shared" ca="1" si="155"/>
        <v>-2217491732602.0981</v>
      </c>
      <c r="J3782" s="444">
        <f t="array" ref="J3782">IFERROR(INDEX('Retirement Calculator'!K:K,MATCH('Lorri 401b'!N3782,'Retirement Calculator'!A:A,0),0),0)</f>
        <v>0</v>
      </c>
      <c r="K3782" s="444">
        <f t="shared" ca="1" si="153"/>
        <v>-9239548885.8420753</v>
      </c>
      <c r="L3782" s="444">
        <f t="shared" ca="1" si="154"/>
        <v>-2226731281487.9404</v>
      </c>
      <c r="M3782" s="460">
        <f t="shared" si="156"/>
        <v>0.05</v>
      </c>
      <c r="N3782" s="464">
        <f t="shared" si="157"/>
        <v>166156</v>
      </c>
    </row>
    <row r="3783" spans="7:14" ht="11.25" customHeight="1" x14ac:dyDescent="0.3">
      <c r="G3783" s="459"/>
      <c r="H3783" s="459">
        <v>3776</v>
      </c>
      <c r="I3783" s="444">
        <f t="shared" ca="1" si="155"/>
        <v>-2226731281487.9404</v>
      </c>
      <c r="J3783" s="444">
        <f t="array" ref="J3783">IFERROR(INDEX('Retirement Calculator'!K:K,MATCH('Lorri 401b'!N3783,'Retirement Calculator'!A:A,0),0),0)</f>
        <v>0</v>
      </c>
      <c r="K3783" s="444">
        <f t="shared" ca="1" si="153"/>
        <v>-9278047006.1997509</v>
      </c>
      <c r="L3783" s="444">
        <f t="shared" ca="1" si="154"/>
        <v>-2236009328494.1401</v>
      </c>
      <c r="M3783" s="460">
        <f t="shared" si="156"/>
        <v>0.05</v>
      </c>
      <c r="N3783" s="464">
        <f t="shared" si="157"/>
        <v>166187</v>
      </c>
    </row>
    <row r="3784" spans="7:14" ht="11.25" customHeight="1" x14ac:dyDescent="0.3">
      <c r="G3784" s="459"/>
      <c r="H3784" s="459">
        <v>3777</v>
      </c>
      <c r="I3784" s="444">
        <f t="shared" ca="1" si="155"/>
        <v>-2236009328494.1401</v>
      </c>
      <c r="J3784" s="444">
        <f t="array" ref="J3784">IFERROR(INDEX('Retirement Calculator'!K:K,MATCH('Lorri 401b'!N3784,'Retirement Calculator'!A:A,0),0),0)</f>
        <v>0</v>
      </c>
      <c r="K3784" s="444">
        <f t="shared" ca="1" si="153"/>
        <v>-9316705535.3922501</v>
      </c>
      <c r="L3784" s="444">
        <f t="shared" ca="1" si="154"/>
        <v>-2245326034029.5322</v>
      </c>
      <c r="M3784" s="460">
        <f t="shared" si="156"/>
        <v>0.05</v>
      </c>
      <c r="N3784" s="464">
        <f t="shared" si="157"/>
        <v>166218</v>
      </c>
    </row>
    <row r="3785" spans="7:14" ht="11.25" customHeight="1" x14ac:dyDescent="0.3">
      <c r="G3785" s="459"/>
      <c r="H3785" s="459">
        <v>3778</v>
      </c>
      <c r="I3785" s="444">
        <f t="shared" ca="1" si="155"/>
        <v>-2245326034029.5322</v>
      </c>
      <c r="J3785" s="444">
        <f t="array" ref="J3785">IFERROR(INDEX('Retirement Calculator'!K:K,MATCH('Lorri 401b'!N3785,'Retirement Calculator'!A:A,0),0),0)</f>
        <v>0</v>
      </c>
      <c r="K3785" s="444">
        <f t="shared" ca="1" si="153"/>
        <v>-9355525141.7897167</v>
      </c>
      <c r="L3785" s="444">
        <f t="shared" ca="1" si="154"/>
        <v>-2254681559171.3218</v>
      </c>
      <c r="M3785" s="460">
        <f t="shared" si="156"/>
        <v>0.05</v>
      </c>
      <c r="N3785" s="464">
        <f t="shared" si="157"/>
        <v>166246</v>
      </c>
    </row>
    <row r="3786" spans="7:14" ht="11.25" customHeight="1" x14ac:dyDescent="0.3">
      <c r="G3786" s="459"/>
      <c r="H3786" s="459">
        <v>3779</v>
      </c>
      <c r="I3786" s="444">
        <f t="shared" ca="1" si="155"/>
        <v>-2254681559171.3218</v>
      </c>
      <c r="J3786" s="444">
        <f t="array" ref="J3786">IFERROR(INDEX('Retirement Calculator'!K:K,MATCH('Lorri 401b'!N3786,'Retirement Calculator'!A:A,0),0),0)</f>
        <v>0</v>
      </c>
      <c r="K3786" s="444">
        <f t="shared" ca="1" si="153"/>
        <v>-9394506496.5471745</v>
      </c>
      <c r="L3786" s="444">
        <f t="shared" ca="1" si="154"/>
        <v>-2264076065667.8691</v>
      </c>
      <c r="M3786" s="460">
        <f t="shared" si="156"/>
        <v>0.05</v>
      </c>
      <c r="N3786" s="464">
        <f t="shared" si="157"/>
        <v>166277</v>
      </c>
    </row>
    <row r="3787" spans="7:14" ht="11.25" customHeight="1" x14ac:dyDescent="0.3">
      <c r="G3787" s="459"/>
      <c r="H3787" s="459">
        <v>3780</v>
      </c>
      <c r="I3787" s="444">
        <f t="shared" ca="1" si="155"/>
        <v>-2264076065667.8691</v>
      </c>
      <c r="J3787" s="444">
        <f t="array" ref="J3787">IFERROR(INDEX('Retirement Calculator'!K:K,MATCH('Lorri 401b'!N3787,'Retirement Calculator'!A:A,0),0),0)</f>
        <v>0</v>
      </c>
      <c r="K3787" s="444">
        <f t="shared" ca="1" si="153"/>
        <v>-9433650273.6161213</v>
      </c>
      <c r="L3787" s="444">
        <f t="shared" ca="1" si="154"/>
        <v>-2273509715941.4854</v>
      </c>
      <c r="M3787" s="460">
        <f t="shared" si="156"/>
        <v>0.05</v>
      </c>
      <c r="N3787" s="464">
        <f t="shared" si="157"/>
        <v>166307</v>
      </c>
    </row>
    <row r="3788" spans="7:14" ht="11.25" customHeight="1" x14ac:dyDescent="0.3">
      <c r="G3788" s="459"/>
      <c r="H3788" s="459">
        <v>3781</v>
      </c>
      <c r="I3788" s="444">
        <f t="shared" ca="1" si="155"/>
        <v>-2273509715941.4854</v>
      </c>
      <c r="J3788" s="444">
        <f t="array" ref="J3788">IFERROR(INDEX('Retirement Calculator'!K:K,MATCH('Lorri 401b'!N3788,'Retirement Calculator'!A:A,0),0),0)</f>
        <v>0</v>
      </c>
      <c r="K3788" s="444">
        <f t="shared" ca="1" si="153"/>
        <v>-9472957149.7561893</v>
      </c>
      <c r="L3788" s="444">
        <f t="shared" ca="1" si="154"/>
        <v>-2282982673091.2417</v>
      </c>
      <c r="M3788" s="460">
        <f t="shared" si="156"/>
        <v>0.05</v>
      </c>
      <c r="N3788" s="464">
        <f t="shared" si="157"/>
        <v>166338</v>
      </c>
    </row>
    <row r="3789" spans="7:14" ht="11.25" customHeight="1" x14ac:dyDescent="0.3">
      <c r="G3789" s="459"/>
      <c r="H3789" s="459">
        <v>3782</v>
      </c>
      <c r="I3789" s="444">
        <f t="shared" ca="1" si="155"/>
        <v>-2282982673091.2417</v>
      </c>
      <c r="J3789" s="444">
        <f t="array" ref="J3789">IFERROR(INDEX('Retirement Calculator'!K:K,MATCH('Lorri 401b'!N3789,'Retirement Calculator'!A:A,0),0),0)</f>
        <v>0</v>
      </c>
      <c r="K3789" s="444">
        <f t="shared" ca="1" si="153"/>
        <v>-9512427804.5468407</v>
      </c>
      <c r="L3789" s="444">
        <f t="shared" ca="1" si="154"/>
        <v>-2292495100895.7886</v>
      </c>
      <c r="M3789" s="460">
        <f t="shared" si="156"/>
        <v>0.05</v>
      </c>
      <c r="N3789" s="464">
        <f t="shared" si="157"/>
        <v>166368</v>
      </c>
    </row>
    <row r="3790" spans="7:14" ht="11.25" customHeight="1" x14ac:dyDescent="0.3">
      <c r="G3790" s="459"/>
      <c r="H3790" s="459">
        <v>3783</v>
      </c>
      <c r="I3790" s="444">
        <f t="shared" ca="1" si="155"/>
        <v>-2292495100895.7886</v>
      </c>
      <c r="J3790" s="444">
        <f t="array" ref="J3790">IFERROR(INDEX('Retirement Calculator'!K:K,MATCH('Lorri 401b'!N3790,'Retirement Calculator'!A:A,0),0),0)</f>
        <v>0</v>
      </c>
      <c r="K3790" s="444">
        <f t="shared" ca="1" si="153"/>
        <v>-9552062920.3991184</v>
      </c>
      <c r="L3790" s="444">
        <f t="shared" ca="1" si="154"/>
        <v>-2302047163816.1875</v>
      </c>
      <c r="M3790" s="460">
        <f t="shared" si="156"/>
        <v>0.05</v>
      </c>
      <c r="N3790" s="464">
        <f t="shared" si="157"/>
        <v>166399</v>
      </c>
    </row>
    <row r="3791" spans="7:14" ht="11.25" customHeight="1" x14ac:dyDescent="0.3">
      <c r="G3791" s="459"/>
      <c r="H3791" s="459">
        <v>3784</v>
      </c>
      <c r="I3791" s="444">
        <f t="shared" ca="1" si="155"/>
        <v>-2302047163816.1875</v>
      </c>
      <c r="J3791" s="444">
        <f t="array" ref="J3791">IFERROR(INDEX('Retirement Calculator'!K:K,MATCH('Lorri 401b'!N3791,'Retirement Calculator'!A:A,0),0),0)</f>
        <v>0</v>
      </c>
      <c r="K3791" s="444">
        <f t="shared" ca="1" si="153"/>
        <v>-9591863182.5674477</v>
      </c>
      <c r="L3791" s="444">
        <f t="shared" ca="1" si="154"/>
        <v>-2311639026998.7549</v>
      </c>
      <c r="M3791" s="460">
        <f t="shared" si="156"/>
        <v>0.05</v>
      </c>
      <c r="N3791" s="464">
        <f t="shared" si="157"/>
        <v>166430</v>
      </c>
    </row>
    <row r="3792" spans="7:14" ht="11.25" customHeight="1" x14ac:dyDescent="0.3">
      <c r="G3792" s="459"/>
      <c r="H3792" s="459">
        <v>3785</v>
      </c>
      <c r="I3792" s="444">
        <f t="shared" ca="1" si="155"/>
        <v>-2311639026998.7549</v>
      </c>
      <c r="J3792" s="444">
        <f t="array" ref="J3792">IFERROR(INDEX('Retirement Calculator'!K:K,MATCH('Lorri 401b'!N3792,'Retirement Calculator'!A:A,0),0),0)</f>
        <v>0</v>
      </c>
      <c r="K3792" s="444">
        <f t="shared" ca="1" si="153"/>
        <v>-9631829279.161478</v>
      </c>
      <c r="L3792" s="444">
        <f t="shared" ca="1" si="154"/>
        <v>-2321270856277.9165</v>
      </c>
      <c r="M3792" s="460">
        <f t="shared" si="156"/>
        <v>0.05</v>
      </c>
      <c r="N3792" s="464">
        <f t="shared" si="157"/>
        <v>166460</v>
      </c>
    </row>
    <row r="3793" spans="7:14" ht="11.25" customHeight="1" x14ac:dyDescent="0.3">
      <c r="G3793" s="459"/>
      <c r="H3793" s="459">
        <v>3786</v>
      </c>
      <c r="I3793" s="444">
        <f t="shared" ca="1" si="155"/>
        <v>-2321270856277.9165</v>
      </c>
      <c r="J3793" s="444">
        <f t="array" ref="J3793">IFERROR(INDEX('Retirement Calculator'!K:K,MATCH('Lorri 401b'!N3793,'Retirement Calculator'!A:A,0),0),0)</f>
        <v>0</v>
      </c>
      <c r="K3793" s="444">
        <f t="shared" ca="1" si="153"/>
        <v>-9671961901.1579857</v>
      </c>
      <c r="L3793" s="444">
        <f t="shared" ca="1" si="154"/>
        <v>-2330942818179.0747</v>
      </c>
      <c r="M3793" s="460">
        <f t="shared" si="156"/>
        <v>0.05</v>
      </c>
      <c r="N3793" s="464">
        <f t="shared" si="157"/>
        <v>166491</v>
      </c>
    </row>
    <row r="3794" spans="7:14" ht="11.25" customHeight="1" x14ac:dyDescent="0.3">
      <c r="G3794" s="459"/>
      <c r="H3794" s="459">
        <v>3787</v>
      </c>
      <c r="I3794" s="444">
        <f t="shared" ca="1" si="155"/>
        <v>-2330942818179.0747</v>
      </c>
      <c r="J3794" s="444">
        <f t="array" ref="J3794">IFERROR(INDEX('Retirement Calculator'!K:K,MATCH('Lorri 401b'!N3794,'Retirement Calculator'!A:A,0),0),0)</f>
        <v>0</v>
      </c>
      <c r="K3794" s="444">
        <f t="shared" ca="1" si="153"/>
        <v>-9712261742.4128113</v>
      </c>
      <c r="L3794" s="444">
        <f t="shared" ca="1" si="154"/>
        <v>-2340655079921.4873</v>
      </c>
      <c r="M3794" s="460">
        <f t="shared" si="156"/>
        <v>0.05</v>
      </c>
      <c r="N3794" s="464">
        <f t="shared" si="157"/>
        <v>166521</v>
      </c>
    </row>
    <row r="3795" spans="7:14" ht="11.25" customHeight="1" x14ac:dyDescent="0.3">
      <c r="G3795" s="459"/>
      <c r="H3795" s="459">
        <v>3788</v>
      </c>
      <c r="I3795" s="444">
        <f t="shared" ca="1" si="155"/>
        <v>-2340655079921.4873</v>
      </c>
      <c r="J3795" s="444">
        <f t="array" ref="J3795">IFERROR(INDEX('Retirement Calculator'!K:K,MATCH('Lorri 401b'!N3795,'Retirement Calculator'!A:A,0),0),0)</f>
        <v>0</v>
      </c>
      <c r="K3795" s="444">
        <f t="shared" ca="1" si="153"/>
        <v>-9752729499.672863</v>
      </c>
      <c r="L3795" s="444">
        <f t="shared" ca="1" si="154"/>
        <v>-2350407809421.1602</v>
      </c>
      <c r="M3795" s="460">
        <f t="shared" si="156"/>
        <v>0.05</v>
      </c>
      <c r="N3795" s="464">
        <f t="shared" si="157"/>
        <v>166552</v>
      </c>
    </row>
    <row r="3796" spans="7:14" ht="11.25" customHeight="1" x14ac:dyDescent="0.3">
      <c r="G3796" s="459"/>
      <c r="H3796" s="459">
        <v>3789</v>
      </c>
      <c r="I3796" s="444">
        <f t="shared" ca="1" si="155"/>
        <v>-2350407809421.1602</v>
      </c>
      <c r="J3796" s="444">
        <f t="array" ref="J3796">IFERROR(INDEX('Retirement Calculator'!K:K,MATCH('Lorri 401b'!N3796,'Retirement Calculator'!A:A,0),0),0)</f>
        <v>0</v>
      </c>
      <c r="K3796" s="444">
        <f t="shared" ca="1" si="153"/>
        <v>-9793365872.5881672</v>
      </c>
      <c r="L3796" s="444">
        <f t="shared" ca="1" si="154"/>
        <v>-2360201175293.7485</v>
      </c>
      <c r="M3796" s="460">
        <f t="shared" si="156"/>
        <v>0.05</v>
      </c>
      <c r="N3796" s="464">
        <f t="shared" si="157"/>
        <v>166583</v>
      </c>
    </row>
    <row r="3797" spans="7:14" ht="11.25" customHeight="1" x14ac:dyDescent="0.3">
      <c r="G3797" s="459"/>
      <c r="H3797" s="459">
        <v>3790</v>
      </c>
      <c r="I3797" s="444">
        <f t="shared" ca="1" si="155"/>
        <v>-2360201175293.7485</v>
      </c>
      <c r="J3797" s="444">
        <f t="array" ref="J3797">IFERROR(INDEX('Retirement Calculator'!K:K,MATCH('Lorri 401b'!N3797,'Retirement Calculator'!A:A,0),0),0)</f>
        <v>0</v>
      </c>
      <c r="K3797" s="444">
        <f t="shared" ca="1" si="153"/>
        <v>-9834171563.7239513</v>
      </c>
      <c r="L3797" s="444">
        <f t="shared" ca="1" si="154"/>
        <v>-2370035346857.4727</v>
      </c>
      <c r="M3797" s="460">
        <f t="shared" si="156"/>
        <v>0.05</v>
      </c>
      <c r="N3797" s="464">
        <f t="shared" si="157"/>
        <v>166612</v>
      </c>
    </row>
    <row r="3798" spans="7:14" ht="11.25" customHeight="1" x14ac:dyDescent="0.3">
      <c r="G3798" s="459"/>
      <c r="H3798" s="459">
        <v>3791</v>
      </c>
      <c r="I3798" s="444">
        <f t="shared" ca="1" si="155"/>
        <v>-2370035346857.4727</v>
      </c>
      <c r="J3798" s="444">
        <f t="array" ref="J3798">IFERROR(INDEX('Retirement Calculator'!K:K,MATCH('Lorri 401b'!N3798,'Retirement Calculator'!A:A,0),0),0)</f>
        <v>0</v>
      </c>
      <c r="K3798" s="444">
        <f t="shared" ca="1" si="153"/>
        <v>-9875147278.5728035</v>
      </c>
      <c r="L3798" s="444">
        <f t="shared" ca="1" si="154"/>
        <v>-2379910494136.0454</v>
      </c>
      <c r="M3798" s="460">
        <f t="shared" si="156"/>
        <v>0.05</v>
      </c>
      <c r="N3798" s="464">
        <f t="shared" si="157"/>
        <v>166643</v>
      </c>
    </row>
    <row r="3799" spans="7:14" ht="11.25" customHeight="1" x14ac:dyDescent="0.3">
      <c r="G3799" s="459"/>
      <c r="H3799" s="459">
        <v>3792</v>
      </c>
      <c r="I3799" s="444">
        <f t="shared" ca="1" si="155"/>
        <v>-2379910494136.0454</v>
      </c>
      <c r="J3799" s="444">
        <f t="array" ref="J3799">IFERROR(INDEX('Retirement Calculator'!K:K,MATCH('Lorri 401b'!N3799,'Retirement Calculator'!A:A,0),0),0)</f>
        <v>0</v>
      </c>
      <c r="K3799" s="444">
        <f t="shared" ca="1" si="153"/>
        <v>-9916293725.5668564</v>
      </c>
      <c r="L3799" s="444">
        <f t="shared" ca="1" si="154"/>
        <v>-2389826787861.6123</v>
      </c>
      <c r="M3799" s="460">
        <f t="shared" si="156"/>
        <v>0.05</v>
      </c>
      <c r="N3799" s="464">
        <f t="shared" si="157"/>
        <v>166673</v>
      </c>
    </row>
    <row r="3800" spans="7:14" ht="11.25" customHeight="1" x14ac:dyDescent="0.3">
      <c r="G3800" s="459"/>
      <c r="H3800" s="459">
        <v>3793</v>
      </c>
      <c r="I3800" s="444">
        <f t="shared" ca="1" si="155"/>
        <v>-2389826787861.6123</v>
      </c>
      <c r="J3800" s="444">
        <f t="array" ref="J3800">IFERROR(INDEX('Retirement Calculator'!K:K,MATCH('Lorri 401b'!N3800,'Retirement Calculator'!A:A,0),0),0)</f>
        <v>0</v>
      </c>
      <c r="K3800" s="444">
        <f t="shared" ca="1" si="153"/>
        <v>-9957611616.0900517</v>
      </c>
      <c r="L3800" s="444">
        <f t="shared" ca="1" si="154"/>
        <v>-2399784399477.7021</v>
      </c>
      <c r="M3800" s="460">
        <f t="shared" si="156"/>
        <v>0.05</v>
      </c>
      <c r="N3800" s="464">
        <f t="shared" si="157"/>
        <v>166704</v>
      </c>
    </row>
    <row r="3801" spans="7:14" ht="11.25" customHeight="1" x14ac:dyDescent="0.3">
      <c r="G3801" s="459"/>
      <c r="H3801" s="459">
        <v>3794</v>
      </c>
      <c r="I3801" s="444">
        <f t="shared" ca="1" si="155"/>
        <v>-2399784399477.7021</v>
      </c>
      <c r="J3801" s="444">
        <f t="array" ref="J3801">IFERROR(INDEX('Retirement Calculator'!K:K,MATCH('Lorri 401b'!N3801,'Retirement Calculator'!A:A,0),0),0)</f>
        <v>0</v>
      </c>
      <c r="K3801" s="444">
        <f t="shared" ca="1" si="153"/>
        <v>-9999101664.4904251</v>
      </c>
      <c r="L3801" s="444">
        <f t="shared" ca="1" si="154"/>
        <v>-2409783501142.1924</v>
      </c>
      <c r="M3801" s="460">
        <f t="shared" si="156"/>
        <v>0.05</v>
      </c>
      <c r="N3801" s="464">
        <f t="shared" si="157"/>
        <v>166734</v>
      </c>
    </row>
    <row r="3802" spans="7:14" ht="11.25" customHeight="1" x14ac:dyDescent="0.3">
      <c r="G3802" s="459"/>
      <c r="H3802" s="459">
        <v>3795</v>
      </c>
      <c r="I3802" s="444">
        <f t="shared" ca="1" si="155"/>
        <v>-2409783501142.1924</v>
      </c>
      <c r="J3802" s="444">
        <f t="array" ref="J3802">IFERROR(INDEX('Retirement Calculator'!K:K,MATCH('Lorri 401b'!N3802,'Retirement Calculator'!A:A,0),0),0)</f>
        <v>0</v>
      </c>
      <c r="K3802" s="444">
        <f t="shared" ca="1" si="153"/>
        <v>-10040764588.092468</v>
      </c>
      <c r="L3802" s="444">
        <f t="shared" ca="1" si="154"/>
        <v>-2419824265730.2847</v>
      </c>
      <c r="M3802" s="460">
        <f t="shared" si="156"/>
        <v>0.05</v>
      </c>
      <c r="N3802" s="464">
        <f t="shared" si="157"/>
        <v>166765</v>
      </c>
    </row>
    <row r="3803" spans="7:14" ht="11.25" customHeight="1" x14ac:dyDescent="0.3">
      <c r="G3803" s="459"/>
      <c r="H3803" s="459">
        <v>3796</v>
      </c>
      <c r="I3803" s="444">
        <f t="shared" ca="1" si="155"/>
        <v>-2419824265730.2847</v>
      </c>
      <c r="J3803" s="444">
        <f t="array" ref="J3803">IFERROR(INDEX('Retirement Calculator'!K:K,MATCH('Lorri 401b'!N3803,'Retirement Calculator'!A:A,0),0),0)</f>
        <v>0</v>
      </c>
      <c r="K3803" s="444">
        <f t="shared" ca="1" si="153"/>
        <v>-10082601107.209518</v>
      </c>
      <c r="L3803" s="444">
        <f t="shared" ca="1" si="154"/>
        <v>-2429906866837.4941</v>
      </c>
      <c r="M3803" s="460">
        <f t="shared" si="156"/>
        <v>0.05</v>
      </c>
      <c r="N3803" s="464">
        <f t="shared" si="157"/>
        <v>166796</v>
      </c>
    </row>
    <row r="3804" spans="7:14" ht="11.25" customHeight="1" x14ac:dyDescent="0.3">
      <c r="G3804" s="459"/>
      <c r="H3804" s="459">
        <v>3797</v>
      </c>
      <c r="I3804" s="444">
        <f t="shared" ca="1" si="155"/>
        <v>-2429906866837.4941</v>
      </c>
      <c r="J3804" s="444">
        <f t="array" ref="J3804">IFERROR(INDEX('Retirement Calculator'!K:K,MATCH('Lorri 401b'!N3804,'Retirement Calculator'!A:A,0),0),0)</f>
        <v>0</v>
      </c>
      <c r="K3804" s="444">
        <f t="shared" ca="1" si="153"/>
        <v>-10124611945.156225</v>
      </c>
      <c r="L3804" s="444">
        <f t="shared" ca="1" si="154"/>
        <v>-2440031478782.6504</v>
      </c>
      <c r="M3804" s="460">
        <f t="shared" si="156"/>
        <v>0.05</v>
      </c>
      <c r="N3804" s="464">
        <f t="shared" si="157"/>
        <v>166826</v>
      </c>
    </row>
    <row r="3805" spans="7:14" ht="11.25" customHeight="1" x14ac:dyDescent="0.3">
      <c r="G3805" s="459"/>
      <c r="H3805" s="459">
        <v>3798</v>
      </c>
      <c r="I3805" s="444">
        <f t="shared" ca="1" si="155"/>
        <v>-2440031478782.6504</v>
      </c>
      <c r="J3805" s="444">
        <f t="array" ref="J3805">IFERROR(INDEX('Retirement Calculator'!K:K,MATCH('Lorri 401b'!N3805,'Retirement Calculator'!A:A,0),0),0)</f>
        <v>0</v>
      </c>
      <c r="K3805" s="444">
        <f t="shared" ca="1" si="153"/>
        <v>-10166797828.261044</v>
      </c>
      <c r="L3805" s="444">
        <f t="shared" ca="1" si="154"/>
        <v>-2450198276610.9116</v>
      </c>
      <c r="M3805" s="460">
        <f t="shared" si="156"/>
        <v>0.05</v>
      </c>
      <c r="N3805" s="464">
        <f t="shared" si="157"/>
        <v>166857</v>
      </c>
    </row>
    <row r="3806" spans="7:14" ht="11.25" customHeight="1" x14ac:dyDescent="0.3">
      <c r="G3806" s="459"/>
      <c r="H3806" s="459">
        <v>3799</v>
      </c>
      <c r="I3806" s="444">
        <f t="shared" ca="1" si="155"/>
        <v>-2450198276610.9116</v>
      </c>
      <c r="J3806" s="444">
        <f t="array" ref="J3806">IFERROR(INDEX('Retirement Calculator'!K:K,MATCH('Lorri 401b'!N3806,'Retirement Calculator'!A:A,0),0),0)</f>
        <v>0</v>
      </c>
      <c r="K3806" s="444">
        <f t="shared" ca="1" si="153"/>
        <v>-10209159485.878798</v>
      </c>
      <c r="L3806" s="444">
        <f t="shared" ca="1" si="154"/>
        <v>-2460407436096.7905</v>
      </c>
      <c r="M3806" s="460">
        <f t="shared" si="156"/>
        <v>0.05</v>
      </c>
      <c r="N3806" s="464">
        <f t="shared" si="157"/>
        <v>166887</v>
      </c>
    </row>
    <row r="3807" spans="7:14" ht="11.25" customHeight="1" x14ac:dyDescent="0.3">
      <c r="G3807" s="459"/>
      <c r="H3807" s="459">
        <v>3800</v>
      </c>
      <c r="I3807" s="444">
        <f t="shared" ca="1" si="155"/>
        <v>-2460407436096.7905</v>
      </c>
      <c r="J3807" s="444">
        <f t="array" ref="J3807">IFERROR(INDEX('Retirement Calculator'!K:K,MATCH('Lorri 401b'!N3807,'Retirement Calculator'!A:A,0),0),0)</f>
        <v>0</v>
      </c>
      <c r="K3807" s="444">
        <f t="shared" ca="1" si="153"/>
        <v>-10251697650.403294</v>
      </c>
      <c r="L3807" s="444">
        <f t="shared" ca="1" si="154"/>
        <v>-2470659133747.1938</v>
      </c>
      <c r="M3807" s="460">
        <f t="shared" si="156"/>
        <v>0.05</v>
      </c>
      <c r="N3807" s="464">
        <f t="shared" si="157"/>
        <v>166918</v>
      </c>
    </row>
    <row r="3808" spans="7:14" ht="11.25" customHeight="1" x14ac:dyDescent="0.3">
      <c r="G3808" s="459"/>
      <c r="H3808" s="459">
        <v>3801</v>
      </c>
      <c r="I3808" s="444">
        <f t="shared" ca="1" si="155"/>
        <v>-2470659133747.1938</v>
      </c>
      <c r="J3808" s="444">
        <f t="array" ref="J3808">IFERROR(INDEX('Retirement Calculator'!K:K,MATCH('Lorri 401b'!N3808,'Retirement Calculator'!A:A,0),0),0)</f>
        <v>0</v>
      </c>
      <c r="K3808" s="444">
        <f t="shared" ca="1" si="153"/>
        <v>-10294413057.279974</v>
      </c>
      <c r="L3808" s="444">
        <f t="shared" ca="1" si="154"/>
        <v>-2480953546804.4736</v>
      </c>
      <c r="M3808" s="460">
        <f t="shared" si="156"/>
        <v>0.05</v>
      </c>
      <c r="N3808" s="464">
        <f t="shared" si="157"/>
        <v>166949</v>
      </c>
    </row>
    <row r="3809" spans="7:14" ht="11.25" customHeight="1" x14ac:dyDescent="0.3">
      <c r="G3809" s="459"/>
      <c r="H3809" s="459">
        <v>3802</v>
      </c>
      <c r="I3809" s="444">
        <f t="shared" ca="1" si="155"/>
        <v>-2480953546804.4736</v>
      </c>
      <c r="J3809" s="444">
        <f t="array" ref="J3809">IFERROR(INDEX('Retirement Calculator'!K:K,MATCH('Lorri 401b'!N3809,'Retirement Calculator'!A:A,0),0),0)</f>
        <v>0</v>
      </c>
      <c r="K3809" s="444">
        <f t="shared" ca="1" si="153"/>
        <v>-10337306445.018641</v>
      </c>
      <c r="L3809" s="444">
        <f t="shared" ca="1" si="154"/>
        <v>-2491290853249.4922</v>
      </c>
      <c r="M3809" s="460">
        <f t="shared" si="156"/>
        <v>0.05</v>
      </c>
      <c r="N3809" s="464">
        <f t="shared" si="157"/>
        <v>166977</v>
      </c>
    </row>
    <row r="3810" spans="7:14" ht="11.25" customHeight="1" x14ac:dyDescent="0.3">
      <c r="G3810" s="459"/>
      <c r="H3810" s="459">
        <v>3803</v>
      </c>
      <c r="I3810" s="444">
        <f t="shared" ca="1" si="155"/>
        <v>-2491290853249.4922</v>
      </c>
      <c r="J3810" s="444">
        <f t="array" ref="J3810">IFERROR(INDEX('Retirement Calculator'!K:K,MATCH('Lorri 401b'!N3810,'Retirement Calculator'!A:A,0),0),0)</f>
        <v>0</v>
      </c>
      <c r="K3810" s="444">
        <f t="shared" ca="1" si="153"/>
        <v>-10380378555.206217</v>
      </c>
      <c r="L3810" s="444">
        <f t="shared" ca="1" si="154"/>
        <v>-2501671231804.6982</v>
      </c>
      <c r="M3810" s="460">
        <f t="shared" si="156"/>
        <v>0.05</v>
      </c>
      <c r="N3810" s="464">
        <f t="shared" si="157"/>
        <v>167008</v>
      </c>
    </row>
    <row r="3811" spans="7:14" ht="11.25" customHeight="1" x14ac:dyDescent="0.3">
      <c r="G3811" s="459"/>
      <c r="H3811" s="459">
        <v>3804</v>
      </c>
      <c r="I3811" s="444">
        <f t="shared" ca="1" si="155"/>
        <v>-2501671231804.6982</v>
      </c>
      <c r="J3811" s="444">
        <f t="array" ref="J3811">IFERROR(INDEX('Retirement Calculator'!K:K,MATCH('Lorri 401b'!N3811,'Retirement Calculator'!A:A,0),0),0)</f>
        <v>0</v>
      </c>
      <c r="K3811" s="444">
        <f t="shared" ca="1" si="153"/>
        <v>-10423630132.519575</v>
      </c>
      <c r="L3811" s="444">
        <f t="shared" ca="1" si="154"/>
        <v>-2512094861937.2178</v>
      </c>
      <c r="M3811" s="460">
        <f t="shared" si="156"/>
        <v>0.05</v>
      </c>
      <c r="N3811" s="464">
        <f t="shared" si="157"/>
        <v>167038</v>
      </c>
    </row>
    <row r="3812" spans="7:14" ht="11.25" customHeight="1" x14ac:dyDescent="0.3">
      <c r="G3812" s="459"/>
      <c r="H3812" s="459">
        <v>3805</v>
      </c>
      <c r="I3812" s="444">
        <f t="shared" ca="1" si="155"/>
        <v>-2512094861937.2178</v>
      </c>
      <c r="J3812" s="444">
        <f t="array" ref="J3812">IFERROR(INDEX('Retirement Calculator'!K:K,MATCH('Lorri 401b'!N3812,'Retirement Calculator'!A:A,0),0),0)</f>
        <v>0</v>
      </c>
      <c r="K3812" s="444">
        <f t="shared" ca="1" si="153"/>
        <v>-10467061924.738407</v>
      </c>
      <c r="L3812" s="444">
        <f t="shared" ca="1" si="154"/>
        <v>-2522561923861.9561</v>
      </c>
      <c r="M3812" s="460">
        <f t="shared" si="156"/>
        <v>0.05</v>
      </c>
      <c r="N3812" s="464">
        <f t="shared" si="157"/>
        <v>167069</v>
      </c>
    </row>
    <row r="3813" spans="7:14" ht="11.25" customHeight="1" x14ac:dyDescent="0.3">
      <c r="G3813" s="459"/>
      <c r="H3813" s="459">
        <v>3806</v>
      </c>
      <c r="I3813" s="444">
        <f t="shared" ca="1" si="155"/>
        <v>-2522561923861.9561</v>
      </c>
      <c r="J3813" s="444">
        <f t="array" ref="J3813">IFERROR(INDEX('Retirement Calculator'!K:K,MATCH('Lorri 401b'!N3813,'Retirement Calculator'!A:A,0),0),0)</f>
        <v>0</v>
      </c>
      <c r="K3813" s="444">
        <f t="shared" ca="1" si="153"/>
        <v>-10510674682.75815</v>
      </c>
      <c r="L3813" s="444">
        <f t="shared" ca="1" si="154"/>
        <v>-2533072598544.7144</v>
      </c>
      <c r="M3813" s="460">
        <f t="shared" si="156"/>
        <v>0.05</v>
      </c>
      <c r="N3813" s="464">
        <f t="shared" si="157"/>
        <v>167099</v>
      </c>
    </row>
    <row r="3814" spans="7:14" ht="11.25" customHeight="1" x14ac:dyDescent="0.3">
      <c r="G3814" s="459"/>
      <c r="H3814" s="459">
        <v>3807</v>
      </c>
      <c r="I3814" s="444">
        <f t="shared" ca="1" si="155"/>
        <v>-2533072598544.7144</v>
      </c>
      <c r="J3814" s="444">
        <f t="array" ref="J3814">IFERROR(INDEX('Retirement Calculator'!K:K,MATCH('Lorri 401b'!N3814,'Retirement Calculator'!A:A,0),0),0)</f>
        <v>0</v>
      </c>
      <c r="K3814" s="444">
        <f t="shared" ca="1" si="153"/>
        <v>-10554469160.602976</v>
      </c>
      <c r="L3814" s="444">
        <f t="shared" ca="1" si="154"/>
        <v>-2543627067705.3174</v>
      </c>
      <c r="M3814" s="460">
        <f t="shared" si="156"/>
        <v>0.05</v>
      </c>
      <c r="N3814" s="464">
        <f t="shared" si="157"/>
        <v>167130</v>
      </c>
    </row>
    <row r="3815" spans="7:14" ht="11.25" customHeight="1" x14ac:dyDescent="0.3">
      <c r="G3815" s="459"/>
      <c r="H3815" s="459">
        <v>3808</v>
      </c>
      <c r="I3815" s="444">
        <f t="shared" ca="1" si="155"/>
        <v>-2543627067705.3174</v>
      </c>
      <c r="J3815" s="444">
        <f t="array" ref="J3815">IFERROR(INDEX('Retirement Calculator'!K:K,MATCH('Lorri 401b'!N3815,'Retirement Calculator'!A:A,0),0),0)</f>
        <v>0</v>
      </c>
      <c r="K3815" s="444">
        <f t="shared" ca="1" si="153"/>
        <v>-10598446115.438822</v>
      </c>
      <c r="L3815" s="444">
        <f t="shared" ca="1" si="154"/>
        <v>-2554225513820.7563</v>
      </c>
      <c r="M3815" s="460">
        <f t="shared" si="156"/>
        <v>0.05</v>
      </c>
      <c r="N3815" s="464">
        <f t="shared" si="157"/>
        <v>167161</v>
      </c>
    </row>
    <row r="3816" spans="7:14" ht="11.25" customHeight="1" x14ac:dyDescent="0.3">
      <c r="G3816" s="459"/>
      <c r="H3816" s="459">
        <v>3809</v>
      </c>
      <c r="I3816" s="444">
        <f t="shared" ca="1" si="155"/>
        <v>-2554225513820.7563</v>
      </c>
      <c r="J3816" s="444">
        <f t="array" ref="J3816">IFERROR(INDEX('Retirement Calculator'!K:K,MATCH('Lorri 401b'!N3816,'Retirement Calculator'!A:A,0),0),0)</f>
        <v>0</v>
      </c>
      <c r="K3816" s="444">
        <f t="shared" ca="1" si="153"/>
        <v>-10642606307.586485</v>
      </c>
      <c r="L3816" s="444">
        <f t="shared" ca="1" si="154"/>
        <v>-2564868120128.3428</v>
      </c>
      <c r="M3816" s="460">
        <f t="shared" si="156"/>
        <v>0.05</v>
      </c>
      <c r="N3816" s="464">
        <f t="shared" si="157"/>
        <v>167191</v>
      </c>
    </row>
    <row r="3817" spans="7:14" ht="11.25" customHeight="1" x14ac:dyDescent="0.3">
      <c r="G3817" s="459"/>
      <c r="H3817" s="459">
        <v>3810</v>
      </c>
      <c r="I3817" s="444">
        <f t="shared" ca="1" si="155"/>
        <v>-2564868120128.3428</v>
      </c>
      <c r="J3817" s="444">
        <f t="array" ref="J3817">IFERROR(INDEX('Retirement Calculator'!K:K,MATCH('Lorri 401b'!N3817,'Retirement Calculator'!A:A,0),0),0)</f>
        <v>0</v>
      </c>
      <c r="K3817" s="444">
        <f t="shared" ca="1" si="153"/>
        <v>-10686950500.534761</v>
      </c>
      <c r="L3817" s="444">
        <f t="shared" ca="1" si="154"/>
        <v>-2575555070628.8774</v>
      </c>
      <c r="M3817" s="460">
        <f t="shared" si="156"/>
        <v>0.05</v>
      </c>
      <c r="N3817" s="464">
        <f t="shared" si="157"/>
        <v>167222</v>
      </c>
    </row>
    <row r="3818" spans="7:14" ht="11.25" customHeight="1" x14ac:dyDescent="0.3">
      <c r="G3818" s="459"/>
      <c r="H3818" s="459">
        <v>3811</v>
      </c>
      <c r="I3818" s="444">
        <f t="shared" ca="1" si="155"/>
        <v>-2575555070628.8774</v>
      </c>
      <c r="J3818" s="444">
        <f t="array" ref="J3818">IFERROR(INDEX('Retirement Calculator'!K:K,MATCH('Lorri 401b'!N3818,'Retirement Calculator'!A:A,0),0),0)</f>
        <v>0</v>
      </c>
      <c r="K3818" s="444">
        <f t="shared" ca="1" si="153"/>
        <v>-10731479460.953655</v>
      </c>
      <c r="L3818" s="444">
        <f t="shared" ca="1" si="154"/>
        <v>-2586286550089.8311</v>
      </c>
      <c r="M3818" s="460">
        <f t="shared" si="156"/>
        <v>0.05</v>
      </c>
      <c r="N3818" s="464">
        <f t="shared" si="157"/>
        <v>167252</v>
      </c>
    </row>
    <row r="3819" spans="7:14" ht="11.25" customHeight="1" x14ac:dyDescent="0.3">
      <c r="G3819" s="459"/>
      <c r="H3819" s="459">
        <v>3812</v>
      </c>
      <c r="I3819" s="444">
        <f t="shared" ca="1" si="155"/>
        <v>-2586286550089.8311</v>
      </c>
      <c r="J3819" s="444">
        <f t="array" ref="J3819">IFERROR(INDEX('Retirement Calculator'!K:K,MATCH('Lorri 401b'!N3819,'Retirement Calculator'!A:A,0),0),0)</f>
        <v>0</v>
      </c>
      <c r="K3819" s="444">
        <f t="shared" ca="1" si="153"/>
        <v>-10776193958.70763</v>
      </c>
      <c r="L3819" s="444">
        <f t="shared" ca="1" si="154"/>
        <v>-2597062744048.5386</v>
      </c>
      <c r="M3819" s="460">
        <f t="shared" si="156"/>
        <v>0.05</v>
      </c>
      <c r="N3819" s="464">
        <f t="shared" si="157"/>
        <v>167283</v>
      </c>
    </row>
    <row r="3820" spans="7:14" ht="11.25" customHeight="1" x14ac:dyDescent="0.3">
      <c r="G3820" s="459"/>
      <c r="H3820" s="459">
        <v>3813</v>
      </c>
      <c r="I3820" s="444">
        <f t="shared" ca="1" si="155"/>
        <v>-2597062744048.5386</v>
      </c>
      <c r="J3820" s="444">
        <f t="array" ref="J3820">IFERROR(INDEX('Retirement Calculator'!K:K,MATCH('Lorri 401b'!N3820,'Retirement Calculator'!A:A,0),0),0)</f>
        <v>0</v>
      </c>
      <c r="K3820" s="444">
        <f t="shared" ca="1" si="153"/>
        <v>-10821094766.86891</v>
      </c>
      <c r="L3820" s="444">
        <f t="shared" ca="1" si="154"/>
        <v>-2607883838815.4077</v>
      </c>
      <c r="M3820" s="460">
        <f t="shared" si="156"/>
        <v>0.05</v>
      </c>
      <c r="N3820" s="464">
        <f t="shared" si="157"/>
        <v>167314</v>
      </c>
    </row>
    <row r="3821" spans="7:14" ht="11.25" customHeight="1" x14ac:dyDescent="0.3">
      <c r="G3821" s="459"/>
      <c r="H3821" s="459">
        <v>3814</v>
      </c>
      <c r="I3821" s="444">
        <f t="shared" ca="1" si="155"/>
        <v>-2607883838815.4077</v>
      </c>
      <c r="J3821" s="444">
        <f t="array" ref="J3821">IFERROR(INDEX('Retirement Calculator'!K:K,MATCH('Lorri 401b'!N3821,'Retirement Calculator'!A:A,0),0),0)</f>
        <v>0</v>
      </c>
      <c r="K3821" s="444">
        <f t="shared" ca="1" si="153"/>
        <v>-10866182661.730865</v>
      </c>
      <c r="L3821" s="444">
        <f t="shared" ca="1" si="154"/>
        <v>-2618750021477.1387</v>
      </c>
      <c r="M3821" s="460">
        <f t="shared" si="156"/>
        <v>0.05</v>
      </c>
      <c r="N3821" s="464">
        <f t="shared" si="157"/>
        <v>167342</v>
      </c>
    </row>
    <row r="3822" spans="7:14" ht="11.25" customHeight="1" x14ac:dyDescent="0.3">
      <c r="G3822" s="459"/>
      <c r="H3822" s="459">
        <v>3815</v>
      </c>
      <c r="I3822" s="444">
        <f t="shared" ca="1" si="155"/>
        <v>-2618750021477.1387</v>
      </c>
      <c r="J3822" s="444">
        <f t="array" ref="J3822">IFERROR(INDEX('Retirement Calculator'!K:K,MATCH('Lorri 401b'!N3822,'Retirement Calculator'!A:A,0),0),0)</f>
        <v>0</v>
      </c>
      <c r="K3822" s="444">
        <f t="shared" ca="1" si="153"/>
        <v>-10911458422.821411</v>
      </c>
      <c r="L3822" s="444">
        <f t="shared" ca="1" si="154"/>
        <v>-2629661479899.96</v>
      </c>
      <c r="M3822" s="460">
        <f t="shared" si="156"/>
        <v>0.05</v>
      </c>
      <c r="N3822" s="464">
        <f t="shared" si="157"/>
        <v>167373</v>
      </c>
    </row>
    <row r="3823" spans="7:14" ht="11.25" customHeight="1" x14ac:dyDescent="0.3">
      <c r="G3823" s="459"/>
      <c r="H3823" s="459">
        <v>3816</v>
      </c>
      <c r="I3823" s="444">
        <f t="shared" ca="1" si="155"/>
        <v>-2629661479899.96</v>
      </c>
      <c r="J3823" s="444">
        <f t="array" ref="J3823">IFERROR(INDEX('Retirement Calculator'!K:K,MATCH('Lorri 401b'!N3823,'Retirement Calculator'!A:A,0),0),0)</f>
        <v>0</v>
      </c>
      <c r="K3823" s="444">
        <f t="shared" ca="1" si="153"/>
        <v>-10956922832.9165</v>
      </c>
      <c r="L3823" s="444">
        <f t="shared" ca="1" si="154"/>
        <v>-2640618402732.8765</v>
      </c>
      <c r="M3823" s="460">
        <f t="shared" si="156"/>
        <v>0.05</v>
      </c>
      <c r="N3823" s="464">
        <f t="shared" si="157"/>
        <v>167403</v>
      </c>
    </row>
    <row r="3824" spans="7:14" ht="11.25" customHeight="1" x14ac:dyDescent="0.3">
      <c r="G3824" s="459"/>
      <c r="H3824" s="459">
        <v>3817</v>
      </c>
      <c r="I3824" s="444">
        <f t="shared" ca="1" si="155"/>
        <v>-2640618402732.8765</v>
      </c>
      <c r="J3824" s="444">
        <f t="array" ref="J3824">IFERROR(INDEX('Retirement Calculator'!K:K,MATCH('Lorri 401b'!N3824,'Retirement Calculator'!A:A,0),0),0)</f>
        <v>0</v>
      </c>
      <c r="K3824" s="444">
        <f t="shared" ca="1" si="153"/>
        <v>-11002576678.053652</v>
      </c>
      <c r="L3824" s="444">
        <f t="shared" ca="1" si="154"/>
        <v>-2651620979410.9302</v>
      </c>
      <c r="M3824" s="460">
        <f t="shared" si="156"/>
        <v>0.05</v>
      </c>
      <c r="N3824" s="464">
        <f t="shared" si="157"/>
        <v>167434</v>
      </c>
    </row>
    <row r="3825" spans="7:14" ht="11.25" customHeight="1" x14ac:dyDescent="0.3">
      <c r="G3825" s="459"/>
      <c r="H3825" s="459">
        <v>3818</v>
      </c>
      <c r="I3825" s="444">
        <f t="shared" ca="1" si="155"/>
        <v>-2651620979410.9302</v>
      </c>
      <c r="J3825" s="444">
        <f t="array" ref="J3825">IFERROR(INDEX('Retirement Calculator'!K:K,MATCH('Lorri 401b'!N3825,'Retirement Calculator'!A:A,0),0),0)</f>
        <v>0</v>
      </c>
      <c r="K3825" s="444">
        <f t="shared" ca="1" si="153"/>
        <v>-11048420747.545542</v>
      </c>
      <c r="L3825" s="444">
        <f t="shared" ca="1" si="154"/>
        <v>-2662669400158.4756</v>
      </c>
      <c r="M3825" s="460">
        <f t="shared" si="156"/>
        <v>0.05</v>
      </c>
      <c r="N3825" s="464">
        <f t="shared" si="157"/>
        <v>167464</v>
      </c>
    </row>
    <row r="3826" spans="7:14" ht="11.25" customHeight="1" x14ac:dyDescent="0.3">
      <c r="G3826" s="459"/>
      <c r="H3826" s="459">
        <v>3819</v>
      </c>
      <c r="I3826" s="444">
        <f t="shared" ca="1" si="155"/>
        <v>-2662669400158.4756</v>
      </c>
      <c r="J3826" s="444">
        <f t="array" ref="J3826">IFERROR(INDEX('Retirement Calculator'!K:K,MATCH('Lorri 401b'!N3826,'Retirement Calculator'!A:A,0),0),0)</f>
        <v>0</v>
      </c>
      <c r="K3826" s="444">
        <f t="shared" ca="1" si="153"/>
        <v>-11094455833.993649</v>
      </c>
      <c r="L3826" s="444">
        <f t="shared" ca="1" si="154"/>
        <v>-2673763855992.4692</v>
      </c>
      <c r="M3826" s="460">
        <f t="shared" si="156"/>
        <v>0.05</v>
      </c>
      <c r="N3826" s="464">
        <f t="shared" si="157"/>
        <v>167495</v>
      </c>
    </row>
    <row r="3827" spans="7:14" ht="11.25" customHeight="1" x14ac:dyDescent="0.3">
      <c r="G3827" s="459"/>
      <c r="H3827" s="459">
        <v>3820</v>
      </c>
      <c r="I3827" s="444">
        <f t="shared" ca="1" si="155"/>
        <v>-2673763855992.4692</v>
      </c>
      <c r="J3827" s="444">
        <f t="array" ref="J3827">IFERROR(INDEX('Retirement Calculator'!K:K,MATCH('Lorri 401b'!N3827,'Retirement Calculator'!A:A,0),0),0)</f>
        <v>0</v>
      </c>
      <c r="K3827" s="444">
        <f t="shared" ca="1" si="153"/>
        <v>-11140682733.301954</v>
      </c>
      <c r="L3827" s="444">
        <f t="shared" ca="1" si="154"/>
        <v>-2684904538725.771</v>
      </c>
      <c r="M3827" s="460">
        <f t="shared" si="156"/>
        <v>0.05</v>
      </c>
      <c r="N3827" s="464">
        <f t="shared" si="157"/>
        <v>167526</v>
      </c>
    </row>
    <row r="3828" spans="7:14" ht="11.25" customHeight="1" x14ac:dyDescent="0.3">
      <c r="G3828" s="459"/>
      <c r="H3828" s="459">
        <v>3821</v>
      </c>
      <c r="I3828" s="444">
        <f t="shared" ca="1" si="155"/>
        <v>-2684904538725.771</v>
      </c>
      <c r="J3828" s="444">
        <f t="array" ref="J3828">IFERROR(INDEX('Retirement Calculator'!K:K,MATCH('Lorri 401b'!N3828,'Retirement Calculator'!A:A,0),0),0)</f>
        <v>0</v>
      </c>
      <c r="K3828" s="444">
        <f t="shared" ca="1" si="153"/>
        <v>-11187102244.690712</v>
      </c>
      <c r="L3828" s="444">
        <f t="shared" ca="1" si="154"/>
        <v>-2696091640970.4619</v>
      </c>
      <c r="M3828" s="460">
        <f t="shared" si="156"/>
        <v>0.05</v>
      </c>
      <c r="N3828" s="464">
        <f t="shared" si="157"/>
        <v>167556</v>
      </c>
    </row>
    <row r="3829" spans="7:14" ht="11.25" customHeight="1" x14ac:dyDescent="0.3">
      <c r="G3829" s="459"/>
      <c r="H3829" s="459">
        <v>3822</v>
      </c>
      <c r="I3829" s="444">
        <f t="shared" ca="1" si="155"/>
        <v>-2696091640970.4619</v>
      </c>
      <c r="J3829" s="444">
        <f t="array" ref="J3829">IFERROR(INDEX('Retirement Calculator'!K:K,MATCH('Lorri 401b'!N3829,'Retirement Calculator'!A:A,0),0),0)</f>
        <v>0</v>
      </c>
      <c r="K3829" s="444">
        <f t="shared" ca="1" si="153"/>
        <v>-11233715170.710258</v>
      </c>
      <c r="L3829" s="444">
        <f t="shared" ca="1" si="154"/>
        <v>-2707325356141.1724</v>
      </c>
      <c r="M3829" s="460">
        <f t="shared" si="156"/>
        <v>0.05</v>
      </c>
      <c r="N3829" s="464">
        <f t="shared" si="157"/>
        <v>167587</v>
      </c>
    </row>
    <row r="3830" spans="7:14" ht="11.25" customHeight="1" x14ac:dyDescent="0.3">
      <c r="G3830" s="459"/>
      <c r="H3830" s="459">
        <v>3823</v>
      </c>
      <c r="I3830" s="444">
        <f t="shared" ca="1" si="155"/>
        <v>-2707325356141.1724</v>
      </c>
      <c r="J3830" s="444">
        <f t="array" ref="J3830">IFERROR(INDEX('Retirement Calculator'!K:K,MATCH('Lorri 401b'!N3830,'Retirement Calculator'!A:A,0),0),0)</f>
        <v>0</v>
      </c>
      <c r="K3830" s="444">
        <f t="shared" ca="1" si="153"/>
        <v>-11280522317.254885</v>
      </c>
      <c r="L3830" s="444">
        <f t="shared" ca="1" si="154"/>
        <v>-2718605878458.4272</v>
      </c>
      <c r="M3830" s="460">
        <f t="shared" si="156"/>
        <v>0.05</v>
      </c>
      <c r="N3830" s="464">
        <f t="shared" si="157"/>
        <v>167617</v>
      </c>
    </row>
    <row r="3831" spans="7:14" ht="11.25" customHeight="1" x14ac:dyDescent="0.3">
      <c r="G3831" s="459"/>
      <c r="H3831" s="459">
        <v>3824</v>
      </c>
      <c r="I3831" s="444">
        <f t="shared" ca="1" si="155"/>
        <v>-2718605878458.4272</v>
      </c>
      <c r="J3831" s="444">
        <f t="array" ref="J3831">IFERROR(INDEX('Retirement Calculator'!K:K,MATCH('Lorri 401b'!N3831,'Retirement Calculator'!A:A,0),0),0)</f>
        <v>0</v>
      </c>
      <c r="K3831" s="444">
        <f t="shared" ca="1" si="153"/>
        <v>-11327524493.57678</v>
      </c>
      <c r="L3831" s="444">
        <f t="shared" ca="1" si="154"/>
        <v>-2729933402952.0039</v>
      </c>
      <c r="M3831" s="460">
        <f t="shared" si="156"/>
        <v>0.05</v>
      </c>
      <c r="N3831" s="464">
        <f t="shared" si="157"/>
        <v>167648</v>
      </c>
    </row>
    <row r="3832" spans="7:14" ht="11.25" customHeight="1" x14ac:dyDescent="0.3">
      <c r="G3832" s="459"/>
      <c r="H3832" s="459">
        <v>3825</v>
      </c>
      <c r="I3832" s="444">
        <f t="shared" ca="1" si="155"/>
        <v>-2729933402952.0039</v>
      </c>
      <c r="J3832" s="444">
        <f t="array" ref="J3832">IFERROR(INDEX('Retirement Calculator'!K:K,MATCH('Lorri 401b'!N3832,'Retirement Calculator'!A:A,0),0),0)</f>
        <v>0</v>
      </c>
      <c r="K3832" s="444">
        <f t="shared" ca="1" si="153"/>
        <v>-11374722512.300016</v>
      </c>
      <c r="L3832" s="444">
        <f t="shared" ca="1" si="154"/>
        <v>-2741308125464.3037</v>
      </c>
      <c r="M3832" s="460">
        <f t="shared" si="156"/>
        <v>0.05</v>
      </c>
      <c r="N3832" s="464">
        <f t="shared" si="157"/>
        <v>167679</v>
      </c>
    </row>
    <row r="3833" spans="7:14" ht="11.25" customHeight="1" x14ac:dyDescent="0.3">
      <c r="G3833" s="459"/>
      <c r="H3833" s="459">
        <v>3826</v>
      </c>
      <c r="I3833" s="444">
        <f t="shared" ca="1" si="155"/>
        <v>-2741308125464.3037</v>
      </c>
      <c r="J3833" s="444">
        <f t="array" ref="J3833">IFERROR(INDEX('Retirement Calculator'!K:K,MATCH('Lorri 401b'!N3833,'Retirement Calculator'!A:A,0),0),0)</f>
        <v>0</v>
      </c>
      <c r="K3833" s="444">
        <f t="shared" ref="K3833:K4087" ca="1" si="158">IPMT(M3833/12,1,12,-I3833+J3833,,0)</f>
        <v>-11422117189.434599</v>
      </c>
      <c r="L3833" s="444">
        <f t="shared" ref="L3833:L4087" ca="1" si="159">I3833-J3833+K3833</f>
        <v>-2752730242653.7383</v>
      </c>
      <c r="M3833" s="460">
        <f t="shared" si="156"/>
        <v>0.05</v>
      </c>
      <c r="N3833" s="464">
        <f t="shared" si="157"/>
        <v>167707</v>
      </c>
    </row>
    <row r="3834" spans="7:14" ht="11.25" customHeight="1" x14ac:dyDescent="0.3">
      <c r="G3834" s="459"/>
      <c r="H3834" s="459">
        <v>3827</v>
      </c>
      <c r="I3834" s="444">
        <f t="shared" ref="I3834:I4088" ca="1" si="160">L3833</f>
        <v>-2752730242653.7383</v>
      </c>
      <c r="J3834" s="444">
        <f t="array" ref="J3834">IFERROR(INDEX('Retirement Calculator'!K:K,MATCH('Lorri 401b'!N3834,'Retirement Calculator'!A:A,0),0),0)</f>
        <v>0</v>
      </c>
      <c r="K3834" s="444">
        <f t="shared" ca="1" si="158"/>
        <v>-11469709344.390575</v>
      </c>
      <c r="L3834" s="444">
        <f t="shared" ca="1" si="159"/>
        <v>-2764199951998.1289</v>
      </c>
      <c r="M3834" s="460">
        <f t="shared" ref="M3834:M4088" si="161">M3833</f>
        <v>0.05</v>
      </c>
      <c r="N3834" s="464">
        <f t="shared" ref="N3834:N4088" si="162">EDATE(N3833,1)</f>
        <v>167738</v>
      </c>
    </row>
    <row r="3835" spans="7:14" ht="11.25" customHeight="1" x14ac:dyDescent="0.3">
      <c r="G3835" s="459"/>
      <c r="H3835" s="459">
        <v>3828</v>
      </c>
      <c r="I3835" s="444">
        <f t="shared" ca="1" si="160"/>
        <v>-2764199951998.1289</v>
      </c>
      <c r="J3835" s="444">
        <f t="array" ref="J3835">IFERROR(INDEX('Retirement Calculator'!K:K,MATCH('Lorri 401b'!N3835,'Retirement Calculator'!A:A,0),0),0)</f>
        <v>0</v>
      </c>
      <c r="K3835" s="444">
        <f t="shared" ca="1" si="158"/>
        <v>-11517499799.992203</v>
      </c>
      <c r="L3835" s="444">
        <f t="shared" ca="1" si="159"/>
        <v>-2775717451798.1211</v>
      </c>
      <c r="M3835" s="460">
        <f t="shared" si="161"/>
        <v>0.05</v>
      </c>
      <c r="N3835" s="464">
        <f t="shared" si="162"/>
        <v>167768</v>
      </c>
    </row>
    <row r="3836" spans="7:14" ht="11.25" customHeight="1" x14ac:dyDescent="0.3">
      <c r="G3836" s="459"/>
      <c r="H3836" s="459">
        <v>3829</v>
      </c>
      <c r="I3836" s="444">
        <f t="shared" ca="1" si="160"/>
        <v>-2775717451798.1211</v>
      </c>
      <c r="J3836" s="444">
        <f t="array" ref="J3836">IFERROR(INDEX('Retirement Calculator'!K:K,MATCH('Lorri 401b'!N3836,'Retirement Calculator'!A:A,0),0),0)</f>
        <v>0</v>
      </c>
      <c r="K3836" s="444">
        <f t="shared" ca="1" si="158"/>
        <v>-11565489382.49217</v>
      </c>
      <c r="L3836" s="444">
        <f t="shared" ca="1" si="159"/>
        <v>-2787282941180.6133</v>
      </c>
      <c r="M3836" s="460">
        <f t="shared" si="161"/>
        <v>0.05</v>
      </c>
      <c r="N3836" s="464">
        <f t="shared" si="162"/>
        <v>167799</v>
      </c>
    </row>
    <row r="3837" spans="7:14" ht="11.25" customHeight="1" x14ac:dyDescent="0.3">
      <c r="G3837" s="459"/>
      <c r="H3837" s="459">
        <v>3830</v>
      </c>
      <c r="I3837" s="444">
        <f t="shared" ca="1" si="160"/>
        <v>-2787282941180.6133</v>
      </c>
      <c r="J3837" s="444">
        <f t="array" ref="J3837">IFERROR(INDEX('Retirement Calculator'!K:K,MATCH('Lorri 401b'!N3837,'Retirement Calculator'!A:A,0),0),0)</f>
        <v>0</v>
      </c>
      <c r="K3837" s="444">
        <f t="shared" ca="1" si="158"/>
        <v>-11613678921.585888</v>
      </c>
      <c r="L3837" s="444">
        <f t="shared" ca="1" si="159"/>
        <v>-2798896620102.1992</v>
      </c>
      <c r="M3837" s="460">
        <f t="shared" si="161"/>
        <v>0.05</v>
      </c>
      <c r="N3837" s="464">
        <f t="shared" si="162"/>
        <v>167829</v>
      </c>
    </row>
    <row r="3838" spans="7:14" ht="11.25" customHeight="1" x14ac:dyDescent="0.3">
      <c r="G3838" s="459"/>
      <c r="H3838" s="459">
        <v>3831</v>
      </c>
      <c r="I3838" s="444">
        <f t="shared" ca="1" si="160"/>
        <v>-2798896620102.1992</v>
      </c>
      <c r="J3838" s="444">
        <f t="array" ref="J3838">IFERROR(INDEX('Retirement Calculator'!K:K,MATCH('Lorri 401b'!N3838,'Retirement Calculator'!A:A,0),0),0)</f>
        <v>0</v>
      </c>
      <c r="K3838" s="444">
        <f t="shared" ca="1" si="158"/>
        <v>-11662069250.425831</v>
      </c>
      <c r="L3838" s="444">
        <f t="shared" ca="1" si="159"/>
        <v>-2810558689352.625</v>
      </c>
      <c r="M3838" s="460">
        <f t="shared" si="161"/>
        <v>0.05</v>
      </c>
      <c r="N3838" s="464">
        <f t="shared" si="162"/>
        <v>167860</v>
      </c>
    </row>
    <row r="3839" spans="7:14" ht="11.25" customHeight="1" x14ac:dyDescent="0.3">
      <c r="G3839" s="459"/>
      <c r="H3839" s="459">
        <v>3832</v>
      </c>
      <c r="I3839" s="444">
        <f t="shared" ca="1" si="160"/>
        <v>-2810558689352.625</v>
      </c>
      <c r="J3839" s="444">
        <f t="array" ref="J3839">IFERROR(INDEX('Retirement Calculator'!K:K,MATCH('Lorri 401b'!N3839,'Retirement Calculator'!A:A,0),0),0)</f>
        <v>0</v>
      </c>
      <c r="K3839" s="444">
        <f t="shared" ca="1" si="158"/>
        <v>-11710661205.635937</v>
      </c>
      <c r="L3839" s="444">
        <f t="shared" ca="1" si="159"/>
        <v>-2822269350558.2607</v>
      </c>
      <c r="M3839" s="460">
        <f t="shared" si="161"/>
        <v>0.05</v>
      </c>
      <c r="N3839" s="464">
        <f t="shared" si="162"/>
        <v>167891</v>
      </c>
    </row>
    <row r="3840" spans="7:14" ht="11.25" customHeight="1" x14ac:dyDescent="0.3">
      <c r="G3840" s="459"/>
      <c r="H3840" s="459">
        <v>3833</v>
      </c>
      <c r="I3840" s="444">
        <f t="shared" ca="1" si="160"/>
        <v>-2822269350558.2607</v>
      </c>
      <c r="J3840" s="444">
        <f t="array" ref="J3840">IFERROR(INDEX('Retirement Calculator'!K:K,MATCH('Lorri 401b'!N3840,'Retirement Calculator'!A:A,0),0),0)</f>
        <v>0</v>
      </c>
      <c r="K3840" s="444">
        <f t="shared" ca="1" si="158"/>
        <v>-11759455627.326086</v>
      </c>
      <c r="L3840" s="444">
        <f t="shared" ca="1" si="159"/>
        <v>-2834028806185.5869</v>
      </c>
      <c r="M3840" s="460">
        <f t="shared" si="161"/>
        <v>0.05</v>
      </c>
      <c r="N3840" s="464">
        <f t="shared" si="162"/>
        <v>167921</v>
      </c>
    </row>
    <row r="3841" spans="7:14" ht="11.25" customHeight="1" x14ac:dyDescent="0.3">
      <c r="G3841" s="459"/>
      <c r="H3841" s="459">
        <v>3834</v>
      </c>
      <c r="I3841" s="444">
        <f t="shared" ca="1" si="160"/>
        <v>-2834028806185.5869</v>
      </c>
      <c r="J3841" s="444">
        <f t="array" ref="J3841">IFERROR(INDEX('Retirement Calculator'!K:K,MATCH('Lorri 401b'!N3841,'Retirement Calculator'!A:A,0),0),0)</f>
        <v>0</v>
      </c>
      <c r="K3841" s="444">
        <f t="shared" ca="1" si="158"/>
        <v>-11808453359.106611</v>
      </c>
      <c r="L3841" s="444">
        <f t="shared" ca="1" si="159"/>
        <v>-2845837259544.6934</v>
      </c>
      <c r="M3841" s="460">
        <f t="shared" si="161"/>
        <v>0.05</v>
      </c>
      <c r="N3841" s="464">
        <f t="shared" si="162"/>
        <v>167952</v>
      </c>
    </row>
    <row r="3842" spans="7:14" ht="11.25" customHeight="1" x14ac:dyDescent="0.3">
      <c r="G3842" s="459"/>
      <c r="H3842" s="459">
        <v>3835</v>
      </c>
      <c r="I3842" s="444">
        <f t="shared" ca="1" si="160"/>
        <v>-2845837259544.6934</v>
      </c>
      <c r="J3842" s="444">
        <f t="array" ref="J3842">IFERROR(INDEX('Retirement Calculator'!K:K,MATCH('Lorri 401b'!N3842,'Retirement Calculator'!A:A,0),0),0)</f>
        <v>0</v>
      </c>
      <c r="K3842" s="444">
        <f t="shared" ca="1" si="158"/>
        <v>-11857655248.102888</v>
      </c>
      <c r="L3842" s="444">
        <f t="shared" ca="1" si="159"/>
        <v>-2857694914792.7964</v>
      </c>
      <c r="M3842" s="460">
        <f t="shared" si="161"/>
        <v>0.05</v>
      </c>
      <c r="N3842" s="464">
        <f t="shared" si="162"/>
        <v>167982</v>
      </c>
    </row>
    <row r="3843" spans="7:14" ht="11.25" customHeight="1" x14ac:dyDescent="0.3">
      <c r="G3843" s="459"/>
      <c r="H3843" s="459">
        <v>3836</v>
      </c>
      <c r="I3843" s="444">
        <f t="shared" ca="1" si="160"/>
        <v>-2857694914792.7964</v>
      </c>
      <c r="J3843" s="444">
        <f t="array" ref="J3843">IFERROR(INDEX('Retirement Calculator'!K:K,MATCH('Lorri 401b'!N3843,'Retirement Calculator'!A:A,0),0),0)</f>
        <v>0</v>
      </c>
      <c r="K3843" s="444">
        <f t="shared" ca="1" si="158"/>
        <v>-11907062144.969984</v>
      </c>
      <c r="L3843" s="444">
        <f t="shared" ca="1" si="159"/>
        <v>-2869601976937.7666</v>
      </c>
      <c r="M3843" s="460">
        <f t="shared" si="161"/>
        <v>0.05</v>
      </c>
      <c r="N3843" s="464">
        <f t="shared" si="162"/>
        <v>168013</v>
      </c>
    </row>
    <row r="3844" spans="7:14" ht="11.25" customHeight="1" x14ac:dyDescent="0.3">
      <c r="G3844" s="459"/>
      <c r="H3844" s="459">
        <v>3837</v>
      </c>
      <c r="I3844" s="444">
        <f t="shared" ca="1" si="160"/>
        <v>-2869601976937.7666</v>
      </c>
      <c r="J3844" s="444">
        <f t="array" ref="J3844">IFERROR(INDEX('Retirement Calculator'!K:K,MATCH('Lorri 401b'!N3844,'Retirement Calculator'!A:A,0),0),0)</f>
        <v>0</v>
      </c>
      <c r="K3844" s="444">
        <f t="shared" ca="1" si="158"/>
        <v>-11956674903.90736</v>
      </c>
      <c r="L3844" s="444">
        <f t="shared" ca="1" si="159"/>
        <v>-2881558651841.6738</v>
      </c>
      <c r="M3844" s="460">
        <f t="shared" si="161"/>
        <v>0.05</v>
      </c>
      <c r="N3844" s="464">
        <f t="shared" si="162"/>
        <v>168044</v>
      </c>
    </row>
    <row r="3845" spans="7:14" ht="11.25" customHeight="1" x14ac:dyDescent="0.3">
      <c r="G3845" s="459"/>
      <c r="H3845" s="459">
        <v>3838</v>
      </c>
      <c r="I3845" s="444">
        <f t="shared" ca="1" si="160"/>
        <v>-2881558651841.6738</v>
      </c>
      <c r="J3845" s="444">
        <f t="array" ref="J3845">IFERROR(INDEX('Retirement Calculator'!K:K,MATCH('Lorri 401b'!N3845,'Retirement Calculator'!A:A,0),0),0)</f>
        <v>0</v>
      </c>
      <c r="K3845" s="444">
        <f t="shared" ca="1" si="158"/>
        <v>-12006494382.673641</v>
      </c>
      <c r="L3845" s="444">
        <f t="shared" ca="1" si="159"/>
        <v>-2893565146224.3477</v>
      </c>
      <c r="M3845" s="460">
        <f t="shared" si="161"/>
        <v>0.05</v>
      </c>
      <c r="N3845" s="464">
        <f t="shared" si="162"/>
        <v>168073</v>
      </c>
    </row>
    <row r="3846" spans="7:14" ht="11.25" customHeight="1" x14ac:dyDescent="0.3">
      <c r="G3846" s="459"/>
      <c r="H3846" s="459">
        <v>3839</v>
      </c>
      <c r="I3846" s="444">
        <f t="shared" ca="1" si="160"/>
        <v>-2893565146224.3477</v>
      </c>
      <c r="J3846" s="444">
        <f t="array" ref="J3846">IFERROR(INDEX('Retirement Calculator'!K:K,MATCH('Lorri 401b'!N3846,'Retirement Calculator'!A:A,0),0),0)</f>
        <v>0</v>
      </c>
      <c r="K3846" s="444">
        <f t="shared" ca="1" si="158"/>
        <v>-12056521442.601448</v>
      </c>
      <c r="L3846" s="444">
        <f t="shared" ca="1" si="159"/>
        <v>-2905621667666.9492</v>
      </c>
      <c r="M3846" s="460">
        <f t="shared" si="161"/>
        <v>0.05</v>
      </c>
      <c r="N3846" s="464">
        <f t="shared" si="162"/>
        <v>168104</v>
      </c>
    </row>
    <row r="3847" spans="7:14" ht="11.25" customHeight="1" x14ac:dyDescent="0.3">
      <c r="G3847" s="459"/>
      <c r="H3847" s="459">
        <v>3840</v>
      </c>
      <c r="I3847" s="444">
        <f t="shared" ca="1" si="160"/>
        <v>-2905621667666.9492</v>
      </c>
      <c r="J3847" s="444">
        <f t="array" ref="J3847">IFERROR(INDEX('Retirement Calculator'!K:K,MATCH('Lorri 401b'!N3847,'Retirement Calculator'!A:A,0),0),0)</f>
        <v>0</v>
      </c>
      <c r="K3847" s="444">
        <f t="shared" ca="1" si="158"/>
        <v>-12106756948.612288</v>
      </c>
      <c r="L3847" s="444">
        <f t="shared" ca="1" si="159"/>
        <v>-2917728424615.5615</v>
      </c>
      <c r="M3847" s="460">
        <f t="shared" si="161"/>
        <v>0.05</v>
      </c>
      <c r="N3847" s="464">
        <f t="shared" si="162"/>
        <v>168134</v>
      </c>
    </row>
    <row r="3848" spans="7:14" ht="11.25" customHeight="1" x14ac:dyDescent="0.3">
      <c r="G3848" s="459"/>
      <c r="H3848" s="459">
        <v>3841</v>
      </c>
      <c r="I3848" s="444">
        <f t="shared" ca="1" si="160"/>
        <v>-2917728424615.5615</v>
      </c>
      <c r="J3848" s="444">
        <f t="array" ref="J3848">IFERROR(INDEX('Retirement Calculator'!K:K,MATCH('Lorri 401b'!N3848,'Retirement Calculator'!A:A,0),0),0)</f>
        <v>0</v>
      </c>
      <c r="K3848" s="444">
        <f t="shared" ca="1" si="158"/>
        <v>-12157201769.231506</v>
      </c>
      <c r="L3848" s="444">
        <f t="shared" ca="1" si="159"/>
        <v>-2929885626384.793</v>
      </c>
      <c r="M3848" s="460">
        <f t="shared" si="161"/>
        <v>0.05</v>
      </c>
      <c r="N3848" s="464">
        <f t="shared" si="162"/>
        <v>168165</v>
      </c>
    </row>
    <row r="3849" spans="7:14" ht="11.25" customHeight="1" x14ac:dyDescent="0.3">
      <c r="G3849" s="459"/>
      <c r="H3849" s="459">
        <v>3842</v>
      </c>
      <c r="I3849" s="444">
        <f t="shared" ca="1" si="160"/>
        <v>-2929885626384.793</v>
      </c>
      <c r="J3849" s="444">
        <f t="array" ref="J3849">IFERROR(INDEX('Retirement Calculator'!K:K,MATCH('Lorri 401b'!N3849,'Retirement Calculator'!A:A,0),0),0)</f>
        <v>0</v>
      </c>
      <c r="K3849" s="444">
        <f t="shared" ca="1" si="158"/>
        <v>-12207856776.603304</v>
      </c>
      <c r="L3849" s="444">
        <f t="shared" ca="1" si="159"/>
        <v>-2942093483161.3965</v>
      </c>
      <c r="M3849" s="460">
        <f t="shared" si="161"/>
        <v>0.05</v>
      </c>
      <c r="N3849" s="464">
        <f t="shared" si="162"/>
        <v>168195</v>
      </c>
    </row>
    <row r="3850" spans="7:14" ht="11.25" customHeight="1" x14ac:dyDescent="0.3">
      <c r="G3850" s="459"/>
      <c r="H3850" s="459">
        <v>3843</v>
      </c>
      <c r="I3850" s="444">
        <f t="shared" ca="1" si="160"/>
        <v>-2942093483161.3965</v>
      </c>
      <c r="J3850" s="444">
        <f t="array" ref="J3850">IFERROR(INDEX('Retirement Calculator'!K:K,MATCH('Lorri 401b'!N3850,'Retirement Calculator'!A:A,0),0),0)</f>
        <v>0</v>
      </c>
      <c r="K3850" s="444">
        <f t="shared" ca="1" si="158"/>
        <v>-12258722846.505819</v>
      </c>
      <c r="L3850" s="444">
        <f t="shared" ca="1" si="159"/>
        <v>-2954352206007.9023</v>
      </c>
      <c r="M3850" s="460">
        <f t="shared" si="161"/>
        <v>0.05</v>
      </c>
      <c r="N3850" s="464">
        <f t="shared" si="162"/>
        <v>168226</v>
      </c>
    </row>
    <row r="3851" spans="7:14" ht="11.25" customHeight="1" x14ac:dyDescent="0.3">
      <c r="G3851" s="459"/>
      <c r="H3851" s="459">
        <v>3844</v>
      </c>
      <c r="I3851" s="444">
        <f t="shared" ca="1" si="160"/>
        <v>-2954352206007.9023</v>
      </c>
      <c r="J3851" s="444">
        <f t="array" ref="J3851">IFERROR(INDEX('Retirement Calculator'!K:K,MATCH('Lorri 401b'!N3851,'Retirement Calculator'!A:A,0),0),0)</f>
        <v>0</v>
      </c>
      <c r="K3851" s="444">
        <f t="shared" ca="1" si="158"/>
        <v>-12309800858.366261</v>
      </c>
      <c r="L3851" s="444">
        <f t="shared" ca="1" si="159"/>
        <v>-2966662006866.2686</v>
      </c>
      <c r="M3851" s="460">
        <f t="shared" si="161"/>
        <v>0.05</v>
      </c>
      <c r="N3851" s="464">
        <f t="shared" si="162"/>
        <v>168257</v>
      </c>
    </row>
    <row r="3852" spans="7:14" ht="11.25" customHeight="1" x14ac:dyDescent="0.3">
      <c r="G3852" s="459"/>
      <c r="H3852" s="459">
        <v>3845</v>
      </c>
      <c r="I3852" s="444">
        <f t="shared" ca="1" si="160"/>
        <v>-2966662006866.2686</v>
      </c>
      <c r="J3852" s="444">
        <f t="array" ref="J3852">IFERROR(INDEX('Retirement Calculator'!K:K,MATCH('Lorri 401b'!N3852,'Retirement Calculator'!A:A,0),0),0)</f>
        <v>0</v>
      </c>
      <c r="K3852" s="444">
        <f t="shared" ca="1" si="158"/>
        <v>-12361091695.276119</v>
      </c>
      <c r="L3852" s="444">
        <f t="shared" ca="1" si="159"/>
        <v>-2979023098561.5444</v>
      </c>
      <c r="M3852" s="460">
        <f t="shared" si="161"/>
        <v>0.05</v>
      </c>
      <c r="N3852" s="464">
        <f t="shared" si="162"/>
        <v>168287</v>
      </c>
    </row>
    <row r="3853" spans="7:14" ht="11.25" customHeight="1" x14ac:dyDescent="0.3">
      <c r="G3853" s="459"/>
      <c r="H3853" s="459">
        <v>3846</v>
      </c>
      <c r="I3853" s="444">
        <f t="shared" ca="1" si="160"/>
        <v>-2979023098561.5444</v>
      </c>
      <c r="J3853" s="444">
        <f t="array" ref="J3853">IFERROR(INDEX('Retirement Calculator'!K:K,MATCH('Lorri 401b'!N3853,'Retirement Calculator'!A:A,0),0),0)</f>
        <v>0</v>
      </c>
      <c r="K3853" s="444">
        <f t="shared" ca="1" si="158"/>
        <v>-12412596244.006435</v>
      </c>
      <c r="L3853" s="444">
        <f t="shared" ca="1" si="159"/>
        <v>-2991435694805.5508</v>
      </c>
      <c r="M3853" s="460">
        <f t="shared" si="161"/>
        <v>0.05</v>
      </c>
      <c r="N3853" s="464">
        <f t="shared" si="162"/>
        <v>168318</v>
      </c>
    </row>
    <row r="3854" spans="7:14" ht="11.25" customHeight="1" x14ac:dyDescent="0.3">
      <c r="G3854" s="459"/>
      <c r="H3854" s="459">
        <v>3847</v>
      </c>
      <c r="I3854" s="444">
        <f t="shared" ca="1" si="160"/>
        <v>-2991435694805.5508</v>
      </c>
      <c r="J3854" s="444">
        <f t="array" ref="J3854">IFERROR(INDEX('Retirement Calculator'!K:K,MATCH('Lorri 401b'!N3854,'Retirement Calculator'!A:A,0),0),0)</f>
        <v>0</v>
      </c>
      <c r="K3854" s="444">
        <f t="shared" ca="1" si="158"/>
        <v>-12464315395.023129</v>
      </c>
      <c r="L3854" s="444">
        <f t="shared" ca="1" si="159"/>
        <v>-3003900010200.5737</v>
      </c>
      <c r="M3854" s="460">
        <f t="shared" si="161"/>
        <v>0.05</v>
      </c>
      <c r="N3854" s="464">
        <f t="shared" si="162"/>
        <v>168348</v>
      </c>
    </row>
    <row r="3855" spans="7:14" ht="11.25" customHeight="1" x14ac:dyDescent="0.3">
      <c r="G3855" s="459"/>
      <c r="H3855" s="459">
        <v>3848</v>
      </c>
      <c r="I3855" s="444">
        <f t="shared" ca="1" si="160"/>
        <v>-3003900010200.5737</v>
      </c>
      <c r="J3855" s="444">
        <f t="array" ref="J3855">IFERROR(INDEX('Retirement Calculator'!K:K,MATCH('Lorri 401b'!N3855,'Retirement Calculator'!A:A,0),0),0)</f>
        <v>0</v>
      </c>
      <c r="K3855" s="444">
        <f t="shared" ca="1" si="158"/>
        <v>-12516250042.50239</v>
      </c>
      <c r="L3855" s="444">
        <f t="shared" ca="1" si="159"/>
        <v>-3016416260243.0762</v>
      </c>
      <c r="M3855" s="460">
        <f t="shared" si="161"/>
        <v>0.05</v>
      </c>
      <c r="N3855" s="464">
        <f t="shared" si="162"/>
        <v>168379</v>
      </c>
    </row>
    <row r="3856" spans="7:14" ht="11.25" customHeight="1" x14ac:dyDescent="0.3">
      <c r="G3856" s="459"/>
      <c r="H3856" s="459">
        <v>3849</v>
      </c>
      <c r="I3856" s="444">
        <f t="shared" ca="1" si="160"/>
        <v>-3016416260243.0762</v>
      </c>
      <c r="J3856" s="444">
        <f t="array" ref="J3856">IFERROR(INDEX('Retirement Calculator'!K:K,MATCH('Lorri 401b'!N3856,'Retirement Calculator'!A:A,0),0),0)</f>
        <v>0</v>
      </c>
      <c r="K3856" s="444">
        <f t="shared" ca="1" si="158"/>
        <v>-12568401084.346151</v>
      </c>
      <c r="L3856" s="444">
        <f t="shared" ca="1" si="159"/>
        <v>-3028984661327.4224</v>
      </c>
      <c r="M3856" s="460">
        <f t="shared" si="161"/>
        <v>0.05</v>
      </c>
      <c r="N3856" s="464">
        <f t="shared" si="162"/>
        <v>168410</v>
      </c>
    </row>
    <row r="3857" spans="7:14" ht="11.25" customHeight="1" x14ac:dyDescent="0.3">
      <c r="G3857" s="459"/>
      <c r="H3857" s="459">
        <v>3850</v>
      </c>
      <c r="I3857" s="444">
        <f t="shared" ca="1" si="160"/>
        <v>-3028984661327.4224</v>
      </c>
      <c r="J3857" s="444">
        <f t="array" ref="J3857">IFERROR(INDEX('Retirement Calculator'!K:K,MATCH('Lorri 401b'!N3857,'Retirement Calculator'!A:A,0),0),0)</f>
        <v>0</v>
      </c>
      <c r="K3857" s="444">
        <f t="shared" ca="1" si="158"/>
        <v>-12620769422.197594</v>
      </c>
      <c r="L3857" s="444">
        <f t="shared" ca="1" si="159"/>
        <v>-3041605430749.6201</v>
      </c>
      <c r="M3857" s="460">
        <f t="shared" si="161"/>
        <v>0.05</v>
      </c>
      <c r="N3857" s="464">
        <f t="shared" si="162"/>
        <v>168438</v>
      </c>
    </row>
    <row r="3858" spans="7:14" ht="11.25" customHeight="1" x14ac:dyDescent="0.3">
      <c r="G3858" s="459"/>
      <c r="H3858" s="459">
        <v>3851</v>
      </c>
      <c r="I3858" s="444">
        <f t="shared" ca="1" si="160"/>
        <v>-3041605430749.6201</v>
      </c>
      <c r="J3858" s="444">
        <f t="array" ref="J3858">IFERROR(INDEX('Retirement Calculator'!K:K,MATCH('Lorri 401b'!N3858,'Retirement Calculator'!A:A,0),0),0)</f>
        <v>0</v>
      </c>
      <c r="K3858" s="444">
        <f t="shared" ca="1" si="158"/>
        <v>-12673355961.456751</v>
      </c>
      <c r="L3858" s="444">
        <f t="shared" ca="1" si="159"/>
        <v>-3054278786711.0767</v>
      </c>
      <c r="M3858" s="460">
        <f t="shared" si="161"/>
        <v>0.05</v>
      </c>
      <c r="N3858" s="464">
        <f t="shared" si="162"/>
        <v>168469</v>
      </c>
    </row>
    <row r="3859" spans="7:14" ht="11.25" customHeight="1" x14ac:dyDescent="0.3">
      <c r="G3859" s="459"/>
      <c r="H3859" s="459">
        <v>3852</v>
      </c>
      <c r="I3859" s="444">
        <f t="shared" ca="1" si="160"/>
        <v>-3054278786711.0767</v>
      </c>
      <c r="J3859" s="444">
        <f t="array" ref="J3859">IFERROR(INDEX('Retirement Calculator'!K:K,MATCH('Lorri 401b'!N3859,'Retirement Calculator'!A:A,0),0),0)</f>
        <v>0</v>
      </c>
      <c r="K3859" s="444">
        <f t="shared" ca="1" si="158"/>
        <v>-12726161611.296152</v>
      </c>
      <c r="L3859" s="444">
        <f t="shared" ca="1" si="159"/>
        <v>-3067004948322.373</v>
      </c>
      <c r="M3859" s="460">
        <f t="shared" si="161"/>
        <v>0.05</v>
      </c>
      <c r="N3859" s="464">
        <f t="shared" si="162"/>
        <v>168499</v>
      </c>
    </row>
    <row r="3860" spans="7:14" ht="11.25" customHeight="1" x14ac:dyDescent="0.3">
      <c r="G3860" s="459"/>
      <c r="H3860" s="459">
        <v>3853</v>
      </c>
      <c r="I3860" s="444">
        <f t="shared" ca="1" si="160"/>
        <v>-3067004948322.373</v>
      </c>
      <c r="J3860" s="444">
        <f t="array" ref="J3860">IFERROR(INDEX('Retirement Calculator'!K:K,MATCH('Lorri 401b'!N3860,'Retirement Calculator'!A:A,0),0),0)</f>
        <v>0</v>
      </c>
      <c r="K3860" s="444">
        <f t="shared" ca="1" si="158"/>
        <v>-12779187284.676554</v>
      </c>
      <c r="L3860" s="444">
        <f t="shared" ca="1" si="159"/>
        <v>-3079784135607.0498</v>
      </c>
      <c r="M3860" s="460">
        <f t="shared" si="161"/>
        <v>0.05</v>
      </c>
      <c r="N3860" s="464">
        <f t="shared" si="162"/>
        <v>168530</v>
      </c>
    </row>
    <row r="3861" spans="7:14" ht="11.25" customHeight="1" x14ac:dyDescent="0.3">
      <c r="G3861" s="459"/>
      <c r="H3861" s="459">
        <v>3854</v>
      </c>
      <c r="I3861" s="444">
        <f t="shared" ca="1" si="160"/>
        <v>-3079784135607.0498</v>
      </c>
      <c r="J3861" s="444">
        <f t="array" ref="J3861">IFERROR(INDEX('Retirement Calculator'!K:K,MATCH('Lorri 401b'!N3861,'Retirement Calculator'!A:A,0),0),0)</f>
        <v>0</v>
      </c>
      <c r="K3861" s="444">
        <f t="shared" ca="1" si="158"/>
        <v>-12832433898.362707</v>
      </c>
      <c r="L3861" s="444">
        <f t="shared" ca="1" si="159"/>
        <v>-3092616569505.4126</v>
      </c>
      <c r="M3861" s="460">
        <f t="shared" si="161"/>
        <v>0.05</v>
      </c>
      <c r="N3861" s="464">
        <f t="shared" si="162"/>
        <v>168560</v>
      </c>
    </row>
    <row r="3862" spans="7:14" ht="11.25" customHeight="1" x14ac:dyDescent="0.3">
      <c r="G3862" s="459"/>
      <c r="H3862" s="459">
        <v>3855</v>
      </c>
      <c r="I3862" s="444">
        <f t="shared" ca="1" si="160"/>
        <v>-3092616569505.4126</v>
      </c>
      <c r="J3862" s="444">
        <f t="array" ref="J3862">IFERROR(INDEX('Retirement Calculator'!K:K,MATCH('Lorri 401b'!N3862,'Retirement Calculator'!A:A,0),0),0)</f>
        <v>0</v>
      </c>
      <c r="K3862" s="444">
        <f t="shared" ca="1" si="158"/>
        <v>-12885902372.939219</v>
      </c>
      <c r="L3862" s="444">
        <f t="shared" ca="1" si="159"/>
        <v>-3105502471878.3521</v>
      </c>
      <c r="M3862" s="460">
        <f t="shared" si="161"/>
        <v>0.05</v>
      </c>
      <c r="N3862" s="464">
        <f t="shared" si="162"/>
        <v>168591</v>
      </c>
    </row>
    <row r="3863" spans="7:14" ht="11.25" customHeight="1" x14ac:dyDescent="0.3">
      <c r="G3863" s="459"/>
      <c r="H3863" s="459">
        <v>3856</v>
      </c>
      <c r="I3863" s="444">
        <f t="shared" ca="1" si="160"/>
        <v>-3105502471878.3521</v>
      </c>
      <c r="J3863" s="444">
        <f t="array" ref="J3863">IFERROR(INDEX('Retirement Calculator'!K:K,MATCH('Lorri 401b'!N3863,'Retirement Calculator'!A:A,0),0),0)</f>
        <v>0</v>
      </c>
      <c r="K3863" s="444">
        <f t="shared" ca="1" si="158"/>
        <v>-12939593632.826468</v>
      </c>
      <c r="L3863" s="444">
        <f t="shared" ca="1" si="159"/>
        <v>-3118442065511.1787</v>
      </c>
      <c r="M3863" s="460">
        <f t="shared" si="161"/>
        <v>0.05</v>
      </c>
      <c r="N3863" s="464">
        <f t="shared" si="162"/>
        <v>168622</v>
      </c>
    </row>
    <row r="3864" spans="7:14" ht="11.25" customHeight="1" x14ac:dyDescent="0.3">
      <c r="G3864" s="459"/>
      <c r="H3864" s="459">
        <v>3857</v>
      </c>
      <c r="I3864" s="444">
        <f t="shared" ca="1" si="160"/>
        <v>-3118442065511.1787</v>
      </c>
      <c r="J3864" s="444">
        <f t="array" ref="J3864">IFERROR(INDEX('Retirement Calculator'!K:K,MATCH('Lorri 401b'!N3864,'Retirement Calculator'!A:A,0),0),0)</f>
        <v>0</v>
      </c>
      <c r="K3864" s="444">
        <f t="shared" ca="1" si="158"/>
        <v>-12993508606.296577</v>
      </c>
      <c r="L3864" s="444">
        <f t="shared" ca="1" si="159"/>
        <v>-3131435574117.4751</v>
      </c>
      <c r="M3864" s="460">
        <f t="shared" si="161"/>
        <v>0.05</v>
      </c>
      <c r="N3864" s="464">
        <f t="shared" si="162"/>
        <v>168652</v>
      </c>
    </row>
    <row r="3865" spans="7:14" ht="11.25" customHeight="1" x14ac:dyDescent="0.3">
      <c r="G3865" s="459"/>
      <c r="H3865" s="459">
        <v>3858</v>
      </c>
      <c r="I3865" s="444">
        <f t="shared" ca="1" si="160"/>
        <v>-3131435574117.4751</v>
      </c>
      <c r="J3865" s="444">
        <f t="array" ref="J3865">IFERROR(INDEX('Retirement Calculator'!K:K,MATCH('Lorri 401b'!N3865,'Retirement Calculator'!A:A,0),0),0)</f>
        <v>0</v>
      </c>
      <c r="K3865" s="444">
        <f t="shared" ca="1" si="158"/>
        <v>-13047648225.489479</v>
      </c>
      <c r="L3865" s="444">
        <f t="shared" ca="1" si="159"/>
        <v>-3144483222342.9644</v>
      </c>
      <c r="M3865" s="460">
        <f t="shared" si="161"/>
        <v>0.05</v>
      </c>
      <c r="N3865" s="464">
        <f t="shared" si="162"/>
        <v>168683</v>
      </c>
    </row>
    <row r="3866" spans="7:14" ht="11.25" customHeight="1" x14ac:dyDescent="0.3">
      <c r="G3866" s="459"/>
      <c r="H3866" s="459">
        <v>3859</v>
      </c>
      <c r="I3866" s="444">
        <f t="shared" ca="1" si="160"/>
        <v>-3144483222342.9644</v>
      </c>
      <c r="J3866" s="444">
        <f t="array" ref="J3866">IFERROR(INDEX('Retirement Calculator'!K:K,MATCH('Lorri 401b'!N3866,'Retirement Calculator'!A:A,0),0),0)</f>
        <v>0</v>
      </c>
      <c r="K3866" s="444">
        <f t="shared" ca="1" si="158"/>
        <v>-13102013426.429018</v>
      </c>
      <c r="L3866" s="444">
        <f t="shared" ca="1" si="159"/>
        <v>-3157585235769.3936</v>
      </c>
      <c r="M3866" s="460">
        <f t="shared" si="161"/>
        <v>0.05</v>
      </c>
      <c r="N3866" s="464">
        <f t="shared" si="162"/>
        <v>168713</v>
      </c>
    </row>
    <row r="3867" spans="7:14" ht="11.25" customHeight="1" x14ac:dyDescent="0.3">
      <c r="G3867" s="459"/>
      <c r="H3867" s="459">
        <v>3860</v>
      </c>
      <c r="I3867" s="444">
        <f t="shared" ca="1" si="160"/>
        <v>-3157585235769.3936</v>
      </c>
      <c r="J3867" s="444">
        <f t="array" ref="J3867">IFERROR(INDEX('Retirement Calculator'!K:K,MATCH('Lorri 401b'!N3867,'Retirement Calculator'!A:A,0),0),0)</f>
        <v>0</v>
      </c>
      <c r="K3867" s="444">
        <f t="shared" ca="1" si="158"/>
        <v>-13156605149.039139</v>
      </c>
      <c r="L3867" s="444">
        <f t="shared" ca="1" si="159"/>
        <v>-3170741840918.4326</v>
      </c>
      <c r="M3867" s="460">
        <f t="shared" si="161"/>
        <v>0.05</v>
      </c>
      <c r="N3867" s="464">
        <f t="shared" si="162"/>
        <v>168744</v>
      </c>
    </row>
    <row r="3868" spans="7:14" ht="11.25" customHeight="1" x14ac:dyDescent="0.3">
      <c r="G3868" s="459"/>
      <c r="H3868" s="459">
        <v>3861</v>
      </c>
      <c r="I3868" s="444">
        <f t="shared" ca="1" si="160"/>
        <v>-3170741840918.4326</v>
      </c>
      <c r="J3868" s="444">
        <f t="array" ref="J3868">IFERROR(INDEX('Retirement Calculator'!K:K,MATCH('Lorri 401b'!N3868,'Retirement Calculator'!A:A,0),0),0)</f>
        <v>0</v>
      </c>
      <c r="K3868" s="444">
        <f t="shared" ca="1" si="158"/>
        <v>-13211424337.160135</v>
      </c>
      <c r="L3868" s="444">
        <f t="shared" ca="1" si="159"/>
        <v>-3183953265255.5928</v>
      </c>
      <c r="M3868" s="460">
        <f t="shared" si="161"/>
        <v>0.05</v>
      </c>
      <c r="N3868" s="464">
        <f t="shared" si="162"/>
        <v>168775</v>
      </c>
    </row>
    <row r="3869" spans="7:14" ht="11.25" customHeight="1" x14ac:dyDescent="0.3">
      <c r="G3869" s="459"/>
      <c r="H3869" s="459">
        <v>3862</v>
      </c>
      <c r="I3869" s="444">
        <f t="shared" ca="1" si="160"/>
        <v>-3183953265255.5928</v>
      </c>
      <c r="J3869" s="444">
        <f t="array" ref="J3869">IFERROR(INDEX('Retirement Calculator'!K:K,MATCH('Lorri 401b'!N3869,'Retirement Calculator'!A:A,0),0),0)</f>
        <v>0</v>
      </c>
      <c r="K3869" s="444">
        <f t="shared" ca="1" si="158"/>
        <v>-13266471938.56497</v>
      </c>
      <c r="L3869" s="444">
        <f t="shared" ca="1" si="159"/>
        <v>-3197219737194.1577</v>
      </c>
      <c r="M3869" s="460">
        <f t="shared" si="161"/>
        <v>0.05</v>
      </c>
      <c r="N3869" s="464">
        <f t="shared" si="162"/>
        <v>168803</v>
      </c>
    </row>
    <row r="3870" spans="7:14" ht="11.25" customHeight="1" x14ac:dyDescent="0.3">
      <c r="G3870" s="459"/>
      <c r="H3870" s="459">
        <v>3863</v>
      </c>
      <c r="I3870" s="444">
        <f t="shared" ca="1" si="160"/>
        <v>-3197219737194.1577</v>
      </c>
      <c r="J3870" s="444">
        <f t="array" ref="J3870">IFERROR(INDEX('Retirement Calculator'!K:K,MATCH('Lorri 401b'!N3870,'Retirement Calculator'!A:A,0),0),0)</f>
        <v>0</v>
      </c>
      <c r="K3870" s="444">
        <f t="shared" ca="1" si="158"/>
        <v>-13321748904.975657</v>
      </c>
      <c r="L3870" s="444">
        <f t="shared" ca="1" si="159"/>
        <v>-3210541486099.1333</v>
      </c>
      <c r="M3870" s="460">
        <f t="shared" si="161"/>
        <v>0.05</v>
      </c>
      <c r="N3870" s="464">
        <f t="shared" si="162"/>
        <v>168834</v>
      </c>
    </row>
    <row r="3871" spans="7:14" ht="11.25" customHeight="1" x14ac:dyDescent="0.3">
      <c r="G3871" s="459"/>
      <c r="H3871" s="459">
        <v>3864</v>
      </c>
      <c r="I3871" s="444">
        <f t="shared" ca="1" si="160"/>
        <v>-3210541486099.1333</v>
      </c>
      <c r="J3871" s="444">
        <f t="array" ref="J3871">IFERROR(INDEX('Retirement Calculator'!K:K,MATCH('Lorri 401b'!N3871,'Retirement Calculator'!A:A,0),0),0)</f>
        <v>0</v>
      </c>
      <c r="K3871" s="444">
        <f t="shared" ca="1" si="158"/>
        <v>-13377256192.079721</v>
      </c>
      <c r="L3871" s="444">
        <f t="shared" ca="1" si="159"/>
        <v>-3223918742291.2129</v>
      </c>
      <c r="M3871" s="460">
        <f t="shared" si="161"/>
        <v>0.05</v>
      </c>
      <c r="N3871" s="464">
        <f t="shared" si="162"/>
        <v>168864</v>
      </c>
    </row>
    <row r="3872" spans="7:14" ht="11.25" customHeight="1" x14ac:dyDescent="0.3">
      <c r="G3872" s="459"/>
      <c r="H3872" s="459">
        <v>3865</v>
      </c>
      <c r="I3872" s="444">
        <f t="shared" ca="1" si="160"/>
        <v>-3223918742291.2129</v>
      </c>
      <c r="J3872" s="444">
        <f t="array" ref="J3872">IFERROR(INDEX('Retirement Calculator'!K:K,MATCH('Lorri 401b'!N3872,'Retirement Calculator'!A:A,0),0),0)</f>
        <v>0</v>
      </c>
      <c r="K3872" s="444">
        <f t="shared" ca="1" si="158"/>
        <v>-13432994759.546721</v>
      </c>
      <c r="L3872" s="444">
        <f t="shared" ca="1" si="159"/>
        <v>-3237351737050.7598</v>
      </c>
      <c r="M3872" s="460">
        <f t="shared" si="161"/>
        <v>0.05</v>
      </c>
      <c r="N3872" s="464">
        <f t="shared" si="162"/>
        <v>168895</v>
      </c>
    </row>
    <row r="3873" spans="7:14" ht="11.25" customHeight="1" x14ac:dyDescent="0.3">
      <c r="G3873" s="459"/>
      <c r="H3873" s="459">
        <v>3866</v>
      </c>
      <c r="I3873" s="444">
        <f t="shared" ca="1" si="160"/>
        <v>-3237351737050.7598</v>
      </c>
      <c r="J3873" s="444">
        <f t="array" ref="J3873">IFERROR(INDEX('Retirement Calculator'!K:K,MATCH('Lorri 401b'!N3873,'Retirement Calculator'!A:A,0),0),0)</f>
        <v>0</v>
      </c>
      <c r="K3873" s="444">
        <f t="shared" ca="1" si="158"/>
        <v>-13488965571.044832</v>
      </c>
      <c r="L3873" s="444">
        <f t="shared" ca="1" si="159"/>
        <v>-3250840702621.8047</v>
      </c>
      <c r="M3873" s="460">
        <f t="shared" si="161"/>
        <v>0.05</v>
      </c>
      <c r="N3873" s="464">
        <f t="shared" si="162"/>
        <v>168925</v>
      </c>
    </row>
    <row r="3874" spans="7:14" ht="11.25" customHeight="1" x14ac:dyDescent="0.3">
      <c r="G3874" s="459"/>
      <c r="H3874" s="459">
        <v>3867</v>
      </c>
      <c r="I3874" s="444">
        <f t="shared" ca="1" si="160"/>
        <v>-3250840702621.8047</v>
      </c>
      <c r="J3874" s="444">
        <f t="array" ref="J3874">IFERROR(INDEX('Retirement Calculator'!K:K,MATCH('Lorri 401b'!N3874,'Retirement Calculator'!A:A,0),0),0)</f>
        <v>0</v>
      </c>
      <c r="K3874" s="444">
        <f t="shared" ca="1" si="158"/>
        <v>-13545169594.257519</v>
      </c>
      <c r="L3874" s="444">
        <f t="shared" ca="1" si="159"/>
        <v>-3264385872216.062</v>
      </c>
      <c r="M3874" s="460">
        <f t="shared" si="161"/>
        <v>0.05</v>
      </c>
      <c r="N3874" s="464">
        <f t="shared" si="162"/>
        <v>168956</v>
      </c>
    </row>
    <row r="3875" spans="7:14" ht="11.25" customHeight="1" x14ac:dyDescent="0.3">
      <c r="G3875" s="459"/>
      <c r="H3875" s="459">
        <v>3868</v>
      </c>
      <c r="I3875" s="444">
        <f t="shared" ca="1" si="160"/>
        <v>-3264385872216.062</v>
      </c>
      <c r="J3875" s="444">
        <f t="array" ref="J3875">IFERROR(INDEX('Retirement Calculator'!K:K,MATCH('Lorri 401b'!N3875,'Retirement Calculator'!A:A,0),0),0)</f>
        <v>0</v>
      </c>
      <c r="K3875" s="444">
        <f t="shared" ca="1" si="158"/>
        <v>-13601607800.900259</v>
      </c>
      <c r="L3875" s="444">
        <f t="shared" ca="1" si="159"/>
        <v>-3277987480016.9624</v>
      </c>
      <c r="M3875" s="460">
        <f t="shared" si="161"/>
        <v>0.05</v>
      </c>
      <c r="N3875" s="464">
        <f t="shared" si="162"/>
        <v>168987</v>
      </c>
    </row>
    <row r="3876" spans="7:14" ht="11.25" customHeight="1" x14ac:dyDescent="0.3">
      <c r="G3876" s="459"/>
      <c r="H3876" s="459">
        <v>3869</v>
      </c>
      <c r="I3876" s="444">
        <f t="shared" ca="1" si="160"/>
        <v>-3277987480016.9624</v>
      </c>
      <c r="J3876" s="444">
        <f t="array" ref="J3876">IFERROR(INDEX('Retirement Calculator'!K:K,MATCH('Lorri 401b'!N3876,'Retirement Calculator'!A:A,0),0),0)</f>
        <v>0</v>
      </c>
      <c r="K3876" s="444">
        <f t="shared" ca="1" si="158"/>
        <v>-13658281166.737343</v>
      </c>
      <c r="L3876" s="444">
        <f t="shared" ca="1" si="159"/>
        <v>-3291645761183.6997</v>
      </c>
      <c r="M3876" s="460">
        <f t="shared" si="161"/>
        <v>0.05</v>
      </c>
      <c r="N3876" s="464">
        <f t="shared" si="162"/>
        <v>169017</v>
      </c>
    </row>
    <row r="3877" spans="7:14" ht="11.25" customHeight="1" x14ac:dyDescent="0.3">
      <c r="G3877" s="459"/>
      <c r="H3877" s="459">
        <v>3870</v>
      </c>
      <c r="I3877" s="444">
        <f t="shared" ca="1" si="160"/>
        <v>-3291645761183.6997</v>
      </c>
      <c r="J3877" s="444">
        <f t="array" ref="J3877">IFERROR(INDEX('Retirement Calculator'!K:K,MATCH('Lorri 401b'!N3877,'Retirement Calculator'!A:A,0),0),0)</f>
        <v>0</v>
      </c>
      <c r="K3877" s="444">
        <f t="shared" ca="1" si="158"/>
        <v>-13715190671.598749</v>
      </c>
      <c r="L3877" s="444">
        <f t="shared" ca="1" si="159"/>
        <v>-3305360951855.2983</v>
      </c>
      <c r="M3877" s="460">
        <f t="shared" si="161"/>
        <v>0.05</v>
      </c>
      <c r="N3877" s="464">
        <f t="shared" si="162"/>
        <v>169048</v>
      </c>
    </row>
    <row r="3878" spans="7:14" ht="11.25" customHeight="1" x14ac:dyDescent="0.3">
      <c r="G3878" s="459"/>
      <c r="H3878" s="459">
        <v>3871</v>
      </c>
      <c r="I3878" s="444">
        <f t="shared" ca="1" si="160"/>
        <v>-3305360951855.2983</v>
      </c>
      <c r="J3878" s="444">
        <f t="array" ref="J3878">IFERROR(INDEX('Retirement Calculator'!K:K,MATCH('Lorri 401b'!N3878,'Retirement Calculator'!A:A,0),0),0)</f>
        <v>0</v>
      </c>
      <c r="K3878" s="444">
        <f t="shared" ca="1" si="158"/>
        <v>-13772337299.397076</v>
      </c>
      <c r="L3878" s="444">
        <f t="shared" ca="1" si="159"/>
        <v>-3319133289154.6953</v>
      </c>
      <c r="M3878" s="460">
        <f t="shared" si="161"/>
        <v>0.05</v>
      </c>
      <c r="N3878" s="464">
        <f t="shared" si="162"/>
        <v>169078</v>
      </c>
    </row>
    <row r="3879" spans="7:14" ht="11.25" customHeight="1" x14ac:dyDescent="0.3">
      <c r="G3879" s="459"/>
      <c r="H3879" s="459">
        <v>3872</v>
      </c>
      <c r="I3879" s="444">
        <f t="shared" ca="1" si="160"/>
        <v>-3319133289154.6953</v>
      </c>
      <c r="J3879" s="444">
        <f t="array" ref="J3879">IFERROR(INDEX('Retirement Calculator'!K:K,MATCH('Lorri 401b'!N3879,'Retirement Calculator'!A:A,0),0),0)</f>
        <v>0</v>
      </c>
      <c r="K3879" s="444">
        <f t="shared" ca="1" si="158"/>
        <v>-13829722038.144564</v>
      </c>
      <c r="L3879" s="444">
        <f t="shared" ca="1" si="159"/>
        <v>-3332963011192.8398</v>
      </c>
      <c r="M3879" s="460">
        <f t="shared" si="161"/>
        <v>0.05</v>
      </c>
      <c r="N3879" s="464">
        <f t="shared" si="162"/>
        <v>169109</v>
      </c>
    </row>
    <row r="3880" spans="7:14" ht="11.25" customHeight="1" x14ac:dyDescent="0.3">
      <c r="G3880" s="459"/>
      <c r="H3880" s="459">
        <v>3873</v>
      </c>
      <c r="I3880" s="444">
        <f t="shared" ca="1" si="160"/>
        <v>-3332963011192.8398</v>
      </c>
      <c r="J3880" s="444">
        <f t="array" ref="J3880">IFERROR(INDEX('Retirement Calculator'!K:K,MATCH('Lorri 401b'!N3880,'Retirement Calculator'!A:A,0),0),0)</f>
        <v>0</v>
      </c>
      <c r="K3880" s="444">
        <f t="shared" ca="1" si="158"/>
        <v>-13887345879.970165</v>
      </c>
      <c r="L3880" s="444">
        <f t="shared" ca="1" si="159"/>
        <v>-3346850357072.8101</v>
      </c>
      <c r="M3880" s="460">
        <f t="shared" si="161"/>
        <v>0.05</v>
      </c>
      <c r="N3880" s="464">
        <f t="shared" si="162"/>
        <v>169140</v>
      </c>
    </row>
    <row r="3881" spans="7:14" ht="11.25" customHeight="1" x14ac:dyDescent="0.3">
      <c r="G3881" s="459"/>
      <c r="H3881" s="459">
        <v>3874</v>
      </c>
      <c r="I3881" s="444">
        <f t="shared" ca="1" si="160"/>
        <v>-3346850357072.8101</v>
      </c>
      <c r="J3881" s="444">
        <f t="array" ref="J3881">IFERROR(INDEX('Retirement Calculator'!K:K,MATCH('Lorri 401b'!N3881,'Retirement Calculator'!A:A,0),0),0)</f>
        <v>0</v>
      </c>
      <c r="K3881" s="444">
        <f t="shared" ca="1" si="158"/>
        <v>-13945209821.136709</v>
      </c>
      <c r="L3881" s="444">
        <f t="shared" ca="1" si="159"/>
        <v>-3360795566893.9468</v>
      </c>
      <c r="M3881" s="460">
        <f t="shared" si="161"/>
        <v>0.05</v>
      </c>
      <c r="N3881" s="464">
        <f t="shared" si="162"/>
        <v>169168</v>
      </c>
    </row>
    <row r="3882" spans="7:14" ht="11.25" customHeight="1" x14ac:dyDescent="0.3">
      <c r="G3882" s="459"/>
      <c r="H3882" s="459">
        <v>3875</v>
      </c>
      <c r="I3882" s="444">
        <f t="shared" ca="1" si="160"/>
        <v>-3360795566893.9468</v>
      </c>
      <c r="J3882" s="444">
        <f t="array" ref="J3882">IFERROR(INDEX('Retirement Calculator'!K:K,MATCH('Lorri 401b'!N3882,'Retirement Calculator'!A:A,0),0),0)</f>
        <v>0</v>
      </c>
      <c r="K3882" s="444">
        <f t="shared" ca="1" si="158"/>
        <v>-14003314862.058111</v>
      </c>
      <c r="L3882" s="444">
        <f t="shared" ca="1" si="159"/>
        <v>-3374798881756.0049</v>
      </c>
      <c r="M3882" s="460">
        <f t="shared" si="161"/>
        <v>0.05</v>
      </c>
      <c r="N3882" s="464">
        <f t="shared" si="162"/>
        <v>169199</v>
      </c>
    </row>
    <row r="3883" spans="7:14" ht="11.25" customHeight="1" x14ac:dyDescent="0.3">
      <c r="G3883" s="459"/>
      <c r="H3883" s="459">
        <v>3876</v>
      </c>
      <c r="I3883" s="444">
        <f t="shared" ca="1" si="160"/>
        <v>-3374798881756.0049</v>
      </c>
      <c r="J3883" s="444">
        <f t="array" ref="J3883">IFERROR(INDEX('Retirement Calculator'!K:K,MATCH('Lorri 401b'!N3883,'Retirement Calculator'!A:A,0),0),0)</f>
        <v>0</v>
      </c>
      <c r="K3883" s="444">
        <f t="shared" ca="1" si="158"/>
        <v>-14061662007.316687</v>
      </c>
      <c r="L3883" s="444">
        <f t="shared" ca="1" si="159"/>
        <v>-3388860543763.3218</v>
      </c>
      <c r="M3883" s="460">
        <f t="shared" si="161"/>
        <v>0.05</v>
      </c>
      <c r="N3883" s="464">
        <f t="shared" si="162"/>
        <v>169229</v>
      </c>
    </row>
    <row r="3884" spans="7:14" ht="11.25" customHeight="1" x14ac:dyDescent="0.3">
      <c r="G3884" s="459"/>
      <c r="H3884" s="459">
        <v>3877</v>
      </c>
      <c r="I3884" s="444">
        <f t="shared" ca="1" si="160"/>
        <v>-3388860543763.3218</v>
      </c>
      <c r="J3884" s="444">
        <f t="array" ref="J3884">IFERROR(INDEX('Retirement Calculator'!K:K,MATCH('Lorri 401b'!N3884,'Retirement Calculator'!A:A,0),0),0)</f>
        <v>0</v>
      </c>
      <c r="K3884" s="444">
        <f t="shared" ca="1" si="158"/>
        <v>-14120252265.680508</v>
      </c>
      <c r="L3884" s="444">
        <f t="shared" ca="1" si="159"/>
        <v>-3402980796029.0024</v>
      </c>
      <c r="M3884" s="460">
        <f t="shared" si="161"/>
        <v>0.05</v>
      </c>
      <c r="N3884" s="464">
        <f t="shared" si="162"/>
        <v>169260</v>
      </c>
    </row>
    <row r="3885" spans="7:14" ht="11.25" customHeight="1" x14ac:dyDescent="0.3">
      <c r="G3885" s="459"/>
      <c r="H3885" s="459">
        <v>3878</v>
      </c>
      <c r="I3885" s="444">
        <f t="shared" ca="1" si="160"/>
        <v>-3402980796029.0024</v>
      </c>
      <c r="J3885" s="444">
        <f t="array" ref="J3885">IFERROR(INDEX('Retirement Calculator'!K:K,MATCH('Lorri 401b'!N3885,'Retirement Calculator'!A:A,0),0),0)</f>
        <v>0</v>
      </c>
      <c r="K3885" s="444">
        <f t="shared" ca="1" si="158"/>
        <v>-14179086650.120844</v>
      </c>
      <c r="L3885" s="444">
        <f t="shared" ca="1" si="159"/>
        <v>-3417159882679.123</v>
      </c>
      <c r="M3885" s="460">
        <f t="shared" si="161"/>
        <v>0.05</v>
      </c>
      <c r="N3885" s="464">
        <f t="shared" si="162"/>
        <v>169290</v>
      </c>
    </row>
    <row r="3886" spans="7:14" ht="11.25" customHeight="1" x14ac:dyDescent="0.3">
      <c r="G3886" s="459"/>
      <c r="H3886" s="459">
        <v>3879</v>
      </c>
      <c r="I3886" s="444">
        <f t="shared" ca="1" si="160"/>
        <v>-3417159882679.123</v>
      </c>
      <c r="J3886" s="444">
        <f t="array" ref="J3886">IFERROR(INDEX('Retirement Calculator'!K:K,MATCH('Lorri 401b'!N3886,'Retirement Calculator'!A:A,0),0),0)</f>
        <v>0</v>
      </c>
      <c r="K3886" s="444">
        <f t="shared" ca="1" si="158"/>
        <v>-14238166177.829679</v>
      </c>
      <c r="L3886" s="444">
        <f t="shared" ca="1" si="159"/>
        <v>-3431398048856.9526</v>
      </c>
      <c r="M3886" s="460">
        <f t="shared" si="161"/>
        <v>0.05</v>
      </c>
      <c r="N3886" s="464">
        <f t="shared" si="162"/>
        <v>169321</v>
      </c>
    </row>
    <row r="3887" spans="7:14" ht="11.25" customHeight="1" x14ac:dyDescent="0.3">
      <c r="G3887" s="459"/>
      <c r="H3887" s="459">
        <v>3880</v>
      </c>
      <c r="I3887" s="444">
        <f t="shared" ca="1" si="160"/>
        <v>-3431398048856.9526</v>
      </c>
      <c r="J3887" s="444">
        <f t="array" ref="J3887">IFERROR(INDEX('Retirement Calculator'!K:K,MATCH('Lorri 401b'!N3887,'Retirement Calculator'!A:A,0),0),0)</f>
        <v>0</v>
      </c>
      <c r="K3887" s="444">
        <f t="shared" ca="1" si="158"/>
        <v>-14297491870.237301</v>
      </c>
      <c r="L3887" s="444">
        <f t="shared" ca="1" si="159"/>
        <v>-3445695540727.1899</v>
      </c>
      <c r="M3887" s="460">
        <f t="shared" si="161"/>
        <v>0.05</v>
      </c>
      <c r="N3887" s="464">
        <f t="shared" si="162"/>
        <v>169352</v>
      </c>
    </row>
    <row r="3888" spans="7:14" ht="11.25" customHeight="1" x14ac:dyDescent="0.3">
      <c r="G3888" s="459"/>
      <c r="H3888" s="459">
        <v>3881</v>
      </c>
      <c r="I3888" s="444">
        <f t="shared" ca="1" si="160"/>
        <v>-3445695540727.1899</v>
      </c>
      <c r="J3888" s="444">
        <f t="array" ref="J3888">IFERROR(INDEX('Retirement Calculator'!K:K,MATCH('Lorri 401b'!N3888,'Retirement Calculator'!A:A,0),0),0)</f>
        <v>0</v>
      </c>
      <c r="K3888" s="444">
        <f t="shared" ca="1" si="158"/>
        <v>-14357064753.029961</v>
      </c>
      <c r="L3888" s="444">
        <f t="shared" ca="1" si="159"/>
        <v>-3460052605480.2197</v>
      </c>
      <c r="M3888" s="460">
        <f t="shared" si="161"/>
        <v>0.05</v>
      </c>
      <c r="N3888" s="464">
        <f t="shared" si="162"/>
        <v>169382</v>
      </c>
    </row>
    <row r="3889" spans="7:14" ht="11.25" customHeight="1" x14ac:dyDescent="0.3">
      <c r="G3889" s="459"/>
      <c r="H3889" s="459">
        <v>3882</v>
      </c>
      <c r="I3889" s="444">
        <f t="shared" ca="1" si="160"/>
        <v>-3460052605480.2197</v>
      </c>
      <c r="J3889" s="444">
        <f t="array" ref="J3889">IFERROR(INDEX('Retirement Calculator'!K:K,MATCH('Lorri 401b'!N3889,'Retirement Calculator'!A:A,0),0),0)</f>
        <v>0</v>
      </c>
      <c r="K3889" s="444">
        <f t="shared" ca="1" si="158"/>
        <v>-14416885856.167582</v>
      </c>
      <c r="L3889" s="444">
        <f t="shared" ca="1" si="159"/>
        <v>-3474469491336.3872</v>
      </c>
      <c r="M3889" s="460">
        <f t="shared" si="161"/>
        <v>0.05</v>
      </c>
      <c r="N3889" s="464">
        <f t="shared" si="162"/>
        <v>169413</v>
      </c>
    </row>
    <row r="3890" spans="7:14" ht="11.25" customHeight="1" x14ac:dyDescent="0.3">
      <c r="G3890" s="459"/>
      <c r="H3890" s="459">
        <v>3883</v>
      </c>
      <c r="I3890" s="444">
        <f t="shared" ca="1" si="160"/>
        <v>-3474469491336.3872</v>
      </c>
      <c r="J3890" s="444">
        <f t="array" ref="J3890">IFERROR(INDEX('Retirement Calculator'!K:K,MATCH('Lorri 401b'!N3890,'Retirement Calculator'!A:A,0),0),0)</f>
        <v>0</v>
      </c>
      <c r="K3890" s="444">
        <f t="shared" ca="1" si="158"/>
        <v>-14476956213.901611</v>
      </c>
      <c r="L3890" s="444">
        <f t="shared" ca="1" si="159"/>
        <v>-3488946447550.2891</v>
      </c>
      <c r="M3890" s="460">
        <f t="shared" si="161"/>
        <v>0.05</v>
      </c>
      <c r="N3890" s="464">
        <f t="shared" si="162"/>
        <v>169443</v>
      </c>
    </row>
    <row r="3891" spans="7:14" ht="11.25" customHeight="1" x14ac:dyDescent="0.3">
      <c r="G3891" s="459"/>
      <c r="H3891" s="459">
        <v>3884</v>
      </c>
      <c r="I3891" s="444">
        <f t="shared" ca="1" si="160"/>
        <v>-3488946447550.2891</v>
      </c>
      <c r="J3891" s="444">
        <f t="array" ref="J3891">IFERROR(INDEX('Retirement Calculator'!K:K,MATCH('Lorri 401b'!N3891,'Retirement Calculator'!A:A,0),0),0)</f>
        <v>0</v>
      </c>
      <c r="K3891" s="444">
        <f t="shared" ca="1" si="158"/>
        <v>-14537276864.792871</v>
      </c>
      <c r="L3891" s="444">
        <f t="shared" ca="1" si="159"/>
        <v>-3503483724415.082</v>
      </c>
      <c r="M3891" s="460">
        <f t="shared" si="161"/>
        <v>0.05</v>
      </c>
      <c r="N3891" s="464">
        <f t="shared" si="162"/>
        <v>169474</v>
      </c>
    </row>
    <row r="3892" spans="7:14" ht="11.25" customHeight="1" x14ac:dyDescent="0.3">
      <c r="G3892" s="459"/>
      <c r="H3892" s="459">
        <v>3885</v>
      </c>
      <c r="I3892" s="444">
        <f t="shared" ca="1" si="160"/>
        <v>-3503483724415.082</v>
      </c>
      <c r="J3892" s="444">
        <f t="array" ref="J3892">IFERROR(INDEX('Retirement Calculator'!K:K,MATCH('Lorri 401b'!N3892,'Retirement Calculator'!A:A,0),0),0)</f>
        <v>0</v>
      </c>
      <c r="K3892" s="444">
        <f t="shared" ca="1" si="158"/>
        <v>-14597848851.729507</v>
      </c>
      <c r="L3892" s="444">
        <f t="shared" ca="1" si="159"/>
        <v>-3518081573266.8115</v>
      </c>
      <c r="M3892" s="460">
        <f t="shared" si="161"/>
        <v>0.05</v>
      </c>
      <c r="N3892" s="464">
        <f t="shared" si="162"/>
        <v>169505</v>
      </c>
    </row>
    <row r="3893" spans="7:14" ht="11.25" customHeight="1" x14ac:dyDescent="0.3">
      <c r="G3893" s="459"/>
      <c r="H3893" s="459">
        <v>3886</v>
      </c>
      <c r="I3893" s="444">
        <f t="shared" ca="1" si="160"/>
        <v>-3518081573266.8115</v>
      </c>
      <c r="J3893" s="444">
        <f t="array" ref="J3893">IFERROR(INDEX('Retirement Calculator'!K:K,MATCH('Lorri 401b'!N3893,'Retirement Calculator'!A:A,0),0),0)</f>
        <v>0</v>
      </c>
      <c r="K3893" s="444">
        <f t="shared" ca="1" si="158"/>
        <v>-14658673221.945047</v>
      </c>
      <c r="L3893" s="444">
        <f t="shared" ca="1" si="159"/>
        <v>-3532740246488.7563</v>
      </c>
      <c r="M3893" s="460">
        <f t="shared" si="161"/>
        <v>0.05</v>
      </c>
      <c r="N3893" s="464">
        <f t="shared" si="162"/>
        <v>169534</v>
      </c>
    </row>
    <row r="3894" spans="7:14" ht="11.25" customHeight="1" x14ac:dyDescent="0.3">
      <c r="G3894" s="459"/>
      <c r="H3894" s="459">
        <v>3887</v>
      </c>
      <c r="I3894" s="444">
        <f t="shared" ca="1" si="160"/>
        <v>-3532740246488.7563</v>
      </c>
      <c r="J3894" s="444">
        <f t="array" ref="J3894">IFERROR(INDEX('Retirement Calculator'!K:K,MATCH('Lorri 401b'!N3894,'Retirement Calculator'!A:A,0),0),0)</f>
        <v>0</v>
      </c>
      <c r="K3894" s="444">
        <f t="shared" ca="1" si="158"/>
        <v>-14719751027.036484</v>
      </c>
      <c r="L3894" s="444">
        <f t="shared" ca="1" si="159"/>
        <v>-3547459997515.793</v>
      </c>
      <c r="M3894" s="460">
        <f t="shared" si="161"/>
        <v>0.05</v>
      </c>
      <c r="N3894" s="464">
        <f t="shared" si="162"/>
        <v>169565</v>
      </c>
    </row>
    <row r="3895" spans="7:14" ht="11.25" customHeight="1" x14ac:dyDescent="0.3">
      <c r="G3895" s="459"/>
      <c r="H3895" s="459">
        <v>3888</v>
      </c>
      <c r="I3895" s="444">
        <f t="shared" ca="1" si="160"/>
        <v>-3547459997515.793</v>
      </c>
      <c r="J3895" s="444">
        <f t="array" ref="J3895">IFERROR(INDEX('Retirement Calculator'!K:K,MATCH('Lorri 401b'!N3895,'Retirement Calculator'!A:A,0),0),0)</f>
        <v>0</v>
      </c>
      <c r="K3895" s="444">
        <f t="shared" ca="1" si="158"/>
        <v>-14781083322.98247</v>
      </c>
      <c r="L3895" s="444">
        <f t="shared" ca="1" si="159"/>
        <v>-3562241080838.7754</v>
      </c>
      <c r="M3895" s="460">
        <f t="shared" si="161"/>
        <v>0.05</v>
      </c>
      <c r="N3895" s="464">
        <f t="shared" si="162"/>
        <v>169595</v>
      </c>
    </row>
    <row r="3896" spans="7:14" ht="11.25" customHeight="1" x14ac:dyDescent="0.3">
      <c r="G3896" s="459"/>
      <c r="H3896" s="459">
        <v>3889</v>
      </c>
      <c r="I3896" s="444">
        <f t="shared" ca="1" si="160"/>
        <v>-3562241080838.7754</v>
      </c>
      <c r="J3896" s="444">
        <f t="array" ref="J3896">IFERROR(INDEX('Retirement Calculator'!K:K,MATCH('Lorri 401b'!N3896,'Retirement Calculator'!A:A,0),0),0)</f>
        <v>0</v>
      </c>
      <c r="K3896" s="444">
        <f t="shared" ca="1" si="158"/>
        <v>-14842671170.161562</v>
      </c>
      <c r="L3896" s="444">
        <f t="shared" ca="1" si="159"/>
        <v>-3577083752008.937</v>
      </c>
      <c r="M3896" s="460">
        <f t="shared" si="161"/>
        <v>0.05</v>
      </c>
      <c r="N3896" s="464">
        <f t="shared" si="162"/>
        <v>169626</v>
      </c>
    </row>
    <row r="3897" spans="7:14" ht="11.25" customHeight="1" x14ac:dyDescent="0.3">
      <c r="G3897" s="459"/>
      <c r="H3897" s="459">
        <v>3890</v>
      </c>
      <c r="I3897" s="444">
        <f t="shared" ca="1" si="160"/>
        <v>-3577083752008.937</v>
      </c>
      <c r="J3897" s="444">
        <f t="array" ref="J3897">IFERROR(INDEX('Retirement Calculator'!K:K,MATCH('Lorri 401b'!N3897,'Retirement Calculator'!A:A,0),0),0)</f>
        <v>0</v>
      </c>
      <c r="K3897" s="444">
        <f t="shared" ca="1" si="158"/>
        <v>-14904515633.370571</v>
      </c>
      <c r="L3897" s="444">
        <f t="shared" ca="1" si="159"/>
        <v>-3591988267642.3076</v>
      </c>
      <c r="M3897" s="460">
        <f t="shared" si="161"/>
        <v>0.05</v>
      </c>
      <c r="N3897" s="464">
        <f t="shared" si="162"/>
        <v>169656</v>
      </c>
    </row>
    <row r="3898" spans="7:14" ht="11.25" customHeight="1" x14ac:dyDescent="0.3">
      <c r="G3898" s="459"/>
      <c r="H3898" s="459">
        <v>3891</v>
      </c>
      <c r="I3898" s="444">
        <f t="shared" ca="1" si="160"/>
        <v>-3591988267642.3076</v>
      </c>
      <c r="J3898" s="444">
        <f t="array" ref="J3898">IFERROR(INDEX('Retirement Calculator'!K:K,MATCH('Lorri 401b'!N3898,'Retirement Calculator'!A:A,0),0),0)</f>
        <v>0</v>
      </c>
      <c r="K3898" s="444">
        <f t="shared" ca="1" si="158"/>
        <v>-14966617781.842949</v>
      </c>
      <c r="L3898" s="444">
        <f t="shared" ca="1" si="159"/>
        <v>-3606954885424.1504</v>
      </c>
      <c r="M3898" s="460">
        <f t="shared" si="161"/>
        <v>0.05</v>
      </c>
      <c r="N3898" s="464">
        <f t="shared" si="162"/>
        <v>169687</v>
      </c>
    </row>
    <row r="3899" spans="7:14" ht="11.25" customHeight="1" x14ac:dyDescent="0.3">
      <c r="G3899" s="459"/>
      <c r="H3899" s="459">
        <v>3892</v>
      </c>
      <c r="I3899" s="444">
        <f t="shared" ca="1" si="160"/>
        <v>-3606954885424.1504</v>
      </c>
      <c r="J3899" s="444">
        <f t="array" ref="J3899">IFERROR(INDEX('Retirement Calculator'!K:K,MATCH('Lorri 401b'!N3899,'Retirement Calculator'!A:A,0),0),0)</f>
        <v>0</v>
      </c>
      <c r="K3899" s="444">
        <f t="shared" ca="1" si="158"/>
        <v>-15028978689.267294</v>
      </c>
      <c r="L3899" s="444">
        <f t="shared" ca="1" si="159"/>
        <v>-3621983864113.4175</v>
      </c>
      <c r="M3899" s="460">
        <f t="shared" si="161"/>
        <v>0.05</v>
      </c>
      <c r="N3899" s="464">
        <f t="shared" si="162"/>
        <v>169718</v>
      </c>
    </row>
    <row r="3900" spans="7:14" ht="11.25" customHeight="1" x14ac:dyDescent="0.3">
      <c r="G3900" s="459"/>
      <c r="H3900" s="459">
        <v>3893</v>
      </c>
      <c r="I3900" s="444">
        <f t="shared" ca="1" si="160"/>
        <v>-3621983864113.4175</v>
      </c>
      <c r="J3900" s="444">
        <f t="array" ref="J3900">IFERROR(INDEX('Retirement Calculator'!K:K,MATCH('Lorri 401b'!N3900,'Retirement Calculator'!A:A,0),0),0)</f>
        <v>0</v>
      </c>
      <c r="K3900" s="444">
        <f t="shared" ca="1" si="158"/>
        <v>-15091599433.805906</v>
      </c>
      <c r="L3900" s="444">
        <f t="shared" ca="1" si="159"/>
        <v>-3637075463547.2231</v>
      </c>
      <c r="M3900" s="460">
        <f t="shared" si="161"/>
        <v>0.05</v>
      </c>
      <c r="N3900" s="464">
        <f t="shared" si="162"/>
        <v>169748</v>
      </c>
    </row>
    <row r="3901" spans="7:14" ht="11.25" customHeight="1" x14ac:dyDescent="0.3">
      <c r="G3901" s="459"/>
      <c r="H3901" s="459">
        <v>3894</v>
      </c>
      <c r="I3901" s="444">
        <f t="shared" ca="1" si="160"/>
        <v>-3637075463547.2231</v>
      </c>
      <c r="J3901" s="444">
        <f t="array" ref="J3901">IFERROR(INDEX('Retirement Calculator'!K:K,MATCH('Lorri 401b'!N3901,'Retirement Calculator'!A:A,0),0),0)</f>
        <v>0</v>
      </c>
      <c r="K3901" s="444">
        <f t="shared" ca="1" si="158"/>
        <v>-15154481098.11343</v>
      </c>
      <c r="L3901" s="444">
        <f t="shared" ca="1" si="159"/>
        <v>-3652229944645.3364</v>
      </c>
      <c r="M3901" s="460">
        <f t="shared" si="161"/>
        <v>0.05</v>
      </c>
      <c r="N3901" s="464">
        <f t="shared" si="162"/>
        <v>169779</v>
      </c>
    </row>
    <row r="3902" spans="7:14" ht="11.25" customHeight="1" x14ac:dyDescent="0.3">
      <c r="G3902" s="459"/>
      <c r="H3902" s="459">
        <v>3895</v>
      </c>
      <c r="I3902" s="444">
        <f t="shared" ca="1" si="160"/>
        <v>-3652229944645.3364</v>
      </c>
      <c r="J3902" s="444">
        <f t="array" ref="J3902">IFERROR(INDEX('Retirement Calculator'!K:K,MATCH('Lorri 401b'!N3902,'Retirement Calculator'!A:A,0),0),0)</f>
        <v>0</v>
      </c>
      <c r="K3902" s="444">
        <f t="shared" ca="1" si="158"/>
        <v>-15217624769.355566</v>
      </c>
      <c r="L3902" s="444">
        <f t="shared" ca="1" si="159"/>
        <v>-3667447569414.6919</v>
      </c>
      <c r="M3902" s="460">
        <f t="shared" si="161"/>
        <v>0.05</v>
      </c>
      <c r="N3902" s="464">
        <f t="shared" si="162"/>
        <v>169809</v>
      </c>
    </row>
    <row r="3903" spans="7:14" ht="11.25" customHeight="1" x14ac:dyDescent="0.3">
      <c r="G3903" s="459"/>
      <c r="H3903" s="459">
        <v>3896</v>
      </c>
      <c r="I3903" s="444">
        <f t="shared" ca="1" si="160"/>
        <v>-3667447569414.6919</v>
      </c>
      <c r="J3903" s="444">
        <f t="array" ref="J3903">IFERROR(INDEX('Retirement Calculator'!K:K,MATCH('Lorri 401b'!N3903,'Retirement Calculator'!A:A,0),0),0)</f>
        <v>0</v>
      </c>
      <c r="K3903" s="444">
        <f t="shared" ca="1" si="158"/>
        <v>-15281031539.227884</v>
      </c>
      <c r="L3903" s="444">
        <f t="shared" ca="1" si="159"/>
        <v>-3682728600953.9199</v>
      </c>
      <c r="M3903" s="460">
        <f t="shared" si="161"/>
        <v>0.05</v>
      </c>
      <c r="N3903" s="464">
        <f t="shared" si="162"/>
        <v>169840</v>
      </c>
    </row>
    <row r="3904" spans="7:14" ht="11.25" customHeight="1" x14ac:dyDescent="0.3">
      <c r="G3904" s="459"/>
      <c r="H3904" s="459">
        <v>3897</v>
      </c>
      <c r="I3904" s="444">
        <f t="shared" ca="1" si="160"/>
        <v>-3682728600953.9199</v>
      </c>
      <c r="J3904" s="444">
        <f t="array" ref="J3904">IFERROR(INDEX('Retirement Calculator'!K:K,MATCH('Lorri 401b'!N3904,'Retirement Calculator'!A:A,0),0),0)</f>
        <v>0</v>
      </c>
      <c r="K3904" s="444">
        <f t="shared" ca="1" si="158"/>
        <v>-15344702503.974669</v>
      </c>
      <c r="L3904" s="444">
        <f t="shared" ca="1" si="159"/>
        <v>-3698073303457.8945</v>
      </c>
      <c r="M3904" s="460">
        <f t="shared" si="161"/>
        <v>0.05</v>
      </c>
      <c r="N3904" s="464">
        <f t="shared" si="162"/>
        <v>169871</v>
      </c>
    </row>
    <row r="3905" spans="7:14" ht="11.25" customHeight="1" x14ac:dyDescent="0.3">
      <c r="G3905" s="459"/>
      <c r="H3905" s="459">
        <v>3898</v>
      </c>
      <c r="I3905" s="444">
        <f t="shared" ca="1" si="160"/>
        <v>-3698073303457.8945</v>
      </c>
      <c r="J3905" s="444">
        <f t="array" ref="J3905">IFERROR(INDEX('Retirement Calculator'!K:K,MATCH('Lorri 401b'!N3905,'Retirement Calculator'!A:A,0),0),0)</f>
        <v>0</v>
      </c>
      <c r="K3905" s="444">
        <f t="shared" ca="1" si="158"/>
        <v>-15408638764.407892</v>
      </c>
      <c r="L3905" s="444">
        <f t="shared" ca="1" si="159"/>
        <v>-3713481942222.3022</v>
      </c>
      <c r="M3905" s="460">
        <f t="shared" si="161"/>
        <v>0.05</v>
      </c>
      <c r="N3905" s="464">
        <f t="shared" si="162"/>
        <v>169899</v>
      </c>
    </row>
    <row r="3906" spans="7:14" ht="11.25" customHeight="1" x14ac:dyDescent="0.3">
      <c r="G3906" s="459"/>
      <c r="H3906" s="459">
        <v>3899</v>
      </c>
      <c r="I3906" s="444">
        <f t="shared" ca="1" si="160"/>
        <v>-3713481942222.3022</v>
      </c>
      <c r="J3906" s="444">
        <f t="array" ref="J3906">IFERROR(INDEX('Retirement Calculator'!K:K,MATCH('Lorri 401b'!N3906,'Retirement Calculator'!A:A,0),0),0)</f>
        <v>0</v>
      </c>
      <c r="K3906" s="444">
        <f t="shared" ca="1" si="158"/>
        <v>-15472841425.92626</v>
      </c>
      <c r="L3906" s="444">
        <f t="shared" ca="1" si="159"/>
        <v>-3728954783648.2285</v>
      </c>
      <c r="M3906" s="460">
        <f t="shared" si="161"/>
        <v>0.05</v>
      </c>
      <c r="N3906" s="464">
        <f t="shared" si="162"/>
        <v>169930</v>
      </c>
    </row>
    <row r="3907" spans="7:14" ht="11.25" customHeight="1" x14ac:dyDescent="0.3">
      <c r="G3907" s="459"/>
      <c r="H3907" s="459">
        <v>3900</v>
      </c>
      <c r="I3907" s="444">
        <f t="shared" ca="1" si="160"/>
        <v>-3728954783648.2285</v>
      </c>
      <c r="J3907" s="444">
        <f t="array" ref="J3907">IFERROR(INDEX('Retirement Calculator'!K:K,MATCH('Lorri 401b'!N3907,'Retirement Calculator'!A:A,0),0),0)</f>
        <v>0</v>
      </c>
      <c r="K3907" s="444">
        <f t="shared" ca="1" si="158"/>
        <v>-15537311598.534286</v>
      </c>
      <c r="L3907" s="444">
        <f t="shared" ca="1" si="159"/>
        <v>-3744492095246.7627</v>
      </c>
      <c r="M3907" s="460">
        <f t="shared" si="161"/>
        <v>0.05</v>
      </c>
      <c r="N3907" s="464">
        <f t="shared" si="162"/>
        <v>169960</v>
      </c>
    </row>
    <row r="3908" spans="7:14" ht="11.25" customHeight="1" x14ac:dyDescent="0.3">
      <c r="G3908" s="459"/>
      <c r="H3908" s="459">
        <v>3901</v>
      </c>
      <c r="I3908" s="444">
        <f t="shared" ca="1" si="160"/>
        <v>-3744492095246.7627</v>
      </c>
      <c r="J3908" s="444">
        <f t="array" ref="J3908">IFERROR(INDEX('Retirement Calculator'!K:K,MATCH('Lorri 401b'!N3908,'Retirement Calculator'!A:A,0),0),0)</f>
        <v>0</v>
      </c>
      <c r="K3908" s="444">
        <f t="shared" ca="1" si="158"/>
        <v>-15602050396.861511</v>
      </c>
      <c r="L3908" s="444">
        <f t="shared" ca="1" si="159"/>
        <v>-3760094145643.624</v>
      </c>
      <c r="M3908" s="460">
        <f t="shared" si="161"/>
        <v>0.05</v>
      </c>
      <c r="N3908" s="464">
        <f t="shared" si="162"/>
        <v>169991</v>
      </c>
    </row>
    <row r="3909" spans="7:14" ht="11.25" customHeight="1" x14ac:dyDescent="0.3">
      <c r="G3909" s="459"/>
      <c r="H3909" s="459">
        <v>3902</v>
      </c>
      <c r="I3909" s="444">
        <f t="shared" ca="1" si="160"/>
        <v>-3760094145643.624</v>
      </c>
      <c r="J3909" s="444">
        <f t="array" ref="J3909">IFERROR(INDEX('Retirement Calculator'!K:K,MATCH('Lorri 401b'!N3909,'Retirement Calculator'!A:A,0),0),0)</f>
        <v>0</v>
      </c>
      <c r="K3909" s="444">
        <f t="shared" ca="1" si="158"/>
        <v>-15667058940.181767</v>
      </c>
      <c r="L3909" s="444">
        <f t="shared" ca="1" si="159"/>
        <v>-3775761204583.8057</v>
      </c>
      <c r="M3909" s="460">
        <f t="shared" si="161"/>
        <v>0.05</v>
      </c>
      <c r="N3909" s="464">
        <f t="shared" si="162"/>
        <v>170021</v>
      </c>
    </row>
    <row r="3910" spans="7:14" ht="11.25" customHeight="1" x14ac:dyDescent="0.3">
      <c r="G3910" s="459"/>
      <c r="H3910" s="459">
        <v>3903</v>
      </c>
      <c r="I3910" s="444">
        <f t="shared" ca="1" si="160"/>
        <v>-3775761204583.8057</v>
      </c>
      <c r="J3910" s="444">
        <f t="array" ref="J3910">IFERROR(INDEX('Retirement Calculator'!K:K,MATCH('Lorri 401b'!N3910,'Retirement Calculator'!A:A,0),0),0)</f>
        <v>0</v>
      </c>
      <c r="K3910" s="444">
        <f t="shared" ca="1" si="158"/>
        <v>-15732338352.432524</v>
      </c>
      <c r="L3910" s="444">
        <f t="shared" ca="1" si="159"/>
        <v>-3791493542936.2383</v>
      </c>
      <c r="M3910" s="460">
        <f t="shared" si="161"/>
        <v>0.05</v>
      </c>
      <c r="N3910" s="464">
        <f t="shared" si="162"/>
        <v>170052</v>
      </c>
    </row>
    <row r="3911" spans="7:14" ht="11.25" customHeight="1" x14ac:dyDescent="0.3">
      <c r="G3911" s="459"/>
      <c r="H3911" s="459">
        <v>3904</v>
      </c>
      <c r="I3911" s="444">
        <f t="shared" ca="1" si="160"/>
        <v>-3791493542936.2383</v>
      </c>
      <c r="J3911" s="444">
        <f t="array" ref="J3911">IFERROR(INDEX('Retirement Calculator'!K:K,MATCH('Lorri 401b'!N3911,'Retirement Calculator'!A:A,0),0),0)</f>
        <v>0</v>
      </c>
      <c r="K3911" s="444">
        <f t="shared" ca="1" si="158"/>
        <v>-15797889762.234325</v>
      </c>
      <c r="L3911" s="444">
        <f t="shared" ca="1" si="159"/>
        <v>-3807291432698.4727</v>
      </c>
      <c r="M3911" s="460">
        <f t="shared" si="161"/>
        <v>0.05</v>
      </c>
      <c r="N3911" s="464">
        <f t="shared" si="162"/>
        <v>170083</v>
      </c>
    </row>
    <row r="3912" spans="7:14" ht="11.25" customHeight="1" x14ac:dyDescent="0.3">
      <c r="G3912" s="459"/>
      <c r="H3912" s="459">
        <v>3905</v>
      </c>
      <c r="I3912" s="444">
        <f t="shared" ca="1" si="160"/>
        <v>-3807291432698.4727</v>
      </c>
      <c r="J3912" s="444">
        <f t="array" ref="J3912">IFERROR(INDEX('Retirement Calculator'!K:K,MATCH('Lorri 401b'!N3912,'Retirement Calculator'!A:A,0),0),0)</f>
        <v>0</v>
      </c>
      <c r="K3912" s="444">
        <f t="shared" ca="1" si="158"/>
        <v>-15863714302.910303</v>
      </c>
      <c r="L3912" s="444">
        <f t="shared" ca="1" si="159"/>
        <v>-3823155147001.3828</v>
      </c>
      <c r="M3912" s="460">
        <f t="shared" si="161"/>
        <v>0.05</v>
      </c>
      <c r="N3912" s="464">
        <f t="shared" si="162"/>
        <v>170113</v>
      </c>
    </row>
    <row r="3913" spans="7:14" ht="11.25" customHeight="1" x14ac:dyDescent="0.3">
      <c r="G3913" s="459"/>
      <c r="H3913" s="459">
        <v>3906</v>
      </c>
      <c r="I3913" s="444">
        <f t="shared" ca="1" si="160"/>
        <v>-3823155147001.3828</v>
      </c>
      <c r="J3913" s="444">
        <f t="array" ref="J3913">IFERROR(INDEX('Retirement Calculator'!K:K,MATCH('Lorri 401b'!N3913,'Retirement Calculator'!A:A,0),0),0)</f>
        <v>0</v>
      </c>
      <c r="K3913" s="444">
        <f t="shared" ca="1" si="158"/>
        <v>-15929813112.505764</v>
      </c>
      <c r="L3913" s="444">
        <f t="shared" ca="1" si="159"/>
        <v>-3839084960113.8887</v>
      </c>
      <c r="M3913" s="460">
        <f t="shared" si="161"/>
        <v>0.05</v>
      </c>
      <c r="N3913" s="464">
        <f t="shared" si="162"/>
        <v>170144</v>
      </c>
    </row>
    <row r="3914" spans="7:14" ht="11.25" customHeight="1" x14ac:dyDescent="0.3">
      <c r="G3914" s="459"/>
      <c r="H3914" s="459">
        <v>3907</v>
      </c>
      <c r="I3914" s="444">
        <f t="shared" ca="1" si="160"/>
        <v>-3839084960113.8887</v>
      </c>
      <c r="J3914" s="444">
        <f t="array" ref="J3914">IFERROR(INDEX('Retirement Calculator'!K:K,MATCH('Lorri 401b'!N3914,'Retirement Calculator'!A:A,0),0),0)</f>
        <v>0</v>
      </c>
      <c r="K3914" s="444">
        <f t="shared" ca="1" si="158"/>
        <v>-15996187333.807869</v>
      </c>
      <c r="L3914" s="444">
        <f t="shared" ca="1" si="159"/>
        <v>-3855081147447.6968</v>
      </c>
      <c r="M3914" s="460">
        <f t="shared" si="161"/>
        <v>0.05</v>
      </c>
      <c r="N3914" s="464">
        <f t="shared" si="162"/>
        <v>170174</v>
      </c>
    </row>
    <row r="3915" spans="7:14" ht="11.25" customHeight="1" x14ac:dyDescent="0.3">
      <c r="G3915" s="459"/>
      <c r="H3915" s="459">
        <v>3908</v>
      </c>
      <c r="I3915" s="444">
        <f t="shared" ca="1" si="160"/>
        <v>-3855081147447.6968</v>
      </c>
      <c r="J3915" s="444">
        <f t="array" ref="J3915">IFERROR(INDEX('Retirement Calculator'!K:K,MATCH('Lorri 401b'!N3915,'Retirement Calculator'!A:A,0),0),0)</f>
        <v>0</v>
      </c>
      <c r="K3915" s="444">
        <f t="shared" ca="1" si="158"/>
        <v>-16062838114.365402</v>
      </c>
      <c r="L3915" s="444">
        <f t="shared" ca="1" si="159"/>
        <v>-3871143985562.062</v>
      </c>
      <c r="M3915" s="460">
        <f t="shared" si="161"/>
        <v>0.05</v>
      </c>
      <c r="N3915" s="464">
        <f t="shared" si="162"/>
        <v>170205</v>
      </c>
    </row>
    <row r="3916" spans="7:14" ht="11.25" customHeight="1" x14ac:dyDescent="0.3">
      <c r="G3916" s="459"/>
      <c r="H3916" s="459">
        <v>3909</v>
      </c>
      <c r="I3916" s="444">
        <f t="shared" ca="1" si="160"/>
        <v>-3871143985562.062</v>
      </c>
      <c r="J3916" s="444">
        <f t="array" ref="J3916">IFERROR(INDEX('Retirement Calculator'!K:K,MATCH('Lorri 401b'!N3916,'Retirement Calculator'!A:A,0),0),0)</f>
        <v>0</v>
      </c>
      <c r="K3916" s="444">
        <f t="shared" ca="1" si="158"/>
        <v>-16129766606.508591</v>
      </c>
      <c r="L3916" s="444">
        <f t="shared" ca="1" si="159"/>
        <v>-3887273752168.5708</v>
      </c>
      <c r="M3916" s="460">
        <f t="shared" si="161"/>
        <v>0.05</v>
      </c>
      <c r="N3916" s="464">
        <f t="shared" si="162"/>
        <v>170236</v>
      </c>
    </row>
    <row r="3917" spans="7:14" ht="11.25" customHeight="1" x14ac:dyDescent="0.3">
      <c r="G3917" s="459"/>
      <c r="H3917" s="459">
        <v>3910</v>
      </c>
      <c r="I3917" s="444">
        <f t="shared" ca="1" si="160"/>
        <v>-3887273752168.5708</v>
      </c>
      <c r="J3917" s="444">
        <f t="array" ref="J3917">IFERROR(INDEX('Retirement Calculator'!K:K,MATCH('Lorri 401b'!N3917,'Retirement Calculator'!A:A,0),0),0)</f>
        <v>0</v>
      </c>
      <c r="K3917" s="444">
        <f t="shared" ca="1" si="158"/>
        <v>-16196973967.369045</v>
      </c>
      <c r="L3917" s="444">
        <f t="shared" ca="1" si="159"/>
        <v>-3903470726135.9399</v>
      </c>
      <c r="M3917" s="460">
        <f t="shared" si="161"/>
        <v>0.05</v>
      </c>
      <c r="N3917" s="464">
        <f t="shared" si="162"/>
        <v>170264</v>
      </c>
    </row>
    <row r="3918" spans="7:14" ht="11.25" customHeight="1" x14ac:dyDescent="0.3">
      <c r="G3918" s="459"/>
      <c r="H3918" s="459">
        <v>3911</v>
      </c>
      <c r="I3918" s="444">
        <f t="shared" ca="1" si="160"/>
        <v>-3903470726135.9399</v>
      </c>
      <c r="J3918" s="444">
        <f t="array" ref="J3918">IFERROR(INDEX('Retirement Calculator'!K:K,MATCH('Lorri 401b'!N3918,'Retirement Calculator'!A:A,0),0),0)</f>
        <v>0</v>
      </c>
      <c r="K3918" s="444">
        <f t="shared" ca="1" si="158"/>
        <v>-16264461358.899752</v>
      </c>
      <c r="L3918" s="444">
        <f t="shared" ca="1" si="159"/>
        <v>-3919735187494.8398</v>
      </c>
      <c r="M3918" s="460">
        <f t="shared" si="161"/>
        <v>0.05</v>
      </c>
      <c r="N3918" s="464">
        <f t="shared" si="162"/>
        <v>170295</v>
      </c>
    </row>
    <row r="3919" spans="7:14" ht="11.25" customHeight="1" x14ac:dyDescent="0.3">
      <c r="G3919" s="459"/>
      <c r="H3919" s="459">
        <v>3912</v>
      </c>
      <c r="I3919" s="444">
        <f t="shared" ca="1" si="160"/>
        <v>-3919735187494.8398</v>
      </c>
      <c r="J3919" s="444">
        <f t="array" ref="J3919">IFERROR(INDEX('Retirement Calculator'!K:K,MATCH('Lorri 401b'!N3919,'Retirement Calculator'!A:A,0),0),0)</f>
        <v>0</v>
      </c>
      <c r="K3919" s="444">
        <f t="shared" ca="1" si="158"/>
        <v>-16332229947.895168</v>
      </c>
      <c r="L3919" s="444">
        <f t="shared" ca="1" si="159"/>
        <v>-3936067417442.7349</v>
      </c>
      <c r="M3919" s="460">
        <f t="shared" si="161"/>
        <v>0.05</v>
      </c>
      <c r="N3919" s="464">
        <f t="shared" si="162"/>
        <v>170325</v>
      </c>
    </row>
    <row r="3920" spans="7:14" ht="11.25" customHeight="1" x14ac:dyDescent="0.3">
      <c r="G3920" s="459"/>
      <c r="H3920" s="459">
        <v>3913</v>
      </c>
      <c r="I3920" s="444">
        <f t="shared" ca="1" si="160"/>
        <v>-3936067417442.7349</v>
      </c>
      <c r="J3920" s="444">
        <f t="array" ref="J3920">IFERROR(INDEX('Retirement Calculator'!K:K,MATCH('Lorri 401b'!N3920,'Retirement Calculator'!A:A,0),0),0)</f>
        <v>0</v>
      </c>
      <c r="K3920" s="444">
        <f t="shared" ca="1" si="158"/>
        <v>-16400280906.011393</v>
      </c>
      <c r="L3920" s="444">
        <f t="shared" ca="1" si="159"/>
        <v>-3952467698348.7461</v>
      </c>
      <c r="M3920" s="460">
        <f t="shared" si="161"/>
        <v>0.05</v>
      </c>
      <c r="N3920" s="464">
        <f t="shared" si="162"/>
        <v>170356</v>
      </c>
    </row>
    <row r="3921" spans="7:14" ht="11.25" customHeight="1" x14ac:dyDescent="0.3">
      <c r="G3921" s="459"/>
      <c r="H3921" s="459">
        <v>3914</v>
      </c>
      <c r="I3921" s="444">
        <f t="shared" ca="1" si="160"/>
        <v>-3952467698348.7461</v>
      </c>
      <c r="J3921" s="444">
        <f t="array" ref="J3921">IFERROR(INDEX('Retirement Calculator'!K:K,MATCH('Lorri 401b'!N3921,'Retirement Calculator'!A:A,0),0),0)</f>
        <v>0</v>
      </c>
      <c r="K3921" s="444">
        <f t="shared" ca="1" si="158"/>
        <v>-16468615409.786442</v>
      </c>
      <c r="L3921" s="444">
        <f t="shared" ca="1" si="159"/>
        <v>-3968936313758.5327</v>
      </c>
      <c r="M3921" s="460">
        <f t="shared" si="161"/>
        <v>0.05</v>
      </c>
      <c r="N3921" s="464">
        <f t="shared" si="162"/>
        <v>170386</v>
      </c>
    </row>
    <row r="3922" spans="7:14" ht="11.25" customHeight="1" x14ac:dyDescent="0.3">
      <c r="G3922" s="459"/>
      <c r="H3922" s="459">
        <v>3915</v>
      </c>
      <c r="I3922" s="444">
        <f t="shared" ca="1" si="160"/>
        <v>-3968936313758.5327</v>
      </c>
      <c r="J3922" s="444">
        <f t="array" ref="J3922">IFERROR(INDEX('Retirement Calculator'!K:K,MATCH('Lorri 401b'!N3922,'Retirement Calculator'!A:A,0),0),0)</f>
        <v>0</v>
      </c>
      <c r="K3922" s="444">
        <f t="shared" ca="1" si="158"/>
        <v>-16537234640.660553</v>
      </c>
      <c r="L3922" s="444">
        <f t="shared" ca="1" si="159"/>
        <v>-3985473548399.1934</v>
      </c>
      <c r="M3922" s="460">
        <f t="shared" si="161"/>
        <v>0.05</v>
      </c>
      <c r="N3922" s="464">
        <f t="shared" si="162"/>
        <v>170417</v>
      </c>
    </row>
    <row r="3923" spans="7:14" ht="11.25" customHeight="1" x14ac:dyDescent="0.3">
      <c r="G3923" s="459"/>
      <c r="H3923" s="459">
        <v>3916</v>
      </c>
      <c r="I3923" s="444">
        <f t="shared" ca="1" si="160"/>
        <v>-3985473548399.1934</v>
      </c>
      <c r="J3923" s="444">
        <f t="array" ref="J3923">IFERROR(INDEX('Retirement Calculator'!K:K,MATCH('Lorri 401b'!N3923,'Retirement Calculator'!A:A,0),0),0)</f>
        <v>0</v>
      </c>
      <c r="K3923" s="444">
        <f t="shared" ca="1" si="158"/>
        <v>-16606139784.996639</v>
      </c>
      <c r="L3923" s="444">
        <f t="shared" ca="1" si="159"/>
        <v>-4002079688184.1899</v>
      </c>
      <c r="M3923" s="460">
        <f t="shared" si="161"/>
        <v>0.05</v>
      </c>
      <c r="N3923" s="464">
        <f t="shared" si="162"/>
        <v>170448</v>
      </c>
    </row>
    <row r="3924" spans="7:14" ht="11.25" customHeight="1" x14ac:dyDescent="0.3">
      <c r="G3924" s="459"/>
      <c r="H3924" s="459">
        <v>3917</v>
      </c>
      <c r="I3924" s="444">
        <f t="shared" ca="1" si="160"/>
        <v>-4002079688184.1899</v>
      </c>
      <c r="J3924" s="444">
        <f t="array" ref="J3924">IFERROR(INDEX('Retirement Calculator'!K:K,MATCH('Lorri 401b'!N3924,'Retirement Calculator'!A:A,0),0),0)</f>
        <v>0</v>
      </c>
      <c r="K3924" s="444">
        <f t="shared" ca="1" si="158"/>
        <v>-16675332034.100792</v>
      </c>
      <c r="L3924" s="444">
        <f t="shared" ca="1" si="159"/>
        <v>-4018755020218.2905</v>
      </c>
      <c r="M3924" s="460">
        <f t="shared" si="161"/>
        <v>0.05</v>
      </c>
      <c r="N3924" s="464">
        <f t="shared" si="162"/>
        <v>170478</v>
      </c>
    </row>
    <row r="3925" spans="7:14" ht="11.25" customHeight="1" x14ac:dyDescent="0.3">
      <c r="G3925" s="459"/>
      <c r="H3925" s="459">
        <v>3918</v>
      </c>
      <c r="I3925" s="444">
        <f t="shared" ca="1" si="160"/>
        <v>-4018755020218.2905</v>
      </c>
      <c r="J3925" s="444">
        <f t="array" ref="J3925">IFERROR(INDEX('Retirement Calculator'!K:K,MATCH('Lorri 401b'!N3925,'Retirement Calculator'!A:A,0),0),0)</f>
        <v>0</v>
      </c>
      <c r="K3925" s="444">
        <f t="shared" ca="1" si="158"/>
        <v>-16744812584.242876</v>
      </c>
      <c r="L3925" s="444">
        <f t="shared" ca="1" si="159"/>
        <v>-4035499832802.5332</v>
      </c>
      <c r="M3925" s="460">
        <f t="shared" si="161"/>
        <v>0.05</v>
      </c>
      <c r="N3925" s="464">
        <f t="shared" si="162"/>
        <v>170509</v>
      </c>
    </row>
    <row r="3926" spans="7:14" ht="11.25" customHeight="1" x14ac:dyDescent="0.3">
      <c r="G3926" s="459"/>
      <c r="H3926" s="459">
        <v>3919</v>
      </c>
      <c r="I3926" s="444">
        <f t="shared" ca="1" si="160"/>
        <v>-4035499832802.5332</v>
      </c>
      <c r="J3926" s="444">
        <f t="array" ref="J3926">IFERROR(INDEX('Retirement Calculator'!K:K,MATCH('Lorri 401b'!N3926,'Retirement Calculator'!A:A,0),0),0)</f>
        <v>0</v>
      </c>
      <c r="K3926" s="444">
        <f t="shared" ca="1" si="158"/>
        <v>-16814582636.677221</v>
      </c>
      <c r="L3926" s="444">
        <f t="shared" ca="1" si="159"/>
        <v>-4052314415439.2104</v>
      </c>
      <c r="M3926" s="460">
        <f t="shared" si="161"/>
        <v>0.05</v>
      </c>
      <c r="N3926" s="464">
        <f t="shared" si="162"/>
        <v>170539</v>
      </c>
    </row>
    <row r="3927" spans="7:14" ht="11.25" customHeight="1" x14ac:dyDescent="0.3">
      <c r="G3927" s="459"/>
      <c r="H3927" s="459">
        <v>3920</v>
      </c>
      <c r="I3927" s="444">
        <f t="shared" ca="1" si="160"/>
        <v>-4052314415439.2104</v>
      </c>
      <c r="J3927" s="444">
        <f t="array" ref="J3927">IFERROR(INDEX('Retirement Calculator'!K:K,MATCH('Lorri 401b'!N3927,'Retirement Calculator'!A:A,0),0),0)</f>
        <v>0</v>
      </c>
      <c r="K3927" s="444">
        <f t="shared" ca="1" si="158"/>
        <v>-16884643397.663376</v>
      </c>
      <c r="L3927" s="444">
        <f t="shared" ca="1" si="159"/>
        <v>-4069199058836.874</v>
      </c>
      <c r="M3927" s="460">
        <f t="shared" si="161"/>
        <v>0.05</v>
      </c>
      <c r="N3927" s="464">
        <f t="shared" si="162"/>
        <v>170570</v>
      </c>
    </row>
    <row r="3928" spans="7:14" ht="11.25" customHeight="1" x14ac:dyDescent="0.3">
      <c r="G3928" s="459"/>
      <c r="H3928" s="459">
        <v>3921</v>
      </c>
      <c r="I3928" s="444">
        <f t="shared" ca="1" si="160"/>
        <v>-4069199058836.874</v>
      </c>
      <c r="J3928" s="444">
        <f t="array" ref="J3928">IFERROR(INDEX('Retirement Calculator'!K:K,MATCH('Lorri 401b'!N3928,'Retirement Calculator'!A:A,0),0),0)</f>
        <v>0</v>
      </c>
      <c r="K3928" s="444">
        <f t="shared" ca="1" si="158"/>
        <v>-16954996078.486975</v>
      </c>
      <c r="L3928" s="444">
        <f t="shared" ca="1" si="159"/>
        <v>-4086154054915.3608</v>
      </c>
      <c r="M3928" s="460">
        <f t="shared" si="161"/>
        <v>0.05</v>
      </c>
      <c r="N3928" s="464">
        <f t="shared" si="162"/>
        <v>170601</v>
      </c>
    </row>
    <row r="3929" spans="7:14" ht="11.25" customHeight="1" x14ac:dyDescent="0.3">
      <c r="G3929" s="459"/>
      <c r="H3929" s="459">
        <v>3922</v>
      </c>
      <c r="I3929" s="444">
        <f t="shared" ca="1" si="160"/>
        <v>-4086154054915.3608</v>
      </c>
      <c r="J3929" s="444">
        <f t="array" ref="J3929">IFERROR(INDEX('Retirement Calculator'!K:K,MATCH('Lorri 401b'!N3929,'Retirement Calculator'!A:A,0),0),0)</f>
        <v>0</v>
      </c>
      <c r="K3929" s="444">
        <f t="shared" ca="1" si="158"/>
        <v>-17025641895.480673</v>
      </c>
      <c r="L3929" s="444">
        <f t="shared" ca="1" si="159"/>
        <v>-4103179696810.8413</v>
      </c>
      <c r="M3929" s="460">
        <f t="shared" si="161"/>
        <v>0.05</v>
      </c>
      <c r="N3929" s="464">
        <f t="shared" si="162"/>
        <v>170629</v>
      </c>
    </row>
    <row r="3930" spans="7:14" ht="11.25" customHeight="1" x14ac:dyDescent="0.3">
      <c r="G3930" s="459"/>
      <c r="H3930" s="459">
        <v>3923</v>
      </c>
      <c r="I3930" s="444">
        <f t="shared" ca="1" si="160"/>
        <v>-4103179696810.8413</v>
      </c>
      <c r="J3930" s="444">
        <f t="array" ref="J3930">IFERROR(INDEX('Retirement Calculator'!K:K,MATCH('Lorri 401b'!N3930,'Retirement Calculator'!A:A,0),0),0)</f>
        <v>0</v>
      </c>
      <c r="K3930" s="444">
        <f t="shared" ca="1" si="158"/>
        <v>-17096582070.045172</v>
      </c>
      <c r="L3930" s="444">
        <f t="shared" ca="1" si="159"/>
        <v>-4120276278880.8867</v>
      </c>
      <c r="M3930" s="460">
        <f t="shared" si="161"/>
        <v>0.05</v>
      </c>
      <c r="N3930" s="464">
        <f t="shared" si="162"/>
        <v>170660</v>
      </c>
    </row>
    <row r="3931" spans="7:14" ht="11.25" customHeight="1" x14ac:dyDescent="0.3">
      <c r="G3931" s="459"/>
      <c r="H3931" s="459">
        <v>3924</v>
      </c>
      <c r="I3931" s="444">
        <f t="shared" ca="1" si="160"/>
        <v>-4120276278880.8867</v>
      </c>
      <c r="J3931" s="444">
        <f t="array" ref="J3931">IFERROR(INDEX('Retirement Calculator'!K:K,MATCH('Lorri 401b'!N3931,'Retirement Calculator'!A:A,0),0),0)</f>
        <v>0</v>
      </c>
      <c r="K3931" s="444">
        <f t="shared" ca="1" si="158"/>
        <v>-17167817828.670361</v>
      </c>
      <c r="L3931" s="444">
        <f t="shared" ca="1" si="159"/>
        <v>-4137444096709.5571</v>
      </c>
      <c r="M3931" s="460">
        <f t="shared" si="161"/>
        <v>0.05</v>
      </c>
      <c r="N3931" s="464">
        <f t="shared" si="162"/>
        <v>170690</v>
      </c>
    </row>
    <row r="3932" spans="7:14" ht="11.25" customHeight="1" x14ac:dyDescent="0.3">
      <c r="G3932" s="459"/>
      <c r="H3932" s="459">
        <v>3925</v>
      </c>
      <c r="I3932" s="444">
        <f t="shared" ca="1" si="160"/>
        <v>-4137444096709.5571</v>
      </c>
      <c r="J3932" s="444">
        <f t="array" ref="J3932">IFERROR(INDEX('Retirement Calculator'!K:K,MATCH('Lorri 401b'!N3932,'Retirement Calculator'!A:A,0),0),0)</f>
        <v>0</v>
      </c>
      <c r="K3932" s="444">
        <f t="shared" ca="1" si="158"/>
        <v>-17239350402.95649</v>
      </c>
      <c r="L3932" s="444">
        <f t="shared" ca="1" si="159"/>
        <v>-4154683447112.5137</v>
      </c>
      <c r="M3932" s="460">
        <f t="shared" si="161"/>
        <v>0.05</v>
      </c>
      <c r="N3932" s="464">
        <f t="shared" si="162"/>
        <v>170721</v>
      </c>
    </row>
    <row r="3933" spans="7:14" ht="11.25" customHeight="1" x14ac:dyDescent="0.3">
      <c r="G3933" s="459"/>
      <c r="H3933" s="459">
        <v>3926</v>
      </c>
      <c r="I3933" s="444">
        <f t="shared" ca="1" si="160"/>
        <v>-4154683447112.5137</v>
      </c>
      <c r="J3933" s="444">
        <f t="array" ref="J3933">IFERROR(INDEX('Retirement Calculator'!K:K,MATCH('Lorri 401b'!N3933,'Retirement Calculator'!A:A,0),0),0)</f>
        <v>0</v>
      </c>
      <c r="K3933" s="444">
        <f t="shared" ca="1" si="158"/>
        <v>-17311181029.635475</v>
      </c>
      <c r="L3933" s="444">
        <f t="shared" ca="1" si="159"/>
        <v>-4171994628142.1489</v>
      </c>
      <c r="M3933" s="460">
        <f t="shared" si="161"/>
        <v>0.05</v>
      </c>
      <c r="N3933" s="464">
        <f t="shared" si="162"/>
        <v>170751</v>
      </c>
    </row>
    <row r="3934" spans="7:14" ht="11.25" customHeight="1" x14ac:dyDescent="0.3">
      <c r="G3934" s="459"/>
      <c r="H3934" s="459">
        <v>3927</v>
      </c>
      <c r="I3934" s="444">
        <f t="shared" ca="1" si="160"/>
        <v>-4171994628142.1489</v>
      </c>
      <c r="J3934" s="444">
        <f t="array" ref="J3934">IFERROR(INDEX('Retirement Calculator'!K:K,MATCH('Lorri 401b'!N3934,'Retirement Calculator'!A:A,0),0),0)</f>
        <v>0</v>
      </c>
      <c r="K3934" s="444">
        <f t="shared" ca="1" si="158"/>
        <v>-17383310950.592285</v>
      </c>
      <c r="L3934" s="444">
        <f t="shared" ca="1" si="159"/>
        <v>-4189377939092.7412</v>
      </c>
      <c r="M3934" s="460">
        <f t="shared" si="161"/>
        <v>0.05</v>
      </c>
      <c r="N3934" s="464">
        <f t="shared" si="162"/>
        <v>170782</v>
      </c>
    </row>
    <row r="3935" spans="7:14" ht="11.25" customHeight="1" x14ac:dyDescent="0.3">
      <c r="G3935" s="459"/>
      <c r="H3935" s="459">
        <v>3928</v>
      </c>
      <c r="I3935" s="444">
        <f t="shared" ca="1" si="160"/>
        <v>-4189377939092.7412</v>
      </c>
      <c r="J3935" s="444">
        <f t="array" ref="J3935">IFERROR(INDEX('Retirement Calculator'!K:K,MATCH('Lorri 401b'!N3935,'Retirement Calculator'!A:A,0),0),0)</f>
        <v>0</v>
      </c>
      <c r="K3935" s="444">
        <f t="shared" ca="1" si="158"/>
        <v>-17455741412.886425</v>
      </c>
      <c r="L3935" s="444">
        <f t="shared" ca="1" si="159"/>
        <v>-4206833680505.6274</v>
      </c>
      <c r="M3935" s="460">
        <f t="shared" si="161"/>
        <v>0.05</v>
      </c>
      <c r="N3935" s="464">
        <f t="shared" si="162"/>
        <v>170813</v>
      </c>
    </row>
    <row r="3936" spans="7:14" ht="11.25" customHeight="1" x14ac:dyDescent="0.3">
      <c r="G3936" s="459"/>
      <c r="H3936" s="459">
        <v>3929</v>
      </c>
      <c r="I3936" s="444">
        <f t="shared" ca="1" si="160"/>
        <v>-4206833680505.6274</v>
      </c>
      <c r="J3936" s="444">
        <f t="array" ref="J3936">IFERROR(INDEX('Retirement Calculator'!K:K,MATCH('Lorri 401b'!N3936,'Retirement Calculator'!A:A,0),0),0)</f>
        <v>0</v>
      </c>
      <c r="K3936" s="444">
        <f t="shared" ca="1" si="158"/>
        <v>-17528473668.773449</v>
      </c>
      <c r="L3936" s="444">
        <f t="shared" ca="1" si="159"/>
        <v>-4224362154174.4009</v>
      </c>
      <c r="M3936" s="460">
        <f t="shared" si="161"/>
        <v>0.05</v>
      </c>
      <c r="N3936" s="464">
        <f t="shared" si="162"/>
        <v>170843</v>
      </c>
    </row>
    <row r="3937" spans="7:14" ht="11.25" customHeight="1" x14ac:dyDescent="0.3">
      <c r="G3937" s="459"/>
      <c r="H3937" s="459">
        <v>3930</v>
      </c>
      <c r="I3937" s="444">
        <f t="shared" ca="1" si="160"/>
        <v>-4224362154174.4009</v>
      </c>
      <c r="J3937" s="444">
        <f t="array" ref="J3937">IFERROR(INDEX('Retirement Calculator'!K:K,MATCH('Lorri 401b'!N3937,'Retirement Calculator'!A:A,0),0),0)</f>
        <v>0</v>
      </c>
      <c r="K3937" s="444">
        <f t="shared" ca="1" si="158"/>
        <v>-17601508975.726669</v>
      </c>
      <c r="L3937" s="444">
        <f t="shared" ca="1" si="159"/>
        <v>-4241963663150.1274</v>
      </c>
      <c r="M3937" s="460">
        <f t="shared" si="161"/>
        <v>0.05</v>
      </c>
      <c r="N3937" s="464">
        <f t="shared" si="162"/>
        <v>170874</v>
      </c>
    </row>
    <row r="3938" spans="7:14" ht="11.25" customHeight="1" x14ac:dyDescent="0.3">
      <c r="G3938" s="459"/>
      <c r="H3938" s="459">
        <v>3931</v>
      </c>
      <c r="I3938" s="444">
        <f t="shared" ca="1" si="160"/>
        <v>-4241963663150.1274</v>
      </c>
      <c r="J3938" s="444">
        <f t="array" ref="J3938">IFERROR(INDEX('Retirement Calculator'!K:K,MATCH('Lorri 401b'!N3938,'Retirement Calculator'!A:A,0),0),0)</f>
        <v>0</v>
      </c>
      <c r="K3938" s="444">
        <f t="shared" ca="1" si="158"/>
        <v>-17674848596.458862</v>
      </c>
      <c r="L3938" s="444">
        <f t="shared" ca="1" si="159"/>
        <v>-4259638511746.5864</v>
      </c>
      <c r="M3938" s="460">
        <f t="shared" si="161"/>
        <v>0.05</v>
      </c>
      <c r="N3938" s="464">
        <f t="shared" si="162"/>
        <v>170904</v>
      </c>
    </row>
    <row r="3939" spans="7:14" ht="11.25" customHeight="1" x14ac:dyDescent="0.3">
      <c r="G3939" s="459"/>
      <c r="H3939" s="459">
        <v>3932</v>
      </c>
      <c r="I3939" s="444">
        <f t="shared" ca="1" si="160"/>
        <v>-4259638511746.5864</v>
      </c>
      <c r="J3939" s="444">
        <f t="array" ref="J3939">IFERROR(INDEX('Retirement Calculator'!K:K,MATCH('Lorri 401b'!N3939,'Retirement Calculator'!A:A,0),0),0)</f>
        <v>0</v>
      </c>
      <c r="K3939" s="444">
        <f t="shared" ca="1" si="158"/>
        <v>-17748493798.944111</v>
      </c>
      <c r="L3939" s="444">
        <f t="shared" ca="1" si="159"/>
        <v>-4277387005545.5308</v>
      </c>
      <c r="M3939" s="460">
        <f t="shared" si="161"/>
        <v>0.05</v>
      </c>
      <c r="N3939" s="464">
        <f t="shared" si="162"/>
        <v>170935</v>
      </c>
    </row>
    <row r="3940" spans="7:14" ht="11.25" customHeight="1" x14ac:dyDescent="0.3">
      <c r="G3940" s="459"/>
      <c r="H3940" s="459">
        <v>3933</v>
      </c>
      <c r="I3940" s="444">
        <f t="shared" ca="1" si="160"/>
        <v>-4277387005545.5308</v>
      </c>
      <c r="J3940" s="444">
        <f t="array" ref="J3940">IFERROR(INDEX('Retirement Calculator'!K:K,MATCH('Lorri 401b'!N3940,'Retirement Calculator'!A:A,0),0),0)</f>
        <v>0</v>
      </c>
      <c r="K3940" s="444">
        <f t="shared" ca="1" si="158"/>
        <v>-17822445856.439713</v>
      </c>
      <c r="L3940" s="444">
        <f t="shared" ca="1" si="159"/>
        <v>-4295209451401.9707</v>
      </c>
      <c r="M3940" s="460">
        <f t="shared" si="161"/>
        <v>0.05</v>
      </c>
      <c r="N3940" s="464">
        <f t="shared" si="162"/>
        <v>170966</v>
      </c>
    </row>
    <row r="3941" spans="7:14" ht="11.25" customHeight="1" x14ac:dyDescent="0.3">
      <c r="G3941" s="459"/>
      <c r="H3941" s="459">
        <v>3934</v>
      </c>
      <c r="I3941" s="444">
        <f t="shared" ca="1" si="160"/>
        <v>-4295209451401.9707</v>
      </c>
      <c r="J3941" s="444">
        <f t="array" ref="J3941">IFERROR(INDEX('Retirement Calculator'!K:K,MATCH('Lorri 401b'!N3941,'Retirement Calculator'!A:A,0),0),0)</f>
        <v>0</v>
      </c>
      <c r="K3941" s="444">
        <f t="shared" ca="1" si="158"/>
        <v>-17896706047.508209</v>
      </c>
      <c r="L3941" s="444">
        <f t="shared" ca="1" si="159"/>
        <v>-4313106157449.479</v>
      </c>
      <c r="M3941" s="460">
        <f t="shared" si="161"/>
        <v>0.05</v>
      </c>
      <c r="N3941" s="464">
        <f t="shared" si="162"/>
        <v>170995</v>
      </c>
    </row>
    <row r="3942" spans="7:14" ht="11.25" customHeight="1" x14ac:dyDescent="0.3">
      <c r="G3942" s="459"/>
      <c r="H3942" s="459">
        <v>3935</v>
      </c>
      <c r="I3942" s="444">
        <f t="shared" ca="1" si="160"/>
        <v>-4313106157449.479</v>
      </c>
      <c r="J3942" s="444">
        <f t="array" ref="J3942">IFERROR(INDEX('Retirement Calculator'!K:K,MATCH('Lorri 401b'!N3942,'Retirement Calculator'!A:A,0),0),0)</f>
        <v>0</v>
      </c>
      <c r="K3942" s="444">
        <f t="shared" ca="1" si="158"/>
        <v>-17971275656.039497</v>
      </c>
      <c r="L3942" s="444">
        <f t="shared" ca="1" si="159"/>
        <v>-4331077433105.5186</v>
      </c>
      <c r="M3942" s="460">
        <f t="shared" si="161"/>
        <v>0.05</v>
      </c>
      <c r="N3942" s="464">
        <f t="shared" si="162"/>
        <v>171026</v>
      </c>
    </row>
    <row r="3943" spans="7:14" ht="11.25" customHeight="1" x14ac:dyDescent="0.3">
      <c r="G3943" s="459"/>
      <c r="H3943" s="459">
        <v>3936</v>
      </c>
      <c r="I3943" s="444">
        <f t="shared" ca="1" si="160"/>
        <v>-4331077433105.5186</v>
      </c>
      <c r="J3943" s="444">
        <f t="array" ref="J3943">IFERROR(INDEX('Retirement Calculator'!K:K,MATCH('Lorri 401b'!N3943,'Retirement Calculator'!A:A,0),0),0)</f>
        <v>0</v>
      </c>
      <c r="K3943" s="444">
        <f t="shared" ca="1" si="158"/>
        <v>-18046155971.272991</v>
      </c>
      <c r="L3943" s="444">
        <f t="shared" ca="1" si="159"/>
        <v>-4349123589076.7915</v>
      </c>
      <c r="M3943" s="460">
        <f t="shared" si="161"/>
        <v>0.05</v>
      </c>
      <c r="N3943" s="464">
        <f t="shared" si="162"/>
        <v>171056</v>
      </c>
    </row>
    <row r="3944" spans="7:14" ht="11.25" customHeight="1" x14ac:dyDescent="0.3">
      <c r="G3944" s="459"/>
      <c r="H3944" s="459">
        <v>3937</v>
      </c>
      <c r="I3944" s="444">
        <f t="shared" ca="1" si="160"/>
        <v>-4349123589076.7915</v>
      </c>
      <c r="J3944" s="444">
        <f t="array" ref="J3944">IFERROR(INDEX('Retirement Calculator'!K:K,MATCH('Lorri 401b'!N3944,'Retirement Calculator'!A:A,0),0),0)</f>
        <v>0</v>
      </c>
      <c r="K3944" s="444">
        <f t="shared" ca="1" si="158"/>
        <v>-18121348287.819965</v>
      </c>
      <c r="L3944" s="444">
        <f t="shared" ca="1" si="159"/>
        <v>-4367244937364.6113</v>
      </c>
      <c r="M3944" s="460">
        <f t="shared" si="161"/>
        <v>0.05</v>
      </c>
      <c r="N3944" s="464">
        <f t="shared" si="162"/>
        <v>171087</v>
      </c>
    </row>
    <row r="3945" spans="7:14" ht="11.25" customHeight="1" x14ac:dyDescent="0.3">
      <c r="G3945" s="459"/>
      <c r="H3945" s="459">
        <v>3938</v>
      </c>
      <c r="I3945" s="444">
        <f t="shared" ca="1" si="160"/>
        <v>-4367244937364.6113</v>
      </c>
      <c r="J3945" s="444">
        <f t="array" ref="J3945">IFERROR(INDEX('Retirement Calculator'!K:K,MATCH('Lorri 401b'!N3945,'Retirement Calculator'!A:A,0),0),0)</f>
        <v>0</v>
      </c>
      <c r="K3945" s="444">
        <f t="shared" ca="1" si="158"/>
        <v>-18196853905.685879</v>
      </c>
      <c r="L3945" s="444">
        <f t="shared" ca="1" si="159"/>
        <v>-4385441791270.2974</v>
      </c>
      <c r="M3945" s="460">
        <f t="shared" si="161"/>
        <v>0.05</v>
      </c>
      <c r="N3945" s="464">
        <f t="shared" si="162"/>
        <v>171117</v>
      </c>
    </row>
    <row r="3946" spans="7:14" ht="11.25" customHeight="1" x14ac:dyDescent="0.3">
      <c r="G3946" s="459"/>
      <c r="H3946" s="459">
        <v>3939</v>
      </c>
      <c r="I3946" s="444">
        <f t="shared" ca="1" si="160"/>
        <v>-4385441791270.2974</v>
      </c>
      <c r="J3946" s="444">
        <f t="array" ref="J3946">IFERROR(INDEX('Retirement Calculator'!K:K,MATCH('Lorri 401b'!N3946,'Retirement Calculator'!A:A,0),0),0)</f>
        <v>0</v>
      </c>
      <c r="K3946" s="444">
        <f t="shared" ca="1" si="158"/>
        <v>-18272674130.292904</v>
      </c>
      <c r="L3946" s="444">
        <f t="shared" ca="1" si="159"/>
        <v>-4403714465400.5898</v>
      </c>
      <c r="M3946" s="460">
        <f t="shared" si="161"/>
        <v>0.05</v>
      </c>
      <c r="N3946" s="464">
        <f t="shared" si="162"/>
        <v>171148</v>
      </c>
    </row>
    <row r="3947" spans="7:14" ht="11.25" customHeight="1" x14ac:dyDescent="0.3">
      <c r="G3947" s="459"/>
      <c r="H3947" s="459">
        <v>3940</v>
      </c>
      <c r="I3947" s="444">
        <f t="shared" ca="1" si="160"/>
        <v>-4403714465400.5898</v>
      </c>
      <c r="J3947" s="444">
        <f t="array" ref="J3947">IFERROR(INDEX('Retirement Calculator'!K:K,MATCH('Lorri 401b'!N3947,'Retirement Calculator'!A:A,0),0),0)</f>
        <v>0</v>
      </c>
      <c r="K3947" s="444">
        <f t="shared" ca="1" si="158"/>
        <v>-18348810272.502457</v>
      </c>
      <c r="L3947" s="444">
        <f t="shared" ca="1" si="159"/>
        <v>-4422063275673.0928</v>
      </c>
      <c r="M3947" s="460">
        <f t="shared" si="161"/>
        <v>0.05</v>
      </c>
      <c r="N3947" s="464">
        <f t="shared" si="162"/>
        <v>171179</v>
      </c>
    </row>
    <row r="3948" spans="7:14" ht="11.25" customHeight="1" x14ac:dyDescent="0.3">
      <c r="G3948" s="459"/>
      <c r="H3948" s="459">
        <v>3941</v>
      </c>
      <c r="I3948" s="444">
        <f t="shared" ca="1" si="160"/>
        <v>-4422063275673.0928</v>
      </c>
      <c r="J3948" s="444">
        <f t="array" ref="J3948">IFERROR(INDEX('Retirement Calculator'!K:K,MATCH('Lorri 401b'!N3948,'Retirement Calculator'!A:A,0),0),0)</f>
        <v>0</v>
      </c>
      <c r="K3948" s="444">
        <f t="shared" ca="1" si="158"/>
        <v>-18425263648.637886</v>
      </c>
      <c r="L3948" s="444">
        <f t="shared" ca="1" si="159"/>
        <v>-4440488539321.7305</v>
      </c>
      <c r="M3948" s="460">
        <f t="shared" si="161"/>
        <v>0.05</v>
      </c>
      <c r="N3948" s="464">
        <f t="shared" si="162"/>
        <v>171209</v>
      </c>
    </row>
    <row r="3949" spans="7:14" ht="11.25" customHeight="1" x14ac:dyDescent="0.3">
      <c r="G3949" s="459"/>
      <c r="H3949" s="459">
        <v>3942</v>
      </c>
      <c r="I3949" s="444">
        <f t="shared" ca="1" si="160"/>
        <v>-4440488539321.7305</v>
      </c>
      <c r="J3949" s="444">
        <f t="array" ref="J3949">IFERROR(INDEX('Retirement Calculator'!K:K,MATCH('Lorri 401b'!N3949,'Retirement Calculator'!A:A,0),0),0)</f>
        <v>0</v>
      </c>
      <c r="K3949" s="444">
        <f t="shared" ca="1" si="158"/>
        <v>-18502035580.50721</v>
      </c>
      <c r="L3949" s="444">
        <f t="shared" ca="1" si="159"/>
        <v>-4458990574902.2373</v>
      </c>
      <c r="M3949" s="460">
        <f t="shared" si="161"/>
        <v>0.05</v>
      </c>
      <c r="N3949" s="464">
        <f t="shared" si="162"/>
        <v>171240</v>
      </c>
    </row>
    <row r="3950" spans="7:14" ht="11.25" customHeight="1" x14ac:dyDescent="0.3">
      <c r="G3950" s="459"/>
      <c r="H3950" s="459">
        <v>3943</v>
      </c>
      <c r="I3950" s="444">
        <f t="shared" ca="1" si="160"/>
        <v>-4458990574902.2373</v>
      </c>
      <c r="J3950" s="444">
        <f t="array" ref="J3950">IFERROR(INDEX('Retirement Calculator'!K:K,MATCH('Lorri 401b'!N3950,'Retirement Calculator'!A:A,0),0),0)</f>
        <v>0</v>
      </c>
      <c r="K3950" s="444">
        <f t="shared" ca="1" si="158"/>
        <v>-18579127395.425987</v>
      </c>
      <c r="L3950" s="444">
        <f t="shared" ca="1" si="159"/>
        <v>-4477569702297.6631</v>
      </c>
      <c r="M3950" s="460">
        <f t="shared" si="161"/>
        <v>0.05</v>
      </c>
      <c r="N3950" s="464">
        <f t="shared" si="162"/>
        <v>171270</v>
      </c>
    </row>
    <row r="3951" spans="7:14" ht="11.25" customHeight="1" x14ac:dyDescent="0.3">
      <c r="G3951" s="459"/>
      <c r="H3951" s="459">
        <v>3944</v>
      </c>
      <c r="I3951" s="444">
        <f t="shared" ca="1" si="160"/>
        <v>-4477569702297.6631</v>
      </c>
      <c r="J3951" s="444">
        <f t="array" ref="J3951">IFERROR(INDEX('Retirement Calculator'!K:K,MATCH('Lorri 401b'!N3951,'Retirement Calculator'!A:A,0),0),0)</f>
        <v>0</v>
      </c>
      <c r="K3951" s="444">
        <f t="shared" ca="1" si="158"/>
        <v>-18656540426.240261</v>
      </c>
      <c r="L3951" s="444">
        <f t="shared" ca="1" si="159"/>
        <v>-4496226242723.9033</v>
      </c>
      <c r="M3951" s="460">
        <f t="shared" si="161"/>
        <v>0.05</v>
      </c>
      <c r="N3951" s="464">
        <f t="shared" si="162"/>
        <v>171301</v>
      </c>
    </row>
    <row r="3952" spans="7:14" ht="11.25" customHeight="1" x14ac:dyDescent="0.3">
      <c r="G3952" s="459"/>
      <c r="H3952" s="459">
        <v>3945</v>
      </c>
      <c r="I3952" s="444">
        <f t="shared" ca="1" si="160"/>
        <v>-4496226242723.9033</v>
      </c>
      <c r="J3952" s="444">
        <f t="array" ref="J3952">IFERROR(INDEX('Retirement Calculator'!K:K,MATCH('Lorri 401b'!N3952,'Retirement Calculator'!A:A,0),0),0)</f>
        <v>0</v>
      </c>
      <c r="K3952" s="444">
        <f t="shared" ca="1" si="158"/>
        <v>-18734276011.349598</v>
      </c>
      <c r="L3952" s="444">
        <f t="shared" ca="1" si="159"/>
        <v>-4514960518735.2529</v>
      </c>
      <c r="M3952" s="460">
        <f t="shared" si="161"/>
        <v>0.05</v>
      </c>
      <c r="N3952" s="464">
        <f t="shared" si="162"/>
        <v>171332</v>
      </c>
    </row>
    <row r="3953" spans="7:14" ht="11.25" customHeight="1" x14ac:dyDescent="0.3">
      <c r="G3953" s="459"/>
      <c r="H3953" s="459">
        <v>3946</v>
      </c>
      <c r="I3953" s="444">
        <f t="shared" ca="1" si="160"/>
        <v>-4514960518735.2529</v>
      </c>
      <c r="J3953" s="444">
        <f t="array" ref="J3953">IFERROR(INDEX('Retirement Calculator'!K:K,MATCH('Lorri 401b'!N3953,'Retirement Calculator'!A:A,0),0),0)</f>
        <v>0</v>
      </c>
      <c r="K3953" s="444">
        <f t="shared" ca="1" si="158"/>
        <v>-18812335494.730221</v>
      </c>
      <c r="L3953" s="444">
        <f t="shared" ca="1" si="159"/>
        <v>-4533772854229.9834</v>
      </c>
      <c r="M3953" s="460">
        <f t="shared" si="161"/>
        <v>0.05</v>
      </c>
      <c r="N3953" s="464">
        <f t="shared" si="162"/>
        <v>171360</v>
      </c>
    </row>
    <row r="3954" spans="7:14" ht="11.25" customHeight="1" x14ac:dyDescent="0.3">
      <c r="G3954" s="459"/>
      <c r="H3954" s="459">
        <v>3947</v>
      </c>
      <c r="I3954" s="444">
        <f t="shared" ca="1" si="160"/>
        <v>-4533772854229.9834</v>
      </c>
      <c r="J3954" s="444">
        <f t="array" ref="J3954">IFERROR(INDEX('Retirement Calculator'!K:K,MATCH('Lorri 401b'!N3954,'Retirement Calculator'!A:A,0),0),0)</f>
        <v>0</v>
      </c>
      <c r="K3954" s="444">
        <f t="shared" ca="1" si="158"/>
        <v>-18890720225.958263</v>
      </c>
      <c r="L3954" s="444">
        <f t="shared" ca="1" si="159"/>
        <v>-4552663574455.9414</v>
      </c>
      <c r="M3954" s="460">
        <f t="shared" si="161"/>
        <v>0.05</v>
      </c>
      <c r="N3954" s="464">
        <f t="shared" si="162"/>
        <v>171391</v>
      </c>
    </row>
    <row r="3955" spans="7:14" ht="11.25" customHeight="1" x14ac:dyDescent="0.3">
      <c r="G3955" s="459"/>
      <c r="H3955" s="459">
        <v>3948</v>
      </c>
      <c r="I3955" s="444">
        <f t="shared" ca="1" si="160"/>
        <v>-4552663574455.9414</v>
      </c>
      <c r="J3955" s="444">
        <f t="array" ref="J3955">IFERROR(INDEX('Retirement Calculator'!K:K,MATCH('Lorri 401b'!N3955,'Retirement Calculator'!A:A,0),0),0)</f>
        <v>0</v>
      </c>
      <c r="K3955" s="444">
        <f t="shared" ca="1" si="158"/>
        <v>-18969431560.233089</v>
      </c>
      <c r="L3955" s="444">
        <f t="shared" ca="1" si="159"/>
        <v>-4571633006016.1748</v>
      </c>
      <c r="M3955" s="460">
        <f t="shared" si="161"/>
        <v>0.05</v>
      </c>
      <c r="N3955" s="464">
        <f t="shared" si="162"/>
        <v>171421</v>
      </c>
    </row>
    <row r="3956" spans="7:14" ht="11.25" customHeight="1" x14ac:dyDescent="0.3">
      <c r="G3956" s="459"/>
      <c r="H3956" s="459">
        <v>3949</v>
      </c>
      <c r="I3956" s="444">
        <f t="shared" ca="1" si="160"/>
        <v>-4571633006016.1748</v>
      </c>
      <c r="J3956" s="444">
        <f t="array" ref="J3956">IFERROR(INDEX('Retirement Calculator'!K:K,MATCH('Lorri 401b'!N3956,'Retirement Calculator'!A:A,0),0),0)</f>
        <v>0</v>
      </c>
      <c r="K3956" s="444">
        <f t="shared" ca="1" si="158"/>
        <v>-19048470858.400726</v>
      </c>
      <c r="L3956" s="444">
        <f t="shared" ca="1" si="159"/>
        <v>-4590681476874.5752</v>
      </c>
      <c r="M3956" s="460">
        <f t="shared" si="161"/>
        <v>0.05</v>
      </c>
      <c r="N3956" s="464">
        <f t="shared" si="162"/>
        <v>171452</v>
      </c>
    </row>
    <row r="3957" spans="7:14" ht="11.25" customHeight="1" x14ac:dyDescent="0.3">
      <c r="G3957" s="459"/>
      <c r="H3957" s="459">
        <v>3950</v>
      </c>
      <c r="I3957" s="444">
        <f t="shared" ca="1" si="160"/>
        <v>-4590681476874.5752</v>
      </c>
      <c r="J3957" s="444">
        <f t="array" ref="J3957">IFERROR(INDEX('Retirement Calculator'!K:K,MATCH('Lorri 401b'!N3957,'Retirement Calculator'!A:A,0),0),0)</f>
        <v>0</v>
      </c>
      <c r="K3957" s="444">
        <f t="shared" ca="1" si="158"/>
        <v>-19127839486.977398</v>
      </c>
      <c r="L3957" s="444">
        <f t="shared" ca="1" si="159"/>
        <v>-4609809316361.5527</v>
      </c>
      <c r="M3957" s="460">
        <f t="shared" si="161"/>
        <v>0.05</v>
      </c>
      <c r="N3957" s="464">
        <f t="shared" si="162"/>
        <v>171482</v>
      </c>
    </row>
    <row r="3958" spans="7:14" ht="11.25" customHeight="1" x14ac:dyDescent="0.3">
      <c r="G3958" s="459"/>
      <c r="H3958" s="459">
        <v>3951</v>
      </c>
      <c r="I3958" s="444">
        <f t="shared" ca="1" si="160"/>
        <v>-4609809316361.5527</v>
      </c>
      <c r="J3958" s="444">
        <f t="array" ref="J3958">IFERROR(INDEX('Retirement Calculator'!K:K,MATCH('Lorri 401b'!N3958,'Retirement Calculator'!A:A,0),0),0)</f>
        <v>0</v>
      </c>
      <c r="K3958" s="444">
        <f t="shared" ca="1" si="158"/>
        <v>-19207538818.173138</v>
      </c>
      <c r="L3958" s="444">
        <f t="shared" ca="1" si="159"/>
        <v>-4629016855179.7256</v>
      </c>
      <c r="M3958" s="460">
        <f t="shared" si="161"/>
        <v>0.05</v>
      </c>
      <c r="N3958" s="464">
        <f t="shared" si="162"/>
        <v>171513</v>
      </c>
    </row>
    <row r="3959" spans="7:14" ht="11.25" customHeight="1" x14ac:dyDescent="0.3">
      <c r="G3959" s="459"/>
      <c r="H3959" s="459">
        <v>3952</v>
      </c>
      <c r="I3959" s="444">
        <f t="shared" ca="1" si="160"/>
        <v>-4629016855179.7256</v>
      </c>
      <c r="J3959" s="444">
        <f t="array" ref="J3959">IFERROR(INDEX('Retirement Calculator'!K:K,MATCH('Lorri 401b'!N3959,'Retirement Calculator'!A:A,0),0),0)</f>
        <v>0</v>
      </c>
      <c r="K3959" s="444">
        <f t="shared" ca="1" si="158"/>
        <v>-19287570229.915524</v>
      </c>
      <c r="L3959" s="444">
        <f t="shared" ca="1" si="159"/>
        <v>-4648304425409.6406</v>
      </c>
      <c r="M3959" s="460">
        <f t="shared" si="161"/>
        <v>0.05</v>
      </c>
      <c r="N3959" s="464">
        <f t="shared" si="162"/>
        <v>171544</v>
      </c>
    </row>
    <row r="3960" spans="7:14" ht="11.25" customHeight="1" x14ac:dyDescent="0.3">
      <c r="G3960" s="459"/>
      <c r="H3960" s="459">
        <v>3953</v>
      </c>
      <c r="I3960" s="444">
        <f t="shared" ca="1" si="160"/>
        <v>-4648304425409.6406</v>
      </c>
      <c r="J3960" s="444">
        <f t="array" ref="J3960">IFERROR(INDEX('Retirement Calculator'!K:K,MATCH('Lorri 401b'!N3960,'Retirement Calculator'!A:A,0),0),0)</f>
        <v>0</v>
      </c>
      <c r="K3960" s="444">
        <f t="shared" ca="1" si="158"/>
        <v>-19367935105.873501</v>
      </c>
      <c r="L3960" s="444">
        <f t="shared" ca="1" si="159"/>
        <v>-4667672360515.5137</v>
      </c>
      <c r="M3960" s="460">
        <f t="shared" si="161"/>
        <v>0.05</v>
      </c>
      <c r="N3960" s="464">
        <f t="shared" si="162"/>
        <v>171574</v>
      </c>
    </row>
    <row r="3961" spans="7:14" ht="11.25" customHeight="1" x14ac:dyDescent="0.3">
      <c r="G3961" s="459"/>
      <c r="H3961" s="459">
        <v>3954</v>
      </c>
      <c r="I3961" s="444">
        <f t="shared" ca="1" si="160"/>
        <v>-4667672360515.5137</v>
      </c>
      <c r="J3961" s="444">
        <f t="array" ref="J3961">IFERROR(INDEX('Retirement Calculator'!K:K,MATCH('Lorri 401b'!N3961,'Retirement Calculator'!A:A,0),0),0)</f>
        <v>0</v>
      </c>
      <c r="K3961" s="444">
        <f t="shared" ca="1" si="158"/>
        <v>-19448634835.481308</v>
      </c>
      <c r="L3961" s="444">
        <f t="shared" ca="1" si="159"/>
        <v>-4687120995350.9951</v>
      </c>
      <c r="M3961" s="460">
        <f t="shared" si="161"/>
        <v>0.05</v>
      </c>
      <c r="N3961" s="464">
        <f t="shared" si="162"/>
        <v>171605</v>
      </c>
    </row>
    <row r="3962" spans="7:14" ht="11.25" customHeight="1" x14ac:dyDescent="0.3">
      <c r="G3962" s="459"/>
      <c r="H3962" s="459">
        <v>3955</v>
      </c>
      <c r="I3962" s="444">
        <f t="shared" ca="1" si="160"/>
        <v>-4687120995350.9951</v>
      </c>
      <c r="J3962" s="444">
        <f t="array" ref="J3962">IFERROR(INDEX('Retirement Calculator'!K:K,MATCH('Lorri 401b'!N3962,'Retirement Calculator'!A:A,0),0),0)</f>
        <v>0</v>
      </c>
      <c r="K3962" s="444">
        <f t="shared" ca="1" si="158"/>
        <v>-19529670813.962479</v>
      </c>
      <c r="L3962" s="444">
        <f t="shared" ca="1" si="159"/>
        <v>-4706650666164.958</v>
      </c>
      <c r="M3962" s="460">
        <f t="shared" si="161"/>
        <v>0.05</v>
      </c>
      <c r="N3962" s="464">
        <f t="shared" si="162"/>
        <v>171635</v>
      </c>
    </row>
    <row r="3963" spans="7:14" ht="11.25" customHeight="1" x14ac:dyDescent="0.3">
      <c r="G3963" s="459"/>
      <c r="H3963" s="459">
        <v>3956</v>
      </c>
      <c r="I3963" s="444">
        <f t="shared" ca="1" si="160"/>
        <v>-4706650666164.958</v>
      </c>
      <c r="J3963" s="444">
        <f t="array" ref="J3963">IFERROR(INDEX('Retirement Calculator'!K:K,MATCH('Lorri 401b'!N3963,'Retirement Calculator'!A:A,0),0),0)</f>
        <v>0</v>
      </c>
      <c r="K3963" s="444">
        <f t="shared" ca="1" si="158"/>
        <v>-19611044442.353992</v>
      </c>
      <c r="L3963" s="444">
        <f t="shared" ca="1" si="159"/>
        <v>-4726261710607.3115</v>
      </c>
      <c r="M3963" s="460">
        <f t="shared" si="161"/>
        <v>0.05</v>
      </c>
      <c r="N3963" s="464">
        <f t="shared" si="162"/>
        <v>171666</v>
      </c>
    </row>
    <row r="3964" spans="7:14" ht="11.25" customHeight="1" x14ac:dyDescent="0.3">
      <c r="G3964" s="459"/>
      <c r="H3964" s="459">
        <v>3957</v>
      </c>
      <c r="I3964" s="444">
        <f t="shared" ca="1" si="160"/>
        <v>-4726261710607.3115</v>
      </c>
      <c r="J3964" s="444">
        <f t="array" ref="J3964">IFERROR(INDEX('Retirement Calculator'!K:K,MATCH('Lorri 401b'!N3964,'Retirement Calculator'!A:A,0),0),0)</f>
        <v>0</v>
      </c>
      <c r="K3964" s="444">
        <f t="shared" ca="1" si="158"/>
        <v>-19692757127.530464</v>
      </c>
      <c r="L3964" s="444">
        <f t="shared" ca="1" si="159"/>
        <v>-4745954467734.8418</v>
      </c>
      <c r="M3964" s="460">
        <f t="shared" si="161"/>
        <v>0.05</v>
      </c>
      <c r="N3964" s="464">
        <f t="shared" si="162"/>
        <v>171697</v>
      </c>
    </row>
    <row r="3965" spans="7:14" ht="11.25" customHeight="1" x14ac:dyDescent="0.3">
      <c r="G3965" s="459"/>
      <c r="H3965" s="459">
        <v>3958</v>
      </c>
      <c r="I3965" s="444">
        <f t="shared" ca="1" si="160"/>
        <v>-4745954467734.8418</v>
      </c>
      <c r="J3965" s="444">
        <f t="array" ref="J3965">IFERROR(INDEX('Retirement Calculator'!K:K,MATCH('Lorri 401b'!N3965,'Retirement Calculator'!A:A,0),0),0)</f>
        <v>0</v>
      </c>
      <c r="K3965" s="444">
        <f t="shared" ca="1" si="158"/>
        <v>-19774810282.228508</v>
      </c>
      <c r="L3965" s="444">
        <f t="shared" ca="1" si="159"/>
        <v>-4765729278017.0703</v>
      </c>
      <c r="M3965" s="460">
        <f t="shared" si="161"/>
        <v>0.05</v>
      </c>
      <c r="N3965" s="464">
        <f t="shared" si="162"/>
        <v>171725</v>
      </c>
    </row>
    <row r="3966" spans="7:14" ht="11.25" customHeight="1" x14ac:dyDescent="0.3">
      <c r="G3966" s="459"/>
      <c r="H3966" s="459">
        <v>3959</v>
      </c>
      <c r="I3966" s="444">
        <f t="shared" ca="1" si="160"/>
        <v>-4765729278017.0703</v>
      </c>
      <c r="J3966" s="444">
        <f t="array" ref="J3966">IFERROR(INDEX('Retirement Calculator'!K:K,MATCH('Lorri 401b'!N3966,'Retirement Calculator'!A:A,0),0),0)</f>
        <v>0</v>
      </c>
      <c r="K3966" s="444">
        <f t="shared" ca="1" si="158"/>
        <v>-19857205325.071125</v>
      </c>
      <c r="L3966" s="444">
        <f t="shared" ca="1" si="159"/>
        <v>-4785586483342.1416</v>
      </c>
      <c r="M3966" s="460">
        <f t="shared" si="161"/>
        <v>0.05</v>
      </c>
      <c r="N3966" s="464">
        <f t="shared" si="162"/>
        <v>171756</v>
      </c>
    </row>
    <row r="3967" spans="7:14" ht="11.25" customHeight="1" x14ac:dyDescent="0.3">
      <c r="G3967" s="459"/>
      <c r="H3967" s="459">
        <v>3960</v>
      </c>
      <c r="I3967" s="444">
        <f t="shared" ca="1" si="160"/>
        <v>-4785586483342.1416</v>
      </c>
      <c r="J3967" s="444">
        <f t="array" ref="J3967">IFERROR(INDEX('Retirement Calculator'!K:K,MATCH('Lorri 401b'!N3967,'Retirement Calculator'!A:A,0),0),0)</f>
        <v>0</v>
      </c>
      <c r="K3967" s="444">
        <f t="shared" ca="1" si="158"/>
        <v>-19939943680.592255</v>
      </c>
      <c r="L3967" s="444">
        <f t="shared" ca="1" si="159"/>
        <v>-4805526427022.7334</v>
      </c>
      <c r="M3967" s="460">
        <f t="shared" si="161"/>
        <v>0.05</v>
      </c>
      <c r="N3967" s="464">
        <f t="shared" si="162"/>
        <v>171786</v>
      </c>
    </row>
    <row r="3968" spans="7:14" ht="11.25" customHeight="1" x14ac:dyDescent="0.3">
      <c r="G3968" s="459"/>
      <c r="H3968" s="459">
        <v>3961</v>
      </c>
      <c r="I3968" s="444">
        <f t="shared" ca="1" si="160"/>
        <v>-4805526427022.7334</v>
      </c>
      <c r="J3968" s="444">
        <f t="array" ref="J3968">IFERROR(INDEX('Retirement Calculator'!K:K,MATCH('Lorri 401b'!N3968,'Retirement Calculator'!A:A,0),0),0)</f>
        <v>0</v>
      </c>
      <c r="K3968" s="444">
        <f t="shared" ca="1" si="158"/>
        <v>-20023026779.261391</v>
      </c>
      <c r="L3968" s="444">
        <f t="shared" ca="1" si="159"/>
        <v>-4825549453801.9951</v>
      </c>
      <c r="M3968" s="460">
        <f t="shared" si="161"/>
        <v>0.05</v>
      </c>
      <c r="N3968" s="464">
        <f t="shared" si="162"/>
        <v>171817</v>
      </c>
    </row>
    <row r="3969" spans="7:14" ht="11.25" customHeight="1" x14ac:dyDescent="0.3">
      <c r="G3969" s="459"/>
      <c r="H3969" s="459">
        <v>3962</v>
      </c>
      <c r="I3969" s="444">
        <f t="shared" ca="1" si="160"/>
        <v>-4825549453801.9951</v>
      </c>
      <c r="J3969" s="444">
        <f t="array" ref="J3969">IFERROR(INDEX('Retirement Calculator'!K:K,MATCH('Lorri 401b'!N3969,'Retirement Calculator'!A:A,0),0),0)</f>
        <v>0</v>
      </c>
      <c r="K3969" s="444">
        <f t="shared" ca="1" si="158"/>
        <v>-20106456057.508312</v>
      </c>
      <c r="L3969" s="444">
        <f t="shared" ca="1" si="159"/>
        <v>-4845655909859.5039</v>
      </c>
      <c r="M3969" s="460">
        <f t="shared" si="161"/>
        <v>0.05</v>
      </c>
      <c r="N3969" s="464">
        <f t="shared" si="162"/>
        <v>171847</v>
      </c>
    </row>
    <row r="3970" spans="7:14" ht="11.25" customHeight="1" x14ac:dyDescent="0.3">
      <c r="G3970" s="459"/>
      <c r="H3970" s="459">
        <v>3963</v>
      </c>
      <c r="I3970" s="444">
        <f t="shared" ca="1" si="160"/>
        <v>-4845655909859.5039</v>
      </c>
      <c r="J3970" s="444">
        <f t="array" ref="J3970">IFERROR(INDEX('Retirement Calculator'!K:K,MATCH('Lorri 401b'!N3970,'Retirement Calculator'!A:A,0),0),0)</f>
        <v>0</v>
      </c>
      <c r="K3970" s="444">
        <f t="shared" ca="1" si="158"/>
        <v>-20190232957.747932</v>
      </c>
      <c r="L3970" s="444">
        <f t="shared" ca="1" si="159"/>
        <v>-4865846142817.252</v>
      </c>
      <c r="M3970" s="460">
        <f t="shared" si="161"/>
        <v>0.05</v>
      </c>
      <c r="N3970" s="464">
        <f t="shared" si="162"/>
        <v>171878</v>
      </c>
    </row>
    <row r="3971" spans="7:14" ht="11.25" customHeight="1" x14ac:dyDescent="0.3">
      <c r="G3971" s="459"/>
      <c r="H3971" s="459">
        <v>3964</v>
      </c>
      <c r="I3971" s="444">
        <f t="shared" ca="1" si="160"/>
        <v>-4865846142817.252</v>
      </c>
      <c r="J3971" s="444">
        <f t="array" ref="J3971">IFERROR(INDEX('Retirement Calculator'!K:K,MATCH('Lorri 401b'!N3971,'Retirement Calculator'!A:A,0),0),0)</f>
        <v>0</v>
      </c>
      <c r="K3971" s="444">
        <f t="shared" ca="1" si="158"/>
        <v>-20274358928.405216</v>
      </c>
      <c r="L3971" s="444">
        <f t="shared" ca="1" si="159"/>
        <v>-4886120501745.6572</v>
      </c>
      <c r="M3971" s="460">
        <f t="shared" si="161"/>
        <v>0.05</v>
      </c>
      <c r="N3971" s="464">
        <f t="shared" si="162"/>
        <v>171909</v>
      </c>
    </row>
    <row r="3972" spans="7:14" ht="11.25" customHeight="1" x14ac:dyDescent="0.3">
      <c r="G3972" s="459"/>
      <c r="H3972" s="459">
        <v>3965</v>
      </c>
      <c r="I3972" s="444">
        <f t="shared" ca="1" si="160"/>
        <v>-4886120501745.6572</v>
      </c>
      <c r="J3972" s="444">
        <f t="array" ref="J3972">IFERROR(INDEX('Retirement Calculator'!K:K,MATCH('Lorri 401b'!N3972,'Retirement Calculator'!A:A,0),0),0)</f>
        <v>0</v>
      </c>
      <c r="K3972" s="444">
        <f t="shared" ca="1" si="158"/>
        <v>-20358835423.940239</v>
      </c>
      <c r="L3972" s="444">
        <f t="shared" ca="1" si="159"/>
        <v>-4906479337169.5977</v>
      </c>
      <c r="M3972" s="460">
        <f t="shared" si="161"/>
        <v>0.05</v>
      </c>
      <c r="N3972" s="464">
        <f t="shared" si="162"/>
        <v>171939</v>
      </c>
    </row>
    <row r="3973" spans="7:14" ht="11.25" customHeight="1" x14ac:dyDescent="0.3">
      <c r="G3973" s="459"/>
      <c r="H3973" s="459">
        <v>3966</v>
      </c>
      <c r="I3973" s="444">
        <f t="shared" ca="1" si="160"/>
        <v>-4906479337169.5977</v>
      </c>
      <c r="J3973" s="444">
        <f t="array" ref="J3973">IFERROR(INDEX('Retirement Calculator'!K:K,MATCH('Lorri 401b'!N3973,'Retirement Calculator'!A:A,0),0),0)</f>
        <v>0</v>
      </c>
      <c r="K3973" s="444">
        <f t="shared" ca="1" si="158"/>
        <v>-20443663904.873322</v>
      </c>
      <c r="L3973" s="444">
        <f t="shared" ca="1" si="159"/>
        <v>-4926923001074.4707</v>
      </c>
      <c r="M3973" s="460">
        <f t="shared" si="161"/>
        <v>0.05</v>
      </c>
      <c r="N3973" s="464">
        <f t="shared" si="162"/>
        <v>171970</v>
      </c>
    </row>
    <row r="3974" spans="7:14" ht="11.25" customHeight="1" x14ac:dyDescent="0.3">
      <c r="G3974" s="459"/>
      <c r="H3974" s="459">
        <v>3967</v>
      </c>
      <c r="I3974" s="444">
        <f t="shared" ca="1" si="160"/>
        <v>-4926923001074.4707</v>
      </c>
      <c r="J3974" s="444">
        <f t="array" ref="J3974">IFERROR(INDEX('Retirement Calculator'!K:K,MATCH('Lorri 401b'!N3974,'Retirement Calculator'!A:A,0),0),0)</f>
        <v>0</v>
      </c>
      <c r="K3974" s="444">
        <f t="shared" ca="1" si="158"/>
        <v>-20528845837.810295</v>
      </c>
      <c r="L3974" s="444">
        <f t="shared" ca="1" si="159"/>
        <v>-4947451846912.2813</v>
      </c>
      <c r="M3974" s="460">
        <f t="shared" si="161"/>
        <v>0.05</v>
      </c>
      <c r="N3974" s="464">
        <f t="shared" si="162"/>
        <v>172000</v>
      </c>
    </row>
    <row r="3975" spans="7:14" ht="11.25" customHeight="1" x14ac:dyDescent="0.3">
      <c r="G3975" s="459"/>
      <c r="H3975" s="459">
        <v>3968</v>
      </c>
      <c r="I3975" s="444">
        <f t="shared" ca="1" si="160"/>
        <v>-4947451846912.2813</v>
      </c>
      <c r="J3975" s="444">
        <f t="array" ref="J3975">IFERROR(INDEX('Retirement Calculator'!K:K,MATCH('Lorri 401b'!N3975,'Retirement Calculator'!A:A,0),0),0)</f>
        <v>0</v>
      </c>
      <c r="K3975" s="444">
        <f t="shared" ca="1" si="158"/>
        <v>-20614382695.467838</v>
      </c>
      <c r="L3975" s="444">
        <f t="shared" ca="1" si="159"/>
        <v>-4968066229607.749</v>
      </c>
      <c r="M3975" s="460">
        <f t="shared" si="161"/>
        <v>0.05</v>
      </c>
      <c r="N3975" s="464">
        <f t="shared" si="162"/>
        <v>172031</v>
      </c>
    </row>
    <row r="3976" spans="7:14" ht="11.25" customHeight="1" x14ac:dyDescent="0.3">
      <c r="G3976" s="459"/>
      <c r="H3976" s="459">
        <v>3969</v>
      </c>
      <c r="I3976" s="444">
        <f t="shared" ca="1" si="160"/>
        <v>-4968066229607.749</v>
      </c>
      <c r="J3976" s="444">
        <f t="array" ref="J3976">IFERROR(INDEX('Retirement Calculator'!K:K,MATCH('Lorri 401b'!N3976,'Retirement Calculator'!A:A,0),0),0)</f>
        <v>0</v>
      </c>
      <c r="K3976" s="444">
        <f t="shared" ca="1" si="158"/>
        <v>-20700275956.698956</v>
      </c>
      <c r="L3976" s="444">
        <f t="shared" ca="1" si="159"/>
        <v>-4988766505564.4482</v>
      </c>
      <c r="M3976" s="460">
        <f t="shared" si="161"/>
        <v>0.05</v>
      </c>
      <c r="N3976" s="464">
        <f t="shared" si="162"/>
        <v>172062</v>
      </c>
    </row>
    <row r="3977" spans="7:14" ht="11.25" customHeight="1" x14ac:dyDescent="0.3">
      <c r="G3977" s="459"/>
      <c r="H3977" s="459">
        <v>3970</v>
      </c>
      <c r="I3977" s="444">
        <f t="shared" ca="1" si="160"/>
        <v>-4988766505564.4482</v>
      </c>
      <c r="J3977" s="444">
        <f t="array" ref="J3977">IFERROR(INDEX('Retirement Calculator'!K:K,MATCH('Lorri 401b'!N3977,'Retirement Calculator'!A:A,0),0),0)</f>
        <v>0</v>
      </c>
      <c r="K3977" s="444">
        <f t="shared" ca="1" si="158"/>
        <v>-20786527106.518536</v>
      </c>
      <c r="L3977" s="444">
        <f t="shared" ca="1" si="159"/>
        <v>-5009553032670.9668</v>
      </c>
      <c r="M3977" s="460">
        <f t="shared" si="161"/>
        <v>0.05</v>
      </c>
      <c r="N3977" s="464">
        <f t="shared" si="162"/>
        <v>172090</v>
      </c>
    </row>
    <row r="3978" spans="7:14" ht="11.25" customHeight="1" x14ac:dyDescent="0.3">
      <c r="G3978" s="459"/>
      <c r="H3978" s="459">
        <v>3971</v>
      </c>
      <c r="I3978" s="444">
        <f t="shared" ca="1" si="160"/>
        <v>-5009553032670.9668</v>
      </c>
      <c r="J3978" s="444">
        <f t="array" ref="J3978">IFERROR(INDEX('Retirement Calculator'!K:K,MATCH('Lorri 401b'!N3978,'Retirement Calculator'!A:A,0),0),0)</f>
        <v>0</v>
      </c>
      <c r="K3978" s="444">
        <f t="shared" ca="1" si="158"/>
        <v>-20873137636.129028</v>
      </c>
      <c r="L3978" s="444">
        <f t="shared" ca="1" si="159"/>
        <v>-5030426170307.0957</v>
      </c>
      <c r="M3978" s="460">
        <f t="shared" si="161"/>
        <v>0.05</v>
      </c>
      <c r="N3978" s="464">
        <f t="shared" si="162"/>
        <v>172121</v>
      </c>
    </row>
    <row r="3979" spans="7:14" ht="11.25" customHeight="1" x14ac:dyDescent="0.3">
      <c r="G3979" s="459"/>
      <c r="H3979" s="459">
        <v>3972</v>
      </c>
      <c r="I3979" s="444">
        <f t="shared" ca="1" si="160"/>
        <v>-5030426170307.0957</v>
      </c>
      <c r="J3979" s="444">
        <f t="array" ref="J3979">IFERROR(INDEX('Retirement Calculator'!K:K,MATCH('Lorri 401b'!N3979,'Retirement Calculator'!A:A,0),0),0)</f>
        <v>0</v>
      </c>
      <c r="K3979" s="444">
        <f t="shared" ca="1" si="158"/>
        <v>-20960109042.946232</v>
      </c>
      <c r="L3979" s="444">
        <f t="shared" ca="1" si="159"/>
        <v>-5051386279350.042</v>
      </c>
      <c r="M3979" s="460">
        <f t="shared" si="161"/>
        <v>0.05</v>
      </c>
      <c r="N3979" s="464">
        <f t="shared" si="162"/>
        <v>172151</v>
      </c>
    </row>
    <row r="3980" spans="7:14" ht="11.25" customHeight="1" x14ac:dyDescent="0.3">
      <c r="G3980" s="459"/>
      <c r="H3980" s="459">
        <v>3973</v>
      </c>
      <c r="I3980" s="444">
        <f t="shared" ca="1" si="160"/>
        <v>-5051386279350.042</v>
      </c>
      <c r="J3980" s="444">
        <f t="array" ref="J3980">IFERROR(INDEX('Retirement Calculator'!K:K,MATCH('Lorri 401b'!N3980,'Retirement Calculator'!A:A,0),0),0)</f>
        <v>0</v>
      </c>
      <c r="K3980" s="444">
        <f t="shared" ca="1" si="158"/>
        <v>-21047442830.625175</v>
      </c>
      <c r="L3980" s="444">
        <f t="shared" ca="1" si="159"/>
        <v>-5072433722180.667</v>
      </c>
      <c r="M3980" s="460">
        <f t="shared" si="161"/>
        <v>0.05</v>
      </c>
      <c r="N3980" s="464">
        <f t="shared" si="162"/>
        <v>172182</v>
      </c>
    </row>
    <row r="3981" spans="7:14" ht="11.25" customHeight="1" x14ac:dyDescent="0.3">
      <c r="G3981" s="459"/>
      <c r="H3981" s="459">
        <v>3974</v>
      </c>
      <c r="I3981" s="444">
        <f t="shared" ca="1" si="160"/>
        <v>-5072433722180.667</v>
      </c>
      <c r="J3981" s="444">
        <f t="array" ref="J3981">IFERROR(INDEX('Retirement Calculator'!K:K,MATCH('Lorri 401b'!N3981,'Retirement Calculator'!A:A,0),0),0)</f>
        <v>0</v>
      </c>
      <c r="K3981" s="444">
        <f t="shared" ca="1" si="158"/>
        <v>-21135140509.086113</v>
      </c>
      <c r="L3981" s="444">
        <f t="shared" ca="1" si="159"/>
        <v>-5093568862689.7529</v>
      </c>
      <c r="M3981" s="460">
        <f t="shared" si="161"/>
        <v>0.05</v>
      </c>
      <c r="N3981" s="464">
        <f t="shared" si="162"/>
        <v>172212</v>
      </c>
    </row>
    <row r="3982" spans="7:14" ht="11.25" customHeight="1" x14ac:dyDescent="0.3">
      <c r="G3982" s="459"/>
      <c r="H3982" s="459">
        <v>3975</v>
      </c>
      <c r="I3982" s="444">
        <f t="shared" ca="1" si="160"/>
        <v>-5093568862689.7529</v>
      </c>
      <c r="J3982" s="444">
        <f t="array" ref="J3982">IFERROR(INDEX('Retirement Calculator'!K:K,MATCH('Lorri 401b'!N3982,'Retirement Calculator'!A:A,0),0),0)</f>
        <v>0</v>
      </c>
      <c r="K3982" s="444">
        <f t="shared" ca="1" si="158"/>
        <v>-21223203594.540638</v>
      </c>
      <c r="L3982" s="444">
        <f t="shared" ca="1" si="159"/>
        <v>-5114792066284.2939</v>
      </c>
      <c r="M3982" s="460">
        <f t="shared" si="161"/>
        <v>0.05</v>
      </c>
      <c r="N3982" s="464">
        <f t="shared" si="162"/>
        <v>172243</v>
      </c>
    </row>
    <row r="3983" spans="7:14" ht="11.25" customHeight="1" x14ac:dyDescent="0.3">
      <c r="G3983" s="459"/>
      <c r="H3983" s="459">
        <v>3976</v>
      </c>
      <c r="I3983" s="444">
        <f t="shared" ca="1" si="160"/>
        <v>-5114792066284.2939</v>
      </c>
      <c r="J3983" s="444">
        <f t="array" ref="J3983">IFERROR(INDEX('Retirement Calculator'!K:K,MATCH('Lorri 401b'!N3983,'Retirement Calculator'!A:A,0),0),0)</f>
        <v>0</v>
      </c>
      <c r="K3983" s="444">
        <f t="shared" ca="1" si="158"/>
        <v>-21311633609.517891</v>
      </c>
      <c r="L3983" s="444">
        <f t="shared" ca="1" si="159"/>
        <v>-5136103699893.8115</v>
      </c>
      <c r="M3983" s="460">
        <f t="shared" si="161"/>
        <v>0.05</v>
      </c>
      <c r="N3983" s="464">
        <f t="shared" si="162"/>
        <v>172274</v>
      </c>
    </row>
    <row r="3984" spans="7:14" ht="11.25" customHeight="1" x14ac:dyDescent="0.3">
      <c r="G3984" s="459"/>
      <c r="H3984" s="459">
        <v>3977</v>
      </c>
      <c r="I3984" s="444">
        <f t="shared" ca="1" si="160"/>
        <v>-5136103699893.8115</v>
      </c>
      <c r="J3984" s="444">
        <f t="array" ref="J3984">IFERROR(INDEX('Retirement Calculator'!K:K,MATCH('Lorri 401b'!N3984,'Retirement Calculator'!A:A,0),0),0)</f>
        <v>0</v>
      </c>
      <c r="K3984" s="444">
        <f t="shared" ca="1" si="158"/>
        <v>-21400432082.890881</v>
      </c>
      <c r="L3984" s="444">
        <f t="shared" ca="1" si="159"/>
        <v>-5157504131976.7021</v>
      </c>
      <c r="M3984" s="460">
        <f t="shared" si="161"/>
        <v>0.05</v>
      </c>
      <c r="N3984" s="464">
        <f t="shared" si="162"/>
        <v>172304</v>
      </c>
    </row>
    <row r="3985" spans="7:14" ht="11.25" customHeight="1" x14ac:dyDescent="0.3">
      <c r="G3985" s="459"/>
      <c r="H3985" s="459">
        <v>3978</v>
      </c>
      <c r="I3985" s="444">
        <f t="shared" ca="1" si="160"/>
        <v>-5157504131976.7021</v>
      </c>
      <c r="J3985" s="444">
        <f t="array" ref="J3985">IFERROR(INDEX('Retirement Calculator'!K:K,MATCH('Lorri 401b'!N3985,'Retirement Calculator'!A:A,0),0),0)</f>
        <v>0</v>
      </c>
      <c r="K3985" s="444">
        <f t="shared" ca="1" si="158"/>
        <v>-21489600549.902924</v>
      </c>
      <c r="L3985" s="444">
        <f t="shared" ca="1" si="159"/>
        <v>-5178993732526.6055</v>
      </c>
      <c r="M3985" s="460">
        <f t="shared" si="161"/>
        <v>0.05</v>
      </c>
      <c r="N3985" s="464">
        <f t="shared" si="162"/>
        <v>172335</v>
      </c>
    </row>
    <row r="3986" spans="7:14" ht="11.25" customHeight="1" x14ac:dyDescent="0.3">
      <c r="G3986" s="459"/>
      <c r="H3986" s="459">
        <v>3979</v>
      </c>
      <c r="I3986" s="444">
        <f t="shared" ca="1" si="160"/>
        <v>-5178993732526.6055</v>
      </c>
      <c r="J3986" s="444">
        <f t="array" ref="J3986">IFERROR(INDEX('Retirement Calculator'!K:K,MATCH('Lorri 401b'!N3986,'Retirement Calculator'!A:A,0),0),0)</f>
        <v>0</v>
      </c>
      <c r="K3986" s="444">
        <f t="shared" ca="1" si="158"/>
        <v>-21579140552.194191</v>
      </c>
      <c r="L3986" s="444">
        <f t="shared" ca="1" si="159"/>
        <v>-5200572873078.7998</v>
      </c>
      <c r="M3986" s="460">
        <f t="shared" si="161"/>
        <v>0.05</v>
      </c>
      <c r="N3986" s="464">
        <f t="shared" si="162"/>
        <v>172365</v>
      </c>
    </row>
    <row r="3987" spans="7:14" ht="11.25" customHeight="1" x14ac:dyDescent="0.3">
      <c r="G3987" s="459"/>
      <c r="H3987" s="459">
        <v>3980</v>
      </c>
      <c r="I3987" s="444">
        <f t="shared" ca="1" si="160"/>
        <v>-5200572873078.7998</v>
      </c>
      <c r="J3987" s="444">
        <f t="array" ref="J3987">IFERROR(INDEX('Retirement Calculator'!K:K,MATCH('Lorri 401b'!N3987,'Retirement Calculator'!A:A,0),0),0)</f>
        <v>0</v>
      </c>
      <c r="K3987" s="444">
        <f t="shared" ca="1" si="158"/>
        <v>-21669053637.828331</v>
      </c>
      <c r="L3987" s="444">
        <f t="shared" ca="1" si="159"/>
        <v>-5222241926716.6279</v>
      </c>
      <c r="M3987" s="460">
        <f t="shared" si="161"/>
        <v>0.05</v>
      </c>
      <c r="N3987" s="464">
        <f t="shared" si="162"/>
        <v>172396</v>
      </c>
    </row>
    <row r="3988" spans="7:14" ht="11.25" customHeight="1" x14ac:dyDescent="0.3">
      <c r="G3988" s="459"/>
      <c r="H3988" s="459">
        <v>3981</v>
      </c>
      <c r="I3988" s="444">
        <f t="shared" ca="1" si="160"/>
        <v>-5222241926716.6279</v>
      </c>
      <c r="J3988" s="444">
        <f t="array" ref="J3988">IFERROR(INDEX('Retirement Calculator'!K:K,MATCH('Lorri 401b'!N3988,'Retirement Calculator'!A:A,0),0),0)</f>
        <v>0</v>
      </c>
      <c r="K3988" s="444">
        <f t="shared" ca="1" si="158"/>
        <v>-21759341361.319283</v>
      </c>
      <c r="L3988" s="444">
        <f t="shared" ca="1" si="159"/>
        <v>-5244001268077.9473</v>
      </c>
      <c r="M3988" s="460">
        <f t="shared" si="161"/>
        <v>0.05</v>
      </c>
      <c r="N3988" s="464">
        <f t="shared" si="162"/>
        <v>172427</v>
      </c>
    </row>
    <row r="3989" spans="7:14" ht="11.25" customHeight="1" x14ac:dyDescent="0.3">
      <c r="G3989" s="459"/>
      <c r="H3989" s="459">
        <v>3982</v>
      </c>
      <c r="I3989" s="444">
        <f t="shared" ca="1" si="160"/>
        <v>-5244001268077.9473</v>
      </c>
      <c r="J3989" s="444">
        <f t="array" ref="J3989">IFERROR(INDEX('Retirement Calculator'!K:K,MATCH('Lorri 401b'!N3989,'Retirement Calculator'!A:A,0),0),0)</f>
        <v>0</v>
      </c>
      <c r="K3989" s="444">
        <f t="shared" ca="1" si="158"/>
        <v>-21850005283.658112</v>
      </c>
      <c r="L3989" s="444">
        <f t="shared" ca="1" si="159"/>
        <v>-5265851273361.6055</v>
      </c>
      <c r="M3989" s="460">
        <f t="shared" si="161"/>
        <v>0.05</v>
      </c>
      <c r="N3989" s="464">
        <f t="shared" si="162"/>
        <v>172456</v>
      </c>
    </row>
    <row r="3990" spans="7:14" ht="11.25" customHeight="1" x14ac:dyDescent="0.3">
      <c r="G3990" s="459"/>
      <c r="H3990" s="459">
        <v>3983</v>
      </c>
      <c r="I3990" s="444">
        <f t="shared" ca="1" si="160"/>
        <v>-5265851273361.6055</v>
      </c>
      <c r="J3990" s="444">
        <f t="array" ref="J3990">IFERROR(INDEX('Retirement Calculator'!K:K,MATCH('Lorri 401b'!N3990,'Retirement Calculator'!A:A,0),0),0)</f>
        <v>0</v>
      </c>
      <c r="K3990" s="444">
        <f t="shared" ca="1" si="158"/>
        <v>-21941046972.340023</v>
      </c>
      <c r="L3990" s="444">
        <f t="shared" ca="1" si="159"/>
        <v>-5287792320333.9453</v>
      </c>
      <c r="M3990" s="460">
        <f t="shared" si="161"/>
        <v>0.05</v>
      </c>
      <c r="N3990" s="464">
        <f t="shared" si="162"/>
        <v>172487</v>
      </c>
    </row>
    <row r="3991" spans="7:14" ht="11.25" customHeight="1" x14ac:dyDescent="0.3">
      <c r="G3991" s="459"/>
      <c r="H3991" s="459">
        <v>3984</v>
      </c>
      <c r="I3991" s="444">
        <f t="shared" ca="1" si="160"/>
        <v>-5287792320333.9453</v>
      </c>
      <c r="J3991" s="444">
        <f t="array" ref="J3991">IFERROR(INDEX('Retirement Calculator'!K:K,MATCH('Lorri 401b'!N3991,'Retirement Calculator'!A:A,0),0),0)</f>
        <v>0</v>
      </c>
      <c r="K3991" s="444">
        <f t="shared" ca="1" si="158"/>
        <v>-22032468001.391438</v>
      </c>
      <c r="L3991" s="444">
        <f t="shared" ca="1" si="159"/>
        <v>-5309824788335.3369</v>
      </c>
      <c r="M3991" s="460">
        <f t="shared" si="161"/>
        <v>0.05</v>
      </c>
      <c r="N3991" s="464">
        <f t="shared" si="162"/>
        <v>172517</v>
      </c>
    </row>
    <row r="3992" spans="7:14" ht="11.25" customHeight="1" x14ac:dyDescent="0.3">
      <c r="G3992" s="459"/>
      <c r="H3992" s="459">
        <v>3985</v>
      </c>
      <c r="I3992" s="444">
        <f t="shared" ca="1" si="160"/>
        <v>-5309824788335.3369</v>
      </c>
      <c r="J3992" s="444">
        <f t="array" ref="J3992">IFERROR(INDEX('Retirement Calculator'!K:K,MATCH('Lorri 401b'!N3992,'Retirement Calculator'!A:A,0),0),0)</f>
        <v>0</v>
      </c>
      <c r="K3992" s="444">
        <f t="shared" ca="1" si="158"/>
        <v>-22124269951.397236</v>
      </c>
      <c r="L3992" s="444">
        <f t="shared" ca="1" si="159"/>
        <v>-5331949058286.7344</v>
      </c>
      <c r="M3992" s="460">
        <f t="shared" si="161"/>
        <v>0.05</v>
      </c>
      <c r="N3992" s="464">
        <f t="shared" si="162"/>
        <v>172548</v>
      </c>
    </row>
    <row r="3993" spans="7:14" ht="11.25" customHeight="1" x14ac:dyDescent="0.3">
      <c r="G3993" s="459"/>
      <c r="H3993" s="459">
        <v>3986</v>
      </c>
      <c r="I3993" s="444">
        <f t="shared" ca="1" si="160"/>
        <v>-5331949058286.7344</v>
      </c>
      <c r="J3993" s="444">
        <f t="array" ref="J3993">IFERROR(INDEX('Retirement Calculator'!K:K,MATCH('Lorri 401b'!N3993,'Retirement Calculator'!A:A,0),0),0)</f>
        <v>0</v>
      </c>
      <c r="K3993" s="444">
        <f t="shared" ca="1" si="158"/>
        <v>-22216454409.528061</v>
      </c>
      <c r="L3993" s="444">
        <f t="shared" ca="1" si="159"/>
        <v>-5354165512696.2627</v>
      </c>
      <c r="M3993" s="460">
        <f t="shared" si="161"/>
        <v>0.05</v>
      </c>
      <c r="N3993" s="464">
        <f t="shared" si="162"/>
        <v>172578</v>
      </c>
    </row>
    <row r="3994" spans="7:14" ht="11.25" customHeight="1" x14ac:dyDescent="0.3">
      <c r="G3994" s="459"/>
      <c r="H3994" s="459">
        <v>3987</v>
      </c>
      <c r="I3994" s="444">
        <f t="shared" ca="1" si="160"/>
        <v>-5354165512696.2627</v>
      </c>
      <c r="J3994" s="444">
        <f t="array" ref="J3994">IFERROR(INDEX('Retirement Calculator'!K:K,MATCH('Lorri 401b'!N3994,'Retirement Calculator'!A:A,0),0),0)</f>
        <v>0</v>
      </c>
      <c r="K3994" s="444">
        <f t="shared" ca="1" si="158"/>
        <v>-22309022969.56776</v>
      </c>
      <c r="L3994" s="444">
        <f t="shared" ca="1" si="159"/>
        <v>-5376474535665.8301</v>
      </c>
      <c r="M3994" s="460">
        <f t="shared" si="161"/>
        <v>0.05</v>
      </c>
      <c r="N3994" s="464">
        <f t="shared" si="162"/>
        <v>172609</v>
      </c>
    </row>
    <row r="3995" spans="7:14" ht="11.25" customHeight="1" x14ac:dyDescent="0.3">
      <c r="G3995" s="459"/>
      <c r="H3995" s="459">
        <v>3988</v>
      </c>
      <c r="I3995" s="444">
        <f t="shared" ca="1" si="160"/>
        <v>-5376474535665.8301</v>
      </c>
      <c r="J3995" s="444">
        <f t="array" ref="J3995">IFERROR(INDEX('Retirement Calculator'!K:K,MATCH('Lorri 401b'!N3995,'Retirement Calculator'!A:A,0),0),0)</f>
        <v>0</v>
      </c>
      <c r="K3995" s="444">
        <f t="shared" ca="1" si="158"/>
        <v>-22401977231.94096</v>
      </c>
      <c r="L3995" s="444">
        <f t="shared" ca="1" si="159"/>
        <v>-5398876512897.7715</v>
      </c>
      <c r="M3995" s="460">
        <f t="shared" si="161"/>
        <v>0.05</v>
      </c>
      <c r="N3995" s="464">
        <f t="shared" si="162"/>
        <v>172640</v>
      </c>
    </row>
    <row r="3996" spans="7:14" ht="11.25" customHeight="1" x14ac:dyDescent="0.3">
      <c r="G3996" s="459"/>
      <c r="H3996" s="459">
        <v>3989</v>
      </c>
      <c r="I3996" s="444">
        <f t="shared" ca="1" si="160"/>
        <v>-5398876512897.7715</v>
      </c>
      <c r="J3996" s="444">
        <f t="array" ref="J3996">IFERROR(INDEX('Retirement Calculator'!K:K,MATCH('Lorri 401b'!N3996,'Retirement Calculator'!A:A,0),0),0)</f>
        <v>0</v>
      </c>
      <c r="K3996" s="444">
        <f t="shared" ca="1" si="158"/>
        <v>-22495318803.740715</v>
      </c>
      <c r="L3996" s="444">
        <f t="shared" ca="1" si="159"/>
        <v>-5421371831701.5117</v>
      </c>
      <c r="M3996" s="460">
        <f t="shared" si="161"/>
        <v>0.05</v>
      </c>
      <c r="N3996" s="464">
        <f t="shared" si="162"/>
        <v>172670</v>
      </c>
    </row>
    <row r="3997" spans="7:14" ht="11.25" customHeight="1" x14ac:dyDescent="0.3">
      <c r="G3997" s="459"/>
      <c r="H3997" s="459">
        <v>3990</v>
      </c>
      <c r="I3997" s="444">
        <f t="shared" ca="1" si="160"/>
        <v>-5421371831701.5117</v>
      </c>
      <c r="J3997" s="444">
        <f t="array" ref="J3997">IFERROR(INDEX('Retirement Calculator'!K:K,MATCH('Lorri 401b'!N3997,'Retirement Calculator'!A:A,0),0),0)</f>
        <v>0</v>
      </c>
      <c r="K3997" s="444">
        <f t="shared" ca="1" si="158"/>
        <v>-22589049298.756298</v>
      </c>
      <c r="L3997" s="444">
        <f t="shared" ca="1" si="159"/>
        <v>-5443960881000.2676</v>
      </c>
      <c r="M3997" s="460">
        <f t="shared" si="161"/>
        <v>0.05</v>
      </c>
      <c r="N3997" s="464">
        <f t="shared" si="162"/>
        <v>172701</v>
      </c>
    </row>
    <row r="3998" spans="7:14" ht="11.25" customHeight="1" x14ac:dyDescent="0.3">
      <c r="G3998" s="459"/>
      <c r="H3998" s="459">
        <v>3991</v>
      </c>
      <c r="I3998" s="444">
        <f t="shared" ca="1" si="160"/>
        <v>-5443960881000.2676</v>
      </c>
      <c r="J3998" s="444">
        <f t="array" ref="J3998">IFERROR(INDEX('Retirement Calculator'!K:K,MATCH('Lorri 401b'!N3998,'Retirement Calculator'!A:A,0),0),0)</f>
        <v>0</v>
      </c>
      <c r="K3998" s="444">
        <f t="shared" ca="1" si="158"/>
        <v>-22683170337.501114</v>
      </c>
      <c r="L3998" s="444">
        <f t="shared" ca="1" si="159"/>
        <v>-5466644051337.7686</v>
      </c>
      <c r="M3998" s="460">
        <f t="shared" si="161"/>
        <v>0.05</v>
      </c>
      <c r="N3998" s="464">
        <f t="shared" si="162"/>
        <v>172731</v>
      </c>
    </row>
    <row r="3999" spans="7:14" ht="11.25" customHeight="1" x14ac:dyDescent="0.3">
      <c r="G3999" s="459"/>
      <c r="H3999" s="459">
        <v>3992</v>
      </c>
      <c r="I3999" s="444">
        <f t="shared" ca="1" si="160"/>
        <v>-5466644051337.7686</v>
      </c>
      <c r="J3999" s="444">
        <f t="array" ref="J3999">IFERROR(INDEX('Retirement Calculator'!K:K,MATCH('Lorri 401b'!N3999,'Retirement Calculator'!A:A,0),0),0)</f>
        <v>0</v>
      </c>
      <c r="K3999" s="444">
        <f t="shared" ca="1" si="158"/>
        <v>-22777683547.240704</v>
      </c>
      <c r="L3999" s="444">
        <f t="shared" ca="1" si="159"/>
        <v>-5489421734885.0088</v>
      </c>
      <c r="M3999" s="460">
        <f t="shared" si="161"/>
        <v>0.05</v>
      </c>
      <c r="N3999" s="464">
        <f t="shared" si="162"/>
        <v>172762</v>
      </c>
    </row>
    <row r="4000" spans="7:14" ht="11.25" customHeight="1" x14ac:dyDescent="0.3">
      <c r="G4000" s="459"/>
      <c r="H4000" s="459">
        <v>3993</v>
      </c>
      <c r="I4000" s="444">
        <f t="shared" ca="1" si="160"/>
        <v>-5489421734885.0088</v>
      </c>
      <c r="J4000" s="444">
        <f t="array" ref="J4000">IFERROR(INDEX('Retirement Calculator'!K:K,MATCH('Lorri 401b'!N4000,'Retirement Calculator'!A:A,0),0),0)</f>
        <v>0</v>
      </c>
      <c r="K4000" s="444">
        <f t="shared" ca="1" si="158"/>
        <v>-22872590562.02087</v>
      </c>
      <c r="L4000" s="444">
        <f t="shared" ca="1" si="159"/>
        <v>-5512294325447.0293</v>
      </c>
      <c r="M4000" s="460">
        <f t="shared" si="161"/>
        <v>0.05</v>
      </c>
      <c r="N4000" s="464">
        <f t="shared" si="162"/>
        <v>172793</v>
      </c>
    </row>
    <row r="4001" spans="7:14" ht="11.25" customHeight="1" x14ac:dyDescent="0.3">
      <c r="G4001" s="459"/>
      <c r="H4001" s="459">
        <v>3994</v>
      </c>
      <c r="I4001" s="444">
        <f t="shared" ca="1" si="160"/>
        <v>-5512294325447.0293</v>
      </c>
      <c r="J4001" s="444">
        <f t="array" ref="J4001">IFERROR(INDEX('Retirement Calculator'!K:K,MATCH('Lorri 401b'!N4001,'Retirement Calculator'!A:A,0),0),0)</f>
        <v>0</v>
      </c>
      <c r="K4001" s="444">
        <f t="shared" ca="1" si="158"/>
        <v>-22967893022.695953</v>
      </c>
      <c r="L4001" s="444">
        <f t="shared" ca="1" si="159"/>
        <v>-5535262218469.7256</v>
      </c>
      <c r="M4001" s="460">
        <f t="shared" si="161"/>
        <v>0.05</v>
      </c>
      <c r="N4001" s="464">
        <f t="shared" si="162"/>
        <v>172821</v>
      </c>
    </row>
    <row r="4002" spans="7:14" ht="11.25" customHeight="1" x14ac:dyDescent="0.3">
      <c r="G4002" s="459"/>
      <c r="H4002" s="459">
        <v>3995</v>
      </c>
      <c r="I4002" s="444">
        <f t="shared" ca="1" si="160"/>
        <v>-5535262218469.7256</v>
      </c>
      <c r="J4002" s="444">
        <f t="array" ref="J4002">IFERROR(INDEX('Retirement Calculator'!K:K,MATCH('Lorri 401b'!N4002,'Retirement Calculator'!A:A,0),0),0)</f>
        <v>0</v>
      </c>
      <c r="K4002" s="444">
        <f t="shared" ca="1" si="158"/>
        <v>-23063592576.957191</v>
      </c>
      <c r="L4002" s="444">
        <f t="shared" ca="1" si="159"/>
        <v>-5558325811046.6826</v>
      </c>
      <c r="M4002" s="460">
        <f t="shared" si="161"/>
        <v>0.05</v>
      </c>
      <c r="N4002" s="464">
        <f t="shared" si="162"/>
        <v>172852</v>
      </c>
    </row>
    <row r="4003" spans="7:14" ht="11.25" customHeight="1" x14ac:dyDescent="0.3">
      <c r="G4003" s="459"/>
      <c r="H4003" s="459">
        <v>3996</v>
      </c>
      <c r="I4003" s="444">
        <f t="shared" ca="1" si="160"/>
        <v>-5558325811046.6826</v>
      </c>
      <c r="J4003" s="444">
        <f t="array" ref="J4003">IFERROR(INDEX('Retirement Calculator'!K:K,MATCH('Lorri 401b'!N4003,'Retirement Calculator'!A:A,0),0),0)</f>
        <v>0</v>
      </c>
      <c r="K4003" s="444">
        <f t="shared" ca="1" si="158"/>
        <v>-23159690879.361176</v>
      </c>
      <c r="L4003" s="444">
        <f t="shared" ca="1" si="159"/>
        <v>-5581485501926.0439</v>
      </c>
      <c r="M4003" s="460">
        <f t="shared" si="161"/>
        <v>0.05</v>
      </c>
      <c r="N4003" s="464">
        <f t="shared" si="162"/>
        <v>172882</v>
      </c>
    </row>
    <row r="4004" spans="7:14" ht="11.25" customHeight="1" x14ac:dyDescent="0.3">
      <c r="G4004" s="459"/>
      <c r="H4004" s="459">
        <v>3997</v>
      </c>
      <c r="I4004" s="444">
        <f t="shared" ca="1" si="160"/>
        <v>-5581485501926.0439</v>
      </c>
      <c r="J4004" s="444">
        <f t="array" ref="J4004">IFERROR(INDEX('Retirement Calculator'!K:K,MATCH('Lorri 401b'!N4004,'Retirement Calculator'!A:A,0),0),0)</f>
        <v>0</v>
      </c>
      <c r="K4004" s="444">
        <f t="shared" ca="1" si="158"/>
        <v>-23256189591.358517</v>
      </c>
      <c r="L4004" s="444">
        <f t="shared" ca="1" si="159"/>
        <v>-5604741691517.4023</v>
      </c>
      <c r="M4004" s="460">
        <f t="shared" si="161"/>
        <v>0.05</v>
      </c>
      <c r="N4004" s="464">
        <f t="shared" si="162"/>
        <v>172913</v>
      </c>
    </row>
    <row r="4005" spans="7:14" ht="11.25" customHeight="1" x14ac:dyDescent="0.3">
      <c r="G4005" s="459"/>
      <c r="H4005" s="459">
        <v>3998</v>
      </c>
      <c r="I4005" s="444">
        <f t="shared" ca="1" si="160"/>
        <v>-5604741691517.4023</v>
      </c>
      <c r="J4005" s="444">
        <f t="array" ref="J4005">IFERROR(INDEX('Retirement Calculator'!K:K,MATCH('Lorri 401b'!N4005,'Retirement Calculator'!A:A,0),0),0)</f>
        <v>0</v>
      </c>
      <c r="K4005" s="444">
        <f t="shared" ca="1" si="158"/>
        <v>-23353090381.32251</v>
      </c>
      <c r="L4005" s="444">
        <f t="shared" ca="1" si="159"/>
        <v>-5628094781898.7246</v>
      </c>
      <c r="M4005" s="460">
        <f t="shared" si="161"/>
        <v>0.05</v>
      </c>
      <c r="N4005" s="464">
        <f t="shared" si="162"/>
        <v>172943</v>
      </c>
    </row>
    <row r="4006" spans="7:14" ht="11.25" customHeight="1" x14ac:dyDescent="0.3">
      <c r="G4006" s="459"/>
      <c r="H4006" s="459">
        <v>3999</v>
      </c>
      <c r="I4006" s="444">
        <f t="shared" ca="1" si="160"/>
        <v>-5628094781898.7246</v>
      </c>
      <c r="J4006" s="444">
        <f t="array" ref="J4006">IFERROR(INDEX('Retirement Calculator'!K:K,MATCH('Lorri 401b'!N4006,'Retirement Calculator'!A:A,0),0),0)</f>
        <v>0</v>
      </c>
      <c r="K4006" s="444">
        <f t="shared" ca="1" si="158"/>
        <v>-23450394924.578018</v>
      </c>
      <c r="L4006" s="444">
        <f t="shared" ca="1" si="159"/>
        <v>-5651545176823.3027</v>
      </c>
      <c r="M4006" s="460">
        <f t="shared" si="161"/>
        <v>0.05</v>
      </c>
      <c r="N4006" s="464">
        <f t="shared" si="162"/>
        <v>172974</v>
      </c>
    </row>
    <row r="4007" spans="7:14" ht="11.25" customHeight="1" x14ac:dyDescent="0.3">
      <c r="G4007" s="459"/>
      <c r="H4007" s="459">
        <v>4000</v>
      </c>
      <c r="I4007" s="444">
        <f t="shared" ca="1" si="160"/>
        <v>-5651545176823.3027</v>
      </c>
      <c r="J4007" s="444">
        <f t="array" ref="J4007">IFERROR(INDEX('Retirement Calculator'!K:K,MATCH('Lorri 401b'!N4007,'Retirement Calculator'!A:A,0),0),0)</f>
        <v>0</v>
      </c>
      <c r="K4007" s="444">
        <f t="shared" ca="1" si="158"/>
        <v>-23548104903.430428</v>
      </c>
      <c r="L4007" s="444">
        <f t="shared" ca="1" si="159"/>
        <v>-5675093281726.7334</v>
      </c>
      <c r="M4007" s="460">
        <f t="shared" si="161"/>
        <v>0.05</v>
      </c>
      <c r="N4007" s="464">
        <f t="shared" si="162"/>
        <v>173005</v>
      </c>
    </row>
    <row r="4008" spans="7:14" ht="11.25" customHeight="1" x14ac:dyDescent="0.3">
      <c r="G4008" s="459"/>
      <c r="H4008" s="459">
        <v>4001</v>
      </c>
      <c r="I4008" s="444">
        <f t="shared" ca="1" si="160"/>
        <v>-5675093281726.7334</v>
      </c>
      <c r="J4008" s="444">
        <f t="array" ref="J4008">IFERROR(INDEX('Retirement Calculator'!K:K,MATCH('Lorri 401b'!N4008,'Retirement Calculator'!A:A,0),0),0)</f>
        <v>0</v>
      </c>
      <c r="K4008" s="444">
        <f t="shared" ca="1" si="158"/>
        <v>-23646222007.194721</v>
      </c>
      <c r="L4008" s="444">
        <f t="shared" ca="1" si="159"/>
        <v>-5698739503733.9277</v>
      </c>
      <c r="M4008" s="460">
        <f t="shared" si="161"/>
        <v>0.05</v>
      </c>
      <c r="N4008" s="464">
        <f t="shared" si="162"/>
        <v>173035</v>
      </c>
    </row>
    <row r="4009" spans="7:14" ht="11.25" customHeight="1" x14ac:dyDescent="0.3">
      <c r="G4009" s="459"/>
      <c r="H4009" s="459">
        <v>4002</v>
      </c>
      <c r="I4009" s="444">
        <f t="shared" ca="1" si="160"/>
        <v>-5698739503733.9277</v>
      </c>
      <c r="J4009" s="444">
        <f t="array" ref="J4009">IFERROR(INDEX('Retirement Calculator'!K:K,MATCH('Lorri 401b'!N4009,'Retirement Calculator'!A:A,0),0),0)</f>
        <v>0</v>
      </c>
      <c r="K4009" s="444">
        <f t="shared" ca="1" si="158"/>
        <v>-23744747932.224697</v>
      </c>
      <c r="L4009" s="444">
        <f t="shared" ca="1" si="159"/>
        <v>-5722484251666.1523</v>
      </c>
      <c r="M4009" s="460">
        <f t="shared" si="161"/>
        <v>0.05</v>
      </c>
      <c r="N4009" s="464">
        <f t="shared" si="162"/>
        <v>173066</v>
      </c>
    </row>
    <row r="4010" spans="7:14" ht="11.25" customHeight="1" x14ac:dyDescent="0.3">
      <c r="G4010" s="459"/>
      <c r="H4010" s="459">
        <v>4003</v>
      </c>
      <c r="I4010" s="444">
        <f t="shared" ca="1" si="160"/>
        <v>-5722484251666.1523</v>
      </c>
      <c r="J4010" s="444">
        <f t="array" ref="J4010">IFERROR(INDEX('Retirement Calculator'!K:K,MATCH('Lorri 401b'!N4010,'Retirement Calculator'!A:A,0),0),0)</f>
        <v>0</v>
      </c>
      <c r="K4010" s="444">
        <f t="shared" ca="1" si="158"/>
        <v>-23843684381.942303</v>
      </c>
      <c r="L4010" s="444">
        <f t="shared" ca="1" si="159"/>
        <v>-5746327936048.0947</v>
      </c>
      <c r="M4010" s="460">
        <f t="shared" si="161"/>
        <v>0.05</v>
      </c>
      <c r="N4010" s="464">
        <f t="shared" si="162"/>
        <v>173096</v>
      </c>
    </row>
    <row r="4011" spans="7:14" ht="11.25" customHeight="1" x14ac:dyDescent="0.3">
      <c r="G4011" s="459"/>
      <c r="H4011" s="459">
        <v>4004</v>
      </c>
      <c r="I4011" s="444">
        <f t="shared" ca="1" si="160"/>
        <v>-5746327936048.0947</v>
      </c>
      <c r="J4011" s="444">
        <f t="array" ref="J4011">IFERROR(INDEX('Retirement Calculator'!K:K,MATCH('Lorri 401b'!N4011,'Retirement Calculator'!A:A,0),0),0)</f>
        <v>0</v>
      </c>
      <c r="K4011" s="444">
        <f t="shared" ca="1" si="158"/>
        <v>-23943033066.867062</v>
      </c>
      <c r="L4011" s="444">
        <f t="shared" ca="1" si="159"/>
        <v>-5770270969114.9619</v>
      </c>
      <c r="M4011" s="460">
        <f t="shared" si="161"/>
        <v>0.05</v>
      </c>
      <c r="N4011" s="464">
        <f t="shared" si="162"/>
        <v>173127</v>
      </c>
    </row>
    <row r="4012" spans="7:14" ht="11.25" customHeight="1" x14ac:dyDescent="0.3">
      <c r="G4012" s="459"/>
      <c r="H4012" s="459">
        <v>4005</v>
      </c>
      <c r="I4012" s="444">
        <f t="shared" ca="1" si="160"/>
        <v>-5770270969114.9619</v>
      </c>
      <c r="J4012" s="444">
        <f t="array" ref="J4012">IFERROR(INDEX('Retirement Calculator'!K:K,MATCH('Lorri 401b'!N4012,'Retirement Calculator'!A:A,0),0),0)</f>
        <v>0</v>
      </c>
      <c r="K4012" s="444">
        <f t="shared" ca="1" si="158"/>
        <v>-24042795704.645676</v>
      </c>
      <c r="L4012" s="444">
        <f t="shared" ca="1" si="159"/>
        <v>-5794313764819.6074</v>
      </c>
      <c r="M4012" s="460">
        <f t="shared" si="161"/>
        <v>0.05</v>
      </c>
      <c r="N4012" s="464">
        <f t="shared" si="162"/>
        <v>173158</v>
      </c>
    </row>
    <row r="4013" spans="7:14" ht="11.25" customHeight="1" x14ac:dyDescent="0.3">
      <c r="G4013" s="459"/>
      <c r="H4013" s="459">
        <v>4006</v>
      </c>
      <c r="I4013" s="444">
        <f t="shared" ca="1" si="160"/>
        <v>-5794313764819.6074</v>
      </c>
      <c r="J4013" s="444">
        <f t="array" ref="J4013">IFERROR(INDEX('Retirement Calculator'!K:K,MATCH('Lorri 401b'!N4013,'Retirement Calculator'!A:A,0),0),0)</f>
        <v>0</v>
      </c>
      <c r="K4013" s="444">
        <f t="shared" ca="1" si="158"/>
        <v>-24142974020.081696</v>
      </c>
      <c r="L4013" s="444">
        <f t="shared" ca="1" si="159"/>
        <v>-5818456738839.6895</v>
      </c>
      <c r="M4013" s="460">
        <f t="shared" si="161"/>
        <v>0.05</v>
      </c>
      <c r="N4013" s="464">
        <f t="shared" si="162"/>
        <v>173186</v>
      </c>
    </row>
    <row r="4014" spans="7:14" ht="11.25" customHeight="1" x14ac:dyDescent="0.3">
      <c r="G4014" s="459"/>
      <c r="H4014" s="459">
        <v>4007</v>
      </c>
      <c r="I4014" s="444">
        <f t="shared" ca="1" si="160"/>
        <v>-5818456738839.6895</v>
      </c>
      <c r="J4014" s="444">
        <f t="array" ref="J4014">IFERROR(INDEX('Retirement Calculator'!K:K,MATCH('Lorri 401b'!N4014,'Retirement Calculator'!A:A,0),0),0)</f>
        <v>0</v>
      </c>
      <c r="K4014" s="444">
        <f t="shared" ca="1" si="158"/>
        <v>-24243569745.165371</v>
      </c>
      <c r="L4014" s="444">
        <f t="shared" ca="1" si="159"/>
        <v>-5842700308584.8545</v>
      </c>
      <c r="M4014" s="460">
        <f t="shared" si="161"/>
        <v>0.05</v>
      </c>
      <c r="N4014" s="464">
        <f t="shared" si="162"/>
        <v>173217</v>
      </c>
    </row>
    <row r="4015" spans="7:14" ht="11.25" customHeight="1" x14ac:dyDescent="0.3">
      <c r="G4015" s="459"/>
      <c r="H4015" s="459">
        <v>4008</v>
      </c>
      <c r="I4015" s="444">
        <f t="shared" ca="1" si="160"/>
        <v>-5842700308584.8545</v>
      </c>
      <c r="J4015" s="444">
        <f t="array" ref="J4015">IFERROR(INDEX('Retirement Calculator'!K:K,MATCH('Lorri 401b'!N4015,'Retirement Calculator'!A:A,0),0),0)</f>
        <v>0</v>
      </c>
      <c r="K4015" s="444">
        <f t="shared" ca="1" si="158"/>
        <v>-24344584619.103561</v>
      </c>
      <c r="L4015" s="444">
        <f t="shared" ca="1" si="159"/>
        <v>-5867044893203.958</v>
      </c>
      <c r="M4015" s="460">
        <f t="shared" si="161"/>
        <v>0.05</v>
      </c>
      <c r="N4015" s="464">
        <f t="shared" si="162"/>
        <v>173247</v>
      </c>
    </row>
    <row r="4016" spans="7:14" ht="11.25" customHeight="1" x14ac:dyDescent="0.3">
      <c r="G4016" s="459"/>
      <c r="H4016" s="459">
        <v>4009</v>
      </c>
      <c r="I4016" s="444">
        <f t="shared" ca="1" si="160"/>
        <v>-5867044893203.958</v>
      </c>
      <c r="J4016" s="444">
        <f t="array" ref="J4016">IFERROR(INDEX('Retirement Calculator'!K:K,MATCH('Lorri 401b'!N4016,'Retirement Calculator'!A:A,0),0),0)</f>
        <v>0</v>
      </c>
      <c r="K4016" s="444">
        <f t="shared" ca="1" si="158"/>
        <v>-24446020388.349823</v>
      </c>
      <c r="L4016" s="444">
        <f t="shared" ca="1" si="159"/>
        <v>-5891490913592.3076</v>
      </c>
      <c r="M4016" s="460">
        <f t="shared" si="161"/>
        <v>0.05</v>
      </c>
      <c r="N4016" s="464">
        <f t="shared" si="162"/>
        <v>173278</v>
      </c>
    </row>
    <row r="4017" spans="7:14" ht="11.25" customHeight="1" x14ac:dyDescent="0.3">
      <c r="G4017" s="459"/>
      <c r="H4017" s="459">
        <v>4010</v>
      </c>
      <c r="I4017" s="444">
        <f t="shared" ca="1" si="160"/>
        <v>-5891490913592.3076</v>
      </c>
      <c r="J4017" s="444">
        <f t="array" ref="J4017">IFERROR(INDEX('Retirement Calculator'!K:K,MATCH('Lorri 401b'!N4017,'Retirement Calculator'!A:A,0),0),0)</f>
        <v>0</v>
      </c>
      <c r="K4017" s="444">
        <f t="shared" ca="1" si="158"/>
        <v>-24547878806.634613</v>
      </c>
      <c r="L4017" s="444">
        <f t="shared" ca="1" si="159"/>
        <v>-5916038792398.9424</v>
      </c>
      <c r="M4017" s="460">
        <f t="shared" si="161"/>
        <v>0.05</v>
      </c>
      <c r="N4017" s="464">
        <f t="shared" si="162"/>
        <v>173308</v>
      </c>
    </row>
    <row r="4018" spans="7:14" ht="11.25" customHeight="1" x14ac:dyDescent="0.3">
      <c r="G4018" s="459"/>
      <c r="H4018" s="459">
        <v>4011</v>
      </c>
      <c r="I4018" s="444">
        <f t="shared" ca="1" si="160"/>
        <v>-5916038792398.9424</v>
      </c>
      <c r="J4018" s="444">
        <f t="array" ref="J4018">IFERROR(INDEX('Retirement Calculator'!K:K,MATCH('Lorri 401b'!N4018,'Retirement Calculator'!A:A,0),0),0)</f>
        <v>0</v>
      </c>
      <c r="K4018" s="444">
        <f t="shared" ca="1" si="158"/>
        <v>-24650161634.995594</v>
      </c>
      <c r="L4018" s="444">
        <f t="shared" ca="1" si="159"/>
        <v>-5940688954033.9375</v>
      </c>
      <c r="M4018" s="460">
        <f t="shared" si="161"/>
        <v>0.05</v>
      </c>
      <c r="N4018" s="464">
        <f t="shared" si="162"/>
        <v>173339</v>
      </c>
    </row>
    <row r="4019" spans="7:14" ht="11.25" customHeight="1" x14ac:dyDescent="0.3">
      <c r="G4019" s="459"/>
      <c r="H4019" s="459">
        <v>4012</v>
      </c>
      <c r="I4019" s="444">
        <f t="shared" ca="1" si="160"/>
        <v>-5940688954033.9375</v>
      </c>
      <c r="J4019" s="444">
        <f t="array" ref="J4019">IFERROR(INDEX('Retirement Calculator'!K:K,MATCH('Lorri 401b'!N4019,'Retirement Calculator'!A:A,0),0),0)</f>
        <v>0</v>
      </c>
      <c r="K4019" s="444">
        <f t="shared" ca="1" si="158"/>
        <v>-24752870641.808071</v>
      </c>
      <c r="L4019" s="444">
        <f t="shared" ca="1" si="159"/>
        <v>-5965441824675.7451</v>
      </c>
      <c r="M4019" s="460">
        <f t="shared" si="161"/>
        <v>0.05</v>
      </c>
      <c r="N4019" s="464">
        <f t="shared" si="162"/>
        <v>173370</v>
      </c>
    </row>
    <row r="4020" spans="7:14" ht="11.25" customHeight="1" x14ac:dyDescent="0.3">
      <c r="G4020" s="459"/>
      <c r="H4020" s="459">
        <v>4013</v>
      </c>
      <c r="I4020" s="444">
        <f t="shared" ca="1" si="160"/>
        <v>-5965441824675.7451</v>
      </c>
      <c r="J4020" s="444">
        <f t="array" ref="J4020">IFERROR(INDEX('Retirement Calculator'!K:K,MATCH('Lorri 401b'!N4020,'Retirement Calculator'!A:A,0),0),0)</f>
        <v>0</v>
      </c>
      <c r="K4020" s="444">
        <f t="shared" ca="1" si="158"/>
        <v>-24856007602.815605</v>
      </c>
      <c r="L4020" s="444">
        <f t="shared" ca="1" si="159"/>
        <v>-5990297832278.5605</v>
      </c>
      <c r="M4020" s="460">
        <f t="shared" si="161"/>
        <v>0.05</v>
      </c>
      <c r="N4020" s="464">
        <f t="shared" si="162"/>
        <v>173400</v>
      </c>
    </row>
    <row r="4021" spans="7:14" ht="11.25" customHeight="1" x14ac:dyDescent="0.3">
      <c r="G4021" s="459"/>
      <c r="H4021" s="459">
        <v>4014</v>
      </c>
      <c r="I4021" s="444">
        <f t="shared" ca="1" si="160"/>
        <v>-5990297832278.5605</v>
      </c>
      <c r="J4021" s="444">
        <f t="array" ref="J4021">IFERROR(INDEX('Retirement Calculator'!K:K,MATCH('Lorri 401b'!N4021,'Retirement Calculator'!A:A,0),0),0)</f>
        <v>0</v>
      </c>
      <c r="K4021" s="444">
        <f t="shared" ca="1" si="158"/>
        <v>-24959574301.160667</v>
      </c>
      <c r="L4021" s="444">
        <f t="shared" ca="1" si="159"/>
        <v>-6015257406579.7217</v>
      </c>
      <c r="M4021" s="460">
        <f t="shared" si="161"/>
        <v>0.05</v>
      </c>
      <c r="N4021" s="464">
        <f t="shared" si="162"/>
        <v>173431</v>
      </c>
    </row>
    <row r="4022" spans="7:14" ht="11.25" customHeight="1" x14ac:dyDescent="0.3">
      <c r="G4022" s="459"/>
      <c r="H4022" s="459">
        <v>4015</v>
      </c>
      <c r="I4022" s="444">
        <f t="shared" ca="1" si="160"/>
        <v>-6015257406579.7217</v>
      </c>
      <c r="J4022" s="444">
        <f t="array" ref="J4022">IFERROR(INDEX('Retirement Calculator'!K:K,MATCH('Lorri 401b'!N4022,'Retirement Calculator'!A:A,0),0),0)</f>
        <v>0</v>
      </c>
      <c r="K4022" s="444">
        <f t="shared" ca="1" si="158"/>
        <v>-25063572527.415508</v>
      </c>
      <c r="L4022" s="444">
        <f t="shared" ca="1" si="159"/>
        <v>-6040320979107.1367</v>
      </c>
      <c r="M4022" s="460">
        <f t="shared" si="161"/>
        <v>0.05</v>
      </c>
      <c r="N4022" s="464">
        <f t="shared" si="162"/>
        <v>173461</v>
      </c>
    </row>
    <row r="4023" spans="7:14" ht="11.25" customHeight="1" x14ac:dyDescent="0.3">
      <c r="G4023" s="459"/>
      <c r="H4023" s="459">
        <v>4016</v>
      </c>
      <c r="I4023" s="444">
        <f t="shared" ca="1" si="160"/>
        <v>-6040320979107.1367</v>
      </c>
      <c r="J4023" s="444">
        <f t="array" ref="J4023">IFERROR(INDEX('Retirement Calculator'!K:K,MATCH('Lorri 401b'!N4023,'Retirement Calculator'!A:A,0),0),0)</f>
        <v>0</v>
      </c>
      <c r="K4023" s="444">
        <f t="shared" ca="1" si="158"/>
        <v>-25168004079.613068</v>
      </c>
      <c r="L4023" s="444">
        <f t="shared" ca="1" si="159"/>
        <v>-6065488983186.75</v>
      </c>
      <c r="M4023" s="460">
        <f t="shared" si="161"/>
        <v>0.05</v>
      </c>
      <c r="N4023" s="464">
        <f t="shared" si="162"/>
        <v>173492</v>
      </c>
    </row>
    <row r="4024" spans="7:14" ht="11.25" customHeight="1" x14ac:dyDescent="0.3">
      <c r="G4024" s="459"/>
      <c r="H4024" s="459">
        <v>4017</v>
      </c>
      <c r="I4024" s="444">
        <f t="shared" ca="1" si="160"/>
        <v>-6065488983186.75</v>
      </c>
      <c r="J4024" s="444">
        <f t="array" ref="J4024">IFERROR(INDEX('Retirement Calculator'!K:K,MATCH('Lorri 401b'!N4024,'Retirement Calculator'!A:A,0),0),0)</f>
        <v>0</v>
      </c>
      <c r="K4024" s="444">
        <f t="shared" ca="1" si="158"/>
        <v>-25272870763.278126</v>
      </c>
      <c r="L4024" s="444">
        <f t="shared" ca="1" si="159"/>
        <v>-6090761853950.0283</v>
      </c>
      <c r="M4024" s="460">
        <f t="shared" si="161"/>
        <v>0.05</v>
      </c>
      <c r="N4024" s="464">
        <f t="shared" si="162"/>
        <v>173523</v>
      </c>
    </row>
    <row r="4025" spans="7:14" ht="11.25" customHeight="1" x14ac:dyDescent="0.3">
      <c r="G4025" s="459"/>
      <c r="H4025" s="459">
        <v>4018</v>
      </c>
      <c r="I4025" s="444">
        <f t="shared" ca="1" si="160"/>
        <v>-6090761853950.0283</v>
      </c>
      <c r="J4025" s="444">
        <f t="array" ref="J4025">IFERROR(INDEX('Retirement Calculator'!K:K,MATCH('Lorri 401b'!N4025,'Retirement Calculator'!A:A,0),0),0)</f>
        <v>0</v>
      </c>
      <c r="K4025" s="444">
        <f t="shared" ca="1" si="158"/>
        <v>-25378174391.45845</v>
      </c>
      <c r="L4025" s="444">
        <f t="shared" ca="1" si="159"/>
        <v>-6116140028341.4863</v>
      </c>
      <c r="M4025" s="460">
        <f t="shared" si="161"/>
        <v>0.05</v>
      </c>
      <c r="N4025" s="464">
        <f t="shared" si="162"/>
        <v>173551</v>
      </c>
    </row>
    <row r="4026" spans="7:14" ht="11.25" customHeight="1" x14ac:dyDescent="0.3">
      <c r="G4026" s="459"/>
      <c r="H4026" s="459">
        <v>4019</v>
      </c>
      <c r="I4026" s="444">
        <f t="shared" ca="1" si="160"/>
        <v>-6116140028341.4863</v>
      </c>
      <c r="J4026" s="444">
        <f t="array" ref="J4026">IFERROR(INDEX('Retirement Calculator'!K:K,MATCH('Lorri 401b'!N4026,'Retirement Calculator'!A:A,0),0),0)</f>
        <v>0</v>
      </c>
      <c r="K4026" s="444">
        <f t="shared" ca="1" si="158"/>
        <v>-25483916784.756191</v>
      </c>
      <c r="L4026" s="444">
        <f t="shared" ca="1" si="159"/>
        <v>-6141623945126.2422</v>
      </c>
      <c r="M4026" s="460">
        <f t="shared" si="161"/>
        <v>0.05</v>
      </c>
      <c r="N4026" s="464">
        <f t="shared" si="162"/>
        <v>173582</v>
      </c>
    </row>
    <row r="4027" spans="7:14" ht="11.25" customHeight="1" x14ac:dyDescent="0.3">
      <c r="G4027" s="459"/>
      <c r="H4027" s="459">
        <v>4020</v>
      </c>
      <c r="I4027" s="444">
        <f t="shared" ca="1" si="160"/>
        <v>-6141623945126.2422</v>
      </c>
      <c r="J4027" s="444">
        <f t="array" ref="J4027">IFERROR(INDEX('Retirement Calculator'!K:K,MATCH('Lorri 401b'!N4027,'Retirement Calculator'!A:A,0),0),0)</f>
        <v>0</v>
      </c>
      <c r="K4027" s="444">
        <f t="shared" ca="1" si="158"/>
        <v>-25590099771.359341</v>
      </c>
      <c r="L4027" s="444">
        <f t="shared" ca="1" si="159"/>
        <v>-6167214044897.6016</v>
      </c>
      <c r="M4027" s="460">
        <f t="shared" si="161"/>
        <v>0.05</v>
      </c>
      <c r="N4027" s="464">
        <f t="shared" si="162"/>
        <v>173612</v>
      </c>
    </row>
    <row r="4028" spans="7:14" ht="11.25" customHeight="1" x14ac:dyDescent="0.3">
      <c r="G4028" s="459"/>
      <c r="H4028" s="459">
        <v>4021</v>
      </c>
      <c r="I4028" s="444">
        <f t="shared" ca="1" si="160"/>
        <v>-6167214044897.6016</v>
      </c>
      <c r="J4028" s="444">
        <f t="array" ref="J4028">IFERROR(INDEX('Retirement Calculator'!K:K,MATCH('Lorri 401b'!N4028,'Retirement Calculator'!A:A,0),0),0)</f>
        <v>0</v>
      </c>
      <c r="K4028" s="444">
        <f t="shared" ca="1" si="158"/>
        <v>-25696725187.073341</v>
      </c>
      <c r="L4028" s="444">
        <f t="shared" ca="1" si="159"/>
        <v>-6192910770084.6748</v>
      </c>
      <c r="M4028" s="460">
        <f t="shared" si="161"/>
        <v>0.05</v>
      </c>
      <c r="N4028" s="464">
        <f t="shared" si="162"/>
        <v>173643</v>
      </c>
    </row>
    <row r="4029" spans="7:14" ht="11.25" customHeight="1" x14ac:dyDescent="0.3">
      <c r="G4029" s="459"/>
      <c r="H4029" s="459">
        <v>4022</v>
      </c>
      <c r="I4029" s="444">
        <f t="shared" ca="1" si="160"/>
        <v>-6192910770084.6748</v>
      </c>
      <c r="J4029" s="444">
        <f t="array" ref="J4029">IFERROR(INDEX('Retirement Calculator'!K:K,MATCH('Lorri 401b'!N4029,'Retirement Calculator'!A:A,0),0),0)</f>
        <v>0</v>
      </c>
      <c r="K4029" s="444">
        <f t="shared" ca="1" si="158"/>
        <v>-25803794875.35281</v>
      </c>
      <c r="L4029" s="444">
        <f t="shared" ca="1" si="159"/>
        <v>-6218714564960.0273</v>
      </c>
      <c r="M4029" s="460">
        <f t="shared" si="161"/>
        <v>0.05</v>
      </c>
      <c r="N4029" s="464">
        <f t="shared" si="162"/>
        <v>173673</v>
      </c>
    </row>
    <row r="4030" spans="7:14" ht="11.25" customHeight="1" x14ac:dyDescent="0.3">
      <c r="G4030" s="459"/>
      <c r="H4030" s="459">
        <v>4023</v>
      </c>
      <c r="I4030" s="444">
        <f t="shared" ca="1" si="160"/>
        <v>-6218714564960.0273</v>
      </c>
      <c r="J4030" s="444">
        <f t="array" ref="J4030">IFERROR(INDEX('Retirement Calculator'!K:K,MATCH('Lorri 401b'!N4030,'Retirement Calculator'!A:A,0),0),0)</f>
        <v>0</v>
      </c>
      <c r="K4030" s="444">
        <f t="shared" ca="1" si="158"/>
        <v>-25911310687.333447</v>
      </c>
      <c r="L4030" s="444">
        <f t="shared" ca="1" si="159"/>
        <v>-6244625875647.3604</v>
      </c>
      <c r="M4030" s="460">
        <f t="shared" si="161"/>
        <v>0.05</v>
      </c>
      <c r="N4030" s="464">
        <f t="shared" si="162"/>
        <v>173704</v>
      </c>
    </row>
    <row r="4031" spans="7:14" ht="11.25" customHeight="1" x14ac:dyDescent="0.3">
      <c r="G4031" s="459"/>
      <c r="H4031" s="459">
        <v>4024</v>
      </c>
      <c r="I4031" s="444">
        <f t="shared" ca="1" si="160"/>
        <v>-6244625875647.3604</v>
      </c>
      <c r="J4031" s="444">
        <f t="array" ref="J4031">IFERROR(INDEX('Retirement Calculator'!K:K,MATCH('Lorri 401b'!N4031,'Retirement Calculator'!A:A,0),0),0)</f>
        <v>0</v>
      </c>
      <c r="K4031" s="444">
        <f t="shared" ca="1" si="158"/>
        <v>-26019274481.864002</v>
      </c>
      <c r="L4031" s="444">
        <f t="shared" ca="1" si="159"/>
        <v>-6270645150129.2246</v>
      </c>
      <c r="M4031" s="460">
        <f t="shared" si="161"/>
        <v>0.05</v>
      </c>
      <c r="N4031" s="464">
        <f t="shared" si="162"/>
        <v>173735</v>
      </c>
    </row>
    <row r="4032" spans="7:14" ht="11.25" customHeight="1" x14ac:dyDescent="0.3">
      <c r="G4032" s="459"/>
      <c r="H4032" s="459">
        <v>4025</v>
      </c>
      <c r="I4032" s="444">
        <f t="shared" ca="1" si="160"/>
        <v>-6270645150129.2246</v>
      </c>
      <c r="J4032" s="444">
        <f t="array" ref="J4032">IFERROR(INDEX('Retirement Calculator'!K:K,MATCH('Lorri 401b'!N4032,'Retirement Calculator'!A:A,0),0),0)</f>
        <v>0</v>
      </c>
      <c r="K4032" s="444">
        <f t="shared" ca="1" si="158"/>
        <v>-26127688125.538437</v>
      </c>
      <c r="L4032" s="444">
        <f t="shared" ca="1" si="159"/>
        <v>-6296772838254.7627</v>
      </c>
      <c r="M4032" s="460">
        <f t="shared" si="161"/>
        <v>0.05</v>
      </c>
      <c r="N4032" s="464">
        <f t="shared" si="162"/>
        <v>173765</v>
      </c>
    </row>
    <row r="4033" spans="7:14" ht="11.25" customHeight="1" x14ac:dyDescent="0.3">
      <c r="G4033" s="459"/>
      <c r="H4033" s="459">
        <v>4026</v>
      </c>
      <c r="I4033" s="444">
        <f t="shared" ca="1" si="160"/>
        <v>-6296772838254.7627</v>
      </c>
      <c r="J4033" s="444">
        <f t="array" ref="J4033">IFERROR(INDEX('Retirement Calculator'!K:K,MATCH('Lorri 401b'!N4033,'Retirement Calculator'!A:A,0),0),0)</f>
        <v>0</v>
      </c>
      <c r="K4033" s="444">
        <f t="shared" ca="1" si="158"/>
        <v>-26236553492.728176</v>
      </c>
      <c r="L4033" s="444">
        <f t="shared" ca="1" si="159"/>
        <v>-6323009391747.4912</v>
      </c>
      <c r="M4033" s="460">
        <f t="shared" si="161"/>
        <v>0.05</v>
      </c>
      <c r="N4033" s="464">
        <f t="shared" si="162"/>
        <v>173796</v>
      </c>
    </row>
    <row r="4034" spans="7:14" ht="11.25" customHeight="1" x14ac:dyDescent="0.3">
      <c r="G4034" s="459"/>
      <c r="H4034" s="459">
        <v>4027</v>
      </c>
      <c r="I4034" s="444">
        <f t="shared" ca="1" si="160"/>
        <v>-6323009391747.4912</v>
      </c>
      <c r="J4034" s="444">
        <f t="array" ref="J4034">IFERROR(INDEX('Retirement Calculator'!K:K,MATCH('Lorri 401b'!N4034,'Retirement Calculator'!A:A,0),0),0)</f>
        <v>0</v>
      </c>
      <c r="K4034" s="444">
        <f t="shared" ca="1" si="158"/>
        <v>-26345872465.614548</v>
      </c>
      <c r="L4034" s="444">
        <f t="shared" ca="1" si="159"/>
        <v>-6349355264213.1055</v>
      </c>
      <c r="M4034" s="460">
        <f t="shared" si="161"/>
        <v>0.05</v>
      </c>
      <c r="N4034" s="464">
        <f t="shared" si="162"/>
        <v>173826</v>
      </c>
    </row>
    <row r="4035" spans="7:14" ht="11.25" customHeight="1" x14ac:dyDescent="0.3">
      <c r="G4035" s="459"/>
      <c r="H4035" s="459">
        <v>4028</v>
      </c>
      <c r="I4035" s="444">
        <f t="shared" ca="1" si="160"/>
        <v>-6349355264213.1055</v>
      </c>
      <c r="J4035" s="444">
        <f t="array" ref="J4035">IFERROR(INDEX('Retirement Calculator'!K:K,MATCH('Lorri 401b'!N4035,'Retirement Calculator'!A:A,0),0),0)</f>
        <v>0</v>
      </c>
      <c r="K4035" s="444">
        <f t="shared" ca="1" si="158"/>
        <v>-26455646934.221272</v>
      </c>
      <c r="L4035" s="444">
        <f t="shared" ca="1" si="159"/>
        <v>-6375810911147.3271</v>
      </c>
      <c r="M4035" s="460">
        <f t="shared" si="161"/>
        <v>0.05</v>
      </c>
      <c r="N4035" s="464">
        <f t="shared" si="162"/>
        <v>173857</v>
      </c>
    </row>
    <row r="4036" spans="7:14" ht="11.25" customHeight="1" x14ac:dyDescent="0.3">
      <c r="G4036" s="459"/>
      <c r="H4036" s="459">
        <v>4029</v>
      </c>
      <c r="I4036" s="444">
        <f t="shared" ca="1" si="160"/>
        <v>-6375810911147.3271</v>
      </c>
      <c r="J4036" s="444">
        <f t="array" ref="J4036">IFERROR(INDEX('Retirement Calculator'!K:K,MATCH('Lorri 401b'!N4036,'Retirement Calculator'!A:A,0),0),0)</f>
        <v>0</v>
      </c>
      <c r="K4036" s="444">
        <f t="shared" ca="1" si="158"/>
        <v>-26565878796.447197</v>
      </c>
      <c r="L4036" s="444">
        <f t="shared" ca="1" si="159"/>
        <v>-6402376789943.7744</v>
      </c>
      <c r="M4036" s="460">
        <f t="shared" si="161"/>
        <v>0.05</v>
      </c>
      <c r="N4036" s="464">
        <f t="shared" si="162"/>
        <v>173888</v>
      </c>
    </row>
    <row r="4037" spans="7:14" ht="11.25" customHeight="1" x14ac:dyDescent="0.3">
      <c r="G4037" s="459"/>
      <c r="H4037" s="459">
        <v>4030</v>
      </c>
      <c r="I4037" s="444">
        <f t="shared" ca="1" si="160"/>
        <v>-6402376789943.7744</v>
      </c>
      <c r="J4037" s="444">
        <f t="array" ref="J4037">IFERROR(INDEX('Retirement Calculator'!K:K,MATCH('Lorri 401b'!N4037,'Retirement Calculator'!A:A,0),0),0)</f>
        <v>0</v>
      </c>
      <c r="K4037" s="444">
        <f t="shared" ca="1" si="158"/>
        <v>-26676569958.09906</v>
      </c>
      <c r="L4037" s="444">
        <f t="shared" ca="1" si="159"/>
        <v>-6429053359901.873</v>
      </c>
      <c r="M4037" s="460">
        <f t="shared" si="161"/>
        <v>0.05</v>
      </c>
      <c r="N4037" s="464">
        <f t="shared" si="162"/>
        <v>173917</v>
      </c>
    </row>
    <row r="4038" spans="7:14" ht="11.25" customHeight="1" x14ac:dyDescent="0.3">
      <c r="G4038" s="459"/>
      <c r="H4038" s="459">
        <v>4031</v>
      </c>
      <c r="I4038" s="444">
        <f t="shared" ca="1" si="160"/>
        <v>-6429053359901.873</v>
      </c>
      <c r="J4038" s="444">
        <f t="array" ref="J4038">IFERROR(INDEX('Retirement Calculator'!K:K,MATCH('Lorri 401b'!N4038,'Retirement Calculator'!A:A,0),0),0)</f>
        <v>0</v>
      </c>
      <c r="K4038" s="444">
        <f t="shared" ca="1" si="158"/>
        <v>-26787722332.924469</v>
      </c>
      <c r="L4038" s="444">
        <f t="shared" ca="1" si="159"/>
        <v>-6455841082234.7979</v>
      </c>
      <c r="M4038" s="460">
        <f t="shared" si="161"/>
        <v>0.05</v>
      </c>
      <c r="N4038" s="464">
        <f t="shared" si="162"/>
        <v>173948</v>
      </c>
    </row>
    <row r="4039" spans="7:14" ht="11.25" customHeight="1" x14ac:dyDescent="0.3">
      <c r="G4039" s="459"/>
      <c r="H4039" s="459">
        <v>4032</v>
      </c>
      <c r="I4039" s="444">
        <f t="shared" ca="1" si="160"/>
        <v>-6455841082234.7979</v>
      </c>
      <c r="J4039" s="444">
        <f t="array" ref="J4039">IFERROR(INDEX('Retirement Calculator'!K:K,MATCH('Lorri 401b'!N4039,'Retirement Calculator'!A:A,0),0),0)</f>
        <v>0</v>
      </c>
      <c r="K4039" s="444">
        <f t="shared" ca="1" si="158"/>
        <v>-26899337842.644989</v>
      </c>
      <c r="L4039" s="444">
        <f t="shared" ca="1" si="159"/>
        <v>-6482740420077.4424</v>
      </c>
      <c r="M4039" s="460">
        <f t="shared" si="161"/>
        <v>0.05</v>
      </c>
      <c r="N4039" s="464">
        <f t="shared" si="162"/>
        <v>173978</v>
      </c>
    </row>
    <row r="4040" spans="7:14" ht="11.25" customHeight="1" x14ac:dyDescent="0.3">
      <c r="G4040" s="459"/>
      <c r="H4040" s="459">
        <v>4033</v>
      </c>
      <c r="I4040" s="444">
        <f t="shared" ca="1" si="160"/>
        <v>-6482740420077.4424</v>
      </c>
      <c r="J4040" s="444">
        <f t="array" ref="J4040">IFERROR(INDEX('Retirement Calculator'!K:K,MATCH('Lorri 401b'!N4040,'Retirement Calculator'!A:A,0),0),0)</f>
        <v>0</v>
      </c>
      <c r="K4040" s="444">
        <f t="shared" ca="1" si="158"/>
        <v>-27011418416.989342</v>
      </c>
      <c r="L4040" s="444">
        <f t="shared" ca="1" si="159"/>
        <v>-6509751838494.4316</v>
      </c>
      <c r="M4040" s="460">
        <f t="shared" si="161"/>
        <v>0.05</v>
      </c>
      <c r="N4040" s="464">
        <f t="shared" si="162"/>
        <v>174009</v>
      </c>
    </row>
    <row r="4041" spans="7:14" ht="11.25" customHeight="1" x14ac:dyDescent="0.3">
      <c r="G4041" s="459"/>
      <c r="H4041" s="459">
        <v>4034</v>
      </c>
      <c r="I4041" s="444">
        <f t="shared" ca="1" si="160"/>
        <v>-6509751838494.4316</v>
      </c>
      <c r="J4041" s="444">
        <f t="array" ref="J4041">IFERROR(INDEX('Retirement Calculator'!K:K,MATCH('Lorri 401b'!N4041,'Retirement Calculator'!A:A,0),0),0)</f>
        <v>0</v>
      </c>
      <c r="K4041" s="444">
        <f t="shared" ca="1" si="158"/>
        <v>-27123965993.726799</v>
      </c>
      <c r="L4041" s="444">
        <f t="shared" ca="1" si="159"/>
        <v>-6536875804488.1582</v>
      </c>
      <c r="M4041" s="460">
        <f t="shared" si="161"/>
        <v>0.05</v>
      </c>
      <c r="N4041" s="464">
        <f t="shared" si="162"/>
        <v>174039</v>
      </c>
    </row>
    <row r="4042" spans="7:14" ht="11.25" customHeight="1" x14ac:dyDescent="0.3">
      <c r="G4042" s="459"/>
      <c r="H4042" s="459">
        <v>4035</v>
      </c>
      <c r="I4042" s="444">
        <f t="shared" ca="1" si="160"/>
        <v>-6536875804488.1582</v>
      </c>
      <c r="J4042" s="444">
        <f t="array" ref="J4042">IFERROR(INDEX('Retirement Calculator'!K:K,MATCH('Lorri 401b'!N4042,'Retirement Calculator'!A:A,0),0),0)</f>
        <v>0</v>
      </c>
      <c r="K4042" s="444">
        <f t="shared" ca="1" si="158"/>
        <v>-27236982518.700661</v>
      </c>
      <c r="L4042" s="444">
        <f t="shared" ca="1" si="159"/>
        <v>-6564112787006.8584</v>
      </c>
      <c r="M4042" s="460">
        <f t="shared" si="161"/>
        <v>0.05</v>
      </c>
      <c r="N4042" s="464">
        <f t="shared" si="162"/>
        <v>174070</v>
      </c>
    </row>
    <row r="4043" spans="7:14" ht="11.25" customHeight="1" x14ac:dyDescent="0.3">
      <c r="G4043" s="459"/>
      <c r="H4043" s="459">
        <v>4036</v>
      </c>
      <c r="I4043" s="444">
        <f t="shared" ca="1" si="160"/>
        <v>-6564112787006.8584</v>
      </c>
      <c r="J4043" s="444">
        <f t="array" ref="J4043">IFERROR(INDEX('Retirement Calculator'!K:K,MATCH('Lorri 401b'!N4043,'Retirement Calculator'!A:A,0),0),0)</f>
        <v>0</v>
      </c>
      <c r="K4043" s="444">
        <f t="shared" ca="1" si="158"/>
        <v>-27350469945.861908</v>
      </c>
      <c r="L4043" s="444">
        <f t="shared" ca="1" si="159"/>
        <v>-6591463256952.7207</v>
      </c>
      <c r="M4043" s="460">
        <f t="shared" si="161"/>
        <v>0.05</v>
      </c>
      <c r="N4043" s="464">
        <f t="shared" si="162"/>
        <v>174101</v>
      </c>
    </row>
    <row r="4044" spans="7:14" ht="11.25" customHeight="1" x14ac:dyDescent="0.3">
      <c r="G4044" s="459"/>
      <c r="H4044" s="459">
        <v>4037</v>
      </c>
      <c r="I4044" s="444">
        <f t="shared" ca="1" si="160"/>
        <v>-6591463256952.7207</v>
      </c>
      <c r="J4044" s="444">
        <f t="array" ref="J4044">IFERROR(INDEX('Retirement Calculator'!K:K,MATCH('Lorri 401b'!N4044,'Retirement Calculator'!A:A,0),0),0)</f>
        <v>0</v>
      </c>
      <c r="K4044" s="444">
        <f t="shared" ca="1" si="158"/>
        <v>-27464430237.303001</v>
      </c>
      <c r="L4044" s="444">
        <f t="shared" ca="1" si="159"/>
        <v>-6618927687190.0234</v>
      </c>
      <c r="M4044" s="460">
        <f t="shared" si="161"/>
        <v>0.05</v>
      </c>
      <c r="N4044" s="464">
        <f t="shared" si="162"/>
        <v>174131</v>
      </c>
    </row>
    <row r="4045" spans="7:14" ht="11.25" customHeight="1" x14ac:dyDescent="0.3">
      <c r="G4045" s="459"/>
      <c r="H4045" s="459">
        <v>4038</v>
      </c>
      <c r="I4045" s="444">
        <f t="shared" ca="1" si="160"/>
        <v>-6618927687190.0234</v>
      </c>
      <c r="J4045" s="444">
        <f t="array" ref="J4045">IFERROR(INDEX('Retirement Calculator'!K:K,MATCH('Lorri 401b'!N4045,'Retirement Calculator'!A:A,0),0),0)</f>
        <v>0</v>
      </c>
      <c r="K4045" s="444">
        <f t="shared" ca="1" si="158"/>
        <v>-27578865363.291763</v>
      </c>
      <c r="L4045" s="444">
        <f t="shared" ca="1" si="159"/>
        <v>-6646506552553.3154</v>
      </c>
      <c r="M4045" s="460">
        <f t="shared" si="161"/>
        <v>0.05</v>
      </c>
      <c r="N4045" s="464">
        <f t="shared" si="162"/>
        <v>174162</v>
      </c>
    </row>
    <row r="4046" spans="7:14" ht="11.25" customHeight="1" x14ac:dyDescent="0.3">
      <c r="G4046" s="459"/>
      <c r="H4046" s="459">
        <v>4039</v>
      </c>
      <c r="I4046" s="444">
        <f t="shared" ca="1" si="160"/>
        <v>-6646506552553.3154</v>
      </c>
      <c r="J4046" s="444">
        <f t="array" ref="J4046">IFERROR(INDEX('Retirement Calculator'!K:K,MATCH('Lorri 401b'!N4046,'Retirement Calculator'!A:A,0),0),0)</f>
        <v>0</v>
      </c>
      <c r="K4046" s="444">
        <f t="shared" ca="1" si="158"/>
        <v>-27693777302.305481</v>
      </c>
      <c r="L4046" s="444">
        <f t="shared" ca="1" si="159"/>
        <v>-6674200329855.6211</v>
      </c>
      <c r="M4046" s="460">
        <f t="shared" si="161"/>
        <v>0.05</v>
      </c>
      <c r="N4046" s="464">
        <f t="shared" si="162"/>
        <v>174192</v>
      </c>
    </row>
    <row r="4047" spans="7:14" ht="11.25" customHeight="1" x14ac:dyDescent="0.3">
      <c r="G4047" s="459"/>
      <c r="H4047" s="459">
        <v>4040</v>
      </c>
      <c r="I4047" s="444">
        <f t="shared" ca="1" si="160"/>
        <v>-6674200329855.6211</v>
      </c>
      <c r="J4047" s="444">
        <f t="array" ref="J4047">IFERROR(INDEX('Retirement Calculator'!K:K,MATCH('Lorri 401b'!N4047,'Retirement Calculator'!A:A,0),0),0)</f>
        <v>0</v>
      </c>
      <c r="K4047" s="444">
        <f t="shared" ca="1" si="158"/>
        <v>-27809168041.065086</v>
      </c>
      <c r="L4047" s="444">
        <f t="shared" ca="1" si="159"/>
        <v>-6702009497896.6865</v>
      </c>
      <c r="M4047" s="460">
        <f t="shared" si="161"/>
        <v>0.05</v>
      </c>
      <c r="N4047" s="464">
        <f t="shared" si="162"/>
        <v>174223</v>
      </c>
    </row>
    <row r="4048" spans="7:14" ht="11.25" customHeight="1" x14ac:dyDescent="0.3">
      <c r="G4048" s="459"/>
      <c r="H4048" s="459">
        <v>4041</v>
      </c>
      <c r="I4048" s="444">
        <f t="shared" ca="1" si="160"/>
        <v>-6702009497896.6865</v>
      </c>
      <c r="J4048" s="444">
        <f t="array" ref="J4048">IFERROR(INDEX('Retirement Calculator'!K:K,MATCH('Lorri 401b'!N4048,'Retirement Calculator'!A:A,0),0),0)</f>
        <v>0</v>
      </c>
      <c r="K4048" s="444">
        <f t="shared" ca="1" si="158"/>
        <v>-27925039574.569527</v>
      </c>
      <c r="L4048" s="444">
        <f t="shared" ca="1" si="159"/>
        <v>-6729934537471.2559</v>
      </c>
      <c r="M4048" s="460">
        <f t="shared" si="161"/>
        <v>0.05</v>
      </c>
      <c r="N4048" s="464">
        <f t="shared" si="162"/>
        <v>174254</v>
      </c>
    </row>
    <row r="4049" spans="7:14" ht="11.25" customHeight="1" x14ac:dyDescent="0.3">
      <c r="G4049" s="459"/>
      <c r="H4049" s="459">
        <v>4042</v>
      </c>
      <c r="I4049" s="444">
        <f t="shared" ca="1" si="160"/>
        <v>-6729934537471.2559</v>
      </c>
      <c r="J4049" s="444">
        <f t="array" ref="J4049">IFERROR(INDEX('Retirement Calculator'!K:K,MATCH('Lorri 401b'!N4049,'Retirement Calculator'!A:A,0),0),0)</f>
        <v>0</v>
      </c>
      <c r="K4049" s="444">
        <f t="shared" ca="1" si="158"/>
        <v>-28041393906.130234</v>
      </c>
      <c r="L4049" s="444">
        <f t="shared" ca="1" si="159"/>
        <v>-6757975931377.3857</v>
      </c>
      <c r="M4049" s="460">
        <f t="shared" si="161"/>
        <v>0.05</v>
      </c>
      <c r="N4049" s="464">
        <f t="shared" si="162"/>
        <v>174282</v>
      </c>
    </row>
    <row r="4050" spans="7:14" ht="11.25" customHeight="1" x14ac:dyDescent="0.3">
      <c r="G4050" s="459"/>
      <c r="H4050" s="459">
        <v>4043</v>
      </c>
      <c r="I4050" s="444">
        <f t="shared" ca="1" si="160"/>
        <v>-6757975931377.3857</v>
      </c>
      <c r="J4050" s="444">
        <f t="array" ref="J4050">IFERROR(INDEX('Retirement Calculator'!K:K,MATCH('Lorri 401b'!N4050,'Retirement Calculator'!A:A,0),0),0)</f>
        <v>0</v>
      </c>
      <c r="K4050" s="444">
        <f t="shared" ca="1" si="158"/>
        <v>-28158233047.405773</v>
      </c>
      <c r="L4050" s="444">
        <f t="shared" ca="1" si="159"/>
        <v>-6786134164424.792</v>
      </c>
      <c r="M4050" s="460">
        <f t="shared" si="161"/>
        <v>0.05</v>
      </c>
      <c r="N4050" s="464">
        <f t="shared" si="162"/>
        <v>174313</v>
      </c>
    </row>
    <row r="4051" spans="7:14" ht="11.25" customHeight="1" x14ac:dyDescent="0.3">
      <c r="G4051" s="459"/>
      <c r="H4051" s="459">
        <v>4044</v>
      </c>
      <c r="I4051" s="444">
        <f t="shared" ca="1" si="160"/>
        <v>-6786134164424.792</v>
      </c>
      <c r="J4051" s="444">
        <f t="array" ref="J4051">IFERROR(INDEX('Retirement Calculator'!K:K,MATCH('Lorri 401b'!N4051,'Retirement Calculator'!A:A,0),0),0)</f>
        <v>0</v>
      </c>
      <c r="K4051" s="444">
        <f t="shared" ca="1" si="158"/>
        <v>-28275559018.436634</v>
      </c>
      <c r="L4051" s="444">
        <f t="shared" ca="1" si="159"/>
        <v>-6814409723443.2285</v>
      </c>
      <c r="M4051" s="460">
        <f t="shared" si="161"/>
        <v>0.05</v>
      </c>
      <c r="N4051" s="464">
        <f t="shared" si="162"/>
        <v>174343</v>
      </c>
    </row>
    <row r="4052" spans="7:14" ht="11.25" customHeight="1" x14ac:dyDescent="0.3">
      <c r="G4052" s="459"/>
      <c r="H4052" s="459">
        <v>4045</v>
      </c>
      <c r="I4052" s="444">
        <f t="shared" ca="1" si="160"/>
        <v>-6814409723443.2285</v>
      </c>
      <c r="J4052" s="444">
        <f t="array" ref="J4052">IFERROR(INDEX('Retirement Calculator'!K:K,MATCH('Lorri 401b'!N4052,'Retirement Calculator'!A:A,0),0),0)</f>
        <v>0</v>
      </c>
      <c r="K4052" s="444">
        <f t="shared" ca="1" si="158"/>
        <v>-28393373847.680119</v>
      </c>
      <c r="L4052" s="444">
        <f t="shared" ca="1" si="159"/>
        <v>-6842803097290.9082</v>
      </c>
      <c r="M4052" s="460">
        <f t="shared" si="161"/>
        <v>0.05</v>
      </c>
      <c r="N4052" s="464">
        <f t="shared" si="162"/>
        <v>174374</v>
      </c>
    </row>
    <row r="4053" spans="7:14" ht="11.25" customHeight="1" x14ac:dyDescent="0.3">
      <c r="G4053" s="459"/>
      <c r="H4053" s="459">
        <v>4046</v>
      </c>
      <c r="I4053" s="444">
        <f t="shared" ca="1" si="160"/>
        <v>-6842803097290.9082</v>
      </c>
      <c r="J4053" s="444">
        <f t="array" ref="J4053">IFERROR(INDEX('Retirement Calculator'!K:K,MATCH('Lorri 401b'!N4053,'Retirement Calculator'!A:A,0),0),0)</f>
        <v>0</v>
      </c>
      <c r="K4053" s="444">
        <f t="shared" ca="1" si="158"/>
        <v>-28511679572.045452</v>
      </c>
      <c r="L4053" s="444">
        <f t="shared" ca="1" si="159"/>
        <v>-6871314776862.9541</v>
      </c>
      <c r="M4053" s="460">
        <f t="shared" si="161"/>
        <v>0.05</v>
      </c>
      <c r="N4053" s="464">
        <f t="shared" si="162"/>
        <v>174404</v>
      </c>
    </row>
    <row r="4054" spans="7:14" ht="11.25" customHeight="1" x14ac:dyDescent="0.3">
      <c r="G4054" s="459"/>
      <c r="H4054" s="459">
        <v>4047</v>
      </c>
      <c r="I4054" s="444">
        <f t="shared" ca="1" si="160"/>
        <v>-6871314776862.9541</v>
      </c>
      <c r="J4054" s="444">
        <f t="array" ref="J4054">IFERROR(INDEX('Retirement Calculator'!K:K,MATCH('Lorri 401b'!N4054,'Retirement Calculator'!A:A,0),0),0)</f>
        <v>0</v>
      </c>
      <c r="K4054" s="444">
        <f t="shared" ca="1" si="158"/>
        <v>-28630478236.928974</v>
      </c>
      <c r="L4054" s="444">
        <f t="shared" ca="1" si="159"/>
        <v>-6899945255099.8828</v>
      </c>
      <c r="M4054" s="460">
        <f t="shared" si="161"/>
        <v>0.05</v>
      </c>
      <c r="N4054" s="464">
        <f t="shared" si="162"/>
        <v>174435</v>
      </c>
    </row>
    <row r="4055" spans="7:14" ht="11.25" customHeight="1" x14ac:dyDescent="0.3">
      <c r="G4055" s="459"/>
      <c r="H4055" s="459">
        <v>4048</v>
      </c>
      <c r="I4055" s="444">
        <f t="shared" ca="1" si="160"/>
        <v>-6899945255099.8828</v>
      </c>
      <c r="J4055" s="444">
        <f t="array" ref="J4055">IFERROR(INDEX('Retirement Calculator'!K:K,MATCH('Lorri 401b'!N4055,'Retirement Calculator'!A:A,0),0),0)</f>
        <v>0</v>
      </c>
      <c r="K4055" s="444">
        <f t="shared" ca="1" si="158"/>
        <v>-28749771896.249516</v>
      </c>
      <c r="L4055" s="444">
        <f t="shared" ca="1" si="159"/>
        <v>-6928695026996.1328</v>
      </c>
      <c r="M4055" s="460">
        <f t="shared" si="161"/>
        <v>0.05</v>
      </c>
      <c r="N4055" s="464">
        <f t="shared" si="162"/>
        <v>174466</v>
      </c>
    </row>
    <row r="4056" spans="7:14" ht="11.25" customHeight="1" x14ac:dyDescent="0.3">
      <c r="G4056" s="459"/>
      <c r="H4056" s="459">
        <v>4049</v>
      </c>
      <c r="I4056" s="444">
        <f t="shared" ca="1" si="160"/>
        <v>-6928695026996.1328</v>
      </c>
      <c r="J4056" s="444">
        <f t="array" ref="J4056">IFERROR(INDEX('Retirement Calculator'!K:K,MATCH('Lorri 401b'!N4056,'Retirement Calculator'!A:A,0),0),0)</f>
        <v>0</v>
      </c>
      <c r="K4056" s="444">
        <f t="shared" ca="1" si="158"/>
        <v>-28869562612.483887</v>
      </c>
      <c r="L4056" s="444">
        <f t="shared" ca="1" si="159"/>
        <v>-6957564589608.6172</v>
      </c>
      <c r="M4056" s="460">
        <f t="shared" si="161"/>
        <v>0.05</v>
      </c>
      <c r="N4056" s="464">
        <f t="shared" si="162"/>
        <v>174496</v>
      </c>
    </row>
    <row r="4057" spans="7:14" ht="11.25" customHeight="1" x14ac:dyDescent="0.3">
      <c r="G4057" s="459"/>
      <c r="H4057" s="459">
        <v>4050</v>
      </c>
      <c r="I4057" s="444">
        <f t="shared" ca="1" si="160"/>
        <v>-6957564589608.6172</v>
      </c>
      <c r="J4057" s="444">
        <f t="array" ref="J4057">IFERROR(INDEX('Retirement Calculator'!K:K,MATCH('Lorri 401b'!N4057,'Retirement Calculator'!A:A,0),0),0)</f>
        <v>0</v>
      </c>
      <c r="K4057" s="444">
        <f t="shared" ca="1" si="158"/>
        <v>-28989852456.702576</v>
      </c>
      <c r="L4057" s="444">
        <f t="shared" ca="1" si="159"/>
        <v>-6986554442065.3193</v>
      </c>
      <c r="M4057" s="460">
        <f t="shared" si="161"/>
        <v>0.05</v>
      </c>
      <c r="N4057" s="464">
        <f t="shared" si="162"/>
        <v>174527</v>
      </c>
    </row>
    <row r="4058" spans="7:14" ht="11.25" customHeight="1" x14ac:dyDescent="0.3">
      <c r="G4058" s="459"/>
      <c r="H4058" s="459">
        <v>4051</v>
      </c>
      <c r="I4058" s="444">
        <f t="shared" ca="1" si="160"/>
        <v>-6986554442065.3193</v>
      </c>
      <c r="J4058" s="444">
        <f t="array" ref="J4058">IFERROR(INDEX('Retirement Calculator'!K:K,MATCH('Lorri 401b'!N4058,'Retirement Calculator'!A:A,0),0),0)</f>
        <v>0</v>
      </c>
      <c r="K4058" s="444">
        <f t="shared" ca="1" si="158"/>
        <v>-29110643508.605499</v>
      </c>
      <c r="L4058" s="444">
        <f t="shared" ca="1" si="159"/>
        <v>-7015665085573.9248</v>
      </c>
      <c r="M4058" s="460">
        <f t="shared" si="161"/>
        <v>0.05</v>
      </c>
      <c r="N4058" s="464">
        <f t="shared" si="162"/>
        <v>174557</v>
      </c>
    </row>
    <row r="4059" spans="7:14" ht="11.25" customHeight="1" x14ac:dyDescent="0.3">
      <c r="G4059" s="459"/>
      <c r="H4059" s="459">
        <v>4052</v>
      </c>
      <c r="I4059" s="444">
        <f t="shared" ca="1" si="160"/>
        <v>-7015665085573.9248</v>
      </c>
      <c r="J4059" s="444">
        <f t="array" ref="J4059">IFERROR(INDEX('Retirement Calculator'!K:K,MATCH('Lorri 401b'!N4059,'Retirement Calculator'!A:A,0),0),0)</f>
        <v>0</v>
      </c>
      <c r="K4059" s="444">
        <f t="shared" ca="1" si="158"/>
        <v>-29231937856.558018</v>
      </c>
      <c r="L4059" s="444">
        <f t="shared" ca="1" si="159"/>
        <v>-7044897023430.4824</v>
      </c>
      <c r="M4059" s="460">
        <f t="shared" si="161"/>
        <v>0.05</v>
      </c>
      <c r="N4059" s="464">
        <f t="shared" si="162"/>
        <v>174588</v>
      </c>
    </row>
    <row r="4060" spans="7:14" ht="11.25" customHeight="1" x14ac:dyDescent="0.3">
      <c r="G4060" s="459"/>
      <c r="H4060" s="459">
        <v>4053</v>
      </c>
      <c r="I4060" s="444">
        <f t="shared" ca="1" si="160"/>
        <v>-7044897023430.4824</v>
      </c>
      <c r="J4060" s="444">
        <f t="array" ref="J4060">IFERROR(INDEX('Retirement Calculator'!K:K,MATCH('Lorri 401b'!N4060,'Retirement Calculator'!A:A,0),0),0)</f>
        <v>0</v>
      </c>
      <c r="K4060" s="444">
        <f t="shared" ca="1" si="158"/>
        <v>-29353737597.62701</v>
      </c>
      <c r="L4060" s="444">
        <f t="shared" ca="1" si="159"/>
        <v>-7074250761028.1094</v>
      </c>
      <c r="M4060" s="460">
        <f t="shared" si="161"/>
        <v>0.05</v>
      </c>
      <c r="N4060" s="464">
        <f t="shared" si="162"/>
        <v>174619</v>
      </c>
    </row>
    <row r="4061" spans="7:14" ht="11.25" customHeight="1" x14ac:dyDescent="0.3">
      <c r="G4061" s="459"/>
      <c r="H4061" s="459">
        <v>4054</v>
      </c>
      <c r="I4061" s="444">
        <f t="shared" ca="1" si="160"/>
        <v>-7074250761028.1094</v>
      </c>
      <c r="J4061" s="444">
        <f t="array" ref="J4061">IFERROR(INDEX('Retirement Calculator'!K:K,MATCH('Lorri 401b'!N4061,'Retirement Calculator'!A:A,0),0),0)</f>
        <v>0</v>
      </c>
      <c r="K4061" s="444">
        <f t="shared" ca="1" si="158"/>
        <v>-29476044837.617119</v>
      </c>
      <c r="L4061" s="444">
        <f t="shared" ca="1" si="159"/>
        <v>-7103726805865.7266</v>
      </c>
      <c r="M4061" s="460">
        <f t="shared" si="161"/>
        <v>0.05</v>
      </c>
      <c r="N4061" s="464">
        <f t="shared" si="162"/>
        <v>174647</v>
      </c>
    </row>
    <row r="4062" spans="7:14" ht="11.25" customHeight="1" x14ac:dyDescent="0.3">
      <c r="G4062" s="459"/>
      <c r="H4062" s="459">
        <v>4055</v>
      </c>
      <c r="I4062" s="444">
        <f t="shared" ca="1" si="160"/>
        <v>-7103726805865.7266</v>
      </c>
      <c r="J4062" s="444">
        <f t="array" ref="J4062">IFERROR(INDEX('Retirement Calculator'!K:K,MATCH('Lorri 401b'!N4062,'Retirement Calculator'!A:A,0),0),0)</f>
        <v>0</v>
      </c>
      <c r="K4062" s="444">
        <f t="shared" ca="1" si="158"/>
        <v>-29598861691.107193</v>
      </c>
      <c r="L4062" s="444">
        <f t="shared" ca="1" si="159"/>
        <v>-7133325667556.834</v>
      </c>
      <c r="M4062" s="460">
        <f t="shared" si="161"/>
        <v>0.05</v>
      </c>
      <c r="N4062" s="464">
        <f t="shared" si="162"/>
        <v>174678</v>
      </c>
    </row>
    <row r="4063" spans="7:14" ht="11.25" customHeight="1" x14ac:dyDescent="0.3">
      <c r="G4063" s="459"/>
      <c r="H4063" s="459">
        <v>4056</v>
      </c>
      <c r="I4063" s="444">
        <f t="shared" ca="1" si="160"/>
        <v>-7133325667556.834</v>
      </c>
      <c r="J4063" s="444">
        <f t="array" ref="J4063">IFERROR(INDEX('Retirement Calculator'!K:K,MATCH('Lorri 401b'!N4063,'Retirement Calculator'!A:A,0),0),0)</f>
        <v>0</v>
      </c>
      <c r="K4063" s="444">
        <f t="shared" ca="1" si="158"/>
        <v>-29722190281.486809</v>
      </c>
      <c r="L4063" s="444">
        <f t="shared" ca="1" si="159"/>
        <v>-7163047857838.3203</v>
      </c>
      <c r="M4063" s="460">
        <f t="shared" si="161"/>
        <v>0.05</v>
      </c>
      <c r="N4063" s="464">
        <f t="shared" si="162"/>
        <v>174708</v>
      </c>
    </row>
    <row r="4064" spans="7:14" ht="11.25" customHeight="1" x14ac:dyDescent="0.3">
      <c r="G4064" s="459"/>
      <c r="H4064" s="459">
        <v>4057</v>
      </c>
      <c r="I4064" s="444">
        <f t="shared" ca="1" si="160"/>
        <v>-7163047857838.3203</v>
      </c>
      <c r="J4064" s="444">
        <f t="array" ref="J4064">IFERROR(INDEX('Retirement Calculator'!K:K,MATCH('Lorri 401b'!N4064,'Retirement Calculator'!A:A,0),0),0)</f>
        <v>0</v>
      </c>
      <c r="K4064" s="444">
        <f t="shared" ca="1" si="158"/>
        <v>-29846032740.993</v>
      </c>
      <c r="L4064" s="444">
        <f t="shared" ca="1" si="159"/>
        <v>-7192893890579.3135</v>
      </c>
      <c r="M4064" s="460">
        <f t="shared" si="161"/>
        <v>0.05</v>
      </c>
      <c r="N4064" s="464">
        <f t="shared" si="162"/>
        <v>174739</v>
      </c>
    </row>
    <row r="4065" spans="7:14" ht="11.25" customHeight="1" x14ac:dyDescent="0.3">
      <c r="G4065" s="459"/>
      <c r="H4065" s="459">
        <v>4058</v>
      </c>
      <c r="I4065" s="444">
        <f t="shared" ca="1" si="160"/>
        <v>-7192893890579.3135</v>
      </c>
      <c r="J4065" s="444">
        <f t="array" ref="J4065">IFERROR(INDEX('Retirement Calculator'!K:K,MATCH('Lorri 401b'!N4065,'Retirement Calculator'!A:A,0),0),0)</f>
        <v>0</v>
      </c>
      <c r="K4065" s="444">
        <f t="shared" ca="1" si="158"/>
        <v>-29970391210.747139</v>
      </c>
      <c r="L4065" s="444">
        <f t="shared" ca="1" si="159"/>
        <v>-7222864281790.0605</v>
      </c>
      <c r="M4065" s="460">
        <f t="shared" si="161"/>
        <v>0.05</v>
      </c>
      <c r="N4065" s="464">
        <f t="shared" si="162"/>
        <v>174769</v>
      </c>
    </row>
    <row r="4066" spans="7:14" ht="11.25" customHeight="1" x14ac:dyDescent="0.3">
      <c r="G4066" s="459"/>
      <c r="H4066" s="459">
        <v>4059</v>
      </c>
      <c r="I4066" s="444">
        <f t="shared" ca="1" si="160"/>
        <v>-7222864281790.0605</v>
      </c>
      <c r="J4066" s="444">
        <f t="array" ref="J4066">IFERROR(INDEX('Retirement Calculator'!K:K,MATCH('Lorri 401b'!N4066,'Retirement Calculator'!A:A,0),0),0)</f>
        <v>0</v>
      </c>
      <c r="K4066" s="444">
        <f t="shared" ca="1" si="158"/>
        <v>-30095267840.791924</v>
      </c>
      <c r="L4066" s="444">
        <f t="shared" ca="1" si="159"/>
        <v>-7252959549630.8525</v>
      </c>
      <c r="M4066" s="460">
        <f t="shared" si="161"/>
        <v>0.05</v>
      </c>
      <c r="N4066" s="464">
        <f t="shared" si="162"/>
        <v>174800</v>
      </c>
    </row>
    <row r="4067" spans="7:14" ht="11.25" customHeight="1" x14ac:dyDescent="0.3">
      <c r="G4067" s="459"/>
      <c r="H4067" s="459">
        <v>4060</v>
      </c>
      <c r="I4067" s="444">
        <f t="shared" ca="1" si="160"/>
        <v>-7252959549630.8525</v>
      </c>
      <c r="J4067" s="444">
        <f t="array" ref="J4067">IFERROR(INDEX('Retirement Calculator'!K:K,MATCH('Lorri 401b'!N4067,'Retirement Calculator'!A:A,0),0),0)</f>
        <v>0</v>
      </c>
      <c r="K4067" s="444">
        <f t="shared" ca="1" si="158"/>
        <v>-30220664790.128551</v>
      </c>
      <c r="L4067" s="444">
        <f t="shared" ca="1" si="159"/>
        <v>-7283180214420.9814</v>
      </c>
      <c r="M4067" s="460">
        <f t="shared" si="161"/>
        <v>0.05</v>
      </c>
      <c r="N4067" s="464">
        <f t="shared" si="162"/>
        <v>174831</v>
      </c>
    </row>
    <row r="4068" spans="7:14" ht="11.25" customHeight="1" x14ac:dyDescent="0.3">
      <c r="G4068" s="459"/>
      <c r="H4068" s="459">
        <v>4061</v>
      </c>
      <c r="I4068" s="444">
        <f t="shared" ca="1" si="160"/>
        <v>-7283180214420.9814</v>
      </c>
      <c r="J4068" s="444">
        <f t="array" ref="J4068">IFERROR(INDEX('Retirement Calculator'!K:K,MATCH('Lorri 401b'!N4068,'Retirement Calculator'!A:A,0),0),0)</f>
        <v>0</v>
      </c>
      <c r="K4068" s="444">
        <f t="shared" ca="1" si="158"/>
        <v>-30346584226.754086</v>
      </c>
      <c r="L4068" s="444">
        <f t="shared" ca="1" si="159"/>
        <v>-7313526798647.7354</v>
      </c>
      <c r="M4068" s="460">
        <f t="shared" si="161"/>
        <v>0.05</v>
      </c>
      <c r="N4068" s="464">
        <f t="shared" si="162"/>
        <v>174861</v>
      </c>
    </row>
    <row r="4069" spans="7:14" ht="11.25" customHeight="1" x14ac:dyDescent="0.3">
      <c r="G4069" s="459"/>
      <c r="H4069" s="459">
        <v>4062</v>
      </c>
      <c r="I4069" s="444">
        <f t="shared" ca="1" si="160"/>
        <v>-7313526798647.7354</v>
      </c>
      <c r="J4069" s="444">
        <f t="array" ref="J4069">IFERROR(INDEX('Retirement Calculator'!K:K,MATCH('Lorri 401b'!N4069,'Retirement Calculator'!A:A,0),0),0)</f>
        <v>0</v>
      </c>
      <c r="K4069" s="444">
        <f t="shared" ca="1" si="158"/>
        <v>-30473028327.698898</v>
      </c>
      <c r="L4069" s="444">
        <f t="shared" ca="1" si="159"/>
        <v>-7343999826975.4346</v>
      </c>
      <c r="M4069" s="460">
        <f t="shared" si="161"/>
        <v>0.05</v>
      </c>
      <c r="N4069" s="464">
        <f t="shared" si="162"/>
        <v>174892</v>
      </c>
    </row>
    <row r="4070" spans="7:14" ht="11.25" customHeight="1" x14ac:dyDescent="0.3">
      <c r="G4070" s="459"/>
      <c r="H4070" s="459">
        <v>4063</v>
      </c>
      <c r="I4070" s="444">
        <f t="shared" ca="1" si="160"/>
        <v>-7343999826975.4346</v>
      </c>
      <c r="J4070" s="444">
        <f t="array" ref="J4070">IFERROR(INDEX('Retirement Calculator'!K:K,MATCH('Lorri 401b'!N4070,'Retirement Calculator'!A:A,0),0),0)</f>
        <v>0</v>
      </c>
      <c r="K4070" s="444">
        <f t="shared" ca="1" si="158"/>
        <v>-30599999279.064304</v>
      </c>
      <c r="L4070" s="444">
        <f t="shared" ca="1" si="159"/>
        <v>-7374599826254.499</v>
      </c>
      <c r="M4070" s="460">
        <f t="shared" si="161"/>
        <v>0.05</v>
      </c>
      <c r="N4070" s="464">
        <f t="shared" si="162"/>
        <v>174922</v>
      </c>
    </row>
    <row r="4071" spans="7:14" ht="11.25" customHeight="1" x14ac:dyDescent="0.3">
      <c r="G4071" s="459"/>
      <c r="H4071" s="459">
        <v>4064</v>
      </c>
      <c r="I4071" s="444">
        <f t="shared" ca="1" si="160"/>
        <v>-7374599826254.499</v>
      </c>
      <c r="J4071" s="444">
        <f t="array" ref="J4071">IFERROR(INDEX('Retirement Calculator'!K:K,MATCH('Lorri 401b'!N4071,'Retirement Calculator'!A:A,0),0),0)</f>
        <v>0</v>
      </c>
      <c r="K4071" s="444">
        <f t="shared" ca="1" si="158"/>
        <v>-30727499276.060413</v>
      </c>
      <c r="L4071" s="444">
        <f t="shared" ca="1" si="159"/>
        <v>-7405327325530.5596</v>
      </c>
      <c r="M4071" s="460">
        <f t="shared" si="161"/>
        <v>0.05</v>
      </c>
      <c r="N4071" s="464">
        <f t="shared" si="162"/>
        <v>174953</v>
      </c>
    </row>
    <row r="4072" spans="7:14" ht="11.25" customHeight="1" x14ac:dyDescent="0.3">
      <c r="G4072" s="459"/>
      <c r="H4072" s="459">
        <v>4065</v>
      </c>
      <c r="I4072" s="444">
        <f t="shared" ca="1" si="160"/>
        <v>-7405327325530.5596</v>
      </c>
      <c r="J4072" s="444">
        <f t="array" ref="J4072">IFERROR(INDEX('Retirement Calculator'!K:K,MATCH('Lorri 401b'!N4072,'Retirement Calculator'!A:A,0),0),0)</f>
        <v>0</v>
      </c>
      <c r="K4072" s="444">
        <f t="shared" ca="1" si="158"/>
        <v>-30855530523.043995</v>
      </c>
      <c r="L4072" s="444">
        <f t="shared" ca="1" si="159"/>
        <v>-7436182856053.6035</v>
      </c>
      <c r="M4072" s="460">
        <f t="shared" si="161"/>
        <v>0.05</v>
      </c>
      <c r="N4072" s="464">
        <f t="shared" si="162"/>
        <v>174984</v>
      </c>
    </row>
    <row r="4073" spans="7:14" ht="11.25" customHeight="1" x14ac:dyDescent="0.3">
      <c r="G4073" s="459"/>
      <c r="H4073" s="459">
        <v>4066</v>
      </c>
      <c r="I4073" s="444">
        <f t="shared" ca="1" si="160"/>
        <v>-7436182856053.6035</v>
      </c>
      <c r="J4073" s="444">
        <f t="array" ref="J4073">IFERROR(INDEX('Retirement Calculator'!K:K,MATCH('Lorri 401b'!N4073,'Retirement Calculator'!A:A,0),0),0)</f>
        <v>0</v>
      </c>
      <c r="K4073" s="444">
        <f t="shared" ca="1" si="158"/>
        <v>-30984095233.556683</v>
      </c>
      <c r="L4073" s="444">
        <f t="shared" ca="1" si="159"/>
        <v>-7467166951287.1602</v>
      </c>
      <c r="M4073" s="460">
        <f t="shared" si="161"/>
        <v>0.05</v>
      </c>
      <c r="N4073" s="464">
        <f t="shared" si="162"/>
        <v>175012</v>
      </c>
    </row>
    <row r="4074" spans="7:14" ht="11.25" customHeight="1" x14ac:dyDescent="0.3">
      <c r="G4074" s="459"/>
      <c r="H4074" s="459">
        <v>4067</v>
      </c>
      <c r="I4074" s="444">
        <f t="shared" ca="1" si="160"/>
        <v>-7467166951287.1602</v>
      </c>
      <c r="J4074" s="444">
        <f t="array" ref="J4074">IFERROR(INDEX('Retirement Calculator'!K:K,MATCH('Lorri 401b'!N4074,'Retirement Calculator'!A:A,0),0),0)</f>
        <v>0</v>
      </c>
      <c r="K4074" s="444">
        <f t="shared" ca="1" si="158"/>
        <v>-31113195630.363163</v>
      </c>
      <c r="L4074" s="444">
        <f t="shared" ca="1" si="159"/>
        <v>-7498280146917.5234</v>
      </c>
      <c r="M4074" s="460">
        <f t="shared" si="161"/>
        <v>0.05</v>
      </c>
      <c r="N4074" s="464">
        <f t="shared" si="162"/>
        <v>175043</v>
      </c>
    </row>
    <row r="4075" spans="7:14" ht="11.25" customHeight="1" x14ac:dyDescent="0.3">
      <c r="G4075" s="459"/>
      <c r="H4075" s="459">
        <v>4068</v>
      </c>
      <c r="I4075" s="444">
        <f t="shared" ca="1" si="160"/>
        <v>-7498280146917.5234</v>
      </c>
      <c r="J4075" s="444">
        <f t="array" ref="J4075">IFERROR(INDEX('Retirement Calculator'!K:K,MATCH('Lorri 401b'!N4075,'Retirement Calculator'!A:A,0),0),0)</f>
        <v>0</v>
      </c>
      <c r="K4075" s="444">
        <f t="shared" ca="1" si="158"/>
        <v>-31242833945.489681</v>
      </c>
      <c r="L4075" s="444">
        <f t="shared" ca="1" si="159"/>
        <v>-7529522980863.0127</v>
      </c>
      <c r="M4075" s="460">
        <f t="shared" si="161"/>
        <v>0.05</v>
      </c>
      <c r="N4075" s="464">
        <f t="shared" si="162"/>
        <v>175073</v>
      </c>
    </row>
    <row r="4076" spans="7:14" ht="11.25" customHeight="1" x14ac:dyDescent="0.3">
      <c r="G4076" s="459"/>
      <c r="H4076" s="459">
        <v>4069</v>
      </c>
      <c r="I4076" s="444">
        <f t="shared" ca="1" si="160"/>
        <v>-7529522980863.0127</v>
      </c>
      <c r="J4076" s="444">
        <f t="array" ref="J4076">IFERROR(INDEX('Retirement Calculator'!K:K,MATCH('Lorri 401b'!N4076,'Retirement Calculator'!A:A,0),0),0)</f>
        <v>0</v>
      </c>
      <c r="K4076" s="444">
        <f t="shared" ca="1" si="158"/>
        <v>-31373012420.262554</v>
      </c>
      <c r="L4076" s="444">
        <f t="shared" ca="1" si="159"/>
        <v>-7560895993283.2754</v>
      </c>
      <c r="M4076" s="460">
        <f t="shared" si="161"/>
        <v>0.05</v>
      </c>
      <c r="N4076" s="464">
        <f t="shared" si="162"/>
        <v>175104</v>
      </c>
    </row>
    <row r="4077" spans="7:14" ht="11.25" customHeight="1" x14ac:dyDescent="0.3">
      <c r="G4077" s="459"/>
      <c r="H4077" s="459">
        <v>4070</v>
      </c>
      <c r="I4077" s="444">
        <f t="shared" ca="1" si="160"/>
        <v>-7560895993283.2754</v>
      </c>
      <c r="J4077" s="444">
        <f t="array" ref="J4077">IFERROR(INDEX('Retirement Calculator'!K:K,MATCH('Lorri 401b'!N4077,'Retirement Calculator'!A:A,0),0),0)</f>
        <v>0</v>
      </c>
      <c r="K4077" s="444">
        <f t="shared" ca="1" si="158"/>
        <v>-31503733305.346981</v>
      </c>
      <c r="L4077" s="444">
        <f t="shared" ca="1" si="159"/>
        <v>-7592399726588.6221</v>
      </c>
      <c r="M4077" s="460">
        <f t="shared" si="161"/>
        <v>0.05</v>
      </c>
      <c r="N4077" s="464">
        <f t="shared" si="162"/>
        <v>175134</v>
      </c>
    </row>
    <row r="4078" spans="7:14" ht="11.25" customHeight="1" x14ac:dyDescent="0.3">
      <c r="G4078" s="459"/>
      <c r="H4078" s="459">
        <v>4071</v>
      </c>
      <c r="I4078" s="444">
        <f t="shared" ca="1" si="160"/>
        <v>-7592399726588.6221</v>
      </c>
      <c r="J4078" s="444">
        <f t="array" ref="J4078">IFERROR(INDEX('Retirement Calculator'!K:K,MATCH('Lorri 401b'!N4078,'Retirement Calculator'!A:A,0),0),0)</f>
        <v>0</v>
      </c>
      <c r="K4078" s="444">
        <f t="shared" ca="1" si="158"/>
        <v>-31634998860.785923</v>
      </c>
      <c r="L4078" s="444">
        <f t="shared" ca="1" si="159"/>
        <v>-7624034725449.4082</v>
      </c>
      <c r="M4078" s="460">
        <f t="shared" si="161"/>
        <v>0.05</v>
      </c>
      <c r="N4078" s="464">
        <f t="shared" si="162"/>
        <v>175165</v>
      </c>
    </row>
    <row r="4079" spans="7:14" ht="11.25" customHeight="1" x14ac:dyDescent="0.3">
      <c r="G4079" s="459"/>
      <c r="H4079" s="459">
        <v>4072</v>
      </c>
      <c r="I4079" s="444">
        <f t="shared" ca="1" si="160"/>
        <v>-7624034725449.4082</v>
      </c>
      <c r="J4079" s="444">
        <f t="array" ref="J4079">IFERROR(INDEX('Retirement Calculator'!K:K,MATCH('Lorri 401b'!N4079,'Retirement Calculator'!A:A,0),0),0)</f>
        <v>0</v>
      </c>
      <c r="K4079" s="444">
        <f t="shared" ca="1" si="158"/>
        <v>-31766811356.0392</v>
      </c>
      <c r="L4079" s="444">
        <f t="shared" ca="1" si="159"/>
        <v>-7655801536805.4473</v>
      </c>
      <c r="M4079" s="460">
        <f t="shared" si="161"/>
        <v>0.05</v>
      </c>
      <c r="N4079" s="464">
        <f t="shared" si="162"/>
        <v>175196</v>
      </c>
    </row>
    <row r="4080" spans="7:14" ht="11.25" customHeight="1" x14ac:dyDescent="0.3">
      <c r="G4080" s="459"/>
      <c r="H4080" s="459">
        <v>4073</v>
      </c>
      <c r="I4080" s="444">
        <f t="shared" ca="1" si="160"/>
        <v>-7655801536805.4473</v>
      </c>
      <c r="J4080" s="444">
        <f t="array" ref="J4080">IFERROR(INDEX('Retirement Calculator'!K:K,MATCH('Lorri 401b'!N4080,'Retirement Calculator'!A:A,0),0),0)</f>
        <v>0</v>
      </c>
      <c r="K4080" s="444">
        <f t="shared" ca="1" si="158"/>
        <v>-31899173070.022697</v>
      </c>
      <c r="L4080" s="444">
        <f t="shared" ca="1" si="159"/>
        <v>-7687700709875.4697</v>
      </c>
      <c r="M4080" s="460">
        <f t="shared" si="161"/>
        <v>0.05</v>
      </c>
      <c r="N4080" s="464">
        <f t="shared" si="162"/>
        <v>175226</v>
      </c>
    </row>
    <row r="4081" spans="7:14" ht="11.25" customHeight="1" x14ac:dyDescent="0.3">
      <c r="G4081" s="459"/>
      <c r="H4081" s="459">
        <v>4074</v>
      </c>
      <c r="I4081" s="444">
        <f t="shared" ca="1" si="160"/>
        <v>-7687700709875.4697</v>
      </c>
      <c r="J4081" s="444">
        <f t="array" ref="J4081">IFERROR(INDEX('Retirement Calculator'!K:K,MATCH('Lorri 401b'!N4081,'Retirement Calculator'!A:A,0),0),0)</f>
        <v>0</v>
      </c>
      <c r="K4081" s="444">
        <f t="shared" ca="1" si="158"/>
        <v>-32032086291.147789</v>
      </c>
      <c r="L4081" s="444">
        <f t="shared" ca="1" si="159"/>
        <v>-7719732796166.6172</v>
      </c>
      <c r="M4081" s="460">
        <f t="shared" si="161"/>
        <v>0.05</v>
      </c>
      <c r="N4081" s="464">
        <f t="shared" si="162"/>
        <v>175257</v>
      </c>
    </row>
    <row r="4082" spans="7:14" ht="11.25" customHeight="1" x14ac:dyDescent="0.3">
      <c r="G4082" s="459"/>
      <c r="H4082" s="459">
        <v>4075</v>
      </c>
      <c r="I4082" s="444">
        <f t="shared" ca="1" si="160"/>
        <v>-7719732796166.6172</v>
      </c>
      <c r="J4082" s="444">
        <f t="array" ref="J4082">IFERROR(INDEX('Retirement Calculator'!K:K,MATCH('Lorri 401b'!N4082,'Retirement Calculator'!A:A,0),0),0)</f>
        <v>0</v>
      </c>
      <c r="K4082" s="444">
        <f t="shared" ca="1" si="158"/>
        <v>-32165553317.360905</v>
      </c>
      <c r="L4082" s="444">
        <f t="shared" ca="1" si="159"/>
        <v>-7751898349483.9785</v>
      </c>
      <c r="M4082" s="460">
        <f t="shared" si="161"/>
        <v>0.05</v>
      </c>
      <c r="N4082" s="464">
        <f t="shared" si="162"/>
        <v>175287</v>
      </c>
    </row>
    <row r="4083" spans="7:14" ht="11.25" customHeight="1" x14ac:dyDescent="0.3">
      <c r="G4083" s="459"/>
      <c r="H4083" s="459">
        <v>4076</v>
      </c>
      <c r="I4083" s="444">
        <f t="shared" ca="1" si="160"/>
        <v>-7751898349483.9785</v>
      </c>
      <c r="J4083" s="444">
        <f t="array" ref="J4083">IFERROR(INDEX('Retirement Calculator'!K:K,MATCH('Lorri 401b'!N4083,'Retirement Calculator'!A:A,0),0),0)</f>
        <v>0</v>
      </c>
      <c r="K4083" s="444">
        <f t="shared" ca="1" si="158"/>
        <v>-32299576456.183239</v>
      </c>
      <c r="L4083" s="444">
        <f t="shared" ca="1" si="159"/>
        <v>-7784197925940.1621</v>
      </c>
      <c r="M4083" s="460">
        <f t="shared" si="161"/>
        <v>0.05</v>
      </c>
      <c r="N4083" s="464">
        <f t="shared" si="162"/>
        <v>175318</v>
      </c>
    </row>
    <row r="4084" spans="7:14" ht="11.25" customHeight="1" x14ac:dyDescent="0.3">
      <c r="G4084" s="459"/>
      <c r="H4084" s="459">
        <v>4077</v>
      </c>
      <c r="I4084" s="444">
        <f t="shared" ca="1" si="160"/>
        <v>-7784197925940.1621</v>
      </c>
      <c r="J4084" s="444">
        <f t="array" ref="J4084">IFERROR(INDEX('Retirement Calculator'!K:K,MATCH('Lorri 401b'!N4084,'Retirement Calculator'!A:A,0),0),0)</f>
        <v>0</v>
      </c>
      <c r="K4084" s="444">
        <f t="shared" ca="1" si="158"/>
        <v>-32434158024.750671</v>
      </c>
      <c r="L4084" s="444">
        <f t="shared" ca="1" si="159"/>
        <v>-7816632083964.9131</v>
      </c>
      <c r="M4084" s="460">
        <f t="shared" si="161"/>
        <v>0.05</v>
      </c>
      <c r="N4084" s="464">
        <f t="shared" si="162"/>
        <v>175349</v>
      </c>
    </row>
    <row r="4085" spans="7:14" ht="11.25" customHeight="1" x14ac:dyDescent="0.3">
      <c r="G4085" s="459"/>
      <c r="H4085" s="459">
        <v>4078</v>
      </c>
      <c r="I4085" s="444">
        <f t="shared" ca="1" si="160"/>
        <v>-7816632083964.9131</v>
      </c>
      <c r="J4085" s="444">
        <f t="array" ref="J4085">IFERROR(INDEX('Retirement Calculator'!K:K,MATCH('Lorri 401b'!N4085,'Retirement Calculator'!A:A,0),0),0)</f>
        <v>0</v>
      </c>
      <c r="K4085" s="444">
        <f t="shared" ca="1" si="158"/>
        <v>-32569300349.853809</v>
      </c>
      <c r="L4085" s="444">
        <f t="shared" ca="1" si="159"/>
        <v>-7849201384314.7666</v>
      </c>
      <c r="M4085" s="460">
        <f t="shared" si="161"/>
        <v>0.05</v>
      </c>
      <c r="N4085" s="464">
        <f t="shared" si="162"/>
        <v>175378</v>
      </c>
    </row>
    <row r="4086" spans="7:14" ht="11.25" customHeight="1" x14ac:dyDescent="0.3">
      <c r="G4086" s="459"/>
      <c r="H4086" s="459">
        <v>4079</v>
      </c>
      <c r="I4086" s="444">
        <f t="shared" ca="1" si="160"/>
        <v>-7849201384314.7666</v>
      </c>
      <c r="J4086" s="444">
        <f t="array" ref="J4086">IFERROR(INDEX('Retirement Calculator'!K:K,MATCH('Lorri 401b'!N4086,'Retirement Calculator'!A:A,0),0),0)</f>
        <v>0</v>
      </c>
      <c r="K4086" s="444">
        <f t="shared" ca="1" si="158"/>
        <v>-32705005767.978195</v>
      </c>
      <c r="L4086" s="444">
        <f t="shared" ca="1" si="159"/>
        <v>-7881906390082.7451</v>
      </c>
      <c r="M4086" s="460">
        <f t="shared" si="161"/>
        <v>0.05</v>
      </c>
      <c r="N4086" s="464">
        <f t="shared" si="162"/>
        <v>175409</v>
      </c>
    </row>
    <row r="4087" spans="7:14" ht="11.25" customHeight="1" x14ac:dyDescent="0.3">
      <c r="G4087" s="459"/>
      <c r="H4087" s="459">
        <v>4080</v>
      </c>
      <c r="I4087" s="444">
        <f t="shared" ca="1" si="160"/>
        <v>-7881906390082.7451</v>
      </c>
      <c r="J4087" s="444">
        <f t="array" ref="J4087">IFERROR(INDEX('Retirement Calculator'!K:K,MATCH('Lorri 401b'!N4087,'Retirement Calculator'!A:A,0),0),0)</f>
        <v>0</v>
      </c>
      <c r="K4087" s="444">
        <f t="shared" ca="1" si="158"/>
        <v>-32841276625.344772</v>
      </c>
      <c r="L4087" s="444">
        <f t="shared" ca="1" si="159"/>
        <v>-7914747666708.0898</v>
      </c>
      <c r="M4087" s="460">
        <f t="shared" si="161"/>
        <v>0.05</v>
      </c>
      <c r="N4087" s="464">
        <f t="shared" si="162"/>
        <v>175439</v>
      </c>
    </row>
    <row r="4088" spans="7:14" ht="11.25" customHeight="1" x14ac:dyDescent="0.3">
      <c r="G4088" s="459"/>
      <c r="H4088" s="459">
        <v>4081</v>
      </c>
      <c r="I4088" s="444">
        <f t="shared" ca="1" si="160"/>
        <v>-7914747666708.0898</v>
      </c>
      <c r="J4088" s="444">
        <f t="array" ref="J4088">IFERROR(INDEX('Retirement Calculator'!K:K,MATCH('Lorri 401b'!N4088,'Retirement Calculator'!A:A,0),0),0)</f>
        <v>0</v>
      </c>
      <c r="K4088" s="444">
        <f t="shared" ref="K4088:K4342" ca="1" si="163">IPMT(M4088/12,1,12,-I4088+J4088,,0)</f>
        <v>-32978115277.950375</v>
      </c>
      <c r="L4088" s="444">
        <f t="shared" ref="L4088:L4342" ca="1" si="164">I4088-J4088+K4088</f>
        <v>-7947725781986.04</v>
      </c>
      <c r="M4088" s="460">
        <f t="shared" si="161"/>
        <v>0.05</v>
      </c>
      <c r="N4088" s="464">
        <f t="shared" si="162"/>
        <v>175470</v>
      </c>
    </row>
    <row r="4089" spans="7:14" ht="11.25" customHeight="1" x14ac:dyDescent="0.3">
      <c r="G4089" s="459"/>
      <c r="H4089" s="459">
        <v>4082</v>
      </c>
      <c r="I4089" s="444">
        <f t="shared" ref="I4089:I4343" ca="1" si="165">L4088</f>
        <v>-7947725781986.04</v>
      </c>
      <c r="J4089" s="444">
        <f t="array" ref="J4089">IFERROR(INDEX('Retirement Calculator'!K:K,MATCH('Lorri 401b'!N4089,'Retirement Calculator'!A:A,0),0),0)</f>
        <v>0</v>
      </c>
      <c r="K4089" s="444">
        <f t="shared" ca="1" si="163"/>
        <v>-33115524091.608505</v>
      </c>
      <c r="L4089" s="444">
        <f t="shared" ca="1" si="164"/>
        <v>-7980841306077.6484</v>
      </c>
      <c r="M4089" s="460">
        <f t="shared" ref="M4089:M4343" si="166">M4088</f>
        <v>0.05</v>
      </c>
      <c r="N4089" s="464">
        <f t="shared" ref="N4089:N4343" si="167">EDATE(N4088,1)</f>
        <v>175500</v>
      </c>
    </row>
    <row r="4090" spans="7:14" ht="11.25" customHeight="1" x14ac:dyDescent="0.3">
      <c r="G4090" s="459"/>
      <c r="H4090" s="459">
        <v>4083</v>
      </c>
      <c r="I4090" s="444">
        <f t="shared" ca="1" si="165"/>
        <v>-7980841306077.6484</v>
      </c>
      <c r="J4090" s="444">
        <f t="array" ref="J4090">IFERROR(INDEX('Retirement Calculator'!K:K,MATCH('Lorri 401b'!N4090,'Retirement Calculator'!A:A,0),0),0)</f>
        <v>0</v>
      </c>
      <c r="K4090" s="444">
        <f t="shared" ca="1" si="163"/>
        <v>-33253505441.9902</v>
      </c>
      <c r="L4090" s="444">
        <f t="shared" ca="1" si="164"/>
        <v>-8014094811519.6387</v>
      </c>
      <c r="M4090" s="460">
        <f t="shared" si="166"/>
        <v>0.05</v>
      </c>
      <c r="N4090" s="464">
        <f t="shared" si="167"/>
        <v>175531</v>
      </c>
    </row>
    <row r="4091" spans="7:14" ht="11.25" customHeight="1" x14ac:dyDescent="0.3">
      <c r="G4091" s="459"/>
      <c r="H4091" s="459">
        <v>4084</v>
      </c>
      <c r="I4091" s="444">
        <f t="shared" ca="1" si="165"/>
        <v>-8014094811519.6387</v>
      </c>
      <c r="J4091" s="444">
        <f t="array" ref="J4091">IFERROR(INDEX('Retirement Calculator'!K:K,MATCH('Lorri 401b'!N4091,'Retirement Calculator'!A:A,0),0),0)</f>
        <v>0</v>
      </c>
      <c r="K4091" s="444">
        <f t="shared" ca="1" si="163"/>
        <v>-33392061714.665161</v>
      </c>
      <c r="L4091" s="444">
        <f t="shared" ca="1" si="164"/>
        <v>-8047486873234.3037</v>
      </c>
      <c r="M4091" s="460">
        <f t="shared" si="166"/>
        <v>0.05</v>
      </c>
      <c r="N4091" s="464">
        <f t="shared" si="167"/>
        <v>175562</v>
      </c>
    </row>
    <row r="4092" spans="7:14" ht="11.25" customHeight="1" x14ac:dyDescent="0.3">
      <c r="G4092" s="459"/>
      <c r="H4092" s="459">
        <v>4085</v>
      </c>
      <c r="I4092" s="444">
        <f t="shared" ca="1" si="165"/>
        <v>-8047486873234.3037</v>
      </c>
      <c r="J4092" s="444">
        <f t="array" ref="J4092">IFERROR(INDEX('Retirement Calculator'!K:K,MATCH('Lorri 401b'!N4092,'Retirement Calculator'!A:A,0),0),0)</f>
        <v>0</v>
      </c>
      <c r="K4092" s="444">
        <f t="shared" ca="1" si="163"/>
        <v>-33531195305.142937</v>
      </c>
      <c r="L4092" s="444">
        <f t="shared" ca="1" si="164"/>
        <v>-8081018068539.4463</v>
      </c>
      <c r="M4092" s="460">
        <f t="shared" si="166"/>
        <v>0.05</v>
      </c>
      <c r="N4092" s="464">
        <f t="shared" si="167"/>
        <v>175592</v>
      </c>
    </row>
    <row r="4093" spans="7:14" ht="11.25" customHeight="1" x14ac:dyDescent="0.3">
      <c r="G4093" s="459"/>
      <c r="H4093" s="459">
        <v>4086</v>
      </c>
      <c r="I4093" s="444">
        <f t="shared" ca="1" si="165"/>
        <v>-8081018068539.4463</v>
      </c>
      <c r="J4093" s="444">
        <f t="array" ref="J4093">IFERROR(INDEX('Retirement Calculator'!K:K,MATCH('Lorri 401b'!N4093,'Retirement Calculator'!A:A,0),0),0)</f>
        <v>0</v>
      </c>
      <c r="K4093" s="444">
        <f t="shared" ca="1" si="163"/>
        <v>-33670908618.91436</v>
      </c>
      <c r="L4093" s="444">
        <f t="shared" ca="1" si="164"/>
        <v>-8114688977158.3604</v>
      </c>
      <c r="M4093" s="460">
        <f t="shared" si="166"/>
        <v>0.05</v>
      </c>
      <c r="N4093" s="464">
        <f t="shared" si="167"/>
        <v>175623</v>
      </c>
    </row>
    <row r="4094" spans="7:14" ht="11.25" customHeight="1" x14ac:dyDescent="0.3">
      <c r="G4094" s="459"/>
      <c r="H4094" s="459">
        <v>4087</v>
      </c>
      <c r="I4094" s="444">
        <f t="shared" ca="1" si="165"/>
        <v>-8114688977158.3604</v>
      </c>
      <c r="J4094" s="444">
        <f t="array" ref="J4094">IFERROR(INDEX('Retirement Calculator'!K:K,MATCH('Lorri 401b'!N4094,'Retirement Calculator'!A:A,0),0),0)</f>
        <v>0</v>
      </c>
      <c r="K4094" s="444">
        <f t="shared" ca="1" si="163"/>
        <v>-33811204071.493164</v>
      </c>
      <c r="L4094" s="444">
        <f t="shared" ca="1" si="164"/>
        <v>-8148500181229.8535</v>
      </c>
      <c r="M4094" s="460">
        <f t="shared" si="166"/>
        <v>0.05</v>
      </c>
      <c r="N4094" s="464">
        <f t="shared" si="167"/>
        <v>175653</v>
      </c>
    </row>
    <row r="4095" spans="7:14" ht="11.25" customHeight="1" x14ac:dyDescent="0.3">
      <c r="G4095" s="459"/>
      <c r="H4095" s="459">
        <v>4088</v>
      </c>
      <c r="I4095" s="444">
        <f t="shared" ca="1" si="165"/>
        <v>-8148500181229.8535</v>
      </c>
      <c r="J4095" s="444">
        <f t="array" ref="J4095">IFERROR(INDEX('Retirement Calculator'!K:K,MATCH('Lorri 401b'!N4095,'Retirement Calculator'!A:A,0),0),0)</f>
        <v>0</v>
      </c>
      <c r="K4095" s="444">
        <f t="shared" ca="1" si="163"/>
        <v>-33952084088.457718</v>
      </c>
      <c r="L4095" s="444">
        <f t="shared" ca="1" si="164"/>
        <v>-8182452265318.3115</v>
      </c>
      <c r="M4095" s="460">
        <f t="shared" si="166"/>
        <v>0.05</v>
      </c>
      <c r="N4095" s="464">
        <f t="shared" si="167"/>
        <v>175684</v>
      </c>
    </row>
    <row r="4096" spans="7:14" ht="11.25" customHeight="1" x14ac:dyDescent="0.3">
      <c r="G4096" s="459"/>
      <c r="H4096" s="459">
        <v>4089</v>
      </c>
      <c r="I4096" s="444">
        <f t="shared" ca="1" si="165"/>
        <v>-8182452265318.3115</v>
      </c>
      <c r="J4096" s="444">
        <f t="array" ref="J4096">IFERROR(INDEX('Retirement Calculator'!K:K,MATCH('Lorri 401b'!N4096,'Retirement Calculator'!A:A,0),0),0)</f>
        <v>0</v>
      </c>
      <c r="K4096" s="444">
        <f t="shared" ca="1" si="163"/>
        <v>-34093551105.492966</v>
      </c>
      <c r="L4096" s="444">
        <f t="shared" ca="1" si="164"/>
        <v>-8216545816423.8047</v>
      </c>
      <c r="M4096" s="460">
        <f t="shared" si="166"/>
        <v>0.05</v>
      </c>
      <c r="N4096" s="464">
        <f t="shared" si="167"/>
        <v>175715</v>
      </c>
    </row>
    <row r="4097" spans="7:14" ht="11.25" customHeight="1" x14ac:dyDescent="0.3">
      <c r="G4097" s="459"/>
      <c r="H4097" s="459">
        <v>4090</v>
      </c>
      <c r="I4097" s="444">
        <f t="shared" ca="1" si="165"/>
        <v>-8216545816423.8047</v>
      </c>
      <c r="J4097" s="444">
        <f t="array" ref="J4097">IFERROR(INDEX('Retirement Calculator'!K:K,MATCH('Lorri 401b'!N4097,'Retirement Calculator'!A:A,0),0),0)</f>
        <v>0</v>
      </c>
      <c r="K4097" s="444">
        <f t="shared" ca="1" si="163"/>
        <v>-34235607568.432518</v>
      </c>
      <c r="L4097" s="444">
        <f t="shared" ca="1" si="164"/>
        <v>-8250781423992.2373</v>
      </c>
      <c r="M4097" s="460">
        <f t="shared" si="166"/>
        <v>0.05</v>
      </c>
      <c r="N4097" s="464">
        <f t="shared" si="167"/>
        <v>175743</v>
      </c>
    </row>
    <row r="4098" spans="7:14" ht="11.25" customHeight="1" x14ac:dyDescent="0.3">
      <c r="G4098" s="459"/>
      <c r="H4098" s="459">
        <v>4091</v>
      </c>
      <c r="I4098" s="444">
        <f t="shared" ca="1" si="165"/>
        <v>-8250781423992.2373</v>
      </c>
      <c r="J4098" s="444">
        <f t="array" ref="J4098">IFERROR(INDEX('Retirement Calculator'!K:K,MATCH('Lorri 401b'!N4098,'Retirement Calculator'!A:A,0),0),0)</f>
        <v>0</v>
      </c>
      <c r="K4098" s="444">
        <f t="shared" ca="1" si="163"/>
        <v>-34378255933.300987</v>
      </c>
      <c r="L4098" s="444">
        <f t="shared" ca="1" si="164"/>
        <v>-8285159679925.5381</v>
      </c>
      <c r="M4098" s="460">
        <f t="shared" si="166"/>
        <v>0.05</v>
      </c>
      <c r="N4098" s="464">
        <f t="shared" si="167"/>
        <v>175774</v>
      </c>
    </row>
    <row r="4099" spans="7:14" ht="11.25" customHeight="1" x14ac:dyDescent="0.3">
      <c r="G4099" s="459"/>
      <c r="H4099" s="459">
        <v>4092</v>
      </c>
      <c r="I4099" s="444">
        <f t="shared" ca="1" si="165"/>
        <v>-8285159679925.5381</v>
      </c>
      <c r="J4099" s="444">
        <f t="array" ref="J4099">IFERROR(INDEX('Retirement Calculator'!K:K,MATCH('Lorri 401b'!N4099,'Retirement Calculator'!A:A,0),0),0)</f>
        <v>0</v>
      </c>
      <c r="K4099" s="444">
        <f t="shared" ca="1" si="163"/>
        <v>-34521498666.356415</v>
      </c>
      <c r="L4099" s="444">
        <f t="shared" ca="1" si="164"/>
        <v>-8319681178591.8945</v>
      </c>
      <c r="M4099" s="460">
        <f t="shared" si="166"/>
        <v>0.05</v>
      </c>
      <c r="N4099" s="464">
        <f t="shared" si="167"/>
        <v>175804</v>
      </c>
    </row>
    <row r="4100" spans="7:14" ht="11.25" customHeight="1" x14ac:dyDescent="0.3">
      <c r="G4100" s="459"/>
      <c r="H4100" s="459">
        <v>4093</v>
      </c>
      <c r="I4100" s="444">
        <f t="shared" ca="1" si="165"/>
        <v>-8319681178591.8945</v>
      </c>
      <c r="J4100" s="444">
        <f t="array" ref="J4100">IFERROR(INDEX('Retirement Calculator'!K:K,MATCH('Lorri 401b'!N4100,'Retirement Calculator'!A:A,0),0),0)</f>
        <v>0</v>
      </c>
      <c r="K4100" s="444">
        <f t="shared" ca="1" si="163"/>
        <v>-34665338244.132896</v>
      </c>
      <c r="L4100" s="444">
        <f t="shared" ca="1" si="164"/>
        <v>-8354346516836.0273</v>
      </c>
      <c r="M4100" s="460">
        <f t="shared" si="166"/>
        <v>0.05</v>
      </c>
      <c r="N4100" s="464">
        <f t="shared" si="167"/>
        <v>175835</v>
      </c>
    </row>
    <row r="4101" spans="7:14" ht="11.25" customHeight="1" x14ac:dyDescent="0.3">
      <c r="G4101" s="459"/>
      <c r="H4101" s="459">
        <v>4094</v>
      </c>
      <c r="I4101" s="444">
        <f t="shared" ca="1" si="165"/>
        <v>-8354346516836.0273</v>
      </c>
      <c r="J4101" s="444">
        <f t="array" ref="J4101">IFERROR(INDEX('Retirement Calculator'!K:K,MATCH('Lorri 401b'!N4101,'Retirement Calculator'!A:A,0),0),0)</f>
        <v>0</v>
      </c>
      <c r="K4101" s="444">
        <f t="shared" ca="1" si="163"/>
        <v>-34809777153.483444</v>
      </c>
      <c r="L4101" s="444">
        <f t="shared" ca="1" si="164"/>
        <v>-8389156293989.5107</v>
      </c>
      <c r="M4101" s="460">
        <f t="shared" si="166"/>
        <v>0.05</v>
      </c>
      <c r="N4101" s="464">
        <f t="shared" si="167"/>
        <v>175865</v>
      </c>
    </row>
    <row r="4102" spans="7:14" ht="11.25" customHeight="1" x14ac:dyDescent="0.3">
      <c r="G4102" s="459"/>
      <c r="H4102" s="459">
        <v>4095</v>
      </c>
      <c r="I4102" s="444">
        <f t="shared" ca="1" si="165"/>
        <v>-8389156293989.5107</v>
      </c>
      <c r="J4102" s="444">
        <f t="array" ref="J4102">IFERROR(INDEX('Retirement Calculator'!K:K,MATCH('Lorri 401b'!N4102,'Retirement Calculator'!A:A,0),0),0)</f>
        <v>0</v>
      </c>
      <c r="K4102" s="444">
        <f t="shared" ca="1" si="163"/>
        <v>-34954817891.622963</v>
      </c>
      <c r="L4102" s="444">
        <f t="shared" ca="1" si="164"/>
        <v>-8424111111881.1338</v>
      </c>
      <c r="M4102" s="460">
        <f t="shared" si="166"/>
        <v>0.05</v>
      </c>
      <c r="N4102" s="464">
        <f t="shared" si="167"/>
        <v>175896</v>
      </c>
    </row>
    <row r="4103" spans="7:14" ht="11.25" customHeight="1" x14ac:dyDescent="0.3">
      <c r="G4103" s="459"/>
      <c r="H4103" s="459">
        <v>4096</v>
      </c>
      <c r="I4103" s="444">
        <f t="shared" ca="1" si="165"/>
        <v>-8424111111881.1338</v>
      </c>
      <c r="J4103" s="444">
        <f t="array" ref="J4103">IFERROR(INDEX('Retirement Calculator'!K:K,MATCH('Lorri 401b'!N4103,'Retirement Calculator'!A:A,0),0),0)</f>
        <v>0</v>
      </c>
      <c r="K4103" s="444">
        <f t="shared" ca="1" si="163"/>
        <v>-35100462966.171387</v>
      </c>
      <c r="L4103" s="444">
        <f t="shared" ca="1" si="164"/>
        <v>-8459211574847.3047</v>
      </c>
      <c r="M4103" s="460">
        <f t="shared" si="166"/>
        <v>0.05</v>
      </c>
      <c r="N4103" s="464">
        <f t="shared" si="167"/>
        <v>175927</v>
      </c>
    </row>
    <row r="4104" spans="7:14" ht="11.25" customHeight="1" x14ac:dyDescent="0.3">
      <c r="G4104" s="459"/>
      <c r="H4104" s="459">
        <v>4097</v>
      </c>
      <c r="I4104" s="444">
        <f t="shared" ca="1" si="165"/>
        <v>-8459211574847.3047</v>
      </c>
      <c r="J4104" s="444">
        <f t="array" ref="J4104">IFERROR(INDEX('Retirement Calculator'!K:K,MATCH('Lorri 401b'!N4104,'Retirement Calculator'!A:A,0),0),0)</f>
        <v>0</v>
      </c>
      <c r="K4104" s="444">
        <f t="shared" ca="1" si="163"/>
        <v>-35246714895.197105</v>
      </c>
      <c r="L4104" s="444">
        <f t="shared" ca="1" si="164"/>
        <v>-8494458289742.502</v>
      </c>
      <c r="M4104" s="460">
        <f t="shared" si="166"/>
        <v>0.05</v>
      </c>
      <c r="N4104" s="464">
        <f t="shared" si="167"/>
        <v>175957</v>
      </c>
    </row>
    <row r="4105" spans="7:14" ht="11.25" customHeight="1" x14ac:dyDescent="0.3">
      <c r="G4105" s="459"/>
      <c r="H4105" s="459">
        <v>4098</v>
      </c>
      <c r="I4105" s="444">
        <f t="shared" ca="1" si="165"/>
        <v>-8494458289742.502</v>
      </c>
      <c r="J4105" s="444">
        <f t="array" ref="J4105">IFERROR(INDEX('Retirement Calculator'!K:K,MATCH('Lorri 401b'!N4105,'Retirement Calculator'!A:A,0),0),0)</f>
        <v>0</v>
      </c>
      <c r="K4105" s="444">
        <f t="shared" ca="1" si="163"/>
        <v>-35393576207.260422</v>
      </c>
      <c r="L4105" s="444">
        <f t="shared" ca="1" si="164"/>
        <v>-8529851865949.7627</v>
      </c>
      <c r="M4105" s="460">
        <f t="shared" si="166"/>
        <v>0.05</v>
      </c>
      <c r="N4105" s="464">
        <f t="shared" si="167"/>
        <v>175988</v>
      </c>
    </row>
    <row r="4106" spans="7:14" ht="11.25" customHeight="1" x14ac:dyDescent="0.3">
      <c r="G4106" s="459"/>
      <c r="H4106" s="459">
        <v>4099</v>
      </c>
      <c r="I4106" s="444">
        <f t="shared" ca="1" si="165"/>
        <v>-8529851865949.7627</v>
      </c>
      <c r="J4106" s="444">
        <f t="array" ref="J4106">IFERROR(INDEX('Retirement Calculator'!K:K,MATCH('Lorri 401b'!N4106,'Retirement Calculator'!A:A,0),0),0)</f>
        <v>0</v>
      </c>
      <c r="K4106" s="444">
        <f t="shared" ca="1" si="163"/>
        <v>-35541049441.457344</v>
      </c>
      <c r="L4106" s="444">
        <f t="shared" ca="1" si="164"/>
        <v>-8565392915391.2197</v>
      </c>
      <c r="M4106" s="460">
        <f t="shared" si="166"/>
        <v>0.05</v>
      </c>
      <c r="N4106" s="464">
        <f t="shared" si="167"/>
        <v>176018</v>
      </c>
    </row>
    <row r="4107" spans="7:14" ht="11.25" customHeight="1" x14ac:dyDescent="0.3">
      <c r="G4107" s="459"/>
      <c r="H4107" s="459">
        <v>4100</v>
      </c>
      <c r="I4107" s="444">
        <f t="shared" ca="1" si="165"/>
        <v>-8565392915391.2197</v>
      </c>
      <c r="J4107" s="444">
        <f t="array" ref="J4107">IFERROR(INDEX('Retirement Calculator'!K:K,MATCH('Lorri 401b'!N4107,'Retirement Calculator'!A:A,0),0),0)</f>
        <v>0</v>
      </c>
      <c r="K4107" s="444">
        <f t="shared" ca="1" si="163"/>
        <v>-35689137147.463417</v>
      </c>
      <c r="L4107" s="444">
        <f t="shared" ca="1" si="164"/>
        <v>-8601082052538.6836</v>
      </c>
      <c r="M4107" s="460">
        <f t="shared" si="166"/>
        <v>0.05</v>
      </c>
      <c r="N4107" s="464">
        <f t="shared" si="167"/>
        <v>176049</v>
      </c>
    </row>
    <row r="4108" spans="7:14" ht="11.25" customHeight="1" x14ac:dyDescent="0.3">
      <c r="G4108" s="459"/>
      <c r="H4108" s="459">
        <v>4101</v>
      </c>
      <c r="I4108" s="444">
        <f t="shared" ca="1" si="165"/>
        <v>-8601082052538.6836</v>
      </c>
      <c r="J4108" s="444">
        <f t="array" ref="J4108">IFERROR(INDEX('Retirement Calculator'!K:K,MATCH('Lorri 401b'!N4108,'Retirement Calculator'!A:A,0),0),0)</f>
        <v>0</v>
      </c>
      <c r="K4108" s="444">
        <f t="shared" ca="1" si="163"/>
        <v>-35837841885.57785</v>
      </c>
      <c r="L4108" s="444">
        <f t="shared" ca="1" si="164"/>
        <v>-8636919894424.2617</v>
      </c>
      <c r="M4108" s="460">
        <f t="shared" si="166"/>
        <v>0.05</v>
      </c>
      <c r="N4108" s="464">
        <f t="shared" si="167"/>
        <v>176080</v>
      </c>
    </row>
    <row r="4109" spans="7:14" ht="11.25" customHeight="1" x14ac:dyDescent="0.3">
      <c r="G4109" s="459"/>
      <c r="H4109" s="459">
        <v>4102</v>
      </c>
      <c r="I4109" s="444">
        <f t="shared" ca="1" si="165"/>
        <v>-8636919894424.2617</v>
      </c>
      <c r="J4109" s="444">
        <f t="array" ref="J4109">IFERROR(INDEX('Retirement Calculator'!K:K,MATCH('Lorri 401b'!N4109,'Retirement Calculator'!A:A,0),0),0)</f>
        <v>0</v>
      </c>
      <c r="K4109" s="444">
        <f t="shared" ca="1" si="163"/>
        <v>-35987166226.767761</v>
      </c>
      <c r="L4109" s="444">
        <f t="shared" ca="1" si="164"/>
        <v>-8672907060651.0293</v>
      </c>
      <c r="M4109" s="460">
        <f t="shared" si="166"/>
        <v>0.05</v>
      </c>
      <c r="N4109" s="464">
        <f t="shared" si="167"/>
        <v>176108</v>
      </c>
    </row>
    <row r="4110" spans="7:14" ht="11.25" customHeight="1" x14ac:dyDescent="0.3">
      <c r="G4110" s="459"/>
      <c r="H4110" s="459">
        <v>4103</v>
      </c>
      <c r="I4110" s="444">
        <f t="shared" ca="1" si="165"/>
        <v>-8672907060651.0293</v>
      </c>
      <c r="J4110" s="444">
        <f t="array" ref="J4110">IFERROR(INDEX('Retirement Calculator'!K:K,MATCH('Lorri 401b'!N4110,'Retirement Calculator'!A:A,0),0),0)</f>
        <v>0</v>
      </c>
      <c r="K4110" s="444">
        <f t="shared" ca="1" si="163"/>
        <v>-36137112752.712616</v>
      </c>
      <c r="L4110" s="444">
        <f t="shared" ca="1" si="164"/>
        <v>-8709044173403.7422</v>
      </c>
      <c r="M4110" s="460">
        <f t="shared" si="166"/>
        <v>0.05</v>
      </c>
      <c r="N4110" s="464">
        <f t="shared" si="167"/>
        <v>176139</v>
      </c>
    </row>
    <row r="4111" spans="7:14" ht="11.25" customHeight="1" x14ac:dyDescent="0.3">
      <c r="G4111" s="459"/>
      <c r="H4111" s="459">
        <v>4104</v>
      </c>
      <c r="I4111" s="444">
        <f t="shared" ca="1" si="165"/>
        <v>-8709044173403.7422</v>
      </c>
      <c r="J4111" s="444">
        <f t="array" ref="J4111">IFERROR(INDEX('Retirement Calculator'!K:K,MATCH('Lorri 401b'!N4111,'Retirement Calculator'!A:A,0),0),0)</f>
        <v>0</v>
      </c>
      <c r="K4111" s="444">
        <f t="shared" ca="1" si="163"/>
        <v>-36287684055.84893</v>
      </c>
      <c r="L4111" s="444">
        <f t="shared" ca="1" si="164"/>
        <v>-8745331857459.5908</v>
      </c>
      <c r="M4111" s="460">
        <f t="shared" si="166"/>
        <v>0.05</v>
      </c>
      <c r="N4111" s="464">
        <f t="shared" si="167"/>
        <v>176169</v>
      </c>
    </row>
    <row r="4112" spans="7:14" ht="11.25" customHeight="1" x14ac:dyDescent="0.3">
      <c r="G4112" s="459"/>
      <c r="H4112" s="459">
        <v>4105</v>
      </c>
      <c r="I4112" s="444">
        <f t="shared" ca="1" si="165"/>
        <v>-8745331857459.5908</v>
      </c>
      <c r="J4112" s="444">
        <f t="array" ref="J4112">IFERROR(INDEX('Retirement Calculator'!K:K,MATCH('Lorri 401b'!N4112,'Retirement Calculator'!A:A,0),0),0)</f>
        <v>0</v>
      </c>
      <c r="K4112" s="444">
        <f t="shared" ca="1" si="163"/>
        <v>-36438882739.414963</v>
      </c>
      <c r="L4112" s="444">
        <f t="shared" ca="1" si="164"/>
        <v>-8781770740199.0059</v>
      </c>
      <c r="M4112" s="460">
        <f t="shared" si="166"/>
        <v>0.05</v>
      </c>
      <c r="N4112" s="464">
        <f t="shared" si="167"/>
        <v>176200</v>
      </c>
    </row>
    <row r="4113" spans="7:14" ht="11.25" customHeight="1" x14ac:dyDescent="0.3">
      <c r="G4113" s="459"/>
      <c r="H4113" s="459">
        <v>4106</v>
      </c>
      <c r="I4113" s="444">
        <f t="shared" ca="1" si="165"/>
        <v>-8781770740199.0059</v>
      </c>
      <c r="J4113" s="444">
        <f t="array" ref="J4113">IFERROR(INDEX('Retirement Calculator'!K:K,MATCH('Lorri 401b'!N4113,'Retirement Calculator'!A:A,0),0),0)</f>
        <v>0</v>
      </c>
      <c r="K4113" s="444">
        <f t="shared" ca="1" si="163"/>
        <v>-36590711417.495865</v>
      </c>
      <c r="L4113" s="444">
        <f t="shared" ca="1" si="164"/>
        <v>-8818361451616.502</v>
      </c>
      <c r="M4113" s="460">
        <f t="shared" si="166"/>
        <v>0.05</v>
      </c>
      <c r="N4113" s="464">
        <f t="shared" si="167"/>
        <v>176230</v>
      </c>
    </row>
    <row r="4114" spans="7:14" ht="11.25" customHeight="1" x14ac:dyDescent="0.3">
      <c r="G4114" s="459"/>
      <c r="H4114" s="459">
        <v>4107</v>
      </c>
      <c r="I4114" s="444">
        <f t="shared" ca="1" si="165"/>
        <v>-8818361451616.502</v>
      </c>
      <c r="J4114" s="444">
        <f t="array" ref="J4114">IFERROR(INDEX('Retirement Calculator'!K:K,MATCH('Lorri 401b'!N4114,'Retirement Calculator'!A:A,0),0),0)</f>
        <v>0</v>
      </c>
      <c r="K4114" s="444">
        <f t="shared" ca="1" si="163"/>
        <v>-36743172715.068756</v>
      </c>
      <c r="L4114" s="444">
        <f t="shared" ca="1" si="164"/>
        <v>-8855104624331.5703</v>
      </c>
      <c r="M4114" s="460">
        <f t="shared" si="166"/>
        <v>0.05</v>
      </c>
      <c r="N4114" s="464">
        <f t="shared" si="167"/>
        <v>176261</v>
      </c>
    </row>
    <row r="4115" spans="7:14" ht="11.25" customHeight="1" x14ac:dyDescent="0.3">
      <c r="G4115" s="459"/>
      <c r="H4115" s="459">
        <v>4108</v>
      </c>
      <c r="I4115" s="444">
        <f t="shared" ca="1" si="165"/>
        <v>-8855104624331.5703</v>
      </c>
      <c r="J4115" s="444">
        <f t="array" ref="J4115">IFERROR(INDEX('Retirement Calculator'!K:K,MATCH('Lorri 401b'!N4115,'Retirement Calculator'!A:A,0),0),0)</f>
        <v>0</v>
      </c>
      <c r="K4115" s="444">
        <f t="shared" ca="1" si="163"/>
        <v>-36896269268.04821</v>
      </c>
      <c r="L4115" s="444">
        <f t="shared" ca="1" si="164"/>
        <v>-8892000893599.6191</v>
      </c>
      <c r="M4115" s="460">
        <f t="shared" si="166"/>
        <v>0.05</v>
      </c>
      <c r="N4115" s="464">
        <f t="shared" si="167"/>
        <v>176292</v>
      </c>
    </row>
    <row r="4116" spans="7:14" ht="11.25" customHeight="1" x14ac:dyDescent="0.3">
      <c r="G4116" s="459"/>
      <c r="H4116" s="459">
        <v>4109</v>
      </c>
      <c r="I4116" s="444">
        <f t="shared" ca="1" si="165"/>
        <v>-8892000893599.6191</v>
      </c>
      <c r="J4116" s="444">
        <f t="array" ref="J4116">IFERROR(INDEX('Retirement Calculator'!K:K,MATCH('Lorri 401b'!N4116,'Retirement Calculator'!A:A,0),0),0)</f>
        <v>0</v>
      </c>
      <c r="K4116" s="444">
        <f t="shared" ca="1" si="163"/>
        <v>-37050003723.331749</v>
      </c>
      <c r="L4116" s="444">
        <f t="shared" ca="1" si="164"/>
        <v>-8929050897322.9512</v>
      </c>
      <c r="M4116" s="460">
        <f t="shared" si="166"/>
        <v>0.05</v>
      </c>
      <c r="N4116" s="464">
        <f t="shared" si="167"/>
        <v>176322</v>
      </c>
    </row>
    <row r="4117" spans="7:14" ht="11.25" customHeight="1" x14ac:dyDescent="0.3">
      <c r="G4117" s="459"/>
      <c r="H4117" s="459">
        <v>4110</v>
      </c>
      <c r="I4117" s="444">
        <f t="shared" ca="1" si="165"/>
        <v>-8929050897322.9512</v>
      </c>
      <c r="J4117" s="444">
        <f t="array" ref="J4117">IFERROR(INDEX('Retirement Calculator'!K:K,MATCH('Lorri 401b'!N4117,'Retirement Calculator'!A:A,0),0),0)</f>
        <v>0</v>
      </c>
      <c r="K4117" s="444">
        <f t="shared" ca="1" si="163"/>
        <v>-37204378738.845627</v>
      </c>
      <c r="L4117" s="444">
        <f t="shared" ca="1" si="164"/>
        <v>-8966255276061.7969</v>
      </c>
      <c r="M4117" s="460">
        <f t="shared" si="166"/>
        <v>0.05</v>
      </c>
      <c r="N4117" s="464">
        <f t="shared" si="167"/>
        <v>176353</v>
      </c>
    </row>
    <row r="4118" spans="7:14" ht="11.25" customHeight="1" x14ac:dyDescent="0.3">
      <c r="G4118" s="459"/>
      <c r="H4118" s="459">
        <v>4111</v>
      </c>
      <c r="I4118" s="444">
        <f t="shared" ca="1" si="165"/>
        <v>-8966255276061.7969</v>
      </c>
      <c r="J4118" s="444">
        <f t="array" ref="J4118">IFERROR(INDEX('Retirement Calculator'!K:K,MATCH('Lorri 401b'!N4118,'Retirement Calculator'!A:A,0),0),0)</f>
        <v>0</v>
      </c>
      <c r="K4118" s="444">
        <f t="shared" ca="1" si="163"/>
        <v>-37359396983.59082</v>
      </c>
      <c r="L4118" s="444">
        <f t="shared" ca="1" si="164"/>
        <v>-9003614673045.3867</v>
      </c>
      <c r="M4118" s="460">
        <f t="shared" si="166"/>
        <v>0.05</v>
      </c>
      <c r="N4118" s="464">
        <f t="shared" si="167"/>
        <v>176383</v>
      </c>
    </row>
    <row r="4119" spans="7:14" ht="11.25" customHeight="1" x14ac:dyDescent="0.3">
      <c r="G4119" s="459"/>
      <c r="H4119" s="459">
        <v>4112</v>
      </c>
      <c r="I4119" s="444">
        <f t="shared" ca="1" si="165"/>
        <v>-9003614673045.3867</v>
      </c>
      <c r="J4119" s="444">
        <f t="array" ref="J4119">IFERROR(INDEX('Retirement Calculator'!K:K,MATCH('Lorri 401b'!N4119,'Retirement Calculator'!A:A,0),0),0)</f>
        <v>0</v>
      </c>
      <c r="K4119" s="444">
        <f t="shared" ca="1" si="163"/>
        <v>-37515061137.68911</v>
      </c>
      <c r="L4119" s="444">
        <f t="shared" ca="1" si="164"/>
        <v>-9041129734183.0762</v>
      </c>
      <c r="M4119" s="460">
        <f t="shared" si="166"/>
        <v>0.05</v>
      </c>
      <c r="N4119" s="464">
        <f t="shared" si="167"/>
        <v>176414</v>
      </c>
    </row>
    <row r="4120" spans="7:14" ht="11.25" customHeight="1" x14ac:dyDescent="0.3">
      <c r="G4120" s="459"/>
      <c r="H4120" s="459">
        <v>4113</v>
      </c>
      <c r="I4120" s="444">
        <f t="shared" ca="1" si="165"/>
        <v>-9041129734183.0762</v>
      </c>
      <c r="J4120" s="444">
        <f t="array" ref="J4120">IFERROR(INDEX('Retirement Calculator'!K:K,MATCH('Lorri 401b'!N4120,'Retirement Calculator'!A:A,0),0),0)</f>
        <v>0</v>
      </c>
      <c r="K4120" s="444">
        <f t="shared" ca="1" si="163"/>
        <v>-37671373892.429482</v>
      </c>
      <c r="L4120" s="444">
        <f t="shared" ca="1" si="164"/>
        <v>-9078801108075.5059</v>
      </c>
      <c r="M4120" s="460">
        <f t="shared" si="166"/>
        <v>0.05</v>
      </c>
      <c r="N4120" s="464">
        <f t="shared" si="167"/>
        <v>176445</v>
      </c>
    </row>
    <row r="4121" spans="7:14" ht="11.25" customHeight="1" x14ac:dyDescent="0.3">
      <c r="G4121" s="459"/>
      <c r="H4121" s="459">
        <v>4114</v>
      </c>
      <c r="I4121" s="444">
        <f t="shared" ca="1" si="165"/>
        <v>-9078801108075.5059</v>
      </c>
      <c r="J4121" s="444">
        <f t="array" ref="J4121">IFERROR(INDEX('Retirement Calculator'!K:K,MATCH('Lorri 401b'!N4121,'Retirement Calculator'!A:A,0),0),0)</f>
        <v>0</v>
      </c>
      <c r="K4121" s="444">
        <f t="shared" ca="1" si="163"/>
        <v>-37828337950.314606</v>
      </c>
      <c r="L4121" s="444">
        <f t="shared" ca="1" si="164"/>
        <v>-9116629446025.8203</v>
      </c>
      <c r="M4121" s="460">
        <f t="shared" si="166"/>
        <v>0.05</v>
      </c>
      <c r="N4121" s="464">
        <f t="shared" si="167"/>
        <v>176473</v>
      </c>
    </row>
    <row r="4122" spans="7:14" ht="11.25" customHeight="1" x14ac:dyDescent="0.3">
      <c r="G4122" s="459"/>
      <c r="H4122" s="459">
        <v>4115</v>
      </c>
      <c r="I4122" s="444">
        <f t="shared" ca="1" si="165"/>
        <v>-9116629446025.8203</v>
      </c>
      <c r="J4122" s="444">
        <f t="array" ref="J4122">IFERROR(INDEX('Retirement Calculator'!K:K,MATCH('Lorri 401b'!N4122,'Retirement Calculator'!A:A,0),0),0)</f>
        <v>0</v>
      </c>
      <c r="K4122" s="444">
        <f t="shared" ca="1" si="163"/>
        <v>-37985956025.107582</v>
      </c>
      <c r="L4122" s="444">
        <f t="shared" ca="1" si="164"/>
        <v>-9154615402050.9277</v>
      </c>
      <c r="M4122" s="460">
        <f t="shared" si="166"/>
        <v>0.05</v>
      </c>
      <c r="N4122" s="464">
        <f t="shared" si="167"/>
        <v>176504</v>
      </c>
    </row>
    <row r="4123" spans="7:14" ht="11.25" customHeight="1" x14ac:dyDescent="0.3">
      <c r="G4123" s="459"/>
      <c r="H4123" s="459">
        <v>4116</v>
      </c>
      <c r="I4123" s="444">
        <f t="shared" ca="1" si="165"/>
        <v>-9154615402050.9277</v>
      </c>
      <c r="J4123" s="444">
        <f t="array" ref="J4123">IFERROR(INDEX('Retirement Calculator'!K:K,MATCH('Lorri 401b'!N4123,'Retirement Calculator'!A:A,0),0),0)</f>
        <v>0</v>
      </c>
      <c r="K4123" s="444">
        <f t="shared" ca="1" si="163"/>
        <v>-38144230841.878868</v>
      </c>
      <c r="L4123" s="444">
        <f t="shared" ca="1" si="164"/>
        <v>-9192759632892.8066</v>
      </c>
      <c r="M4123" s="460">
        <f t="shared" si="166"/>
        <v>0.05</v>
      </c>
      <c r="N4123" s="464">
        <f t="shared" si="167"/>
        <v>176534</v>
      </c>
    </row>
    <row r="4124" spans="7:14" ht="11.25" customHeight="1" x14ac:dyDescent="0.3">
      <c r="G4124" s="459"/>
      <c r="H4124" s="459">
        <v>4117</v>
      </c>
      <c r="I4124" s="444">
        <f t="shared" ca="1" si="165"/>
        <v>-9192759632892.8066</v>
      </c>
      <c r="J4124" s="444">
        <f t="array" ref="J4124">IFERROR(INDEX('Retirement Calculator'!K:K,MATCH('Lorri 401b'!N4124,'Retirement Calculator'!A:A,0),0),0)</f>
        <v>0</v>
      </c>
      <c r="K4124" s="444">
        <f t="shared" ca="1" si="163"/>
        <v>-38303165137.05336</v>
      </c>
      <c r="L4124" s="444">
        <f t="shared" ca="1" si="164"/>
        <v>-9231062798029.8594</v>
      </c>
      <c r="M4124" s="460">
        <f t="shared" si="166"/>
        <v>0.05</v>
      </c>
      <c r="N4124" s="464">
        <f t="shared" si="167"/>
        <v>176565</v>
      </c>
    </row>
    <row r="4125" spans="7:14" ht="11.25" customHeight="1" x14ac:dyDescent="0.3">
      <c r="G4125" s="459"/>
      <c r="H4125" s="459">
        <v>4118</v>
      </c>
      <c r="I4125" s="444">
        <f t="shared" ca="1" si="165"/>
        <v>-9231062798029.8594</v>
      </c>
      <c r="J4125" s="444">
        <f t="array" ref="J4125">IFERROR(INDEX('Retirement Calculator'!K:K,MATCH('Lorri 401b'!N4125,'Retirement Calculator'!A:A,0),0),0)</f>
        <v>0</v>
      </c>
      <c r="K4125" s="444">
        <f t="shared" ca="1" si="163"/>
        <v>-38462761658.457748</v>
      </c>
      <c r="L4125" s="444">
        <f t="shared" ca="1" si="164"/>
        <v>-9269525559688.3164</v>
      </c>
      <c r="M4125" s="460">
        <f t="shared" si="166"/>
        <v>0.05</v>
      </c>
      <c r="N4125" s="464">
        <f t="shared" si="167"/>
        <v>176595</v>
      </c>
    </row>
    <row r="4126" spans="7:14" ht="11.25" customHeight="1" x14ac:dyDescent="0.3">
      <c r="G4126" s="459"/>
      <c r="H4126" s="459">
        <v>4119</v>
      </c>
      <c r="I4126" s="444">
        <f t="shared" ca="1" si="165"/>
        <v>-9269525559688.3164</v>
      </c>
      <c r="J4126" s="444">
        <f t="array" ref="J4126">IFERROR(INDEX('Retirement Calculator'!K:K,MATCH('Lorri 401b'!N4126,'Retirement Calculator'!A:A,0),0),0)</f>
        <v>0</v>
      </c>
      <c r="K4126" s="444">
        <f t="shared" ca="1" si="163"/>
        <v>-38623023165.367981</v>
      </c>
      <c r="L4126" s="444">
        <f t="shared" ca="1" si="164"/>
        <v>-9308148582853.6836</v>
      </c>
      <c r="M4126" s="460">
        <f t="shared" si="166"/>
        <v>0.05</v>
      </c>
      <c r="N4126" s="464">
        <f t="shared" si="167"/>
        <v>176626</v>
      </c>
    </row>
    <row r="4127" spans="7:14" ht="11.25" customHeight="1" x14ac:dyDescent="0.3">
      <c r="G4127" s="459"/>
      <c r="H4127" s="459">
        <v>4120</v>
      </c>
      <c r="I4127" s="444">
        <f t="shared" ca="1" si="165"/>
        <v>-9308148582853.6836</v>
      </c>
      <c r="J4127" s="444">
        <f t="array" ref="J4127">IFERROR(INDEX('Retirement Calculator'!K:K,MATCH('Lorri 401b'!N4127,'Retirement Calculator'!A:A,0),0),0)</f>
        <v>0</v>
      </c>
      <c r="K4127" s="444">
        <f t="shared" ca="1" si="163"/>
        <v>-38783952428.557014</v>
      </c>
      <c r="L4127" s="444">
        <f t="shared" ca="1" si="164"/>
        <v>-9346932535282.2402</v>
      </c>
      <c r="M4127" s="460">
        <f t="shared" si="166"/>
        <v>0.05</v>
      </c>
      <c r="N4127" s="464">
        <f t="shared" si="167"/>
        <v>176657</v>
      </c>
    </row>
    <row r="4128" spans="7:14" ht="11.25" customHeight="1" x14ac:dyDescent="0.3">
      <c r="G4128" s="459"/>
      <c r="H4128" s="459">
        <v>4121</v>
      </c>
      <c r="I4128" s="444">
        <f t="shared" ca="1" si="165"/>
        <v>-9346932535282.2402</v>
      </c>
      <c r="J4128" s="444">
        <f t="array" ref="J4128">IFERROR(INDEX('Retirement Calculator'!K:K,MATCH('Lorri 401b'!N4128,'Retirement Calculator'!A:A,0),0),0)</f>
        <v>0</v>
      </c>
      <c r="K4128" s="444">
        <f t="shared" ca="1" si="163"/>
        <v>-38945552230.342667</v>
      </c>
      <c r="L4128" s="444">
        <f t="shared" ca="1" si="164"/>
        <v>-9385878087512.582</v>
      </c>
      <c r="M4128" s="460">
        <f t="shared" si="166"/>
        <v>0.05</v>
      </c>
      <c r="N4128" s="464">
        <f t="shared" si="167"/>
        <v>176687</v>
      </c>
    </row>
    <row r="4129" spans="7:14" ht="11.25" customHeight="1" x14ac:dyDescent="0.3">
      <c r="G4129" s="459"/>
      <c r="H4129" s="459">
        <v>4122</v>
      </c>
      <c r="I4129" s="444">
        <f t="shared" ca="1" si="165"/>
        <v>-9385878087512.582</v>
      </c>
      <c r="J4129" s="444">
        <f t="array" ref="J4129">IFERROR(INDEX('Retirement Calculator'!K:K,MATCH('Lorri 401b'!N4129,'Retirement Calculator'!A:A,0),0),0)</f>
        <v>0</v>
      </c>
      <c r="K4129" s="444">
        <f t="shared" ca="1" si="163"/>
        <v>-39107825364.635757</v>
      </c>
      <c r="L4129" s="444">
        <f t="shared" ca="1" si="164"/>
        <v>-9424985912877.2188</v>
      </c>
      <c r="M4129" s="460">
        <f t="shared" si="166"/>
        <v>0.05</v>
      </c>
      <c r="N4129" s="464">
        <f t="shared" si="167"/>
        <v>176718</v>
      </c>
    </row>
    <row r="4130" spans="7:14" ht="11.25" customHeight="1" x14ac:dyDescent="0.3">
      <c r="G4130" s="459"/>
      <c r="H4130" s="459">
        <v>4123</v>
      </c>
      <c r="I4130" s="444">
        <f t="shared" ca="1" si="165"/>
        <v>-9424985912877.2188</v>
      </c>
      <c r="J4130" s="444">
        <f t="array" ref="J4130">IFERROR(INDEX('Retirement Calculator'!K:K,MATCH('Lorri 401b'!N4130,'Retirement Calculator'!A:A,0),0),0)</f>
        <v>0</v>
      </c>
      <c r="K4130" s="444">
        <f t="shared" ca="1" si="163"/>
        <v>-39270774636.988411</v>
      </c>
      <c r="L4130" s="444">
        <f t="shared" ca="1" si="164"/>
        <v>-9464256687514.207</v>
      </c>
      <c r="M4130" s="460">
        <f t="shared" si="166"/>
        <v>0.05</v>
      </c>
      <c r="N4130" s="464">
        <f t="shared" si="167"/>
        <v>176748</v>
      </c>
    </row>
    <row r="4131" spans="7:14" ht="11.25" customHeight="1" x14ac:dyDescent="0.3">
      <c r="G4131" s="459"/>
      <c r="H4131" s="459">
        <v>4124</v>
      </c>
      <c r="I4131" s="444">
        <f t="shared" ca="1" si="165"/>
        <v>-9464256687514.207</v>
      </c>
      <c r="J4131" s="444">
        <f t="array" ref="J4131">IFERROR(INDEX('Retirement Calculator'!K:K,MATCH('Lorri 401b'!N4131,'Retirement Calculator'!A:A,0),0),0)</f>
        <v>0</v>
      </c>
      <c r="K4131" s="444">
        <f t="shared" ca="1" si="163"/>
        <v>-39434402864.642532</v>
      </c>
      <c r="L4131" s="444">
        <f t="shared" ca="1" si="164"/>
        <v>-9503691090378.8496</v>
      </c>
      <c r="M4131" s="460">
        <f t="shared" si="166"/>
        <v>0.05</v>
      </c>
      <c r="N4131" s="464">
        <f t="shared" si="167"/>
        <v>176779</v>
      </c>
    </row>
    <row r="4132" spans="7:14" ht="11.25" customHeight="1" x14ac:dyDescent="0.3">
      <c r="G4132" s="459"/>
      <c r="H4132" s="459">
        <v>4125</v>
      </c>
      <c r="I4132" s="444">
        <f t="shared" ca="1" si="165"/>
        <v>-9503691090378.8496</v>
      </c>
      <c r="J4132" s="444">
        <f t="array" ref="J4132">IFERROR(INDEX('Retirement Calculator'!K:K,MATCH('Lorri 401b'!N4132,'Retirement Calculator'!A:A,0),0),0)</f>
        <v>0</v>
      </c>
      <c r="K4132" s="444">
        <f t="shared" ca="1" si="163"/>
        <v>-39598712876.578537</v>
      </c>
      <c r="L4132" s="444">
        <f t="shared" ca="1" si="164"/>
        <v>-9543289803255.4277</v>
      </c>
      <c r="M4132" s="460">
        <f t="shared" si="166"/>
        <v>0.05</v>
      </c>
      <c r="N4132" s="464">
        <f t="shared" si="167"/>
        <v>176810</v>
      </c>
    </row>
    <row r="4133" spans="7:14" ht="11.25" customHeight="1" x14ac:dyDescent="0.3">
      <c r="G4133" s="459"/>
      <c r="H4133" s="459">
        <v>4126</v>
      </c>
      <c r="I4133" s="444">
        <f t="shared" ca="1" si="165"/>
        <v>-9543289803255.4277</v>
      </c>
      <c r="J4133" s="444">
        <f t="array" ref="J4133">IFERROR(INDEX('Retirement Calculator'!K:K,MATCH('Lorri 401b'!N4133,'Retirement Calculator'!A:A,0),0),0)</f>
        <v>0</v>
      </c>
      <c r="K4133" s="444">
        <f t="shared" ca="1" si="163"/>
        <v>-39763707513.564285</v>
      </c>
      <c r="L4133" s="444">
        <f t="shared" ca="1" si="164"/>
        <v>-9583053510768.9922</v>
      </c>
      <c r="M4133" s="460">
        <f t="shared" si="166"/>
        <v>0.05</v>
      </c>
      <c r="N4133" s="464">
        <f t="shared" si="167"/>
        <v>176839</v>
      </c>
    </row>
    <row r="4134" spans="7:14" ht="11.25" customHeight="1" x14ac:dyDescent="0.3">
      <c r="G4134" s="459"/>
      <c r="H4134" s="459">
        <v>4127</v>
      </c>
      <c r="I4134" s="444">
        <f t="shared" ca="1" si="165"/>
        <v>-9583053510768.9922</v>
      </c>
      <c r="J4134" s="444">
        <f t="array" ref="J4134">IFERROR(INDEX('Retirement Calculator'!K:K,MATCH('Lorri 401b'!N4134,'Retirement Calculator'!A:A,0),0),0)</f>
        <v>0</v>
      </c>
      <c r="K4134" s="444">
        <f t="shared" ca="1" si="163"/>
        <v>-39929389628.204132</v>
      </c>
      <c r="L4134" s="444">
        <f t="shared" ca="1" si="164"/>
        <v>-9622982900397.1973</v>
      </c>
      <c r="M4134" s="460">
        <f t="shared" si="166"/>
        <v>0.05</v>
      </c>
      <c r="N4134" s="464">
        <f t="shared" si="167"/>
        <v>176870</v>
      </c>
    </row>
    <row r="4135" spans="7:14" ht="11.25" customHeight="1" x14ac:dyDescent="0.3">
      <c r="G4135" s="459"/>
      <c r="H4135" s="459">
        <v>4128</v>
      </c>
      <c r="I4135" s="444">
        <f t="shared" ca="1" si="165"/>
        <v>-9622982900397.1973</v>
      </c>
      <c r="J4135" s="444">
        <f t="array" ref="J4135">IFERROR(INDEX('Retirement Calculator'!K:K,MATCH('Lorri 401b'!N4135,'Retirement Calculator'!A:A,0),0),0)</f>
        <v>0</v>
      </c>
      <c r="K4135" s="444">
        <f t="shared" ca="1" si="163"/>
        <v>-40095762084.988319</v>
      </c>
      <c r="L4135" s="444">
        <f t="shared" ca="1" si="164"/>
        <v>-9663078662482.1855</v>
      </c>
      <c r="M4135" s="460">
        <f t="shared" si="166"/>
        <v>0.05</v>
      </c>
      <c r="N4135" s="464">
        <f t="shared" si="167"/>
        <v>176900</v>
      </c>
    </row>
    <row r="4136" spans="7:14" ht="11.25" customHeight="1" x14ac:dyDescent="0.3">
      <c r="G4136" s="459"/>
      <c r="H4136" s="459">
        <v>4129</v>
      </c>
      <c r="I4136" s="444">
        <f t="shared" ca="1" si="165"/>
        <v>-9663078662482.1855</v>
      </c>
      <c r="J4136" s="444">
        <f t="array" ref="J4136">IFERROR(INDEX('Retirement Calculator'!K:K,MATCH('Lorri 401b'!N4136,'Retirement Calculator'!A:A,0),0),0)</f>
        <v>0</v>
      </c>
      <c r="K4136" s="444">
        <f t="shared" ca="1" si="163"/>
        <v>-40262827760.342438</v>
      </c>
      <c r="L4136" s="444">
        <f t="shared" ca="1" si="164"/>
        <v>-9703341490242.5273</v>
      </c>
      <c r="M4136" s="460">
        <f t="shared" si="166"/>
        <v>0.05</v>
      </c>
      <c r="N4136" s="464">
        <f t="shared" si="167"/>
        <v>176931</v>
      </c>
    </row>
    <row r="4137" spans="7:14" ht="11.25" customHeight="1" x14ac:dyDescent="0.3">
      <c r="G4137" s="459"/>
      <c r="H4137" s="459">
        <v>4130</v>
      </c>
      <c r="I4137" s="444">
        <f t="shared" ca="1" si="165"/>
        <v>-9703341490242.5273</v>
      </c>
      <c r="J4137" s="444">
        <f t="array" ref="J4137">IFERROR(INDEX('Retirement Calculator'!K:K,MATCH('Lorri 401b'!N4137,'Retirement Calculator'!A:A,0),0),0)</f>
        <v>0</v>
      </c>
      <c r="K4137" s="444">
        <f t="shared" ca="1" si="163"/>
        <v>-40430589542.6772</v>
      </c>
      <c r="L4137" s="444">
        <f t="shared" ca="1" si="164"/>
        <v>-9743772079785.2051</v>
      </c>
      <c r="M4137" s="460">
        <f t="shared" si="166"/>
        <v>0.05</v>
      </c>
      <c r="N4137" s="464">
        <f t="shared" si="167"/>
        <v>176961</v>
      </c>
    </row>
    <row r="4138" spans="7:14" ht="11.25" customHeight="1" x14ac:dyDescent="0.3">
      <c r="G4138" s="459"/>
      <c r="H4138" s="459">
        <v>4131</v>
      </c>
      <c r="I4138" s="444">
        <f t="shared" ca="1" si="165"/>
        <v>-9743772079785.2051</v>
      </c>
      <c r="J4138" s="444">
        <f t="array" ref="J4138">IFERROR(INDEX('Retirement Calculator'!K:K,MATCH('Lorri 401b'!N4138,'Retirement Calculator'!A:A,0),0),0)</f>
        <v>0</v>
      </c>
      <c r="K4138" s="444">
        <f t="shared" ca="1" si="163"/>
        <v>-40599050332.438354</v>
      </c>
      <c r="L4138" s="444">
        <f t="shared" ca="1" si="164"/>
        <v>-9784371130117.6426</v>
      </c>
      <c r="M4138" s="460">
        <f t="shared" si="166"/>
        <v>0.05</v>
      </c>
      <c r="N4138" s="464">
        <f t="shared" si="167"/>
        <v>176992</v>
      </c>
    </row>
    <row r="4139" spans="7:14" ht="11.25" customHeight="1" x14ac:dyDescent="0.3">
      <c r="G4139" s="459"/>
      <c r="H4139" s="459">
        <v>4132</v>
      </c>
      <c r="I4139" s="444">
        <f t="shared" ca="1" si="165"/>
        <v>-9784371130117.6426</v>
      </c>
      <c r="J4139" s="444">
        <f t="array" ref="J4139">IFERROR(INDEX('Retirement Calculator'!K:K,MATCH('Lorri 401b'!N4139,'Retirement Calculator'!A:A,0),0),0)</f>
        <v>0</v>
      </c>
      <c r="K4139" s="444">
        <f t="shared" ca="1" si="163"/>
        <v>-40768213042.156845</v>
      </c>
      <c r="L4139" s="444">
        <f t="shared" ca="1" si="164"/>
        <v>-9825139343159.7988</v>
      </c>
      <c r="M4139" s="460">
        <f t="shared" si="166"/>
        <v>0.05</v>
      </c>
      <c r="N4139" s="464">
        <f t="shared" si="167"/>
        <v>177023</v>
      </c>
    </row>
    <row r="4140" spans="7:14" ht="11.25" customHeight="1" x14ac:dyDescent="0.3">
      <c r="G4140" s="459"/>
      <c r="H4140" s="459">
        <v>4133</v>
      </c>
      <c r="I4140" s="444">
        <f t="shared" ca="1" si="165"/>
        <v>-9825139343159.7988</v>
      </c>
      <c r="J4140" s="444">
        <f t="array" ref="J4140">IFERROR(INDEX('Retirement Calculator'!K:K,MATCH('Lorri 401b'!N4140,'Retirement Calculator'!A:A,0),0),0)</f>
        <v>0</v>
      </c>
      <c r="K4140" s="444">
        <f t="shared" ca="1" si="163"/>
        <v>-40938080596.499161</v>
      </c>
      <c r="L4140" s="444">
        <f t="shared" ca="1" si="164"/>
        <v>-9866077423756.2988</v>
      </c>
      <c r="M4140" s="460">
        <f t="shared" si="166"/>
        <v>0.05</v>
      </c>
      <c r="N4140" s="464">
        <f t="shared" si="167"/>
        <v>177053</v>
      </c>
    </row>
    <row r="4141" spans="7:14" ht="11.25" customHeight="1" x14ac:dyDescent="0.3">
      <c r="G4141" s="459"/>
      <c r="H4141" s="459">
        <v>4134</v>
      </c>
      <c r="I4141" s="444">
        <f t="shared" ca="1" si="165"/>
        <v>-9866077423756.2988</v>
      </c>
      <c r="J4141" s="444">
        <f t="array" ref="J4141">IFERROR(INDEX('Retirement Calculator'!K:K,MATCH('Lorri 401b'!N4141,'Retirement Calculator'!A:A,0),0),0)</f>
        <v>0</v>
      </c>
      <c r="K4141" s="444">
        <f t="shared" ca="1" si="163"/>
        <v>-41108655932.317909</v>
      </c>
      <c r="L4141" s="444">
        <f t="shared" ca="1" si="164"/>
        <v>-9907186079688.6172</v>
      </c>
      <c r="M4141" s="460">
        <f t="shared" si="166"/>
        <v>0.05</v>
      </c>
      <c r="N4141" s="464">
        <f t="shared" si="167"/>
        <v>177084</v>
      </c>
    </row>
    <row r="4142" spans="7:14" ht="11.25" customHeight="1" x14ac:dyDescent="0.3">
      <c r="G4142" s="459"/>
      <c r="H4142" s="459">
        <v>4135</v>
      </c>
      <c r="I4142" s="444">
        <f t="shared" ca="1" si="165"/>
        <v>-9907186079688.6172</v>
      </c>
      <c r="J4142" s="444">
        <f t="array" ref="J4142">IFERROR(INDEX('Retirement Calculator'!K:K,MATCH('Lorri 401b'!N4142,'Retirement Calculator'!A:A,0),0),0)</f>
        <v>0</v>
      </c>
      <c r="K4142" s="444">
        <f t="shared" ca="1" si="163"/>
        <v>-41279941998.702568</v>
      </c>
      <c r="L4142" s="444">
        <f t="shared" ca="1" si="164"/>
        <v>-9948466021687.3203</v>
      </c>
      <c r="M4142" s="460">
        <f t="shared" si="166"/>
        <v>0.05</v>
      </c>
      <c r="N4142" s="464">
        <f t="shared" si="167"/>
        <v>177114</v>
      </c>
    </row>
    <row r="4143" spans="7:14" ht="11.25" customHeight="1" x14ac:dyDescent="0.3">
      <c r="G4143" s="459"/>
      <c r="H4143" s="459">
        <v>4136</v>
      </c>
      <c r="I4143" s="444">
        <f t="shared" ca="1" si="165"/>
        <v>-9948466021687.3203</v>
      </c>
      <c r="J4143" s="444">
        <f t="array" ref="J4143">IFERROR(INDEX('Retirement Calculator'!K:K,MATCH('Lorri 401b'!N4143,'Retirement Calculator'!A:A,0),0),0)</f>
        <v>0</v>
      </c>
      <c r="K4143" s="444">
        <f t="shared" ca="1" si="163"/>
        <v>-41451941757.030502</v>
      </c>
      <c r="L4143" s="444">
        <f t="shared" ca="1" si="164"/>
        <v>-9989917963444.3516</v>
      </c>
      <c r="M4143" s="460">
        <f t="shared" si="166"/>
        <v>0.05</v>
      </c>
      <c r="N4143" s="464">
        <f t="shared" si="167"/>
        <v>177145</v>
      </c>
    </row>
    <row r="4144" spans="7:14" ht="11.25" customHeight="1" x14ac:dyDescent="0.3">
      <c r="G4144" s="459"/>
      <c r="H4144" s="459">
        <v>4137</v>
      </c>
      <c r="I4144" s="444">
        <f t="shared" ca="1" si="165"/>
        <v>-9989917963444.3516</v>
      </c>
      <c r="J4144" s="444">
        <f t="array" ref="J4144">IFERROR(INDEX('Retirement Calculator'!K:K,MATCH('Lorri 401b'!N4144,'Retirement Calculator'!A:A,0),0),0)</f>
        <v>0</v>
      </c>
      <c r="K4144" s="444">
        <f t="shared" ca="1" si="163"/>
        <v>-41624658181.018127</v>
      </c>
      <c r="L4144" s="444">
        <f t="shared" ca="1" si="164"/>
        <v>-10031542621625.369</v>
      </c>
      <c r="M4144" s="460">
        <f t="shared" si="166"/>
        <v>0.05</v>
      </c>
      <c r="N4144" s="464">
        <f t="shared" si="167"/>
        <v>177176</v>
      </c>
    </row>
    <row r="4145" spans="7:14" ht="11.25" customHeight="1" x14ac:dyDescent="0.3">
      <c r="G4145" s="459"/>
      <c r="H4145" s="459">
        <v>4138</v>
      </c>
      <c r="I4145" s="444">
        <f t="shared" ca="1" si="165"/>
        <v>-10031542621625.369</v>
      </c>
      <c r="J4145" s="444">
        <f t="array" ref="J4145">IFERROR(INDEX('Retirement Calculator'!K:K,MATCH('Lorri 401b'!N4145,'Retirement Calculator'!A:A,0),0),0)</f>
        <v>0</v>
      </c>
      <c r="K4145" s="444">
        <f t="shared" ca="1" si="163"/>
        <v>-41798094256.772369</v>
      </c>
      <c r="L4145" s="444">
        <f t="shared" ca="1" si="164"/>
        <v>-10073340715882.141</v>
      </c>
      <c r="M4145" s="460">
        <f t="shared" si="166"/>
        <v>0.05</v>
      </c>
      <c r="N4145" s="464">
        <f t="shared" si="167"/>
        <v>177204</v>
      </c>
    </row>
    <row r="4146" spans="7:14" ht="11.25" customHeight="1" x14ac:dyDescent="0.3">
      <c r="G4146" s="459"/>
      <c r="H4146" s="459">
        <v>4139</v>
      </c>
      <c r="I4146" s="444">
        <f t="shared" ca="1" si="165"/>
        <v>-10073340715882.141</v>
      </c>
      <c r="J4146" s="444">
        <f t="array" ref="J4146">IFERROR(INDEX('Retirement Calculator'!K:K,MATCH('Lorri 401b'!N4146,'Retirement Calculator'!A:A,0),0),0)</f>
        <v>0</v>
      </c>
      <c r="K4146" s="444">
        <f t="shared" ca="1" si="163"/>
        <v>-41972252982.842255</v>
      </c>
      <c r="L4146" s="444">
        <f t="shared" ca="1" si="164"/>
        <v>-10115312968864.982</v>
      </c>
      <c r="M4146" s="460">
        <f t="shared" si="166"/>
        <v>0.05</v>
      </c>
      <c r="N4146" s="464">
        <f t="shared" si="167"/>
        <v>177235</v>
      </c>
    </row>
    <row r="4147" spans="7:14" ht="11.25" customHeight="1" x14ac:dyDescent="0.3">
      <c r="G4147" s="459"/>
      <c r="H4147" s="459">
        <v>4140</v>
      </c>
      <c r="I4147" s="444">
        <f t="shared" ca="1" si="165"/>
        <v>-10115312968864.982</v>
      </c>
      <c r="J4147" s="444">
        <f t="array" ref="J4147">IFERROR(INDEX('Retirement Calculator'!K:K,MATCH('Lorri 401b'!N4147,'Retirement Calculator'!A:A,0),0),0)</f>
        <v>0</v>
      </c>
      <c r="K4147" s="444">
        <f t="shared" ca="1" si="163"/>
        <v>-42147137370.27076</v>
      </c>
      <c r="L4147" s="444">
        <f t="shared" ca="1" si="164"/>
        <v>-10157460106235.254</v>
      </c>
      <c r="M4147" s="460">
        <f t="shared" si="166"/>
        <v>0.05</v>
      </c>
      <c r="N4147" s="464">
        <f t="shared" si="167"/>
        <v>177265</v>
      </c>
    </row>
    <row r="4148" spans="7:14" ht="11.25" customHeight="1" x14ac:dyDescent="0.3">
      <c r="G4148" s="459"/>
      <c r="H4148" s="459">
        <v>4141</v>
      </c>
      <c r="I4148" s="444">
        <f t="shared" ca="1" si="165"/>
        <v>-10157460106235.254</v>
      </c>
      <c r="J4148" s="444">
        <f t="array" ref="J4148">IFERROR(INDEX('Retirement Calculator'!K:K,MATCH('Lorri 401b'!N4148,'Retirement Calculator'!A:A,0),0),0)</f>
        <v>0</v>
      </c>
      <c r="K4148" s="444">
        <f t="shared" ca="1" si="163"/>
        <v>-42322750442.646889</v>
      </c>
      <c r="L4148" s="444">
        <f t="shared" ca="1" si="164"/>
        <v>-10199782856677.9</v>
      </c>
      <c r="M4148" s="460">
        <f t="shared" si="166"/>
        <v>0.05</v>
      </c>
      <c r="N4148" s="464">
        <f t="shared" si="167"/>
        <v>177296</v>
      </c>
    </row>
    <row r="4149" spans="7:14" ht="11.25" customHeight="1" x14ac:dyDescent="0.3">
      <c r="G4149" s="459"/>
      <c r="H4149" s="459">
        <v>4142</v>
      </c>
      <c r="I4149" s="444">
        <f t="shared" ca="1" si="165"/>
        <v>-10199782856677.9</v>
      </c>
      <c r="J4149" s="444">
        <f t="array" ref="J4149">IFERROR(INDEX('Retirement Calculator'!K:K,MATCH('Lorri 401b'!N4149,'Retirement Calculator'!A:A,0),0),0)</f>
        <v>0</v>
      </c>
      <c r="K4149" s="444">
        <f t="shared" ca="1" si="163"/>
        <v>-42499095236.157921</v>
      </c>
      <c r="L4149" s="444">
        <f t="shared" ca="1" si="164"/>
        <v>-10242281951914.059</v>
      </c>
      <c r="M4149" s="460">
        <f t="shared" si="166"/>
        <v>0.05</v>
      </c>
      <c r="N4149" s="464">
        <f t="shared" si="167"/>
        <v>177326</v>
      </c>
    </row>
    <row r="4150" spans="7:14" ht="11.25" customHeight="1" x14ac:dyDescent="0.3">
      <c r="G4150" s="459"/>
      <c r="H4150" s="459">
        <v>4143</v>
      </c>
      <c r="I4150" s="444">
        <f t="shared" ca="1" si="165"/>
        <v>-10242281951914.059</v>
      </c>
      <c r="J4150" s="444">
        <f t="array" ref="J4150">IFERROR(INDEX('Retirement Calculator'!K:K,MATCH('Lorri 401b'!N4150,'Retirement Calculator'!A:A,0),0),0)</f>
        <v>0</v>
      </c>
      <c r="K4150" s="444">
        <f t="shared" ca="1" si="163"/>
        <v>-42676174799.641907</v>
      </c>
      <c r="L4150" s="444">
        <f t="shared" ca="1" si="164"/>
        <v>-10284958126713.701</v>
      </c>
      <c r="M4150" s="460">
        <f t="shared" si="166"/>
        <v>0.05</v>
      </c>
      <c r="N4150" s="464">
        <f t="shared" si="167"/>
        <v>177357</v>
      </c>
    </row>
    <row r="4151" spans="7:14" ht="11.25" customHeight="1" x14ac:dyDescent="0.3">
      <c r="G4151" s="459"/>
      <c r="H4151" s="459">
        <v>4144</v>
      </c>
      <c r="I4151" s="444">
        <f t="shared" ca="1" si="165"/>
        <v>-10284958126713.701</v>
      </c>
      <c r="J4151" s="444">
        <f t="array" ref="J4151">IFERROR(INDEX('Retirement Calculator'!K:K,MATCH('Lorri 401b'!N4151,'Retirement Calculator'!A:A,0),0),0)</f>
        <v>0</v>
      </c>
      <c r="K4151" s="444">
        <f t="shared" ca="1" si="163"/>
        <v>-42853992194.640419</v>
      </c>
      <c r="L4151" s="444">
        <f t="shared" ca="1" si="164"/>
        <v>-10327812118908.342</v>
      </c>
      <c r="M4151" s="460">
        <f t="shared" si="166"/>
        <v>0.05</v>
      </c>
      <c r="N4151" s="464">
        <f t="shared" si="167"/>
        <v>177388</v>
      </c>
    </row>
    <row r="4152" spans="7:14" ht="11.25" customHeight="1" x14ac:dyDescent="0.3">
      <c r="G4152" s="459"/>
      <c r="H4152" s="459">
        <v>4145</v>
      </c>
      <c r="I4152" s="444">
        <f t="shared" ca="1" si="165"/>
        <v>-10327812118908.342</v>
      </c>
      <c r="J4152" s="444">
        <f t="array" ref="J4152">IFERROR(INDEX('Retirement Calculator'!K:K,MATCH('Lorri 401b'!N4152,'Retirement Calculator'!A:A,0),0),0)</f>
        <v>0</v>
      </c>
      <c r="K4152" s="444">
        <f t="shared" ca="1" si="163"/>
        <v>-43032550495.451424</v>
      </c>
      <c r="L4152" s="444">
        <f t="shared" ca="1" si="164"/>
        <v>-10370844669403.793</v>
      </c>
      <c r="M4152" s="460">
        <f t="shared" si="166"/>
        <v>0.05</v>
      </c>
      <c r="N4152" s="464">
        <f t="shared" si="167"/>
        <v>177418</v>
      </c>
    </row>
    <row r="4153" spans="7:14" ht="11.25" customHeight="1" x14ac:dyDescent="0.3">
      <c r="G4153" s="459"/>
      <c r="H4153" s="459">
        <v>4146</v>
      </c>
      <c r="I4153" s="444">
        <f t="shared" ca="1" si="165"/>
        <v>-10370844669403.793</v>
      </c>
      <c r="J4153" s="444">
        <f t="array" ref="J4153">IFERROR(INDEX('Retirement Calculator'!K:K,MATCH('Lorri 401b'!N4153,'Retirement Calculator'!A:A,0),0),0)</f>
        <v>0</v>
      </c>
      <c r="K4153" s="444">
        <f t="shared" ca="1" si="163"/>
        <v>-43211852789.182472</v>
      </c>
      <c r="L4153" s="444">
        <f t="shared" ca="1" si="164"/>
        <v>-10414056522192.975</v>
      </c>
      <c r="M4153" s="460">
        <f t="shared" si="166"/>
        <v>0.05</v>
      </c>
      <c r="N4153" s="464">
        <f t="shared" si="167"/>
        <v>177449</v>
      </c>
    </row>
    <row r="4154" spans="7:14" ht="11.25" customHeight="1" x14ac:dyDescent="0.3">
      <c r="G4154" s="459"/>
      <c r="H4154" s="459">
        <v>4147</v>
      </c>
      <c r="I4154" s="444">
        <f t="shared" ca="1" si="165"/>
        <v>-10414056522192.975</v>
      </c>
      <c r="J4154" s="444">
        <f t="array" ref="J4154">IFERROR(INDEX('Retirement Calculator'!K:K,MATCH('Lorri 401b'!N4154,'Retirement Calculator'!A:A,0),0),0)</f>
        <v>0</v>
      </c>
      <c r="K4154" s="444">
        <f t="shared" ca="1" si="163"/>
        <v>-43391902175.804062</v>
      </c>
      <c r="L4154" s="444">
        <f t="shared" ca="1" si="164"/>
        <v>-10457448424368.779</v>
      </c>
      <c r="M4154" s="460">
        <f t="shared" si="166"/>
        <v>0.05</v>
      </c>
      <c r="N4154" s="464">
        <f t="shared" si="167"/>
        <v>177479</v>
      </c>
    </row>
    <row r="4155" spans="7:14" ht="11.25" customHeight="1" x14ac:dyDescent="0.3">
      <c r="G4155" s="459"/>
      <c r="H4155" s="459">
        <v>4148</v>
      </c>
      <c r="I4155" s="444">
        <f t="shared" ca="1" si="165"/>
        <v>-10457448424368.779</v>
      </c>
      <c r="J4155" s="444">
        <f t="array" ref="J4155">IFERROR(INDEX('Retirement Calculator'!K:K,MATCH('Lorri 401b'!N4155,'Retirement Calculator'!A:A,0),0),0)</f>
        <v>0</v>
      </c>
      <c r="K4155" s="444">
        <f t="shared" ca="1" si="163"/>
        <v>-43572701768.203247</v>
      </c>
      <c r="L4155" s="444">
        <f t="shared" ca="1" si="164"/>
        <v>-10501021126136.982</v>
      </c>
      <c r="M4155" s="460">
        <f t="shared" si="166"/>
        <v>0.05</v>
      </c>
      <c r="N4155" s="464">
        <f t="shared" si="167"/>
        <v>177510</v>
      </c>
    </row>
    <row r="4156" spans="7:14" ht="11.25" customHeight="1" x14ac:dyDescent="0.3">
      <c r="G4156" s="459"/>
      <c r="H4156" s="459">
        <v>4149</v>
      </c>
      <c r="I4156" s="444">
        <f t="shared" ca="1" si="165"/>
        <v>-10501021126136.982</v>
      </c>
      <c r="J4156" s="444">
        <f t="array" ref="J4156">IFERROR(INDEX('Retirement Calculator'!K:K,MATCH('Lorri 401b'!N4156,'Retirement Calculator'!A:A,0),0),0)</f>
        <v>0</v>
      </c>
      <c r="K4156" s="444">
        <f t="shared" ca="1" si="163"/>
        <v>-43754254692.237427</v>
      </c>
      <c r="L4156" s="444">
        <f t="shared" ca="1" si="164"/>
        <v>-10544775380829.221</v>
      </c>
      <c r="M4156" s="460">
        <f t="shared" si="166"/>
        <v>0.05</v>
      </c>
      <c r="N4156" s="464">
        <f t="shared" si="167"/>
        <v>177541</v>
      </c>
    </row>
    <row r="4157" spans="7:14" ht="11.25" customHeight="1" x14ac:dyDescent="0.3">
      <c r="G4157" s="459"/>
      <c r="H4157" s="459">
        <v>4150</v>
      </c>
      <c r="I4157" s="444">
        <f t="shared" ca="1" si="165"/>
        <v>-10544775380829.221</v>
      </c>
      <c r="J4157" s="444">
        <f t="array" ref="J4157">IFERROR(INDEX('Retirement Calculator'!K:K,MATCH('Lorri 401b'!N4157,'Retirement Calculator'!A:A,0),0),0)</f>
        <v>0</v>
      </c>
      <c r="K4157" s="444">
        <f t="shared" ca="1" si="163"/>
        <v>-43936564086.788422</v>
      </c>
      <c r="L4157" s="444">
        <f t="shared" ca="1" si="164"/>
        <v>-10588711944916.01</v>
      </c>
      <c r="M4157" s="460">
        <f t="shared" si="166"/>
        <v>0.05</v>
      </c>
      <c r="N4157" s="464">
        <f t="shared" si="167"/>
        <v>177569</v>
      </c>
    </row>
    <row r="4158" spans="7:14" ht="11.25" customHeight="1" x14ac:dyDescent="0.3">
      <c r="G4158" s="459"/>
      <c r="H4158" s="459">
        <v>4151</v>
      </c>
      <c r="I4158" s="444">
        <f t="shared" ca="1" si="165"/>
        <v>-10588711944916.01</v>
      </c>
      <c r="J4158" s="444">
        <f t="array" ref="J4158">IFERROR(INDEX('Retirement Calculator'!K:K,MATCH('Lorri 401b'!N4158,'Retirement Calculator'!A:A,0),0),0)</f>
        <v>0</v>
      </c>
      <c r="K4158" s="444">
        <f t="shared" ca="1" si="163"/>
        <v>-44119633103.816704</v>
      </c>
      <c r="L4158" s="444">
        <f t="shared" ca="1" si="164"/>
        <v>-10632831578019.826</v>
      </c>
      <c r="M4158" s="460">
        <f t="shared" si="166"/>
        <v>0.05</v>
      </c>
      <c r="N4158" s="464">
        <f t="shared" si="167"/>
        <v>177600</v>
      </c>
    </row>
    <row r="4159" spans="7:14" ht="11.25" customHeight="1" x14ac:dyDescent="0.3">
      <c r="G4159" s="459"/>
      <c r="H4159" s="459">
        <v>4152</v>
      </c>
      <c r="I4159" s="444">
        <f t="shared" ca="1" si="165"/>
        <v>-10632831578019.826</v>
      </c>
      <c r="J4159" s="444">
        <f t="array" ref="J4159">IFERROR(INDEX('Retirement Calculator'!K:K,MATCH('Lorri 401b'!N4159,'Retirement Calculator'!A:A,0),0),0)</f>
        <v>0</v>
      </c>
      <c r="K4159" s="444">
        <f t="shared" ca="1" si="163"/>
        <v>-44303464908.415939</v>
      </c>
      <c r="L4159" s="444">
        <f t="shared" ca="1" si="164"/>
        <v>-10677135042928.242</v>
      </c>
      <c r="M4159" s="460">
        <f t="shared" si="166"/>
        <v>0.05</v>
      </c>
      <c r="N4159" s="464">
        <f t="shared" si="167"/>
        <v>177630</v>
      </c>
    </row>
    <row r="4160" spans="7:14" ht="11.25" customHeight="1" x14ac:dyDescent="0.3">
      <c r="G4160" s="459"/>
      <c r="H4160" s="459">
        <v>4153</v>
      </c>
      <c r="I4160" s="444">
        <f t="shared" ca="1" si="165"/>
        <v>-10677135042928.242</v>
      </c>
      <c r="J4160" s="444">
        <f t="array" ref="J4160">IFERROR(INDEX('Retirement Calculator'!K:K,MATCH('Lorri 401b'!N4160,'Retirement Calculator'!A:A,0),0),0)</f>
        <v>0</v>
      </c>
      <c r="K4160" s="444">
        <f t="shared" ca="1" si="163"/>
        <v>-44488062678.867676</v>
      </c>
      <c r="L4160" s="444">
        <f t="shared" ca="1" si="164"/>
        <v>-10721623105607.109</v>
      </c>
      <c r="M4160" s="460">
        <f t="shared" si="166"/>
        <v>0.05</v>
      </c>
      <c r="N4160" s="464">
        <f t="shared" si="167"/>
        <v>177661</v>
      </c>
    </row>
    <row r="4161" spans="7:14" ht="11.25" customHeight="1" x14ac:dyDescent="0.3">
      <c r="G4161" s="459"/>
      <c r="H4161" s="459">
        <v>4154</v>
      </c>
      <c r="I4161" s="444">
        <f t="shared" ca="1" si="165"/>
        <v>-10721623105607.109</v>
      </c>
      <c r="J4161" s="444">
        <f t="array" ref="J4161">IFERROR(INDEX('Retirement Calculator'!K:K,MATCH('Lorri 401b'!N4161,'Retirement Calculator'!A:A,0),0),0)</f>
        <v>0</v>
      </c>
      <c r="K4161" s="444">
        <f t="shared" ca="1" si="163"/>
        <v>-44673429606.696289</v>
      </c>
      <c r="L4161" s="444">
        <f t="shared" ca="1" si="164"/>
        <v>-10766296535213.805</v>
      </c>
      <c r="M4161" s="460">
        <f t="shared" si="166"/>
        <v>0.05</v>
      </c>
      <c r="N4161" s="464">
        <f t="shared" si="167"/>
        <v>177691</v>
      </c>
    </row>
    <row r="4162" spans="7:14" ht="11.25" customHeight="1" x14ac:dyDescent="0.3">
      <c r="G4162" s="459"/>
      <c r="H4162" s="459">
        <v>4155</v>
      </c>
      <c r="I4162" s="444">
        <f t="shared" ca="1" si="165"/>
        <v>-10766296535213.805</v>
      </c>
      <c r="J4162" s="444">
        <f t="array" ref="J4162">IFERROR(INDEX('Retirement Calculator'!K:K,MATCH('Lorri 401b'!N4162,'Retirement Calculator'!A:A,0),0),0)</f>
        <v>0</v>
      </c>
      <c r="K4162" s="444">
        <f t="shared" ca="1" si="163"/>
        <v>-44859568896.724182</v>
      </c>
      <c r="L4162" s="444">
        <f t="shared" ca="1" si="164"/>
        <v>-10811156104110.529</v>
      </c>
      <c r="M4162" s="460">
        <f t="shared" si="166"/>
        <v>0.05</v>
      </c>
      <c r="N4162" s="464">
        <f t="shared" si="167"/>
        <v>177722</v>
      </c>
    </row>
    <row r="4163" spans="7:14" ht="11.25" customHeight="1" x14ac:dyDescent="0.3">
      <c r="G4163" s="459"/>
      <c r="H4163" s="459">
        <v>4156</v>
      </c>
      <c r="I4163" s="444">
        <f t="shared" ca="1" si="165"/>
        <v>-10811156104110.529</v>
      </c>
      <c r="J4163" s="444">
        <f t="array" ref="J4163">IFERROR(INDEX('Retirement Calculator'!K:K,MATCH('Lorri 401b'!N4163,'Retirement Calculator'!A:A,0),0),0)</f>
        <v>0</v>
      </c>
      <c r="K4163" s="444">
        <f t="shared" ca="1" si="163"/>
        <v>-45046483767.127205</v>
      </c>
      <c r="L4163" s="444">
        <f t="shared" ca="1" si="164"/>
        <v>-10856202587877.656</v>
      </c>
      <c r="M4163" s="460">
        <f t="shared" si="166"/>
        <v>0.05</v>
      </c>
      <c r="N4163" s="464">
        <f t="shared" si="167"/>
        <v>177753</v>
      </c>
    </row>
    <row r="4164" spans="7:14" ht="11.25" customHeight="1" x14ac:dyDescent="0.3">
      <c r="G4164" s="459"/>
      <c r="H4164" s="459">
        <v>4157</v>
      </c>
      <c r="I4164" s="444">
        <f t="shared" ca="1" si="165"/>
        <v>-10856202587877.656</v>
      </c>
      <c r="J4164" s="444">
        <f t="array" ref="J4164">IFERROR(INDEX('Retirement Calculator'!K:K,MATCH('Lorri 401b'!N4164,'Retirement Calculator'!A:A,0),0),0)</f>
        <v>0</v>
      </c>
      <c r="K4164" s="444">
        <f t="shared" ca="1" si="163"/>
        <v>-45234177449.490234</v>
      </c>
      <c r="L4164" s="444">
        <f t="shared" ca="1" si="164"/>
        <v>-10901436765327.146</v>
      </c>
      <c r="M4164" s="460">
        <f t="shared" si="166"/>
        <v>0.05</v>
      </c>
      <c r="N4164" s="464">
        <f t="shared" si="167"/>
        <v>177783</v>
      </c>
    </row>
    <row r="4165" spans="7:14" ht="11.25" customHeight="1" x14ac:dyDescent="0.3">
      <c r="G4165" s="459"/>
      <c r="H4165" s="459">
        <v>4158</v>
      </c>
      <c r="I4165" s="444">
        <f t="shared" ca="1" si="165"/>
        <v>-10901436765327.146</v>
      </c>
      <c r="J4165" s="444">
        <f t="array" ref="J4165">IFERROR(INDEX('Retirement Calculator'!K:K,MATCH('Lorri 401b'!N4165,'Retirement Calculator'!A:A,0),0),0)</f>
        <v>0</v>
      </c>
      <c r="K4165" s="444">
        <f t="shared" ca="1" si="163"/>
        <v>-45422653188.863113</v>
      </c>
      <c r="L4165" s="444">
        <f t="shared" ca="1" si="164"/>
        <v>-10946859418516.01</v>
      </c>
      <c r="M4165" s="460">
        <f t="shared" si="166"/>
        <v>0.05</v>
      </c>
      <c r="N4165" s="464">
        <f t="shared" si="167"/>
        <v>177814</v>
      </c>
    </row>
    <row r="4166" spans="7:14" ht="11.25" customHeight="1" x14ac:dyDescent="0.3">
      <c r="G4166" s="459"/>
      <c r="H4166" s="459">
        <v>4159</v>
      </c>
      <c r="I4166" s="444">
        <f t="shared" ca="1" si="165"/>
        <v>-10946859418516.01</v>
      </c>
      <c r="J4166" s="444">
        <f t="array" ref="J4166">IFERROR(INDEX('Retirement Calculator'!K:K,MATCH('Lorri 401b'!N4166,'Retirement Calculator'!A:A,0),0),0)</f>
        <v>0</v>
      </c>
      <c r="K4166" s="444">
        <f t="shared" ca="1" si="163"/>
        <v>-45611914243.816704</v>
      </c>
      <c r="L4166" s="444">
        <f t="shared" ca="1" si="164"/>
        <v>-10992471332759.826</v>
      </c>
      <c r="M4166" s="460">
        <f t="shared" si="166"/>
        <v>0.05</v>
      </c>
      <c r="N4166" s="464">
        <f t="shared" si="167"/>
        <v>177844</v>
      </c>
    </row>
    <row r="4167" spans="7:14" ht="11.25" customHeight="1" x14ac:dyDescent="0.3">
      <c r="G4167" s="459"/>
      <c r="H4167" s="459">
        <v>4160</v>
      </c>
      <c r="I4167" s="444">
        <f t="shared" ca="1" si="165"/>
        <v>-10992471332759.826</v>
      </c>
      <c r="J4167" s="444">
        <f t="array" ref="J4167">IFERROR(INDEX('Retirement Calculator'!K:K,MATCH('Lorri 401b'!N4167,'Retirement Calculator'!A:A,0),0),0)</f>
        <v>0</v>
      </c>
      <c r="K4167" s="444">
        <f t="shared" ca="1" si="163"/>
        <v>-45801963886.499275</v>
      </c>
      <c r="L4167" s="444">
        <f t="shared" ca="1" si="164"/>
        <v>-11038273296646.326</v>
      </c>
      <c r="M4167" s="460">
        <f t="shared" si="166"/>
        <v>0.05</v>
      </c>
      <c r="N4167" s="464">
        <f t="shared" si="167"/>
        <v>177875</v>
      </c>
    </row>
    <row r="4168" spans="7:14" ht="11.25" customHeight="1" x14ac:dyDescent="0.3">
      <c r="G4168" s="459"/>
      <c r="H4168" s="459">
        <v>4161</v>
      </c>
      <c r="I4168" s="444">
        <f t="shared" ca="1" si="165"/>
        <v>-11038273296646.326</v>
      </c>
      <c r="J4168" s="444">
        <f t="array" ref="J4168">IFERROR(INDEX('Retirement Calculator'!K:K,MATCH('Lorri 401b'!N4168,'Retirement Calculator'!A:A,0),0),0)</f>
        <v>0</v>
      </c>
      <c r="K4168" s="444">
        <f t="shared" ca="1" si="163"/>
        <v>-45992805402.693024</v>
      </c>
      <c r="L4168" s="444">
        <f t="shared" ca="1" si="164"/>
        <v>-11084266102049.02</v>
      </c>
      <c r="M4168" s="460">
        <f t="shared" si="166"/>
        <v>0.05</v>
      </c>
      <c r="N4168" s="464">
        <f t="shared" si="167"/>
        <v>177906</v>
      </c>
    </row>
    <row r="4169" spans="7:14" ht="11.25" customHeight="1" x14ac:dyDescent="0.3">
      <c r="G4169" s="459"/>
      <c r="H4169" s="459">
        <v>4162</v>
      </c>
      <c r="I4169" s="444">
        <f t="shared" ca="1" si="165"/>
        <v>-11084266102049.02</v>
      </c>
      <c r="J4169" s="444">
        <f t="array" ref="J4169">IFERROR(INDEX('Retirement Calculator'!K:K,MATCH('Lorri 401b'!N4169,'Retirement Calculator'!A:A,0),0),0)</f>
        <v>0</v>
      </c>
      <c r="K4169" s="444">
        <f t="shared" ca="1" si="163"/>
        <v>-46184442091.870911</v>
      </c>
      <c r="L4169" s="444">
        <f t="shared" ca="1" si="164"/>
        <v>-11130450544140.891</v>
      </c>
      <c r="M4169" s="460">
        <f t="shared" si="166"/>
        <v>0.05</v>
      </c>
      <c r="N4169" s="464">
        <f t="shared" si="167"/>
        <v>177934</v>
      </c>
    </row>
    <row r="4170" spans="7:14" ht="11.25" customHeight="1" x14ac:dyDescent="0.3">
      <c r="G4170" s="459"/>
      <c r="H4170" s="459">
        <v>4163</v>
      </c>
      <c r="I4170" s="444">
        <f t="shared" ca="1" si="165"/>
        <v>-11130450544140.891</v>
      </c>
      <c r="J4170" s="444">
        <f t="array" ref="J4170">IFERROR(INDEX('Retirement Calculator'!K:K,MATCH('Lorri 401b'!N4170,'Retirement Calculator'!A:A,0),0),0)</f>
        <v>0</v>
      </c>
      <c r="K4170" s="444">
        <f t="shared" ca="1" si="163"/>
        <v>-46376877267.253708</v>
      </c>
      <c r="L4170" s="444">
        <f t="shared" ca="1" si="164"/>
        <v>-11176827421408.145</v>
      </c>
      <c r="M4170" s="460">
        <f t="shared" si="166"/>
        <v>0.05</v>
      </c>
      <c r="N4170" s="464">
        <f t="shared" si="167"/>
        <v>177965</v>
      </c>
    </row>
    <row r="4171" spans="7:14" ht="11.25" customHeight="1" x14ac:dyDescent="0.3">
      <c r="G4171" s="459"/>
      <c r="H4171" s="459">
        <v>4164</v>
      </c>
      <c r="I4171" s="444">
        <f t="shared" ca="1" si="165"/>
        <v>-11176827421408.145</v>
      </c>
      <c r="J4171" s="444">
        <f t="array" ref="J4171">IFERROR(INDEX('Retirement Calculator'!K:K,MATCH('Lorri 401b'!N4171,'Retirement Calculator'!A:A,0),0),0)</f>
        <v>0</v>
      </c>
      <c r="K4171" s="444">
        <f t="shared" ca="1" si="163"/>
        <v>-46570114255.867271</v>
      </c>
      <c r="L4171" s="444">
        <f t="shared" ca="1" si="164"/>
        <v>-11223397535664.012</v>
      </c>
      <c r="M4171" s="460">
        <f t="shared" si="166"/>
        <v>0.05</v>
      </c>
      <c r="N4171" s="464">
        <f t="shared" si="167"/>
        <v>177995</v>
      </c>
    </row>
    <row r="4172" spans="7:14" ht="11.25" customHeight="1" x14ac:dyDescent="0.3">
      <c r="G4172" s="459"/>
      <c r="H4172" s="459">
        <v>4165</v>
      </c>
      <c r="I4172" s="444">
        <f t="shared" ca="1" si="165"/>
        <v>-11223397535664.012</v>
      </c>
      <c r="J4172" s="444">
        <f t="array" ref="J4172">IFERROR(INDEX('Retirement Calculator'!K:K,MATCH('Lorri 401b'!N4172,'Retirement Calculator'!A:A,0),0),0)</f>
        <v>0</v>
      </c>
      <c r="K4172" s="444">
        <f t="shared" ca="1" si="163"/>
        <v>-46764156398.600052</v>
      </c>
      <c r="L4172" s="444">
        <f t="shared" ca="1" si="164"/>
        <v>-11270161692062.611</v>
      </c>
      <c r="M4172" s="460">
        <f t="shared" si="166"/>
        <v>0.05</v>
      </c>
      <c r="N4172" s="464">
        <f t="shared" si="167"/>
        <v>178026</v>
      </c>
    </row>
    <row r="4173" spans="7:14" ht="11.25" customHeight="1" x14ac:dyDescent="0.3">
      <c r="G4173" s="459"/>
      <c r="H4173" s="459">
        <v>4166</v>
      </c>
      <c r="I4173" s="444">
        <f t="shared" ca="1" si="165"/>
        <v>-11270161692062.611</v>
      </c>
      <c r="J4173" s="444">
        <f t="array" ref="J4173">IFERROR(INDEX('Retirement Calculator'!K:K,MATCH('Lorri 401b'!N4173,'Retirement Calculator'!A:A,0),0),0)</f>
        <v>0</v>
      </c>
      <c r="K4173" s="444">
        <f t="shared" ca="1" si="163"/>
        <v>-46959007050.26088</v>
      </c>
      <c r="L4173" s="444">
        <f t="shared" ca="1" si="164"/>
        <v>-11317120699112.873</v>
      </c>
      <c r="M4173" s="460">
        <f t="shared" si="166"/>
        <v>0.05</v>
      </c>
      <c r="N4173" s="464">
        <f t="shared" si="167"/>
        <v>178056</v>
      </c>
    </row>
    <row r="4174" spans="7:14" ht="11.25" customHeight="1" x14ac:dyDescent="0.3">
      <c r="G4174" s="459"/>
      <c r="H4174" s="459">
        <v>4167</v>
      </c>
      <c r="I4174" s="444">
        <f t="shared" ca="1" si="165"/>
        <v>-11317120699112.873</v>
      </c>
      <c r="J4174" s="444">
        <f t="array" ref="J4174">IFERROR(INDEX('Retirement Calculator'!K:K,MATCH('Lorri 401b'!N4174,'Retirement Calculator'!A:A,0),0),0)</f>
        <v>0</v>
      </c>
      <c r="K4174" s="444">
        <f t="shared" ca="1" si="163"/>
        <v>-47154669579.636971</v>
      </c>
      <c r="L4174" s="444">
        <f t="shared" ca="1" si="164"/>
        <v>-11364275368692.51</v>
      </c>
      <c r="M4174" s="460">
        <f t="shared" si="166"/>
        <v>0.05</v>
      </c>
      <c r="N4174" s="464">
        <f t="shared" si="167"/>
        <v>178087</v>
      </c>
    </row>
    <row r="4175" spans="7:14" ht="11.25" customHeight="1" x14ac:dyDescent="0.3">
      <c r="G4175" s="459"/>
      <c r="H4175" s="459">
        <v>4168</v>
      </c>
      <c r="I4175" s="444">
        <f t="shared" ca="1" si="165"/>
        <v>-11364275368692.51</v>
      </c>
      <c r="J4175" s="444">
        <f t="array" ref="J4175">IFERROR(INDEX('Retirement Calculator'!K:K,MATCH('Lorri 401b'!N4175,'Retirement Calculator'!A:A,0),0),0)</f>
        <v>0</v>
      </c>
      <c r="K4175" s="444">
        <f t="shared" ca="1" si="163"/>
        <v>-47351147369.552124</v>
      </c>
      <c r="L4175" s="444">
        <f t="shared" ca="1" si="164"/>
        <v>-11411626516062.063</v>
      </c>
      <c r="M4175" s="460">
        <f t="shared" si="166"/>
        <v>0.05</v>
      </c>
      <c r="N4175" s="464">
        <f t="shared" si="167"/>
        <v>178118</v>
      </c>
    </row>
    <row r="4176" spans="7:14" ht="11.25" customHeight="1" x14ac:dyDescent="0.3">
      <c r="G4176" s="459"/>
      <c r="H4176" s="459">
        <v>4169</v>
      </c>
      <c r="I4176" s="444">
        <f t="shared" ca="1" si="165"/>
        <v>-11411626516062.063</v>
      </c>
      <c r="J4176" s="444">
        <f t="array" ref="J4176">IFERROR(INDEX('Retirement Calculator'!K:K,MATCH('Lorri 401b'!N4176,'Retirement Calculator'!A:A,0),0),0)</f>
        <v>0</v>
      </c>
      <c r="K4176" s="444">
        <f t="shared" ca="1" si="163"/>
        <v>-47548443816.925262</v>
      </c>
      <c r="L4176" s="444">
        <f t="shared" ca="1" si="164"/>
        <v>-11459174959878.988</v>
      </c>
      <c r="M4176" s="460">
        <f t="shared" si="166"/>
        <v>0.05</v>
      </c>
      <c r="N4176" s="464">
        <f t="shared" si="167"/>
        <v>178148</v>
      </c>
    </row>
    <row r="4177" spans="7:14" ht="11.25" customHeight="1" x14ac:dyDescent="0.3">
      <c r="G4177" s="459"/>
      <c r="H4177" s="459">
        <v>4170</v>
      </c>
      <c r="I4177" s="444">
        <f t="shared" ca="1" si="165"/>
        <v>-11459174959878.988</v>
      </c>
      <c r="J4177" s="444">
        <f t="array" ref="J4177">IFERROR(INDEX('Retirement Calculator'!K:K,MATCH('Lorri 401b'!N4177,'Retirement Calculator'!A:A,0),0),0)</f>
        <v>0</v>
      </c>
      <c r="K4177" s="444">
        <f t="shared" ca="1" si="163"/>
        <v>-47746562332.829117</v>
      </c>
      <c r="L4177" s="444">
        <f t="shared" ca="1" si="164"/>
        <v>-11506921522211.818</v>
      </c>
      <c r="M4177" s="460">
        <f t="shared" si="166"/>
        <v>0.05</v>
      </c>
      <c r="N4177" s="464">
        <f t="shared" si="167"/>
        <v>178179</v>
      </c>
    </row>
    <row r="4178" spans="7:14" ht="11.25" customHeight="1" x14ac:dyDescent="0.3">
      <c r="G4178" s="459"/>
      <c r="H4178" s="459">
        <v>4171</v>
      </c>
      <c r="I4178" s="444">
        <f t="shared" ca="1" si="165"/>
        <v>-11506921522211.818</v>
      </c>
      <c r="J4178" s="444">
        <f t="array" ref="J4178">IFERROR(INDEX('Retirement Calculator'!K:K,MATCH('Lorri 401b'!N4178,'Retirement Calculator'!A:A,0),0),0)</f>
        <v>0</v>
      </c>
      <c r="K4178" s="444">
        <f t="shared" ca="1" si="163"/>
        <v>-47945506342.54924</v>
      </c>
      <c r="L4178" s="444">
        <f t="shared" ca="1" si="164"/>
        <v>-11554867028554.367</v>
      </c>
      <c r="M4178" s="460">
        <f t="shared" si="166"/>
        <v>0.05</v>
      </c>
      <c r="N4178" s="464">
        <f t="shared" si="167"/>
        <v>178209</v>
      </c>
    </row>
    <row r="4179" spans="7:14" ht="11.25" customHeight="1" x14ac:dyDescent="0.3">
      <c r="G4179" s="459"/>
      <c r="H4179" s="459">
        <v>4172</v>
      </c>
      <c r="I4179" s="444">
        <f t="shared" ca="1" si="165"/>
        <v>-11554867028554.367</v>
      </c>
      <c r="J4179" s="444">
        <f t="array" ref="J4179">IFERROR(INDEX('Retirement Calculator'!K:K,MATCH('Lorri 401b'!N4179,'Retirement Calculator'!A:A,0),0),0)</f>
        <v>0</v>
      </c>
      <c r="K4179" s="444">
        <f t="shared" ca="1" si="163"/>
        <v>-48145279285.643196</v>
      </c>
      <c r="L4179" s="444">
        <f t="shared" ca="1" si="164"/>
        <v>-11603012307840.01</v>
      </c>
      <c r="M4179" s="460">
        <f t="shared" si="166"/>
        <v>0.05</v>
      </c>
      <c r="N4179" s="464">
        <f t="shared" si="167"/>
        <v>178240</v>
      </c>
    </row>
    <row r="4180" spans="7:14" ht="11.25" customHeight="1" x14ac:dyDescent="0.3">
      <c r="G4180" s="459"/>
      <c r="H4180" s="459">
        <v>4173</v>
      </c>
      <c r="I4180" s="444">
        <f t="shared" ca="1" si="165"/>
        <v>-11603012307840.01</v>
      </c>
      <c r="J4180" s="444">
        <f t="array" ref="J4180">IFERROR(INDEX('Retirement Calculator'!K:K,MATCH('Lorri 401b'!N4180,'Retirement Calculator'!A:A,0),0),0)</f>
        <v>0</v>
      </c>
      <c r="K4180" s="444">
        <f t="shared" ca="1" si="163"/>
        <v>-48345884616.000038</v>
      </c>
      <c r="L4180" s="444">
        <f t="shared" ca="1" si="164"/>
        <v>-11651358192456.01</v>
      </c>
      <c r="M4180" s="460">
        <f t="shared" si="166"/>
        <v>0.05</v>
      </c>
      <c r="N4180" s="464">
        <f t="shared" si="167"/>
        <v>178271</v>
      </c>
    </row>
    <row r="4181" spans="7:14" ht="11.25" customHeight="1" x14ac:dyDescent="0.3">
      <c r="G4181" s="459"/>
      <c r="H4181" s="459">
        <v>4174</v>
      </c>
      <c r="I4181" s="444">
        <f t="shared" ca="1" si="165"/>
        <v>-11651358192456.01</v>
      </c>
      <c r="J4181" s="444">
        <f t="array" ref="J4181">IFERROR(INDEX('Retirement Calculator'!K:K,MATCH('Lorri 401b'!N4181,'Retirement Calculator'!A:A,0),0),0)</f>
        <v>0</v>
      </c>
      <c r="K4181" s="444">
        <f t="shared" ca="1" si="163"/>
        <v>-48547325801.90004</v>
      </c>
      <c r="L4181" s="444">
        <f t="shared" ca="1" si="164"/>
        <v>-11699905518257.91</v>
      </c>
      <c r="M4181" s="460">
        <f t="shared" si="166"/>
        <v>0.05</v>
      </c>
      <c r="N4181" s="464">
        <f t="shared" si="167"/>
        <v>178300</v>
      </c>
    </row>
    <row r="4182" spans="7:14" ht="11.25" customHeight="1" x14ac:dyDescent="0.3">
      <c r="G4182" s="459"/>
      <c r="H4182" s="459">
        <v>4175</v>
      </c>
      <c r="I4182" s="444">
        <f t="shared" ca="1" si="165"/>
        <v>-11699905518257.91</v>
      </c>
      <c r="J4182" s="444">
        <f t="array" ref="J4182">IFERROR(INDEX('Retirement Calculator'!K:K,MATCH('Lorri 401b'!N4182,'Retirement Calculator'!A:A,0),0),0)</f>
        <v>0</v>
      </c>
      <c r="K4182" s="444">
        <f t="shared" ca="1" si="163"/>
        <v>-48749606326.074623</v>
      </c>
      <c r="L4182" s="444">
        <f t="shared" ca="1" si="164"/>
        <v>-11748655124583.984</v>
      </c>
      <c r="M4182" s="460">
        <f t="shared" si="166"/>
        <v>0.05</v>
      </c>
      <c r="N4182" s="464">
        <f t="shared" si="167"/>
        <v>178331</v>
      </c>
    </row>
    <row r="4183" spans="7:14" ht="11.25" customHeight="1" x14ac:dyDescent="0.3">
      <c r="G4183" s="459"/>
      <c r="H4183" s="459">
        <v>4176</v>
      </c>
      <c r="I4183" s="444">
        <f t="shared" ca="1" si="165"/>
        <v>-11748655124583.984</v>
      </c>
      <c r="J4183" s="444">
        <f t="array" ref="J4183">IFERROR(INDEX('Retirement Calculator'!K:K,MATCH('Lorri 401b'!N4183,'Retirement Calculator'!A:A,0),0),0)</f>
        <v>0</v>
      </c>
      <c r="K4183" s="444">
        <f t="shared" ca="1" si="163"/>
        <v>-48952729685.766602</v>
      </c>
      <c r="L4183" s="444">
        <f t="shared" ca="1" si="164"/>
        <v>-11797607854269.75</v>
      </c>
      <c r="M4183" s="460">
        <f t="shared" si="166"/>
        <v>0.05</v>
      </c>
      <c r="N4183" s="464">
        <f t="shared" si="167"/>
        <v>178361</v>
      </c>
    </row>
    <row r="4184" spans="7:14" ht="11.25" customHeight="1" x14ac:dyDescent="0.3">
      <c r="G4184" s="459"/>
      <c r="H4184" s="459">
        <v>4177</v>
      </c>
      <c r="I4184" s="444">
        <f t="shared" ca="1" si="165"/>
        <v>-11797607854269.75</v>
      </c>
      <c r="J4184" s="444">
        <f t="array" ref="J4184">IFERROR(INDEX('Retirement Calculator'!K:K,MATCH('Lorri 401b'!N4184,'Retirement Calculator'!A:A,0),0),0)</f>
        <v>0</v>
      </c>
      <c r="K4184" s="444">
        <f t="shared" ca="1" si="163"/>
        <v>-49156699392.790627</v>
      </c>
      <c r="L4184" s="444">
        <f t="shared" ca="1" si="164"/>
        <v>-11846764553662.541</v>
      </c>
      <c r="M4184" s="460">
        <f t="shared" si="166"/>
        <v>0.05</v>
      </c>
      <c r="N4184" s="464">
        <f t="shared" si="167"/>
        <v>178392</v>
      </c>
    </row>
    <row r="4185" spans="7:14" ht="11.25" customHeight="1" x14ac:dyDescent="0.3">
      <c r="G4185" s="459"/>
      <c r="H4185" s="459">
        <v>4178</v>
      </c>
      <c r="I4185" s="444">
        <f t="shared" ca="1" si="165"/>
        <v>-11846764553662.541</v>
      </c>
      <c r="J4185" s="444">
        <f t="array" ref="J4185">IFERROR(INDEX('Retirement Calculator'!K:K,MATCH('Lorri 401b'!N4185,'Retirement Calculator'!A:A,0),0),0)</f>
        <v>0</v>
      </c>
      <c r="K4185" s="444">
        <f t="shared" ca="1" si="163"/>
        <v>-49361518973.593918</v>
      </c>
      <c r="L4185" s="444">
        <f t="shared" ca="1" si="164"/>
        <v>-11896126072636.135</v>
      </c>
      <c r="M4185" s="460">
        <f t="shared" si="166"/>
        <v>0.05</v>
      </c>
      <c r="N4185" s="464">
        <f t="shared" si="167"/>
        <v>178422</v>
      </c>
    </row>
    <row r="4186" spans="7:14" ht="11.25" customHeight="1" x14ac:dyDescent="0.3">
      <c r="G4186" s="459"/>
      <c r="H4186" s="459">
        <v>4179</v>
      </c>
      <c r="I4186" s="444">
        <f t="shared" ca="1" si="165"/>
        <v>-11896126072636.135</v>
      </c>
      <c r="J4186" s="444">
        <f t="array" ref="J4186">IFERROR(INDEX('Retirement Calculator'!K:K,MATCH('Lorri 401b'!N4186,'Retirement Calculator'!A:A,0),0),0)</f>
        <v>0</v>
      </c>
      <c r="K4186" s="444">
        <f t="shared" ca="1" si="163"/>
        <v>-49567191969.31723</v>
      </c>
      <c r="L4186" s="444">
        <f t="shared" ca="1" si="164"/>
        <v>-11945693264605.451</v>
      </c>
      <c r="M4186" s="460">
        <f t="shared" si="166"/>
        <v>0.05</v>
      </c>
      <c r="N4186" s="464">
        <f t="shared" si="167"/>
        <v>178453</v>
      </c>
    </row>
    <row r="4187" spans="7:14" ht="11.25" customHeight="1" x14ac:dyDescent="0.3">
      <c r="G4187" s="459"/>
      <c r="H4187" s="459">
        <v>4180</v>
      </c>
      <c r="I4187" s="444">
        <f t="shared" ca="1" si="165"/>
        <v>-11945693264605.451</v>
      </c>
      <c r="J4187" s="444">
        <f t="array" ref="J4187">IFERROR(INDEX('Retirement Calculator'!K:K,MATCH('Lorri 401b'!N4187,'Retirement Calculator'!A:A,0),0),0)</f>
        <v>0</v>
      </c>
      <c r="K4187" s="444">
        <f t="shared" ca="1" si="163"/>
        <v>-49773721935.856049</v>
      </c>
      <c r="L4187" s="444">
        <f t="shared" ca="1" si="164"/>
        <v>-11995466986541.307</v>
      </c>
      <c r="M4187" s="460">
        <f t="shared" si="166"/>
        <v>0.05</v>
      </c>
      <c r="N4187" s="464">
        <f t="shared" si="167"/>
        <v>178484</v>
      </c>
    </row>
    <row r="4188" spans="7:14" ht="11.25" customHeight="1" x14ac:dyDescent="0.3">
      <c r="G4188" s="459"/>
      <c r="H4188" s="459">
        <v>4181</v>
      </c>
      <c r="I4188" s="444">
        <f t="shared" ca="1" si="165"/>
        <v>-11995466986541.307</v>
      </c>
      <c r="J4188" s="444">
        <f t="array" ref="J4188">IFERROR(INDEX('Retirement Calculator'!K:K,MATCH('Lorri 401b'!N4188,'Retirement Calculator'!A:A,0),0),0)</f>
        <v>0</v>
      </c>
      <c r="K4188" s="444">
        <f t="shared" ca="1" si="163"/>
        <v>-49981112443.922112</v>
      </c>
      <c r="L4188" s="444">
        <f t="shared" ca="1" si="164"/>
        <v>-12045448098985.229</v>
      </c>
      <c r="M4188" s="460">
        <f t="shared" si="166"/>
        <v>0.05</v>
      </c>
      <c r="N4188" s="464">
        <f t="shared" si="167"/>
        <v>178514</v>
      </c>
    </row>
    <row r="4189" spans="7:14" ht="11.25" customHeight="1" x14ac:dyDescent="0.3">
      <c r="G4189" s="459"/>
      <c r="H4189" s="459">
        <v>4182</v>
      </c>
      <c r="I4189" s="444">
        <f t="shared" ca="1" si="165"/>
        <v>-12045448098985.229</v>
      </c>
      <c r="J4189" s="444">
        <f t="array" ref="J4189">IFERROR(INDEX('Retirement Calculator'!K:K,MATCH('Lorri 401b'!N4189,'Retirement Calculator'!A:A,0),0),0)</f>
        <v>0</v>
      </c>
      <c r="K4189" s="444">
        <f t="shared" ca="1" si="163"/>
        <v>-50189367079.105118</v>
      </c>
      <c r="L4189" s="444">
        <f t="shared" ca="1" si="164"/>
        <v>-12095637466064.334</v>
      </c>
      <c r="M4189" s="460">
        <f t="shared" si="166"/>
        <v>0.05</v>
      </c>
      <c r="N4189" s="464">
        <f t="shared" si="167"/>
        <v>178545</v>
      </c>
    </row>
    <row r="4190" spans="7:14" ht="11.25" customHeight="1" x14ac:dyDescent="0.3">
      <c r="G4190" s="459"/>
      <c r="H4190" s="459">
        <v>4183</v>
      </c>
      <c r="I4190" s="444">
        <f t="shared" ca="1" si="165"/>
        <v>-12095637466064.334</v>
      </c>
      <c r="J4190" s="444">
        <f t="array" ref="J4190">IFERROR(INDEX('Retirement Calculator'!K:K,MATCH('Lorri 401b'!N4190,'Retirement Calculator'!A:A,0),0),0)</f>
        <v>0</v>
      </c>
      <c r="K4190" s="444">
        <f t="shared" ca="1" si="163"/>
        <v>-50398489441.934723</v>
      </c>
      <c r="L4190" s="444">
        <f t="shared" ca="1" si="164"/>
        <v>-12146035955506.27</v>
      </c>
      <c r="M4190" s="460">
        <f t="shared" si="166"/>
        <v>0.05</v>
      </c>
      <c r="N4190" s="464">
        <f t="shared" si="167"/>
        <v>178575</v>
      </c>
    </row>
    <row r="4191" spans="7:14" ht="11.25" customHeight="1" x14ac:dyDescent="0.3">
      <c r="G4191" s="459"/>
      <c r="H4191" s="459">
        <v>4184</v>
      </c>
      <c r="I4191" s="444">
        <f t="shared" ca="1" si="165"/>
        <v>-12146035955506.27</v>
      </c>
      <c r="J4191" s="444">
        <f t="array" ref="J4191">IFERROR(INDEX('Retirement Calculator'!K:K,MATCH('Lorri 401b'!N4191,'Retirement Calculator'!A:A,0),0),0)</f>
        <v>0</v>
      </c>
      <c r="K4191" s="444">
        <f t="shared" ca="1" si="163"/>
        <v>-50608483147.942787</v>
      </c>
      <c r="L4191" s="444">
        <f t="shared" ca="1" si="164"/>
        <v>-12196644438654.213</v>
      </c>
      <c r="M4191" s="460">
        <f t="shared" si="166"/>
        <v>0.05</v>
      </c>
      <c r="N4191" s="464">
        <f t="shared" si="167"/>
        <v>178606</v>
      </c>
    </row>
    <row r="4192" spans="7:14" ht="11.25" customHeight="1" x14ac:dyDescent="0.3">
      <c r="G4192" s="459"/>
      <c r="H4192" s="459">
        <v>4185</v>
      </c>
      <c r="I4192" s="444">
        <f t="shared" ca="1" si="165"/>
        <v>-12196644438654.213</v>
      </c>
      <c r="J4192" s="444">
        <f t="array" ref="J4192">IFERROR(INDEX('Retirement Calculator'!K:K,MATCH('Lorri 401b'!N4192,'Retirement Calculator'!A:A,0),0),0)</f>
        <v>0</v>
      </c>
      <c r="K4192" s="444">
        <f t="shared" ca="1" si="163"/>
        <v>-50819351827.725883</v>
      </c>
      <c r="L4192" s="444">
        <f t="shared" ca="1" si="164"/>
        <v>-12247463790481.939</v>
      </c>
      <c r="M4192" s="460">
        <f t="shared" si="166"/>
        <v>0.05</v>
      </c>
      <c r="N4192" s="464">
        <f t="shared" si="167"/>
        <v>178637</v>
      </c>
    </row>
    <row r="4193" spans="7:14" ht="11.25" customHeight="1" x14ac:dyDescent="0.3">
      <c r="G4193" s="459"/>
      <c r="H4193" s="459">
        <v>4186</v>
      </c>
      <c r="I4193" s="444">
        <f t="shared" ca="1" si="165"/>
        <v>-12247463790481.939</v>
      </c>
      <c r="J4193" s="444">
        <f t="array" ref="J4193">IFERROR(INDEX('Retirement Calculator'!K:K,MATCH('Lorri 401b'!N4193,'Retirement Calculator'!A:A,0),0),0)</f>
        <v>0</v>
      </c>
      <c r="K4193" s="444">
        <f t="shared" ca="1" si="163"/>
        <v>-51031099127.00808</v>
      </c>
      <c r="L4193" s="444">
        <f t="shared" ca="1" si="164"/>
        <v>-12298494889608.947</v>
      </c>
      <c r="M4193" s="460">
        <f t="shared" si="166"/>
        <v>0.05</v>
      </c>
      <c r="N4193" s="464">
        <f t="shared" si="167"/>
        <v>178665</v>
      </c>
    </row>
    <row r="4194" spans="7:14" ht="11.25" customHeight="1" x14ac:dyDescent="0.3">
      <c r="G4194" s="459"/>
      <c r="H4194" s="459">
        <v>4187</v>
      </c>
      <c r="I4194" s="444">
        <f t="shared" ca="1" si="165"/>
        <v>-12298494889608.947</v>
      </c>
      <c r="J4194" s="444">
        <f t="array" ref="J4194">IFERROR(INDEX('Retirement Calculator'!K:K,MATCH('Lorri 401b'!N4194,'Retirement Calculator'!A:A,0),0),0)</f>
        <v>0</v>
      </c>
      <c r="K4194" s="444">
        <f t="shared" ca="1" si="163"/>
        <v>-51243728706.703949</v>
      </c>
      <c r="L4194" s="444">
        <f t="shared" ca="1" si="164"/>
        <v>-12349738618315.65</v>
      </c>
      <c r="M4194" s="460">
        <f t="shared" si="166"/>
        <v>0.05</v>
      </c>
      <c r="N4194" s="464">
        <f t="shared" si="167"/>
        <v>178696</v>
      </c>
    </row>
    <row r="4195" spans="7:14" ht="11.25" customHeight="1" x14ac:dyDescent="0.3">
      <c r="G4195" s="459"/>
      <c r="H4195" s="459">
        <v>4188</v>
      </c>
      <c r="I4195" s="444">
        <f t="shared" ca="1" si="165"/>
        <v>-12349738618315.65</v>
      </c>
      <c r="J4195" s="444">
        <f t="array" ref="J4195">IFERROR(INDEX('Retirement Calculator'!K:K,MATCH('Lorri 401b'!N4195,'Retirement Calculator'!A:A,0),0),0)</f>
        <v>0</v>
      </c>
      <c r="K4195" s="444">
        <f t="shared" ca="1" si="163"/>
        <v>-51457244242.981873</v>
      </c>
      <c r="L4195" s="444">
        <f t="shared" ca="1" si="164"/>
        <v>-12401195862558.633</v>
      </c>
      <c r="M4195" s="460">
        <f t="shared" si="166"/>
        <v>0.05</v>
      </c>
      <c r="N4195" s="464">
        <f t="shared" si="167"/>
        <v>178726</v>
      </c>
    </row>
    <row r="4196" spans="7:14" ht="11.25" customHeight="1" x14ac:dyDescent="0.3">
      <c r="G4196" s="459"/>
      <c r="H4196" s="459">
        <v>4189</v>
      </c>
      <c r="I4196" s="444">
        <f t="shared" ca="1" si="165"/>
        <v>-12401195862558.633</v>
      </c>
      <c r="J4196" s="444">
        <f t="array" ref="J4196">IFERROR(INDEX('Retirement Calculator'!K:K,MATCH('Lorri 401b'!N4196,'Retirement Calculator'!A:A,0),0),0)</f>
        <v>0</v>
      </c>
      <c r="K4196" s="444">
        <f t="shared" ca="1" si="163"/>
        <v>-51671649427.327637</v>
      </c>
      <c r="L4196" s="444">
        <f t="shared" ca="1" si="164"/>
        <v>-12452867511985.961</v>
      </c>
      <c r="M4196" s="460">
        <f t="shared" si="166"/>
        <v>0.05</v>
      </c>
      <c r="N4196" s="464">
        <f t="shared" si="167"/>
        <v>178757</v>
      </c>
    </row>
    <row r="4197" spans="7:14" ht="11.25" customHeight="1" x14ac:dyDescent="0.3">
      <c r="G4197" s="459"/>
      <c r="H4197" s="459">
        <v>4190</v>
      </c>
      <c r="I4197" s="444">
        <f t="shared" ca="1" si="165"/>
        <v>-12452867511985.961</v>
      </c>
      <c r="J4197" s="444">
        <f t="array" ref="J4197">IFERROR(INDEX('Retirement Calculator'!K:K,MATCH('Lorri 401b'!N4197,'Retirement Calculator'!A:A,0),0),0)</f>
        <v>0</v>
      </c>
      <c r="K4197" s="444">
        <f t="shared" ca="1" si="163"/>
        <v>-51886947966.60817</v>
      </c>
      <c r="L4197" s="444">
        <f t="shared" ca="1" si="164"/>
        <v>-12504754459952.568</v>
      </c>
      <c r="M4197" s="460">
        <f t="shared" si="166"/>
        <v>0.05</v>
      </c>
      <c r="N4197" s="464">
        <f t="shared" si="167"/>
        <v>178787</v>
      </c>
    </row>
    <row r="4198" spans="7:14" ht="11.25" customHeight="1" x14ac:dyDescent="0.3">
      <c r="G4198" s="459"/>
      <c r="H4198" s="459">
        <v>4191</v>
      </c>
      <c r="I4198" s="444">
        <f t="shared" ca="1" si="165"/>
        <v>-12504754459952.568</v>
      </c>
      <c r="J4198" s="444">
        <f t="array" ref="J4198">IFERROR(INDEX('Retirement Calculator'!K:K,MATCH('Lorri 401b'!N4198,'Retirement Calculator'!A:A,0),0),0)</f>
        <v>0</v>
      </c>
      <c r="K4198" s="444">
        <f t="shared" ca="1" si="163"/>
        <v>-52103143583.135704</v>
      </c>
      <c r="L4198" s="444">
        <f t="shared" ca="1" si="164"/>
        <v>-12556857603535.703</v>
      </c>
      <c r="M4198" s="460">
        <f t="shared" si="166"/>
        <v>0.05</v>
      </c>
      <c r="N4198" s="464">
        <f t="shared" si="167"/>
        <v>178818</v>
      </c>
    </row>
    <row r="4199" spans="7:14" ht="11.25" customHeight="1" x14ac:dyDescent="0.3">
      <c r="G4199" s="459"/>
      <c r="H4199" s="459">
        <v>4192</v>
      </c>
      <c r="I4199" s="444">
        <f t="shared" ca="1" si="165"/>
        <v>-12556857603535.703</v>
      </c>
      <c r="J4199" s="444">
        <f t="array" ref="J4199">IFERROR(INDEX('Retirement Calculator'!K:K,MATCH('Lorri 401b'!N4199,'Retirement Calculator'!A:A,0),0),0)</f>
        <v>0</v>
      </c>
      <c r="K4199" s="444">
        <f t="shared" ca="1" si="163"/>
        <v>-52320240014.732094</v>
      </c>
      <c r="L4199" s="444">
        <f t="shared" ca="1" si="164"/>
        <v>-12609177843550.436</v>
      </c>
      <c r="M4199" s="460">
        <f t="shared" si="166"/>
        <v>0.05</v>
      </c>
      <c r="N4199" s="464">
        <f t="shared" si="167"/>
        <v>178849</v>
      </c>
    </row>
    <row r="4200" spans="7:14" ht="11.25" customHeight="1" x14ac:dyDescent="0.3">
      <c r="G4200" s="459"/>
      <c r="H4200" s="459">
        <v>4193</v>
      </c>
      <c r="I4200" s="444">
        <f t="shared" ca="1" si="165"/>
        <v>-12609177843550.436</v>
      </c>
      <c r="J4200" s="444">
        <f t="array" ref="J4200">IFERROR(INDEX('Retirement Calculator'!K:K,MATCH('Lorri 401b'!N4200,'Retirement Calculator'!A:A,0),0),0)</f>
        <v>0</v>
      </c>
      <c r="K4200" s="444">
        <f t="shared" ca="1" si="163"/>
        <v>-52538241014.79348</v>
      </c>
      <c r="L4200" s="444">
        <f t="shared" ca="1" si="164"/>
        <v>-12661716084565.229</v>
      </c>
      <c r="M4200" s="460">
        <f t="shared" si="166"/>
        <v>0.05</v>
      </c>
      <c r="N4200" s="464">
        <f t="shared" si="167"/>
        <v>178879</v>
      </c>
    </row>
    <row r="4201" spans="7:14" ht="11.25" customHeight="1" x14ac:dyDescent="0.3">
      <c r="G4201" s="459"/>
      <c r="H4201" s="459">
        <v>4194</v>
      </c>
      <c r="I4201" s="444">
        <f t="shared" ca="1" si="165"/>
        <v>-12661716084565.229</v>
      </c>
      <c r="J4201" s="444">
        <f t="array" ref="J4201">IFERROR(INDEX('Retirement Calculator'!K:K,MATCH('Lorri 401b'!N4201,'Retirement Calculator'!A:A,0),0),0)</f>
        <v>0</v>
      </c>
      <c r="K4201" s="444">
        <f t="shared" ca="1" si="163"/>
        <v>-52757150352.355118</v>
      </c>
      <c r="L4201" s="444">
        <f t="shared" ca="1" si="164"/>
        <v>-12714473234917.584</v>
      </c>
      <c r="M4201" s="460">
        <f t="shared" si="166"/>
        <v>0.05</v>
      </c>
      <c r="N4201" s="464">
        <f t="shared" si="167"/>
        <v>178910</v>
      </c>
    </row>
    <row r="4202" spans="7:14" ht="11.25" customHeight="1" x14ac:dyDescent="0.3">
      <c r="G4202" s="459"/>
      <c r="H4202" s="459">
        <v>4195</v>
      </c>
      <c r="I4202" s="444">
        <f t="shared" ca="1" si="165"/>
        <v>-12714473234917.584</v>
      </c>
      <c r="J4202" s="444">
        <f t="array" ref="J4202">IFERROR(INDEX('Retirement Calculator'!K:K,MATCH('Lorri 401b'!N4202,'Retirement Calculator'!A:A,0),0),0)</f>
        <v>0</v>
      </c>
      <c r="K4202" s="444">
        <f t="shared" ca="1" si="163"/>
        <v>-52976971812.156601</v>
      </c>
      <c r="L4202" s="444">
        <f t="shared" ca="1" si="164"/>
        <v>-12767450206729.74</v>
      </c>
      <c r="M4202" s="460">
        <f t="shared" si="166"/>
        <v>0.05</v>
      </c>
      <c r="N4202" s="464">
        <f t="shared" si="167"/>
        <v>178940</v>
      </c>
    </row>
    <row r="4203" spans="7:14" ht="11.25" customHeight="1" x14ac:dyDescent="0.3">
      <c r="G4203" s="459"/>
      <c r="H4203" s="459">
        <v>4196</v>
      </c>
      <c r="I4203" s="444">
        <f t="shared" ca="1" si="165"/>
        <v>-12767450206729.74</v>
      </c>
      <c r="J4203" s="444">
        <f t="array" ref="J4203">IFERROR(INDEX('Retirement Calculator'!K:K,MATCH('Lorri 401b'!N4203,'Retirement Calculator'!A:A,0),0),0)</f>
        <v>0</v>
      </c>
      <c r="K4203" s="444">
        <f t="shared" ca="1" si="163"/>
        <v>-53197709194.707253</v>
      </c>
      <c r="L4203" s="444">
        <f t="shared" ca="1" si="164"/>
        <v>-12820647915924.447</v>
      </c>
      <c r="M4203" s="460">
        <f t="shared" si="166"/>
        <v>0.05</v>
      </c>
      <c r="N4203" s="464">
        <f t="shared" si="167"/>
        <v>178971</v>
      </c>
    </row>
    <row r="4204" spans="7:14" ht="11.25" customHeight="1" x14ac:dyDescent="0.3">
      <c r="G4204" s="459"/>
      <c r="H4204" s="459">
        <v>4197</v>
      </c>
      <c r="I4204" s="444">
        <f t="shared" ca="1" si="165"/>
        <v>-12820647915924.447</v>
      </c>
      <c r="J4204" s="444">
        <f t="array" ref="J4204">IFERROR(INDEX('Retirement Calculator'!K:K,MATCH('Lorri 401b'!N4204,'Retirement Calculator'!A:A,0),0),0)</f>
        <v>0</v>
      </c>
      <c r="K4204" s="444">
        <f t="shared" ca="1" si="163"/>
        <v>-53419366316.35186</v>
      </c>
      <c r="L4204" s="444">
        <f t="shared" ca="1" si="164"/>
        <v>-12874067282240.799</v>
      </c>
      <c r="M4204" s="460">
        <f t="shared" si="166"/>
        <v>0.05</v>
      </c>
      <c r="N4204" s="464">
        <f t="shared" si="167"/>
        <v>179002</v>
      </c>
    </row>
    <row r="4205" spans="7:14" ht="11.25" customHeight="1" x14ac:dyDescent="0.3">
      <c r="G4205" s="459"/>
      <c r="H4205" s="459">
        <v>4198</v>
      </c>
      <c r="I4205" s="444">
        <f t="shared" ca="1" si="165"/>
        <v>-12874067282240.799</v>
      </c>
      <c r="J4205" s="444">
        <f t="array" ref="J4205">IFERROR(INDEX('Retirement Calculator'!K:K,MATCH('Lorri 401b'!N4205,'Retirement Calculator'!A:A,0),0),0)</f>
        <v>0</v>
      </c>
      <c r="K4205" s="444">
        <f t="shared" ca="1" si="163"/>
        <v>-53641947009.336662</v>
      </c>
      <c r="L4205" s="444">
        <f t="shared" ca="1" si="164"/>
        <v>-12927709229250.135</v>
      </c>
      <c r="M4205" s="460">
        <f t="shared" si="166"/>
        <v>0.05</v>
      </c>
      <c r="N4205" s="464">
        <f t="shared" si="167"/>
        <v>179030</v>
      </c>
    </row>
    <row r="4206" spans="7:14" ht="11.25" customHeight="1" x14ac:dyDescent="0.3">
      <c r="G4206" s="459"/>
      <c r="H4206" s="459">
        <v>4199</v>
      </c>
      <c r="I4206" s="444">
        <f t="shared" ca="1" si="165"/>
        <v>-12927709229250.135</v>
      </c>
      <c r="J4206" s="444">
        <f t="array" ref="J4206">IFERROR(INDEX('Retirement Calculator'!K:K,MATCH('Lorri 401b'!N4206,'Retirement Calculator'!A:A,0),0),0)</f>
        <v>0</v>
      </c>
      <c r="K4206" s="444">
        <f t="shared" ca="1" si="163"/>
        <v>-53865455121.875565</v>
      </c>
      <c r="L4206" s="444">
        <f t="shared" ca="1" si="164"/>
        <v>-12981574684372.01</v>
      </c>
      <c r="M4206" s="460">
        <f t="shared" si="166"/>
        <v>0.05</v>
      </c>
      <c r="N4206" s="464">
        <f t="shared" si="167"/>
        <v>179061</v>
      </c>
    </row>
    <row r="4207" spans="7:14" ht="11.25" customHeight="1" x14ac:dyDescent="0.3">
      <c r="G4207" s="459"/>
      <c r="H4207" s="459">
        <v>4200</v>
      </c>
      <c r="I4207" s="444">
        <f t="shared" ca="1" si="165"/>
        <v>-12981574684372.01</v>
      </c>
      <c r="J4207" s="444">
        <f t="array" ref="J4207">IFERROR(INDEX('Retirement Calculator'!K:K,MATCH('Lorri 401b'!N4207,'Retirement Calculator'!A:A,0),0),0)</f>
        <v>0</v>
      </c>
      <c r="K4207" s="444">
        <f t="shared" ca="1" si="163"/>
        <v>-54089894518.216705</v>
      </c>
      <c r="L4207" s="444">
        <f t="shared" ca="1" si="164"/>
        <v>-13035664578890.227</v>
      </c>
      <c r="M4207" s="460">
        <f t="shared" si="166"/>
        <v>0.05</v>
      </c>
      <c r="N4207" s="464">
        <f t="shared" si="167"/>
        <v>179091</v>
      </c>
    </row>
    <row r="4208" spans="7:14" ht="11.25" customHeight="1" x14ac:dyDescent="0.3">
      <c r="G4208" s="459"/>
      <c r="H4208" s="459">
        <v>4201</v>
      </c>
      <c r="I4208" s="444">
        <f t="shared" ca="1" si="165"/>
        <v>-13035664578890.227</v>
      </c>
      <c r="J4208" s="444">
        <f t="array" ref="J4208">IFERROR(INDEX('Retirement Calculator'!K:K,MATCH('Lorri 401b'!N4208,'Retirement Calculator'!A:A,0),0),0)</f>
        <v>0</v>
      </c>
      <c r="K4208" s="444">
        <f t="shared" ca="1" si="163"/>
        <v>-54315269078.709274</v>
      </c>
      <c r="L4208" s="444">
        <f t="shared" ca="1" si="164"/>
        <v>-13089979847968.936</v>
      </c>
      <c r="M4208" s="460">
        <f t="shared" si="166"/>
        <v>0.05</v>
      </c>
      <c r="N4208" s="464">
        <f t="shared" si="167"/>
        <v>179122</v>
      </c>
    </row>
    <row r="4209" spans="7:14" ht="11.25" customHeight="1" x14ac:dyDescent="0.3">
      <c r="G4209" s="459"/>
      <c r="H4209" s="459">
        <v>4202</v>
      </c>
      <c r="I4209" s="444">
        <f t="shared" ca="1" si="165"/>
        <v>-13089979847968.936</v>
      </c>
      <c r="J4209" s="444">
        <f t="array" ref="J4209">IFERROR(INDEX('Retirement Calculator'!K:K,MATCH('Lorri 401b'!N4209,'Retirement Calculator'!A:A,0),0),0)</f>
        <v>0</v>
      </c>
      <c r="K4209" s="444">
        <f t="shared" ca="1" si="163"/>
        <v>-54541582699.870567</v>
      </c>
      <c r="L4209" s="444">
        <f t="shared" ca="1" si="164"/>
        <v>-13144521430668.807</v>
      </c>
      <c r="M4209" s="460">
        <f t="shared" si="166"/>
        <v>0.05</v>
      </c>
      <c r="N4209" s="464">
        <f t="shared" si="167"/>
        <v>179152</v>
      </c>
    </row>
    <row r="4210" spans="7:14" ht="11.25" customHeight="1" x14ac:dyDescent="0.3">
      <c r="G4210" s="459"/>
      <c r="H4210" s="459">
        <v>4203</v>
      </c>
      <c r="I4210" s="444">
        <f t="shared" ca="1" si="165"/>
        <v>-13144521430668.807</v>
      </c>
      <c r="J4210" s="444">
        <f t="array" ref="J4210">IFERROR(INDEX('Retirement Calculator'!K:K,MATCH('Lorri 401b'!N4210,'Retirement Calculator'!A:A,0),0),0)</f>
        <v>0</v>
      </c>
      <c r="K4210" s="444">
        <f t="shared" ca="1" si="163"/>
        <v>-54768839294.453362</v>
      </c>
      <c r="L4210" s="444">
        <f t="shared" ca="1" si="164"/>
        <v>-13199290269963.26</v>
      </c>
      <c r="M4210" s="460">
        <f t="shared" si="166"/>
        <v>0.05</v>
      </c>
      <c r="N4210" s="464">
        <f t="shared" si="167"/>
        <v>179183</v>
      </c>
    </row>
    <row r="4211" spans="7:14" ht="11.25" customHeight="1" x14ac:dyDescent="0.3">
      <c r="G4211" s="459"/>
      <c r="H4211" s="459">
        <v>4204</v>
      </c>
      <c r="I4211" s="444">
        <f t="shared" ca="1" si="165"/>
        <v>-13199290269963.26</v>
      </c>
      <c r="J4211" s="444">
        <f t="array" ref="J4211">IFERROR(INDEX('Retirement Calculator'!K:K,MATCH('Lorri 401b'!N4211,'Retirement Calculator'!A:A,0),0),0)</f>
        <v>0</v>
      </c>
      <c r="K4211" s="444">
        <f t="shared" ca="1" si="163"/>
        <v>-54997042791.51358</v>
      </c>
      <c r="L4211" s="444">
        <f t="shared" ca="1" si="164"/>
        <v>-13254287312754.773</v>
      </c>
      <c r="M4211" s="460">
        <f t="shared" si="166"/>
        <v>0.05</v>
      </c>
      <c r="N4211" s="464">
        <f t="shared" si="167"/>
        <v>179214</v>
      </c>
    </row>
    <row r="4212" spans="7:14" ht="11.25" customHeight="1" x14ac:dyDescent="0.3">
      <c r="G4212" s="459"/>
      <c r="H4212" s="459">
        <v>4205</v>
      </c>
      <c r="I4212" s="444">
        <f t="shared" ca="1" si="165"/>
        <v>-13254287312754.773</v>
      </c>
      <c r="J4212" s="444">
        <f t="array" ref="J4212">IFERROR(INDEX('Retirement Calculator'!K:K,MATCH('Lorri 401b'!N4212,'Retirement Calculator'!A:A,0),0),0)</f>
        <v>0</v>
      </c>
      <c r="K4212" s="444">
        <f t="shared" ca="1" si="163"/>
        <v>-55226197136.478218</v>
      </c>
      <c r="L4212" s="444">
        <f t="shared" ca="1" si="164"/>
        <v>-13309513509891.252</v>
      </c>
      <c r="M4212" s="460">
        <f t="shared" si="166"/>
        <v>0.05</v>
      </c>
      <c r="N4212" s="464">
        <f t="shared" si="167"/>
        <v>179244</v>
      </c>
    </row>
    <row r="4213" spans="7:14" ht="11.25" customHeight="1" x14ac:dyDescent="0.3">
      <c r="G4213" s="459"/>
      <c r="H4213" s="459">
        <v>4206</v>
      </c>
      <c r="I4213" s="444">
        <f t="shared" ca="1" si="165"/>
        <v>-13309513509891.252</v>
      </c>
      <c r="J4213" s="444">
        <f t="array" ref="J4213">IFERROR(INDEX('Retirement Calculator'!K:K,MATCH('Lorri 401b'!N4213,'Retirement Calculator'!A:A,0),0),0)</f>
        <v>0</v>
      </c>
      <c r="K4213" s="444">
        <f t="shared" ca="1" si="163"/>
        <v>-55456306291.213547</v>
      </c>
      <c r="L4213" s="444">
        <f t="shared" ca="1" si="164"/>
        <v>-13364969816182.465</v>
      </c>
      <c r="M4213" s="460">
        <f t="shared" si="166"/>
        <v>0.05</v>
      </c>
      <c r="N4213" s="464">
        <f t="shared" si="167"/>
        <v>179275</v>
      </c>
    </row>
    <row r="4214" spans="7:14" ht="11.25" customHeight="1" x14ac:dyDescent="0.3">
      <c r="G4214" s="459"/>
      <c r="H4214" s="459">
        <v>4207</v>
      </c>
      <c r="I4214" s="444">
        <f t="shared" ca="1" si="165"/>
        <v>-13364969816182.465</v>
      </c>
      <c r="J4214" s="444">
        <f t="array" ref="J4214">IFERROR(INDEX('Retirement Calculator'!K:K,MATCH('Lorri 401b'!N4214,'Retirement Calculator'!A:A,0),0),0)</f>
        <v>0</v>
      </c>
      <c r="K4214" s="444">
        <f t="shared" ca="1" si="163"/>
        <v>-55687374234.093605</v>
      </c>
      <c r="L4214" s="444">
        <f t="shared" ca="1" si="164"/>
        <v>-13420657190416.559</v>
      </c>
      <c r="M4214" s="460">
        <f t="shared" si="166"/>
        <v>0.05</v>
      </c>
      <c r="N4214" s="464">
        <f t="shared" si="167"/>
        <v>179305</v>
      </c>
    </row>
    <row r="4215" spans="7:14" ht="11.25" customHeight="1" x14ac:dyDescent="0.3">
      <c r="G4215" s="459"/>
      <c r="H4215" s="459">
        <v>4208</v>
      </c>
      <c r="I4215" s="444">
        <f t="shared" ca="1" si="165"/>
        <v>-13420657190416.559</v>
      </c>
      <c r="J4215" s="444">
        <f t="array" ref="J4215">IFERROR(INDEX('Retirement Calculator'!K:K,MATCH('Lorri 401b'!N4215,'Retirement Calculator'!A:A,0),0),0)</f>
        <v>0</v>
      </c>
      <c r="K4215" s="444">
        <f t="shared" ca="1" si="163"/>
        <v>-55919404960.068993</v>
      </c>
      <c r="L4215" s="444">
        <f t="shared" ca="1" si="164"/>
        <v>-13476576595376.627</v>
      </c>
      <c r="M4215" s="460">
        <f t="shared" si="166"/>
        <v>0.05</v>
      </c>
      <c r="N4215" s="464">
        <f t="shared" si="167"/>
        <v>179336</v>
      </c>
    </row>
    <row r="4216" spans="7:14" ht="11.25" customHeight="1" x14ac:dyDescent="0.3">
      <c r="G4216" s="459"/>
      <c r="H4216" s="459">
        <v>4209</v>
      </c>
      <c r="I4216" s="444">
        <f t="shared" ca="1" si="165"/>
        <v>-13476576595376.627</v>
      </c>
      <c r="J4216" s="444">
        <f t="array" ref="J4216">IFERROR(INDEX('Retirement Calculator'!K:K,MATCH('Lorri 401b'!N4216,'Retirement Calculator'!A:A,0),0),0)</f>
        <v>0</v>
      </c>
      <c r="K4216" s="444">
        <f t="shared" ca="1" si="163"/>
        <v>-56152402480.735947</v>
      </c>
      <c r="L4216" s="444">
        <f t="shared" ca="1" si="164"/>
        <v>-13532728997857.363</v>
      </c>
      <c r="M4216" s="460">
        <f t="shared" si="166"/>
        <v>0.05</v>
      </c>
      <c r="N4216" s="464">
        <f t="shared" si="167"/>
        <v>179367</v>
      </c>
    </row>
    <row r="4217" spans="7:14" ht="11.25" customHeight="1" x14ac:dyDescent="0.3">
      <c r="G4217" s="459"/>
      <c r="H4217" s="459">
        <v>4210</v>
      </c>
      <c r="I4217" s="444">
        <f t="shared" ca="1" si="165"/>
        <v>-13532728997857.363</v>
      </c>
      <c r="J4217" s="444">
        <f t="array" ref="J4217">IFERROR(INDEX('Retirement Calculator'!K:K,MATCH('Lorri 401b'!N4217,'Retirement Calculator'!A:A,0),0),0)</f>
        <v>0</v>
      </c>
      <c r="K4217" s="444">
        <f t="shared" ca="1" si="163"/>
        <v>-56386370824.405678</v>
      </c>
      <c r="L4217" s="444">
        <f t="shared" ca="1" si="164"/>
        <v>-13589115368681.77</v>
      </c>
      <c r="M4217" s="460">
        <f t="shared" si="166"/>
        <v>0.05</v>
      </c>
      <c r="N4217" s="464">
        <f t="shared" si="167"/>
        <v>179395</v>
      </c>
    </row>
    <row r="4218" spans="7:14" ht="11.25" customHeight="1" x14ac:dyDescent="0.3">
      <c r="G4218" s="459"/>
      <c r="H4218" s="459">
        <v>4211</v>
      </c>
      <c r="I4218" s="444">
        <f t="shared" ca="1" si="165"/>
        <v>-13589115368681.77</v>
      </c>
      <c r="J4218" s="444">
        <f t="array" ref="J4218">IFERROR(INDEX('Retirement Calculator'!K:K,MATCH('Lorri 401b'!N4218,'Retirement Calculator'!A:A,0),0),0)</f>
        <v>0</v>
      </c>
      <c r="K4218" s="444">
        <f t="shared" ca="1" si="163"/>
        <v>-56621314036.174042</v>
      </c>
      <c r="L4218" s="444">
        <f t="shared" ca="1" si="164"/>
        <v>-13645736682717.943</v>
      </c>
      <c r="M4218" s="460">
        <f t="shared" si="166"/>
        <v>0.05</v>
      </c>
      <c r="N4218" s="464">
        <f t="shared" si="167"/>
        <v>179426</v>
      </c>
    </row>
    <row r="4219" spans="7:14" ht="11.25" customHeight="1" x14ac:dyDescent="0.3">
      <c r="G4219" s="459"/>
      <c r="H4219" s="459">
        <v>4212</v>
      </c>
      <c r="I4219" s="444">
        <f t="shared" ca="1" si="165"/>
        <v>-13645736682717.943</v>
      </c>
      <c r="J4219" s="444">
        <f t="array" ref="J4219">IFERROR(INDEX('Retirement Calculator'!K:K,MATCH('Lorri 401b'!N4219,'Retirement Calculator'!A:A,0),0),0)</f>
        <v>0</v>
      </c>
      <c r="K4219" s="444">
        <f t="shared" ca="1" si="163"/>
        <v>-56857236177.991432</v>
      </c>
      <c r="L4219" s="444">
        <f t="shared" ca="1" si="164"/>
        <v>-13702593918895.936</v>
      </c>
      <c r="M4219" s="460">
        <f t="shared" si="166"/>
        <v>0.05</v>
      </c>
      <c r="N4219" s="464">
        <f t="shared" si="167"/>
        <v>179456</v>
      </c>
    </row>
    <row r="4220" spans="7:14" ht="11.25" customHeight="1" x14ac:dyDescent="0.3">
      <c r="G4220" s="459"/>
      <c r="H4220" s="459">
        <v>4213</v>
      </c>
      <c r="I4220" s="444">
        <f t="shared" ca="1" si="165"/>
        <v>-13702593918895.936</v>
      </c>
      <c r="J4220" s="444">
        <f t="array" ref="J4220">IFERROR(INDEX('Retirement Calculator'!K:K,MATCH('Lorri 401b'!N4220,'Retirement Calculator'!A:A,0),0),0)</f>
        <v>0</v>
      </c>
      <c r="K4220" s="444">
        <f t="shared" ca="1" si="163"/>
        <v>-57094141328.733063</v>
      </c>
      <c r="L4220" s="444">
        <f t="shared" ca="1" si="164"/>
        <v>-13759688060224.668</v>
      </c>
      <c r="M4220" s="460">
        <f t="shared" si="166"/>
        <v>0.05</v>
      </c>
      <c r="N4220" s="464">
        <f t="shared" si="167"/>
        <v>179487</v>
      </c>
    </row>
    <row r="4221" spans="7:14" ht="11.25" customHeight="1" x14ac:dyDescent="0.3">
      <c r="G4221" s="459"/>
      <c r="H4221" s="459">
        <v>4214</v>
      </c>
      <c r="I4221" s="444">
        <f t="shared" ca="1" si="165"/>
        <v>-13759688060224.668</v>
      </c>
      <c r="J4221" s="444">
        <f t="array" ref="J4221">IFERROR(INDEX('Retirement Calculator'!K:K,MATCH('Lorri 401b'!N4221,'Retirement Calculator'!A:A,0),0),0)</f>
        <v>0</v>
      </c>
      <c r="K4221" s="444">
        <f t="shared" ca="1" si="163"/>
        <v>-57332033584.269447</v>
      </c>
      <c r="L4221" s="444">
        <f t="shared" ca="1" si="164"/>
        <v>-13817020093808.938</v>
      </c>
      <c r="M4221" s="460">
        <f t="shared" si="166"/>
        <v>0.05</v>
      </c>
      <c r="N4221" s="464">
        <f t="shared" si="167"/>
        <v>179517</v>
      </c>
    </row>
    <row r="4222" spans="7:14" ht="11.25" customHeight="1" x14ac:dyDescent="0.3">
      <c r="G4222" s="459"/>
      <c r="H4222" s="459">
        <v>4215</v>
      </c>
      <c r="I4222" s="444">
        <f t="shared" ca="1" si="165"/>
        <v>-13817020093808.938</v>
      </c>
      <c r="J4222" s="444">
        <f t="array" ref="J4222">IFERROR(INDEX('Retirement Calculator'!K:K,MATCH('Lorri 401b'!N4222,'Retirement Calculator'!A:A,0),0),0)</f>
        <v>0</v>
      </c>
      <c r="K4222" s="444">
        <f t="shared" ca="1" si="163"/>
        <v>-57570917057.537239</v>
      </c>
      <c r="L4222" s="444">
        <f t="shared" ca="1" si="164"/>
        <v>-13874591010866.475</v>
      </c>
      <c r="M4222" s="460">
        <f t="shared" si="166"/>
        <v>0.05</v>
      </c>
      <c r="N4222" s="464">
        <f t="shared" si="167"/>
        <v>179548</v>
      </c>
    </row>
    <row r="4223" spans="7:14" ht="11.25" customHeight="1" x14ac:dyDescent="0.3">
      <c r="G4223" s="459"/>
      <c r="H4223" s="459">
        <v>4216</v>
      </c>
      <c r="I4223" s="444">
        <f t="shared" ca="1" si="165"/>
        <v>-13874591010866.475</v>
      </c>
      <c r="J4223" s="444">
        <f t="array" ref="J4223">IFERROR(INDEX('Retirement Calculator'!K:K,MATCH('Lorri 401b'!N4223,'Retirement Calculator'!A:A,0),0),0)</f>
        <v>0</v>
      </c>
      <c r="K4223" s="444">
        <f t="shared" ca="1" si="163"/>
        <v>-57810795878.610313</v>
      </c>
      <c r="L4223" s="444">
        <f t="shared" ca="1" si="164"/>
        <v>-13932401806745.084</v>
      </c>
      <c r="M4223" s="460">
        <f t="shared" si="166"/>
        <v>0.05</v>
      </c>
      <c r="N4223" s="464">
        <f t="shared" si="167"/>
        <v>179579</v>
      </c>
    </row>
    <row r="4224" spans="7:14" ht="11.25" customHeight="1" x14ac:dyDescent="0.3">
      <c r="G4224" s="459"/>
      <c r="H4224" s="459">
        <v>4217</v>
      </c>
      <c r="I4224" s="444">
        <f t="shared" ca="1" si="165"/>
        <v>-13932401806745.084</v>
      </c>
      <c r="J4224" s="444">
        <f t="array" ref="J4224">IFERROR(INDEX('Retirement Calculator'!K:K,MATCH('Lorri 401b'!N4224,'Retirement Calculator'!A:A,0),0),0)</f>
        <v>0</v>
      </c>
      <c r="K4224" s="444">
        <f t="shared" ca="1" si="163"/>
        <v>-58051674194.771172</v>
      </c>
      <c r="L4224" s="444">
        <f t="shared" ca="1" si="164"/>
        <v>-13990453480939.855</v>
      </c>
      <c r="M4224" s="460">
        <f t="shared" si="166"/>
        <v>0.05</v>
      </c>
      <c r="N4224" s="464">
        <f t="shared" si="167"/>
        <v>179609</v>
      </c>
    </row>
    <row r="4225" spans="7:14" ht="11.25" customHeight="1" x14ac:dyDescent="0.3">
      <c r="G4225" s="459"/>
      <c r="H4225" s="459">
        <v>4218</v>
      </c>
      <c r="I4225" s="444">
        <f t="shared" ca="1" si="165"/>
        <v>-13990453480939.855</v>
      </c>
      <c r="J4225" s="444">
        <f t="array" ref="J4225">IFERROR(INDEX('Retirement Calculator'!K:K,MATCH('Lorri 401b'!N4225,'Retirement Calculator'!A:A,0),0),0)</f>
        <v>0</v>
      </c>
      <c r="K4225" s="444">
        <f t="shared" ca="1" si="163"/>
        <v>-58293556170.582733</v>
      </c>
      <c r="L4225" s="444">
        <f t="shared" ca="1" si="164"/>
        <v>-14048747037110.438</v>
      </c>
      <c r="M4225" s="460">
        <f t="shared" si="166"/>
        <v>0.05</v>
      </c>
      <c r="N4225" s="464">
        <f t="shared" si="167"/>
        <v>179640</v>
      </c>
    </row>
    <row r="4226" spans="7:14" ht="11.25" customHeight="1" x14ac:dyDescent="0.3">
      <c r="G4226" s="459"/>
      <c r="H4226" s="459">
        <v>4219</v>
      </c>
      <c r="I4226" s="444">
        <f t="shared" ca="1" si="165"/>
        <v>-14048747037110.438</v>
      </c>
      <c r="J4226" s="444">
        <f t="array" ref="J4226">IFERROR(INDEX('Retirement Calculator'!K:K,MATCH('Lorri 401b'!N4226,'Retirement Calculator'!A:A,0),0),0)</f>
        <v>0</v>
      </c>
      <c r="K4226" s="444">
        <f t="shared" ca="1" si="163"/>
        <v>-58536445987.960152</v>
      </c>
      <c r="L4226" s="444">
        <f t="shared" ca="1" si="164"/>
        <v>-14107283483098.398</v>
      </c>
      <c r="M4226" s="460">
        <f t="shared" si="166"/>
        <v>0.05</v>
      </c>
      <c r="N4226" s="464">
        <f t="shared" si="167"/>
        <v>179670</v>
      </c>
    </row>
    <row r="4227" spans="7:14" ht="11.25" customHeight="1" x14ac:dyDescent="0.3">
      <c r="G4227" s="459"/>
      <c r="H4227" s="459">
        <v>4220</v>
      </c>
      <c r="I4227" s="444">
        <f t="shared" ca="1" si="165"/>
        <v>-14107283483098.398</v>
      </c>
      <c r="J4227" s="444">
        <f t="array" ref="J4227">IFERROR(INDEX('Retirement Calculator'!K:K,MATCH('Lorri 401b'!N4227,'Retirement Calculator'!A:A,0),0),0)</f>
        <v>0</v>
      </c>
      <c r="K4227" s="444">
        <f t="shared" ca="1" si="163"/>
        <v>-58780347846.243324</v>
      </c>
      <c r="L4227" s="444">
        <f t="shared" ca="1" si="164"/>
        <v>-14166063830944.643</v>
      </c>
      <c r="M4227" s="460">
        <f t="shared" si="166"/>
        <v>0.05</v>
      </c>
      <c r="N4227" s="464">
        <f t="shared" si="167"/>
        <v>179701</v>
      </c>
    </row>
    <row r="4228" spans="7:14" ht="11.25" customHeight="1" x14ac:dyDescent="0.3">
      <c r="G4228" s="459"/>
      <c r="H4228" s="459">
        <v>4221</v>
      </c>
      <c r="I4228" s="444">
        <f t="shared" ca="1" si="165"/>
        <v>-14166063830944.643</v>
      </c>
      <c r="J4228" s="444">
        <f t="array" ref="J4228">IFERROR(INDEX('Retirement Calculator'!K:K,MATCH('Lorri 401b'!N4228,'Retirement Calculator'!A:A,0),0),0)</f>
        <v>0</v>
      </c>
      <c r="K4228" s="444">
        <f t="shared" ca="1" si="163"/>
        <v>-59025265962.269348</v>
      </c>
      <c r="L4228" s="444">
        <f t="shared" ca="1" si="164"/>
        <v>-14225089096906.912</v>
      </c>
      <c r="M4228" s="460">
        <f t="shared" si="166"/>
        <v>0.05</v>
      </c>
      <c r="N4228" s="464">
        <f t="shared" si="167"/>
        <v>179732</v>
      </c>
    </row>
    <row r="4229" spans="7:14" ht="11.25" customHeight="1" x14ac:dyDescent="0.3">
      <c r="G4229" s="459"/>
      <c r="H4229" s="459">
        <v>4222</v>
      </c>
      <c r="I4229" s="444">
        <f t="shared" ca="1" si="165"/>
        <v>-14225089096906.912</v>
      </c>
      <c r="J4229" s="444">
        <f t="array" ref="J4229">IFERROR(INDEX('Retirement Calculator'!K:K,MATCH('Lorri 401b'!N4229,'Retirement Calculator'!A:A,0),0),0)</f>
        <v>0</v>
      </c>
      <c r="K4229" s="444">
        <f t="shared" ca="1" si="163"/>
        <v>-59271204570.445465</v>
      </c>
      <c r="L4229" s="444">
        <f t="shared" ca="1" si="164"/>
        <v>-14284360301477.357</v>
      </c>
      <c r="M4229" s="460">
        <f t="shared" si="166"/>
        <v>0.05</v>
      </c>
      <c r="N4229" s="464">
        <f t="shared" si="167"/>
        <v>179761</v>
      </c>
    </row>
    <row r="4230" spans="7:14" ht="11.25" customHeight="1" x14ac:dyDescent="0.3">
      <c r="G4230" s="459"/>
      <c r="H4230" s="459">
        <v>4223</v>
      </c>
      <c r="I4230" s="444">
        <f t="shared" ca="1" si="165"/>
        <v>-14284360301477.357</v>
      </c>
      <c r="J4230" s="444">
        <f t="array" ref="J4230">IFERROR(INDEX('Retirement Calculator'!K:K,MATCH('Lorri 401b'!N4230,'Retirement Calculator'!A:A,0),0),0)</f>
        <v>0</v>
      </c>
      <c r="K4230" s="444">
        <f t="shared" ca="1" si="163"/>
        <v>-59518167922.822319</v>
      </c>
      <c r="L4230" s="444">
        <f t="shared" ca="1" si="164"/>
        <v>-14343878469400.18</v>
      </c>
      <c r="M4230" s="460">
        <f t="shared" si="166"/>
        <v>0.05</v>
      </c>
      <c r="N4230" s="464">
        <f t="shared" si="167"/>
        <v>179792</v>
      </c>
    </row>
    <row r="4231" spans="7:14" ht="11.25" customHeight="1" x14ac:dyDescent="0.3">
      <c r="G4231" s="459"/>
      <c r="H4231" s="459">
        <v>4224</v>
      </c>
      <c r="I4231" s="444">
        <f t="shared" ca="1" si="165"/>
        <v>-14343878469400.18</v>
      </c>
      <c r="J4231" s="444">
        <f t="array" ref="J4231">IFERROR(INDEX('Retirement Calculator'!K:K,MATCH('Lorri 401b'!N4231,'Retirement Calculator'!A:A,0),0),0)</f>
        <v>0</v>
      </c>
      <c r="K4231" s="444">
        <f t="shared" ca="1" si="163"/>
        <v>-59766160289.167412</v>
      </c>
      <c r="L4231" s="444">
        <f t="shared" ca="1" si="164"/>
        <v>-14403644629689.348</v>
      </c>
      <c r="M4231" s="460">
        <f t="shared" si="166"/>
        <v>0.05</v>
      </c>
      <c r="N4231" s="464">
        <f t="shared" si="167"/>
        <v>179822</v>
      </c>
    </row>
    <row r="4232" spans="7:14" ht="11.25" customHeight="1" x14ac:dyDescent="0.3">
      <c r="G4232" s="459"/>
      <c r="H4232" s="459">
        <v>4225</v>
      </c>
      <c r="I4232" s="444">
        <f t="shared" ca="1" si="165"/>
        <v>-14403644629689.348</v>
      </c>
      <c r="J4232" s="444">
        <f t="array" ref="J4232">IFERROR(INDEX('Retirement Calculator'!K:K,MATCH('Lorri 401b'!N4232,'Retirement Calculator'!A:A,0),0),0)</f>
        <v>0</v>
      </c>
      <c r="K4232" s="444">
        <f t="shared" ca="1" si="163"/>
        <v>-60015185957.03894</v>
      </c>
      <c r="L4232" s="444">
        <f t="shared" ca="1" si="164"/>
        <v>-14463659815646.387</v>
      </c>
      <c r="M4232" s="460">
        <f t="shared" si="166"/>
        <v>0.05</v>
      </c>
      <c r="N4232" s="464">
        <f t="shared" si="167"/>
        <v>179853</v>
      </c>
    </row>
    <row r="4233" spans="7:14" ht="11.25" customHeight="1" x14ac:dyDescent="0.3">
      <c r="G4233" s="459"/>
      <c r="H4233" s="459">
        <v>4226</v>
      </c>
      <c r="I4233" s="444">
        <f t="shared" ca="1" si="165"/>
        <v>-14463659815646.387</v>
      </c>
      <c r="J4233" s="444">
        <f t="array" ref="J4233">IFERROR(INDEX('Retirement Calculator'!K:K,MATCH('Lorri 401b'!N4233,'Retirement Calculator'!A:A,0),0),0)</f>
        <v>0</v>
      </c>
      <c r="K4233" s="444">
        <f t="shared" ca="1" si="163"/>
        <v>-60265249231.859932</v>
      </c>
      <c r="L4233" s="444">
        <f t="shared" ca="1" si="164"/>
        <v>-14523925064878.246</v>
      </c>
      <c r="M4233" s="460">
        <f t="shared" si="166"/>
        <v>0.05</v>
      </c>
      <c r="N4233" s="464">
        <f t="shared" si="167"/>
        <v>179883</v>
      </c>
    </row>
    <row r="4234" spans="7:14" ht="11.25" customHeight="1" x14ac:dyDescent="0.3">
      <c r="G4234" s="459"/>
      <c r="H4234" s="459">
        <v>4227</v>
      </c>
      <c r="I4234" s="444">
        <f t="shared" ca="1" si="165"/>
        <v>-14523925064878.246</v>
      </c>
      <c r="J4234" s="444">
        <f t="array" ref="J4234">IFERROR(INDEX('Retirement Calculator'!K:K,MATCH('Lorri 401b'!N4234,'Retirement Calculator'!A:A,0),0),0)</f>
        <v>0</v>
      </c>
      <c r="K4234" s="444">
        <f t="shared" ca="1" si="163"/>
        <v>-60516354436.992691</v>
      </c>
      <c r="L4234" s="444">
        <f t="shared" ca="1" si="164"/>
        <v>-14584441419315.238</v>
      </c>
      <c r="M4234" s="460">
        <f t="shared" si="166"/>
        <v>0.05</v>
      </c>
      <c r="N4234" s="464">
        <f t="shared" si="167"/>
        <v>179914</v>
      </c>
    </row>
    <row r="4235" spans="7:14" ht="11.25" customHeight="1" x14ac:dyDescent="0.3">
      <c r="G4235" s="459"/>
      <c r="H4235" s="459">
        <v>4228</v>
      </c>
      <c r="I4235" s="444">
        <f t="shared" ca="1" si="165"/>
        <v>-14584441419315.238</v>
      </c>
      <c r="J4235" s="444">
        <f t="array" ref="J4235">IFERROR(INDEX('Retirement Calculator'!K:K,MATCH('Lorri 401b'!N4235,'Retirement Calculator'!A:A,0),0),0)</f>
        <v>0</v>
      </c>
      <c r="K4235" s="444">
        <f t="shared" ca="1" si="163"/>
        <v>-60768505913.813499</v>
      </c>
      <c r="L4235" s="444">
        <f t="shared" ca="1" si="164"/>
        <v>-14645209925229.053</v>
      </c>
      <c r="M4235" s="460">
        <f t="shared" si="166"/>
        <v>0.05</v>
      </c>
      <c r="N4235" s="464">
        <f t="shared" si="167"/>
        <v>179945</v>
      </c>
    </row>
    <row r="4236" spans="7:14" ht="11.25" customHeight="1" x14ac:dyDescent="0.3">
      <c r="G4236" s="459"/>
      <c r="H4236" s="459">
        <v>4229</v>
      </c>
      <c r="I4236" s="444">
        <f t="shared" ca="1" si="165"/>
        <v>-14645209925229.053</v>
      </c>
      <c r="J4236" s="444">
        <f t="array" ref="J4236">IFERROR(INDEX('Retirement Calculator'!K:K,MATCH('Lorri 401b'!N4236,'Retirement Calculator'!A:A,0),0),0)</f>
        <v>0</v>
      </c>
      <c r="K4236" s="444">
        <f t="shared" ca="1" si="163"/>
        <v>-61021708021.78772</v>
      </c>
      <c r="L4236" s="444">
        <f t="shared" ca="1" si="164"/>
        <v>-14706231633250.84</v>
      </c>
      <c r="M4236" s="460">
        <f t="shared" si="166"/>
        <v>0.05</v>
      </c>
      <c r="N4236" s="464">
        <f t="shared" si="167"/>
        <v>179975</v>
      </c>
    </row>
    <row r="4237" spans="7:14" ht="11.25" customHeight="1" x14ac:dyDescent="0.3">
      <c r="G4237" s="459"/>
      <c r="H4237" s="459">
        <v>4230</v>
      </c>
      <c r="I4237" s="444">
        <f t="shared" ca="1" si="165"/>
        <v>-14706231633250.84</v>
      </c>
      <c r="J4237" s="444">
        <f t="array" ref="J4237">IFERROR(INDEX('Retirement Calculator'!K:K,MATCH('Lorri 401b'!N4237,'Retirement Calculator'!A:A,0),0),0)</f>
        <v>0</v>
      </c>
      <c r="K4237" s="444">
        <f t="shared" ca="1" si="163"/>
        <v>-61275965138.545166</v>
      </c>
      <c r="L4237" s="444">
        <f t="shared" ca="1" si="164"/>
        <v>-14767507598389.385</v>
      </c>
      <c r="M4237" s="460">
        <f t="shared" si="166"/>
        <v>0.05</v>
      </c>
      <c r="N4237" s="464">
        <f t="shared" si="167"/>
        <v>180006</v>
      </c>
    </row>
    <row r="4238" spans="7:14" ht="11.25" customHeight="1" x14ac:dyDescent="0.3">
      <c r="G4238" s="459"/>
      <c r="H4238" s="459">
        <v>4231</v>
      </c>
      <c r="I4238" s="444">
        <f t="shared" ca="1" si="165"/>
        <v>-14767507598389.385</v>
      </c>
      <c r="J4238" s="444">
        <f t="array" ref="J4238">IFERROR(INDEX('Retirement Calculator'!K:K,MATCH('Lorri 401b'!N4238,'Retirement Calculator'!A:A,0),0),0)</f>
        <v>0</v>
      </c>
      <c r="K4238" s="444">
        <f t="shared" ca="1" si="163"/>
        <v>-61531281659.955772</v>
      </c>
      <c r="L4238" s="444">
        <f t="shared" ca="1" si="164"/>
        <v>-14829038880049.34</v>
      </c>
      <c r="M4238" s="460">
        <f t="shared" si="166"/>
        <v>0.05</v>
      </c>
      <c r="N4238" s="464">
        <f t="shared" si="167"/>
        <v>180036</v>
      </c>
    </row>
    <row r="4239" spans="7:14" ht="11.25" customHeight="1" x14ac:dyDescent="0.3">
      <c r="G4239" s="459"/>
      <c r="H4239" s="459">
        <v>4232</v>
      </c>
      <c r="I4239" s="444">
        <f t="shared" ca="1" si="165"/>
        <v>-14829038880049.34</v>
      </c>
      <c r="J4239" s="444">
        <f t="array" ref="J4239">IFERROR(INDEX('Retirement Calculator'!K:K,MATCH('Lorri 401b'!N4239,'Retirement Calculator'!A:A,0),0),0)</f>
        <v>0</v>
      </c>
      <c r="K4239" s="444">
        <f t="shared" ca="1" si="163"/>
        <v>-61787662000.205582</v>
      </c>
      <c r="L4239" s="444">
        <f t="shared" ca="1" si="164"/>
        <v>-14890826542049.545</v>
      </c>
      <c r="M4239" s="460">
        <f t="shared" si="166"/>
        <v>0.05</v>
      </c>
      <c r="N4239" s="464">
        <f t="shared" si="167"/>
        <v>180067</v>
      </c>
    </row>
    <row r="4240" spans="7:14" ht="11.25" customHeight="1" x14ac:dyDescent="0.3">
      <c r="G4240" s="459"/>
      <c r="H4240" s="459">
        <v>4233</v>
      </c>
      <c r="I4240" s="444">
        <f t="shared" ca="1" si="165"/>
        <v>-14890826542049.545</v>
      </c>
      <c r="J4240" s="444">
        <f t="array" ref="J4240">IFERROR(INDEX('Retirement Calculator'!K:K,MATCH('Lorri 401b'!N4240,'Retirement Calculator'!A:A,0),0),0)</f>
        <v>0</v>
      </c>
      <c r="K4240" s="444">
        <f t="shared" ca="1" si="163"/>
        <v>-62045110591.8731</v>
      </c>
      <c r="L4240" s="444">
        <f t="shared" ca="1" si="164"/>
        <v>-14952871652641.418</v>
      </c>
      <c r="M4240" s="460">
        <f t="shared" si="166"/>
        <v>0.05</v>
      </c>
      <c r="N4240" s="464">
        <f t="shared" si="167"/>
        <v>180098</v>
      </c>
    </row>
    <row r="4241" spans="7:14" ht="11.25" customHeight="1" x14ac:dyDescent="0.3">
      <c r="G4241" s="459"/>
      <c r="H4241" s="459">
        <v>4234</v>
      </c>
      <c r="I4241" s="444">
        <f t="shared" ca="1" si="165"/>
        <v>-14952871652641.418</v>
      </c>
      <c r="J4241" s="444">
        <f t="array" ref="J4241">IFERROR(INDEX('Retirement Calculator'!K:K,MATCH('Lorri 401b'!N4241,'Retirement Calculator'!A:A,0),0),0)</f>
        <v>0</v>
      </c>
      <c r="K4241" s="444">
        <f t="shared" ca="1" si="163"/>
        <v>-62303631886.005898</v>
      </c>
      <c r="L4241" s="444">
        <f t="shared" ca="1" si="164"/>
        <v>-15015175284527.424</v>
      </c>
      <c r="M4241" s="460">
        <f t="shared" si="166"/>
        <v>0.05</v>
      </c>
      <c r="N4241" s="464">
        <f t="shared" si="167"/>
        <v>180126</v>
      </c>
    </row>
    <row r="4242" spans="7:14" ht="11.25" customHeight="1" x14ac:dyDescent="0.3">
      <c r="G4242" s="459"/>
      <c r="H4242" s="459">
        <v>4235</v>
      </c>
      <c r="I4242" s="444">
        <f t="shared" ca="1" si="165"/>
        <v>-15015175284527.424</v>
      </c>
      <c r="J4242" s="444">
        <f t="array" ref="J4242">IFERROR(INDEX('Retirement Calculator'!K:K,MATCH('Lorri 401b'!N4242,'Retirement Calculator'!A:A,0),0),0)</f>
        <v>0</v>
      </c>
      <c r="K4242" s="444">
        <f t="shared" ca="1" si="163"/>
        <v>-62563230352.197601</v>
      </c>
      <c r="L4242" s="444">
        <f t="shared" ca="1" si="164"/>
        <v>-15077738514879.621</v>
      </c>
      <c r="M4242" s="460">
        <f t="shared" si="166"/>
        <v>0.05</v>
      </c>
      <c r="N4242" s="464">
        <f t="shared" si="167"/>
        <v>180157</v>
      </c>
    </row>
    <row r="4243" spans="7:14" ht="11.25" customHeight="1" x14ac:dyDescent="0.3">
      <c r="G4243" s="459"/>
      <c r="H4243" s="459">
        <v>4236</v>
      </c>
      <c r="I4243" s="444">
        <f t="shared" ca="1" si="165"/>
        <v>-15077738514879.621</v>
      </c>
      <c r="J4243" s="444">
        <f t="array" ref="J4243">IFERROR(INDEX('Retirement Calculator'!K:K,MATCH('Lorri 401b'!N4243,'Retirement Calculator'!A:A,0),0),0)</f>
        <v>0</v>
      </c>
      <c r="K4243" s="444">
        <f t="shared" ca="1" si="163"/>
        <v>-62823910478.665085</v>
      </c>
      <c r="L4243" s="444">
        <f t="shared" ca="1" si="164"/>
        <v>-15140562425358.287</v>
      </c>
      <c r="M4243" s="460">
        <f t="shared" si="166"/>
        <v>0.05</v>
      </c>
      <c r="N4243" s="464">
        <f t="shared" si="167"/>
        <v>180187</v>
      </c>
    </row>
    <row r="4244" spans="7:14" ht="11.25" customHeight="1" x14ac:dyDescent="0.3">
      <c r="G4244" s="459"/>
      <c r="H4244" s="459">
        <v>4237</v>
      </c>
      <c r="I4244" s="444">
        <f t="shared" ca="1" si="165"/>
        <v>-15140562425358.287</v>
      </c>
      <c r="J4244" s="444">
        <f t="array" ref="J4244">IFERROR(INDEX('Retirement Calculator'!K:K,MATCH('Lorri 401b'!N4244,'Retirement Calculator'!A:A,0),0),0)</f>
        <v>0</v>
      </c>
      <c r="K4244" s="444">
        <f t="shared" ca="1" si="163"/>
        <v>-63085676772.326202</v>
      </c>
      <c r="L4244" s="444">
        <f t="shared" ca="1" si="164"/>
        <v>-15203648102130.613</v>
      </c>
      <c r="M4244" s="460">
        <f t="shared" si="166"/>
        <v>0.05</v>
      </c>
      <c r="N4244" s="464">
        <f t="shared" si="167"/>
        <v>180218</v>
      </c>
    </row>
    <row r="4245" spans="7:14" ht="11.25" customHeight="1" x14ac:dyDescent="0.3">
      <c r="G4245" s="459"/>
      <c r="H4245" s="459">
        <v>4238</v>
      </c>
      <c r="I4245" s="444">
        <f t="shared" ca="1" si="165"/>
        <v>-15203648102130.613</v>
      </c>
      <c r="J4245" s="444">
        <f t="array" ref="J4245">IFERROR(INDEX('Retirement Calculator'!K:K,MATCH('Lorri 401b'!N4245,'Retirement Calculator'!A:A,0),0),0)</f>
        <v>0</v>
      </c>
      <c r="K4245" s="444">
        <f t="shared" ca="1" si="163"/>
        <v>-63348533758.877556</v>
      </c>
      <c r="L4245" s="444">
        <f t="shared" ca="1" si="164"/>
        <v>-15266996635889.49</v>
      </c>
      <c r="M4245" s="460">
        <f t="shared" si="166"/>
        <v>0.05</v>
      </c>
      <c r="N4245" s="464">
        <f t="shared" si="167"/>
        <v>180248</v>
      </c>
    </row>
    <row r="4246" spans="7:14" ht="11.25" customHeight="1" x14ac:dyDescent="0.3">
      <c r="G4246" s="459"/>
      <c r="H4246" s="459">
        <v>4239</v>
      </c>
      <c r="I4246" s="444">
        <f t="shared" ca="1" si="165"/>
        <v>-15266996635889.49</v>
      </c>
      <c r="J4246" s="444">
        <f t="array" ref="J4246">IFERROR(INDEX('Retirement Calculator'!K:K,MATCH('Lorri 401b'!N4246,'Retirement Calculator'!A:A,0),0),0)</f>
        <v>0</v>
      </c>
      <c r="K4246" s="444">
        <f t="shared" ca="1" si="163"/>
        <v>-63612485982.872871</v>
      </c>
      <c r="L4246" s="444">
        <f t="shared" ca="1" si="164"/>
        <v>-15330609121872.363</v>
      </c>
      <c r="M4246" s="460">
        <f t="shared" si="166"/>
        <v>0.05</v>
      </c>
      <c r="N4246" s="464">
        <f t="shared" si="167"/>
        <v>180279</v>
      </c>
    </row>
    <row r="4247" spans="7:14" ht="11.25" customHeight="1" x14ac:dyDescent="0.3">
      <c r="G4247" s="459"/>
      <c r="H4247" s="459">
        <v>4240</v>
      </c>
      <c r="I4247" s="444">
        <f t="shared" ca="1" si="165"/>
        <v>-15330609121872.363</v>
      </c>
      <c r="J4247" s="444">
        <f t="array" ref="J4247">IFERROR(INDEX('Retirement Calculator'!K:K,MATCH('Lorri 401b'!N4247,'Retirement Calculator'!A:A,0),0),0)</f>
        <v>0</v>
      </c>
      <c r="K4247" s="444">
        <f t="shared" ca="1" si="163"/>
        <v>-63877538007.801514</v>
      </c>
      <c r="L4247" s="444">
        <f t="shared" ca="1" si="164"/>
        <v>-15394486659880.164</v>
      </c>
      <c r="M4247" s="460">
        <f t="shared" si="166"/>
        <v>0.05</v>
      </c>
      <c r="N4247" s="464">
        <f t="shared" si="167"/>
        <v>180310</v>
      </c>
    </row>
    <row r="4248" spans="7:14" ht="11.25" customHeight="1" x14ac:dyDescent="0.3">
      <c r="G4248" s="459"/>
      <c r="H4248" s="459">
        <v>4241</v>
      </c>
      <c r="I4248" s="444">
        <f t="shared" ca="1" si="165"/>
        <v>-15394486659880.164</v>
      </c>
      <c r="J4248" s="444">
        <f t="array" ref="J4248">IFERROR(INDEX('Retirement Calculator'!K:K,MATCH('Lorri 401b'!N4248,'Retirement Calculator'!A:A,0),0),0)</f>
        <v>0</v>
      </c>
      <c r="K4248" s="444">
        <f t="shared" ca="1" si="163"/>
        <v>-64143694416.167358</v>
      </c>
      <c r="L4248" s="444">
        <f t="shared" ca="1" si="164"/>
        <v>-15458630354296.332</v>
      </c>
      <c r="M4248" s="460">
        <f t="shared" si="166"/>
        <v>0.05</v>
      </c>
      <c r="N4248" s="464">
        <f t="shared" si="167"/>
        <v>180340</v>
      </c>
    </row>
    <row r="4249" spans="7:14" ht="11.25" customHeight="1" x14ac:dyDescent="0.3">
      <c r="G4249" s="459"/>
      <c r="H4249" s="459">
        <v>4242</v>
      </c>
      <c r="I4249" s="444">
        <f t="shared" ca="1" si="165"/>
        <v>-15458630354296.332</v>
      </c>
      <c r="J4249" s="444">
        <f t="array" ref="J4249">IFERROR(INDEX('Retirement Calculator'!K:K,MATCH('Lorri 401b'!N4249,'Retirement Calculator'!A:A,0),0),0)</f>
        <v>0</v>
      </c>
      <c r="K4249" s="444">
        <f t="shared" ca="1" si="163"/>
        <v>-64410959809.568047</v>
      </c>
      <c r="L4249" s="444">
        <f t="shared" ca="1" si="164"/>
        <v>-15523041314105.9</v>
      </c>
      <c r="M4249" s="460">
        <f t="shared" si="166"/>
        <v>0.05</v>
      </c>
      <c r="N4249" s="464">
        <f t="shared" si="167"/>
        <v>180371</v>
      </c>
    </row>
    <row r="4250" spans="7:14" ht="11.25" customHeight="1" x14ac:dyDescent="0.3">
      <c r="G4250" s="459"/>
      <c r="H4250" s="459">
        <v>4243</v>
      </c>
      <c r="I4250" s="444">
        <f t="shared" ca="1" si="165"/>
        <v>-15523041314105.9</v>
      </c>
      <c r="J4250" s="444">
        <f t="array" ref="J4250">IFERROR(INDEX('Retirement Calculator'!K:K,MATCH('Lorri 401b'!N4250,'Retirement Calculator'!A:A,0),0),0)</f>
        <v>0</v>
      </c>
      <c r="K4250" s="444">
        <f t="shared" ca="1" si="163"/>
        <v>-64679338808.774582</v>
      </c>
      <c r="L4250" s="444">
        <f t="shared" ca="1" si="164"/>
        <v>-15587720652914.676</v>
      </c>
      <c r="M4250" s="460">
        <f t="shared" si="166"/>
        <v>0.05</v>
      </c>
      <c r="N4250" s="464">
        <f t="shared" si="167"/>
        <v>180401</v>
      </c>
    </row>
    <row r="4251" spans="7:14" ht="11.25" customHeight="1" x14ac:dyDescent="0.3">
      <c r="G4251" s="459"/>
      <c r="H4251" s="459">
        <v>4244</v>
      </c>
      <c r="I4251" s="444">
        <f t="shared" ca="1" si="165"/>
        <v>-15587720652914.676</v>
      </c>
      <c r="J4251" s="444">
        <f t="array" ref="J4251">IFERROR(INDEX('Retirement Calculator'!K:K,MATCH('Lorri 401b'!N4251,'Retirement Calculator'!A:A,0),0),0)</f>
        <v>0</v>
      </c>
      <c r="K4251" s="444">
        <f t="shared" ca="1" si="163"/>
        <v>-64948836053.81115</v>
      </c>
      <c r="L4251" s="444">
        <f t="shared" ca="1" si="164"/>
        <v>-15652669488968.486</v>
      </c>
      <c r="M4251" s="460">
        <f t="shared" si="166"/>
        <v>0.05</v>
      </c>
      <c r="N4251" s="464">
        <f t="shared" si="167"/>
        <v>180432</v>
      </c>
    </row>
    <row r="4252" spans="7:14" ht="11.25" customHeight="1" x14ac:dyDescent="0.3">
      <c r="G4252" s="459"/>
      <c r="H4252" s="459">
        <v>4245</v>
      </c>
      <c r="I4252" s="444">
        <f t="shared" ca="1" si="165"/>
        <v>-15652669488968.486</v>
      </c>
      <c r="J4252" s="444">
        <f t="array" ref="J4252">IFERROR(INDEX('Retirement Calculator'!K:K,MATCH('Lorri 401b'!N4252,'Retirement Calculator'!A:A,0),0),0)</f>
        <v>0</v>
      </c>
      <c r="K4252" s="444">
        <f t="shared" ca="1" si="163"/>
        <v>-65219456204.035362</v>
      </c>
      <c r="L4252" s="444">
        <f t="shared" ca="1" si="164"/>
        <v>-15717888945172.521</v>
      </c>
      <c r="M4252" s="460">
        <f t="shared" si="166"/>
        <v>0.05</v>
      </c>
      <c r="N4252" s="464">
        <f t="shared" si="167"/>
        <v>180463</v>
      </c>
    </row>
    <row r="4253" spans="7:14" ht="11.25" customHeight="1" x14ac:dyDescent="0.3">
      <c r="G4253" s="459"/>
      <c r="H4253" s="459">
        <v>4246</v>
      </c>
      <c r="I4253" s="444">
        <f t="shared" ca="1" si="165"/>
        <v>-15717888945172.521</v>
      </c>
      <c r="J4253" s="444">
        <f t="array" ref="J4253">IFERROR(INDEX('Retirement Calculator'!K:K,MATCH('Lorri 401b'!N4253,'Retirement Calculator'!A:A,0),0),0)</f>
        <v>0</v>
      </c>
      <c r="K4253" s="444">
        <f t="shared" ca="1" si="163"/>
        <v>-65491203938.218842</v>
      </c>
      <c r="L4253" s="444">
        <f t="shared" ca="1" si="164"/>
        <v>-15783380149110.74</v>
      </c>
      <c r="M4253" s="460">
        <f t="shared" si="166"/>
        <v>0.05</v>
      </c>
      <c r="N4253" s="464">
        <f t="shared" si="167"/>
        <v>180491</v>
      </c>
    </row>
    <row r="4254" spans="7:14" ht="11.25" customHeight="1" x14ac:dyDescent="0.3">
      <c r="G4254" s="459"/>
      <c r="H4254" s="459">
        <v>4247</v>
      </c>
      <c r="I4254" s="444">
        <f t="shared" ca="1" si="165"/>
        <v>-15783380149110.74</v>
      </c>
      <c r="J4254" s="444">
        <f t="array" ref="J4254">IFERROR(INDEX('Retirement Calculator'!K:K,MATCH('Lorri 401b'!N4254,'Retirement Calculator'!A:A,0),0),0)</f>
        <v>0</v>
      </c>
      <c r="K4254" s="444">
        <f t="shared" ca="1" si="163"/>
        <v>-65764083954.628082</v>
      </c>
      <c r="L4254" s="444">
        <f t="shared" ca="1" si="164"/>
        <v>-15849144233065.369</v>
      </c>
      <c r="M4254" s="460">
        <f t="shared" si="166"/>
        <v>0.05</v>
      </c>
      <c r="N4254" s="464">
        <f t="shared" si="167"/>
        <v>180522</v>
      </c>
    </row>
    <row r="4255" spans="7:14" ht="11.25" customHeight="1" x14ac:dyDescent="0.3">
      <c r="G4255" s="459"/>
      <c r="H4255" s="459">
        <v>4248</v>
      </c>
      <c r="I4255" s="444">
        <f t="shared" ca="1" si="165"/>
        <v>-15849144233065.369</v>
      </c>
      <c r="J4255" s="444">
        <f t="array" ref="J4255">IFERROR(INDEX('Retirement Calculator'!K:K,MATCH('Lorri 401b'!N4255,'Retirement Calculator'!A:A,0),0),0)</f>
        <v>0</v>
      </c>
      <c r="K4255" s="444">
        <f t="shared" ca="1" si="163"/>
        <v>-66038100971.105698</v>
      </c>
      <c r="L4255" s="444">
        <f t="shared" ca="1" si="164"/>
        <v>-15915182334036.475</v>
      </c>
      <c r="M4255" s="460">
        <f t="shared" si="166"/>
        <v>0.05</v>
      </c>
      <c r="N4255" s="464">
        <f t="shared" si="167"/>
        <v>180552</v>
      </c>
    </row>
    <row r="4256" spans="7:14" ht="11.25" customHeight="1" x14ac:dyDescent="0.3">
      <c r="G4256" s="459"/>
      <c r="H4256" s="459">
        <v>4249</v>
      </c>
      <c r="I4256" s="444">
        <f t="shared" ca="1" si="165"/>
        <v>-15915182334036.475</v>
      </c>
      <c r="J4256" s="444">
        <f t="array" ref="J4256">IFERROR(INDEX('Retirement Calculator'!K:K,MATCH('Lorri 401b'!N4256,'Retirement Calculator'!A:A,0),0),0)</f>
        <v>0</v>
      </c>
      <c r="K4256" s="444">
        <f t="shared" ca="1" si="163"/>
        <v>-66313259725.15197</v>
      </c>
      <c r="L4256" s="444">
        <f t="shared" ca="1" si="164"/>
        <v>-15981495593761.627</v>
      </c>
      <c r="M4256" s="460">
        <f t="shared" si="166"/>
        <v>0.05</v>
      </c>
      <c r="N4256" s="464">
        <f t="shared" si="167"/>
        <v>180583</v>
      </c>
    </row>
    <row r="4257" spans="7:14" ht="11.25" customHeight="1" x14ac:dyDescent="0.3">
      <c r="G4257" s="459"/>
      <c r="H4257" s="459">
        <v>4250</v>
      </c>
      <c r="I4257" s="444">
        <f t="shared" ca="1" si="165"/>
        <v>-15981495593761.627</v>
      </c>
      <c r="J4257" s="444">
        <f t="array" ref="J4257">IFERROR(INDEX('Retirement Calculator'!K:K,MATCH('Lorri 401b'!N4257,'Retirement Calculator'!A:A,0),0),0)</f>
        <v>0</v>
      </c>
      <c r="K4257" s="444">
        <f t="shared" ca="1" si="163"/>
        <v>-66589564974.006775</v>
      </c>
      <c r="L4257" s="444">
        <f t="shared" ca="1" si="164"/>
        <v>-16048085158735.633</v>
      </c>
      <c r="M4257" s="460">
        <f t="shared" si="166"/>
        <v>0.05</v>
      </c>
      <c r="N4257" s="464">
        <f t="shared" si="167"/>
        <v>180613</v>
      </c>
    </row>
    <row r="4258" spans="7:14" ht="11.25" customHeight="1" x14ac:dyDescent="0.3">
      <c r="G4258" s="459"/>
      <c r="H4258" s="459">
        <v>4251</v>
      </c>
      <c r="I4258" s="444">
        <f t="shared" ca="1" si="165"/>
        <v>-16048085158735.633</v>
      </c>
      <c r="J4258" s="444">
        <f t="array" ref="J4258">IFERROR(INDEX('Retirement Calculator'!K:K,MATCH('Lorri 401b'!N4258,'Retirement Calculator'!A:A,0),0),0)</f>
        <v>0</v>
      </c>
      <c r="K4258" s="444">
        <f t="shared" ca="1" si="163"/>
        <v>-66867021494.731796</v>
      </c>
      <c r="L4258" s="444">
        <f t="shared" ca="1" si="164"/>
        <v>-16114952180230.365</v>
      </c>
      <c r="M4258" s="460">
        <f t="shared" si="166"/>
        <v>0.05</v>
      </c>
      <c r="N4258" s="464">
        <f t="shared" si="167"/>
        <v>180644</v>
      </c>
    </row>
    <row r="4259" spans="7:14" ht="11.25" customHeight="1" x14ac:dyDescent="0.3">
      <c r="G4259" s="459"/>
      <c r="H4259" s="459">
        <v>4252</v>
      </c>
      <c r="I4259" s="444">
        <f t="shared" ca="1" si="165"/>
        <v>-16114952180230.365</v>
      </c>
      <c r="J4259" s="444">
        <f t="array" ref="J4259">IFERROR(INDEX('Retirement Calculator'!K:K,MATCH('Lorri 401b'!N4259,'Retirement Calculator'!A:A,0),0),0)</f>
        <v>0</v>
      </c>
      <c r="K4259" s="444">
        <f t="shared" ca="1" si="163"/>
        <v>-67145634084.29319</v>
      </c>
      <c r="L4259" s="444">
        <f t="shared" ca="1" si="164"/>
        <v>-16182097814314.658</v>
      </c>
      <c r="M4259" s="460">
        <f t="shared" si="166"/>
        <v>0.05</v>
      </c>
      <c r="N4259" s="464">
        <f t="shared" si="167"/>
        <v>180675</v>
      </c>
    </row>
    <row r="4260" spans="7:14" ht="11.25" customHeight="1" x14ac:dyDescent="0.3">
      <c r="G4260" s="459"/>
      <c r="H4260" s="459">
        <v>4253</v>
      </c>
      <c r="I4260" s="444">
        <f t="shared" ca="1" si="165"/>
        <v>-16182097814314.658</v>
      </c>
      <c r="J4260" s="444">
        <f t="array" ref="J4260">IFERROR(INDEX('Retirement Calculator'!K:K,MATCH('Lorri 401b'!N4260,'Retirement Calculator'!A:A,0),0),0)</f>
        <v>0</v>
      </c>
      <c r="K4260" s="444">
        <f t="shared" ca="1" si="163"/>
        <v>-67425407559.644417</v>
      </c>
      <c r="L4260" s="444">
        <f t="shared" ca="1" si="164"/>
        <v>-16249523221874.303</v>
      </c>
      <c r="M4260" s="460">
        <f t="shared" si="166"/>
        <v>0.05</v>
      </c>
      <c r="N4260" s="464">
        <f t="shared" si="167"/>
        <v>180705</v>
      </c>
    </row>
    <row r="4261" spans="7:14" ht="11.25" customHeight="1" x14ac:dyDescent="0.3">
      <c r="G4261" s="459"/>
      <c r="H4261" s="459">
        <v>4254</v>
      </c>
      <c r="I4261" s="444">
        <f t="shared" ca="1" si="165"/>
        <v>-16249523221874.303</v>
      </c>
      <c r="J4261" s="444">
        <f t="array" ref="J4261">IFERROR(INDEX('Retirement Calculator'!K:K,MATCH('Lorri 401b'!N4261,'Retirement Calculator'!A:A,0),0),0)</f>
        <v>0</v>
      </c>
      <c r="K4261" s="444">
        <f t="shared" ca="1" si="163"/>
        <v>-67706346757.809593</v>
      </c>
      <c r="L4261" s="444">
        <f t="shared" ca="1" si="164"/>
        <v>-16317229568632.113</v>
      </c>
      <c r="M4261" s="460">
        <f t="shared" si="166"/>
        <v>0.05</v>
      </c>
      <c r="N4261" s="464">
        <f t="shared" si="167"/>
        <v>180736</v>
      </c>
    </row>
    <row r="4262" spans="7:14" ht="11.25" customHeight="1" x14ac:dyDescent="0.3">
      <c r="G4262" s="459"/>
      <c r="H4262" s="459">
        <v>4255</v>
      </c>
      <c r="I4262" s="444">
        <f t="shared" ca="1" si="165"/>
        <v>-16317229568632.113</v>
      </c>
      <c r="J4262" s="444">
        <f t="array" ref="J4262">IFERROR(INDEX('Retirement Calculator'!K:K,MATCH('Lorri 401b'!N4262,'Retirement Calculator'!A:A,0),0),0)</f>
        <v>0</v>
      </c>
      <c r="K4262" s="444">
        <f t="shared" ca="1" si="163"/>
        <v>-67988456535.96714</v>
      </c>
      <c r="L4262" s="444">
        <f t="shared" ca="1" si="164"/>
        <v>-16385218025168.08</v>
      </c>
      <c r="M4262" s="460">
        <f t="shared" si="166"/>
        <v>0.05</v>
      </c>
      <c r="N4262" s="464">
        <f t="shared" si="167"/>
        <v>180766</v>
      </c>
    </row>
    <row r="4263" spans="7:14" ht="11.25" customHeight="1" x14ac:dyDescent="0.3">
      <c r="G4263" s="459"/>
      <c r="H4263" s="459">
        <v>4256</v>
      </c>
      <c r="I4263" s="444">
        <f t="shared" ca="1" si="165"/>
        <v>-16385218025168.08</v>
      </c>
      <c r="J4263" s="444">
        <f t="array" ref="J4263">IFERROR(INDEX('Retirement Calculator'!K:K,MATCH('Lorri 401b'!N4263,'Retirement Calculator'!A:A,0),0),0)</f>
        <v>0</v>
      </c>
      <c r="K4263" s="444">
        <f t="shared" ca="1" si="163"/>
        <v>-68271741771.533676</v>
      </c>
      <c r="L4263" s="444">
        <f t="shared" ca="1" si="164"/>
        <v>-16453489766939.613</v>
      </c>
      <c r="M4263" s="460">
        <f t="shared" si="166"/>
        <v>0.05</v>
      </c>
      <c r="N4263" s="464">
        <f t="shared" si="167"/>
        <v>180797</v>
      </c>
    </row>
    <row r="4264" spans="7:14" ht="11.25" customHeight="1" x14ac:dyDescent="0.3">
      <c r="G4264" s="459"/>
      <c r="H4264" s="459">
        <v>4257</v>
      </c>
      <c r="I4264" s="444">
        <f t="shared" ca="1" si="165"/>
        <v>-16453489766939.613</v>
      </c>
      <c r="J4264" s="444">
        <f t="array" ref="J4264">IFERROR(INDEX('Retirement Calculator'!K:K,MATCH('Lorri 401b'!N4264,'Retirement Calculator'!A:A,0),0),0)</f>
        <v>0</v>
      </c>
      <c r="K4264" s="444">
        <f t="shared" ca="1" si="163"/>
        <v>-68556207362.24839</v>
      </c>
      <c r="L4264" s="444">
        <f t="shared" ca="1" si="164"/>
        <v>-16522045974301.861</v>
      </c>
      <c r="M4264" s="460">
        <f t="shared" si="166"/>
        <v>0.05</v>
      </c>
      <c r="N4264" s="464">
        <f t="shared" si="167"/>
        <v>180828</v>
      </c>
    </row>
    <row r="4265" spans="7:14" ht="11.25" customHeight="1" x14ac:dyDescent="0.3">
      <c r="G4265" s="459"/>
      <c r="H4265" s="459">
        <v>4258</v>
      </c>
      <c r="I4265" s="444">
        <f t="shared" ca="1" si="165"/>
        <v>-16522045974301.861</v>
      </c>
      <c r="J4265" s="444">
        <f t="array" ref="J4265">IFERROR(INDEX('Retirement Calculator'!K:K,MATCH('Lorri 401b'!N4265,'Retirement Calculator'!A:A,0),0),0)</f>
        <v>0</v>
      </c>
      <c r="K4265" s="444">
        <f t="shared" ca="1" si="163"/>
        <v>-68841858226.257751</v>
      </c>
      <c r="L4265" s="444">
        <f t="shared" ca="1" si="164"/>
        <v>-16590887832528.119</v>
      </c>
      <c r="M4265" s="460">
        <f t="shared" si="166"/>
        <v>0.05</v>
      </c>
      <c r="N4265" s="464">
        <f t="shared" si="167"/>
        <v>180856</v>
      </c>
    </row>
    <row r="4266" spans="7:14" ht="11.25" customHeight="1" x14ac:dyDescent="0.3">
      <c r="G4266" s="459"/>
      <c r="H4266" s="459">
        <v>4259</v>
      </c>
      <c r="I4266" s="444">
        <f t="shared" ca="1" si="165"/>
        <v>-16590887832528.119</v>
      </c>
      <c r="J4266" s="444">
        <f t="array" ref="J4266">IFERROR(INDEX('Retirement Calculator'!K:K,MATCH('Lorri 401b'!N4266,'Retirement Calculator'!A:A,0),0),0)</f>
        <v>0</v>
      </c>
      <c r="K4266" s="444">
        <f t="shared" ca="1" si="163"/>
        <v>-69128699302.2005</v>
      </c>
      <c r="L4266" s="444">
        <f t="shared" ca="1" si="164"/>
        <v>-16660016531830.32</v>
      </c>
      <c r="M4266" s="460">
        <f t="shared" si="166"/>
        <v>0.05</v>
      </c>
      <c r="N4266" s="464">
        <f t="shared" si="167"/>
        <v>180887</v>
      </c>
    </row>
    <row r="4267" spans="7:14" ht="11.25" customHeight="1" x14ac:dyDescent="0.3">
      <c r="G4267" s="459"/>
      <c r="H4267" s="459">
        <v>4260</v>
      </c>
      <c r="I4267" s="444">
        <f t="shared" ca="1" si="165"/>
        <v>-16660016531830.32</v>
      </c>
      <c r="J4267" s="444">
        <f t="array" ref="J4267">IFERROR(INDEX('Retirement Calculator'!K:K,MATCH('Lorri 401b'!N4267,'Retirement Calculator'!A:A,0),0),0)</f>
        <v>0</v>
      </c>
      <c r="K4267" s="444">
        <f t="shared" ca="1" si="163"/>
        <v>-69416735549.292999</v>
      </c>
      <c r="L4267" s="444">
        <f t="shared" ca="1" si="164"/>
        <v>-16729433267379.613</v>
      </c>
      <c r="M4267" s="460">
        <f t="shared" si="166"/>
        <v>0.05</v>
      </c>
      <c r="N4267" s="464">
        <f t="shared" si="167"/>
        <v>180917</v>
      </c>
    </row>
    <row r="4268" spans="7:14" ht="11.25" customHeight="1" x14ac:dyDescent="0.3">
      <c r="G4268" s="459"/>
      <c r="H4268" s="459">
        <v>4261</v>
      </c>
      <c r="I4268" s="444">
        <f t="shared" ca="1" si="165"/>
        <v>-16729433267379.613</v>
      </c>
      <c r="J4268" s="444">
        <f t="array" ref="J4268">IFERROR(INDEX('Retirement Calculator'!K:K,MATCH('Lorri 401b'!N4268,'Retirement Calculator'!A:A,0),0),0)</f>
        <v>0</v>
      </c>
      <c r="K4268" s="444">
        <f t="shared" ca="1" si="163"/>
        <v>-69705971947.415039</v>
      </c>
      <c r="L4268" s="444">
        <f t="shared" ca="1" si="164"/>
        <v>-16799139239327.027</v>
      </c>
      <c r="M4268" s="460">
        <f t="shared" si="166"/>
        <v>0.05</v>
      </c>
      <c r="N4268" s="464">
        <f t="shared" si="167"/>
        <v>180948</v>
      </c>
    </row>
    <row r="4269" spans="7:14" ht="11.25" customHeight="1" x14ac:dyDescent="0.3">
      <c r="G4269" s="459"/>
      <c r="H4269" s="459">
        <v>4262</v>
      </c>
      <c r="I4269" s="444">
        <f t="shared" ca="1" si="165"/>
        <v>-16799139239327.027</v>
      </c>
      <c r="J4269" s="444">
        <f t="array" ref="J4269">IFERROR(INDEX('Retirement Calculator'!K:K,MATCH('Lorri 401b'!N4269,'Retirement Calculator'!A:A,0),0),0)</f>
        <v>0</v>
      </c>
      <c r="K4269" s="444">
        <f t="shared" ca="1" si="163"/>
        <v>-69996413497.195953</v>
      </c>
      <c r="L4269" s="444">
        <f t="shared" ca="1" si="164"/>
        <v>-16869135652824.223</v>
      </c>
      <c r="M4269" s="460">
        <f t="shared" si="166"/>
        <v>0.05</v>
      </c>
      <c r="N4269" s="464">
        <f t="shared" si="167"/>
        <v>180978</v>
      </c>
    </row>
    <row r="4270" spans="7:14" ht="11.25" customHeight="1" x14ac:dyDescent="0.3">
      <c r="G4270" s="459"/>
      <c r="H4270" s="459">
        <v>4263</v>
      </c>
      <c r="I4270" s="444">
        <f t="shared" ca="1" si="165"/>
        <v>-16869135652824.223</v>
      </c>
      <c r="J4270" s="444">
        <f t="array" ref="J4270">IFERROR(INDEX('Retirement Calculator'!K:K,MATCH('Lorri 401b'!N4270,'Retirement Calculator'!A:A,0),0),0)</f>
        <v>0</v>
      </c>
      <c r="K4270" s="444">
        <f t="shared" ca="1" si="163"/>
        <v>-70288065220.100922</v>
      </c>
      <c r="L4270" s="444">
        <f t="shared" ca="1" si="164"/>
        <v>-16939423718044.324</v>
      </c>
      <c r="M4270" s="460">
        <f t="shared" si="166"/>
        <v>0.05</v>
      </c>
      <c r="N4270" s="464">
        <f t="shared" si="167"/>
        <v>181009</v>
      </c>
    </row>
    <row r="4271" spans="7:14" ht="11.25" customHeight="1" x14ac:dyDescent="0.3">
      <c r="G4271" s="459"/>
      <c r="H4271" s="459">
        <v>4264</v>
      </c>
      <c r="I4271" s="444">
        <f t="shared" ca="1" si="165"/>
        <v>-16939423718044.324</v>
      </c>
      <c r="J4271" s="444">
        <f t="array" ref="J4271">IFERROR(INDEX('Retirement Calculator'!K:K,MATCH('Lorri 401b'!N4271,'Retirement Calculator'!A:A,0),0),0)</f>
        <v>0</v>
      </c>
      <c r="K4271" s="444">
        <f t="shared" ca="1" si="163"/>
        <v>-70580932158.518005</v>
      </c>
      <c r="L4271" s="444">
        <f t="shared" ca="1" si="164"/>
        <v>-17010004650202.842</v>
      </c>
      <c r="M4271" s="460">
        <f t="shared" si="166"/>
        <v>0.05</v>
      </c>
      <c r="N4271" s="464">
        <f t="shared" si="167"/>
        <v>181040</v>
      </c>
    </row>
    <row r="4272" spans="7:14" ht="11.25" customHeight="1" x14ac:dyDescent="0.3">
      <c r="G4272" s="459"/>
      <c r="H4272" s="459">
        <v>4265</v>
      </c>
      <c r="I4272" s="444">
        <f t="shared" ca="1" si="165"/>
        <v>-17010004650202.842</v>
      </c>
      <c r="J4272" s="444">
        <f t="array" ref="J4272">IFERROR(INDEX('Retirement Calculator'!K:K,MATCH('Lorri 401b'!N4272,'Retirement Calculator'!A:A,0),0),0)</f>
        <v>0</v>
      </c>
      <c r="K4272" s="444">
        <f t="shared" ca="1" si="163"/>
        <v>-70875019375.845169</v>
      </c>
      <c r="L4272" s="444">
        <f t="shared" ca="1" si="164"/>
        <v>-17080879669578.688</v>
      </c>
      <c r="M4272" s="460">
        <f t="shared" si="166"/>
        <v>0.05</v>
      </c>
      <c r="N4272" s="464">
        <f t="shared" si="167"/>
        <v>181070</v>
      </c>
    </row>
    <row r="4273" spans="7:14" ht="11.25" customHeight="1" x14ac:dyDescent="0.3">
      <c r="G4273" s="459"/>
      <c r="H4273" s="459">
        <v>4266</v>
      </c>
      <c r="I4273" s="444">
        <f t="shared" ca="1" si="165"/>
        <v>-17080879669578.688</v>
      </c>
      <c r="J4273" s="444">
        <f t="array" ref="J4273">IFERROR(INDEX('Retirement Calculator'!K:K,MATCH('Lorri 401b'!N4273,'Retirement Calculator'!A:A,0),0),0)</f>
        <v>0</v>
      </c>
      <c r="K4273" s="444">
        <f t="shared" ca="1" si="163"/>
        <v>-71170331956.577866</v>
      </c>
      <c r="L4273" s="444">
        <f t="shared" ca="1" si="164"/>
        <v>-17152050001535.266</v>
      </c>
      <c r="M4273" s="460">
        <f t="shared" si="166"/>
        <v>0.05</v>
      </c>
      <c r="N4273" s="464">
        <f t="shared" si="167"/>
        <v>181101</v>
      </c>
    </row>
    <row r="4274" spans="7:14" ht="11.25" customHeight="1" x14ac:dyDescent="0.3">
      <c r="G4274" s="459"/>
      <c r="H4274" s="459">
        <v>4267</v>
      </c>
      <c r="I4274" s="444">
        <f t="shared" ca="1" si="165"/>
        <v>-17152050001535.266</v>
      </c>
      <c r="J4274" s="444">
        <f t="array" ref="J4274">IFERROR(INDEX('Retirement Calculator'!K:K,MATCH('Lorri 401b'!N4274,'Retirement Calculator'!A:A,0),0),0)</f>
        <v>0</v>
      </c>
      <c r="K4274" s="444">
        <f t="shared" ca="1" si="163"/>
        <v>-71466875006.396942</v>
      </c>
      <c r="L4274" s="444">
        <f t="shared" ca="1" si="164"/>
        <v>-17223516876541.662</v>
      </c>
      <c r="M4274" s="460">
        <f t="shared" si="166"/>
        <v>0.05</v>
      </c>
      <c r="N4274" s="464">
        <f t="shared" si="167"/>
        <v>181131</v>
      </c>
    </row>
    <row r="4275" spans="7:14" ht="11.25" customHeight="1" x14ac:dyDescent="0.3">
      <c r="G4275" s="459"/>
      <c r="H4275" s="459">
        <v>4268</v>
      </c>
      <c r="I4275" s="444">
        <f t="shared" ca="1" si="165"/>
        <v>-17223516876541.662</v>
      </c>
      <c r="J4275" s="444">
        <f t="array" ref="J4275">IFERROR(INDEX('Retirement Calculator'!K:K,MATCH('Lorri 401b'!N4275,'Retirement Calculator'!A:A,0),0),0)</f>
        <v>0</v>
      </c>
      <c r="K4275" s="444">
        <f t="shared" ca="1" si="163"/>
        <v>-71764653652.256927</v>
      </c>
      <c r="L4275" s="444">
        <f t="shared" ca="1" si="164"/>
        <v>-17295281530193.92</v>
      </c>
      <c r="M4275" s="460">
        <f t="shared" si="166"/>
        <v>0.05</v>
      </c>
      <c r="N4275" s="464">
        <f t="shared" si="167"/>
        <v>181162</v>
      </c>
    </row>
    <row r="4276" spans="7:14" ht="11.25" customHeight="1" x14ac:dyDescent="0.3">
      <c r="G4276" s="459"/>
      <c r="H4276" s="459">
        <v>4269</v>
      </c>
      <c r="I4276" s="444">
        <f t="shared" ca="1" si="165"/>
        <v>-17295281530193.92</v>
      </c>
      <c r="J4276" s="444">
        <f t="array" ref="J4276">IFERROR(INDEX('Retirement Calculator'!K:K,MATCH('Lorri 401b'!N4276,'Retirement Calculator'!A:A,0),0),0)</f>
        <v>0</v>
      </c>
      <c r="K4276" s="444">
        <f t="shared" ca="1" si="163"/>
        <v>-72063673042.47467</v>
      </c>
      <c r="L4276" s="444">
        <f t="shared" ca="1" si="164"/>
        <v>-17367345203236.395</v>
      </c>
      <c r="M4276" s="460">
        <f t="shared" si="166"/>
        <v>0.05</v>
      </c>
      <c r="N4276" s="464">
        <f t="shared" si="167"/>
        <v>181193</v>
      </c>
    </row>
    <row r="4277" spans="7:14" ht="11.25" customHeight="1" x14ac:dyDescent="0.3">
      <c r="G4277" s="459"/>
      <c r="H4277" s="459">
        <v>4270</v>
      </c>
      <c r="I4277" s="444">
        <f t="shared" ca="1" si="165"/>
        <v>-17367345203236.395</v>
      </c>
      <c r="J4277" s="444">
        <f t="array" ref="J4277">IFERROR(INDEX('Retirement Calculator'!K:K,MATCH('Lorri 401b'!N4277,'Retirement Calculator'!A:A,0),0),0)</f>
        <v>0</v>
      </c>
      <c r="K4277" s="444">
        <f t="shared" ca="1" si="163"/>
        <v>-72363938346.818298</v>
      </c>
      <c r="L4277" s="444">
        <f t="shared" ca="1" si="164"/>
        <v>-17439709141583.213</v>
      </c>
      <c r="M4277" s="460">
        <f t="shared" si="166"/>
        <v>0.05</v>
      </c>
      <c r="N4277" s="464">
        <f t="shared" si="167"/>
        <v>181222</v>
      </c>
    </row>
    <row r="4278" spans="7:14" ht="11.25" customHeight="1" x14ac:dyDescent="0.3">
      <c r="G4278" s="459"/>
      <c r="H4278" s="459">
        <v>4271</v>
      </c>
      <c r="I4278" s="444">
        <f t="shared" ca="1" si="165"/>
        <v>-17439709141583.213</v>
      </c>
      <c r="J4278" s="444">
        <f t="array" ref="J4278">IFERROR(INDEX('Retirement Calculator'!K:K,MATCH('Lorri 401b'!N4278,'Retirement Calculator'!A:A,0),0),0)</f>
        <v>0</v>
      </c>
      <c r="K4278" s="444">
        <f t="shared" ca="1" si="163"/>
        <v>-72665454756.596725</v>
      </c>
      <c r="L4278" s="444">
        <f t="shared" ca="1" si="164"/>
        <v>-17512374596339.811</v>
      </c>
      <c r="M4278" s="460">
        <f t="shared" si="166"/>
        <v>0.05</v>
      </c>
      <c r="N4278" s="464">
        <f t="shared" si="167"/>
        <v>181253</v>
      </c>
    </row>
    <row r="4279" spans="7:14" ht="11.25" customHeight="1" x14ac:dyDescent="0.3">
      <c r="G4279" s="459"/>
      <c r="H4279" s="459">
        <v>4272</v>
      </c>
      <c r="I4279" s="444">
        <f t="shared" ca="1" si="165"/>
        <v>-17512374596339.811</v>
      </c>
      <c r="J4279" s="444">
        <f t="array" ref="J4279">IFERROR(INDEX('Retirement Calculator'!K:K,MATCH('Lorri 401b'!N4279,'Retirement Calculator'!A:A,0),0),0)</f>
        <v>0</v>
      </c>
      <c r="K4279" s="444">
        <f t="shared" ca="1" si="163"/>
        <v>-72968227484.749207</v>
      </c>
      <c r="L4279" s="444">
        <f t="shared" ca="1" si="164"/>
        <v>-17585342823824.561</v>
      </c>
      <c r="M4279" s="460">
        <f t="shared" si="166"/>
        <v>0.05</v>
      </c>
      <c r="N4279" s="464">
        <f t="shared" si="167"/>
        <v>181283</v>
      </c>
    </row>
    <row r="4280" spans="7:14" ht="11.25" customHeight="1" x14ac:dyDescent="0.3">
      <c r="G4280" s="459"/>
      <c r="H4280" s="459">
        <v>4273</v>
      </c>
      <c r="I4280" s="444">
        <f t="shared" ca="1" si="165"/>
        <v>-17585342823824.561</v>
      </c>
      <c r="J4280" s="444">
        <f t="array" ref="J4280">IFERROR(INDEX('Retirement Calculator'!K:K,MATCH('Lorri 401b'!N4280,'Retirement Calculator'!A:A,0),0),0)</f>
        <v>0</v>
      </c>
      <c r="K4280" s="444">
        <f t="shared" ca="1" si="163"/>
        <v>-73272261765.935669</v>
      </c>
      <c r="L4280" s="444">
        <f t="shared" ca="1" si="164"/>
        <v>-17658615085590.496</v>
      </c>
      <c r="M4280" s="460">
        <f t="shared" si="166"/>
        <v>0.05</v>
      </c>
      <c r="N4280" s="464">
        <f t="shared" si="167"/>
        <v>181314</v>
      </c>
    </row>
    <row r="4281" spans="7:14" ht="11.25" customHeight="1" x14ac:dyDescent="0.3">
      <c r="G4281" s="459"/>
      <c r="H4281" s="459">
        <v>4274</v>
      </c>
      <c r="I4281" s="444">
        <f t="shared" ca="1" si="165"/>
        <v>-17658615085590.496</v>
      </c>
      <c r="J4281" s="444">
        <f t="array" ref="J4281">IFERROR(INDEX('Retirement Calculator'!K:K,MATCH('Lorri 401b'!N4281,'Retirement Calculator'!A:A,0),0),0)</f>
        <v>0</v>
      </c>
      <c r="K4281" s="444">
        <f t="shared" ca="1" si="163"/>
        <v>-73577562856.62706</v>
      </c>
      <c r="L4281" s="444">
        <f t="shared" ca="1" si="164"/>
        <v>-17732192648447.125</v>
      </c>
      <c r="M4281" s="460">
        <f t="shared" si="166"/>
        <v>0.05</v>
      </c>
      <c r="N4281" s="464">
        <f t="shared" si="167"/>
        <v>181344</v>
      </c>
    </row>
    <row r="4282" spans="7:14" ht="11.25" customHeight="1" x14ac:dyDescent="0.3">
      <c r="G4282" s="459"/>
      <c r="H4282" s="459">
        <v>4275</v>
      </c>
      <c r="I4282" s="444">
        <f t="shared" ca="1" si="165"/>
        <v>-17732192648447.125</v>
      </c>
      <c r="J4282" s="444">
        <f t="array" ref="J4282">IFERROR(INDEX('Retirement Calculator'!K:K,MATCH('Lorri 401b'!N4282,'Retirement Calculator'!A:A,0),0),0)</f>
        <v>0</v>
      </c>
      <c r="K4282" s="444">
        <f t="shared" ca="1" si="163"/>
        <v>-73884136035.19635</v>
      </c>
      <c r="L4282" s="444">
        <f t="shared" ca="1" si="164"/>
        <v>-17806076784482.32</v>
      </c>
      <c r="M4282" s="460">
        <f t="shared" si="166"/>
        <v>0.05</v>
      </c>
      <c r="N4282" s="464">
        <f t="shared" si="167"/>
        <v>181375</v>
      </c>
    </row>
    <row r="4283" spans="7:14" ht="11.25" customHeight="1" x14ac:dyDescent="0.3">
      <c r="G4283" s="459"/>
      <c r="H4283" s="459">
        <v>4276</v>
      </c>
      <c r="I4283" s="444">
        <f t="shared" ca="1" si="165"/>
        <v>-17806076784482.32</v>
      </c>
      <c r="J4283" s="444">
        <f t="array" ref="J4283">IFERROR(INDEX('Retirement Calculator'!K:K,MATCH('Lorri 401b'!N4283,'Retirement Calculator'!A:A,0),0),0)</f>
        <v>0</v>
      </c>
      <c r="K4283" s="444">
        <f t="shared" ca="1" si="163"/>
        <v>-74191986602.009674</v>
      </c>
      <c r="L4283" s="444">
        <f t="shared" ca="1" si="164"/>
        <v>-17880268771084.328</v>
      </c>
      <c r="M4283" s="460">
        <f t="shared" si="166"/>
        <v>0.05</v>
      </c>
      <c r="N4283" s="464">
        <f t="shared" si="167"/>
        <v>181406</v>
      </c>
    </row>
    <row r="4284" spans="7:14" ht="11.25" customHeight="1" x14ac:dyDescent="0.3">
      <c r="G4284" s="459"/>
      <c r="H4284" s="459">
        <v>4277</v>
      </c>
      <c r="I4284" s="444">
        <f t="shared" ca="1" si="165"/>
        <v>-17880268771084.328</v>
      </c>
      <c r="J4284" s="444">
        <f t="array" ref="J4284">IFERROR(INDEX('Retirement Calculator'!K:K,MATCH('Lorri 401b'!N4284,'Retirement Calculator'!A:A,0),0),0)</f>
        <v>0</v>
      </c>
      <c r="K4284" s="444">
        <f t="shared" ca="1" si="163"/>
        <v>-74501119879.518036</v>
      </c>
      <c r="L4284" s="444">
        <f t="shared" ca="1" si="164"/>
        <v>-17954769890963.848</v>
      </c>
      <c r="M4284" s="460">
        <f t="shared" si="166"/>
        <v>0.05</v>
      </c>
      <c r="N4284" s="464">
        <f t="shared" si="167"/>
        <v>181436</v>
      </c>
    </row>
    <row r="4285" spans="7:14" ht="11.25" customHeight="1" x14ac:dyDescent="0.3">
      <c r="G4285" s="459"/>
      <c r="H4285" s="459">
        <v>4278</v>
      </c>
      <c r="I4285" s="444">
        <f t="shared" ca="1" si="165"/>
        <v>-17954769890963.848</v>
      </c>
      <c r="J4285" s="444">
        <f t="array" ref="J4285">IFERROR(INDEX('Retirement Calculator'!K:K,MATCH('Lorri 401b'!N4285,'Retirement Calculator'!A:A,0),0),0)</f>
        <v>0</v>
      </c>
      <c r="K4285" s="444">
        <f t="shared" ca="1" si="163"/>
        <v>-74811541212.349365</v>
      </c>
      <c r="L4285" s="444">
        <f t="shared" ca="1" si="164"/>
        <v>-18029581432176.195</v>
      </c>
      <c r="M4285" s="460">
        <f t="shared" si="166"/>
        <v>0.05</v>
      </c>
      <c r="N4285" s="464">
        <f t="shared" si="167"/>
        <v>181467</v>
      </c>
    </row>
    <row r="4286" spans="7:14" ht="11.25" customHeight="1" x14ac:dyDescent="0.3">
      <c r="G4286" s="459"/>
      <c r="H4286" s="459">
        <v>4279</v>
      </c>
      <c r="I4286" s="444">
        <f t="shared" ca="1" si="165"/>
        <v>-18029581432176.195</v>
      </c>
      <c r="J4286" s="444">
        <f t="array" ref="J4286">IFERROR(INDEX('Retirement Calculator'!K:K,MATCH('Lorri 401b'!N4286,'Retirement Calculator'!A:A,0),0),0)</f>
        <v>0</v>
      </c>
      <c r="K4286" s="444">
        <f t="shared" ca="1" si="163"/>
        <v>-75123255967.400818</v>
      </c>
      <c r="L4286" s="444">
        <f t="shared" ca="1" si="164"/>
        <v>-18104704688143.598</v>
      </c>
      <c r="M4286" s="460">
        <f t="shared" si="166"/>
        <v>0.05</v>
      </c>
      <c r="N4286" s="464">
        <f t="shared" si="167"/>
        <v>181497</v>
      </c>
    </row>
    <row r="4287" spans="7:14" ht="11.25" customHeight="1" x14ac:dyDescent="0.3">
      <c r="G4287" s="459"/>
      <c r="H4287" s="459">
        <v>4280</v>
      </c>
      <c r="I4287" s="444">
        <f t="shared" ca="1" si="165"/>
        <v>-18104704688143.598</v>
      </c>
      <c r="J4287" s="444">
        <f t="array" ref="J4287">IFERROR(INDEX('Retirement Calculator'!K:K,MATCH('Lorri 401b'!N4287,'Retirement Calculator'!A:A,0),0),0)</f>
        <v>0</v>
      </c>
      <c r="K4287" s="444">
        <f t="shared" ca="1" si="163"/>
        <v>-75436269533.931656</v>
      </c>
      <c r="L4287" s="444">
        <f t="shared" ca="1" si="164"/>
        <v>-18180140957677.531</v>
      </c>
      <c r="M4287" s="460">
        <f t="shared" si="166"/>
        <v>0.05</v>
      </c>
      <c r="N4287" s="464">
        <f t="shared" si="167"/>
        <v>181528</v>
      </c>
    </row>
    <row r="4288" spans="7:14" ht="11.25" customHeight="1" x14ac:dyDescent="0.3">
      <c r="G4288" s="459"/>
      <c r="H4288" s="459">
        <v>4281</v>
      </c>
      <c r="I4288" s="444">
        <f t="shared" ca="1" si="165"/>
        <v>-18180140957677.531</v>
      </c>
      <c r="J4288" s="444">
        <f t="array" ref="J4288">IFERROR(INDEX('Retirement Calculator'!K:K,MATCH('Lorri 401b'!N4288,'Retirement Calculator'!A:A,0),0),0)</f>
        <v>0</v>
      </c>
      <c r="K4288" s="444">
        <f t="shared" ca="1" si="163"/>
        <v>-75750587323.656372</v>
      </c>
      <c r="L4288" s="444">
        <f t="shared" ca="1" si="164"/>
        <v>-18255891545001.188</v>
      </c>
      <c r="M4288" s="460">
        <f t="shared" si="166"/>
        <v>0.05</v>
      </c>
      <c r="N4288" s="464">
        <f t="shared" si="167"/>
        <v>181559</v>
      </c>
    </row>
    <row r="4289" spans="7:14" ht="11.25" customHeight="1" x14ac:dyDescent="0.3">
      <c r="G4289" s="459"/>
      <c r="H4289" s="459">
        <v>4282</v>
      </c>
      <c r="I4289" s="444">
        <f t="shared" ca="1" si="165"/>
        <v>-18255891545001.188</v>
      </c>
      <c r="J4289" s="444">
        <f t="array" ref="J4289">IFERROR(INDEX('Retirement Calculator'!K:K,MATCH('Lorri 401b'!N4289,'Retirement Calculator'!A:A,0),0),0)</f>
        <v>0</v>
      </c>
      <c r="K4289" s="444">
        <f t="shared" ca="1" si="163"/>
        <v>-76066214770.838287</v>
      </c>
      <c r="L4289" s="444">
        <f t="shared" ca="1" si="164"/>
        <v>-18331957759772.027</v>
      </c>
      <c r="M4289" s="460">
        <f t="shared" si="166"/>
        <v>0.05</v>
      </c>
      <c r="N4289" s="464">
        <f t="shared" si="167"/>
        <v>181587</v>
      </c>
    </row>
    <row r="4290" spans="7:14" ht="11.25" customHeight="1" x14ac:dyDescent="0.3">
      <c r="G4290" s="459"/>
      <c r="H4290" s="459">
        <v>4283</v>
      </c>
      <c r="I4290" s="444">
        <f t="shared" ca="1" si="165"/>
        <v>-18331957759772.027</v>
      </c>
      <c r="J4290" s="444">
        <f t="array" ref="J4290">IFERROR(INDEX('Retirement Calculator'!K:K,MATCH('Lorri 401b'!N4290,'Retirement Calculator'!A:A,0),0),0)</f>
        <v>0</v>
      </c>
      <c r="K4290" s="444">
        <f t="shared" ca="1" si="163"/>
        <v>-76383157332.383453</v>
      </c>
      <c r="L4290" s="444">
        <f t="shared" ca="1" si="164"/>
        <v>-18408340917104.41</v>
      </c>
      <c r="M4290" s="460">
        <f t="shared" si="166"/>
        <v>0.05</v>
      </c>
      <c r="N4290" s="464">
        <f t="shared" si="167"/>
        <v>181618</v>
      </c>
    </row>
    <row r="4291" spans="7:14" ht="11.25" customHeight="1" x14ac:dyDescent="0.3">
      <c r="G4291" s="459"/>
      <c r="H4291" s="459">
        <v>4284</v>
      </c>
      <c r="I4291" s="444">
        <f t="shared" ca="1" si="165"/>
        <v>-18408340917104.41</v>
      </c>
      <c r="J4291" s="444">
        <f t="array" ref="J4291">IFERROR(INDEX('Retirement Calculator'!K:K,MATCH('Lorri 401b'!N4291,'Retirement Calculator'!A:A,0),0),0)</f>
        <v>0</v>
      </c>
      <c r="K4291" s="444">
        <f t="shared" ca="1" si="163"/>
        <v>-76701420487.935043</v>
      </c>
      <c r="L4291" s="444">
        <f t="shared" ca="1" si="164"/>
        <v>-18485042337592.344</v>
      </c>
      <c r="M4291" s="460">
        <f t="shared" si="166"/>
        <v>0.05</v>
      </c>
      <c r="N4291" s="464">
        <f t="shared" si="167"/>
        <v>181648</v>
      </c>
    </row>
    <row r="4292" spans="7:14" ht="11.25" customHeight="1" x14ac:dyDescent="0.3">
      <c r="G4292" s="459"/>
      <c r="H4292" s="459">
        <v>4285</v>
      </c>
      <c r="I4292" s="444">
        <f t="shared" ca="1" si="165"/>
        <v>-18485042337592.344</v>
      </c>
      <c r="J4292" s="444">
        <f t="array" ref="J4292">IFERROR(INDEX('Retirement Calculator'!K:K,MATCH('Lorri 401b'!N4292,'Retirement Calculator'!A:A,0),0),0)</f>
        <v>0</v>
      </c>
      <c r="K4292" s="444">
        <f t="shared" ca="1" si="163"/>
        <v>-77021009739.968094</v>
      </c>
      <c r="L4292" s="444">
        <f t="shared" ca="1" si="164"/>
        <v>-18562063347332.313</v>
      </c>
      <c r="M4292" s="460">
        <f t="shared" si="166"/>
        <v>0.05</v>
      </c>
      <c r="N4292" s="464">
        <f t="shared" si="167"/>
        <v>181679</v>
      </c>
    </row>
    <row r="4293" spans="7:14" ht="11.25" customHeight="1" x14ac:dyDescent="0.3">
      <c r="G4293" s="459"/>
      <c r="H4293" s="459">
        <v>4286</v>
      </c>
      <c r="I4293" s="444">
        <f t="shared" ca="1" si="165"/>
        <v>-18562063347332.313</v>
      </c>
      <c r="J4293" s="444">
        <f t="array" ref="J4293">IFERROR(INDEX('Retirement Calculator'!K:K,MATCH('Lorri 401b'!N4293,'Retirement Calculator'!A:A,0),0),0)</f>
        <v>0</v>
      </c>
      <c r="K4293" s="444">
        <f t="shared" ca="1" si="163"/>
        <v>-77341930613.884628</v>
      </c>
      <c r="L4293" s="444">
        <f t="shared" ca="1" si="164"/>
        <v>-18639405277946.195</v>
      </c>
      <c r="M4293" s="460">
        <f t="shared" si="166"/>
        <v>0.05</v>
      </c>
      <c r="N4293" s="464">
        <f t="shared" si="167"/>
        <v>181709</v>
      </c>
    </row>
    <row r="4294" spans="7:14" ht="11.25" customHeight="1" x14ac:dyDescent="0.3">
      <c r="G4294" s="459"/>
      <c r="H4294" s="459">
        <v>4287</v>
      </c>
      <c r="I4294" s="444">
        <f t="shared" ca="1" si="165"/>
        <v>-18639405277946.195</v>
      </c>
      <c r="J4294" s="444">
        <f t="array" ref="J4294">IFERROR(INDEX('Retirement Calculator'!K:K,MATCH('Lorri 401b'!N4294,'Retirement Calculator'!A:A,0),0),0)</f>
        <v>0</v>
      </c>
      <c r="K4294" s="444">
        <f t="shared" ca="1" si="163"/>
        <v>-77664188658.109146</v>
      </c>
      <c r="L4294" s="444">
        <f t="shared" ca="1" si="164"/>
        <v>-18717069466604.305</v>
      </c>
      <c r="M4294" s="460">
        <f t="shared" si="166"/>
        <v>0.05</v>
      </c>
      <c r="N4294" s="464">
        <f t="shared" si="167"/>
        <v>181740</v>
      </c>
    </row>
    <row r="4295" spans="7:14" ht="11.25" customHeight="1" x14ac:dyDescent="0.3">
      <c r="G4295" s="459"/>
      <c r="H4295" s="459">
        <v>4288</v>
      </c>
      <c r="I4295" s="444">
        <f t="shared" ca="1" si="165"/>
        <v>-18717069466604.305</v>
      </c>
      <c r="J4295" s="444">
        <f t="array" ref="J4295">IFERROR(INDEX('Retirement Calculator'!K:K,MATCH('Lorri 401b'!N4295,'Retirement Calculator'!A:A,0),0),0)</f>
        <v>0</v>
      </c>
      <c r="K4295" s="444">
        <f t="shared" ca="1" si="163"/>
        <v>-77987789444.184601</v>
      </c>
      <c r="L4295" s="444">
        <f t="shared" ca="1" si="164"/>
        <v>-18795057256048.488</v>
      </c>
      <c r="M4295" s="460">
        <f t="shared" si="166"/>
        <v>0.05</v>
      </c>
      <c r="N4295" s="464">
        <f t="shared" si="167"/>
        <v>181771</v>
      </c>
    </row>
    <row r="4296" spans="7:14" ht="11.25" customHeight="1" x14ac:dyDescent="0.3">
      <c r="G4296" s="459"/>
      <c r="H4296" s="459">
        <v>4289</v>
      </c>
      <c r="I4296" s="444">
        <f t="shared" ca="1" si="165"/>
        <v>-18795057256048.488</v>
      </c>
      <c r="J4296" s="444">
        <f t="array" ref="J4296">IFERROR(INDEX('Retirement Calculator'!K:K,MATCH('Lorri 401b'!N4296,'Retirement Calculator'!A:A,0),0),0)</f>
        <v>0</v>
      </c>
      <c r="K4296" s="444">
        <f t="shared" ca="1" si="163"/>
        <v>-78312738566.868698</v>
      </c>
      <c r="L4296" s="444">
        <f t="shared" ca="1" si="164"/>
        <v>-18873369994615.355</v>
      </c>
      <c r="M4296" s="460">
        <f t="shared" si="166"/>
        <v>0.05</v>
      </c>
      <c r="N4296" s="464">
        <f t="shared" si="167"/>
        <v>181801</v>
      </c>
    </row>
    <row r="4297" spans="7:14" ht="11.25" customHeight="1" x14ac:dyDescent="0.3">
      <c r="G4297" s="459"/>
      <c r="H4297" s="459">
        <v>4290</v>
      </c>
      <c r="I4297" s="444">
        <f t="shared" ca="1" si="165"/>
        <v>-18873369994615.355</v>
      </c>
      <c r="J4297" s="444">
        <f t="array" ref="J4297">IFERROR(INDEX('Retirement Calculator'!K:K,MATCH('Lorri 401b'!N4297,'Retirement Calculator'!A:A,0),0),0)</f>
        <v>0</v>
      </c>
      <c r="K4297" s="444">
        <f t="shared" ca="1" si="163"/>
        <v>-78639041644.230652</v>
      </c>
      <c r="L4297" s="444">
        <f t="shared" ca="1" si="164"/>
        <v>-18952009036259.586</v>
      </c>
      <c r="M4297" s="460">
        <f t="shared" si="166"/>
        <v>0.05</v>
      </c>
      <c r="N4297" s="464">
        <f t="shared" si="167"/>
        <v>181832</v>
      </c>
    </row>
    <row r="4298" spans="7:14" ht="11.25" customHeight="1" x14ac:dyDescent="0.3">
      <c r="G4298" s="459"/>
      <c r="H4298" s="459">
        <v>4291</v>
      </c>
      <c r="I4298" s="444">
        <f t="shared" ca="1" si="165"/>
        <v>-18952009036259.586</v>
      </c>
      <c r="J4298" s="444">
        <f t="array" ref="J4298">IFERROR(INDEX('Retirement Calculator'!K:K,MATCH('Lorri 401b'!N4298,'Retirement Calculator'!A:A,0),0),0)</f>
        <v>0</v>
      </c>
      <c r="K4298" s="444">
        <f t="shared" ca="1" si="163"/>
        <v>-78966704317.748276</v>
      </c>
      <c r="L4298" s="444">
        <f t="shared" ca="1" si="164"/>
        <v>-19030975740577.336</v>
      </c>
      <c r="M4298" s="460">
        <f t="shared" si="166"/>
        <v>0.05</v>
      </c>
      <c r="N4298" s="464">
        <f t="shared" si="167"/>
        <v>181862</v>
      </c>
    </row>
    <row r="4299" spans="7:14" ht="11.25" customHeight="1" x14ac:dyDescent="0.3">
      <c r="G4299" s="459"/>
      <c r="H4299" s="459">
        <v>4292</v>
      </c>
      <c r="I4299" s="444">
        <f t="shared" ca="1" si="165"/>
        <v>-19030975740577.336</v>
      </c>
      <c r="J4299" s="444">
        <f t="array" ref="J4299">IFERROR(INDEX('Retirement Calculator'!K:K,MATCH('Lorri 401b'!N4299,'Retirement Calculator'!A:A,0),0),0)</f>
        <v>0</v>
      </c>
      <c r="K4299" s="444">
        <f t="shared" ca="1" si="163"/>
        <v>-79295732252.405563</v>
      </c>
      <c r="L4299" s="444">
        <f t="shared" ca="1" si="164"/>
        <v>-19110271472829.742</v>
      </c>
      <c r="M4299" s="460">
        <f t="shared" si="166"/>
        <v>0.05</v>
      </c>
      <c r="N4299" s="464">
        <f t="shared" si="167"/>
        <v>181893</v>
      </c>
    </row>
    <row r="4300" spans="7:14" ht="11.25" customHeight="1" x14ac:dyDescent="0.3">
      <c r="G4300" s="459"/>
      <c r="H4300" s="459">
        <v>4293</v>
      </c>
      <c r="I4300" s="444">
        <f t="shared" ca="1" si="165"/>
        <v>-19110271472829.742</v>
      </c>
      <c r="J4300" s="444">
        <f t="array" ref="J4300">IFERROR(INDEX('Retirement Calculator'!K:K,MATCH('Lorri 401b'!N4300,'Retirement Calculator'!A:A,0),0),0)</f>
        <v>0</v>
      </c>
      <c r="K4300" s="444">
        <f t="shared" ca="1" si="163"/>
        <v>-79626131136.790588</v>
      </c>
      <c r="L4300" s="444">
        <f t="shared" ca="1" si="164"/>
        <v>-19189897603966.531</v>
      </c>
      <c r="M4300" s="460">
        <f t="shared" si="166"/>
        <v>0.05</v>
      </c>
      <c r="N4300" s="464">
        <f t="shared" si="167"/>
        <v>181924</v>
      </c>
    </row>
    <row r="4301" spans="7:14" ht="11.25" customHeight="1" x14ac:dyDescent="0.3">
      <c r="G4301" s="459"/>
      <c r="H4301" s="459">
        <v>4294</v>
      </c>
      <c r="I4301" s="444">
        <f t="shared" ca="1" si="165"/>
        <v>-19189897603966.531</v>
      </c>
      <c r="J4301" s="444">
        <f t="array" ref="J4301">IFERROR(INDEX('Retirement Calculator'!K:K,MATCH('Lorri 401b'!N4301,'Retirement Calculator'!A:A,0),0),0)</f>
        <v>0</v>
      </c>
      <c r="K4301" s="444">
        <f t="shared" ca="1" si="163"/>
        <v>-79957906683.193878</v>
      </c>
      <c r="L4301" s="444">
        <f t="shared" ca="1" si="164"/>
        <v>-19269855510649.727</v>
      </c>
      <c r="M4301" s="460">
        <f t="shared" si="166"/>
        <v>0.05</v>
      </c>
      <c r="N4301" s="464">
        <f t="shared" si="167"/>
        <v>181952</v>
      </c>
    </row>
    <row r="4302" spans="7:14" ht="11.25" customHeight="1" x14ac:dyDescent="0.3">
      <c r="G4302" s="459"/>
      <c r="H4302" s="459">
        <v>4295</v>
      </c>
      <c r="I4302" s="444">
        <f t="shared" ca="1" si="165"/>
        <v>-19269855510649.727</v>
      </c>
      <c r="J4302" s="444">
        <f t="array" ref="J4302">IFERROR(INDEX('Retirement Calculator'!K:K,MATCH('Lorri 401b'!N4302,'Retirement Calculator'!A:A,0),0),0)</f>
        <v>0</v>
      </c>
      <c r="K4302" s="444">
        <f t="shared" ca="1" si="163"/>
        <v>-80291064627.707199</v>
      </c>
      <c r="L4302" s="444">
        <f t="shared" ca="1" si="164"/>
        <v>-19350146575277.434</v>
      </c>
      <c r="M4302" s="460">
        <f t="shared" si="166"/>
        <v>0.05</v>
      </c>
      <c r="N4302" s="464">
        <f t="shared" si="167"/>
        <v>181983</v>
      </c>
    </row>
    <row r="4303" spans="7:14" ht="11.25" customHeight="1" x14ac:dyDescent="0.3">
      <c r="G4303" s="459"/>
      <c r="H4303" s="459">
        <v>4296</v>
      </c>
      <c r="I4303" s="444">
        <f t="shared" ca="1" si="165"/>
        <v>-19350146575277.434</v>
      </c>
      <c r="J4303" s="444">
        <f t="array" ref="J4303">IFERROR(INDEX('Retirement Calculator'!K:K,MATCH('Lorri 401b'!N4303,'Retirement Calculator'!A:A,0),0),0)</f>
        <v>0</v>
      </c>
      <c r="K4303" s="444">
        <f t="shared" ca="1" si="163"/>
        <v>-80625610730.322632</v>
      </c>
      <c r="L4303" s="444">
        <f t="shared" ca="1" si="164"/>
        <v>-19430772186007.758</v>
      </c>
      <c r="M4303" s="460">
        <f t="shared" si="166"/>
        <v>0.05</v>
      </c>
      <c r="N4303" s="464">
        <f t="shared" si="167"/>
        <v>182013</v>
      </c>
    </row>
    <row r="4304" spans="7:14" ht="11.25" customHeight="1" x14ac:dyDescent="0.3">
      <c r="G4304" s="459"/>
      <c r="H4304" s="459">
        <v>4297</v>
      </c>
      <c r="I4304" s="444">
        <f t="shared" ca="1" si="165"/>
        <v>-19430772186007.758</v>
      </c>
      <c r="J4304" s="444">
        <f t="array" ref="J4304">IFERROR(INDEX('Retirement Calculator'!K:K,MATCH('Lorri 401b'!N4304,'Retirement Calculator'!A:A,0),0),0)</f>
        <v>0</v>
      </c>
      <c r="K4304" s="444">
        <f t="shared" ca="1" si="163"/>
        <v>-80961550775.032318</v>
      </c>
      <c r="L4304" s="444">
        <f t="shared" ca="1" si="164"/>
        <v>-19511733736782.789</v>
      </c>
      <c r="M4304" s="460">
        <f t="shared" si="166"/>
        <v>0.05</v>
      </c>
      <c r="N4304" s="464">
        <f t="shared" si="167"/>
        <v>182044</v>
      </c>
    </row>
    <row r="4305" spans="7:14" ht="11.25" customHeight="1" x14ac:dyDescent="0.3">
      <c r="G4305" s="459"/>
      <c r="H4305" s="459">
        <v>4298</v>
      </c>
      <c r="I4305" s="444">
        <f t="shared" ca="1" si="165"/>
        <v>-19511733736782.789</v>
      </c>
      <c r="J4305" s="444">
        <f t="array" ref="J4305">IFERROR(INDEX('Retirement Calculator'!K:K,MATCH('Lorri 401b'!N4305,'Retirement Calculator'!A:A,0),0),0)</f>
        <v>0</v>
      </c>
      <c r="K4305" s="444">
        <f t="shared" ca="1" si="163"/>
        <v>-81298890569.928284</v>
      </c>
      <c r="L4305" s="444">
        <f t="shared" ca="1" si="164"/>
        <v>-19593032627352.719</v>
      </c>
      <c r="M4305" s="460">
        <f t="shared" si="166"/>
        <v>0.05</v>
      </c>
      <c r="N4305" s="464">
        <f t="shared" si="167"/>
        <v>182074</v>
      </c>
    </row>
    <row r="4306" spans="7:14" ht="11.25" customHeight="1" x14ac:dyDescent="0.3">
      <c r="G4306" s="459"/>
      <c r="H4306" s="459">
        <v>4299</v>
      </c>
      <c r="I4306" s="444">
        <f t="shared" ca="1" si="165"/>
        <v>-19593032627352.719</v>
      </c>
      <c r="J4306" s="444">
        <f t="array" ref="J4306">IFERROR(INDEX('Retirement Calculator'!K:K,MATCH('Lorri 401b'!N4306,'Retirement Calculator'!A:A,0),0),0)</f>
        <v>0</v>
      </c>
      <c r="K4306" s="444">
        <f t="shared" ca="1" si="163"/>
        <v>-81637635947.302994</v>
      </c>
      <c r="L4306" s="444">
        <f t="shared" ca="1" si="164"/>
        <v>-19674670263300.023</v>
      </c>
      <c r="M4306" s="460">
        <f t="shared" si="166"/>
        <v>0.05</v>
      </c>
      <c r="N4306" s="464">
        <f t="shared" si="167"/>
        <v>182105</v>
      </c>
    </row>
    <row r="4307" spans="7:14" ht="11.25" customHeight="1" x14ac:dyDescent="0.3">
      <c r="G4307" s="459"/>
      <c r="H4307" s="459">
        <v>4300</v>
      </c>
      <c r="I4307" s="444">
        <f t="shared" ca="1" si="165"/>
        <v>-19674670263300.023</v>
      </c>
      <c r="J4307" s="444">
        <f t="array" ref="J4307">IFERROR(INDEX('Retirement Calculator'!K:K,MATCH('Lorri 401b'!N4307,'Retirement Calculator'!A:A,0),0),0)</f>
        <v>0</v>
      </c>
      <c r="K4307" s="444">
        <f t="shared" ca="1" si="163"/>
        <v>-81977792763.750092</v>
      </c>
      <c r="L4307" s="444">
        <f t="shared" ca="1" si="164"/>
        <v>-19756648056063.773</v>
      </c>
      <c r="M4307" s="460">
        <f t="shared" si="166"/>
        <v>0.05</v>
      </c>
      <c r="N4307" s="464">
        <f t="shared" si="167"/>
        <v>182136</v>
      </c>
    </row>
    <row r="4308" spans="7:14" ht="11.25" customHeight="1" x14ac:dyDescent="0.3">
      <c r="G4308" s="459"/>
      <c r="H4308" s="459">
        <v>4301</v>
      </c>
      <c r="I4308" s="444">
        <f t="shared" ca="1" si="165"/>
        <v>-19756648056063.773</v>
      </c>
      <c r="J4308" s="444">
        <f t="array" ref="J4308">IFERROR(INDEX('Retirement Calculator'!K:K,MATCH('Lorri 401b'!N4308,'Retirement Calculator'!A:A,0),0),0)</f>
        <v>0</v>
      </c>
      <c r="K4308" s="444">
        <f t="shared" ca="1" si="163"/>
        <v>-82319366900.265717</v>
      </c>
      <c r="L4308" s="444">
        <f t="shared" ca="1" si="164"/>
        <v>-19838967422964.039</v>
      </c>
      <c r="M4308" s="460">
        <f t="shared" si="166"/>
        <v>0.05</v>
      </c>
      <c r="N4308" s="464">
        <f t="shared" si="167"/>
        <v>182166</v>
      </c>
    </row>
    <row r="4309" spans="7:14" ht="11.25" customHeight="1" x14ac:dyDescent="0.3">
      <c r="G4309" s="459"/>
      <c r="H4309" s="459">
        <v>4302</v>
      </c>
      <c r="I4309" s="444">
        <f t="shared" ca="1" si="165"/>
        <v>-19838967422964.039</v>
      </c>
      <c r="J4309" s="444">
        <f t="array" ref="J4309">IFERROR(INDEX('Retirement Calculator'!K:K,MATCH('Lorri 401b'!N4309,'Retirement Calculator'!A:A,0),0),0)</f>
        <v>0</v>
      </c>
      <c r="K4309" s="444">
        <f t="shared" ca="1" si="163"/>
        <v>-82662364262.350159</v>
      </c>
      <c r="L4309" s="444">
        <f t="shared" ca="1" si="164"/>
        <v>-19921629787226.391</v>
      </c>
      <c r="M4309" s="460">
        <f t="shared" si="166"/>
        <v>0.05</v>
      </c>
      <c r="N4309" s="464">
        <f t="shared" si="167"/>
        <v>182197</v>
      </c>
    </row>
    <row r="4310" spans="7:14" ht="11.25" customHeight="1" x14ac:dyDescent="0.3">
      <c r="G4310" s="459"/>
      <c r="H4310" s="459">
        <v>4303</v>
      </c>
      <c r="I4310" s="444">
        <f t="shared" ca="1" si="165"/>
        <v>-19921629787226.391</v>
      </c>
      <c r="J4310" s="444">
        <f t="array" ref="J4310">IFERROR(INDEX('Retirement Calculator'!K:K,MATCH('Lorri 401b'!N4310,'Retirement Calculator'!A:A,0),0),0)</f>
        <v>0</v>
      </c>
      <c r="K4310" s="444">
        <f t="shared" ca="1" si="163"/>
        <v>-83006790780.109955</v>
      </c>
      <c r="L4310" s="444">
        <f t="shared" ca="1" si="164"/>
        <v>-20004636578006.5</v>
      </c>
      <c r="M4310" s="460">
        <f t="shared" si="166"/>
        <v>0.05</v>
      </c>
      <c r="N4310" s="464">
        <f t="shared" si="167"/>
        <v>182227</v>
      </c>
    </row>
    <row r="4311" spans="7:14" ht="11.25" customHeight="1" x14ac:dyDescent="0.3">
      <c r="G4311" s="459"/>
      <c r="H4311" s="459">
        <v>4304</v>
      </c>
      <c r="I4311" s="444">
        <f t="shared" ca="1" si="165"/>
        <v>-20004636578006.5</v>
      </c>
      <c r="J4311" s="444">
        <f t="array" ref="J4311">IFERROR(INDEX('Retirement Calculator'!K:K,MATCH('Lorri 401b'!N4311,'Retirement Calculator'!A:A,0),0),0)</f>
        <v>0</v>
      </c>
      <c r="K4311" s="444">
        <f t="shared" ca="1" si="163"/>
        <v>-83352652408.360413</v>
      </c>
      <c r="L4311" s="444">
        <f t="shared" ca="1" si="164"/>
        <v>-20087989230414.859</v>
      </c>
      <c r="M4311" s="460">
        <f t="shared" si="166"/>
        <v>0.05</v>
      </c>
      <c r="N4311" s="464">
        <f t="shared" si="167"/>
        <v>182258</v>
      </c>
    </row>
    <row r="4312" spans="7:14" ht="11.25" customHeight="1" x14ac:dyDescent="0.3">
      <c r="G4312" s="459"/>
      <c r="H4312" s="459">
        <v>4305</v>
      </c>
      <c r="I4312" s="444">
        <f t="shared" ca="1" si="165"/>
        <v>-20087989230414.859</v>
      </c>
      <c r="J4312" s="444">
        <f t="array" ref="J4312">IFERROR(INDEX('Retirement Calculator'!K:K,MATCH('Lorri 401b'!N4312,'Retirement Calculator'!A:A,0),0),0)</f>
        <v>0</v>
      </c>
      <c r="K4312" s="444">
        <f t="shared" ca="1" si="163"/>
        <v>-83699955126.728577</v>
      </c>
      <c r="L4312" s="444">
        <f t="shared" ca="1" si="164"/>
        <v>-20171689185541.59</v>
      </c>
      <c r="M4312" s="460">
        <f t="shared" si="166"/>
        <v>0.05</v>
      </c>
      <c r="N4312" s="464">
        <f t="shared" si="167"/>
        <v>182289</v>
      </c>
    </row>
    <row r="4313" spans="7:14" ht="11.25" customHeight="1" x14ac:dyDescent="0.3">
      <c r="G4313" s="459"/>
      <c r="H4313" s="459">
        <v>4306</v>
      </c>
      <c r="I4313" s="444">
        <f t="shared" ca="1" si="165"/>
        <v>-20171689185541.59</v>
      </c>
      <c r="J4313" s="444">
        <f t="array" ref="J4313">IFERROR(INDEX('Retirement Calculator'!K:K,MATCH('Lorri 401b'!N4313,'Retirement Calculator'!A:A,0),0),0)</f>
        <v>0</v>
      </c>
      <c r="K4313" s="444">
        <f t="shared" ca="1" si="163"/>
        <v>-84048704939.756622</v>
      </c>
      <c r="L4313" s="444">
        <f t="shared" ca="1" si="164"/>
        <v>-20255737890481.348</v>
      </c>
      <c r="M4313" s="460">
        <f t="shared" si="166"/>
        <v>0.05</v>
      </c>
      <c r="N4313" s="464">
        <f t="shared" si="167"/>
        <v>182317</v>
      </c>
    </row>
    <row r="4314" spans="7:14" ht="11.25" customHeight="1" x14ac:dyDescent="0.3">
      <c r="G4314" s="459"/>
      <c r="H4314" s="459">
        <v>4307</v>
      </c>
      <c r="I4314" s="444">
        <f t="shared" ca="1" si="165"/>
        <v>-20255737890481.348</v>
      </c>
      <c r="J4314" s="444">
        <f t="array" ref="J4314">IFERROR(INDEX('Retirement Calculator'!K:K,MATCH('Lorri 401b'!N4314,'Retirement Calculator'!A:A,0),0),0)</f>
        <v>0</v>
      </c>
      <c r="K4314" s="444">
        <f t="shared" ca="1" si="163"/>
        <v>-84398907877.005615</v>
      </c>
      <c r="L4314" s="444">
        <f t="shared" ca="1" si="164"/>
        <v>-20340136798358.352</v>
      </c>
      <c r="M4314" s="460">
        <f t="shared" si="166"/>
        <v>0.05</v>
      </c>
      <c r="N4314" s="464">
        <f t="shared" si="167"/>
        <v>182348</v>
      </c>
    </row>
    <row r="4315" spans="7:14" ht="11.25" customHeight="1" x14ac:dyDescent="0.3">
      <c r="G4315" s="459"/>
      <c r="H4315" s="459">
        <v>4308</v>
      </c>
      <c r="I4315" s="444">
        <f t="shared" ca="1" si="165"/>
        <v>-20340136798358.352</v>
      </c>
      <c r="J4315" s="444">
        <f t="array" ref="J4315">IFERROR(INDEX('Retirement Calculator'!K:K,MATCH('Lorri 401b'!N4315,'Retirement Calculator'!A:A,0),0),0)</f>
        <v>0</v>
      </c>
      <c r="K4315" s="444">
        <f t="shared" ca="1" si="163"/>
        <v>-84750569993.15979</v>
      </c>
      <c r="L4315" s="444">
        <f t="shared" ca="1" si="164"/>
        <v>-20424887368351.512</v>
      </c>
      <c r="M4315" s="460">
        <f t="shared" si="166"/>
        <v>0.05</v>
      </c>
      <c r="N4315" s="464">
        <f t="shared" si="167"/>
        <v>182378</v>
      </c>
    </row>
    <row r="4316" spans="7:14" ht="11.25" customHeight="1" x14ac:dyDescent="0.3">
      <c r="G4316" s="459"/>
      <c r="H4316" s="459">
        <v>4309</v>
      </c>
      <c r="I4316" s="444">
        <f t="shared" ca="1" si="165"/>
        <v>-20424887368351.512</v>
      </c>
      <c r="J4316" s="444">
        <f t="array" ref="J4316">IFERROR(INDEX('Retirement Calculator'!K:K,MATCH('Lorri 401b'!N4316,'Retirement Calculator'!A:A,0),0),0)</f>
        <v>0</v>
      </c>
      <c r="K4316" s="444">
        <f t="shared" ca="1" si="163"/>
        <v>-85103697368.131302</v>
      </c>
      <c r="L4316" s="444">
        <f t="shared" ca="1" si="164"/>
        <v>-20509991065719.645</v>
      </c>
      <c r="M4316" s="460">
        <f t="shared" si="166"/>
        <v>0.05</v>
      </c>
      <c r="N4316" s="464">
        <f t="shared" si="167"/>
        <v>182409</v>
      </c>
    </row>
    <row r="4317" spans="7:14" ht="11.25" customHeight="1" x14ac:dyDescent="0.3">
      <c r="G4317" s="459"/>
      <c r="H4317" s="459">
        <v>4310</v>
      </c>
      <c r="I4317" s="444">
        <f t="shared" ca="1" si="165"/>
        <v>-20509991065719.645</v>
      </c>
      <c r="J4317" s="444">
        <f t="array" ref="J4317">IFERROR(INDEX('Retirement Calculator'!K:K,MATCH('Lorri 401b'!N4317,'Retirement Calculator'!A:A,0),0),0)</f>
        <v>0</v>
      </c>
      <c r="K4317" s="444">
        <f t="shared" ca="1" si="163"/>
        <v>-85458296107.165192</v>
      </c>
      <c r="L4317" s="444">
        <f t="shared" ca="1" si="164"/>
        <v>-20595449361826.809</v>
      </c>
      <c r="M4317" s="460">
        <f t="shared" si="166"/>
        <v>0.05</v>
      </c>
      <c r="N4317" s="464">
        <f t="shared" si="167"/>
        <v>182439</v>
      </c>
    </row>
    <row r="4318" spans="7:14" ht="11.25" customHeight="1" x14ac:dyDescent="0.3">
      <c r="G4318" s="459"/>
      <c r="H4318" s="459">
        <v>4311</v>
      </c>
      <c r="I4318" s="444">
        <f t="shared" ca="1" si="165"/>
        <v>-20595449361826.809</v>
      </c>
      <c r="J4318" s="444">
        <f t="array" ref="J4318">IFERROR(INDEX('Retirement Calculator'!K:K,MATCH('Lorri 401b'!N4318,'Retirement Calculator'!A:A,0),0),0)</f>
        <v>0</v>
      </c>
      <c r="K4318" s="444">
        <f t="shared" ca="1" si="163"/>
        <v>-85814372340.945038</v>
      </c>
      <c r="L4318" s="444">
        <f t="shared" ca="1" si="164"/>
        <v>-20681263734167.754</v>
      </c>
      <c r="M4318" s="460">
        <f t="shared" si="166"/>
        <v>0.05</v>
      </c>
      <c r="N4318" s="464">
        <f t="shared" si="167"/>
        <v>182470</v>
      </c>
    </row>
    <row r="4319" spans="7:14" ht="11.25" customHeight="1" x14ac:dyDescent="0.3">
      <c r="G4319" s="459"/>
      <c r="H4319" s="459">
        <v>4312</v>
      </c>
      <c r="I4319" s="444">
        <f t="shared" ca="1" si="165"/>
        <v>-20681263734167.754</v>
      </c>
      <c r="J4319" s="444">
        <f t="array" ref="J4319">IFERROR(INDEX('Retirement Calculator'!K:K,MATCH('Lorri 401b'!N4319,'Retirement Calculator'!A:A,0),0),0)</f>
        <v>0</v>
      </c>
      <c r="K4319" s="444">
        <f t="shared" ca="1" si="163"/>
        <v>-86171932225.698975</v>
      </c>
      <c r="L4319" s="444">
        <f t="shared" ca="1" si="164"/>
        <v>-20767435666393.453</v>
      </c>
      <c r="M4319" s="460">
        <f t="shared" si="166"/>
        <v>0.05</v>
      </c>
      <c r="N4319" s="464">
        <f t="shared" si="167"/>
        <v>182501</v>
      </c>
    </row>
    <row r="4320" spans="7:14" ht="11.25" customHeight="1" x14ac:dyDescent="0.3">
      <c r="G4320" s="459"/>
      <c r="H4320" s="459">
        <v>4313</v>
      </c>
      <c r="I4320" s="444">
        <f t="shared" ca="1" si="165"/>
        <v>-20767435666393.453</v>
      </c>
      <c r="J4320" s="444">
        <f t="array" ref="J4320">IFERROR(INDEX('Retirement Calculator'!K:K,MATCH('Lorri 401b'!N4320,'Retirement Calculator'!A:A,0),0),0)</f>
        <v>0</v>
      </c>
      <c r="K4320" s="444">
        <f t="shared" ca="1" si="163"/>
        <v>-86530981943.306061</v>
      </c>
      <c r="L4320" s="444">
        <f t="shared" ca="1" si="164"/>
        <v>-20853966648336.758</v>
      </c>
      <c r="M4320" s="460">
        <f t="shared" si="166"/>
        <v>0.05</v>
      </c>
      <c r="N4320" s="464">
        <f t="shared" si="167"/>
        <v>182531</v>
      </c>
    </row>
    <row r="4321" spans="7:14" ht="11.25" customHeight="1" x14ac:dyDescent="0.3">
      <c r="G4321" s="459"/>
      <c r="H4321" s="459">
        <v>4314</v>
      </c>
      <c r="I4321" s="444">
        <f t="shared" ca="1" si="165"/>
        <v>-20853966648336.758</v>
      </c>
      <c r="J4321" s="444">
        <f t="array" ref="J4321">IFERROR(INDEX('Retirement Calculator'!K:K,MATCH('Lorri 401b'!N4321,'Retirement Calculator'!A:A,0),0),0)</f>
        <v>0</v>
      </c>
      <c r="K4321" s="444">
        <f t="shared" ca="1" si="163"/>
        <v>-86891527701.403152</v>
      </c>
      <c r="L4321" s="444">
        <f t="shared" ca="1" si="164"/>
        <v>-20940858176038.16</v>
      </c>
      <c r="M4321" s="460">
        <f t="shared" si="166"/>
        <v>0.05</v>
      </c>
      <c r="N4321" s="464">
        <f t="shared" si="167"/>
        <v>182562</v>
      </c>
    </row>
    <row r="4322" spans="7:14" ht="11.25" customHeight="1" x14ac:dyDescent="0.3">
      <c r="G4322" s="459"/>
      <c r="H4322" s="459">
        <v>4315</v>
      </c>
      <c r="I4322" s="444">
        <f t="shared" ca="1" si="165"/>
        <v>-20940858176038.16</v>
      </c>
      <c r="J4322" s="444">
        <f t="array" ref="J4322">IFERROR(INDEX('Retirement Calculator'!K:K,MATCH('Lorri 401b'!N4322,'Retirement Calculator'!A:A,0),0),0)</f>
        <v>0</v>
      </c>
      <c r="K4322" s="444">
        <f t="shared" ca="1" si="163"/>
        <v>-87253575733.49234</v>
      </c>
      <c r="L4322" s="444">
        <f t="shared" ca="1" si="164"/>
        <v>-21028111751771.652</v>
      </c>
      <c r="M4322" s="460">
        <f t="shared" si="166"/>
        <v>0.05</v>
      </c>
      <c r="N4322" s="464">
        <f t="shared" si="167"/>
        <v>182592</v>
      </c>
    </row>
    <row r="4323" spans="7:14" ht="11.25" customHeight="1" x14ac:dyDescent="0.3">
      <c r="G4323" s="459"/>
      <c r="H4323" s="459">
        <v>4316</v>
      </c>
      <c r="I4323" s="444">
        <f t="shared" ca="1" si="165"/>
        <v>-21028111751771.652</v>
      </c>
      <c r="J4323" s="444">
        <f t="array" ref="J4323">IFERROR(INDEX('Retirement Calculator'!K:K,MATCH('Lorri 401b'!N4323,'Retirement Calculator'!A:A,0),0),0)</f>
        <v>0</v>
      </c>
      <c r="K4323" s="444">
        <f t="shared" ca="1" si="163"/>
        <v>-87617132299.048553</v>
      </c>
      <c r="L4323" s="444">
        <f t="shared" ca="1" si="164"/>
        <v>-21115728884070.699</v>
      </c>
      <c r="M4323" s="460">
        <f t="shared" si="166"/>
        <v>0.05</v>
      </c>
      <c r="N4323" s="464">
        <f t="shared" si="167"/>
        <v>182623</v>
      </c>
    </row>
    <row r="4324" spans="7:14" ht="11.25" customHeight="1" x14ac:dyDescent="0.3">
      <c r="G4324" s="459"/>
      <c r="H4324" s="459">
        <v>4317</v>
      </c>
      <c r="I4324" s="444">
        <f t="shared" ca="1" si="165"/>
        <v>-21115728884070.699</v>
      </c>
      <c r="J4324" s="444">
        <f t="array" ref="J4324">IFERROR(INDEX('Retirement Calculator'!K:K,MATCH('Lorri 401b'!N4324,'Retirement Calculator'!A:A,0),0),0)</f>
        <v>0</v>
      </c>
      <c r="K4324" s="444">
        <f t="shared" ca="1" si="163"/>
        <v>-87982203683.627914</v>
      </c>
      <c r="L4324" s="444">
        <f t="shared" ca="1" si="164"/>
        <v>-21203711087754.328</v>
      </c>
      <c r="M4324" s="460">
        <f t="shared" si="166"/>
        <v>0.05</v>
      </c>
      <c r="N4324" s="464">
        <f t="shared" si="167"/>
        <v>182654</v>
      </c>
    </row>
    <row r="4325" spans="7:14" ht="11.25" customHeight="1" x14ac:dyDescent="0.3">
      <c r="G4325" s="459"/>
      <c r="H4325" s="459">
        <v>4318</v>
      </c>
      <c r="I4325" s="444">
        <f t="shared" ca="1" si="165"/>
        <v>-21203711087754.328</v>
      </c>
      <c r="J4325" s="444">
        <f t="array" ref="J4325">IFERROR(INDEX('Retirement Calculator'!K:K,MATCH('Lorri 401b'!N4325,'Retirement Calculator'!A:A,0),0),0)</f>
        <v>0</v>
      </c>
      <c r="K4325" s="444">
        <f t="shared" ca="1" si="163"/>
        <v>-88348796198.976364</v>
      </c>
      <c r="L4325" s="444">
        <f t="shared" ca="1" si="164"/>
        <v>-21292059883953.305</v>
      </c>
      <c r="M4325" s="460">
        <f t="shared" si="166"/>
        <v>0.05</v>
      </c>
      <c r="N4325" s="464">
        <f t="shared" si="167"/>
        <v>182683</v>
      </c>
    </row>
    <row r="4326" spans="7:14" ht="11.25" customHeight="1" x14ac:dyDescent="0.3">
      <c r="G4326" s="459"/>
      <c r="H4326" s="459">
        <v>4319</v>
      </c>
      <c r="I4326" s="444">
        <f t="shared" ca="1" si="165"/>
        <v>-21292059883953.305</v>
      </c>
      <c r="J4326" s="444">
        <f t="array" ref="J4326">IFERROR(INDEX('Retirement Calculator'!K:K,MATCH('Lorri 401b'!N4326,'Retirement Calculator'!A:A,0),0),0)</f>
        <v>0</v>
      </c>
      <c r="K4326" s="444">
        <f t="shared" ca="1" si="163"/>
        <v>-88716916183.138763</v>
      </c>
      <c r="L4326" s="444">
        <f t="shared" ca="1" si="164"/>
        <v>-21380776800136.445</v>
      </c>
      <c r="M4326" s="460">
        <f t="shared" si="166"/>
        <v>0.05</v>
      </c>
      <c r="N4326" s="464">
        <f t="shared" si="167"/>
        <v>182714</v>
      </c>
    </row>
    <row r="4327" spans="7:14" ht="11.25" customHeight="1" x14ac:dyDescent="0.3">
      <c r="G4327" s="459"/>
      <c r="H4327" s="459">
        <v>4320</v>
      </c>
      <c r="I4327" s="444">
        <f t="shared" ca="1" si="165"/>
        <v>-21380776800136.445</v>
      </c>
      <c r="J4327" s="444">
        <f t="array" ref="J4327">IFERROR(INDEX('Retirement Calculator'!K:K,MATCH('Lorri 401b'!N4327,'Retirement Calculator'!A:A,0),0),0)</f>
        <v>0</v>
      </c>
      <c r="K4327" s="444">
        <f t="shared" ca="1" si="163"/>
        <v>-89086570000.568527</v>
      </c>
      <c r="L4327" s="444">
        <f t="shared" ca="1" si="164"/>
        <v>-21469863370137.016</v>
      </c>
      <c r="M4327" s="460">
        <f t="shared" si="166"/>
        <v>0.05</v>
      </c>
      <c r="N4327" s="464">
        <f t="shared" si="167"/>
        <v>182744</v>
      </c>
    </row>
    <row r="4328" spans="7:14" ht="11.25" customHeight="1" x14ac:dyDescent="0.3">
      <c r="G4328" s="459"/>
      <c r="H4328" s="459">
        <v>4321</v>
      </c>
      <c r="I4328" s="444">
        <f t="shared" ca="1" si="165"/>
        <v>-21469863370137.016</v>
      </c>
      <c r="J4328" s="444">
        <f t="array" ref="J4328">IFERROR(INDEX('Retirement Calculator'!K:K,MATCH('Lorri 401b'!N4328,'Retirement Calculator'!A:A,0),0),0)</f>
        <v>0</v>
      </c>
      <c r="K4328" s="444">
        <f t="shared" ca="1" si="163"/>
        <v>-89457764042.237564</v>
      </c>
      <c r="L4328" s="444">
        <f t="shared" ca="1" si="164"/>
        <v>-21559321134179.254</v>
      </c>
      <c r="M4328" s="460">
        <f t="shared" si="166"/>
        <v>0.05</v>
      </c>
      <c r="N4328" s="464">
        <f t="shared" si="167"/>
        <v>182775</v>
      </c>
    </row>
    <row r="4329" spans="7:14" ht="11.25" customHeight="1" x14ac:dyDescent="0.3">
      <c r="G4329" s="459"/>
      <c r="H4329" s="459">
        <v>4322</v>
      </c>
      <c r="I4329" s="444">
        <f t="shared" ca="1" si="165"/>
        <v>-21559321134179.254</v>
      </c>
      <c r="J4329" s="444">
        <f t="array" ref="J4329">IFERROR(INDEX('Retirement Calculator'!K:K,MATCH('Lorri 401b'!N4329,'Retirement Calculator'!A:A,0),0),0)</f>
        <v>0</v>
      </c>
      <c r="K4329" s="444">
        <f t="shared" ca="1" si="163"/>
        <v>-89830504725.746887</v>
      </c>
      <c r="L4329" s="444">
        <f t="shared" ca="1" si="164"/>
        <v>-21649151638905</v>
      </c>
      <c r="M4329" s="460">
        <f t="shared" si="166"/>
        <v>0.05</v>
      </c>
      <c r="N4329" s="464">
        <f t="shared" si="167"/>
        <v>182805</v>
      </c>
    </row>
    <row r="4330" spans="7:14" ht="11.25" customHeight="1" x14ac:dyDescent="0.3">
      <c r="G4330" s="459"/>
      <c r="H4330" s="459">
        <v>4323</v>
      </c>
      <c r="I4330" s="444">
        <f t="shared" ca="1" si="165"/>
        <v>-21649151638905</v>
      </c>
      <c r="J4330" s="444">
        <f t="array" ref="J4330">IFERROR(INDEX('Retirement Calculator'!K:K,MATCH('Lorri 401b'!N4330,'Retirement Calculator'!A:A,0),0),0)</f>
        <v>0</v>
      </c>
      <c r="K4330" s="444">
        <f t="shared" ca="1" si="163"/>
        <v>-90204798495.4375</v>
      </c>
      <c r="L4330" s="444">
        <f t="shared" ca="1" si="164"/>
        <v>-21739356437400.438</v>
      </c>
      <c r="M4330" s="460">
        <f t="shared" si="166"/>
        <v>0.05</v>
      </c>
      <c r="N4330" s="464">
        <f t="shared" si="167"/>
        <v>182836</v>
      </c>
    </row>
    <row r="4331" spans="7:14" ht="11.25" customHeight="1" x14ac:dyDescent="0.3">
      <c r="G4331" s="459"/>
      <c r="H4331" s="459">
        <v>4324</v>
      </c>
      <c r="I4331" s="444">
        <f t="shared" ca="1" si="165"/>
        <v>-21739356437400.438</v>
      </c>
      <c r="J4331" s="444">
        <f t="array" ref="J4331">IFERROR(INDEX('Retirement Calculator'!K:K,MATCH('Lorri 401b'!N4331,'Retirement Calculator'!A:A,0),0),0)</f>
        <v>0</v>
      </c>
      <c r="K4331" s="444">
        <f t="shared" ca="1" si="163"/>
        <v>-90580651822.501816</v>
      </c>
      <c r="L4331" s="444">
        <f t="shared" ca="1" si="164"/>
        <v>-21829937089222.938</v>
      </c>
      <c r="M4331" s="460">
        <f t="shared" si="166"/>
        <v>0.05</v>
      </c>
      <c r="N4331" s="464">
        <f t="shared" si="167"/>
        <v>182867</v>
      </c>
    </row>
    <row r="4332" spans="7:14" ht="11.25" customHeight="1" x14ac:dyDescent="0.3">
      <c r="G4332" s="459"/>
      <c r="H4332" s="459">
        <v>4325</v>
      </c>
      <c r="I4332" s="444">
        <f t="shared" ca="1" si="165"/>
        <v>-21829937089222.938</v>
      </c>
      <c r="J4332" s="444">
        <f t="array" ref="J4332">IFERROR(INDEX('Retirement Calculator'!K:K,MATCH('Lorri 401b'!N4332,'Retirement Calculator'!A:A,0),0),0)</f>
        <v>0</v>
      </c>
      <c r="K4332" s="444">
        <f t="shared" ca="1" si="163"/>
        <v>-90958071205.095566</v>
      </c>
      <c r="L4332" s="444">
        <f t="shared" ca="1" si="164"/>
        <v>-21920895160428.031</v>
      </c>
      <c r="M4332" s="460">
        <f t="shared" si="166"/>
        <v>0.05</v>
      </c>
      <c r="N4332" s="464">
        <f t="shared" si="167"/>
        <v>182897</v>
      </c>
    </row>
    <row r="4333" spans="7:14" ht="11.25" customHeight="1" x14ac:dyDescent="0.3">
      <c r="G4333" s="459"/>
      <c r="H4333" s="459">
        <v>4326</v>
      </c>
      <c r="I4333" s="444">
        <f t="shared" ca="1" si="165"/>
        <v>-21920895160428.031</v>
      </c>
      <c r="J4333" s="444">
        <f t="array" ref="J4333">IFERROR(INDEX('Retirement Calculator'!K:K,MATCH('Lorri 401b'!N4333,'Retirement Calculator'!A:A,0),0),0)</f>
        <v>0</v>
      </c>
      <c r="K4333" s="444">
        <f t="shared" ca="1" si="163"/>
        <v>-91337063168.450134</v>
      </c>
      <c r="L4333" s="444">
        <f t="shared" ca="1" si="164"/>
        <v>-22012232223596.48</v>
      </c>
      <c r="M4333" s="460">
        <f t="shared" si="166"/>
        <v>0.05</v>
      </c>
      <c r="N4333" s="464">
        <f t="shared" si="167"/>
        <v>182928</v>
      </c>
    </row>
    <row r="4334" spans="7:14" ht="11.25" customHeight="1" x14ac:dyDescent="0.3">
      <c r="G4334" s="459"/>
      <c r="H4334" s="459">
        <v>4327</v>
      </c>
      <c r="I4334" s="444">
        <f t="shared" ca="1" si="165"/>
        <v>-22012232223596.48</v>
      </c>
      <c r="J4334" s="444">
        <f t="array" ref="J4334">IFERROR(INDEX('Retirement Calculator'!K:K,MATCH('Lorri 401b'!N4334,'Retirement Calculator'!A:A,0),0),0)</f>
        <v>0</v>
      </c>
      <c r="K4334" s="444">
        <f t="shared" ca="1" si="163"/>
        <v>-91717634264.985336</v>
      </c>
      <c r="L4334" s="444">
        <f t="shared" ca="1" si="164"/>
        <v>-22103949857861.465</v>
      </c>
      <c r="M4334" s="460">
        <f t="shared" si="166"/>
        <v>0.05</v>
      </c>
      <c r="N4334" s="464">
        <f t="shared" si="167"/>
        <v>182958</v>
      </c>
    </row>
    <row r="4335" spans="7:14" ht="11.25" customHeight="1" x14ac:dyDescent="0.3">
      <c r="G4335" s="459"/>
      <c r="H4335" s="459">
        <v>4328</v>
      </c>
      <c r="I4335" s="444">
        <f t="shared" ca="1" si="165"/>
        <v>-22103949857861.465</v>
      </c>
      <c r="J4335" s="444">
        <f t="array" ref="J4335">IFERROR(INDEX('Retirement Calculator'!K:K,MATCH('Lorri 401b'!N4335,'Retirement Calculator'!A:A,0),0),0)</f>
        <v>0</v>
      </c>
      <c r="K4335" s="444">
        <f t="shared" ca="1" si="163"/>
        <v>-92099791074.422775</v>
      </c>
      <c r="L4335" s="444">
        <f t="shared" ca="1" si="164"/>
        <v>-22196049648935.887</v>
      </c>
      <c r="M4335" s="460">
        <f t="shared" si="166"/>
        <v>0.05</v>
      </c>
      <c r="N4335" s="464">
        <f t="shared" si="167"/>
        <v>182989</v>
      </c>
    </row>
    <row r="4336" spans="7:14" ht="11.25" customHeight="1" x14ac:dyDescent="0.3">
      <c r="G4336" s="459"/>
      <c r="H4336" s="459">
        <v>4329</v>
      </c>
      <c r="I4336" s="444">
        <f t="shared" ca="1" si="165"/>
        <v>-22196049648935.887</v>
      </c>
      <c r="J4336" s="444">
        <f t="array" ref="J4336">IFERROR(INDEX('Retirement Calculator'!K:K,MATCH('Lorri 401b'!N4336,'Retirement Calculator'!A:A,0),0),0)</f>
        <v>0</v>
      </c>
      <c r="K4336" s="444">
        <f t="shared" ca="1" si="163"/>
        <v>-92483540203.899521</v>
      </c>
      <c r="L4336" s="444">
        <f t="shared" ca="1" si="164"/>
        <v>-22288533189139.785</v>
      </c>
      <c r="M4336" s="460">
        <f t="shared" si="166"/>
        <v>0.05</v>
      </c>
      <c r="N4336" s="464">
        <f t="shared" si="167"/>
        <v>183020</v>
      </c>
    </row>
    <row r="4337" spans="7:14" ht="11.25" customHeight="1" x14ac:dyDescent="0.3">
      <c r="G4337" s="459"/>
      <c r="H4337" s="459">
        <v>4330</v>
      </c>
      <c r="I4337" s="444">
        <f t="shared" ca="1" si="165"/>
        <v>-22288533189139.785</v>
      </c>
      <c r="J4337" s="444">
        <f t="array" ref="J4337">IFERROR(INDEX('Retirement Calculator'!K:K,MATCH('Lorri 401b'!N4337,'Retirement Calculator'!A:A,0),0),0)</f>
        <v>0</v>
      </c>
      <c r="K4337" s="444">
        <f t="shared" ca="1" si="163"/>
        <v>-92868888288.082443</v>
      </c>
      <c r="L4337" s="444">
        <f t="shared" ca="1" si="164"/>
        <v>-22381402077427.867</v>
      </c>
      <c r="M4337" s="460">
        <f t="shared" si="166"/>
        <v>0.05</v>
      </c>
      <c r="N4337" s="464">
        <f t="shared" si="167"/>
        <v>183048</v>
      </c>
    </row>
    <row r="4338" spans="7:14" ht="11.25" customHeight="1" x14ac:dyDescent="0.3">
      <c r="G4338" s="459"/>
      <c r="H4338" s="459">
        <v>4331</v>
      </c>
      <c r="I4338" s="444">
        <f t="shared" ca="1" si="165"/>
        <v>-22381402077427.867</v>
      </c>
      <c r="J4338" s="444">
        <f t="array" ref="J4338">IFERROR(INDEX('Retirement Calculator'!K:K,MATCH('Lorri 401b'!N4338,'Retirement Calculator'!A:A,0),0),0)</f>
        <v>0</v>
      </c>
      <c r="K4338" s="444">
        <f t="shared" ca="1" si="163"/>
        <v>-93255841989.282776</v>
      </c>
      <c r="L4338" s="444">
        <f t="shared" ca="1" si="164"/>
        <v>-22474657919417.148</v>
      </c>
      <c r="M4338" s="460">
        <f t="shared" si="166"/>
        <v>0.05</v>
      </c>
      <c r="N4338" s="464">
        <f t="shared" si="167"/>
        <v>183079</v>
      </c>
    </row>
    <row r="4339" spans="7:14" ht="11.25" customHeight="1" x14ac:dyDescent="0.3">
      <c r="G4339" s="459"/>
      <c r="H4339" s="459">
        <v>4332</v>
      </c>
      <c r="I4339" s="444">
        <f t="shared" ca="1" si="165"/>
        <v>-22474657919417.148</v>
      </c>
      <c r="J4339" s="444">
        <f t="array" ref="J4339">IFERROR(INDEX('Retirement Calculator'!K:K,MATCH('Lorri 401b'!N4339,'Retirement Calculator'!A:A,0),0),0)</f>
        <v>0</v>
      </c>
      <c r="K4339" s="444">
        <f t="shared" ca="1" si="163"/>
        <v>-93644407997.571457</v>
      </c>
      <c r="L4339" s="444">
        <f t="shared" ca="1" si="164"/>
        <v>-22568302327414.719</v>
      </c>
      <c r="M4339" s="460">
        <f t="shared" si="166"/>
        <v>0.05</v>
      </c>
      <c r="N4339" s="464">
        <f t="shared" si="167"/>
        <v>183109</v>
      </c>
    </row>
    <row r="4340" spans="7:14" ht="11.25" customHeight="1" x14ac:dyDescent="0.3">
      <c r="G4340" s="459"/>
      <c r="H4340" s="459">
        <v>4333</v>
      </c>
      <c r="I4340" s="444">
        <f t="shared" ca="1" si="165"/>
        <v>-22568302327414.719</v>
      </c>
      <c r="J4340" s="444">
        <f t="array" ref="J4340">IFERROR(INDEX('Retirement Calculator'!K:K,MATCH('Lorri 401b'!N4340,'Retirement Calculator'!A:A,0),0),0)</f>
        <v>0</v>
      </c>
      <c r="K4340" s="444">
        <f t="shared" ca="1" si="163"/>
        <v>-94034593030.894653</v>
      </c>
      <c r="L4340" s="444">
        <f t="shared" ca="1" si="164"/>
        <v>-22662336920445.613</v>
      </c>
      <c r="M4340" s="460">
        <f t="shared" si="166"/>
        <v>0.05</v>
      </c>
      <c r="N4340" s="464">
        <f t="shared" si="167"/>
        <v>183140</v>
      </c>
    </row>
    <row r="4341" spans="7:14" ht="11.25" customHeight="1" x14ac:dyDescent="0.3">
      <c r="G4341" s="459"/>
      <c r="H4341" s="459">
        <v>4334</v>
      </c>
      <c r="I4341" s="444">
        <f t="shared" ca="1" si="165"/>
        <v>-22662336920445.613</v>
      </c>
      <c r="J4341" s="444">
        <f t="array" ref="J4341">IFERROR(INDEX('Retirement Calculator'!K:K,MATCH('Lorri 401b'!N4341,'Retirement Calculator'!A:A,0),0),0)</f>
        <v>0</v>
      </c>
      <c r="K4341" s="444">
        <f t="shared" ca="1" si="163"/>
        <v>-94426403835.190048</v>
      </c>
      <c r="L4341" s="444">
        <f t="shared" ca="1" si="164"/>
        <v>-22756763324280.805</v>
      </c>
      <c r="M4341" s="460">
        <f t="shared" si="166"/>
        <v>0.05</v>
      </c>
      <c r="N4341" s="464">
        <f t="shared" si="167"/>
        <v>183170</v>
      </c>
    </row>
    <row r="4342" spans="7:14" ht="11.25" customHeight="1" x14ac:dyDescent="0.3">
      <c r="G4342" s="459"/>
      <c r="H4342" s="459">
        <v>4335</v>
      </c>
      <c r="I4342" s="444">
        <f t="shared" ca="1" si="165"/>
        <v>-22756763324280.805</v>
      </c>
      <c r="J4342" s="444">
        <f t="array" ref="J4342">IFERROR(INDEX('Retirement Calculator'!K:K,MATCH('Lorri 401b'!N4342,'Retirement Calculator'!A:A,0),0),0)</f>
        <v>0</v>
      </c>
      <c r="K4342" s="444">
        <f t="shared" ca="1" si="163"/>
        <v>-94819847184.503357</v>
      </c>
      <c r="L4342" s="444">
        <f t="shared" ca="1" si="164"/>
        <v>-22851583171465.309</v>
      </c>
      <c r="M4342" s="460">
        <f t="shared" si="166"/>
        <v>0.05</v>
      </c>
      <c r="N4342" s="464">
        <f t="shared" si="167"/>
        <v>183201</v>
      </c>
    </row>
    <row r="4343" spans="7:14" ht="11.25" customHeight="1" x14ac:dyDescent="0.3">
      <c r="G4343" s="459"/>
      <c r="H4343" s="459">
        <v>4336</v>
      </c>
      <c r="I4343" s="444">
        <f t="shared" ca="1" si="165"/>
        <v>-22851583171465.309</v>
      </c>
      <c r="J4343" s="444">
        <f t="array" ref="J4343">IFERROR(INDEX('Retirement Calculator'!K:K,MATCH('Lorri 401b'!N4343,'Retirement Calculator'!A:A,0),0),0)</f>
        <v>0</v>
      </c>
      <c r="K4343" s="444">
        <f t="shared" ref="K4343:K4597" ca="1" si="168">IPMT(M4343/12,1,12,-I4343+J4343,,0)</f>
        <v>-95214929881.105453</v>
      </c>
      <c r="L4343" s="444">
        <f t="shared" ref="L4343:L4597" ca="1" si="169">I4343-J4343+K4343</f>
        <v>-22946798101346.414</v>
      </c>
      <c r="M4343" s="460">
        <f t="shared" si="166"/>
        <v>0.05</v>
      </c>
      <c r="N4343" s="464">
        <f t="shared" si="167"/>
        <v>183232</v>
      </c>
    </row>
    <row r="4344" spans="7:14" ht="11.25" customHeight="1" x14ac:dyDescent="0.3">
      <c r="G4344" s="459"/>
      <c r="H4344" s="459">
        <v>4337</v>
      </c>
      <c r="I4344" s="444">
        <f t="shared" ref="I4344:I4598" ca="1" si="170">L4343</f>
        <v>-22946798101346.414</v>
      </c>
      <c r="J4344" s="444">
        <f t="array" ref="J4344">IFERROR(INDEX('Retirement Calculator'!K:K,MATCH('Lorri 401b'!N4344,'Retirement Calculator'!A:A,0),0),0)</f>
        <v>0</v>
      </c>
      <c r="K4344" s="444">
        <f t="shared" ca="1" si="168"/>
        <v>-95611658755.610062</v>
      </c>
      <c r="L4344" s="444">
        <f t="shared" ca="1" si="169"/>
        <v>-23042409760102.023</v>
      </c>
      <c r="M4344" s="460">
        <f t="shared" ref="M4344:M4598" si="171">M4343</f>
        <v>0.05</v>
      </c>
      <c r="N4344" s="464">
        <f t="shared" ref="N4344:N4598" si="172">EDATE(N4343,1)</f>
        <v>183262</v>
      </c>
    </row>
    <row r="4345" spans="7:14" ht="11.25" customHeight="1" x14ac:dyDescent="0.3">
      <c r="G4345" s="459"/>
      <c r="H4345" s="459">
        <v>4338</v>
      </c>
      <c r="I4345" s="444">
        <f t="shared" ca="1" si="170"/>
        <v>-23042409760102.023</v>
      </c>
      <c r="J4345" s="444">
        <f t="array" ref="J4345">IFERROR(INDEX('Retirement Calculator'!K:K,MATCH('Lorri 401b'!N4345,'Retirement Calculator'!A:A,0),0),0)</f>
        <v>0</v>
      </c>
      <c r="K4345" s="444">
        <f t="shared" ca="1" si="168"/>
        <v>-96010040667.091766</v>
      </c>
      <c r="L4345" s="444">
        <f t="shared" ca="1" si="169"/>
        <v>-23138419800769.113</v>
      </c>
      <c r="M4345" s="460">
        <f t="shared" si="171"/>
        <v>0.05</v>
      </c>
      <c r="N4345" s="464">
        <f t="shared" si="172"/>
        <v>183293</v>
      </c>
    </row>
    <row r="4346" spans="7:14" ht="11.25" customHeight="1" x14ac:dyDescent="0.3">
      <c r="G4346" s="459"/>
      <c r="H4346" s="459">
        <v>4339</v>
      </c>
      <c r="I4346" s="444">
        <f t="shared" ca="1" si="170"/>
        <v>-23138419800769.113</v>
      </c>
      <c r="J4346" s="444">
        <f t="array" ref="J4346">IFERROR(INDEX('Retirement Calculator'!K:K,MATCH('Lorri 401b'!N4346,'Retirement Calculator'!A:A,0),0),0)</f>
        <v>0</v>
      </c>
      <c r="K4346" s="444">
        <f t="shared" ca="1" si="168"/>
        <v>-96410082503.204636</v>
      </c>
      <c r="L4346" s="444">
        <f t="shared" ca="1" si="169"/>
        <v>-23234829883272.316</v>
      </c>
      <c r="M4346" s="460">
        <f t="shared" si="171"/>
        <v>0.05</v>
      </c>
      <c r="N4346" s="464">
        <f t="shared" si="172"/>
        <v>183323</v>
      </c>
    </row>
    <row r="4347" spans="7:14" ht="11.25" customHeight="1" x14ac:dyDescent="0.3">
      <c r="G4347" s="459"/>
      <c r="H4347" s="459">
        <v>4340</v>
      </c>
      <c r="I4347" s="444">
        <f t="shared" ca="1" si="170"/>
        <v>-23234829883272.316</v>
      </c>
      <c r="J4347" s="444">
        <f t="array" ref="J4347">IFERROR(INDEX('Retirement Calculator'!K:K,MATCH('Lorri 401b'!N4347,'Retirement Calculator'!A:A,0),0),0)</f>
        <v>0</v>
      </c>
      <c r="K4347" s="444">
        <f t="shared" ca="1" si="168"/>
        <v>-96811791180.301315</v>
      </c>
      <c r="L4347" s="444">
        <f t="shared" ca="1" si="169"/>
        <v>-23331641674452.617</v>
      </c>
      <c r="M4347" s="460">
        <f t="shared" si="171"/>
        <v>0.05</v>
      </c>
      <c r="N4347" s="464">
        <f t="shared" si="172"/>
        <v>183354</v>
      </c>
    </row>
    <row r="4348" spans="7:14" ht="11.25" customHeight="1" x14ac:dyDescent="0.3">
      <c r="G4348" s="459"/>
      <c r="H4348" s="459">
        <v>4341</v>
      </c>
      <c r="I4348" s="444">
        <f t="shared" ca="1" si="170"/>
        <v>-23331641674452.617</v>
      </c>
      <c r="J4348" s="444">
        <f t="array" ref="J4348">IFERROR(INDEX('Retirement Calculator'!K:K,MATCH('Lorri 401b'!N4348,'Retirement Calculator'!A:A,0),0),0)</f>
        <v>0</v>
      </c>
      <c r="K4348" s="444">
        <f t="shared" ca="1" si="168"/>
        <v>-97215173643.552567</v>
      </c>
      <c r="L4348" s="444">
        <f t="shared" ca="1" si="169"/>
        <v>-23428856848096.168</v>
      </c>
      <c r="M4348" s="460">
        <f t="shared" si="171"/>
        <v>0.05</v>
      </c>
      <c r="N4348" s="464">
        <f t="shared" si="172"/>
        <v>183385</v>
      </c>
    </row>
    <row r="4349" spans="7:14" ht="11.25" customHeight="1" x14ac:dyDescent="0.3">
      <c r="G4349" s="459"/>
      <c r="H4349" s="459">
        <v>4342</v>
      </c>
      <c r="I4349" s="444">
        <f t="shared" ca="1" si="170"/>
        <v>-23428856848096.168</v>
      </c>
      <c r="J4349" s="444">
        <f t="array" ref="J4349">IFERROR(INDEX('Retirement Calculator'!K:K,MATCH('Lorri 401b'!N4349,'Retirement Calculator'!A:A,0),0),0)</f>
        <v>0</v>
      </c>
      <c r="K4349" s="444">
        <f t="shared" ca="1" si="168"/>
        <v>-97620236867.067368</v>
      </c>
      <c r="L4349" s="444">
        <f t="shared" ca="1" si="169"/>
        <v>-23526477084963.234</v>
      </c>
      <c r="M4349" s="460">
        <f t="shared" si="171"/>
        <v>0.05</v>
      </c>
      <c r="N4349" s="464">
        <f t="shared" si="172"/>
        <v>183413</v>
      </c>
    </row>
    <row r="4350" spans="7:14" ht="11.25" customHeight="1" x14ac:dyDescent="0.3">
      <c r="G4350" s="459"/>
      <c r="H4350" s="459">
        <v>4343</v>
      </c>
      <c r="I4350" s="444">
        <f t="shared" ca="1" si="170"/>
        <v>-23526477084963.234</v>
      </c>
      <c r="J4350" s="444">
        <f t="array" ref="J4350">IFERROR(INDEX('Retirement Calculator'!K:K,MATCH('Lorri 401b'!N4350,'Retirement Calculator'!A:A,0),0),0)</f>
        <v>0</v>
      </c>
      <c r="K4350" s="444">
        <f t="shared" ca="1" si="168"/>
        <v>-98026987854.013474</v>
      </c>
      <c r="L4350" s="444">
        <f t="shared" ca="1" si="169"/>
        <v>-23624504072817.246</v>
      </c>
      <c r="M4350" s="460">
        <f t="shared" si="171"/>
        <v>0.05</v>
      </c>
      <c r="N4350" s="464">
        <f t="shared" si="172"/>
        <v>183444</v>
      </c>
    </row>
    <row r="4351" spans="7:14" ht="11.25" customHeight="1" x14ac:dyDescent="0.3">
      <c r="G4351" s="459"/>
      <c r="H4351" s="459">
        <v>4344</v>
      </c>
      <c r="I4351" s="444">
        <f t="shared" ca="1" si="170"/>
        <v>-23624504072817.246</v>
      </c>
      <c r="J4351" s="444">
        <f t="array" ref="J4351">IFERROR(INDEX('Retirement Calculator'!K:K,MATCH('Lorri 401b'!N4351,'Retirement Calculator'!A:A,0),0),0)</f>
        <v>0</v>
      </c>
      <c r="K4351" s="444">
        <f t="shared" ca="1" si="168"/>
        <v>-98435433636.738525</v>
      </c>
      <c r="L4351" s="444">
        <f t="shared" ca="1" si="169"/>
        <v>-23722939506453.984</v>
      </c>
      <c r="M4351" s="460">
        <f t="shared" si="171"/>
        <v>0.05</v>
      </c>
      <c r="N4351" s="464">
        <f t="shared" si="172"/>
        <v>183474</v>
      </c>
    </row>
    <row r="4352" spans="7:14" ht="11.25" customHeight="1" x14ac:dyDescent="0.3">
      <c r="G4352" s="459"/>
      <c r="H4352" s="459">
        <v>4345</v>
      </c>
      <c r="I4352" s="444">
        <f t="shared" ca="1" si="170"/>
        <v>-23722939506453.984</v>
      </c>
      <c r="J4352" s="444">
        <f t="array" ref="J4352">IFERROR(INDEX('Retirement Calculator'!K:K,MATCH('Lorri 401b'!N4352,'Retirement Calculator'!A:A,0),0),0)</f>
        <v>0</v>
      </c>
      <c r="K4352" s="444">
        <f t="shared" ca="1" si="168"/>
        <v>-98845581276.891602</v>
      </c>
      <c r="L4352" s="444">
        <f t="shared" ca="1" si="169"/>
        <v>-23821785087730.875</v>
      </c>
      <c r="M4352" s="460">
        <f t="shared" si="171"/>
        <v>0.05</v>
      </c>
      <c r="N4352" s="464">
        <f t="shared" si="172"/>
        <v>183505</v>
      </c>
    </row>
    <row r="4353" spans="7:14" ht="11.25" customHeight="1" x14ac:dyDescent="0.3">
      <c r="G4353" s="459"/>
      <c r="H4353" s="459">
        <v>4346</v>
      </c>
      <c r="I4353" s="444">
        <f t="shared" ca="1" si="170"/>
        <v>-23821785087730.875</v>
      </c>
      <c r="J4353" s="444">
        <f t="array" ref="J4353">IFERROR(INDEX('Retirement Calculator'!K:K,MATCH('Lorri 401b'!N4353,'Retirement Calculator'!A:A,0),0),0)</f>
        <v>0</v>
      </c>
      <c r="K4353" s="444">
        <f t="shared" ca="1" si="168"/>
        <v>-99257437865.545319</v>
      </c>
      <c r="L4353" s="444">
        <f t="shared" ca="1" si="169"/>
        <v>-23921042525596.422</v>
      </c>
      <c r="M4353" s="460">
        <f t="shared" si="171"/>
        <v>0.05</v>
      </c>
      <c r="N4353" s="464">
        <f t="shared" si="172"/>
        <v>183535</v>
      </c>
    </row>
    <row r="4354" spans="7:14" ht="11.25" customHeight="1" x14ac:dyDescent="0.3">
      <c r="G4354" s="459"/>
      <c r="H4354" s="459">
        <v>4347</v>
      </c>
      <c r="I4354" s="444">
        <f t="shared" ca="1" si="170"/>
        <v>-23921042525596.422</v>
      </c>
      <c r="J4354" s="444">
        <f t="array" ref="J4354">IFERROR(INDEX('Retirement Calculator'!K:K,MATCH('Lorri 401b'!N4354,'Retirement Calculator'!A:A,0),0),0)</f>
        <v>0</v>
      </c>
      <c r="K4354" s="444">
        <f t="shared" ca="1" si="168"/>
        <v>-99671010523.31842</v>
      </c>
      <c r="L4354" s="444">
        <f t="shared" ca="1" si="169"/>
        <v>-24020713536119.742</v>
      </c>
      <c r="M4354" s="460">
        <f t="shared" si="171"/>
        <v>0.05</v>
      </c>
      <c r="N4354" s="464">
        <f t="shared" si="172"/>
        <v>183566</v>
      </c>
    </row>
    <row r="4355" spans="7:14" ht="11.25" customHeight="1" x14ac:dyDescent="0.3">
      <c r="G4355" s="459"/>
      <c r="H4355" s="459">
        <v>4348</v>
      </c>
      <c r="I4355" s="444">
        <f t="shared" ca="1" si="170"/>
        <v>-24020713536119.742</v>
      </c>
      <c r="J4355" s="444">
        <f t="array" ref="J4355">IFERROR(INDEX('Retirement Calculator'!K:K,MATCH('Lorri 401b'!N4355,'Retirement Calculator'!A:A,0),0),0)</f>
        <v>0</v>
      </c>
      <c r="K4355" s="444">
        <f t="shared" ca="1" si="168"/>
        <v>-100086306400.49893</v>
      </c>
      <c r="L4355" s="444">
        <f t="shared" ca="1" si="169"/>
        <v>-24120799842520.242</v>
      </c>
      <c r="M4355" s="460">
        <f t="shared" si="171"/>
        <v>0.05</v>
      </c>
      <c r="N4355" s="464">
        <f t="shared" si="172"/>
        <v>183597</v>
      </c>
    </row>
    <row r="4356" spans="7:14" ht="11.25" customHeight="1" x14ac:dyDescent="0.3">
      <c r="G4356" s="459"/>
      <c r="H4356" s="459">
        <v>4349</v>
      </c>
      <c r="I4356" s="444">
        <f t="shared" ca="1" si="170"/>
        <v>-24120799842520.242</v>
      </c>
      <c r="J4356" s="444">
        <f t="array" ref="J4356">IFERROR(INDEX('Retirement Calculator'!K:K,MATCH('Lorri 401b'!N4356,'Retirement Calculator'!A:A,0),0),0)</f>
        <v>0</v>
      </c>
      <c r="K4356" s="444">
        <f t="shared" ca="1" si="168"/>
        <v>-100503332677.16768</v>
      </c>
      <c r="L4356" s="444">
        <f t="shared" ca="1" si="169"/>
        <v>-24221303175197.41</v>
      </c>
      <c r="M4356" s="460">
        <f t="shared" si="171"/>
        <v>0.05</v>
      </c>
      <c r="N4356" s="464">
        <f t="shared" si="172"/>
        <v>183627</v>
      </c>
    </row>
    <row r="4357" spans="7:14" ht="11.25" customHeight="1" x14ac:dyDescent="0.3">
      <c r="G4357" s="459"/>
      <c r="H4357" s="459">
        <v>4350</v>
      </c>
      <c r="I4357" s="444">
        <f t="shared" ca="1" si="170"/>
        <v>-24221303175197.41</v>
      </c>
      <c r="J4357" s="444">
        <f t="array" ref="J4357">IFERROR(INDEX('Retirement Calculator'!K:K,MATCH('Lorri 401b'!N4357,'Retirement Calculator'!A:A,0),0),0)</f>
        <v>0</v>
      </c>
      <c r="K4357" s="444">
        <f t="shared" ca="1" si="168"/>
        <v>-100922096563.32254</v>
      </c>
      <c r="L4357" s="444">
        <f t="shared" ca="1" si="169"/>
        <v>-24322225271760.734</v>
      </c>
      <c r="M4357" s="460">
        <f t="shared" si="171"/>
        <v>0.05</v>
      </c>
      <c r="N4357" s="464">
        <f t="shared" si="172"/>
        <v>183658</v>
      </c>
    </row>
    <row r="4358" spans="7:14" ht="11.25" customHeight="1" x14ac:dyDescent="0.3">
      <c r="G4358" s="459"/>
      <c r="H4358" s="459">
        <v>4351</v>
      </c>
      <c r="I4358" s="444">
        <f t="shared" ca="1" si="170"/>
        <v>-24322225271760.734</v>
      </c>
      <c r="J4358" s="444">
        <f t="array" ref="J4358">IFERROR(INDEX('Retirement Calculator'!K:K,MATCH('Lorri 401b'!N4358,'Retirement Calculator'!A:A,0),0),0)</f>
        <v>0</v>
      </c>
      <c r="K4358" s="444">
        <f t="shared" ca="1" si="168"/>
        <v>-101342605299.00305</v>
      </c>
      <c r="L4358" s="444">
        <f t="shared" ca="1" si="169"/>
        <v>-24423567877059.738</v>
      </c>
      <c r="M4358" s="460">
        <f t="shared" si="171"/>
        <v>0.05</v>
      </c>
      <c r="N4358" s="464">
        <f t="shared" si="172"/>
        <v>183688</v>
      </c>
    </row>
    <row r="4359" spans="7:14" ht="11.25" customHeight="1" x14ac:dyDescent="0.3">
      <c r="G4359" s="459"/>
      <c r="H4359" s="459">
        <v>4352</v>
      </c>
      <c r="I4359" s="444">
        <f t="shared" ca="1" si="170"/>
        <v>-24423567877059.738</v>
      </c>
      <c r="J4359" s="444">
        <f t="array" ref="J4359">IFERROR(INDEX('Retirement Calculator'!K:K,MATCH('Lorri 401b'!N4359,'Retirement Calculator'!A:A,0),0),0)</f>
        <v>0</v>
      </c>
      <c r="K4359" s="444">
        <f t="shared" ca="1" si="168"/>
        <v>-101764866154.41557</v>
      </c>
      <c r="L4359" s="444">
        <f t="shared" ca="1" si="169"/>
        <v>-24525332743214.152</v>
      </c>
      <c r="M4359" s="460">
        <f t="shared" si="171"/>
        <v>0.05</v>
      </c>
      <c r="N4359" s="464">
        <f t="shared" si="172"/>
        <v>183719</v>
      </c>
    </row>
    <row r="4360" spans="7:14" ht="11.25" customHeight="1" x14ac:dyDescent="0.3">
      <c r="G4360" s="459"/>
      <c r="H4360" s="459">
        <v>4353</v>
      </c>
      <c r="I4360" s="444">
        <f t="shared" ca="1" si="170"/>
        <v>-24525332743214.152</v>
      </c>
      <c r="J4360" s="444">
        <f t="array" ref="J4360">IFERROR(INDEX('Retirement Calculator'!K:K,MATCH('Lorri 401b'!N4360,'Retirement Calculator'!A:A,0),0),0)</f>
        <v>0</v>
      </c>
      <c r="K4360" s="444">
        <f t="shared" ca="1" si="168"/>
        <v>-102188886430.05896</v>
      </c>
      <c r="L4360" s="444">
        <f t="shared" ca="1" si="169"/>
        <v>-24627521629644.211</v>
      </c>
      <c r="M4360" s="460">
        <f t="shared" si="171"/>
        <v>0.05</v>
      </c>
      <c r="N4360" s="464">
        <f t="shared" si="172"/>
        <v>183750</v>
      </c>
    </row>
    <row r="4361" spans="7:14" ht="11.25" customHeight="1" x14ac:dyDescent="0.3">
      <c r="G4361" s="459"/>
      <c r="H4361" s="459">
        <v>4354</v>
      </c>
      <c r="I4361" s="444">
        <f t="shared" ca="1" si="170"/>
        <v>-24627521629644.211</v>
      </c>
      <c r="J4361" s="444">
        <f t="array" ref="J4361">IFERROR(INDEX('Retirement Calculator'!K:K,MATCH('Lorri 401b'!N4361,'Retirement Calculator'!A:A,0),0),0)</f>
        <v>0</v>
      </c>
      <c r="K4361" s="444">
        <f t="shared" ca="1" si="168"/>
        <v>-102614673456.85088</v>
      </c>
      <c r="L4361" s="444">
        <f t="shared" ca="1" si="169"/>
        <v>-24730136303101.063</v>
      </c>
      <c r="M4361" s="460">
        <f t="shared" si="171"/>
        <v>0.05</v>
      </c>
      <c r="N4361" s="464">
        <f t="shared" si="172"/>
        <v>183778</v>
      </c>
    </row>
    <row r="4362" spans="7:14" ht="11.25" customHeight="1" x14ac:dyDescent="0.3">
      <c r="G4362" s="459"/>
      <c r="H4362" s="459">
        <v>4355</v>
      </c>
      <c r="I4362" s="444">
        <f t="shared" ca="1" si="170"/>
        <v>-24730136303101.063</v>
      </c>
      <c r="J4362" s="444">
        <f t="array" ref="J4362">IFERROR(INDEX('Retirement Calculator'!K:K,MATCH('Lorri 401b'!N4362,'Retirement Calculator'!A:A,0),0),0)</f>
        <v>0</v>
      </c>
      <c r="K4362" s="444">
        <f t="shared" ca="1" si="168"/>
        <v>-103042234596.25443</v>
      </c>
      <c r="L4362" s="444">
        <f t="shared" ca="1" si="169"/>
        <v>-24833178537697.316</v>
      </c>
      <c r="M4362" s="460">
        <f t="shared" si="171"/>
        <v>0.05</v>
      </c>
      <c r="N4362" s="464">
        <f t="shared" si="172"/>
        <v>183809</v>
      </c>
    </row>
    <row r="4363" spans="7:14" ht="11.25" customHeight="1" x14ac:dyDescent="0.3">
      <c r="G4363" s="459"/>
      <c r="H4363" s="459">
        <v>4356</v>
      </c>
      <c r="I4363" s="444">
        <f t="shared" ca="1" si="170"/>
        <v>-24833178537697.316</v>
      </c>
      <c r="J4363" s="444">
        <f t="array" ref="J4363">IFERROR(INDEX('Retirement Calculator'!K:K,MATCH('Lorri 401b'!N4363,'Retirement Calculator'!A:A,0),0),0)</f>
        <v>0</v>
      </c>
      <c r="K4363" s="444">
        <f t="shared" ca="1" si="168"/>
        <v>-103471577240.40549</v>
      </c>
      <c r="L4363" s="444">
        <f t="shared" ca="1" si="169"/>
        <v>-24936650114937.723</v>
      </c>
      <c r="M4363" s="460">
        <f t="shared" si="171"/>
        <v>0.05</v>
      </c>
      <c r="N4363" s="464">
        <f t="shared" si="172"/>
        <v>183839</v>
      </c>
    </row>
    <row r="4364" spans="7:14" ht="11.25" customHeight="1" x14ac:dyDescent="0.3">
      <c r="G4364" s="459"/>
      <c r="H4364" s="459">
        <v>4357</v>
      </c>
      <c r="I4364" s="444">
        <f t="shared" ca="1" si="170"/>
        <v>-24936650114937.723</v>
      </c>
      <c r="J4364" s="444">
        <f t="array" ref="J4364">IFERROR(INDEX('Retirement Calculator'!K:K,MATCH('Lorri 401b'!N4364,'Retirement Calculator'!A:A,0),0),0)</f>
        <v>0</v>
      </c>
      <c r="K4364" s="444">
        <f t="shared" ca="1" si="168"/>
        <v>-103902708812.24051</v>
      </c>
      <c r="L4364" s="444">
        <f t="shared" ca="1" si="169"/>
        <v>-25040552823749.965</v>
      </c>
      <c r="M4364" s="460">
        <f t="shared" si="171"/>
        <v>0.05</v>
      </c>
      <c r="N4364" s="464">
        <f t="shared" si="172"/>
        <v>183870</v>
      </c>
    </row>
    <row r="4365" spans="7:14" ht="11.25" customHeight="1" x14ac:dyDescent="0.3">
      <c r="G4365" s="459"/>
      <c r="H4365" s="459">
        <v>4358</v>
      </c>
      <c r="I4365" s="444">
        <f t="shared" ca="1" si="170"/>
        <v>-25040552823749.965</v>
      </c>
      <c r="J4365" s="444">
        <f t="array" ref="J4365">IFERROR(INDEX('Retirement Calculator'!K:K,MATCH('Lorri 401b'!N4365,'Retirement Calculator'!A:A,0),0),0)</f>
        <v>0</v>
      </c>
      <c r="K4365" s="444">
        <f t="shared" ca="1" si="168"/>
        <v>-104335636765.62485</v>
      </c>
      <c r="L4365" s="444">
        <f t="shared" ca="1" si="169"/>
        <v>-25144888460515.59</v>
      </c>
      <c r="M4365" s="460">
        <f t="shared" si="171"/>
        <v>0.05</v>
      </c>
      <c r="N4365" s="464">
        <f t="shared" si="172"/>
        <v>183900</v>
      </c>
    </row>
    <row r="4366" spans="7:14" ht="11.25" customHeight="1" x14ac:dyDescent="0.3">
      <c r="G4366" s="459"/>
      <c r="H4366" s="459">
        <v>4359</v>
      </c>
      <c r="I4366" s="444">
        <f t="shared" ca="1" si="170"/>
        <v>-25144888460515.59</v>
      </c>
      <c r="J4366" s="444">
        <f t="array" ref="J4366">IFERROR(INDEX('Retirement Calculator'!K:K,MATCH('Lorri 401b'!N4366,'Retirement Calculator'!A:A,0),0),0)</f>
        <v>0</v>
      </c>
      <c r="K4366" s="444">
        <f t="shared" ca="1" si="168"/>
        <v>-104770368585.48163</v>
      </c>
      <c r="L4366" s="444">
        <f t="shared" ca="1" si="169"/>
        <v>-25249658829101.07</v>
      </c>
      <c r="M4366" s="460">
        <f t="shared" si="171"/>
        <v>0.05</v>
      </c>
      <c r="N4366" s="464">
        <f t="shared" si="172"/>
        <v>183931</v>
      </c>
    </row>
    <row r="4367" spans="7:14" ht="11.25" customHeight="1" x14ac:dyDescent="0.3">
      <c r="G4367" s="459"/>
      <c r="H4367" s="459">
        <v>4360</v>
      </c>
      <c r="I4367" s="444">
        <f t="shared" ca="1" si="170"/>
        <v>-25249658829101.07</v>
      </c>
      <c r="J4367" s="444">
        <f t="array" ref="J4367">IFERROR(INDEX('Retirement Calculator'!K:K,MATCH('Lorri 401b'!N4367,'Retirement Calculator'!A:A,0),0),0)</f>
        <v>0</v>
      </c>
      <c r="K4367" s="444">
        <f t="shared" ca="1" si="168"/>
        <v>-105206911787.92113</v>
      </c>
      <c r="L4367" s="444">
        <f t="shared" ca="1" si="169"/>
        <v>-25354865740888.992</v>
      </c>
      <c r="M4367" s="460">
        <f t="shared" si="171"/>
        <v>0.05</v>
      </c>
      <c r="N4367" s="464">
        <f t="shared" si="172"/>
        <v>183962</v>
      </c>
    </row>
    <row r="4368" spans="7:14" ht="11.25" customHeight="1" x14ac:dyDescent="0.3">
      <c r="G4368" s="459"/>
      <c r="H4368" s="459">
        <v>4361</v>
      </c>
      <c r="I4368" s="444">
        <f t="shared" ca="1" si="170"/>
        <v>-25354865740888.992</v>
      </c>
      <c r="J4368" s="444">
        <f t="array" ref="J4368">IFERROR(INDEX('Retirement Calculator'!K:K,MATCH('Lorri 401b'!N4368,'Retirement Calculator'!A:A,0),0),0)</f>
        <v>0</v>
      </c>
      <c r="K4368" s="444">
        <f t="shared" ca="1" si="168"/>
        <v>-105645273920.3708</v>
      </c>
      <c r="L4368" s="444">
        <f t="shared" ca="1" si="169"/>
        <v>-25460511014809.363</v>
      </c>
      <c r="M4368" s="460">
        <f t="shared" si="171"/>
        <v>0.05</v>
      </c>
      <c r="N4368" s="464">
        <f t="shared" si="172"/>
        <v>183992</v>
      </c>
    </row>
    <row r="4369" spans="7:14" ht="11.25" customHeight="1" x14ac:dyDescent="0.3">
      <c r="G4369" s="459"/>
      <c r="H4369" s="459">
        <v>4362</v>
      </c>
      <c r="I4369" s="444">
        <f t="shared" ca="1" si="170"/>
        <v>-25460511014809.363</v>
      </c>
      <c r="J4369" s="444">
        <f t="array" ref="J4369">IFERROR(INDEX('Retirement Calculator'!K:K,MATCH('Lorri 401b'!N4369,'Retirement Calculator'!A:A,0),0),0)</f>
        <v>0</v>
      </c>
      <c r="K4369" s="444">
        <f t="shared" ca="1" si="168"/>
        <v>-106085462561.70567</v>
      </c>
      <c r="L4369" s="444">
        <f t="shared" ca="1" si="169"/>
        <v>-25566596477371.07</v>
      </c>
      <c r="M4369" s="460">
        <f t="shared" si="171"/>
        <v>0.05</v>
      </c>
      <c r="N4369" s="464">
        <f t="shared" si="172"/>
        <v>184023</v>
      </c>
    </row>
    <row r="4370" spans="7:14" ht="11.25" customHeight="1" x14ac:dyDescent="0.3">
      <c r="G4370" s="459"/>
      <c r="H4370" s="459">
        <v>4363</v>
      </c>
      <c r="I4370" s="444">
        <f t="shared" ca="1" si="170"/>
        <v>-25566596477371.07</v>
      </c>
      <c r="J4370" s="444">
        <f t="array" ref="J4370">IFERROR(INDEX('Retirement Calculator'!K:K,MATCH('Lorri 401b'!N4370,'Retirement Calculator'!A:A,0),0),0)</f>
        <v>0</v>
      </c>
      <c r="K4370" s="444">
        <f t="shared" ca="1" si="168"/>
        <v>-106527485322.37946</v>
      </c>
      <c r="L4370" s="444">
        <f t="shared" ca="1" si="169"/>
        <v>-25673123962693.449</v>
      </c>
      <c r="M4370" s="460">
        <f t="shared" si="171"/>
        <v>0.05</v>
      </c>
      <c r="N4370" s="464">
        <f t="shared" si="172"/>
        <v>184053</v>
      </c>
    </row>
    <row r="4371" spans="7:14" ht="11.25" customHeight="1" x14ac:dyDescent="0.3">
      <c r="G4371" s="459"/>
      <c r="H4371" s="459">
        <v>4364</v>
      </c>
      <c r="I4371" s="444">
        <f t="shared" ca="1" si="170"/>
        <v>-25673123962693.449</v>
      </c>
      <c r="J4371" s="444">
        <f t="array" ref="J4371">IFERROR(INDEX('Retirement Calculator'!K:K,MATCH('Lorri 401b'!N4371,'Retirement Calculator'!A:A,0),0),0)</f>
        <v>0</v>
      </c>
      <c r="K4371" s="444">
        <f t="shared" ca="1" si="168"/>
        <v>-106971349844.55603</v>
      </c>
      <c r="L4371" s="444">
        <f t="shared" ca="1" si="169"/>
        <v>-25780095312538.004</v>
      </c>
      <c r="M4371" s="460">
        <f t="shared" si="171"/>
        <v>0.05</v>
      </c>
      <c r="N4371" s="464">
        <f t="shared" si="172"/>
        <v>184084</v>
      </c>
    </row>
    <row r="4372" spans="7:14" ht="11.25" customHeight="1" x14ac:dyDescent="0.3">
      <c r="G4372" s="459"/>
      <c r="H4372" s="459">
        <v>4365</v>
      </c>
      <c r="I4372" s="444">
        <f t="shared" ca="1" si="170"/>
        <v>-25780095312538.004</v>
      </c>
      <c r="J4372" s="444">
        <f t="array" ref="J4372">IFERROR(INDEX('Retirement Calculator'!K:K,MATCH('Lorri 401b'!N4372,'Retirement Calculator'!A:A,0),0),0)</f>
        <v>0</v>
      </c>
      <c r="K4372" s="444">
        <f t="shared" ca="1" si="168"/>
        <v>-107417063802.24168</v>
      </c>
      <c r="L4372" s="444">
        <f t="shared" ca="1" si="169"/>
        <v>-25887512376340.246</v>
      </c>
      <c r="M4372" s="460">
        <f t="shared" si="171"/>
        <v>0.05</v>
      </c>
      <c r="N4372" s="464">
        <f t="shared" si="172"/>
        <v>184115</v>
      </c>
    </row>
    <row r="4373" spans="7:14" ht="11.25" customHeight="1" x14ac:dyDescent="0.3">
      <c r="G4373" s="459"/>
      <c r="H4373" s="459">
        <v>4366</v>
      </c>
      <c r="I4373" s="444">
        <f t="shared" ca="1" si="170"/>
        <v>-25887512376340.246</v>
      </c>
      <c r="J4373" s="444">
        <f t="array" ref="J4373">IFERROR(INDEX('Retirement Calculator'!K:K,MATCH('Lorri 401b'!N4373,'Retirement Calculator'!A:A,0),0),0)</f>
        <v>0</v>
      </c>
      <c r="K4373" s="444">
        <f t="shared" ca="1" si="168"/>
        <v>-107864634901.41769</v>
      </c>
      <c r="L4373" s="444">
        <f t="shared" ca="1" si="169"/>
        <v>-25995377011241.664</v>
      </c>
      <c r="M4373" s="460">
        <f t="shared" si="171"/>
        <v>0.05</v>
      </c>
      <c r="N4373" s="464">
        <f t="shared" si="172"/>
        <v>184144</v>
      </c>
    </row>
    <row r="4374" spans="7:14" ht="11.25" customHeight="1" x14ac:dyDescent="0.3">
      <c r="G4374" s="459"/>
      <c r="H4374" s="459">
        <v>4367</v>
      </c>
      <c r="I4374" s="444">
        <f t="shared" ca="1" si="170"/>
        <v>-25995377011241.664</v>
      </c>
      <c r="J4374" s="444">
        <f t="array" ref="J4374">IFERROR(INDEX('Retirement Calculator'!K:K,MATCH('Lorri 401b'!N4374,'Retirement Calculator'!A:A,0),0),0)</f>
        <v>0</v>
      </c>
      <c r="K4374" s="444">
        <f t="shared" ca="1" si="168"/>
        <v>-108314070880.1736</v>
      </c>
      <c r="L4374" s="444">
        <f t="shared" ca="1" si="169"/>
        <v>-26103691082121.836</v>
      </c>
      <c r="M4374" s="460">
        <f t="shared" si="171"/>
        <v>0.05</v>
      </c>
      <c r="N4374" s="464">
        <f t="shared" si="172"/>
        <v>184175</v>
      </c>
    </row>
    <row r="4375" spans="7:14" ht="11.25" customHeight="1" x14ac:dyDescent="0.3">
      <c r="G4375" s="459"/>
      <c r="H4375" s="459">
        <v>4368</v>
      </c>
      <c r="I4375" s="444">
        <f t="shared" ca="1" si="170"/>
        <v>-26103691082121.836</v>
      </c>
      <c r="J4375" s="444">
        <f t="array" ref="J4375">IFERROR(INDEX('Retirement Calculator'!K:K,MATCH('Lorri 401b'!N4375,'Retirement Calculator'!A:A,0),0),0)</f>
        <v>0</v>
      </c>
      <c r="K4375" s="444">
        <f t="shared" ca="1" si="168"/>
        <v>-108765379508.84099</v>
      </c>
      <c r="L4375" s="444">
        <f t="shared" ca="1" si="169"/>
        <v>-26212456461630.676</v>
      </c>
      <c r="M4375" s="460">
        <f t="shared" si="171"/>
        <v>0.05</v>
      </c>
      <c r="N4375" s="464">
        <f t="shared" si="172"/>
        <v>184205</v>
      </c>
    </row>
    <row r="4376" spans="7:14" ht="11.25" customHeight="1" x14ac:dyDescent="0.3">
      <c r="G4376" s="459"/>
      <c r="H4376" s="459">
        <v>4369</v>
      </c>
      <c r="I4376" s="444">
        <f t="shared" ca="1" si="170"/>
        <v>-26212456461630.676</v>
      </c>
      <c r="J4376" s="444">
        <f t="array" ref="J4376">IFERROR(INDEX('Retirement Calculator'!K:K,MATCH('Lorri 401b'!N4376,'Retirement Calculator'!A:A,0),0),0)</f>
        <v>0</v>
      </c>
      <c r="K4376" s="444">
        <f t="shared" ca="1" si="168"/>
        <v>-109218568590.12781</v>
      </c>
      <c r="L4376" s="444">
        <f t="shared" ca="1" si="169"/>
        <v>-26321675030220.805</v>
      </c>
      <c r="M4376" s="460">
        <f t="shared" si="171"/>
        <v>0.05</v>
      </c>
      <c r="N4376" s="464">
        <f t="shared" si="172"/>
        <v>184236</v>
      </c>
    </row>
    <row r="4377" spans="7:14" ht="11.25" customHeight="1" x14ac:dyDescent="0.3">
      <c r="G4377" s="459"/>
      <c r="H4377" s="459">
        <v>4370</v>
      </c>
      <c r="I4377" s="444">
        <f t="shared" ca="1" si="170"/>
        <v>-26321675030220.805</v>
      </c>
      <c r="J4377" s="444">
        <f t="array" ref="J4377">IFERROR(INDEX('Retirement Calculator'!K:K,MATCH('Lorri 401b'!N4377,'Retirement Calculator'!A:A,0),0),0)</f>
        <v>0</v>
      </c>
      <c r="K4377" s="444">
        <f t="shared" ca="1" si="168"/>
        <v>-109673645959.25336</v>
      </c>
      <c r="L4377" s="444">
        <f t="shared" ca="1" si="169"/>
        <v>-26431348676180.059</v>
      </c>
      <c r="M4377" s="460">
        <f t="shared" si="171"/>
        <v>0.05</v>
      </c>
      <c r="N4377" s="464">
        <f t="shared" si="172"/>
        <v>184266</v>
      </c>
    </row>
    <row r="4378" spans="7:14" ht="11.25" customHeight="1" x14ac:dyDescent="0.3">
      <c r="G4378" s="459"/>
      <c r="H4378" s="459">
        <v>4371</v>
      </c>
      <c r="I4378" s="444">
        <f t="shared" ca="1" si="170"/>
        <v>-26431348676180.059</v>
      </c>
      <c r="J4378" s="444">
        <f t="array" ref="J4378">IFERROR(INDEX('Retirement Calculator'!K:K,MATCH('Lorri 401b'!N4378,'Retirement Calculator'!A:A,0),0),0)</f>
        <v>0</v>
      </c>
      <c r="K4378" s="444">
        <f t="shared" ca="1" si="168"/>
        <v>-110130619484.08357</v>
      </c>
      <c r="L4378" s="444">
        <f t="shared" ca="1" si="169"/>
        <v>-26541479295664.141</v>
      </c>
      <c r="M4378" s="460">
        <f t="shared" si="171"/>
        <v>0.05</v>
      </c>
      <c r="N4378" s="464">
        <f t="shared" si="172"/>
        <v>184297</v>
      </c>
    </row>
    <row r="4379" spans="7:14" ht="11.25" customHeight="1" x14ac:dyDescent="0.3">
      <c r="G4379" s="459"/>
      <c r="H4379" s="459">
        <v>4372</v>
      </c>
      <c r="I4379" s="444">
        <f t="shared" ca="1" si="170"/>
        <v>-26541479295664.141</v>
      </c>
      <c r="J4379" s="444">
        <f t="array" ref="J4379">IFERROR(INDEX('Retirement Calculator'!K:K,MATCH('Lorri 401b'!N4379,'Retirement Calculator'!A:A,0),0),0)</f>
        <v>0</v>
      </c>
      <c r="K4379" s="444">
        <f t="shared" ca="1" si="168"/>
        <v>-110589497065.26726</v>
      </c>
      <c r="L4379" s="444">
        <f t="shared" ca="1" si="169"/>
        <v>-26652068792729.406</v>
      </c>
      <c r="M4379" s="460">
        <f t="shared" si="171"/>
        <v>0.05</v>
      </c>
      <c r="N4379" s="464">
        <f t="shared" si="172"/>
        <v>184328</v>
      </c>
    </row>
    <row r="4380" spans="7:14" ht="11.25" customHeight="1" x14ac:dyDescent="0.3">
      <c r="G4380" s="459"/>
      <c r="H4380" s="459">
        <v>4373</v>
      </c>
      <c r="I4380" s="444">
        <f t="shared" ca="1" si="170"/>
        <v>-26652068792729.406</v>
      </c>
      <c r="J4380" s="444">
        <f t="array" ref="J4380">IFERROR(INDEX('Retirement Calculator'!K:K,MATCH('Lorri 401b'!N4380,'Retirement Calculator'!A:A,0),0),0)</f>
        <v>0</v>
      </c>
      <c r="K4380" s="444">
        <f t="shared" ca="1" si="168"/>
        <v>-111050286636.37253</v>
      </c>
      <c r="L4380" s="444">
        <f t="shared" ca="1" si="169"/>
        <v>-26763119079365.777</v>
      </c>
      <c r="M4380" s="460">
        <f t="shared" si="171"/>
        <v>0.05</v>
      </c>
      <c r="N4380" s="464">
        <f t="shared" si="172"/>
        <v>184358</v>
      </c>
    </row>
    <row r="4381" spans="7:14" ht="11.25" customHeight="1" x14ac:dyDescent="0.3">
      <c r="G4381" s="459"/>
      <c r="H4381" s="459">
        <v>4374</v>
      </c>
      <c r="I4381" s="444">
        <f t="shared" ca="1" si="170"/>
        <v>-26763119079365.777</v>
      </c>
      <c r="J4381" s="444">
        <f t="array" ref="J4381">IFERROR(INDEX('Retirement Calculator'!K:K,MATCH('Lorri 401b'!N4381,'Retirement Calculator'!A:A,0),0),0)</f>
        <v>0</v>
      </c>
      <c r="K4381" s="444">
        <f t="shared" ca="1" si="168"/>
        <v>-111512996164.02406</v>
      </c>
      <c r="L4381" s="444">
        <f t="shared" ca="1" si="169"/>
        <v>-26874632075529.801</v>
      </c>
      <c r="M4381" s="460">
        <f t="shared" si="171"/>
        <v>0.05</v>
      </c>
      <c r="N4381" s="464">
        <f t="shared" si="172"/>
        <v>184389</v>
      </c>
    </row>
    <row r="4382" spans="7:14" ht="11.25" customHeight="1" x14ac:dyDescent="0.3">
      <c r="G4382" s="459"/>
      <c r="H4382" s="459">
        <v>4375</v>
      </c>
      <c r="I4382" s="444">
        <f t="shared" ca="1" si="170"/>
        <v>-26874632075529.801</v>
      </c>
      <c r="J4382" s="444">
        <f t="array" ref="J4382">IFERROR(INDEX('Retirement Calculator'!K:K,MATCH('Lorri 401b'!N4382,'Retirement Calculator'!A:A,0),0),0)</f>
        <v>0</v>
      </c>
      <c r="K4382" s="444">
        <f t="shared" ca="1" si="168"/>
        <v>-111977633648.04083</v>
      </c>
      <c r="L4382" s="444">
        <f t="shared" ca="1" si="169"/>
        <v>-26986609709177.84</v>
      </c>
      <c r="M4382" s="460">
        <f t="shared" si="171"/>
        <v>0.05</v>
      </c>
      <c r="N4382" s="464">
        <f t="shared" si="172"/>
        <v>184419</v>
      </c>
    </row>
    <row r="4383" spans="7:14" ht="11.25" customHeight="1" x14ac:dyDescent="0.3">
      <c r="G4383" s="459"/>
      <c r="H4383" s="459">
        <v>4376</v>
      </c>
      <c r="I4383" s="444">
        <f t="shared" ca="1" si="170"/>
        <v>-26986609709177.84</v>
      </c>
      <c r="J4383" s="444">
        <f t="array" ref="J4383">IFERROR(INDEX('Retirement Calculator'!K:K,MATCH('Lorri 401b'!N4383,'Retirement Calculator'!A:A,0),0),0)</f>
        <v>0</v>
      </c>
      <c r="K4383" s="444">
        <f t="shared" ca="1" si="168"/>
        <v>-112444207121.57433</v>
      </c>
      <c r="L4383" s="444">
        <f t="shared" ca="1" si="169"/>
        <v>-27099053916299.414</v>
      </c>
      <c r="M4383" s="460">
        <f t="shared" si="171"/>
        <v>0.05</v>
      </c>
      <c r="N4383" s="464">
        <f t="shared" si="172"/>
        <v>184450</v>
      </c>
    </row>
    <row r="4384" spans="7:14" ht="11.25" customHeight="1" x14ac:dyDescent="0.3">
      <c r="G4384" s="459"/>
      <c r="H4384" s="459">
        <v>4377</v>
      </c>
      <c r="I4384" s="444">
        <f t="shared" ca="1" si="170"/>
        <v>-27099053916299.414</v>
      </c>
      <c r="J4384" s="444">
        <f t="array" ref="J4384">IFERROR(INDEX('Retirement Calculator'!K:K,MATCH('Lorri 401b'!N4384,'Retirement Calculator'!A:A,0),0),0)</f>
        <v>0</v>
      </c>
      <c r="K4384" s="444">
        <f t="shared" ca="1" si="168"/>
        <v>-112912724651.24756</v>
      </c>
      <c r="L4384" s="444">
        <f t="shared" ca="1" si="169"/>
        <v>-27211966640950.66</v>
      </c>
      <c r="M4384" s="460">
        <f t="shared" si="171"/>
        <v>0.05</v>
      </c>
      <c r="N4384" s="464">
        <f t="shared" si="172"/>
        <v>184481</v>
      </c>
    </row>
    <row r="4385" spans="7:14" ht="11.25" customHeight="1" x14ac:dyDescent="0.3">
      <c r="G4385" s="459"/>
      <c r="H4385" s="459">
        <v>4378</v>
      </c>
      <c r="I4385" s="444">
        <f t="shared" ca="1" si="170"/>
        <v>-27211966640950.66</v>
      </c>
      <c r="J4385" s="444">
        <f t="array" ref="J4385">IFERROR(INDEX('Retirement Calculator'!K:K,MATCH('Lorri 401b'!N4385,'Retirement Calculator'!A:A,0),0),0)</f>
        <v>0</v>
      </c>
      <c r="K4385" s="444">
        <f t="shared" ca="1" si="168"/>
        <v>-113383194337.29442</v>
      </c>
      <c r="L4385" s="444">
        <f t="shared" ca="1" si="169"/>
        <v>-27325349835287.953</v>
      </c>
      <c r="M4385" s="460">
        <f t="shared" si="171"/>
        <v>0.05</v>
      </c>
      <c r="N4385" s="464">
        <f t="shared" si="172"/>
        <v>184509</v>
      </c>
    </row>
    <row r="4386" spans="7:14" ht="11.25" customHeight="1" x14ac:dyDescent="0.3">
      <c r="G4386" s="459"/>
      <c r="H4386" s="459">
        <v>4379</v>
      </c>
      <c r="I4386" s="444">
        <f t="shared" ca="1" si="170"/>
        <v>-27325349835287.953</v>
      </c>
      <c r="J4386" s="444">
        <f t="array" ref="J4386">IFERROR(INDEX('Retirement Calculator'!K:K,MATCH('Lorri 401b'!N4386,'Retirement Calculator'!A:A,0),0),0)</f>
        <v>0</v>
      </c>
      <c r="K4386" s="444">
        <f t="shared" ca="1" si="168"/>
        <v>-113855624313.6998</v>
      </c>
      <c r="L4386" s="444">
        <f t="shared" ca="1" si="169"/>
        <v>-27439205459601.652</v>
      </c>
      <c r="M4386" s="460">
        <f t="shared" si="171"/>
        <v>0.05</v>
      </c>
      <c r="N4386" s="464">
        <f t="shared" si="172"/>
        <v>184540</v>
      </c>
    </row>
    <row r="4387" spans="7:14" ht="11.25" customHeight="1" x14ac:dyDescent="0.3">
      <c r="G4387" s="459"/>
      <c r="H4387" s="459">
        <v>4380</v>
      </c>
      <c r="I4387" s="444">
        <f t="shared" ca="1" si="170"/>
        <v>-27439205459601.652</v>
      </c>
      <c r="J4387" s="444">
        <f t="array" ref="J4387">IFERROR(INDEX('Retirement Calculator'!K:K,MATCH('Lorri 401b'!N4387,'Retirement Calculator'!A:A,0),0),0)</f>
        <v>0</v>
      </c>
      <c r="K4387" s="444">
        <f t="shared" ca="1" si="168"/>
        <v>-114330022748.34021</v>
      </c>
      <c r="L4387" s="444">
        <f t="shared" ca="1" si="169"/>
        <v>-27553535482349.992</v>
      </c>
      <c r="M4387" s="460">
        <f t="shared" si="171"/>
        <v>0.05</v>
      </c>
      <c r="N4387" s="464">
        <f t="shared" si="172"/>
        <v>184570</v>
      </c>
    </row>
    <row r="4388" spans="7:14" ht="11.25" customHeight="1" x14ac:dyDescent="0.3">
      <c r="G4388" s="459"/>
      <c r="H4388" s="459">
        <v>4381</v>
      </c>
      <c r="I4388" s="444">
        <f t="shared" ca="1" si="170"/>
        <v>-27553535482349.992</v>
      </c>
      <c r="J4388" s="444">
        <f t="array" ref="J4388">IFERROR(INDEX('Retirement Calculator'!K:K,MATCH('Lorri 401b'!N4388,'Retirement Calculator'!A:A,0),0),0)</f>
        <v>0</v>
      </c>
      <c r="K4388" s="444">
        <f t="shared" ca="1" si="168"/>
        <v>-114806397843.12497</v>
      </c>
      <c r="L4388" s="444">
        <f t="shared" ca="1" si="169"/>
        <v>-27668341880193.117</v>
      </c>
      <c r="M4388" s="460">
        <f t="shared" si="171"/>
        <v>0.05</v>
      </c>
      <c r="N4388" s="464">
        <f t="shared" si="172"/>
        <v>184601</v>
      </c>
    </row>
    <row r="4389" spans="7:14" ht="11.25" customHeight="1" x14ac:dyDescent="0.3">
      <c r="G4389" s="459"/>
      <c r="H4389" s="459">
        <v>4382</v>
      </c>
      <c r="I4389" s="444">
        <f t="shared" ca="1" si="170"/>
        <v>-27668341880193.117</v>
      </c>
      <c r="J4389" s="444">
        <f t="array" ref="J4389">IFERROR(INDEX('Retirement Calculator'!K:K,MATCH('Lorri 401b'!N4389,'Retirement Calculator'!A:A,0),0),0)</f>
        <v>0</v>
      </c>
      <c r="K4389" s="444">
        <f t="shared" ca="1" si="168"/>
        <v>-115284757834.13799</v>
      </c>
      <c r="L4389" s="444">
        <f t="shared" ca="1" si="169"/>
        <v>-27783626638027.254</v>
      </c>
      <c r="M4389" s="460">
        <f t="shared" si="171"/>
        <v>0.05</v>
      </c>
      <c r="N4389" s="464">
        <f t="shared" si="172"/>
        <v>184631</v>
      </c>
    </row>
    <row r="4390" spans="7:14" ht="11.25" customHeight="1" x14ac:dyDescent="0.3">
      <c r="G4390" s="459"/>
      <c r="H4390" s="459">
        <v>4383</v>
      </c>
      <c r="I4390" s="444">
        <f t="shared" ca="1" si="170"/>
        <v>-27783626638027.254</v>
      </c>
      <c r="J4390" s="444">
        <f t="array" ref="J4390">IFERROR(INDEX('Retirement Calculator'!K:K,MATCH('Lorri 401b'!N4390,'Retirement Calculator'!A:A,0),0),0)</f>
        <v>0</v>
      </c>
      <c r="K4390" s="444">
        <f t="shared" ca="1" si="168"/>
        <v>-115765110991.78024</v>
      </c>
      <c r="L4390" s="444">
        <f t="shared" ca="1" si="169"/>
        <v>-27899391749019.035</v>
      </c>
      <c r="M4390" s="460">
        <f t="shared" si="171"/>
        <v>0.05</v>
      </c>
      <c r="N4390" s="464">
        <f t="shared" si="172"/>
        <v>184662</v>
      </c>
    </row>
    <row r="4391" spans="7:14" ht="11.25" customHeight="1" x14ac:dyDescent="0.3">
      <c r="G4391" s="459"/>
      <c r="H4391" s="459">
        <v>4384</v>
      </c>
      <c r="I4391" s="444">
        <f t="shared" ca="1" si="170"/>
        <v>-27899391749019.035</v>
      </c>
      <c r="J4391" s="444">
        <f t="array" ref="J4391">IFERROR(INDEX('Retirement Calculator'!K:K,MATCH('Lorri 401b'!N4391,'Retirement Calculator'!A:A,0),0),0)</f>
        <v>0</v>
      </c>
      <c r="K4391" s="444">
        <f t="shared" ca="1" si="168"/>
        <v>-116247465620.91264</v>
      </c>
      <c r="L4391" s="444">
        <f t="shared" ca="1" si="169"/>
        <v>-28015639214639.949</v>
      </c>
      <c r="M4391" s="460">
        <f t="shared" si="171"/>
        <v>0.05</v>
      </c>
      <c r="N4391" s="464">
        <f t="shared" si="172"/>
        <v>184693</v>
      </c>
    </row>
    <row r="4392" spans="7:14" ht="11.25" customHeight="1" x14ac:dyDescent="0.3">
      <c r="G4392" s="459"/>
      <c r="H4392" s="459">
        <v>4385</v>
      </c>
      <c r="I4392" s="444">
        <f t="shared" ca="1" si="170"/>
        <v>-28015639214639.949</v>
      </c>
      <c r="J4392" s="444">
        <f t="array" ref="J4392">IFERROR(INDEX('Retirement Calculator'!K:K,MATCH('Lorri 401b'!N4392,'Retirement Calculator'!A:A,0),0),0)</f>
        <v>0</v>
      </c>
      <c r="K4392" s="444">
        <f t="shared" ca="1" si="168"/>
        <v>-116731830060.9998</v>
      </c>
      <c r="L4392" s="444">
        <f t="shared" ca="1" si="169"/>
        <v>-28132371044700.949</v>
      </c>
      <c r="M4392" s="460">
        <f t="shared" si="171"/>
        <v>0.05</v>
      </c>
      <c r="N4392" s="464">
        <f t="shared" si="172"/>
        <v>184723</v>
      </c>
    </row>
    <row r="4393" spans="7:14" ht="11.25" customHeight="1" x14ac:dyDescent="0.3">
      <c r="G4393" s="459"/>
      <c r="H4393" s="459">
        <v>4386</v>
      </c>
      <c r="I4393" s="444">
        <f t="shared" ca="1" si="170"/>
        <v>-28132371044700.949</v>
      </c>
      <c r="J4393" s="444">
        <f t="array" ref="J4393">IFERROR(INDEX('Retirement Calculator'!K:K,MATCH('Lorri 401b'!N4393,'Retirement Calculator'!A:A,0),0),0)</f>
        <v>0</v>
      </c>
      <c r="K4393" s="444">
        <f t="shared" ca="1" si="168"/>
        <v>-117218212686.25395</v>
      </c>
      <c r="L4393" s="444">
        <f t="shared" ca="1" si="169"/>
        <v>-28249589257387.203</v>
      </c>
      <c r="M4393" s="460">
        <f t="shared" si="171"/>
        <v>0.05</v>
      </c>
      <c r="N4393" s="464">
        <f t="shared" si="172"/>
        <v>184754</v>
      </c>
    </row>
    <row r="4394" spans="7:14" ht="11.25" customHeight="1" x14ac:dyDescent="0.3">
      <c r="G4394" s="459"/>
      <c r="H4394" s="459">
        <v>4387</v>
      </c>
      <c r="I4394" s="444">
        <f t="shared" ca="1" si="170"/>
        <v>-28249589257387.203</v>
      </c>
      <c r="J4394" s="444">
        <f t="array" ref="J4394">IFERROR(INDEX('Retirement Calculator'!K:K,MATCH('Lorri 401b'!N4394,'Retirement Calculator'!A:A,0),0),0)</f>
        <v>0</v>
      </c>
      <c r="K4394" s="444">
        <f t="shared" ca="1" si="168"/>
        <v>-117706621905.78001</v>
      </c>
      <c r="L4394" s="444">
        <f t="shared" ca="1" si="169"/>
        <v>-28367295879292.984</v>
      </c>
      <c r="M4394" s="460">
        <f t="shared" si="171"/>
        <v>0.05</v>
      </c>
      <c r="N4394" s="464">
        <f t="shared" si="172"/>
        <v>184784</v>
      </c>
    </row>
    <row r="4395" spans="7:14" ht="11.25" customHeight="1" x14ac:dyDescent="0.3">
      <c r="G4395" s="459"/>
      <c r="H4395" s="459">
        <v>4388</v>
      </c>
      <c r="I4395" s="444">
        <f t="shared" ca="1" si="170"/>
        <v>-28367295879292.984</v>
      </c>
      <c r="J4395" s="444">
        <f t="array" ref="J4395">IFERROR(INDEX('Retirement Calculator'!K:K,MATCH('Lorri 401b'!N4395,'Retirement Calculator'!A:A,0),0),0)</f>
        <v>0</v>
      </c>
      <c r="K4395" s="444">
        <f t="shared" ca="1" si="168"/>
        <v>-118197066163.72076</v>
      </c>
      <c r="L4395" s="444">
        <f t="shared" ca="1" si="169"/>
        <v>-28485492945456.707</v>
      </c>
      <c r="M4395" s="460">
        <f t="shared" si="171"/>
        <v>0.05</v>
      </c>
      <c r="N4395" s="464">
        <f t="shared" si="172"/>
        <v>184815</v>
      </c>
    </row>
    <row r="4396" spans="7:14" ht="11.25" customHeight="1" x14ac:dyDescent="0.3">
      <c r="G4396" s="459"/>
      <c r="H4396" s="459">
        <v>4389</v>
      </c>
      <c r="I4396" s="444">
        <f t="shared" ca="1" si="170"/>
        <v>-28485492945456.707</v>
      </c>
      <c r="J4396" s="444">
        <f t="array" ref="J4396">IFERROR(INDEX('Retirement Calculator'!K:K,MATCH('Lorri 401b'!N4396,'Retirement Calculator'!A:A,0),0),0)</f>
        <v>0</v>
      </c>
      <c r="K4396" s="444">
        <f t="shared" ca="1" si="168"/>
        <v>-118689553939.40292</v>
      </c>
      <c r="L4396" s="444">
        <f t="shared" ca="1" si="169"/>
        <v>-28604182499396.109</v>
      </c>
      <c r="M4396" s="460">
        <f t="shared" si="171"/>
        <v>0.05</v>
      </c>
      <c r="N4396" s="464">
        <f t="shared" si="172"/>
        <v>184846</v>
      </c>
    </row>
    <row r="4397" spans="7:14" ht="11.25" customHeight="1" x14ac:dyDescent="0.3">
      <c r="G4397" s="459"/>
      <c r="H4397" s="459">
        <v>4390</v>
      </c>
      <c r="I4397" s="444">
        <f t="shared" ca="1" si="170"/>
        <v>-28604182499396.109</v>
      </c>
      <c r="J4397" s="444">
        <f t="array" ref="J4397">IFERROR(INDEX('Retirement Calculator'!K:K,MATCH('Lorri 401b'!N4397,'Retirement Calculator'!A:A,0),0),0)</f>
        <v>0</v>
      </c>
      <c r="K4397" s="444">
        <f t="shared" ca="1" si="168"/>
        <v>-119184093747.48378</v>
      </c>
      <c r="L4397" s="444">
        <f t="shared" ca="1" si="169"/>
        <v>-28723366593143.594</v>
      </c>
      <c r="M4397" s="460">
        <f t="shared" si="171"/>
        <v>0.05</v>
      </c>
      <c r="N4397" s="464">
        <f t="shared" si="172"/>
        <v>184874</v>
      </c>
    </row>
    <row r="4398" spans="7:14" ht="11.25" customHeight="1" x14ac:dyDescent="0.3">
      <c r="G4398" s="459"/>
      <c r="H4398" s="459">
        <v>4391</v>
      </c>
      <c r="I4398" s="444">
        <f t="shared" ca="1" si="170"/>
        <v>-28723366593143.594</v>
      </c>
      <c r="J4398" s="444">
        <f t="array" ref="J4398">IFERROR(INDEX('Retirement Calculator'!K:K,MATCH('Lorri 401b'!N4398,'Retirement Calculator'!A:A,0),0),0)</f>
        <v>0</v>
      </c>
      <c r="K4398" s="444">
        <f t="shared" ca="1" si="168"/>
        <v>-119680694138.09831</v>
      </c>
      <c r="L4398" s="444">
        <f t="shared" ca="1" si="169"/>
        <v>-28843047287281.691</v>
      </c>
      <c r="M4398" s="460">
        <f t="shared" si="171"/>
        <v>0.05</v>
      </c>
      <c r="N4398" s="464">
        <f t="shared" si="172"/>
        <v>184905</v>
      </c>
    </row>
    <row r="4399" spans="7:14" ht="11.25" customHeight="1" x14ac:dyDescent="0.3">
      <c r="G4399" s="459"/>
      <c r="H4399" s="459">
        <v>4392</v>
      </c>
      <c r="I4399" s="444">
        <f t="shared" ca="1" si="170"/>
        <v>-28843047287281.691</v>
      </c>
      <c r="J4399" s="444">
        <f t="array" ref="J4399">IFERROR(INDEX('Retirement Calculator'!K:K,MATCH('Lorri 401b'!N4399,'Retirement Calculator'!A:A,0),0),0)</f>
        <v>0</v>
      </c>
      <c r="K4399" s="444">
        <f t="shared" ca="1" si="168"/>
        <v>-120179363697.00705</v>
      </c>
      <c r="L4399" s="444">
        <f t="shared" ca="1" si="169"/>
        <v>-28963226650978.699</v>
      </c>
      <c r="M4399" s="460">
        <f t="shared" si="171"/>
        <v>0.05</v>
      </c>
      <c r="N4399" s="464">
        <f t="shared" si="172"/>
        <v>184935</v>
      </c>
    </row>
    <row r="4400" spans="7:14" ht="11.25" customHeight="1" x14ac:dyDescent="0.3">
      <c r="G4400" s="459"/>
      <c r="H4400" s="459">
        <v>4393</v>
      </c>
      <c r="I4400" s="444">
        <f t="shared" ca="1" si="170"/>
        <v>-28963226650978.699</v>
      </c>
      <c r="J4400" s="444">
        <f t="array" ref="J4400">IFERROR(INDEX('Retirement Calculator'!K:K,MATCH('Lorri 401b'!N4400,'Retirement Calculator'!A:A,0),0),0)</f>
        <v>0</v>
      </c>
      <c r="K4400" s="444">
        <f t="shared" ca="1" si="168"/>
        <v>-120680111045.74458</v>
      </c>
      <c r="L4400" s="444">
        <f t="shared" ca="1" si="169"/>
        <v>-29083906762024.445</v>
      </c>
      <c r="M4400" s="460">
        <f t="shared" si="171"/>
        <v>0.05</v>
      </c>
      <c r="N4400" s="464">
        <f t="shared" si="172"/>
        <v>184966</v>
      </c>
    </row>
    <row r="4401" spans="7:14" ht="11.25" customHeight="1" x14ac:dyDescent="0.3">
      <c r="G4401" s="459"/>
      <c r="H4401" s="459">
        <v>4394</v>
      </c>
      <c r="I4401" s="444">
        <f t="shared" ca="1" si="170"/>
        <v>-29083906762024.445</v>
      </c>
      <c r="J4401" s="444">
        <f t="array" ref="J4401">IFERROR(INDEX('Retirement Calculator'!K:K,MATCH('Lorri 401b'!N4401,'Retirement Calculator'!A:A,0),0),0)</f>
        <v>0</v>
      </c>
      <c r="K4401" s="444">
        <f t="shared" ca="1" si="168"/>
        <v>-121182944841.76852</v>
      </c>
      <c r="L4401" s="444">
        <f t="shared" ca="1" si="169"/>
        <v>-29205089706866.215</v>
      </c>
      <c r="M4401" s="460">
        <f t="shared" si="171"/>
        <v>0.05</v>
      </c>
      <c r="N4401" s="464">
        <f t="shared" si="172"/>
        <v>184996</v>
      </c>
    </row>
    <row r="4402" spans="7:14" ht="11.25" customHeight="1" x14ac:dyDescent="0.3">
      <c r="G4402" s="459"/>
      <c r="H4402" s="459">
        <v>4395</v>
      </c>
      <c r="I4402" s="444">
        <f t="shared" ca="1" si="170"/>
        <v>-29205089706866.215</v>
      </c>
      <c r="J4402" s="444">
        <f t="array" ref="J4402">IFERROR(INDEX('Retirement Calculator'!K:K,MATCH('Lorri 401b'!N4402,'Retirement Calculator'!A:A,0),0),0)</f>
        <v>0</v>
      </c>
      <c r="K4402" s="444">
        <f t="shared" ca="1" si="168"/>
        <v>-121687873778.60922</v>
      </c>
      <c r="L4402" s="444">
        <f t="shared" ca="1" si="169"/>
        <v>-29326777580644.824</v>
      </c>
      <c r="M4402" s="460">
        <f t="shared" si="171"/>
        <v>0.05</v>
      </c>
      <c r="N4402" s="464">
        <f t="shared" si="172"/>
        <v>185027</v>
      </c>
    </row>
    <row r="4403" spans="7:14" ht="11.25" customHeight="1" x14ac:dyDescent="0.3">
      <c r="G4403" s="459"/>
      <c r="H4403" s="459">
        <v>4396</v>
      </c>
      <c r="I4403" s="444">
        <f t="shared" ca="1" si="170"/>
        <v>-29326777580644.824</v>
      </c>
      <c r="J4403" s="444">
        <f t="array" ref="J4403">IFERROR(INDEX('Retirement Calculator'!K:K,MATCH('Lorri 401b'!N4403,'Retirement Calculator'!A:A,0),0),0)</f>
        <v>0</v>
      </c>
      <c r="K4403" s="444">
        <f t="shared" ca="1" si="168"/>
        <v>-122194906586.02011</v>
      </c>
      <c r="L4403" s="444">
        <f t="shared" ca="1" si="169"/>
        <v>-29448972487230.844</v>
      </c>
      <c r="M4403" s="460">
        <f t="shared" si="171"/>
        <v>0.05</v>
      </c>
      <c r="N4403" s="464">
        <f t="shared" si="172"/>
        <v>185058</v>
      </c>
    </row>
    <row r="4404" spans="7:14" ht="11.25" customHeight="1" x14ac:dyDescent="0.3">
      <c r="G4404" s="459"/>
      <c r="H4404" s="459">
        <v>4397</v>
      </c>
      <c r="I4404" s="444">
        <f t="shared" ca="1" si="170"/>
        <v>-29448972487230.844</v>
      </c>
      <c r="J4404" s="444">
        <f t="array" ref="J4404">IFERROR(INDEX('Retirement Calculator'!K:K,MATCH('Lorri 401b'!N4404,'Retirement Calculator'!A:A,0),0),0)</f>
        <v>0</v>
      </c>
      <c r="K4404" s="444">
        <f t="shared" ca="1" si="168"/>
        <v>-122704052030.12851</v>
      </c>
      <c r="L4404" s="444">
        <f t="shared" ca="1" si="169"/>
        <v>-29571676539260.973</v>
      </c>
      <c r="M4404" s="460">
        <f t="shared" si="171"/>
        <v>0.05</v>
      </c>
      <c r="N4404" s="464">
        <f t="shared" si="172"/>
        <v>185088</v>
      </c>
    </row>
    <row r="4405" spans="7:14" ht="11.25" customHeight="1" x14ac:dyDescent="0.3">
      <c r="G4405" s="459"/>
      <c r="H4405" s="459">
        <v>4398</v>
      </c>
      <c r="I4405" s="444">
        <f t="shared" ca="1" si="170"/>
        <v>-29571676539260.973</v>
      </c>
      <c r="J4405" s="444">
        <f t="array" ref="J4405">IFERROR(INDEX('Retirement Calculator'!K:K,MATCH('Lorri 401b'!N4405,'Retirement Calculator'!A:A,0),0),0)</f>
        <v>0</v>
      </c>
      <c r="K4405" s="444">
        <f t="shared" ca="1" si="168"/>
        <v>-123215318913.58739</v>
      </c>
      <c r="L4405" s="444">
        <f t="shared" ca="1" si="169"/>
        <v>-29694891858174.559</v>
      </c>
      <c r="M4405" s="460">
        <f t="shared" si="171"/>
        <v>0.05</v>
      </c>
      <c r="N4405" s="464">
        <f t="shared" si="172"/>
        <v>185119</v>
      </c>
    </row>
    <row r="4406" spans="7:14" ht="11.25" customHeight="1" x14ac:dyDescent="0.3">
      <c r="G4406" s="459"/>
      <c r="H4406" s="459">
        <v>4399</v>
      </c>
      <c r="I4406" s="444">
        <f t="shared" ca="1" si="170"/>
        <v>-29694891858174.559</v>
      </c>
      <c r="J4406" s="444">
        <f t="array" ref="J4406">IFERROR(INDEX('Retirement Calculator'!K:K,MATCH('Lorri 401b'!N4406,'Retirement Calculator'!A:A,0),0),0)</f>
        <v>0</v>
      </c>
      <c r="K4406" s="444">
        <f t="shared" ca="1" si="168"/>
        <v>-123728716075.72731</v>
      </c>
      <c r="L4406" s="444">
        <f t="shared" ca="1" si="169"/>
        <v>-29818620574250.285</v>
      </c>
      <c r="M4406" s="460">
        <f t="shared" si="171"/>
        <v>0.05</v>
      </c>
      <c r="N4406" s="464">
        <f t="shared" si="172"/>
        <v>185149</v>
      </c>
    </row>
    <row r="4407" spans="7:14" ht="11.25" customHeight="1" x14ac:dyDescent="0.3">
      <c r="G4407" s="459"/>
      <c r="H4407" s="459">
        <v>4400</v>
      </c>
      <c r="I4407" s="444">
        <f t="shared" ca="1" si="170"/>
        <v>-29818620574250.285</v>
      </c>
      <c r="J4407" s="444">
        <f t="array" ref="J4407">IFERROR(INDEX('Retirement Calculator'!K:K,MATCH('Lorri 401b'!N4407,'Retirement Calculator'!A:A,0),0),0)</f>
        <v>0</v>
      </c>
      <c r="K4407" s="444">
        <f t="shared" ca="1" si="168"/>
        <v>-124244252392.70952</v>
      </c>
      <c r="L4407" s="444">
        <f t="shared" ca="1" si="169"/>
        <v>-29942864826642.996</v>
      </c>
      <c r="M4407" s="460">
        <f t="shared" si="171"/>
        <v>0.05</v>
      </c>
      <c r="N4407" s="464">
        <f t="shared" si="172"/>
        <v>185180</v>
      </c>
    </row>
    <row r="4408" spans="7:14" ht="11.25" customHeight="1" x14ac:dyDescent="0.3">
      <c r="G4408" s="459"/>
      <c r="H4408" s="459">
        <v>4401</v>
      </c>
      <c r="I4408" s="444">
        <f t="shared" ca="1" si="170"/>
        <v>-29942864826642.996</v>
      </c>
      <c r="J4408" s="444">
        <f t="array" ref="J4408">IFERROR(INDEX('Retirement Calculator'!K:K,MATCH('Lorri 401b'!N4408,'Retirement Calculator'!A:A,0),0),0)</f>
        <v>0</v>
      </c>
      <c r="K4408" s="444">
        <f t="shared" ca="1" si="168"/>
        <v>-124761936777.67917</v>
      </c>
      <c r="L4408" s="444">
        <f t="shared" ca="1" si="169"/>
        <v>-30067626763420.676</v>
      </c>
      <c r="M4408" s="460">
        <f t="shared" si="171"/>
        <v>0.05</v>
      </c>
      <c r="N4408" s="464">
        <f t="shared" si="172"/>
        <v>185211</v>
      </c>
    </row>
    <row r="4409" spans="7:14" ht="11.25" customHeight="1" x14ac:dyDescent="0.3">
      <c r="G4409" s="459"/>
      <c r="H4409" s="459">
        <v>4402</v>
      </c>
      <c r="I4409" s="444">
        <f t="shared" ca="1" si="170"/>
        <v>-30067626763420.676</v>
      </c>
      <c r="J4409" s="444">
        <f t="array" ref="J4409">IFERROR(INDEX('Retirement Calculator'!K:K,MATCH('Lorri 401b'!N4409,'Retirement Calculator'!A:A,0),0),0)</f>
        <v>0</v>
      </c>
      <c r="K4409" s="444">
        <f t="shared" ca="1" si="168"/>
        <v>-125281778180.91948</v>
      </c>
      <c r="L4409" s="444">
        <f t="shared" ca="1" si="169"/>
        <v>-30192908541601.594</v>
      </c>
      <c r="M4409" s="460">
        <f t="shared" si="171"/>
        <v>0.05</v>
      </c>
      <c r="N4409" s="464">
        <f t="shared" si="172"/>
        <v>185239</v>
      </c>
    </row>
    <row r="4410" spans="7:14" ht="11.25" customHeight="1" x14ac:dyDescent="0.3">
      <c r="G4410" s="459"/>
      <c r="H4410" s="459">
        <v>4403</v>
      </c>
      <c r="I4410" s="444">
        <f t="shared" ca="1" si="170"/>
        <v>-30192908541601.594</v>
      </c>
      <c r="J4410" s="444">
        <f t="array" ref="J4410">IFERROR(INDEX('Retirement Calculator'!K:K,MATCH('Lorri 401b'!N4410,'Retirement Calculator'!A:A,0),0),0)</f>
        <v>0</v>
      </c>
      <c r="K4410" s="444">
        <f t="shared" ca="1" si="168"/>
        <v>-125803785590.00664</v>
      </c>
      <c r="L4410" s="444">
        <f t="shared" ca="1" si="169"/>
        <v>-30318712327191.602</v>
      </c>
      <c r="M4410" s="460">
        <f t="shared" si="171"/>
        <v>0.05</v>
      </c>
      <c r="N4410" s="464">
        <f t="shared" si="172"/>
        <v>185270</v>
      </c>
    </row>
    <row r="4411" spans="7:14" ht="11.25" customHeight="1" x14ac:dyDescent="0.3">
      <c r="G4411" s="459"/>
      <c r="H4411" s="459">
        <v>4404</v>
      </c>
      <c r="I4411" s="444">
        <f t="shared" ca="1" si="170"/>
        <v>-30318712327191.602</v>
      </c>
      <c r="J4411" s="444">
        <f t="array" ref="J4411">IFERROR(INDEX('Retirement Calculator'!K:K,MATCH('Lorri 401b'!N4411,'Retirement Calculator'!A:A,0),0),0)</f>
        <v>0</v>
      </c>
      <c r="K4411" s="444">
        <f t="shared" ca="1" si="168"/>
        <v>-126327968029.96498</v>
      </c>
      <c r="L4411" s="444">
        <f t="shared" ca="1" si="169"/>
        <v>-30445040295221.566</v>
      </c>
      <c r="M4411" s="460">
        <f t="shared" si="171"/>
        <v>0.05</v>
      </c>
      <c r="N4411" s="464">
        <f t="shared" si="172"/>
        <v>185300</v>
      </c>
    </row>
    <row r="4412" spans="7:14" ht="11.25" customHeight="1" x14ac:dyDescent="0.3">
      <c r="G4412" s="459"/>
      <c r="H4412" s="459">
        <v>4405</v>
      </c>
      <c r="I4412" s="444">
        <f t="shared" ca="1" si="170"/>
        <v>-30445040295221.566</v>
      </c>
      <c r="J4412" s="444">
        <f t="array" ref="J4412">IFERROR(INDEX('Retirement Calculator'!K:K,MATCH('Lorri 401b'!N4412,'Retirement Calculator'!A:A,0),0),0)</f>
        <v>0</v>
      </c>
      <c r="K4412" s="444">
        <f t="shared" ca="1" si="168"/>
        <v>-126854334563.42319</v>
      </c>
      <c r="L4412" s="444">
        <f t="shared" ca="1" si="169"/>
        <v>-30571894629784.988</v>
      </c>
      <c r="M4412" s="460">
        <f t="shared" si="171"/>
        <v>0.05</v>
      </c>
      <c r="N4412" s="464">
        <f t="shared" si="172"/>
        <v>185331</v>
      </c>
    </row>
    <row r="4413" spans="7:14" ht="11.25" customHeight="1" x14ac:dyDescent="0.3">
      <c r="G4413" s="459"/>
      <c r="H4413" s="459">
        <v>4406</v>
      </c>
      <c r="I4413" s="444">
        <f t="shared" ca="1" si="170"/>
        <v>-30571894629784.988</v>
      </c>
      <c r="J4413" s="444">
        <f t="array" ref="J4413">IFERROR(INDEX('Retirement Calculator'!K:K,MATCH('Lorri 401b'!N4413,'Retirement Calculator'!A:A,0),0),0)</f>
        <v>0</v>
      </c>
      <c r="K4413" s="444">
        <f t="shared" ca="1" si="168"/>
        <v>-127382894290.77077</v>
      </c>
      <c r="L4413" s="444">
        <f t="shared" ca="1" si="169"/>
        <v>-30699277524075.758</v>
      </c>
      <c r="M4413" s="460">
        <f t="shared" si="171"/>
        <v>0.05</v>
      </c>
      <c r="N4413" s="464">
        <f t="shared" si="172"/>
        <v>185361</v>
      </c>
    </row>
    <row r="4414" spans="7:14" ht="11.25" customHeight="1" x14ac:dyDescent="0.3">
      <c r="G4414" s="459"/>
      <c r="H4414" s="459">
        <v>4407</v>
      </c>
      <c r="I4414" s="444">
        <f t="shared" ca="1" si="170"/>
        <v>-30699277524075.758</v>
      </c>
      <c r="J4414" s="444">
        <f t="array" ref="J4414">IFERROR(INDEX('Retirement Calculator'!K:K,MATCH('Lorri 401b'!N4414,'Retirement Calculator'!A:A,0),0),0)</f>
        <v>0</v>
      </c>
      <c r="K4414" s="444">
        <f t="shared" ca="1" si="168"/>
        <v>-127913656350.31566</v>
      </c>
      <c r="L4414" s="444">
        <f t="shared" ca="1" si="169"/>
        <v>-30827191180426.074</v>
      </c>
      <c r="M4414" s="460">
        <f t="shared" si="171"/>
        <v>0.05</v>
      </c>
      <c r="N4414" s="464">
        <f t="shared" si="172"/>
        <v>185392</v>
      </c>
    </row>
    <row r="4415" spans="7:14" ht="11.25" customHeight="1" x14ac:dyDescent="0.3">
      <c r="G4415" s="459"/>
      <c r="H4415" s="459">
        <v>4408</v>
      </c>
      <c r="I4415" s="444">
        <f t="shared" ca="1" si="170"/>
        <v>-30827191180426.074</v>
      </c>
      <c r="J4415" s="444">
        <f t="array" ref="J4415">IFERROR(INDEX('Retirement Calculator'!K:K,MATCH('Lorri 401b'!N4415,'Retirement Calculator'!A:A,0),0),0)</f>
        <v>0</v>
      </c>
      <c r="K4415" s="444">
        <f t="shared" ca="1" si="168"/>
        <v>-128446629918.44197</v>
      </c>
      <c r="L4415" s="444">
        <f t="shared" ca="1" si="169"/>
        <v>-30955637810344.516</v>
      </c>
      <c r="M4415" s="460">
        <f t="shared" si="171"/>
        <v>0.05</v>
      </c>
      <c r="N4415" s="464">
        <f t="shared" si="172"/>
        <v>185423</v>
      </c>
    </row>
    <row r="4416" spans="7:14" ht="11.25" customHeight="1" x14ac:dyDescent="0.3">
      <c r="G4416" s="459"/>
      <c r="H4416" s="459">
        <v>4409</v>
      </c>
      <c r="I4416" s="444">
        <f t="shared" ca="1" si="170"/>
        <v>-30955637810344.516</v>
      </c>
      <c r="J4416" s="444">
        <f t="array" ref="J4416">IFERROR(INDEX('Retirement Calculator'!K:K,MATCH('Lorri 401b'!N4416,'Retirement Calculator'!A:A,0),0),0)</f>
        <v>0</v>
      </c>
      <c r="K4416" s="444">
        <f t="shared" ca="1" si="168"/>
        <v>-128981824209.76881</v>
      </c>
      <c r="L4416" s="444">
        <f t="shared" ca="1" si="169"/>
        <v>-31084619634554.285</v>
      </c>
      <c r="M4416" s="460">
        <f t="shared" si="171"/>
        <v>0.05</v>
      </c>
      <c r="N4416" s="464">
        <f t="shared" si="172"/>
        <v>185453</v>
      </c>
    </row>
    <row r="4417" spans="7:14" ht="11.25" customHeight="1" x14ac:dyDescent="0.3">
      <c r="G4417" s="459"/>
      <c r="H4417" s="459">
        <v>4410</v>
      </c>
      <c r="I4417" s="444">
        <f t="shared" ca="1" si="170"/>
        <v>-31084619634554.285</v>
      </c>
      <c r="J4417" s="444">
        <f t="array" ref="J4417">IFERROR(INDEX('Retirement Calculator'!K:K,MATCH('Lorri 401b'!N4417,'Retirement Calculator'!A:A,0),0),0)</f>
        <v>0</v>
      </c>
      <c r="K4417" s="444">
        <f t="shared" ca="1" si="168"/>
        <v>-129519248477.30952</v>
      </c>
      <c r="L4417" s="444">
        <f t="shared" ca="1" si="169"/>
        <v>-31214138883031.594</v>
      </c>
      <c r="M4417" s="460">
        <f t="shared" si="171"/>
        <v>0.05</v>
      </c>
      <c r="N4417" s="464">
        <f t="shared" si="172"/>
        <v>185484</v>
      </c>
    </row>
    <row r="4418" spans="7:14" ht="11.25" customHeight="1" x14ac:dyDescent="0.3">
      <c r="G4418" s="459"/>
      <c r="H4418" s="459">
        <v>4411</v>
      </c>
      <c r="I4418" s="444">
        <f t="shared" ca="1" si="170"/>
        <v>-31214138883031.594</v>
      </c>
      <c r="J4418" s="444">
        <f t="array" ref="J4418">IFERROR(INDEX('Retirement Calculator'!K:K,MATCH('Lorri 401b'!N4418,'Retirement Calculator'!A:A,0),0),0)</f>
        <v>0</v>
      </c>
      <c r="K4418" s="444">
        <f t="shared" ca="1" si="168"/>
        <v>-130058912012.63164</v>
      </c>
      <c r="L4418" s="444">
        <f t="shared" ca="1" si="169"/>
        <v>-31344197795044.227</v>
      </c>
      <c r="M4418" s="460">
        <f t="shared" si="171"/>
        <v>0.05</v>
      </c>
      <c r="N4418" s="464">
        <f t="shared" si="172"/>
        <v>185514</v>
      </c>
    </row>
    <row r="4419" spans="7:14" ht="11.25" customHeight="1" x14ac:dyDescent="0.3">
      <c r="G4419" s="459"/>
      <c r="H4419" s="459">
        <v>4412</v>
      </c>
      <c r="I4419" s="444">
        <f t="shared" ca="1" si="170"/>
        <v>-31344197795044.227</v>
      </c>
      <c r="J4419" s="444">
        <f t="array" ref="J4419">IFERROR(INDEX('Retirement Calculator'!K:K,MATCH('Lorri 401b'!N4419,'Retirement Calculator'!A:A,0),0),0)</f>
        <v>0</v>
      </c>
      <c r="K4419" s="444">
        <f t="shared" ca="1" si="168"/>
        <v>-130600824146.01762</v>
      </c>
      <c r="L4419" s="444">
        <f t="shared" ca="1" si="169"/>
        <v>-31474798619190.246</v>
      </c>
      <c r="M4419" s="460">
        <f t="shared" si="171"/>
        <v>0.05</v>
      </c>
      <c r="N4419" s="464">
        <f t="shared" si="172"/>
        <v>185545</v>
      </c>
    </row>
    <row r="4420" spans="7:14" ht="11.25" customHeight="1" x14ac:dyDescent="0.3">
      <c r="G4420" s="459"/>
      <c r="H4420" s="459">
        <v>4413</v>
      </c>
      <c r="I4420" s="444">
        <f t="shared" ca="1" si="170"/>
        <v>-31474798619190.246</v>
      </c>
      <c r="J4420" s="444">
        <f t="array" ref="J4420">IFERROR(INDEX('Retirement Calculator'!K:K,MATCH('Lorri 401b'!N4420,'Retirement Calculator'!A:A,0),0),0)</f>
        <v>0</v>
      </c>
      <c r="K4420" s="444">
        <f t="shared" ca="1" si="168"/>
        <v>-131144994246.62602</v>
      </c>
      <c r="L4420" s="444">
        <f t="shared" ca="1" si="169"/>
        <v>-31605943613436.871</v>
      </c>
      <c r="M4420" s="460">
        <f t="shared" si="171"/>
        <v>0.05</v>
      </c>
      <c r="N4420" s="464">
        <f t="shared" si="172"/>
        <v>185576</v>
      </c>
    </row>
    <row r="4421" spans="7:14" ht="11.25" customHeight="1" x14ac:dyDescent="0.3">
      <c r="G4421" s="459"/>
      <c r="H4421" s="459">
        <v>4414</v>
      </c>
      <c r="I4421" s="444">
        <f t="shared" ca="1" si="170"/>
        <v>-31605943613436.871</v>
      </c>
      <c r="J4421" s="444">
        <f t="array" ref="J4421">IFERROR(INDEX('Retirement Calculator'!K:K,MATCH('Lorri 401b'!N4421,'Retirement Calculator'!A:A,0),0),0)</f>
        <v>0</v>
      </c>
      <c r="K4421" s="444">
        <f t="shared" ca="1" si="168"/>
        <v>-131691431722.65364</v>
      </c>
      <c r="L4421" s="444">
        <f t="shared" ca="1" si="169"/>
        <v>-31737635045159.523</v>
      </c>
      <c r="M4421" s="460">
        <f t="shared" si="171"/>
        <v>0.05</v>
      </c>
      <c r="N4421" s="464">
        <f t="shared" si="172"/>
        <v>185605</v>
      </c>
    </row>
    <row r="4422" spans="7:14" ht="11.25" customHeight="1" x14ac:dyDescent="0.3">
      <c r="G4422" s="459"/>
      <c r="H4422" s="459">
        <v>4415</v>
      </c>
      <c r="I4422" s="444">
        <f t="shared" ca="1" si="170"/>
        <v>-31737635045159.523</v>
      </c>
      <c r="J4422" s="444">
        <f t="array" ref="J4422">IFERROR(INDEX('Retirement Calculator'!K:K,MATCH('Lorri 401b'!N4422,'Retirement Calculator'!A:A,0),0),0)</f>
        <v>0</v>
      </c>
      <c r="K4422" s="444">
        <f t="shared" ca="1" si="168"/>
        <v>-132240146021.49802</v>
      </c>
      <c r="L4422" s="444">
        <f t="shared" ca="1" si="169"/>
        <v>-31869875191181.02</v>
      </c>
      <c r="M4422" s="460">
        <f t="shared" si="171"/>
        <v>0.05</v>
      </c>
      <c r="N4422" s="464">
        <f t="shared" si="172"/>
        <v>185636</v>
      </c>
    </row>
    <row r="4423" spans="7:14" ht="11.25" customHeight="1" x14ac:dyDescent="0.3">
      <c r="G4423" s="459"/>
      <c r="H4423" s="459">
        <v>4416</v>
      </c>
      <c r="I4423" s="444">
        <f t="shared" ca="1" si="170"/>
        <v>-31869875191181.02</v>
      </c>
      <c r="J4423" s="444">
        <f t="array" ref="J4423">IFERROR(INDEX('Retirement Calculator'!K:K,MATCH('Lorri 401b'!N4423,'Retirement Calculator'!A:A,0),0),0)</f>
        <v>0</v>
      </c>
      <c r="K4423" s="444">
        <f t="shared" ca="1" si="168"/>
        <v>-132791146629.92091</v>
      </c>
      <c r="L4423" s="444">
        <f t="shared" ca="1" si="169"/>
        <v>-32002666337810.941</v>
      </c>
      <c r="M4423" s="460">
        <f t="shared" si="171"/>
        <v>0.05</v>
      </c>
      <c r="N4423" s="464">
        <f t="shared" si="172"/>
        <v>185666</v>
      </c>
    </row>
    <row r="4424" spans="7:14" ht="11.25" customHeight="1" x14ac:dyDescent="0.3">
      <c r="G4424" s="459"/>
      <c r="H4424" s="459">
        <v>4417</v>
      </c>
      <c r="I4424" s="444">
        <f t="shared" ca="1" si="170"/>
        <v>-32002666337810.941</v>
      </c>
      <c r="J4424" s="444">
        <f t="array" ref="J4424">IFERROR(INDEX('Retirement Calculator'!K:K,MATCH('Lorri 401b'!N4424,'Retirement Calculator'!A:A,0),0),0)</f>
        <v>0</v>
      </c>
      <c r="K4424" s="444">
        <f t="shared" ca="1" si="168"/>
        <v>-133344443074.21225</v>
      </c>
      <c r="L4424" s="444">
        <f t="shared" ca="1" si="169"/>
        <v>-32136010780885.152</v>
      </c>
      <c r="M4424" s="460">
        <f t="shared" si="171"/>
        <v>0.05</v>
      </c>
      <c r="N4424" s="464">
        <f t="shared" si="172"/>
        <v>185697</v>
      </c>
    </row>
    <row r="4425" spans="7:14" ht="11.25" customHeight="1" x14ac:dyDescent="0.3">
      <c r="G4425" s="459"/>
      <c r="H4425" s="459">
        <v>4418</v>
      </c>
      <c r="I4425" s="444">
        <f t="shared" ca="1" si="170"/>
        <v>-32136010780885.152</v>
      </c>
      <c r="J4425" s="444">
        <f t="array" ref="J4425">IFERROR(INDEX('Retirement Calculator'!K:K,MATCH('Lorri 401b'!N4425,'Retirement Calculator'!A:A,0),0),0)</f>
        <v>0</v>
      </c>
      <c r="K4425" s="444">
        <f t="shared" ca="1" si="168"/>
        <v>-133900044920.3548</v>
      </c>
      <c r="L4425" s="444">
        <f t="shared" ca="1" si="169"/>
        <v>-32269910825805.508</v>
      </c>
      <c r="M4425" s="460">
        <f t="shared" si="171"/>
        <v>0.05</v>
      </c>
      <c r="N4425" s="464">
        <f t="shared" si="172"/>
        <v>185727</v>
      </c>
    </row>
    <row r="4426" spans="7:14" ht="11.25" customHeight="1" x14ac:dyDescent="0.3">
      <c r="G4426" s="459"/>
      <c r="H4426" s="459">
        <v>4419</v>
      </c>
      <c r="I4426" s="444">
        <f t="shared" ca="1" si="170"/>
        <v>-32269910825805.508</v>
      </c>
      <c r="J4426" s="444">
        <f t="array" ref="J4426">IFERROR(INDEX('Retirement Calculator'!K:K,MATCH('Lorri 401b'!N4426,'Retirement Calculator'!A:A,0),0),0)</f>
        <v>0</v>
      </c>
      <c r="K4426" s="444">
        <f t="shared" ca="1" si="168"/>
        <v>-134457961774.18962</v>
      </c>
      <c r="L4426" s="444">
        <f t="shared" ca="1" si="169"/>
        <v>-32404368787579.699</v>
      </c>
      <c r="M4426" s="460">
        <f t="shared" si="171"/>
        <v>0.05</v>
      </c>
      <c r="N4426" s="464">
        <f t="shared" si="172"/>
        <v>185758</v>
      </c>
    </row>
    <row r="4427" spans="7:14" ht="11.25" customHeight="1" x14ac:dyDescent="0.3">
      <c r="G4427" s="459"/>
      <c r="H4427" s="459">
        <v>4420</v>
      </c>
      <c r="I4427" s="444">
        <f t="shared" ca="1" si="170"/>
        <v>-32404368787579.699</v>
      </c>
      <c r="J4427" s="444">
        <f t="array" ref="J4427">IFERROR(INDEX('Retirement Calculator'!K:K,MATCH('Lorri 401b'!N4427,'Retirement Calculator'!A:A,0),0),0)</f>
        <v>0</v>
      </c>
      <c r="K4427" s="444">
        <f t="shared" ca="1" si="168"/>
        <v>-135018203281.58206</v>
      </c>
      <c r="L4427" s="444">
        <f t="shared" ca="1" si="169"/>
        <v>-32539386990861.281</v>
      </c>
      <c r="M4427" s="460">
        <f t="shared" si="171"/>
        <v>0.05</v>
      </c>
      <c r="N4427" s="464">
        <f t="shared" si="172"/>
        <v>185789</v>
      </c>
    </row>
    <row r="4428" spans="7:14" ht="11.25" customHeight="1" x14ac:dyDescent="0.3">
      <c r="G4428" s="459"/>
      <c r="H4428" s="459">
        <v>4421</v>
      </c>
      <c r="I4428" s="444">
        <f t="shared" ca="1" si="170"/>
        <v>-32539386990861.281</v>
      </c>
      <c r="J4428" s="444">
        <f t="array" ref="J4428">IFERROR(INDEX('Retirement Calculator'!K:K,MATCH('Lorri 401b'!N4428,'Retirement Calculator'!A:A,0),0),0)</f>
        <v>0</v>
      </c>
      <c r="K4428" s="444">
        <f t="shared" ca="1" si="168"/>
        <v>-135580779128.58865</v>
      </c>
      <c r="L4428" s="444">
        <f t="shared" ca="1" si="169"/>
        <v>-32674967769989.871</v>
      </c>
      <c r="M4428" s="460">
        <f t="shared" si="171"/>
        <v>0.05</v>
      </c>
      <c r="N4428" s="464">
        <f t="shared" si="172"/>
        <v>185819</v>
      </c>
    </row>
    <row r="4429" spans="7:14" ht="11.25" customHeight="1" x14ac:dyDescent="0.3">
      <c r="G4429" s="459"/>
      <c r="H4429" s="459">
        <v>4422</v>
      </c>
      <c r="I4429" s="444">
        <f t="shared" ca="1" si="170"/>
        <v>-32674967769989.871</v>
      </c>
      <c r="J4429" s="444">
        <f t="array" ref="J4429">IFERROR(INDEX('Retirement Calculator'!K:K,MATCH('Lorri 401b'!N4429,'Retirement Calculator'!A:A,0),0),0)</f>
        <v>0</v>
      </c>
      <c r="K4429" s="444">
        <f t="shared" ca="1" si="168"/>
        <v>-136145699041.62447</v>
      </c>
      <c r="L4429" s="444">
        <f t="shared" ca="1" si="169"/>
        <v>-32811113469031.496</v>
      </c>
      <c r="M4429" s="460">
        <f t="shared" si="171"/>
        <v>0.05</v>
      </c>
      <c r="N4429" s="464">
        <f t="shared" si="172"/>
        <v>185850</v>
      </c>
    </row>
    <row r="4430" spans="7:14" ht="11.25" customHeight="1" x14ac:dyDescent="0.3">
      <c r="G4430" s="459"/>
      <c r="H4430" s="459">
        <v>4423</v>
      </c>
      <c r="I4430" s="444">
        <f t="shared" ca="1" si="170"/>
        <v>-32811113469031.496</v>
      </c>
      <c r="J4430" s="444">
        <f t="array" ref="J4430">IFERROR(INDEX('Retirement Calculator'!K:K,MATCH('Lorri 401b'!N4430,'Retirement Calculator'!A:A,0),0),0)</f>
        <v>0</v>
      </c>
      <c r="K4430" s="444">
        <f t="shared" ca="1" si="168"/>
        <v>-136712972787.63123</v>
      </c>
      <c r="L4430" s="444">
        <f t="shared" ca="1" si="169"/>
        <v>-32947826441819.129</v>
      </c>
      <c r="M4430" s="460">
        <f t="shared" si="171"/>
        <v>0.05</v>
      </c>
      <c r="N4430" s="464">
        <f t="shared" si="172"/>
        <v>185880</v>
      </c>
    </row>
    <row r="4431" spans="7:14" ht="11.25" customHeight="1" x14ac:dyDescent="0.3">
      <c r="G4431" s="459"/>
      <c r="H4431" s="459">
        <v>4424</v>
      </c>
      <c r="I4431" s="444">
        <f t="shared" ca="1" si="170"/>
        <v>-32947826441819.129</v>
      </c>
      <c r="J4431" s="444">
        <f t="array" ref="J4431">IFERROR(INDEX('Retirement Calculator'!K:K,MATCH('Lorri 401b'!N4431,'Retirement Calculator'!A:A,0),0),0)</f>
        <v>0</v>
      </c>
      <c r="K4431" s="444">
        <f t="shared" ca="1" si="168"/>
        <v>-137282610174.24637</v>
      </c>
      <c r="L4431" s="444">
        <f t="shared" ca="1" si="169"/>
        <v>-33085109051993.375</v>
      </c>
      <c r="M4431" s="460">
        <f t="shared" si="171"/>
        <v>0.05</v>
      </c>
      <c r="N4431" s="464">
        <f t="shared" si="172"/>
        <v>185911</v>
      </c>
    </row>
    <row r="4432" spans="7:14" ht="11.25" customHeight="1" x14ac:dyDescent="0.3">
      <c r="G4432" s="459"/>
      <c r="H4432" s="459">
        <v>4425</v>
      </c>
      <c r="I4432" s="444">
        <f t="shared" ca="1" si="170"/>
        <v>-33085109051993.375</v>
      </c>
      <c r="J4432" s="444">
        <f t="array" ref="J4432">IFERROR(INDEX('Retirement Calculator'!K:K,MATCH('Lorri 401b'!N4432,'Retirement Calculator'!A:A,0),0),0)</f>
        <v>0</v>
      </c>
      <c r="K4432" s="444">
        <f t="shared" ca="1" si="168"/>
        <v>-137854621049.97238</v>
      </c>
      <c r="L4432" s="444">
        <f t="shared" ca="1" si="169"/>
        <v>-33222963673043.348</v>
      </c>
      <c r="M4432" s="460">
        <f t="shared" si="171"/>
        <v>0.05</v>
      </c>
      <c r="N4432" s="464">
        <f t="shared" si="172"/>
        <v>185942</v>
      </c>
    </row>
    <row r="4433" spans="7:14" ht="11.25" customHeight="1" x14ac:dyDescent="0.3">
      <c r="G4433" s="459"/>
      <c r="H4433" s="459">
        <v>4426</v>
      </c>
      <c r="I4433" s="444">
        <f t="shared" ca="1" si="170"/>
        <v>-33222963673043.348</v>
      </c>
      <c r="J4433" s="444">
        <f t="array" ref="J4433">IFERROR(INDEX('Retirement Calculator'!K:K,MATCH('Lorri 401b'!N4433,'Retirement Calculator'!A:A,0),0),0)</f>
        <v>0</v>
      </c>
      <c r="K4433" s="444">
        <f t="shared" ca="1" si="168"/>
        <v>-138429015304.34729</v>
      </c>
      <c r="L4433" s="444">
        <f t="shared" ca="1" si="169"/>
        <v>-33361392688347.695</v>
      </c>
      <c r="M4433" s="460">
        <f t="shared" si="171"/>
        <v>0.05</v>
      </c>
      <c r="N4433" s="464">
        <f t="shared" si="172"/>
        <v>185970</v>
      </c>
    </row>
    <row r="4434" spans="7:14" ht="11.25" customHeight="1" x14ac:dyDescent="0.3">
      <c r="G4434" s="459"/>
      <c r="H4434" s="459">
        <v>4427</v>
      </c>
      <c r="I4434" s="444">
        <f t="shared" ca="1" si="170"/>
        <v>-33361392688347.695</v>
      </c>
      <c r="J4434" s="444">
        <f t="array" ref="J4434">IFERROR(INDEX('Retirement Calculator'!K:K,MATCH('Lorri 401b'!N4434,'Retirement Calculator'!A:A,0),0),0)</f>
        <v>0</v>
      </c>
      <c r="K4434" s="444">
        <f t="shared" ca="1" si="168"/>
        <v>-139005802868.11539</v>
      </c>
      <c r="L4434" s="444">
        <f t="shared" ca="1" si="169"/>
        <v>-33500398491215.813</v>
      </c>
      <c r="M4434" s="460">
        <f t="shared" si="171"/>
        <v>0.05</v>
      </c>
      <c r="N4434" s="464">
        <f t="shared" si="172"/>
        <v>186001</v>
      </c>
    </row>
    <row r="4435" spans="7:14" ht="11.25" customHeight="1" x14ac:dyDescent="0.3">
      <c r="G4435" s="459"/>
      <c r="H4435" s="459">
        <v>4428</v>
      </c>
      <c r="I4435" s="444">
        <f t="shared" ca="1" si="170"/>
        <v>-33500398491215.813</v>
      </c>
      <c r="J4435" s="444">
        <f t="array" ref="J4435">IFERROR(INDEX('Retirement Calculator'!K:K,MATCH('Lorri 401b'!N4435,'Retirement Calculator'!A:A,0),0),0)</f>
        <v>0</v>
      </c>
      <c r="K4435" s="444">
        <f t="shared" ca="1" si="168"/>
        <v>-139584993713.39923</v>
      </c>
      <c r="L4435" s="444">
        <f t="shared" ca="1" si="169"/>
        <v>-33639983484929.211</v>
      </c>
      <c r="M4435" s="460">
        <f t="shared" si="171"/>
        <v>0.05</v>
      </c>
      <c r="N4435" s="464">
        <f t="shared" si="172"/>
        <v>186031</v>
      </c>
    </row>
    <row r="4436" spans="7:14" ht="11.25" customHeight="1" x14ac:dyDescent="0.3">
      <c r="G4436" s="459"/>
      <c r="H4436" s="459">
        <v>4429</v>
      </c>
      <c r="I4436" s="444">
        <f t="shared" ca="1" si="170"/>
        <v>-33639983484929.211</v>
      </c>
      <c r="J4436" s="444">
        <f t="array" ref="J4436">IFERROR(INDEX('Retirement Calculator'!K:K,MATCH('Lorri 401b'!N4436,'Retirement Calculator'!A:A,0),0),0)</f>
        <v>0</v>
      </c>
      <c r="K4436" s="444">
        <f t="shared" ca="1" si="168"/>
        <v>-140166597853.8717</v>
      </c>
      <c r="L4436" s="444">
        <f t="shared" ca="1" si="169"/>
        <v>-33780150082783.082</v>
      </c>
      <c r="M4436" s="460">
        <f t="shared" si="171"/>
        <v>0.05</v>
      </c>
      <c r="N4436" s="464">
        <f t="shared" si="172"/>
        <v>186062</v>
      </c>
    </row>
    <row r="4437" spans="7:14" ht="11.25" customHeight="1" x14ac:dyDescent="0.3">
      <c r="G4437" s="459"/>
      <c r="H4437" s="459">
        <v>4430</v>
      </c>
      <c r="I4437" s="444">
        <f t="shared" ca="1" si="170"/>
        <v>-33780150082783.082</v>
      </c>
      <c r="J4437" s="444">
        <f t="array" ref="J4437">IFERROR(INDEX('Retirement Calculator'!K:K,MATCH('Lorri 401b'!N4437,'Retirement Calculator'!A:A,0),0),0)</f>
        <v>0</v>
      </c>
      <c r="K4437" s="444">
        <f t="shared" ca="1" si="168"/>
        <v>-140750625344.9295</v>
      </c>
      <c r="L4437" s="444">
        <f t="shared" ca="1" si="169"/>
        <v>-33920900708128.012</v>
      </c>
      <c r="M4437" s="460">
        <f t="shared" si="171"/>
        <v>0.05</v>
      </c>
      <c r="N4437" s="464">
        <f t="shared" si="172"/>
        <v>186092</v>
      </c>
    </row>
    <row r="4438" spans="7:14" ht="11.25" customHeight="1" x14ac:dyDescent="0.3">
      <c r="G4438" s="459"/>
      <c r="H4438" s="459">
        <v>4431</v>
      </c>
      <c r="I4438" s="444">
        <f t="shared" ca="1" si="170"/>
        <v>-33920900708128.012</v>
      </c>
      <c r="J4438" s="444">
        <f t="array" ref="J4438">IFERROR(INDEX('Retirement Calculator'!K:K,MATCH('Lorri 401b'!N4438,'Retirement Calculator'!A:A,0),0),0)</f>
        <v>0</v>
      </c>
      <c r="K4438" s="444">
        <f t="shared" ca="1" si="168"/>
        <v>-141337086283.8667</v>
      </c>
      <c r="L4438" s="444">
        <f t="shared" ca="1" si="169"/>
        <v>-34062237794411.879</v>
      </c>
      <c r="M4438" s="460">
        <f t="shared" si="171"/>
        <v>0.05</v>
      </c>
      <c r="N4438" s="464">
        <f t="shared" si="172"/>
        <v>186123</v>
      </c>
    </row>
    <row r="4439" spans="7:14" ht="11.25" customHeight="1" x14ac:dyDescent="0.3">
      <c r="G4439" s="459"/>
      <c r="H4439" s="459">
        <v>4432</v>
      </c>
      <c r="I4439" s="444">
        <f t="shared" ca="1" si="170"/>
        <v>-34062237794411.879</v>
      </c>
      <c r="J4439" s="444">
        <f t="array" ref="J4439">IFERROR(INDEX('Retirement Calculator'!K:K,MATCH('Lorri 401b'!N4439,'Retirement Calculator'!A:A,0),0),0)</f>
        <v>0</v>
      </c>
      <c r="K4439" s="444">
        <f t="shared" ca="1" si="168"/>
        <v>-141925990810.0495</v>
      </c>
      <c r="L4439" s="444">
        <f t="shared" ca="1" si="169"/>
        <v>-34204163785221.93</v>
      </c>
      <c r="M4439" s="460">
        <f t="shared" si="171"/>
        <v>0.05</v>
      </c>
      <c r="N4439" s="464">
        <f t="shared" si="172"/>
        <v>186154</v>
      </c>
    </row>
    <row r="4440" spans="7:14" ht="11.25" customHeight="1" x14ac:dyDescent="0.3">
      <c r="G4440" s="459"/>
      <c r="H4440" s="459">
        <v>4433</v>
      </c>
      <c r="I4440" s="444">
        <f t="shared" ca="1" si="170"/>
        <v>-34204163785221.93</v>
      </c>
      <c r="J4440" s="444">
        <f t="array" ref="J4440">IFERROR(INDEX('Retirement Calculator'!K:K,MATCH('Lorri 401b'!N4440,'Retirement Calculator'!A:A,0),0),0)</f>
        <v>0</v>
      </c>
      <c r="K4440" s="444">
        <f t="shared" ca="1" si="168"/>
        <v>-142517349105.09137</v>
      </c>
      <c r="L4440" s="444">
        <f t="shared" ca="1" si="169"/>
        <v>-34346681134327.02</v>
      </c>
      <c r="M4440" s="460">
        <f t="shared" si="171"/>
        <v>0.05</v>
      </c>
      <c r="N4440" s="464">
        <f t="shared" si="172"/>
        <v>186184</v>
      </c>
    </row>
    <row r="4441" spans="7:14" ht="11.25" customHeight="1" x14ac:dyDescent="0.3">
      <c r="G4441" s="459"/>
      <c r="H4441" s="459">
        <v>4434</v>
      </c>
      <c r="I4441" s="444">
        <f t="shared" ca="1" si="170"/>
        <v>-34346681134327.02</v>
      </c>
      <c r="J4441" s="444">
        <f t="array" ref="J4441">IFERROR(INDEX('Retirement Calculator'!K:K,MATCH('Lorri 401b'!N4441,'Retirement Calculator'!A:A,0),0),0)</f>
        <v>0</v>
      </c>
      <c r="K4441" s="444">
        <f t="shared" ca="1" si="168"/>
        <v>-143111171393.02927</v>
      </c>
      <c r="L4441" s="444">
        <f t="shared" ca="1" si="169"/>
        <v>-34489792305720.047</v>
      </c>
      <c r="M4441" s="460">
        <f t="shared" si="171"/>
        <v>0.05</v>
      </c>
      <c r="N4441" s="464">
        <f t="shared" si="172"/>
        <v>186215</v>
      </c>
    </row>
    <row r="4442" spans="7:14" ht="11.25" customHeight="1" x14ac:dyDescent="0.3">
      <c r="G4442" s="459"/>
      <c r="H4442" s="459">
        <v>4435</v>
      </c>
      <c r="I4442" s="444">
        <f t="shared" ca="1" si="170"/>
        <v>-34489792305720.047</v>
      </c>
      <c r="J4442" s="444">
        <f t="array" ref="J4442">IFERROR(INDEX('Retirement Calculator'!K:K,MATCH('Lorri 401b'!N4442,'Retirement Calculator'!A:A,0),0),0)</f>
        <v>0</v>
      </c>
      <c r="K4442" s="444">
        <f t="shared" ca="1" si="168"/>
        <v>-143707467940.50018</v>
      </c>
      <c r="L4442" s="444">
        <f t="shared" ca="1" si="169"/>
        <v>-34633499773660.547</v>
      </c>
      <c r="M4442" s="460">
        <f t="shared" si="171"/>
        <v>0.05</v>
      </c>
      <c r="N4442" s="464">
        <f t="shared" si="172"/>
        <v>186245</v>
      </c>
    </row>
    <row r="4443" spans="7:14" ht="11.25" customHeight="1" x14ac:dyDescent="0.3">
      <c r="G4443" s="459"/>
      <c r="H4443" s="459">
        <v>4436</v>
      </c>
      <c r="I4443" s="444">
        <f t="shared" ca="1" si="170"/>
        <v>-34633499773660.547</v>
      </c>
      <c r="J4443" s="444">
        <f t="array" ref="J4443">IFERROR(INDEX('Retirement Calculator'!K:K,MATCH('Lorri 401b'!N4443,'Retirement Calculator'!A:A,0),0),0)</f>
        <v>0</v>
      </c>
      <c r="K4443" s="444">
        <f t="shared" ca="1" si="168"/>
        <v>-144306249056.91891</v>
      </c>
      <c r="L4443" s="444">
        <f t="shared" ca="1" si="169"/>
        <v>-34777806022717.465</v>
      </c>
      <c r="M4443" s="460">
        <f t="shared" si="171"/>
        <v>0.05</v>
      </c>
      <c r="N4443" s="464">
        <f t="shared" si="172"/>
        <v>186276</v>
      </c>
    </row>
    <row r="4444" spans="7:14" ht="11.25" customHeight="1" x14ac:dyDescent="0.3">
      <c r="G4444" s="459"/>
      <c r="H4444" s="459">
        <v>4437</v>
      </c>
      <c r="I4444" s="444">
        <f t="shared" ca="1" si="170"/>
        <v>-34777806022717.465</v>
      </c>
      <c r="J4444" s="444">
        <f t="array" ref="J4444">IFERROR(INDEX('Retirement Calculator'!K:K,MATCH('Lorri 401b'!N4444,'Retirement Calculator'!A:A,0),0),0)</f>
        <v>0</v>
      </c>
      <c r="K4444" s="444">
        <f t="shared" ca="1" si="168"/>
        <v>-144907525094.6561</v>
      </c>
      <c r="L4444" s="444">
        <f t="shared" ca="1" si="169"/>
        <v>-34922713547812.121</v>
      </c>
      <c r="M4444" s="460">
        <f t="shared" si="171"/>
        <v>0.05</v>
      </c>
      <c r="N4444" s="464">
        <f t="shared" si="172"/>
        <v>186307</v>
      </c>
    </row>
    <row r="4445" spans="7:14" ht="11.25" customHeight="1" x14ac:dyDescent="0.3">
      <c r="G4445" s="459"/>
      <c r="H4445" s="459">
        <v>4438</v>
      </c>
      <c r="I4445" s="444">
        <f t="shared" ca="1" si="170"/>
        <v>-34922713547812.121</v>
      </c>
      <c r="J4445" s="444">
        <f t="array" ref="J4445">IFERROR(INDEX('Retirement Calculator'!K:K,MATCH('Lorri 401b'!N4445,'Retirement Calculator'!A:A,0),0),0)</f>
        <v>0</v>
      </c>
      <c r="K4445" s="444">
        <f t="shared" ca="1" si="168"/>
        <v>-145511306449.21716</v>
      </c>
      <c r="L4445" s="444">
        <f t="shared" ca="1" si="169"/>
        <v>-35068224854261.34</v>
      </c>
      <c r="M4445" s="460">
        <f t="shared" si="171"/>
        <v>0.05</v>
      </c>
      <c r="N4445" s="464">
        <f t="shared" si="172"/>
        <v>186335</v>
      </c>
    </row>
    <row r="4446" spans="7:14" ht="11.25" customHeight="1" x14ac:dyDescent="0.3">
      <c r="G4446" s="459"/>
      <c r="H4446" s="459">
        <v>4439</v>
      </c>
      <c r="I4446" s="444">
        <f t="shared" ca="1" si="170"/>
        <v>-35068224854261.34</v>
      </c>
      <c r="J4446" s="444">
        <f t="array" ref="J4446">IFERROR(INDEX('Retirement Calculator'!K:K,MATCH('Lorri 401b'!N4446,'Retirement Calculator'!A:A,0),0),0)</f>
        <v>0</v>
      </c>
      <c r="K4446" s="444">
        <f t="shared" ca="1" si="168"/>
        <v>-146117603559.42224</v>
      </c>
      <c r="L4446" s="444">
        <f t="shared" ca="1" si="169"/>
        <v>-35214342457820.766</v>
      </c>
      <c r="M4446" s="460">
        <f t="shared" si="171"/>
        <v>0.05</v>
      </c>
      <c r="N4446" s="464">
        <f t="shared" si="172"/>
        <v>186366</v>
      </c>
    </row>
    <row r="4447" spans="7:14" ht="11.25" customHeight="1" x14ac:dyDescent="0.3">
      <c r="G4447" s="459"/>
      <c r="H4447" s="459">
        <v>4440</v>
      </c>
      <c r="I4447" s="444">
        <f t="shared" ca="1" si="170"/>
        <v>-35214342457820.766</v>
      </c>
      <c r="J4447" s="444">
        <f t="array" ref="J4447">IFERROR(INDEX('Retirement Calculator'!K:K,MATCH('Lorri 401b'!N4447,'Retirement Calculator'!A:A,0),0),0)</f>
        <v>0</v>
      </c>
      <c r="K4447" s="444">
        <f t="shared" ca="1" si="168"/>
        <v>-146726426907.58652</v>
      </c>
      <c r="L4447" s="444">
        <f t="shared" ca="1" si="169"/>
        <v>-35361068884728.352</v>
      </c>
      <c r="M4447" s="460">
        <f t="shared" si="171"/>
        <v>0.05</v>
      </c>
      <c r="N4447" s="464">
        <f t="shared" si="172"/>
        <v>186396</v>
      </c>
    </row>
    <row r="4448" spans="7:14" ht="11.25" customHeight="1" x14ac:dyDescent="0.3">
      <c r="G4448" s="459"/>
      <c r="H4448" s="459">
        <v>4441</v>
      </c>
      <c r="I4448" s="444">
        <f t="shared" ca="1" si="170"/>
        <v>-35361068884728.352</v>
      </c>
      <c r="J4448" s="444">
        <f t="array" ref="J4448">IFERROR(INDEX('Retirement Calculator'!K:K,MATCH('Lorri 401b'!N4448,'Retirement Calculator'!A:A,0),0),0)</f>
        <v>0</v>
      </c>
      <c r="K4448" s="444">
        <f t="shared" ca="1" si="168"/>
        <v>-147337787019.70148</v>
      </c>
      <c r="L4448" s="444">
        <f t="shared" ca="1" si="169"/>
        <v>-35508406671748.055</v>
      </c>
      <c r="M4448" s="460">
        <f t="shared" si="171"/>
        <v>0.05</v>
      </c>
      <c r="N4448" s="464">
        <f t="shared" si="172"/>
        <v>186427</v>
      </c>
    </row>
    <row r="4449" spans="7:14" ht="11.25" customHeight="1" x14ac:dyDescent="0.3">
      <c r="G4449" s="459"/>
      <c r="H4449" s="459">
        <v>4442</v>
      </c>
      <c r="I4449" s="444">
        <f t="shared" ca="1" si="170"/>
        <v>-35508406671748.055</v>
      </c>
      <c r="J4449" s="444">
        <f t="array" ref="J4449">IFERROR(INDEX('Retirement Calculator'!K:K,MATCH('Lorri 401b'!N4449,'Retirement Calculator'!A:A,0),0),0)</f>
        <v>0</v>
      </c>
      <c r="K4449" s="444">
        <f t="shared" ca="1" si="168"/>
        <v>-147951694465.61688</v>
      </c>
      <c r="L4449" s="444">
        <f t="shared" ca="1" si="169"/>
        <v>-35656358366213.672</v>
      </c>
      <c r="M4449" s="460">
        <f t="shared" si="171"/>
        <v>0.05</v>
      </c>
      <c r="N4449" s="464">
        <f t="shared" si="172"/>
        <v>186457</v>
      </c>
    </row>
    <row r="4450" spans="7:14" ht="11.25" customHeight="1" x14ac:dyDescent="0.3">
      <c r="G4450" s="459"/>
      <c r="H4450" s="459">
        <v>4443</v>
      </c>
      <c r="I4450" s="444">
        <f t="shared" ca="1" si="170"/>
        <v>-35656358366213.672</v>
      </c>
      <c r="J4450" s="444">
        <f t="array" ref="J4450">IFERROR(INDEX('Retirement Calculator'!K:K,MATCH('Lorri 401b'!N4450,'Retirement Calculator'!A:A,0),0),0)</f>
        <v>0</v>
      </c>
      <c r="K4450" s="444">
        <f t="shared" ca="1" si="168"/>
        <v>-148568159859.22363</v>
      </c>
      <c r="L4450" s="444">
        <f t="shared" ca="1" si="169"/>
        <v>-35804926526072.898</v>
      </c>
      <c r="M4450" s="460">
        <f t="shared" si="171"/>
        <v>0.05</v>
      </c>
      <c r="N4450" s="464">
        <f t="shared" si="172"/>
        <v>186488</v>
      </c>
    </row>
    <row r="4451" spans="7:14" ht="11.25" customHeight="1" x14ac:dyDescent="0.3">
      <c r="G4451" s="459"/>
      <c r="H4451" s="459">
        <v>4444</v>
      </c>
      <c r="I4451" s="444">
        <f t="shared" ca="1" si="170"/>
        <v>-35804926526072.898</v>
      </c>
      <c r="J4451" s="444">
        <f t="array" ref="J4451">IFERROR(INDEX('Retirement Calculator'!K:K,MATCH('Lorri 401b'!N4451,'Retirement Calculator'!A:A,0),0),0)</f>
        <v>0</v>
      </c>
      <c r="K4451" s="444">
        <f t="shared" ca="1" si="168"/>
        <v>-149187193858.63708</v>
      </c>
      <c r="L4451" s="444">
        <f t="shared" ca="1" si="169"/>
        <v>-35954113719931.539</v>
      </c>
      <c r="M4451" s="460">
        <f t="shared" si="171"/>
        <v>0.05</v>
      </c>
      <c r="N4451" s="464">
        <f t="shared" si="172"/>
        <v>186519</v>
      </c>
    </row>
    <row r="4452" spans="7:14" ht="11.25" customHeight="1" x14ac:dyDescent="0.3">
      <c r="G4452" s="459"/>
      <c r="H4452" s="459">
        <v>4445</v>
      </c>
      <c r="I4452" s="444">
        <f t="shared" ca="1" si="170"/>
        <v>-35954113719931.539</v>
      </c>
      <c r="J4452" s="444">
        <f t="array" ref="J4452">IFERROR(INDEX('Retirement Calculator'!K:K,MATCH('Lorri 401b'!N4452,'Retirement Calculator'!A:A,0),0),0)</f>
        <v>0</v>
      </c>
      <c r="K4452" s="444">
        <f t="shared" ca="1" si="168"/>
        <v>-149808807166.38141</v>
      </c>
      <c r="L4452" s="444">
        <f t="shared" ca="1" si="169"/>
        <v>-36103922527097.922</v>
      </c>
      <c r="M4452" s="460">
        <f t="shared" si="171"/>
        <v>0.05</v>
      </c>
      <c r="N4452" s="464">
        <f t="shared" si="172"/>
        <v>186549</v>
      </c>
    </row>
    <row r="4453" spans="7:14" ht="11.25" customHeight="1" x14ac:dyDescent="0.3">
      <c r="G4453" s="459"/>
      <c r="H4453" s="459">
        <v>4446</v>
      </c>
      <c r="I4453" s="444">
        <f t="shared" ca="1" si="170"/>
        <v>-36103922527097.922</v>
      </c>
      <c r="J4453" s="444">
        <f t="array" ref="J4453">IFERROR(INDEX('Retirement Calculator'!K:K,MATCH('Lorri 401b'!N4453,'Retirement Calculator'!A:A,0),0),0)</f>
        <v>0</v>
      </c>
      <c r="K4453" s="444">
        <f t="shared" ca="1" si="168"/>
        <v>-150433010529.57468</v>
      </c>
      <c r="L4453" s="444">
        <f t="shared" ca="1" si="169"/>
        <v>-36254355537627.5</v>
      </c>
      <c r="M4453" s="460">
        <f t="shared" si="171"/>
        <v>0.05</v>
      </c>
      <c r="N4453" s="464">
        <f t="shared" si="172"/>
        <v>186580</v>
      </c>
    </row>
    <row r="4454" spans="7:14" ht="11.25" customHeight="1" x14ac:dyDescent="0.3">
      <c r="G4454" s="459"/>
      <c r="H4454" s="459">
        <v>4447</v>
      </c>
      <c r="I4454" s="444">
        <f t="shared" ca="1" si="170"/>
        <v>-36254355537627.5</v>
      </c>
      <c r="J4454" s="444">
        <f t="array" ref="J4454">IFERROR(INDEX('Retirement Calculator'!K:K,MATCH('Lorri 401b'!N4454,'Retirement Calculator'!A:A,0),0),0)</f>
        <v>0</v>
      </c>
      <c r="K4454" s="444">
        <f t="shared" ca="1" si="168"/>
        <v>-151059814740.11459</v>
      </c>
      <c r="L4454" s="444">
        <f t="shared" ca="1" si="169"/>
        <v>-36405415352367.617</v>
      </c>
      <c r="M4454" s="460">
        <f t="shared" si="171"/>
        <v>0.05</v>
      </c>
      <c r="N4454" s="464">
        <f t="shared" si="172"/>
        <v>186610</v>
      </c>
    </row>
    <row r="4455" spans="7:14" ht="11.25" customHeight="1" x14ac:dyDescent="0.3">
      <c r="G4455" s="459"/>
      <c r="H4455" s="459">
        <v>4448</v>
      </c>
      <c r="I4455" s="444">
        <f t="shared" ca="1" si="170"/>
        <v>-36405415352367.617</v>
      </c>
      <c r="J4455" s="444">
        <f t="array" ref="J4455">IFERROR(INDEX('Retirement Calculator'!K:K,MATCH('Lorri 401b'!N4455,'Retirement Calculator'!A:A,0),0),0)</f>
        <v>0</v>
      </c>
      <c r="K4455" s="444">
        <f t="shared" ca="1" si="168"/>
        <v>-151689230634.86508</v>
      </c>
      <c r="L4455" s="444">
        <f t="shared" ca="1" si="169"/>
        <v>-36557104583002.484</v>
      </c>
      <c r="M4455" s="460">
        <f t="shared" si="171"/>
        <v>0.05</v>
      </c>
      <c r="N4455" s="464">
        <f t="shared" si="172"/>
        <v>186641</v>
      </c>
    </row>
    <row r="4456" spans="7:14" ht="11.25" customHeight="1" x14ac:dyDescent="0.3">
      <c r="G4456" s="459"/>
      <c r="H4456" s="459">
        <v>4449</v>
      </c>
      <c r="I4456" s="444">
        <f t="shared" ca="1" si="170"/>
        <v>-36557104583002.484</v>
      </c>
      <c r="J4456" s="444">
        <f t="array" ref="J4456">IFERROR(INDEX('Retirement Calculator'!K:K,MATCH('Lorri 401b'!N4456,'Retirement Calculator'!A:A,0),0),0)</f>
        <v>0</v>
      </c>
      <c r="K4456" s="444">
        <f t="shared" ca="1" si="168"/>
        <v>-152321269095.84369</v>
      </c>
      <c r="L4456" s="444">
        <f t="shared" ca="1" si="169"/>
        <v>-36709425852098.328</v>
      </c>
      <c r="M4456" s="460">
        <f t="shared" si="171"/>
        <v>0.05</v>
      </c>
      <c r="N4456" s="464">
        <f t="shared" si="172"/>
        <v>186672</v>
      </c>
    </row>
    <row r="4457" spans="7:14" ht="11.25" customHeight="1" x14ac:dyDescent="0.3">
      <c r="G4457" s="459"/>
      <c r="H4457" s="459">
        <v>4450</v>
      </c>
      <c r="I4457" s="444">
        <f t="shared" ca="1" si="170"/>
        <v>-36709425852098.328</v>
      </c>
      <c r="J4457" s="444">
        <f t="array" ref="J4457">IFERROR(INDEX('Retirement Calculator'!K:K,MATCH('Lorri 401b'!N4457,'Retirement Calculator'!A:A,0),0),0)</f>
        <v>0</v>
      </c>
      <c r="K4457" s="444">
        <f t="shared" ca="1" si="168"/>
        <v>-152955941050.4097</v>
      </c>
      <c r="L4457" s="444">
        <f t="shared" ca="1" si="169"/>
        <v>-36862381793148.734</v>
      </c>
      <c r="M4457" s="460">
        <f t="shared" si="171"/>
        <v>0.05</v>
      </c>
      <c r="N4457" s="464">
        <f t="shared" si="172"/>
        <v>186700</v>
      </c>
    </row>
    <row r="4458" spans="7:14" ht="11.25" customHeight="1" x14ac:dyDescent="0.3">
      <c r="G4458" s="459"/>
      <c r="H4458" s="459">
        <v>4451</v>
      </c>
      <c r="I4458" s="444">
        <f t="shared" ca="1" si="170"/>
        <v>-36862381793148.734</v>
      </c>
      <c r="J4458" s="444">
        <f t="array" ref="J4458">IFERROR(INDEX('Retirement Calculator'!K:K,MATCH('Lorri 401b'!N4458,'Retirement Calculator'!A:A,0),0),0)</f>
        <v>0</v>
      </c>
      <c r="K4458" s="444">
        <f t="shared" ca="1" si="168"/>
        <v>-153593257471.45306</v>
      </c>
      <c r="L4458" s="444">
        <f t="shared" ca="1" si="169"/>
        <v>-37015975050620.188</v>
      </c>
      <c r="M4458" s="460">
        <f t="shared" si="171"/>
        <v>0.05</v>
      </c>
      <c r="N4458" s="464">
        <f t="shared" si="172"/>
        <v>186731</v>
      </c>
    </row>
    <row r="4459" spans="7:14" ht="11.25" customHeight="1" x14ac:dyDescent="0.3">
      <c r="G4459" s="459"/>
      <c r="H4459" s="459">
        <v>4452</v>
      </c>
      <c r="I4459" s="444">
        <f t="shared" ca="1" si="170"/>
        <v>-37015975050620.188</v>
      </c>
      <c r="J4459" s="444">
        <f t="array" ref="J4459">IFERROR(INDEX('Retirement Calculator'!K:K,MATCH('Lorri 401b'!N4459,'Retirement Calculator'!A:A,0),0),0)</f>
        <v>0</v>
      </c>
      <c r="K4459" s="444">
        <f t="shared" ca="1" si="168"/>
        <v>-154233229377.58411</v>
      </c>
      <c r="L4459" s="444">
        <f t="shared" ca="1" si="169"/>
        <v>-37170208279997.773</v>
      </c>
      <c r="M4459" s="460">
        <f t="shared" si="171"/>
        <v>0.05</v>
      </c>
      <c r="N4459" s="464">
        <f t="shared" si="172"/>
        <v>186761</v>
      </c>
    </row>
    <row r="4460" spans="7:14" ht="11.25" customHeight="1" x14ac:dyDescent="0.3">
      <c r="G4460" s="459"/>
      <c r="H4460" s="459">
        <v>4453</v>
      </c>
      <c r="I4460" s="444">
        <f t="shared" ca="1" si="170"/>
        <v>-37170208279997.773</v>
      </c>
      <c r="J4460" s="444">
        <f t="array" ref="J4460">IFERROR(INDEX('Retirement Calculator'!K:K,MATCH('Lorri 401b'!N4460,'Retirement Calculator'!A:A,0),0),0)</f>
        <v>0</v>
      </c>
      <c r="K4460" s="444">
        <f t="shared" ca="1" si="168"/>
        <v>-154875867833.32407</v>
      </c>
      <c r="L4460" s="444">
        <f t="shared" ca="1" si="169"/>
        <v>-37325084147831.094</v>
      </c>
      <c r="M4460" s="460">
        <f t="shared" si="171"/>
        <v>0.05</v>
      </c>
      <c r="N4460" s="464">
        <f t="shared" si="172"/>
        <v>186792</v>
      </c>
    </row>
    <row r="4461" spans="7:14" ht="11.25" customHeight="1" x14ac:dyDescent="0.3">
      <c r="G4461" s="459"/>
      <c r="H4461" s="459">
        <v>4454</v>
      </c>
      <c r="I4461" s="444">
        <f t="shared" ca="1" si="170"/>
        <v>-37325084147831.094</v>
      </c>
      <c r="J4461" s="444">
        <f t="array" ref="J4461">IFERROR(INDEX('Retirement Calculator'!K:K,MATCH('Lorri 401b'!N4461,'Retirement Calculator'!A:A,0),0),0)</f>
        <v>0</v>
      </c>
      <c r="K4461" s="444">
        <f t="shared" ca="1" si="168"/>
        <v>-155521183949.29623</v>
      </c>
      <c r="L4461" s="444">
        <f t="shared" ca="1" si="169"/>
        <v>-37480605331780.391</v>
      </c>
      <c r="M4461" s="460">
        <f t="shared" si="171"/>
        <v>0.05</v>
      </c>
      <c r="N4461" s="464">
        <f t="shared" si="172"/>
        <v>186822</v>
      </c>
    </row>
    <row r="4462" spans="7:14" ht="11.25" customHeight="1" x14ac:dyDescent="0.3">
      <c r="G4462" s="459"/>
      <c r="H4462" s="459">
        <v>4455</v>
      </c>
      <c r="I4462" s="444">
        <f t="shared" ca="1" si="170"/>
        <v>-37480605331780.391</v>
      </c>
      <c r="J4462" s="444">
        <f t="array" ref="J4462">IFERROR(INDEX('Retirement Calculator'!K:K,MATCH('Lorri 401b'!N4462,'Retirement Calculator'!A:A,0),0),0)</f>
        <v>0</v>
      </c>
      <c r="K4462" s="444">
        <f t="shared" ca="1" si="168"/>
        <v>-156169188882.4183</v>
      </c>
      <c r="L4462" s="444">
        <f t="shared" ca="1" si="169"/>
        <v>-37636774520662.813</v>
      </c>
      <c r="M4462" s="460">
        <f t="shared" si="171"/>
        <v>0.05</v>
      </c>
      <c r="N4462" s="464">
        <f t="shared" si="172"/>
        <v>186853</v>
      </c>
    </row>
    <row r="4463" spans="7:14" ht="11.25" customHeight="1" x14ac:dyDescent="0.3">
      <c r="G4463" s="459"/>
      <c r="H4463" s="459">
        <v>4456</v>
      </c>
      <c r="I4463" s="444">
        <f t="shared" ca="1" si="170"/>
        <v>-37636774520662.813</v>
      </c>
      <c r="J4463" s="444">
        <f t="array" ref="J4463">IFERROR(INDEX('Retirement Calculator'!K:K,MATCH('Lorri 401b'!N4463,'Retirement Calculator'!A:A,0),0),0)</f>
        <v>0</v>
      </c>
      <c r="K4463" s="444">
        <f t="shared" ca="1" si="168"/>
        <v>-156819893836.09506</v>
      </c>
      <c r="L4463" s="444">
        <f t="shared" ca="1" si="169"/>
        <v>-37793594414498.906</v>
      </c>
      <c r="M4463" s="460">
        <f t="shared" si="171"/>
        <v>0.05</v>
      </c>
      <c r="N4463" s="464">
        <f t="shared" si="172"/>
        <v>186884</v>
      </c>
    </row>
    <row r="4464" spans="7:14" ht="11.25" customHeight="1" x14ac:dyDescent="0.3">
      <c r="G4464" s="459"/>
      <c r="H4464" s="459">
        <v>4457</v>
      </c>
      <c r="I4464" s="444">
        <f t="shared" ca="1" si="170"/>
        <v>-37793594414498.906</v>
      </c>
      <c r="J4464" s="444">
        <f t="array" ref="J4464">IFERROR(INDEX('Retirement Calculator'!K:K,MATCH('Lorri 401b'!N4464,'Retirement Calculator'!A:A,0),0),0)</f>
        <v>0</v>
      </c>
      <c r="K4464" s="444">
        <f t="shared" ca="1" si="168"/>
        <v>-157473310060.41211</v>
      </c>
      <c r="L4464" s="444">
        <f t="shared" ca="1" si="169"/>
        <v>-37951067724559.32</v>
      </c>
      <c r="M4464" s="460">
        <f t="shared" si="171"/>
        <v>0.05</v>
      </c>
      <c r="N4464" s="464">
        <f t="shared" si="172"/>
        <v>186914</v>
      </c>
    </row>
    <row r="4465" spans="7:14" ht="11.25" customHeight="1" x14ac:dyDescent="0.3">
      <c r="G4465" s="459"/>
      <c r="H4465" s="459">
        <v>4458</v>
      </c>
      <c r="I4465" s="444">
        <f t="shared" ca="1" si="170"/>
        <v>-37951067724559.32</v>
      </c>
      <c r="J4465" s="444">
        <f t="array" ref="J4465">IFERROR(INDEX('Retirement Calculator'!K:K,MATCH('Lorri 401b'!N4465,'Retirement Calculator'!A:A,0),0),0)</f>
        <v>0</v>
      </c>
      <c r="K4465" s="444">
        <f t="shared" ca="1" si="168"/>
        <v>-158129448852.33051</v>
      </c>
      <c r="L4465" s="444">
        <f t="shared" ca="1" si="169"/>
        <v>-38109197173411.648</v>
      </c>
      <c r="M4465" s="460">
        <f t="shared" si="171"/>
        <v>0.05</v>
      </c>
      <c r="N4465" s="464">
        <f t="shared" si="172"/>
        <v>186945</v>
      </c>
    </row>
    <row r="4466" spans="7:14" ht="11.25" customHeight="1" x14ac:dyDescent="0.3">
      <c r="G4466" s="459"/>
      <c r="H4466" s="459">
        <v>4459</v>
      </c>
      <c r="I4466" s="444">
        <f t="shared" ca="1" si="170"/>
        <v>-38109197173411.648</v>
      </c>
      <c r="J4466" s="444">
        <f t="array" ref="J4466">IFERROR(INDEX('Retirement Calculator'!K:K,MATCH('Lorri 401b'!N4466,'Retirement Calculator'!A:A,0),0),0)</f>
        <v>0</v>
      </c>
      <c r="K4466" s="444">
        <f t="shared" ca="1" si="168"/>
        <v>-158788321555.88187</v>
      </c>
      <c r="L4466" s="444">
        <f t="shared" ca="1" si="169"/>
        <v>-38267985494967.531</v>
      </c>
      <c r="M4466" s="460">
        <f t="shared" si="171"/>
        <v>0.05</v>
      </c>
      <c r="N4466" s="464">
        <f t="shared" si="172"/>
        <v>186975</v>
      </c>
    </row>
    <row r="4467" spans="7:14" ht="11.25" customHeight="1" x14ac:dyDescent="0.3">
      <c r="G4467" s="459"/>
      <c r="H4467" s="459">
        <v>4460</v>
      </c>
      <c r="I4467" s="444">
        <f t="shared" ca="1" si="170"/>
        <v>-38267985494967.531</v>
      </c>
      <c r="J4467" s="444">
        <f t="array" ref="J4467">IFERROR(INDEX('Retirement Calculator'!K:K,MATCH('Lorri 401b'!N4467,'Retirement Calculator'!A:A,0),0),0)</f>
        <v>0</v>
      </c>
      <c r="K4467" s="444">
        <f t="shared" ca="1" si="168"/>
        <v>-159449939562.36472</v>
      </c>
      <c r="L4467" s="444">
        <f t="shared" ca="1" si="169"/>
        <v>-38427435434529.898</v>
      </c>
      <c r="M4467" s="460">
        <f t="shared" si="171"/>
        <v>0.05</v>
      </c>
      <c r="N4467" s="464">
        <f t="shared" si="172"/>
        <v>187006</v>
      </c>
    </row>
    <row r="4468" spans="7:14" ht="11.25" customHeight="1" x14ac:dyDescent="0.3">
      <c r="G4468" s="459"/>
      <c r="H4468" s="459">
        <v>4461</v>
      </c>
      <c r="I4468" s="444">
        <f t="shared" ca="1" si="170"/>
        <v>-38427435434529.898</v>
      </c>
      <c r="J4468" s="444">
        <f t="array" ref="J4468">IFERROR(INDEX('Retirement Calculator'!K:K,MATCH('Lorri 401b'!N4468,'Retirement Calculator'!A:A,0),0),0)</f>
        <v>0</v>
      </c>
      <c r="K4468" s="444">
        <f t="shared" ca="1" si="168"/>
        <v>-160114314310.54123</v>
      </c>
      <c r="L4468" s="444">
        <f t="shared" ca="1" si="169"/>
        <v>-38587549748840.438</v>
      </c>
      <c r="M4468" s="460">
        <f t="shared" si="171"/>
        <v>0.05</v>
      </c>
      <c r="N4468" s="464">
        <f t="shared" si="172"/>
        <v>187037</v>
      </c>
    </row>
    <row r="4469" spans="7:14" ht="11.25" customHeight="1" x14ac:dyDescent="0.3">
      <c r="G4469" s="459"/>
      <c r="H4469" s="459">
        <v>4462</v>
      </c>
      <c r="I4469" s="444">
        <f t="shared" ca="1" si="170"/>
        <v>-38587549748840.438</v>
      </c>
      <c r="J4469" s="444">
        <f t="array" ref="J4469">IFERROR(INDEX('Retirement Calculator'!K:K,MATCH('Lorri 401b'!N4469,'Retirement Calculator'!A:A,0),0),0)</f>
        <v>0</v>
      </c>
      <c r="K4469" s="444">
        <f t="shared" ca="1" si="168"/>
        <v>-160781457286.83514</v>
      </c>
      <c r="L4469" s="444">
        <f t="shared" ca="1" si="169"/>
        <v>-38748331206127.273</v>
      </c>
      <c r="M4469" s="460">
        <f t="shared" si="171"/>
        <v>0.05</v>
      </c>
      <c r="N4469" s="464">
        <f t="shared" si="172"/>
        <v>187066</v>
      </c>
    </row>
    <row r="4470" spans="7:14" ht="11.25" customHeight="1" x14ac:dyDescent="0.3">
      <c r="G4470" s="459"/>
      <c r="H4470" s="459">
        <v>4463</v>
      </c>
      <c r="I4470" s="444">
        <f t="shared" ca="1" si="170"/>
        <v>-38748331206127.273</v>
      </c>
      <c r="J4470" s="444">
        <f t="array" ref="J4470">IFERROR(INDEX('Retirement Calculator'!K:K,MATCH('Lorri 401b'!N4470,'Retirement Calculator'!A:A,0),0),0)</f>
        <v>0</v>
      </c>
      <c r="K4470" s="444">
        <f t="shared" ca="1" si="168"/>
        <v>-161451380025.5303</v>
      </c>
      <c r="L4470" s="444">
        <f t="shared" ca="1" si="169"/>
        <v>-38909782586152.805</v>
      </c>
      <c r="M4470" s="460">
        <f t="shared" si="171"/>
        <v>0.05</v>
      </c>
      <c r="N4470" s="464">
        <f t="shared" si="172"/>
        <v>187097</v>
      </c>
    </row>
    <row r="4471" spans="7:14" ht="11.25" customHeight="1" x14ac:dyDescent="0.3">
      <c r="G4471" s="459"/>
      <c r="H4471" s="459">
        <v>4464</v>
      </c>
      <c r="I4471" s="444">
        <f t="shared" ca="1" si="170"/>
        <v>-38909782586152.805</v>
      </c>
      <c r="J4471" s="444">
        <f t="array" ref="J4471">IFERROR(INDEX('Retirement Calculator'!K:K,MATCH('Lorri 401b'!N4471,'Retirement Calculator'!A:A,0),0),0)</f>
        <v>0</v>
      </c>
      <c r="K4471" s="444">
        <f t="shared" ca="1" si="168"/>
        <v>-162124094108.97003</v>
      </c>
      <c r="L4471" s="444">
        <f t="shared" ca="1" si="169"/>
        <v>-39071906680261.773</v>
      </c>
      <c r="M4471" s="460">
        <f t="shared" si="171"/>
        <v>0.05</v>
      </c>
      <c r="N4471" s="464">
        <f t="shared" si="172"/>
        <v>187127</v>
      </c>
    </row>
    <row r="4472" spans="7:14" ht="11.25" customHeight="1" x14ac:dyDescent="0.3">
      <c r="G4472" s="459"/>
      <c r="H4472" s="459">
        <v>4465</v>
      </c>
      <c r="I4472" s="444">
        <f t="shared" ca="1" si="170"/>
        <v>-39071906680261.773</v>
      </c>
      <c r="J4472" s="444">
        <f t="array" ref="J4472">IFERROR(INDEX('Retirement Calculator'!K:K,MATCH('Lorri 401b'!N4472,'Retirement Calculator'!A:A,0),0),0)</f>
        <v>0</v>
      </c>
      <c r="K4472" s="444">
        <f t="shared" ca="1" si="168"/>
        <v>-162799611167.75739</v>
      </c>
      <c r="L4472" s="444">
        <f t="shared" ca="1" si="169"/>
        <v>-39234706291429.531</v>
      </c>
      <c r="M4472" s="460">
        <f t="shared" si="171"/>
        <v>0.05</v>
      </c>
      <c r="N4472" s="464">
        <f t="shared" si="172"/>
        <v>187158</v>
      </c>
    </row>
    <row r="4473" spans="7:14" ht="11.25" customHeight="1" x14ac:dyDescent="0.3">
      <c r="G4473" s="459"/>
      <c r="H4473" s="459">
        <v>4466</v>
      </c>
      <c r="I4473" s="444">
        <f t="shared" ca="1" si="170"/>
        <v>-39234706291429.531</v>
      </c>
      <c r="J4473" s="444">
        <f t="array" ref="J4473">IFERROR(INDEX('Retirement Calculator'!K:K,MATCH('Lorri 401b'!N4473,'Retirement Calculator'!A:A,0),0),0)</f>
        <v>0</v>
      </c>
      <c r="K4473" s="444">
        <f t="shared" ca="1" si="168"/>
        <v>-163477942880.95639</v>
      </c>
      <c r="L4473" s="444">
        <f t="shared" ca="1" si="169"/>
        <v>-39398184234310.484</v>
      </c>
      <c r="M4473" s="460">
        <f t="shared" si="171"/>
        <v>0.05</v>
      </c>
      <c r="N4473" s="464">
        <f t="shared" si="172"/>
        <v>187188</v>
      </c>
    </row>
    <row r="4474" spans="7:14" ht="11.25" customHeight="1" x14ac:dyDescent="0.3">
      <c r="G4474" s="459"/>
      <c r="H4474" s="459">
        <v>4467</v>
      </c>
      <c r="I4474" s="444">
        <f t="shared" ca="1" si="170"/>
        <v>-39398184234310.484</v>
      </c>
      <c r="J4474" s="444">
        <f t="array" ref="J4474">IFERROR(INDEX('Retirement Calculator'!K:K,MATCH('Lorri 401b'!N4474,'Retirement Calculator'!A:A,0),0),0)</f>
        <v>0</v>
      </c>
      <c r="K4474" s="444">
        <f t="shared" ca="1" si="168"/>
        <v>-164159100976.29367</v>
      </c>
      <c r="L4474" s="444">
        <f t="shared" ca="1" si="169"/>
        <v>-39562343335286.781</v>
      </c>
      <c r="M4474" s="460">
        <f t="shared" si="171"/>
        <v>0.05</v>
      </c>
      <c r="N4474" s="464">
        <f t="shared" si="172"/>
        <v>187219</v>
      </c>
    </row>
    <row r="4475" spans="7:14" ht="11.25" customHeight="1" x14ac:dyDescent="0.3">
      <c r="G4475" s="459"/>
      <c r="H4475" s="459">
        <v>4468</v>
      </c>
      <c r="I4475" s="444">
        <f t="shared" ca="1" si="170"/>
        <v>-39562343335286.781</v>
      </c>
      <c r="J4475" s="444">
        <f t="array" ref="J4475">IFERROR(INDEX('Retirement Calculator'!K:K,MATCH('Lorri 401b'!N4475,'Retirement Calculator'!A:A,0),0),0)</f>
        <v>0</v>
      </c>
      <c r="K4475" s="444">
        <f t="shared" ca="1" si="168"/>
        <v>-164843097230.36157</v>
      </c>
      <c r="L4475" s="444">
        <f t="shared" ca="1" si="169"/>
        <v>-39727186432517.141</v>
      </c>
      <c r="M4475" s="460">
        <f t="shared" si="171"/>
        <v>0.05</v>
      </c>
      <c r="N4475" s="464">
        <f t="shared" si="172"/>
        <v>187250</v>
      </c>
    </row>
    <row r="4476" spans="7:14" ht="11.25" customHeight="1" x14ac:dyDescent="0.3">
      <c r="G4476" s="459"/>
      <c r="H4476" s="459">
        <v>4469</v>
      </c>
      <c r="I4476" s="444">
        <f t="shared" ca="1" si="170"/>
        <v>-39727186432517.141</v>
      </c>
      <c r="J4476" s="444">
        <f t="array" ref="J4476">IFERROR(INDEX('Retirement Calculator'!K:K,MATCH('Lorri 401b'!N4476,'Retirement Calculator'!A:A,0),0),0)</f>
        <v>0</v>
      </c>
      <c r="K4476" s="444">
        <f t="shared" ca="1" si="168"/>
        <v>-165529943468.82141</v>
      </c>
      <c r="L4476" s="444">
        <f t="shared" ca="1" si="169"/>
        <v>-39892716375985.961</v>
      </c>
      <c r="M4476" s="460">
        <f t="shared" si="171"/>
        <v>0.05</v>
      </c>
      <c r="N4476" s="464">
        <f t="shared" si="172"/>
        <v>187280</v>
      </c>
    </row>
    <row r="4477" spans="7:14" ht="11.25" customHeight="1" x14ac:dyDescent="0.3">
      <c r="G4477" s="459"/>
      <c r="H4477" s="459">
        <v>4470</v>
      </c>
      <c r="I4477" s="444">
        <f t="shared" ca="1" si="170"/>
        <v>-39892716375985.961</v>
      </c>
      <c r="J4477" s="444">
        <f t="array" ref="J4477">IFERROR(INDEX('Retirement Calculator'!K:K,MATCH('Lorri 401b'!N4477,'Retirement Calculator'!A:A,0),0),0)</f>
        <v>0</v>
      </c>
      <c r="K4477" s="444">
        <f t="shared" ca="1" si="168"/>
        <v>-166219651566.60815</v>
      </c>
      <c r="L4477" s="444">
        <f t="shared" ca="1" si="169"/>
        <v>-40058936027552.57</v>
      </c>
      <c r="M4477" s="460">
        <f t="shared" si="171"/>
        <v>0.05</v>
      </c>
      <c r="N4477" s="464">
        <f t="shared" si="172"/>
        <v>187311</v>
      </c>
    </row>
    <row r="4478" spans="7:14" ht="11.25" customHeight="1" x14ac:dyDescent="0.3">
      <c r="G4478" s="459"/>
      <c r="H4478" s="459">
        <v>4471</v>
      </c>
      <c r="I4478" s="444">
        <f t="shared" ca="1" si="170"/>
        <v>-40058936027552.57</v>
      </c>
      <c r="J4478" s="444">
        <f t="array" ref="J4478">IFERROR(INDEX('Retirement Calculator'!K:K,MATCH('Lorri 401b'!N4478,'Retirement Calculator'!A:A,0),0),0)</f>
        <v>0</v>
      </c>
      <c r="K4478" s="444">
        <f t="shared" ca="1" si="168"/>
        <v>-166912233448.13571</v>
      </c>
      <c r="L4478" s="444">
        <f t="shared" ca="1" si="169"/>
        <v>-40225848261000.703</v>
      </c>
      <c r="M4478" s="460">
        <f t="shared" si="171"/>
        <v>0.05</v>
      </c>
      <c r="N4478" s="464">
        <f t="shared" si="172"/>
        <v>187341</v>
      </c>
    </row>
    <row r="4479" spans="7:14" ht="11.25" customHeight="1" x14ac:dyDescent="0.3">
      <c r="G4479" s="459"/>
      <c r="H4479" s="459">
        <v>4472</v>
      </c>
      <c r="I4479" s="444">
        <f t="shared" ca="1" si="170"/>
        <v>-40225848261000.703</v>
      </c>
      <c r="J4479" s="444">
        <f t="array" ref="J4479">IFERROR(INDEX('Retirement Calculator'!K:K,MATCH('Lorri 401b'!N4479,'Retirement Calculator'!A:A,0),0),0)</f>
        <v>0</v>
      </c>
      <c r="K4479" s="444">
        <f t="shared" ca="1" si="168"/>
        <v>-167607701087.50293</v>
      </c>
      <c r="L4479" s="444">
        <f t="shared" ca="1" si="169"/>
        <v>-40393455962088.203</v>
      </c>
      <c r="M4479" s="460">
        <f t="shared" si="171"/>
        <v>0.05</v>
      </c>
      <c r="N4479" s="464">
        <f t="shared" si="172"/>
        <v>187372</v>
      </c>
    </row>
    <row r="4480" spans="7:14" ht="11.25" customHeight="1" x14ac:dyDescent="0.3">
      <c r="G4480" s="459"/>
      <c r="H4480" s="459">
        <v>4473</v>
      </c>
      <c r="I4480" s="444">
        <f t="shared" ca="1" si="170"/>
        <v>-40393455962088.203</v>
      </c>
      <c r="J4480" s="444">
        <f t="array" ref="J4480">IFERROR(INDEX('Retirement Calculator'!K:K,MATCH('Lorri 401b'!N4480,'Retirement Calculator'!A:A,0),0),0)</f>
        <v>0</v>
      </c>
      <c r="K4480" s="444">
        <f t="shared" ca="1" si="168"/>
        <v>-168306066508.70084</v>
      </c>
      <c r="L4480" s="444">
        <f t="shared" ca="1" si="169"/>
        <v>-40561762028596.906</v>
      </c>
      <c r="M4480" s="460">
        <f t="shared" si="171"/>
        <v>0.05</v>
      </c>
      <c r="N4480" s="464">
        <f t="shared" si="172"/>
        <v>187403</v>
      </c>
    </row>
    <row r="4481" spans="7:14" ht="11.25" customHeight="1" x14ac:dyDescent="0.3">
      <c r="G4481" s="459"/>
      <c r="H4481" s="459">
        <v>4474</v>
      </c>
      <c r="I4481" s="444">
        <f t="shared" ca="1" si="170"/>
        <v>-40561762028596.906</v>
      </c>
      <c r="J4481" s="444">
        <f t="array" ref="J4481">IFERROR(INDEX('Retirement Calculator'!K:K,MATCH('Lorri 401b'!N4481,'Retirement Calculator'!A:A,0),0),0)</f>
        <v>0</v>
      </c>
      <c r="K4481" s="444">
        <f t="shared" ca="1" si="168"/>
        <v>-169007341785.82043</v>
      </c>
      <c r="L4481" s="444">
        <f t="shared" ca="1" si="169"/>
        <v>-40730769370382.727</v>
      </c>
      <c r="M4481" s="460">
        <f t="shared" si="171"/>
        <v>0.05</v>
      </c>
      <c r="N4481" s="464">
        <f t="shared" si="172"/>
        <v>187431</v>
      </c>
    </row>
    <row r="4482" spans="7:14" ht="11.25" customHeight="1" x14ac:dyDescent="0.3">
      <c r="G4482" s="459"/>
      <c r="H4482" s="459">
        <v>4475</v>
      </c>
      <c r="I4482" s="444">
        <f t="shared" ca="1" si="170"/>
        <v>-40730769370382.727</v>
      </c>
      <c r="J4482" s="444">
        <f t="array" ref="J4482">IFERROR(INDEX('Retirement Calculator'!K:K,MATCH('Lorri 401b'!N4482,'Retirement Calculator'!A:A,0),0),0)</f>
        <v>0</v>
      </c>
      <c r="K4482" s="444">
        <f t="shared" ca="1" si="168"/>
        <v>-169711539043.26135</v>
      </c>
      <c r="L4482" s="444">
        <f t="shared" ca="1" si="169"/>
        <v>-40900480909425.984</v>
      </c>
      <c r="M4482" s="460">
        <f t="shared" si="171"/>
        <v>0.05</v>
      </c>
      <c r="N4482" s="464">
        <f t="shared" si="172"/>
        <v>187462</v>
      </c>
    </row>
    <row r="4483" spans="7:14" ht="11.25" customHeight="1" x14ac:dyDescent="0.3">
      <c r="G4483" s="459"/>
      <c r="H4483" s="459">
        <v>4476</v>
      </c>
      <c r="I4483" s="444">
        <f t="shared" ca="1" si="170"/>
        <v>-40900480909425.984</v>
      </c>
      <c r="J4483" s="444">
        <f t="array" ref="J4483">IFERROR(INDEX('Retirement Calculator'!K:K,MATCH('Lorri 401b'!N4483,'Retirement Calculator'!A:A,0),0),0)</f>
        <v>0</v>
      </c>
      <c r="K4483" s="444">
        <f t="shared" ca="1" si="168"/>
        <v>-170418670455.94159</v>
      </c>
      <c r="L4483" s="444">
        <f t="shared" ca="1" si="169"/>
        <v>-41070899579881.93</v>
      </c>
      <c r="M4483" s="460">
        <f t="shared" si="171"/>
        <v>0.05</v>
      </c>
      <c r="N4483" s="464">
        <f t="shared" si="172"/>
        <v>187492</v>
      </c>
    </row>
    <row r="4484" spans="7:14" ht="11.25" customHeight="1" x14ac:dyDescent="0.3">
      <c r="G4484" s="459"/>
      <c r="H4484" s="459">
        <v>4477</v>
      </c>
      <c r="I4484" s="444">
        <f t="shared" ca="1" si="170"/>
        <v>-41070899579881.93</v>
      </c>
      <c r="J4484" s="444">
        <f t="array" ref="J4484">IFERROR(INDEX('Retirement Calculator'!K:K,MATCH('Lorri 401b'!N4484,'Retirement Calculator'!A:A,0),0),0)</f>
        <v>0</v>
      </c>
      <c r="K4484" s="444">
        <f t="shared" ca="1" si="168"/>
        <v>-171128748249.50803</v>
      </c>
      <c r="L4484" s="444">
        <f t="shared" ca="1" si="169"/>
        <v>-41242028328131.438</v>
      </c>
      <c r="M4484" s="460">
        <f t="shared" si="171"/>
        <v>0.05</v>
      </c>
      <c r="N4484" s="464">
        <f t="shared" si="172"/>
        <v>187523</v>
      </c>
    </row>
    <row r="4485" spans="7:14" ht="11.25" customHeight="1" x14ac:dyDescent="0.3">
      <c r="G4485" s="459"/>
      <c r="H4485" s="459">
        <v>4478</v>
      </c>
      <c r="I4485" s="444">
        <f t="shared" ca="1" si="170"/>
        <v>-41242028328131.438</v>
      </c>
      <c r="J4485" s="444">
        <f t="array" ref="J4485">IFERROR(INDEX('Retirement Calculator'!K:K,MATCH('Lorri 401b'!N4485,'Retirement Calculator'!A:A,0),0),0)</f>
        <v>0</v>
      </c>
      <c r="K4485" s="444">
        <f t="shared" ca="1" si="168"/>
        <v>-171841784700.54767</v>
      </c>
      <c r="L4485" s="444">
        <f t="shared" ca="1" si="169"/>
        <v>-41413870112831.984</v>
      </c>
      <c r="M4485" s="460">
        <f t="shared" si="171"/>
        <v>0.05</v>
      </c>
      <c r="N4485" s="464">
        <f t="shared" si="172"/>
        <v>187553</v>
      </c>
    </row>
    <row r="4486" spans="7:14" ht="11.25" customHeight="1" x14ac:dyDescent="0.3">
      <c r="G4486" s="459"/>
      <c r="H4486" s="459">
        <v>4479</v>
      </c>
      <c r="I4486" s="444">
        <f t="shared" ca="1" si="170"/>
        <v>-41413870112831.984</v>
      </c>
      <c r="J4486" s="444">
        <f t="array" ref="J4486">IFERROR(INDEX('Retirement Calculator'!K:K,MATCH('Lorri 401b'!N4486,'Retirement Calculator'!A:A,0),0),0)</f>
        <v>0</v>
      </c>
      <c r="K4486" s="444">
        <f t="shared" ca="1" si="168"/>
        <v>-172557792136.79993</v>
      </c>
      <c r="L4486" s="444">
        <f t="shared" ca="1" si="169"/>
        <v>-41586427904968.781</v>
      </c>
      <c r="M4486" s="460">
        <f t="shared" si="171"/>
        <v>0.05</v>
      </c>
      <c r="N4486" s="464">
        <f t="shared" si="172"/>
        <v>187584</v>
      </c>
    </row>
    <row r="4487" spans="7:14" ht="11.25" customHeight="1" x14ac:dyDescent="0.3">
      <c r="G4487" s="459"/>
      <c r="H4487" s="459">
        <v>4480</v>
      </c>
      <c r="I4487" s="444">
        <f t="shared" ca="1" si="170"/>
        <v>-41586427904968.781</v>
      </c>
      <c r="J4487" s="444">
        <f t="array" ref="J4487">IFERROR(INDEX('Retirement Calculator'!K:K,MATCH('Lorri 401b'!N4487,'Retirement Calculator'!A:A,0),0),0)</f>
        <v>0</v>
      </c>
      <c r="K4487" s="444">
        <f t="shared" ca="1" si="168"/>
        <v>-173276782937.36993</v>
      </c>
      <c r="L4487" s="444">
        <f t="shared" ca="1" si="169"/>
        <v>-41759704687906.148</v>
      </c>
      <c r="M4487" s="460">
        <f t="shared" si="171"/>
        <v>0.05</v>
      </c>
      <c r="N4487" s="464">
        <f t="shared" si="172"/>
        <v>187615</v>
      </c>
    </row>
    <row r="4488" spans="7:14" ht="11.25" customHeight="1" x14ac:dyDescent="0.3">
      <c r="G4488" s="459"/>
      <c r="H4488" s="459">
        <v>4481</v>
      </c>
      <c r="I4488" s="444">
        <f t="shared" ca="1" si="170"/>
        <v>-41759704687906.148</v>
      </c>
      <c r="J4488" s="444">
        <f t="array" ref="J4488">IFERROR(INDEX('Retirement Calculator'!K:K,MATCH('Lorri 401b'!N4488,'Retirement Calculator'!A:A,0),0),0)</f>
        <v>0</v>
      </c>
      <c r="K4488" s="444">
        <f t="shared" ca="1" si="168"/>
        <v>-173998769532.94229</v>
      </c>
      <c r="L4488" s="444">
        <f t="shared" ca="1" si="169"/>
        <v>-41933703457439.094</v>
      </c>
      <c r="M4488" s="460">
        <f t="shared" si="171"/>
        <v>0.05</v>
      </c>
      <c r="N4488" s="464">
        <f t="shared" si="172"/>
        <v>187645</v>
      </c>
    </row>
    <row r="4489" spans="7:14" ht="11.25" customHeight="1" x14ac:dyDescent="0.3">
      <c r="G4489" s="459"/>
      <c r="H4489" s="459">
        <v>4482</v>
      </c>
      <c r="I4489" s="444">
        <f t="shared" ca="1" si="170"/>
        <v>-41933703457439.094</v>
      </c>
      <c r="J4489" s="444">
        <f t="array" ref="J4489">IFERROR(INDEX('Retirement Calculator'!K:K,MATCH('Lorri 401b'!N4489,'Retirement Calculator'!A:A,0),0),0)</f>
        <v>0</v>
      </c>
      <c r="K4489" s="444">
        <f t="shared" ca="1" si="168"/>
        <v>-174723764405.99622</v>
      </c>
      <c r="L4489" s="444">
        <f t="shared" ca="1" si="169"/>
        <v>-42108427221845.094</v>
      </c>
      <c r="M4489" s="460">
        <f t="shared" si="171"/>
        <v>0.05</v>
      </c>
      <c r="N4489" s="464">
        <f t="shared" si="172"/>
        <v>187676</v>
      </c>
    </row>
    <row r="4490" spans="7:14" ht="11.25" customHeight="1" x14ac:dyDescent="0.3">
      <c r="G4490" s="459"/>
      <c r="H4490" s="459">
        <v>4483</v>
      </c>
      <c r="I4490" s="444">
        <f t="shared" ca="1" si="170"/>
        <v>-42108427221845.094</v>
      </c>
      <c r="J4490" s="444">
        <f t="array" ref="J4490">IFERROR(INDEX('Retirement Calculator'!K:K,MATCH('Lorri 401b'!N4490,'Retirement Calculator'!A:A,0),0),0)</f>
        <v>0</v>
      </c>
      <c r="K4490" s="444">
        <f t="shared" ca="1" si="168"/>
        <v>-175451780091.02121</v>
      </c>
      <c r="L4490" s="444">
        <f t="shared" ca="1" si="169"/>
        <v>-42283879001936.117</v>
      </c>
      <c r="M4490" s="460">
        <f t="shared" si="171"/>
        <v>0.05</v>
      </c>
      <c r="N4490" s="464">
        <f t="shared" si="172"/>
        <v>187706</v>
      </c>
    </row>
    <row r="4491" spans="7:14" ht="11.25" customHeight="1" x14ac:dyDescent="0.3">
      <c r="G4491" s="459"/>
      <c r="H4491" s="459">
        <v>4484</v>
      </c>
      <c r="I4491" s="444">
        <f t="shared" ca="1" si="170"/>
        <v>-42283879001936.117</v>
      </c>
      <c r="J4491" s="444">
        <f t="array" ref="J4491">IFERROR(INDEX('Retirement Calculator'!K:K,MATCH('Lorri 401b'!N4491,'Retirement Calculator'!A:A,0),0),0)</f>
        <v>0</v>
      </c>
      <c r="K4491" s="444">
        <f t="shared" ca="1" si="168"/>
        <v>-176182829174.73383</v>
      </c>
      <c r="L4491" s="444">
        <f t="shared" ca="1" si="169"/>
        <v>-42460061831110.852</v>
      </c>
      <c r="M4491" s="460">
        <f t="shared" si="171"/>
        <v>0.05</v>
      </c>
      <c r="N4491" s="464">
        <f t="shared" si="172"/>
        <v>187737</v>
      </c>
    </row>
    <row r="4492" spans="7:14" ht="11.25" customHeight="1" x14ac:dyDescent="0.3">
      <c r="G4492" s="459"/>
      <c r="H4492" s="459">
        <v>4485</v>
      </c>
      <c r="I4492" s="444">
        <f t="shared" ca="1" si="170"/>
        <v>-42460061831110.852</v>
      </c>
      <c r="J4492" s="444">
        <f t="array" ref="J4492">IFERROR(INDEX('Retirement Calculator'!K:K,MATCH('Lorri 401b'!N4492,'Retirement Calculator'!A:A,0),0),0)</f>
        <v>0</v>
      </c>
      <c r="K4492" s="444">
        <f t="shared" ca="1" si="168"/>
        <v>-176916924296.29523</v>
      </c>
      <c r="L4492" s="444">
        <f t="shared" ca="1" si="169"/>
        <v>-42636978755407.148</v>
      </c>
      <c r="M4492" s="460">
        <f t="shared" si="171"/>
        <v>0.05</v>
      </c>
      <c r="N4492" s="464">
        <f t="shared" si="172"/>
        <v>187768</v>
      </c>
    </row>
    <row r="4493" spans="7:14" ht="11.25" customHeight="1" x14ac:dyDescent="0.3">
      <c r="G4493" s="459"/>
      <c r="H4493" s="459">
        <v>4486</v>
      </c>
      <c r="I4493" s="444">
        <f t="shared" ca="1" si="170"/>
        <v>-42636978755407.148</v>
      </c>
      <c r="J4493" s="444">
        <f t="array" ref="J4493">IFERROR(INDEX('Retirement Calculator'!K:K,MATCH('Lorri 401b'!N4493,'Retirement Calculator'!A:A,0),0),0)</f>
        <v>0</v>
      </c>
      <c r="K4493" s="444">
        <f t="shared" ca="1" si="168"/>
        <v>-177654078147.52979</v>
      </c>
      <c r="L4493" s="444">
        <f t="shared" ca="1" si="169"/>
        <v>-42814632833554.68</v>
      </c>
      <c r="M4493" s="460">
        <f t="shared" si="171"/>
        <v>0.05</v>
      </c>
      <c r="N4493" s="464">
        <f t="shared" si="172"/>
        <v>187796</v>
      </c>
    </row>
    <row r="4494" spans="7:14" ht="11.25" customHeight="1" x14ac:dyDescent="0.3">
      <c r="G4494" s="459"/>
      <c r="H4494" s="459">
        <v>4487</v>
      </c>
      <c r="I4494" s="444">
        <f t="shared" ca="1" si="170"/>
        <v>-42814632833554.68</v>
      </c>
      <c r="J4494" s="444">
        <f t="array" ref="J4494">IFERROR(INDEX('Retirement Calculator'!K:K,MATCH('Lorri 401b'!N4494,'Retirement Calculator'!A:A,0),0),0)</f>
        <v>0</v>
      </c>
      <c r="K4494" s="444">
        <f t="shared" ca="1" si="168"/>
        <v>-178394303473.1445</v>
      </c>
      <c r="L4494" s="444">
        <f t="shared" ca="1" si="169"/>
        <v>-42993027137027.82</v>
      </c>
      <c r="M4494" s="460">
        <f t="shared" si="171"/>
        <v>0.05</v>
      </c>
      <c r="N4494" s="464">
        <f t="shared" si="172"/>
        <v>187827</v>
      </c>
    </row>
    <row r="4495" spans="7:14" ht="11.25" customHeight="1" x14ac:dyDescent="0.3">
      <c r="G4495" s="459"/>
      <c r="H4495" s="459">
        <v>4488</v>
      </c>
      <c r="I4495" s="444">
        <f t="shared" ca="1" si="170"/>
        <v>-42993027137027.82</v>
      </c>
      <c r="J4495" s="444">
        <f t="array" ref="J4495">IFERROR(INDEX('Retirement Calculator'!K:K,MATCH('Lorri 401b'!N4495,'Retirement Calculator'!A:A,0),0),0)</f>
        <v>0</v>
      </c>
      <c r="K4495" s="444">
        <f t="shared" ca="1" si="168"/>
        <v>-179137613070.94925</v>
      </c>
      <c r="L4495" s="444">
        <f t="shared" ca="1" si="169"/>
        <v>-43172164750098.773</v>
      </c>
      <c r="M4495" s="460">
        <f t="shared" si="171"/>
        <v>0.05</v>
      </c>
      <c r="N4495" s="464">
        <f t="shared" si="172"/>
        <v>187857</v>
      </c>
    </row>
    <row r="4496" spans="7:14" ht="11.25" customHeight="1" x14ac:dyDescent="0.3">
      <c r="G4496" s="459"/>
      <c r="H4496" s="459">
        <v>4489</v>
      </c>
      <c r="I4496" s="444">
        <f t="shared" ca="1" si="170"/>
        <v>-43172164750098.773</v>
      </c>
      <c r="J4496" s="444">
        <f t="array" ref="J4496">IFERROR(INDEX('Retirement Calculator'!K:K,MATCH('Lorri 401b'!N4496,'Retirement Calculator'!A:A,0),0),0)</f>
        <v>0</v>
      </c>
      <c r="K4496" s="444">
        <f t="shared" ca="1" si="168"/>
        <v>-179884019792.07822</v>
      </c>
      <c r="L4496" s="444">
        <f t="shared" ca="1" si="169"/>
        <v>-43352048769890.852</v>
      </c>
      <c r="M4496" s="460">
        <f t="shared" si="171"/>
        <v>0.05</v>
      </c>
      <c r="N4496" s="464">
        <f t="shared" si="172"/>
        <v>187888</v>
      </c>
    </row>
    <row r="4497" spans="7:14" ht="11.25" customHeight="1" x14ac:dyDescent="0.3">
      <c r="G4497" s="459"/>
      <c r="H4497" s="459">
        <v>4490</v>
      </c>
      <c r="I4497" s="444">
        <f t="shared" ca="1" si="170"/>
        <v>-43352048769890.852</v>
      </c>
      <c r="J4497" s="444">
        <f t="array" ref="J4497">IFERROR(INDEX('Retirement Calculator'!K:K,MATCH('Lorri 401b'!N4497,'Retirement Calculator'!A:A,0),0),0)</f>
        <v>0</v>
      </c>
      <c r="K4497" s="444">
        <f t="shared" ca="1" si="168"/>
        <v>-180633536541.21188</v>
      </c>
      <c r="L4497" s="444">
        <f t="shared" ca="1" si="169"/>
        <v>-43532682306432.063</v>
      </c>
      <c r="M4497" s="460">
        <f t="shared" si="171"/>
        <v>0.05</v>
      </c>
      <c r="N4497" s="464">
        <f t="shared" si="172"/>
        <v>187918</v>
      </c>
    </row>
    <row r="4498" spans="7:14" ht="11.25" customHeight="1" x14ac:dyDescent="0.3">
      <c r="G4498" s="459"/>
      <c r="H4498" s="459">
        <v>4491</v>
      </c>
      <c r="I4498" s="444">
        <f t="shared" ca="1" si="170"/>
        <v>-43532682306432.063</v>
      </c>
      <c r="J4498" s="444">
        <f t="array" ref="J4498">IFERROR(INDEX('Retirement Calculator'!K:K,MATCH('Lorri 401b'!N4498,'Retirement Calculator'!A:A,0),0),0)</f>
        <v>0</v>
      </c>
      <c r="K4498" s="444">
        <f t="shared" ca="1" si="168"/>
        <v>-181386176276.80026</v>
      </c>
      <c r="L4498" s="444">
        <f t="shared" ca="1" si="169"/>
        <v>-43714068482708.859</v>
      </c>
      <c r="M4498" s="460">
        <f t="shared" si="171"/>
        <v>0.05</v>
      </c>
      <c r="N4498" s="464">
        <f t="shared" si="172"/>
        <v>187949</v>
      </c>
    </row>
    <row r="4499" spans="7:14" ht="11.25" customHeight="1" x14ac:dyDescent="0.3">
      <c r="G4499" s="459"/>
      <c r="H4499" s="459">
        <v>4492</v>
      </c>
      <c r="I4499" s="444">
        <f t="shared" ca="1" si="170"/>
        <v>-43714068482708.859</v>
      </c>
      <c r="J4499" s="444">
        <f t="array" ref="J4499">IFERROR(INDEX('Retirement Calculator'!K:K,MATCH('Lorri 401b'!N4499,'Retirement Calculator'!A:A,0),0),0)</f>
        <v>0</v>
      </c>
      <c r="K4499" s="444">
        <f t="shared" ca="1" si="168"/>
        <v>-182141952011.28693</v>
      </c>
      <c r="L4499" s="444">
        <f t="shared" ca="1" si="169"/>
        <v>-43896210434720.148</v>
      </c>
      <c r="M4499" s="460">
        <f t="shared" si="171"/>
        <v>0.05</v>
      </c>
      <c r="N4499" s="464">
        <f t="shared" si="172"/>
        <v>187980</v>
      </c>
    </row>
    <row r="4500" spans="7:14" ht="11.25" customHeight="1" x14ac:dyDescent="0.3">
      <c r="G4500" s="459"/>
      <c r="H4500" s="459">
        <v>4493</v>
      </c>
      <c r="I4500" s="444">
        <f t="shared" ca="1" si="170"/>
        <v>-43896210434720.148</v>
      </c>
      <c r="J4500" s="444">
        <f t="array" ref="J4500">IFERROR(INDEX('Retirement Calculator'!K:K,MATCH('Lorri 401b'!N4500,'Retirement Calculator'!A:A,0),0),0)</f>
        <v>0</v>
      </c>
      <c r="K4500" s="444">
        <f t="shared" ca="1" si="168"/>
        <v>-182900876811.33395</v>
      </c>
      <c r="L4500" s="444">
        <f t="shared" ca="1" si="169"/>
        <v>-44079111311531.484</v>
      </c>
      <c r="M4500" s="460">
        <f t="shared" si="171"/>
        <v>0.05</v>
      </c>
      <c r="N4500" s="464">
        <f t="shared" si="172"/>
        <v>188010</v>
      </c>
    </row>
    <row r="4501" spans="7:14" ht="11.25" customHeight="1" x14ac:dyDescent="0.3">
      <c r="G4501" s="459"/>
      <c r="H4501" s="459">
        <v>4494</v>
      </c>
      <c r="I4501" s="444">
        <f t="shared" ca="1" si="170"/>
        <v>-44079111311531.484</v>
      </c>
      <c r="J4501" s="444">
        <f t="array" ref="J4501">IFERROR(INDEX('Retirement Calculator'!K:K,MATCH('Lorri 401b'!N4501,'Retirement Calculator'!A:A,0),0),0)</f>
        <v>0</v>
      </c>
      <c r="K4501" s="444">
        <f t="shared" ca="1" si="168"/>
        <v>-183662963798.04785</v>
      </c>
      <c r="L4501" s="444">
        <f t="shared" ca="1" si="169"/>
        <v>-44262774275329.531</v>
      </c>
      <c r="M4501" s="460">
        <f t="shared" si="171"/>
        <v>0.05</v>
      </c>
      <c r="N4501" s="464">
        <f t="shared" si="172"/>
        <v>188041</v>
      </c>
    </row>
    <row r="4502" spans="7:14" ht="11.25" customHeight="1" x14ac:dyDescent="0.3">
      <c r="G4502" s="459"/>
      <c r="H4502" s="459">
        <v>4495</v>
      </c>
      <c r="I4502" s="444">
        <f t="shared" ca="1" si="170"/>
        <v>-44262774275329.531</v>
      </c>
      <c r="J4502" s="444">
        <f t="array" ref="J4502">IFERROR(INDEX('Retirement Calculator'!K:K,MATCH('Lorri 401b'!N4502,'Retirement Calculator'!A:A,0),0),0)</f>
        <v>0</v>
      </c>
      <c r="K4502" s="444">
        <f t="shared" ca="1" si="168"/>
        <v>-184428226147.20639</v>
      </c>
      <c r="L4502" s="444">
        <f t="shared" ca="1" si="169"/>
        <v>-44447202501476.734</v>
      </c>
      <c r="M4502" s="460">
        <f t="shared" si="171"/>
        <v>0.05</v>
      </c>
      <c r="N4502" s="464">
        <f t="shared" si="172"/>
        <v>188071</v>
      </c>
    </row>
    <row r="4503" spans="7:14" ht="11.25" customHeight="1" x14ac:dyDescent="0.3">
      <c r="G4503" s="459"/>
      <c r="H4503" s="459">
        <v>4496</v>
      </c>
      <c r="I4503" s="444">
        <f t="shared" ca="1" si="170"/>
        <v>-44447202501476.734</v>
      </c>
      <c r="J4503" s="444">
        <f t="array" ref="J4503">IFERROR(INDEX('Retirement Calculator'!K:K,MATCH('Lorri 401b'!N4503,'Retirement Calculator'!A:A,0),0),0)</f>
        <v>0</v>
      </c>
      <c r="K4503" s="444">
        <f t="shared" ca="1" si="168"/>
        <v>-185196677089.48639</v>
      </c>
      <c r="L4503" s="444">
        <f t="shared" ca="1" si="169"/>
        <v>-44632399178566.219</v>
      </c>
      <c r="M4503" s="460">
        <f t="shared" si="171"/>
        <v>0.05</v>
      </c>
      <c r="N4503" s="464">
        <f t="shared" si="172"/>
        <v>188102</v>
      </c>
    </row>
    <row r="4504" spans="7:14" ht="11.25" customHeight="1" x14ac:dyDescent="0.3">
      <c r="G4504" s="459"/>
      <c r="H4504" s="459">
        <v>4497</v>
      </c>
      <c r="I4504" s="444">
        <f t="shared" ca="1" si="170"/>
        <v>-44632399178566.219</v>
      </c>
      <c r="J4504" s="444">
        <f t="array" ref="J4504">IFERROR(INDEX('Retirement Calculator'!K:K,MATCH('Lorri 401b'!N4504,'Retirement Calculator'!A:A,0),0),0)</f>
        <v>0</v>
      </c>
      <c r="K4504" s="444">
        <f t="shared" ca="1" si="168"/>
        <v>-185968329910.69257</v>
      </c>
      <c r="L4504" s="444">
        <f t="shared" ca="1" si="169"/>
        <v>-44818367508476.914</v>
      </c>
      <c r="M4504" s="460">
        <f t="shared" si="171"/>
        <v>0.05</v>
      </c>
      <c r="N4504" s="464">
        <f t="shared" si="172"/>
        <v>188133</v>
      </c>
    </row>
    <row r="4505" spans="7:14" ht="11.25" customHeight="1" x14ac:dyDescent="0.3">
      <c r="G4505" s="459"/>
      <c r="H4505" s="459">
        <v>4498</v>
      </c>
      <c r="I4505" s="444">
        <f t="shared" ca="1" si="170"/>
        <v>-44818367508476.914</v>
      </c>
      <c r="J4505" s="444">
        <f t="array" ref="J4505">IFERROR(INDEX('Retirement Calculator'!K:K,MATCH('Lorri 401b'!N4505,'Retirement Calculator'!A:A,0),0),0)</f>
        <v>0</v>
      </c>
      <c r="K4505" s="444">
        <f t="shared" ca="1" si="168"/>
        <v>-186743197951.98715</v>
      </c>
      <c r="L4505" s="444">
        <f t="shared" ca="1" si="169"/>
        <v>-45005110706428.898</v>
      </c>
      <c r="M4505" s="460">
        <f t="shared" si="171"/>
        <v>0.05</v>
      </c>
      <c r="N4505" s="464">
        <f t="shared" si="172"/>
        <v>188161</v>
      </c>
    </row>
    <row r="4506" spans="7:14" ht="11.25" customHeight="1" x14ac:dyDescent="0.3">
      <c r="G4506" s="459"/>
      <c r="H4506" s="459">
        <v>4499</v>
      </c>
      <c r="I4506" s="444">
        <f t="shared" ca="1" si="170"/>
        <v>-45005110706428.898</v>
      </c>
      <c r="J4506" s="444">
        <f t="array" ref="J4506">IFERROR(INDEX('Retirement Calculator'!K:K,MATCH('Lorri 401b'!N4506,'Retirement Calculator'!A:A,0),0),0)</f>
        <v>0</v>
      </c>
      <c r="K4506" s="444">
        <f t="shared" ca="1" si="168"/>
        <v>-187521294610.12042</v>
      </c>
      <c r="L4506" s="444">
        <f t="shared" ca="1" si="169"/>
        <v>-45192632001039.016</v>
      </c>
      <c r="M4506" s="460">
        <f t="shared" si="171"/>
        <v>0.05</v>
      </c>
      <c r="N4506" s="464">
        <f t="shared" si="172"/>
        <v>188192</v>
      </c>
    </row>
    <row r="4507" spans="7:14" ht="11.25" customHeight="1" x14ac:dyDescent="0.3">
      <c r="G4507" s="459"/>
      <c r="H4507" s="459">
        <v>4500</v>
      </c>
      <c r="I4507" s="444">
        <f t="shared" ca="1" si="170"/>
        <v>-45192632001039.016</v>
      </c>
      <c r="J4507" s="444">
        <f t="array" ref="J4507">IFERROR(INDEX('Retirement Calculator'!K:K,MATCH('Lorri 401b'!N4507,'Retirement Calculator'!A:A,0),0),0)</f>
        <v>0</v>
      </c>
      <c r="K4507" s="444">
        <f t="shared" ca="1" si="168"/>
        <v>-188302633337.66257</v>
      </c>
      <c r="L4507" s="444">
        <f t="shared" ca="1" si="169"/>
        <v>-45380934634376.68</v>
      </c>
      <c r="M4507" s="460">
        <f t="shared" si="171"/>
        <v>0.05</v>
      </c>
      <c r="N4507" s="464">
        <f t="shared" si="172"/>
        <v>188222</v>
      </c>
    </row>
    <row r="4508" spans="7:14" ht="11.25" customHeight="1" x14ac:dyDescent="0.3">
      <c r="G4508" s="459"/>
      <c r="H4508" s="459">
        <v>4501</v>
      </c>
      <c r="I4508" s="444">
        <f t="shared" ca="1" si="170"/>
        <v>-45380934634376.68</v>
      </c>
      <c r="J4508" s="444">
        <f t="array" ref="J4508">IFERROR(INDEX('Retirement Calculator'!K:K,MATCH('Lorri 401b'!N4508,'Retirement Calculator'!A:A,0),0),0)</f>
        <v>0</v>
      </c>
      <c r="K4508" s="444">
        <f t="shared" ca="1" si="168"/>
        <v>-189087227643.23618</v>
      </c>
      <c r="L4508" s="444">
        <f t="shared" ca="1" si="169"/>
        <v>-45570021862019.914</v>
      </c>
      <c r="M4508" s="460">
        <f t="shared" si="171"/>
        <v>0.05</v>
      </c>
      <c r="N4508" s="464">
        <f t="shared" si="172"/>
        <v>188253</v>
      </c>
    </row>
    <row r="4509" spans="7:14" ht="11.25" customHeight="1" x14ac:dyDescent="0.3">
      <c r="G4509" s="459"/>
      <c r="H4509" s="459">
        <v>4502</v>
      </c>
      <c r="I4509" s="444">
        <f t="shared" ca="1" si="170"/>
        <v>-45570021862019.914</v>
      </c>
      <c r="J4509" s="444">
        <f t="array" ref="J4509">IFERROR(INDEX('Retirement Calculator'!K:K,MATCH('Lorri 401b'!N4509,'Retirement Calculator'!A:A,0),0),0)</f>
        <v>0</v>
      </c>
      <c r="K4509" s="444">
        <f t="shared" ca="1" si="168"/>
        <v>-189875091091.74963</v>
      </c>
      <c r="L4509" s="444">
        <f t="shared" ca="1" si="169"/>
        <v>-45759896953111.664</v>
      </c>
      <c r="M4509" s="460">
        <f t="shared" si="171"/>
        <v>0.05</v>
      </c>
      <c r="N4509" s="464">
        <f t="shared" si="172"/>
        <v>188283</v>
      </c>
    </row>
    <row r="4510" spans="7:14" ht="11.25" customHeight="1" x14ac:dyDescent="0.3">
      <c r="G4510" s="459"/>
      <c r="H4510" s="459">
        <v>4503</v>
      </c>
      <c r="I4510" s="444">
        <f t="shared" ca="1" si="170"/>
        <v>-45759896953111.664</v>
      </c>
      <c r="J4510" s="444">
        <f t="array" ref="J4510">IFERROR(INDEX('Retirement Calculator'!K:K,MATCH('Lorri 401b'!N4510,'Retirement Calculator'!A:A,0),0),0)</f>
        <v>0</v>
      </c>
      <c r="K4510" s="444">
        <f t="shared" ca="1" si="168"/>
        <v>-190666237304.63193</v>
      </c>
      <c r="L4510" s="444">
        <f t="shared" ca="1" si="169"/>
        <v>-45950563190416.297</v>
      </c>
      <c r="M4510" s="460">
        <f t="shared" si="171"/>
        <v>0.05</v>
      </c>
      <c r="N4510" s="464">
        <f t="shared" si="172"/>
        <v>188314</v>
      </c>
    </row>
    <row r="4511" spans="7:14" ht="11.25" customHeight="1" x14ac:dyDescent="0.3">
      <c r="G4511" s="459"/>
      <c r="H4511" s="459">
        <v>4504</v>
      </c>
      <c r="I4511" s="444">
        <f t="shared" ca="1" si="170"/>
        <v>-45950563190416.297</v>
      </c>
      <c r="J4511" s="444">
        <f t="array" ref="J4511">IFERROR(INDEX('Retirement Calculator'!K:K,MATCH('Lorri 401b'!N4511,'Retirement Calculator'!A:A,0),0),0)</f>
        <v>0</v>
      </c>
      <c r="K4511" s="444">
        <f t="shared" ca="1" si="168"/>
        <v>-191460679960.0679</v>
      </c>
      <c r="L4511" s="444">
        <f t="shared" ca="1" si="169"/>
        <v>-46142023870376.367</v>
      </c>
      <c r="M4511" s="460">
        <f t="shared" si="171"/>
        <v>0.05</v>
      </c>
      <c r="N4511" s="464">
        <f t="shared" si="172"/>
        <v>188345</v>
      </c>
    </row>
    <row r="4512" spans="7:14" ht="11.25" customHeight="1" x14ac:dyDescent="0.3">
      <c r="G4512" s="459"/>
      <c r="H4512" s="459">
        <v>4505</v>
      </c>
      <c r="I4512" s="444">
        <f t="shared" ca="1" si="170"/>
        <v>-46142023870376.367</v>
      </c>
      <c r="J4512" s="444">
        <f t="array" ref="J4512">IFERROR(INDEX('Retirement Calculator'!K:K,MATCH('Lorri 401b'!N4512,'Retirement Calculator'!A:A,0),0),0)</f>
        <v>0</v>
      </c>
      <c r="K4512" s="444">
        <f t="shared" ca="1" si="168"/>
        <v>-192258432793.23486</v>
      </c>
      <c r="L4512" s="444">
        <f t="shared" ca="1" si="169"/>
        <v>-46334282303169.602</v>
      </c>
      <c r="M4512" s="460">
        <f t="shared" si="171"/>
        <v>0.05</v>
      </c>
      <c r="N4512" s="464">
        <f t="shared" si="172"/>
        <v>188375</v>
      </c>
    </row>
    <row r="4513" spans="7:14" ht="11.25" customHeight="1" x14ac:dyDescent="0.3">
      <c r="G4513" s="459"/>
      <c r="H4513" s="459">
        <v>4506</v>
      </c>
      <c r="I4513" s="444">
        <f t="shared" ca="1" si="170"/>
        <v>-46334282303169.602</v>
      </c>
      <c r="J4513" s="444">
        <f t="array" ref="J4513">IFERROR(INDEX('Retirement Calculator'!K:K,MATCH('Lorri 401b'!N4513,'Retirement Calculator'!A:A,0),0),0)</f>
        <v>0</v>
      </c>
      <c r="K4513" s="444">
        <f t="shared" ca="1" si="168"/>
        <v>-193059509596.54001</v>
      </c>
      <c r="L4513" s="444">
        <f t="shared" ca="1" si="169"/>
        <v>-46527341812766.141</v>
      </c>
      <c r="M4513" s="460">
        <f t="shared" si="171"/>
        <v>0.05</v>
      </c>
      <c r="N4513" s="464">
        <f t="shared" si="172"/>
        <v>188406</v>
      </c>
    </row>
    <row r="4514" spans="7:14" ht="11.25" customHeight="1" x14ac:dyDescent="0.3">
      <c r="G4514" s="459"/>
      <c r="H4514" s="459">
        <v>4507</v>
      </c>
      <c r="I4514" s="444">
        <f t="shared" ca="1" si="170"/>
        <v>-46527341812766.141</v>
      </c>
      <c r="J4514" s="444">
        <f t="array" ref="J4514">IFERROR(INDEX('Retirement Calculator'!K:K,MATCH('Lorri 401b'!N4514,'Retirement Calculator'!A:A,0),0),0)</f>
        <v>0</v>
      </c>
      <c r="K4514" s="444">
        <f t="shared" ca="1" si="168"/>
        <v>-193863924219.85892</v>
      </c>
      <c r="L4514" s="444">
        <f t="shared" ca="1" si="169"/>
        <v>-46721205736986</v>
      </c>
      <c r="M4514" s="460">
        <f t="shared" si="171"/>
        <v>0.05</v>
      </c>
      <c r="N4514" s="464">
        <f t="shared" si="172"/>
        <v>188436</v>
      </c>
    </row>
    <row r="4515" spans="7:14" ht="11.25" customHeight="1" x14ac:dyDescent="0.3">
      <c r="G4515" s="459"/>
      <c r="H4515" s="459">
        <v>4508</v>
      </c>
      <c r="I4515" s="444">
        <f t="shared" ca="1" si="170"/>
        <v>-46721205736986</v>
      </c>
      <c r="J4515" s="444">
        <f t="array" ref="J4515">IFERROR(INDEX('Retirement Calculator'!K:K,MATCH('Lorri 401b'!N4515,'Retirement Calculator'!A:A,0),0),0)</f>
        <v>0</v>
      </c>
      <c r="K4515" s="444">
        <f t="shared" ca="1" si="168"/>
        <v>-194671690570.77499</v>
      </c>
      <c r="L4515" s="444">
        <f t="shared" ca="1" si="169"/>
        <v>-46915877427556.773</v>
      </c>
      <c r="M4515" s="460">
        <f t="shared" si="171"/>
        <v>0.05</v>
      </c>
      <c r="N4515" s="464">
        <f t="shared" si="172"/>
        <v>188467</v>
      </c>
    </row>
    <row r="4516" spans="7:14" ht="11.25" customHeight="1" x14ac:dyDescent="0.3">
      <c r="G4516" s="459"/>
      <c r="H4516" s="459">
        <v>4509</v>
      </c>
      <c r="I4516" s="444">
        <f t="shared" ca="1" si="170"/>
        <v>-46915877427556.773</v>
      </c>
      <c r="J4516" s="444">
        <f t="array" ref="J4516">IFERROR(INDEX('Retirement Calculator'!K:K,MATCH('Lorri 401b'!N4516,'Retirement Calculator'!A:A,0),0),0)</f>
        <v>0</v>
      </c>
      <c r="K4516" s="444">
        <f t="shared" ca="1" si="168"/>
        <v>-195482822614.81989</v>
      </c>
      <c r="L4516" s="444">
        <f t="shared" ca="1" si="169"/>
        <v>-47111360250171.594</v>
      </c>
      <c r="M4516" s="460">
        <f t="shared" si="171"/>
        <v>0.05</v>
      </c>
      <c r="N4516" s="464">
        <f t="shared" si="172"/>
        <v>188498</v>
      </c>
    </row>
    <row r="4517" spans="7:14" ht="11.25" customHeight="1" x14ac:dyDescent="0.3">
      <c r="G4517" s="459"/>
      <c r="H4517" s="459">
        <v>4510</v>
      </c>
      <c r="I4517" s="444">
        <f t="shared" ca="1" si="170"/>
        <v>-47111360250171.594</v>
      </c>
      <c r="J4517" s="444">
        <f t="array" ref="J4517">IFERROR(INDEX('Retirement Calculator'!K:K,MATCH('Lorri 401b'!N4517,'Retirement Calculator'!A:A,0),0),0)</f>
        <v>0</v>
      </c>
      <c r="K4517" s="444">
        <f t="shared" ca="1" si="168"/>
        <v>-196297334375.71497</v>
      </c>
      <c r="L4517" s="444">
        <f t="shared" ca="1" si="169"/>
        <v>-47307657584547.313</v>
      </c>
      <c r="M4517" s="460">
        <f t="shared" si="171"/>
        <v>0.05</v>
      </c>
      <c r="N4517" s="464">
        <f t="shared" si="172"/>
        <v>188527</v>
      </c>
    </row>
    <row r="4518" spans="7:14" ht="11.25" customHeight="1" x14ac:dyDescent="0.3">
      <c r="G4518" s="459"/>
      <c r="H4518" s="459">
        <v>4511</v>
      </c>
      <c r="I4518" s="444">
        <f t="shared" ca="1" si="170"/>
        <v>-47307657584547.313</v>
      </c>
      <c r="J4518" s="444">
        <f t="array" ref="J4518">IFERROR(INDEX('Retirement Calculator'!K:K,MATCH('Lorri 401b'!N4518,'Retirement Calculator'!A:A,0),0),0)</f>
        <v>0</v>
      </c>
      <c r="K4518" s="444">
        <f t="shared" ca="1" si="168"/>
        <v>-197115239935.6138</v>
      </c>
      <c r="L4518" s="444">
        <f t="shared" ca="1" si="169"/>
        <v>-47504772824482.93</v>
      </c>
      <c r="M4518" s="460">
        <f t="shared" si="171"/>
        <v>0.05</v>
      </c>
      <c r="N4518" s="464">
        <f t="shared" si="172"/>
        <v>188558</v>
      </c>
    </row>
    <row r="4519" spans="7:14" ht="11.25" customHeight="1" x14ac:dyDescent="0.3">
      <c r="G4519" s="459"/>
      <c r="H4519" s="459">
        <v>4512</v>
      </c>
      <c r="I4519" s="444">
        <f t="shared" ca="1" si="170"/>
        <v>-47504772824482.93</v>
      </c>
      <c r="J4519" s="444">
        <f t="array" ref="J4519">IFERROR(INDEX('Retirement Calculator'!K:K,MATCH('Lorri 401b'!N4519,'Retirement Calculator'!A:A,0),0),0)</f>
        <v>0</v>
      </c>
      <c r="K4519" s="444">
        <f t="shared" ca="1" si="168"/>
        <v>-197936553435.34555</v>
      </c>
      <c r="L4519" s="444">
        <f t="shared" ca="1" si="169"/>
        <v>-47702709377918.273</v>
      </c>
      <c r="M4519" s="460">
        <f t="shared" si="171"/>
        <v>0.05</v>
      </c>
      <c r="N4519" s="464">
        <f t="shared" si="172"/>
        <v>188588</v>
      </c>
    </row>
    <row r="4520" spans="7:14" ht="11.25" customHeight="1" x14ac:dyDescent="0.3">
      <c r="G4520" s="459"/>
      <c r="H4520" s="459">
        <v>4513</v>
      </c>
      <c r="I4520" s="444">
        <f t="shared" ca="1" si="170"/>
        <v>-47702709377918.273</v>
      </c>
      <c r="J4520" s="444">
        <f t="array" ref="J4520">IFERROR(INDEX('Retirement Calculator'!K:K,MATCH('Lorri 401b'!N4520,'Retirement Calculator'!A:A,0),0),0)</f>
        <v>0</v>
      </c>
      <c r="K4520" s="444">
        <f t="shared" ca="1" si="168"/>
        <v>-198761289074.65948</v>
      </c>
      <c r="L4520" s="444">
        <f t="shared" ca="1" si="169"/>
        <v>-47901470666992.93</v>
      </c>
      <c r="M4520" s="460">
        <f t="shared" si="171"/>
        <v>0.05</v>
      </c>
      <c r="N4520" s="464">
        <f t="shared" si="172"/>
        <v>188619</v>
      </c>
    </row>
    <row r="4521" spans="7:14" ht="11.25" customHeight="1" x14ac:dyDescent="0.3">
      <c r="G4521" s="459"/>
      <c r="H4521" s="459">
        <v>4514</v>
      </c>
      <c r="I4521" s="444">
        <f t="shared" ca="1" si="170"/>
        <v>-47901470666992.93</v>
      </c>
      <c r="J4521" s="444">
        <f t="array" ref="J4521">IFERROR(INDEX('Retirement Calculator'!K:K,MATCH('Lorri 401b'!N4521,'Retirement Calculator'!A:A,0),0),0)</f>
        <v>0</v>
      </c>
      <c r="K4521" s="444">
        <f t="shared" ca="1" si="168"/>
        <v>-199589461112.47055</v>
      </c>
      <c r="L4521" s="444">
        <f t="shared" ca="1" si="169"/>
        <v>-48101060128105.398</v>
      </c>
      <c r="M4521" s="460">
        <f t="shared" si="171"/>
        <v>0.05</v>
      </c>
      <c r="N4521" s="464">
        <f t="shared" si="172"/>
        <v>188649</v>
      </c>
    </row>
    <row r="4522" spans="7:14" ht="11.25" customHeight="1" x14ac:dyDescent="0.3">
      <c r="G4522" s="459"/>
      <c r="H4522" s="459">
        <v>4515</v>
      </c>
      <c r="I4522" s="444">
        <f t="shared" ca="1" si="170"/>
        <v>-48101060128105.398</v>
      </c>
      <c r="J4522" s="444">
        <f t="array" ref="J4522">IFERROR(INDEX('Retirement Calculator'!K:K,MATCH('Lorri 401b'!N4522,'Retirement Calculator'!A:A,0),0),0)</f>
        <v>0</v>
      </c>
      <c r="K4522" s="444">
        <f t="shared" ca="1" si="168"/>
        <v>-200421083867.10583</v>
      </c>
      <c r="L4522" s="444">
        <f t="shared" ca="1" si="169"/>
        <v>-48301481211972.508</v>
      </c>
      <c r="M4522" s="460">
        <f t="shared" si="171"/>
        <v>0.05</v>
      </c>
      <c r="N4522" s="464">
        <f t="shared" si="172"/>
        <v>188680</v>
      </c>
    </row>
    <row r="4523" spans="7:14" ht="11.25" customHeight="1" x14ac:dyDescent="0.3">
      <c r="G4523" s="459"/>
      <c r="H4523" s="459">
        <v>4516</v>
      </c>
      <c r="I4523" s="444">
        <f t="shared" ca="1" si="170"/>
        <v>-48301481211972.508</v>
      </c>
      <c r="J4523" s="444">
        <f t="array" ref="J4523">IFERROR(INDEX('Retirement Calculator'!K:K,MATCH('Lorri 401b'!N4523,'Retirement Calculator'!A:A,0),0),0)</f>
        <v>0</v>
      </c>
      <c r="K4523" s="444">
        <f t="shared" ca="1" si="168"/>
        <v>-201256171716.55212</v>
      </c>
      <c r="L4523" s="444">
        <f t="shared" ca="1" si="169"/>
        <v>-48502737383689.063</v>
      </c>
      <c r="M4523" s="460">
        <f t="shared" si="171"/>
        <v>0.05</v>
      </c>
      <c r="N4523" s="464">
        <f t="shared" si="172"/>
        <v>188711</v>
      </c>
    </row>
    <row r="4524" spans="7:14" ht="11.25" customHeight="1" x14ac:dyDescent="0.3">
      <c r="G4524" s="459"/>
      <c r="H4524" s="459">
        <v>4517</v>
      </c>
      <c r="I4524" s="444">
        <f t="shared" ca="1" si="170"/>
        <v>-48502737383689.063</v>
      </c>
      <c r="J4524" s="444">
        <f t="array" ref="J4524">IFERROR(INDEX('Retirement Calculator'!K:K,MATCH('Lorri 401b'!N4524,'Retirement Calculator'!A:A,0),0),0)</f>
        <v>0</v>
      </c>
      <c r="K4524" s="444">
        <f t="shared" ca="1" si="168"/>
        <v>-202094739098.70444</v>
      </c>
      <c r="L4524" s="444">
        <f t="shared" ca="1" si="169"/>
        <v>-48704832122787.766</v>
      </c>
      <c r="M4524" s="460">
        <f t="shared" si="171"/>
        <v>0.05</v>
      </c>
      <c r="N4524" s="464">
        <f t="shared" si="172"/>
        <v>188741</v>
      </c>
    </row>
    <row r="4525" spans="7:14" ht="11.25" customHeight="1" x14ac:dyDescent="0.3">
      <c r="G4525" s="459"/>
      <c r="H4525" s="459">
        <v>4518</v>
      </c>
      <c r="I4525" s="444">
        <f t="shared" ca="1" si="170"/>
        <v>-48704832122787.766</v>
      </c>
      <c r="J4525" s="444">
        <f t="array" ref="J4525">IFERROR(INDEX('Retirement Calculator'!K:K,MATCH('Lorri 401b'!N4525,'Retirement Calculator'!A:A,0),0),0)</f>
        <v>0</v>
      </c>
      <c r="K4525" s="444">
        <f t="shared" ca="1" si="168"/>
        <v>-202936800511.61569</v>
      </c>
      <c r="L4525" s="444">
        <f t="shared" ca="1" si="169"/>
        <v>-48907768923299.383</v>
      </c>
      <c r="M4525" s="460">
        <f t="shared" si="171"/>
        <v>0.05</v>
      </c>
      <c r="N4525" s="464">
        <f t="shared" si="172"/>
        <v>188772</v>
      </c>
    </row>
    <row r="4526" spans="7:14" ht="11.25" customHeight="1" x14ac:dyDescent="0.3">
      <c r="G4526" s="459"/>
      <c r="H4526" s="459">
        <v>4519</v>
      </c>
      <c r="I4526" s="444">
        <f t="shared" ca="1" si="170"/>
        <v>-48907768923299.383</v>
      </c>
      <c r="J4526" s="444">
        <f t="array" ref="J4526">IFERROR(INDEX('Retirement Calculator'!K:K,MATCH('Lorri 401b'!N4526,'Retirement Calculator'!A:A,0),0),0)</f>
        <v>0</v>
      </c>
      <c r="K4526" s="444">
        <f t="shared" ca="1" si="168"/>
        <v>-203782370513.74744</v>
      </c>
      <c r="L4526" s="444">
        <f t="shared" ca="1" si="169"/>
        <v>-49111551293813.133</v>
      </c>
      <c r="M4526" s="460">
        <f t="shared" si="171"/>
        <v>0.05</v>
      </c>
      <c r="N4526" s="464">
        <f t="shared" si="172"/>
        <v>188802</v>
      </c>
    </row>
    <row r="4527" spans="7:14" ht="11.25" customHeight="1" x14ac:dyDescent="0.3">
      <c r="G4527" s="459"/>
      <c r="H4527" s="459">
        <v>4520</v>
      </c>
      <c r="I4527" s="444">
        <f t="shared" ca="1" si="170"/>
        <v>-49111551293813.133</v>
      </c>
      <c r="J4527" s="444">
        <f t="array" ref="J4527">IFERROR(INDEX('Retirement Calculator'!K:K,MATCH('Lorri 401b'!N4527,'Retirement Calculator'!A:A,0),0),0)</f>
        <v>0</v>
      </c>
      <c r="K4527" s="444">
        <f t="shared" ca="1" si="168"/>
        <v>-204631463724.22137</v>
      </c>
      <c r="L4527" s="444">
        <f t="shared" ca="1" si="169"/>
        <v>-49316182757537.352</v>
      </c>
      <c r="M4527" s="460">
        <f t="shared" si="171"/>
        <v>0.05</v>
      </c>
      <c r="N4527" s="464">
        <f t="shared" si="172"/>
        <v>188833</v>
      </c>
    </row>
    <row r="4528" spans="7:14" ht="11.25" customHeight="1" x14ac:dyDescent="0.3">
      <c r="G4528" s="459"/>
      <c r="H4528" s="459">
        <v>4521</v>
      </c>
      <c r="I4528" s="444">
        <f t="shared" ca="1" si="170"/>
        <v>-49316182757537.352</v>
      </c>
      <c r="J4528" s="444">
        <f t="array" ref="J4528">IFERROR(INDEX('Retirement Calculator'!K:K,MATCH('Lorri 401b'!N4528,'Retirement Calculator'!A:A,0),0),0)</f>
        <v>0</v>
      </c>
      <c r="K4528" s="444">
        <f t="shared" ca="1" si="168"/>
        <v>-205484094823.0723</v>
      </c>
      <c r="L4528" s="444">
        <f t="shared" ca="1" si="169"/>
        <v>-49521666852360.422</v>
      </c>
      <c r="M4528" s="460">
        <f t="shared" si="171"/>
        <v>0.05</v>
      </c>
      <c r="N4528" s="464">
        <f t="shared" si="172"/>
        <v>188864</v>
      </c>
    </row>
    <row r="4529" spans="7:14" ht="11.25" customHeight="1" x14ac:dyDescent="0.3">
      <c r="G4529" s="459"/>
      <c r="H4529" s="459">
        <v>4522</v>
      </c>
      <c r="I4529" s="444">
        <f t="shared" ca="1" si="170"/>
        <v>-49521666852360.422</v>
      </c>
      <c r="J4529" s="444">
        <f t="array" ref="J4529">IFERROR(INDEX('Retirement Calculator'!K:K,MATCH('Lorri 401b'!N4529,'Retirement Calculator'!A:A,0),0),0)</f>
        <v>0</v>
      </c>
      <c r="K4529" s="444">
        <f t="shared" ca="1" si="168"/>
        <v>-206340278551.50177</v>
      </c>
      <c r="L4529" s="444">
        <f t="shared" ca="1" si="169"/>
        <v>-49728007130911.922</v>
      </c>
      <c r="M4529" s="460">
        <f t="shared" si="171"/>
        <v>0.05</v>
      </c>
      <c r="N4529" s="464">
        <f t="shared" si="172"/>
        <v>188892</v>
      </c>
    </row>
    <row r="4530" spans="7:14" ht="11.25" customHeight="1" x14ac:dyDescent="0.3">
      <c r="G4530" s="459"/>
      <c r="H4530" s="459">
        <v>4523</v>
      </c>
      <c r="I4530" s="444">
        <f t="shared" ca="1" si="170"/>
        <v>-49728007130911.922</v>
      </c>
      <c r="J4530" s="444">
        <f t="array" ref="J4530">IFERROR(INDEX('Retirement Calculator'!K:K,MATCH('Lorri 401b'!N4530,'Retirement Calculator'!A:A,0),0),0)</f>
        <v>0</v>
      </c>
      <c r="K4530" s="444">
        <f t="shared" ca="1" si="168"/>
        <v>-207200029712.133</v>
      </c>
      <c r="L4530" s="444">
        <f t="shared" ca="1" si="169"/>
        <v>-49935207160624.055</v>
      </c>
      <c r="M4530" s="460">
        <f t="shared" si="171"/>
        <v>0.05</v>
      </c>
      <c r="N4530" s="464">
        <f t="shared" si="172"/>
        <v>188923</v>
      </c>
    </row>
    <row r="4531" spans="7:14" ht="11.25" customHeight="1" x14ac:dyDescent="0.3">
      <c r="G4531" s="459"/>
      <c r="H4531" s="459">
        <v>4524</v>
      </c>
      <c r="I4531" s="444">
        <f t="shared" ca="1" si="170"/>
        <v>-49935207160624.055</v>
      </c>
      <c r="J4531" s="444">
        <f t="array" ref="J4531">IFERROR(INDEX('Retirement Calculator'!K:K,MATCH('Lorri 401b'!N4531,'Retirement Calculator'!A:A,0),0),0)</f>
        <v>0</v>
      </c>
      <c r="K4531" s="444">
        <f t="shared" ca="1" si="168"/>
        <v>-208063363169.26691</v>
      </c>
      <c r="L4531" s="444">
        <f t="shared" ca="1" si="169"/>
        <v>-50143270523793.32</v>
      </c>
      <c r="M4531" s="460">
        <f t="shared" si="171"/>
        <v>0.05</v>
      </c>
      <c r="N4531" s="464">
        <f t="shared" si="172"/>
        <v>188953</v>
      </c>
    </row>
    <row r="4532" spans="7:14" ht="11.25" customHeight="1" x14ac:dyDescent="0.3">
      <c r="G4532" s="459"/>
      <c r="H4532" s="459">
        <v>4525</v>
      </c>
      <c r="I4532" s="444">
        <f t="shared" ca="1" si="170"/>
        <v>-50143270523793.32</v>
      </c>
      <c r="J4532" s="444">
        <f t="array" ref="J4532">IFERROR(INDEX('Retirement Calculator'!K:K,MATCH('Lorri 401b'!N4532,'Retirement Calculator'!A:A,0),0),0)</f>
        <v>0</v>
      </c>
      <c r="K4532" s="444">
        <f t="shared" ca="1" si="168"/>
        <v>-208930293849.13882</v>
      </c>
      <c r="L4532" s="444">
        <f t="shared" ca="1" si="169"/>
        <v>-50352200817642.461</v>
      </c>
      <c r="M4532" s="460">
        <f t="shared" si="171"/>
        <v>0.05</v>
      </c>
      <c r="N4532" s="464">
        <f t="shared" si="172"/>
        <v>188984</v>
      </c>
    </row>
    <row r="4533" spans="7:14" ht="11.25" customHeight="1" x14ac:dyDescent="0.3">
      <c r="G4533" s="459"/>
      <c r="H4533" s="459">
        <v>4526</v>
      </c>
      <c r="I4533" s="444">
        <f t="shared" ca="1" si="170"/>
        <v>-50352200817642.461</v>
      </c>
      <c r="J4533" s="444">
        <f t="array" ref="J4533">IFERROR(INDEX('Retirement Calculator'!K:K,MATCH('Lorri 401b'!N4533,'Retirement Calculator'!A:A,0),0),0)</f>
        <v>0</v>
      </c>
      <c r="K4533" s="444">
        <f t="shared" ca="1" si="168"/>
        <v>-209800836740.17691</v>
      </c>
      <c r="L4533" s="444">
        <f t="shared" ca="1" si="169"/>
        <v>-50562001654382.641</v>
      </c>
      <c r="M4533" s="460">
        <f t="shared" si="171"/>
        <v>0.05</v>
      </c>
      <c r="N4533" s="464">
        <f t="shared" si="172"/>
        <v>189014</v>
      </c>
    </row>
    <row r="4534" spans="7:14" ht="11.25" customHeight="1" x14ac:dyDescent="0.3">
      <c r="G4534" s="459"/>
      <c r="H4534" s="459">
        <v>4527</v>
      </c>
      <c r="I4534" s="444">
        <f t="shared" ca="1" si="170"/>
        <v>-50562001654382.641</v>
      </c>
      <c r="J4534" s="444">
        <f t="array" ref="J4534">IFERROR(INDEX('Retirement Calculator'!K:K,MATCH('Lorri 401b'!N4534,'Retirement Calculator'!A:A,0),0),0)</f>
        <v>0</v>
      </c>
      <c r="K4534" s="444">
        <f t="shared" ca="1" si="168"/>
        <v>-210675006893.26099</v>
      </c>
      <c r="L4534" s="444">
        <f t="shared" ca="1" si="169"/>
        <v>-50772676661275.898</v>
      </c>
      <c r="M4534" s="460">
        <f t="shared" si="171"/>
        <v>0.05</v>
      </c>
      <c r="N4534" s="464">
        <f t="shared" si="172"/>
        <v>189045</v>
      </c>
    </row>
    <row r="4535" spans="7:14" ht="11.25" customHeight="1" x14ac:dyDescent="0.3">
      <c r="G4535" s="459"/>
      <c r="H4535" s="459">
        <v>4528</v>
      </c>
      <c r="I4535" s="444">
        <f t="shared" ca="1" si="170"/>
        <v>-50772676661275.898</v>
      </c>
      <c r="J4535" s="444">
        <f t="array" ref="J4535">IFERROR(INDEX('Retirement Calculator'!K:K,MATCH('Lorri 401b'!N4535,'Retirement Calculator'!A:A,0),0),0)</f>
        <v>0</v>
      </c>
      <c r="K4535" s="444">
        <f t="shared" ca="1" si="168"/>
        <v>-211552819421.98291</v>
      </c>
      <c r="L4535" s="444">
        <f t="shared" ca="1" si="169"/>
        <v>-50984229480697.883</v>
      </c>
      <c r="M4535" s="460">
        <f t="shared" si="171"/>
        <v>0.05</v>
      </c>
      <c r="N4535" s="464">
        <f t="shared" si="172"/>
        <v>189076</v>
      </c>
    </row>
    <row r="4536" spans="7:14" ht="11.25" customHeight="1" x14ac:dyDescent="0.3">
      <c r="G4536" s="459"/>
      <c r="H4536" s="459">
        <v>4529</v>
      </c>
      <c r="I4536" s="444">
        <f t="shared" ca="1" si="170"/>
        <v>-50984229480697.883</v>
      </c>
      <c r="J4536" s="444">
        <f t="array" ref="J4536">IFERROR(INDEX('Retirement Calculator'!K:K,MATCH('Lorri 401b'!N4536,'Retirement Calculator'!A:A,0),0),0)</f>
        <v>0</v>
      </c>
      <c r="K4536" s="444">
        <f t="shared" ca="1" si="168"/>
        <v>-212434289502.90784</v>
      </c>
      <c r="L4536" s="444">
        <f t="shared" ca="1" si="169"/>
        <v>-51196663770200.789</v>
      </c>
      <c r="M4536" s="460">
        <f t="shared" si="171"/>
        <v>0.05</v>
      </c>
      <c r="N4536" s="464">
        <f t="shared" si="172"/>
        <v>189106</v>
      </c>
    </row>
    <row r="4537" spans="7:14" ht="11.25" customHeight="1" x14ac:dyDescent="0.3">
      <c r="G4537" s="459"/>
      <c r="H4537" s="459">
        <v>4530</v>
      </c>
      <c r="I4537" s="444">
        <f t="shared" ca="1" si="170"/>
        <v>-51196663770200.789</v>
      </c>
      <c r="J4537" s="444">
        <f t="array" ref="J4537">IFERROR(INDEX('Retirement Calculator'!K:K,MATCH('Lorri 401b'!N4537,'Retirement Calculator'!A:A,0),0),0)</f>
        <v>0</v>
      </c>
      <c r="K4537" s="444">
        <f t="shared" ca="1" si="168"/>
        <v>-213319432375.83661</v>
      </c>
      <c r="L4537" s="444">
        <f t="shared" ca="1" si="169"/>
        <v>-51409983202576.625</v>
      </c>
      <c r="M4537" s="460">
        <f t="shared" si="171"/>
        <v>0.05</v>
      </c>
      <c r="N4537" s="464">
        <f t="shared" si="172"/>
        <v>189137</v>
      </c>
    </row>
    <row r="4538" spans="7:14" ht="11.25" customHeight="1" x14ac:dyDescent="0.3">
      <c r="G4538" s="459"/>
      <c r="H4538" s="459">
        <v>4531</v>
      </c>
      <c r="I4538" s="444">
        <f t="shared" ca="1" si="170"/>
        <v>-51409983202576.625</v>
      </c>
      <c r="J4538" s="444">
        <f t="array" ref="J4538">IFERROR(INDEX('Retirement Calculator'!K:K,MATCH('Lorri 401b'!N4538,'Retirement Calculator'!A:A,0),0),0)</f>
        <v>0</v>
      </c>
      <c r="K4538" s="444">
        <f t="shared" ca="1" si="168"/>
        <v>-214208263344.06927</v>
      </c>
      <c r="L4538" s="444">
        <f t="shared" ca="1" si="169"/>
        <v>-51624191465920.695</v>
      </c>
      <c r="M4538" s="460">
        <f t="shared" si="171"/>
        <v>0.05</v>
      </c>
      <c r="N4538" s="464">
        <f t="shared" si="172"/>
        <v>189167</v>
      </c>
    </row>
    <row r="4539" spans="7:14" ht="11.25" customHeight="1" x14ac:dyDescent="0.3">
      <c r="G4539" s="459"/>
      <c r="H4539" s="459">
        <v>4532</v>
      </c>
      <c r="I4539" s="444">
        <f t="shared" ca="1" si="170"/>
        <v>-51624191465920.695</v>
      </c>
      <c r="J4539" s="444">
        <f t="array" ref="J4539">IFERROR(INDEX('Retirement Calculator'!K:K,MATCH('Lorri 401b'!N4539,'Retirement Calculator'!A:A,0),0),0)</f>
        <v>0</v>
      </c>
      <c r="K4539" s="444">
        <f t="shared" ca="1" si="168"/>
        <v>-215100797774.66956</v>
      </c>
      <c r="L4539" s="444">
        <f t="shared" ca="1" si="169"/>
        <v>-51839292263695.367</v>
      </c>
      <c r="M4539" s="460">
        <f t="shared" si="171"/>
        <v>0.05</v>
      </c>
      <c r="N4539" s="464">
        <f t="shared" si="172"/>
        <v>189198</v>
      </c>
    </row>
    <row r="4540" spans="7:14" ht="11.25" customHeight="1" x14ac:dyDescent="0.3">
      <c r="G4540" s="459"/>
      <c r="H4540" s="459">
        <v>4533</v>
      </c>
      <c r="I4540" s="444">
        <f t="shared" ca="1" si="170"/>
        <v>-51839292263695.367</v>
      </c>
      <c r="J4540" s="444">
        <f t="array" ref="J4540">IFERROR(INDEX('Retirement Calculator'!K:K,MATCH('Lorri 401b'!N4540,'Retirement Calculator'!A:A,0),0),0)</f>
        <v>0</v>
      </c>
      <c r="K4540" s="444">
        <f t="shared" ca="1" si="168"/>
        <v>-215997051098.73068</v>
      </c>
      <c r="L4540" s="444">
        <f t="shared" ca="1" si="169"/>
        <v>-52055289314794.102</v>
      </c>
      <c r="M4540" s="460">
        <f t="shared" si="171"/>
        <v>0.05</v>
      </c>
      <c r="N4540" s="464">
        <f t="shared" si="172"/>
        <v>189229</v>
      </c>
    </row>
    <row r="4541" spans="7:14" ht="11.25" customHeight="1" x14ac:dyDescent="0.3">
      <c r="G4541" s="459"/>
      <c r="H4541" s="459">
        <v>4534</v>
      </c>
      <c r="I4541" s="444">
        <f t="shared" ca="1" si="170"/>
        <v>-52055289314794.102</v>
      </c>
      <c r="J4541" s="444">
        <f t="array" ref="J4541">IFERROR(INDEX('Retirement Calculator'!K:K,MATCH('Lorri 401b'!N4541,'Retirement Calculator'!A:A,0),0),0)</f>
        <v>0</v>
      </c>
      <c r="K4541" s="444">
        <f t="shared" ca="1" si="168"/>
        <v>-216897038811.64209</v>
      </c>
      <c r="L4541" s="444">
        <f t="shared" ca="1" si="169"/>
        <v>-52272186353605.742</v>
      </c>
      <c r="M4541" s="460">
        <f t="shared" si="171"/>
        <v>0.05</v>
      </c>
      <c r="N4541" s="464">
        <f t="shared" si="172"/>
        <v>189257</v>
      </c>
    </row>
    <row r="4542" spans="7:14" ht="11.25" customHeight="1" x14ac:dyDescent="0.3">
      <c r="G4542" s="459"/>
      <c r="H4542" s="459">
        <v>4535</v>
      </c>
      <c r="I4542" s="444">
        <f t="shared" ca="1" si="170"/>
        <v>-52272186353605.742</v>
      </c>
      <c r="J4542" s="444">
        <f t="array" ref="J4542">IFERROR(INDEX('Retirement Calculator'!K:K,MATCH('Lorri 401b'!N4542,'Retirement Calculator'!A:A,0),0),0)</f>
        <v>0</v>
      </c>
      <c r="K4542" s="444">
        <f t="shared" ca="1" si="168"/>
        <v>-217800776473.35727</v>
      </c>
      <c r="L4542" s="444">
        <f t="shared" ca="1" si="169"/>
        <v>-52489987130079.102</v>
      </c>
      <c r="M4542" s="460">
        <f t="shared" si="171"/>
        <v>0.05</v>
      </c>
      <c r="N4542" s="464">
        <f t="shared" si="172"/>
        <v>189288</v>
      </c>
    </row>
    <row r="4543" spans="7:14" ht="11.25" customHeight="1" x14ac:dyDescent="0.3">
      <c r="G4543" s="459"/>
      <c r="H4543" s="459">
        <v>4536</v>
      </c>
      <c r="I4543" s="444">
        <f t="shared" ca="1" si="170"/>
        <v>-52489987130079.102</v>
      </c>
      <c r="J4543" s="444">
        <f t="array" ref="J4543">IFERROR(INDEX('Retirement Calculator'!K:K,MATCH('Lorri 401b'!N4543,'Retirement Calculator'!A:A,0),0),0)</f>
        <v>0</v>
      </c>
      <c r="K4543" s="444">
        <f t="shared" ca="1" si="168"/>
        <v>-218708279708.66293</v>
      </c>
      <c r="L4543" s="444">
        <f t="shared" ca="1" si="169"/>
        <v>-52708695409787.766</v>
      </c>
      <c r="M4543" s="460">
        <f t="shared" si="171"/>
        <v>0.05</v>
      </c>
      <c r="N4543" s="464">
        <f t="shared" si="172"/>
        <v>189318</v>
      </c>
    </row>
    <row r="4544" spans="7:14" ht="11.25" customHeight="1" x14ac:dyDescent="0.3">
      <c r="G4544" s="459"/>
      <c r="H4544" s="459">
        <v>4537</v>
      </c>
      <c r="I4544" s="444">
        <f t="shared" ca="1" si="170"/>
        <v>-52708695409787.766</v>
      </c>
      <c r="J4544" s="444">
        <f t="array" ref="J4544">IFERROR(INDEX('Retirement Calculator'!K:K,MATCH('Lorri 401b'!N4544,'Retirement Calculator'!A:A,0),0),0)</f>
        <v>0</v>
      </c>
      <c r="K4544" s="444">
        <f t="shared" ca="1" si="168"/>
        <v>-219619564207.44904</v>
      </c>
      <c r="L4544" s="444">
        <f t="shared" ca="1" si="169"/>
        <v>-52928314973995.211</v>
      </c>
      <c r="M4544" s="460">
        <f t="shared" si="171"/>
        <v>0.05</v>
      </c>
      <c r="N4544" s="464">
        <f t="shared" si="172"/>
        <v>189349</v>
      </c>
    </row>
    <row r="4545" spans="7:14" ht="11.25" customHeight="1" x14ac:dyDescent="0.3">
      <c r="G4545" s="459"/>
      <c r="H4545" s="459">
        <v>4538</v>
      </c>
      <c r="I4545" s="444">
        <f t="shared" ca="1" si="170"/>
        <v>-52928314973995.211</v>
      </c>
      <c r="J4545" s="444">
        <f t="array" ref="J4545">IFERROR(INDEX('Retirement Calculator'!K:K,MATCH('Lorri 401b'!N4545,'Retirement Calculator'!A:A,0),0),0)</f>
        <v>0</v>
      </c>
      <c r="K4545" s="444">
        <f t="shared" ca="1" si="168"/>
        <v>-220534645724.98004</v>
      </c>
      <c r="L4545" s="444">
        <f t="shared" ca="1" si="169"/>
        <v>-53148849619720.188</v>
      </c>
      <c r="M4545" s="460">
        <f t="shared" si="171"/>
        <v>0.05</v>
      </c>
      <c r="N4545" s="464">
        <f t="shared" si="172"/>
        <v>189379</v>
      </c>
    </row>
    <row r="4546" spans="7:14" ht="11.25" customHeight="1" x14ac:dyDescent="0.3">
      <c r="G4546" s="459"/>
      <c r="H4546" s="459">
        <v>4539</v>
      </c>
      <c r="I4546" s="444">
        <f t="shared" ca="1" si="170"/>
        <v>-53148849619720.188</v>
      </c>
      <c r="J4546" s="444">
        <f t="array" ref="J4546">IFERROR(INDEX('Retirement Calculator'!K:K,MATCH('Lorri 401b'!N4546,'Retirement Calculator'!A:A,0),0),0)</f>
        <v>0</v>
      </c>
      <c r="K4546" s="444">
        <f t="shared" ca="1" si="168"/>
        <v>-221453540082.16745</v>
      </c>
      <c r="L4546" s="444">
        <f t="shared" ca="1" si="169"/>
        <v>-53370303159802.352</v>
      </c>
      <c r="M4546" s="460">
        <f t="shared" si="171"/>
        <v>0.05</v>
      </c>
      <c r="N4546" s="464">
        <f t="shared" si="172"/>
        <v>189410</v>
      </c>
    </row>
    <row r="4547" spans="7:14" ht="11.25" customHeight="1" x14ac:dyDescent="0.3">
      <c r="G4547" s="459"/>
      <c r="H4547" s="459">
        <v>4540</v>
      </c>
      <c r="I4547" s="444">
        <f t="shared" ca="1" si="170"/>
        <v>-53370303159802.352</v>
      </c>
      <c r="J4547" s="444">
        <f t="array" ref="J4547">IFERROR(INDEX('Retirement Calculator'!K:K,MATCH('Lorri 401b'!N4547,'Retirement Calculator'!A:A,0),0),0)</f>
        <v>0</v>
      </c>
      <c r="K4547" s="444">
        <f t="shared" ca="1" si="168"/>
        <v>-222376263165.84314</v>
      </c>
      <c r="L4547" s="444">
        <f t="shared" ca="1" si="169"/>
        <v>-53592679422968.195</v>
      </c>
      <c r="M4547" s="460">
        <f t="shared" si="171"/>
        <v>0.05</v>
      </c>
      <c r="N4547" s="464">
        <f t="shared" si="172"/>
        <v>189441</v>
      </c>
    </row>
    <row r="4548" spans="7:14" ht="11.25" customHeight="1" x14ac:dyDescent="0.3">
      <c r="G4548" s="459"/>
      <c r="H4548" s="459">
        <v>4541</v>
      </c>
      <c r="I4548" s="444">
        <f t="shared" ca="1" si="170"/>
        <v>-53592679422968.195</v>
      </c>
      <c r="J4548" s="444">
        <f t="array" ref="J4548">IFERROR(INDEX('Retirement Calculator'!K:K,MATCH('Lorri 401b'!N4548,'Retirement Calculator'!A:A,0),0),0)</f>
        <v>0</v>
      </c>
      <c r="K4548" s="444">
        <f t="shared" ca="1" si="168"/>
        <v>-223302830929.03415</v>
      </c>
      <c r="L4548" s="444">
        <f t="shared" ca="1" si="169"/>
        <v>-53815982253897.227</v>
      </c>
      <c r="M4548" s="460">
        <f t="shared" si="171"/>
        <v>0.05</v>
      </c>
      <c r="N4548" s="464">
        <f t="shared" si="172"/>
        <v>189471</v>
      </c>
    </row>
    <row r="4549" spans="7:14" ht="11.25" customHeight="1" x14ac:dyDescent="0.3">
      <c r="G4549" s="459"/>
      <c r="H4549" s="459">
        <v>4542</v>
      </c>
      <c r="I4549" s="444">
        <f t="shared" ca="1" si="170"/>
        <v>-53815982253897.227</v>
      </c>
      <c r="J4549" s="444">
        <f t="array" ref="J4549">IFERROR(INDEX('Retirement Calculator'!K:K,MATCH('Lorri 401b'!N4549,'Retirement Calculator'!A:A,0),0),0)</f>
        <v>0</v>
      </c>
      <c r="K4549" s="444">
        <f t="shared" ca="1" si="168"/>
        <v>-224233259391.23843</v>
      </c>
      <c r="L4549" s="444">
        <f t="shared" ca="1" si="169"/>
        <v>-54040215513288.469</v>
      </c>
      <c r="M4549" s="460">
        <f t="shared" si="171"/>
        <v>0.05</v>
      </c>
      <c r="N4549" s="464">
        <f t="shared" si="172"/>
        <v>189502</v>
      </c>
    </row>
    <row r="4550" spans="7:14" ht="11.25" customHeight="1" x14ac:dyDescent="0.3">
      <c r="G4550" s="459"/>
      <c r="H4550" s="459">
        <v>4543</v>
      </c>
      <c r="I4550" s="444">
        <f t="shared" ca="1" si="170"/>
        <v>-54040215513288.469</v>
      </c>
      <c r="J4550" s="444">
        <f t="array" ref="J4550">IFERROR(INDEX('Retirement Calculator'!K:K,MATCH('Lorri 401b'!N4550,'Retirement Calculator'!A:A,0),0),0)</f>
        <v>0</v>
      </c>
      <c r="K4550" s="444">
        <f t="shared" ca="1" si="168"/>
        <v>-225167564638.70193</v>
      </c>
      <c r="L4550" s="444">
        <f t="shared" ca="1" si="169"/>
        <v>-54265383077927.172</v>
      </c>
      <c r="M4550" s="460">
        <f t="shared" si="171"/>
        <v>0.05</v>
      </c>
      <c r="N4550" s="464">
        <f t="shared" si="172"/>
        <v>189532</v>
      </c>
    </row>
    <row r="4551" spans="7:14" ht="11.25" customHeight="1" x14ac:dyDescent="0.3">
      <c r="G4551" s="459"/>
      <c r="H4551" s="459">
        <v>4544</v>
      </c>
      <c r="I4551" s="444">
        <f t="shared" ca="1" si="170"/>
        <v>-54265383077927.172</v>
      </c>
      <c r="J4551" s="444">
        <f t="array" ref="J4551">IFERROR(INDEX('Retirement Calculator'!K:K,MATCH('Lorri 401b'!N4551,'Retirement Calculator'!A:A,0),0),0)</f>
        <v>0</v>
      </c>
      <c r="K4551" s="444">
        <f t="shared" ca="1" si="168"/>
        <v>-226105762824.69653</v>
      </c>
      <c r="L4551" s="444">
        <f t="shared" ca="1" si="169"/>
        <v>-54491488840751.867</v>
      </c>
      <c r="M4551" s="460">
        <f t="shared" si="171"/>
        <v>0.05</v>
      </c>
      <c r="N4551" s="464">
        <f t="shared" si="172"/>
        <v>189563</v>
      </c>
    </row>
    <row r="4552" spans="7:14" ht="11.25" customHeight="1" x14ac:dyDescent="0.3">
      <c r="G4552" s="459"/>
      <c r="H4552" s="459">
        <v>4545</v>
      </c>
      <c r="I4552" s="444">
        <f t="shared" ca="1" si="170"/>
        <v>-54491488840751.867</v>
      </c>
      <c r="J4552" s="444">
        <f t="array" ref="J4552">IFERROR(INDEX('Retirement Calculator'!K:K,MATCH('Lorri 401b'!N4552,'Retirement Calculator'!A:A,0),0),0)</f>
        <v>0</v>
      </c>
      <c r="K4552" s="444">
        <f t="shared" ca="1" si="168"/>
        <v>-227047870169.79944</v>
      </c>
      <c r="L4552" s="444">
        <f t="shared" ca="1" si="169"/>
        <v>-54718536710921.664</v>
      </c>
      <c r="M4552" s="460">
        <f t="shared" si="171"/>
        <v>0.05</v>
      </c>
      <c r="N4552" s="464">
        <f t="shared" si="172"/>
        <v>189594</v>
      </c>
    </row>
    <row r="4553" spans="7:14" ht="11.25" customHeight="1" x14ac:dyDescent="0.3">
      <c r="G4553" s="459"/>
      <c r="H4553" s="459">
        <v>4546</v>
      </c>
      <c r="I4553" s="444">
        <f t="shared" ca="1" si="170"/>
        <v>-54718536710921.664</v>
      </c>
      <c r="J4553" s="444">
        <f t="array" ref="J4553">IFERROR(INDEX('Retirement Calculator'!K:K,MATCH('Lorri 401b'!N4553,'Retirement Calculator'!A:A,0),0),0)</f>
        <v>0</v>
      </c>
      <c r="K4553" s="444">
        <f t="shared" ca="1" si="168"/>
        <v>-227993902962.17358</v>
      </c>
      <c r="L4553" s="444">
        <f t="shared" ca="1" si="169"/>
        <v>-54946530613883.836</v>
      </c>
      <c r="M4553" s="460">
        <f t="shared" si="171"/>
        <v>0.05</v>
      </c>
      <c r="N4553" s="464">
        <f t="shared" si="172"/>
        <v>189622</v>
      </c>
    </row>
    <row r="4554" spans="7:14" ht="11.25" customHeight="1" x14ac:dyDescent="0.3">
      <c r="G4554" s="459"/>
      <c r="H4554" s="459">
        <v>4547</v>
      </c>
      <c r="I4554" s="444">
        <f t="shared" ca="1" si="170"/>
        <v>-54946530613883.836</v>
      </c>
      <c r="J4554" s="444">
        <f t="array" ref="J4554">IFERROR(INDEX('Retirement Calculator'!K:K,MATCH('Lorri 401b'!N4554,'Retirement Calculator'!A:A,0),0),0)</f>
        <v>0</v>
      </c>
      <c r="K4554" s="444">
        <f t="shared" ca="1" si="168"/>
        <v>-228943877557.84933</v>
      </c>
      <c r="L4554" s="444">
        <f t="shared" ca="1" si="169"/>
        <v>-55175474491441.688</v>
      </c>
      <c r="M4554" s="460">
        <f t="shared" si="171"/>
        <v>0.05</v>
      </c>
      <c r="N4554" s="464">
        <f t="shared" si="172"/>
        <v>189653</v>
      </c>
    </row>
    <row r="4555" spans="7:14" ht="11.25" customHeight="1" x14ac:dyDescent="0.3">
      <c r="G4555" s="459"/>
      <c r="H4555" s="459">
        <v>4548</v>
      </c>
      <c r="I4555" s="444">
        <f t="shared" ca="1" si="170"/>
        <v>-55175474491441.688</v>
      </c>
      <c r="J4555" s="444">
        <f t="array" ref="J4555">IFERROR(INDEX('Retirement Calculator'!K:K,MATCH('Lorri 401b'!N4555,'Retirement Calculator'!A:A,0),0),0)</f>
        <v>0</v>
      </c>
      <c r="K4555" s="444">
        <f t="shared" ca="1" si="168"/>
        <v>-229897810381.00702</v>
      </c>
      <c r="L4555" s="444">
        <f t="shared" ca="1" si="169"/>
        <v>-55405372301822.695</v>
      </c>
      <c r="M4555" s="460">
        <f t="shared" si="171"/>
        <v>0.05</v>
      </c>
      <c r="N4555" s="464">
        <f t="shared" si="172"/>
        <v>189683</v>
      </c>
    </row>
    <row r="4556" spans="7:14" ht="11.25" customHeight="1" x14ac:dyDescent="0.3">
      <c r="G4556" s="459"/>
      <c r="H4556" s="459">
        <v>4549</v>
      </c>
      <c r="I4556" s="444">
        <f t="shared" ca="1" si="170"/>
        <v>-55405372301822.695</v>
      </c>
      <c r="J4556" s="444">
        <f t="array" ref="J4556">IFERROR(INDEX('Retirement Calculator'!K:K,MATCH('Lorri 401b'!N4556,'Retirement Calculator'!A:A,0),0),0)</f>
        <v>0</v>
      </c>
      <c r="K4556" s="444">
        <f t="shared" ca="1" si="168"/>
        <v>-230855717924.2612</v>
      </c>
      <c r="L4556" s="444">
        <f t="shared" ca="1" si="169"/>
        <v>-55636228019746.953</v>
      </c>
      <c r="M4556" s="460">
        <f t="shared" si="171"/>
        <v>0.05</v>
      </c>
      <c r="N4556" s="464">
        <f t="shared" si="172"/>
        <v>189714</v>
      </c>
    </row>
    <row r="4557" spans="7:14" ht="11.25" customHeight="1" x14ac:dyDescent="0.3">
      <c r="G4557" s="459"/>
      <c r="H4557" s="459">
        <v>4550</v>
      </c>
      <c r="I4557" s="444">
        <f t="shared" ca="1" si="170"/>
        <v>-55636228019746.953</v>
      </c>
      <c r="J4557" s="444">
        <f t="array" ref="J4557">IFERROR(INDEX('Retirement Calculator'!K:K,MATCH('Lorri 401b'!N4557,'Retirement Calculator'!A:A,0),0),0)</f>
        <v>0</v>
      </c>
      <c r="K4557" s="444">
        <f t="shared" ca="1" si="168"/>
        <v>-231817616748.94565</v>
      </c>
      <c r="L4557" s="444">
        <f t="shared" ca="1" si="169"/>
        <v>-55868045636495.898</v>
      </c>
      <c r="M4557" s="460">
        <f t="shared" si="171"/>
        <v>0.05</v>
      </c>
      <c r="N4557" s="464">
        <f t="shared" si="172"/>
        <v>189744</v>
      </c>
    </row>
    <row r="4558" spans="7:14" ht="11.25" customHeight="1" x14ac:dyDescent="0.3">
      <c r="G4558" s="459"/>
      <c r="H4558" s="459">
        <v>4551</v>
      </c>
      <c r="I4558" s="444">
        <f t="shared" ca="1" si="170"/>
        <v>-55868045636495.898</v>
      </c>
      <c r="J4558" s="444">
        <f t="array" ref="J4558">IFERROR(INDEX('Retirement Calculator'!K:K,MATCH('Lorri 401b'!N4558,'Retirement Calculator'!A:A,0),0),0)</f>
        <v>0</v>
      </c>
      <c r="K4558" s="444">
        <f t="shared" ca="1" si="168"/>
        <v>-232783523485.39957</v>
      </c>
      <c r="L4558" s="444">
        <f t="shared" ca="1" si="169"/>
        <v>-56100829159981.297</v>
      </c>
      <c r="M4558" s="460">
        <f t="shared" si="171"/>
        <v>0.05</v>
      </c>
      <c r="N4558" s="464">
        <f t="shared" si="172"/>
        <v>189775</v>
      </c>
    </row>
    <row r="4559" spans="7:14" ht="11.25" customHeight="1" x14ac:dyDescent="0.3">
      <c r="G4559" s="459"/>
      <c r="H4559" s="459">
        <v>4552</v>
      </c>
      <c r="I4559" s="444">
        <f t="shared" ca="1" si="170"/>
        <v>-56100829159981.297</v>
      </c>
      <c r="J4559" s="444">
        <f t="array" ref="J4559">IFERROR(INDEX('Retirement Calculator'!K:K,MATCH('Lorri 401b'!N4559,'Retirement Calculator'!A:A,0),0),0)</f>
        <v>0</v>
      </c>
      <c r="K4559" s="444">
        <f t="shared" ca="1" si="168"/>
        <v>-233753454833.25537</v>
      </c>
      <c r="L4559" s="444">
        <f t="shared" ca="1" si="169"/>
        <v>-56334582614814.555</v>
      </c>
      <c r="M4559" s="460">
        <f t="shared" si="171"/>
        <v>0.05</v>
      </c>
      <c r="N4559" s="464">
        <f t="shared" si="172"/>
        <v>189806</v>
      </c>
    </row>
    <row r="4560" spans="7:14" ht="11.25" customHeight="1" x14ac:dyDescent="0.3">
      <c r="G4560" s="459"/>
      <c r="H4560" s="459">
        <v>4553</v>
      </c>
      <c r="I4560" s="444">
        <f t="shared" ca="1" si="170"/>
        <v>-56334582614814.555</v>
      </c>
      <c r="J4560" s="444">
        <f t="array" ref="J4560">IFERROR(INDEX('Retirement Calculator'!K:K,MATCH('Lorri 401b'!N4560,'Retirement Calculator'!A:A,0),0),0)</f>
        <v>0</v>
      </c>
      <c r="K4560" s="444">
        <f t="shared" ca="1" si="168"/>
        <v>-234727427561.72733</v>
      </c>
      <c r="L4560" s="444">
        <f t="shared" ca="1" si="169"/>
        <v>-56569310042376.281</v>
      </c>
      <c r="M4560" s="460">
        <f t="shared" si="171"/>
        <v>0.05</v>
      </c>
      <c r="N4560" s="464">
        <f t="shared" si="172"/>
        <v>189836</v>
      </c>
    </row>
    <row r="4561" spans="7:14" ht="11.25" customHeight="1" x14ac:dyDescent="0.3">
      <c r="G4561" s="459"/>
      <c r="H4561" s="459">
        <v>4554</v>
      </c>
      <c r="I4561" s="444">
        <f t="shared" ca="1" si="170"/>
        <v>-56569310042376.281</v>
      </c>
      <c r="J4561" s="444">
        <f t="array" ref="J4561">IFERROR(INDEX('Retirement Calculator'!K:K,MATCH('Lorri 401b'!N4561,'Retirement Calculator'!A:A,0),0),0)</f>
        <v>0</v>
      </c>
      <c r="K4561" s="444">
        <f t="shared" ca="1" si="168"/>
        <v>-235705458509.90115</v>
      </c>
      <c r="L4561" s="444">
        <f t="shared" ca="1" si="169"/>
        <v>-56805015500886.18</v>
      </c>
      <c r="M4561" s="460">
        <f t="shared" si="171"/>
        <v>0.05</v>
      </c>
      <c r="N4561" s="464">
        <f t="shared" si="172"/>
        <v>189867</v>
      </c>
    </row>
    <row r="4562" spans="7:14" ht="11.25" customHeight="1" x14ac:dyDescent="0.3">
      <c r="G4562" s="459"/>
      <c r="H4562" s="459">
        <v>4555</v>
      </c>
      <c r="I4562" s="444">
        <f t="shared" ca="1" si="170"/>
        <v>-56805015500886.18</v>
      </c>
      <c r="J4562" s="444">
        <f t="array" ref="J4562">IFERROR(INDEX('Retirement Calculator'!K:K,MATCH('Lorri 401b'!N4562,'Retirement Calculator'!A:A,0),0),0)</f>
        <v>0</v>
      </c>
      <c r="K4562" s="444">
        <f t="shared" ca="1" si="168"/>
        <v>-236687564587.02573</v>
      </c>
      <c r="L4562" s="444">
        <f t="shared" ca="1" si="169"/>
        <v>-57041703065473.203</v>
      </c>
      <c r="M4562" s="460">
        <f t="shared" si="171"/>
        <v>0.05</v>
      </c>
      <c r="N4562" s="464">
        <f t="shared" si="172"/>
        <v>189897</v>
      </c>
    </row>
    <row r="4563" spans="7:14" ht="11.25" customHeight="1" x14ac:dyDescent="0.3">
      <c r="G4563" s="459"/>
      <c r="H4563" s="459">
        <v>4556</v>
      </c>
      <c r="I4563" s="444">
        <f t="shared" ca="1" si="170"/>
        <v>-57041703065473.203</v>
      </c>
      <c r="J4563" s="444">
        <f t="array" ref="J4563">IFERROR(INDEX('Retirement Calculator'!K:K,MATCH('Lorri 401b'!N4563,'Retirement Calculator'!A:A,0),0),0)</f>
        <v>0</v>
      </c>
      <c r="K4563" s="444">
        <f t="shared" ca="1" si="168"/>
        <v>-237673762772.80502</v>
      </c>
      <c r="L4563" s="444">
        <f t="shared" ca="1" si="169"/>
        <v>-57279376828246.008</v>
      </c>
      <c r="M4563" s="460">
        <f t="shared" si="171"/>
        <v>0.05</v>
      </c>
      <c r="N4563" s="464">
        <f t="shared" si="172"/>
        <v>189928</v>
      </c>
    </row>
    <row r="4564" spans="7:14" ht="11.25" customHeight="1" x14ac:dyDescent="0.3">
      <c r="G4564" s="459"/>
      <c r="H4564" s="459">
        <v>4557</v>
      </c>
      <c r="I4564" s="444">
        <f t="shared" ca="1" si="170"/>
        <v>-57279376828246.008</v>
      </c>
      <c r="J4564" s="444">
        <f t="array" ref="J4564">IFERROR(INDEX('Retirement Calculator'!K:K,MATCH('Lorri 401b'!N4564,'Retirement Calculator'!A:A,0),0),0)</f>
        <v>0</v>
      </c>
      <c r="K4564" s="444">
        <f t="shared" ca="1" si="168"/>
        <v>-238664070117.69174</v>
      </c>
      <c r="L4564" s="444">
        <f t="shared" ca="1" si="169"/>
        <v>-57518040898363.703</v>
      </c>
      <c r="M4564" s="460">
        <f t="shared" si="171"/>
        <v>0.05</v>
      </c>
      <c r="N4564" s="464">
        <f t="shared" si="172"/>
        <v>189959</v>
      </c>
    </row>
    <row r="4565" spans="7:14" ht="11.25" customHeight="1" x14ac:dyDescent="0.3">
      <c r="G4565" s="459"/>
      <c r="H4565" s="459">
        <v>4558</v>
      </c>
      <c r="I4565" s="444">
        <f t="shared" ca="1" si="170"/>
        <v>-57518040898363.703</v>
      </c>
      <c r="J4565" s="444">
        <f t="array" ref="J4565">IFERROR(INDEX('Retirement Calculator'!K:K,MATCH('Lorri 401b'!N4565,'Retirement Calculator'!A:A,0),0),0)</f>
        <v>0</v>
      </c>
      <c r="K4565" s="444">
        <f t="shared" ca="1" si="168"/>
        <v>-239658503743.1821</v>
      </c>
      <c r="L4565" s="444">
        <f t="shared" ca="1" si="169"/>
        <v>-57757699402106.883</v>
      </c>
      <c r="M4565" s="460">
        <f t="shared" si="171"/>
        <v>0.05</v>
      </c>
      <c r="N4565" s="464">
        <f t="shared" si="172"/>
        <v>189988</v>
      </c>
    </row>
    <row r="4566" spans="7:14" ht="11.25" customHeight="1" x14ac:dyDescent="0.3">
      <c r="G4566" s="459"/>
      <c r="H4566" s="459">
        <v>4559</v>
      </c>
      <c r="I4566" s="444">
        <f t="shared" ca="1" si="170"/>
        <v>-57757699402106.883</v>
      </c>
      <c r="J4566" s="444">
        <f t="array" ref="J4566">IFERROR(INDEX('Retirement Calculator'!K:K,MATCH('Lorri 401b'!N4566,'Retirement Calculator'!A:A,0),0),0)</f>
        <v>0</v>
      </c>
      <c r="K4566" s="444">
        <f t="shared" ca="1" si="168"/>
        <v>-240657080842.112</v>
      </c>
      <c r="L4566" s="444">
        <f t="shared" ca="1" si="169"/>
        <v>-57998356482948.992</v>
      </c>
      <c r="M4566" s="460">
        <f t="shared" si="171"/>
        <v>0.05</v>
      </c>
      <c r="N4566" s="464">
        <f t="shared" si="172"/>
        <v>190019</v>
      </c>
    </row>
    <row r="4567" spans="7:14" ht="11.25" customHeight="1" x14ac:dyDescent="0.3">
      <c r="G4567" s="459"/>
      <c r="H4567" s="459">
        <v>4560</v>
      </c>
      <c r="I4567" s="444">
        <f t="shared" ca="1" si="170"/>
        <v>-57998356482948.992</v>
      </c>
      <c r="J4567" s="444">
        <f t="array" ref="J4567">IFERROR(INDEX('Retirement Calculator'!K:K,MATCH('Lorri 401b'!N4567,'Retirement Calculator'!A:A,0),0),0)</f>
        <v>0</v>
      </c>
      <c r="K4567" s="444">
        <f t="shared" ca="1" si="168"/>
        <v>-241659818678.95413</v>
      </c>
      <c r="L4567" s="444">
        <f t="shared" ca="1" si="169"/>
        <v>-58240016301627.945</v>
      </c>
      <c r="M4567" s="460">
        <f t="shared" si="171"/>
        <v>0.05</v>
      </c>
      <c r="N4567" s="464">
        <f t="shared" si="172"/>
        <v>190049</v>
      </c>
    </row>
    <row r="4568" spans="7:14" ht="11.25" customHeight="1" x14ac:dyDescent="0.3">
      <c r="G4568" s="459"/>
      <c r="H4568" s="459">
        <v>4561</v>
      </c>
      <c r="I4568" s="444">
        <f t="shared" ca="1" si="170"/>
        <v>-58240016301627.945</v>
      </c>
      <c r="J4568" s="444">
        <f t="array" ref="J4568">IFERROR(INDEX('Retirement Calculator'!K:K,MATCH('Lorri 401b'!N4568,'Retirement Calculator'!A:A,0),0),0)</f>
        <v>0</v>
      </c>
      <c r="K4568" s="444">
        <f t="shared" ca="1" si="168"/>
        <v>-242666734590.11639</v>
      </c>
      <c r="L4568" s="444">
        <f t="shared" ca="1" si="169"/>
        <v>-58482683036218.063</v>
      </c>
      <c r="M4568" s="460">
        <f t="shared" si="171"/>
        <v>0.05</v>
      </c>
      <c r="N4568" s="464">
        <f t="shared" si="172"/>
        <v>190080</v>
      </c>
    </row>
    <row r="4569" spans="7:14" ht="11.25" customHeight="1" x14ac:dyDescent="0.3">
      <c r="G4569" s="459"/>
      <c r="H4569" s="459">
        <v>4562</v>
      </c>
      <c r="I4569" s="444">
        <f t="shared" ca="1" si="170"/>
        <v>-58482683036218.063</v>
      </c>
      <c r="J4569" s="444">
        <f t="array" ref="J4569">IFERROR(INDEX('Retirement Calculator'!K:K,MATCH('Lorri 401b'!N4569,'Retirement Calculator'!A:A,0),0),0)</f>
        <v>0</v>
      </c>
      <c r="K4569" s="444">
        <f t="shared" ca="1" si="168"/>
        <v>-243677845984.24191</v>
      </c>
      <c r="L4569" s="444">
        <f t="shared" ca="1" si="169"/>
        <v>-58726360882202.305</v>
      </c>
      <c r="M4569" s="460">
        <f t="shared" si="171"/>
        <v>0.05</v>
      </c>
      <c r="N4569" s="464">
        <f t="shared" si="172"/>
        <v>190110</v>
      </c>
    </row>
    <row r="4570" spans="7:14" ht="11.25" customHeight="1" x14ac:dyDescent="0.3">
      <c r="G4570" s="459"/>
      <c r="H4570" s="459">
        <v>4563</v>
      </c>
      <c r="I4570" s="444">
        <f t="shared" ca="1" si="170"/>
        <v>-58726360882202.305</v>
      </c>
      <c r="J4570" s="444">
        <f t="array" ref="J4570">IFERROR(INDEX('Retirement Calculator'!K:K,MATCH('Lorri 401b'!N4570,'Retirement Calculator'!A:A,0),0),0)</f>
        <v>0</v>
      </c>
      <c r="K4570" s="444">
        <f t="shared" ca="1" si="168"/>
        <v>-244693170342.50961</v>
      </c>
      <c r="L4570" s="444">
        <f t="shared" ca="1" si="169"/>
        <v>-58971054052544.813</v>
      </c>
      <c r="M4570" s="460">
        <f t="shared" si="171"/>
        <v>0.05</v>
      </c>
      <c r="N4570" s="464">
        <f t="shared" si="172"/>
        <v>190141</v>
      </c>
    </row>
    <row r="4571" spans="7:14" ht="11.25" customHeight="1" x14ac:dyDescent="0.3">
      <c r="G4571" s="459"/>
      <c r="H4571" s="459">
        <v>4564</v>
      </c>
      <c r="I4571" s="444">
        <f t="shared" ca="1" si="170"/>
        <v>-58971054052544.813</v>
      </c>
      <c r="J4571" s="444">
        <f t="array" ref="J4571">IFERROR(INDEX('Retirement Calculator'!K:K,MATCH('Lorri 401b'!N4571,'Retirement Calculator'!A:A,0),0),0)</f>
        <v>0</v>
      </c>
      <c r="K4571" s="444">
        <f t="shared" ca="1" si="168"/>
        <v>-245712725218.93671</v>
      </c>
      <c r="L4571" s="444">
        <f t="shared" ca="1" si="169"/>
        <v>-59216766777763.75</v>
      </c>
      <c r="M4571" s="460">
        <f t="shared" si="171"/>
        <v>0.05</v>
      </c>
      <c r="N4571" s="464">
        <f t="shared" si="172"/>
        <v>190172</v>
      </c>
    </row>
    <row r="4572" spans="7:14" ht="11.25" customHeight="1" x14ac:dyDescent="0.3">
      <c r="G4572" s="459"/>
      <c r="H4572" s="459">
        <v>4565</v>
      </c>
      <c r="I4572" s="444">
        <f t="shared" ca="1" si="170"/>
        <v>-59216766777763.75</v>
      </c>
      <c r="J4572" s="444">
        <f t="array" ref="J4572">IFERROR(INDEX('Retirement Calculator'!K:K,MATCH('Lorri 401b'!N4572,'Retirement Calculator'!A:A,0),0),0)</f>
        <v>0</v>
      </c>
      <c r="K4572" s="444">
        <f t="shared" ca="1" si="168"/>
        <v>-246736528240.68228</v>
      </c>
      <c r="L4572" s="444">
        <f t="shared" ca="1" si="169"/>
        <v>-59463503306004.43</v>
      </c>
      <c r="M4572" s="460">
        <f t="shared" si="171"/>
        <v>0.05</v>
      </c>
      <c r="N4572" s="464">
        <f t="shared" si="172"/>
        <v>190202</v>
      </c>
    </row>
    <row r="4573" spans="7:14" ht="11.25" customHeight="1" x14ac:dyDescent="0.3">
      <c r="G4573" s="459"/>
      <c r="H4573" s="459">
        <v>4566</v>
      </c>
      <c r="I4573" s="444">
        <f t="shared" ca="1" si="170"/>
        <v>-59463503306004.43</v>
      </c>
      <c r="J4573" s="444">
        <f t="array" ref="J4573">IFERROR(INDEX('Retirement Calculator'!K:K,MATCH('Lorri 401b'!N4573,'Retirement Calculator'!A:A,0),0),0)</f>
        <v>0</v>
      </c>
      <c r="K4573" s="444">
        <f t="shared" ca="1" si="168"/>
        <v>-247764597108.35178</v>
      </c>
      <c r="L4573" s="444">
        <f t="shared" ca="1" si="169"/>
        <v>-59711267903112.781</v>
      </c>
      <c r="M4573" s="460">
        <f t="shared" si="171"/>
        <v>0.05</v>
      </c>
      <c r="N4573" s="464">
        <f t="shared" si="172"/>
        <v>190233</v>
      </c>
    </row>
    <row r="4574" spans="7:14" ht="11.25" customHeight="1" x14ac:dyDescent="0.3">
      <c r="G4574" s="459"/>
      <c r="H4574" s="459">
        <v>4567</v>
      </c>
      <c r="I4574" s="444">
        <f t="shared" ca="1" si="170"/>
        <v>-59711267903112.781</v>
      </c>
      <c r="J4574" s="444">
        <f t="array" ref="J4574">IFERROR(INDEX('Retirement Calculator'!K:K,MATCH('Lorri 401b'!N4574,'Retirement Calculator'!A:A,0),0),0)</f>
        <v>0</v>
      </c>
      <c r="K4574" s="444">
        <f t="shared" ca="1" si="168"/>
        <v>-248796949596.30325</v>
      </c>
      <c r="L4574" s="444">
        <f t="shared" ca="1" si="169"/>
        <v>-59960064852709.086</v>
      </c>
      <c r="M4574" s="460">
        <f t="shared" si="171"/>
        <v>0.05</v>
      </c>
      <c r="N4574" s="464">
        <f t="shared" si="172"/>
        <v>190263</v>
      </c>
    </row>
    <row r="4575" spans="7:14" ht="11.25" customHeight="1" x14ac:dyDescent="0.3">
      <c r="G4575" s="459"/>
      <c r="H4575" s="459">
        <v>4568</v>
      </c>
      <c r="I4575" s="444">
        <f t="shared" ca="1" si="170"/>
        <v>-59960064852709.086</v>
      </c>
      <c r="J4575" s="444">
        <f t="array" ref="J4575">IFERROR(INDEX('Retirement Calculator'!K:K,MATCH('Lorri 401b'!N4575,'Retirement Calculator'!A:A,0),0),0)</f>
        <v>0</v>
      </c>
      <c r="K4575" s="444">
        <f t="shared" ca="1" si="168"/>
        <v>-249833603552.95453</v>
      </c>
      <c r="L4575" s="444">
        <f t="shared" ca="1" si="169"/>
        <v>-60209898456262.039</v>
      </c>
      <c r="M4575" s="460">
        <f t="shared" si="171"/>
        <v>0.05</v>
      </c>
      <c r="N4575" s="464">
        <f t="shared" si="172"/>
        <v>190294</v>
      </c>
    </row>
    <row r="4576" spans="7:14" ht="11.25" customHeight="1" x14ac:dyDescent="0.3">
      <c r="G4576" s="459"/>
      <c r="H4576" s="459">
        <v>4569</v>
      </c>
      <c r="I4576" s="444">
        <f t="shared" ca="1" si="170"/>
        <v>-60209898456262.039</v>
      </c>
      <c r="J4576" s="444">
        <f t="array" ref="J4576">IFERROR(INDEX('Retirement Calculator'!K:K,MATCH('Lorri 401b'!N4576,'Retirement Calculator'!A:A,0),0),0)</f>
        <v>0</v>
      </c>
      <c r="K4576" s="444">
        <f t="shared" ca="1" si="168"/>
        <v>-250874576901.0918</v>
      </c>
      <c r="L4576" s="444">
        <f t="shared" ca="1" si="169"/>
        <v>-60460773033163.133</v>
      </c>
      <c r="M4576" s="460">
        <f t="shared" si="171"/>
        <v>0.05</v>
      </c>
      <c r="N4576" s="464">
        <f t="shared" si="172"/>
        <v>190325</v>
      </c>
    </row>
    <row r="4577" spans="7:14" ht="11.25" customHeight="1" x14ac:dyDescent="0.3">
      <c r="G4577" s="459"/>
      <c r="H4577" s="459">
        <v>4570</v>
      </c>
      <c r="I4577" s="444">
        <f t="shared" ca="1" si="170"/>
        <v>-60460773033163.133</v>
      </c>
      <c r="J4577" s="444">
        <f t="array" ref="J4577">IFERROR(INDEX('Retirement Calculator'!K:K,MATCH('Lorri 401b'!N4577,'Retirement Calculator'!A:A,0),0),0)</f>
        <v>0</v>
      </c>
      <c r="K4577" s="444">
        <f t="shared" ca="1" si="168"/>
        <v>-251919887638.17972</v>
      </c>
      <c r="L4577" s="444">
        <f t="shared" ca="1" si="169"/>
        <v>-60712692920801.313</v>
      </c>
      <c r="M4577" s="460">
        <f t="shared" si="171"/>
        <v>0.05</v>
      </c>
      <c r="N4577" s="464">
        <f t="shared" si="172"/>
        <v>190353</v>
      </c>
    </row>
    <row r="4578" spans="7:14" ht="11.25" customHeight="1" x14ac:dyDescent="0.3">
      <c r="G4578" s="459"/>
      <c r="H4578" s="459">
        <v>4571</v>
      </c>
      <c r="I4578" s="444">
        <f t="shared" ca="1" si="170"/>
        <v>-60712692920801.313</v>
      </c>
      <c r="J4578" s="444">
        <f t="array" ref="J4578">IFERROR(INDEX('Retirement Calculator'!K:K,MATCH('Lorri 401b'!N4578,'Retirement Calculator'!A:A,0),0),0)</f>
        <v>0</v>
      </c>
      <c r="K4578" s="444">
        <f t="shared" ca="1" si="168"/>
        <v>-252969553836.67212</v>
      </c>
      <c r="L4578" s="444">
        <f t="shared" ca="1" si="169"/>
        <v>-60965662474637.984</v>
      </c>
      <c r="M4578" s="460">
        <f t="shared" si="171"/>
        <v>0.05</v>
      </c>
      <c r="N4578" s="464">
        <f t="shared" si="172"/>
        <v>190384</v>
      </c>
    </row>
    <row r="4579" spans="7:14" ht="11.25" customHeight="1" x14ac:dyDescent="0.3">
      <c r="G4579" s="459"/>
      <c r="H4579" s="459">
        <v>4572</v>
      </c>
      <c r="I4579" s="444">
        <f t="shared" ca="1" si="170"/>
        <v>-60965662474637.984</v>
      </c>
      <c r="J4579" s="444">
        <f t="array" ref="J4579">IFERROR(INDEX('Retirement Calculator'!K:K,MATCH('Lorri 401b'!N4579,'Retirement Calculator'!A:A,0),0),0)</f>
        <v>0</v>
      </c>
      <c r="K4579" s="444">
        <f t="shared" ca="1" si="168"/>
        <v>-254023593644.32492</v>
      </c>
      <c r="L4579" s="444">
        <f t="shared" ca="1" si="169"/>
        <v>-61219686068282.313</v>
      </c>
      <c r="M4579" s="460">
        <f t="shared" si="171"/>
        <v>0.05</v>
      </c>
      <c r="N4579" s="464">
        <f t="shared" si="172"/>
        <v>190414</v>
      </c>
    </row>
    <row r="4580" spans="7:14" ht="11.25" customHeight="1" x14ac:dyDescent="0.3">
      <c r="G4580" s="459"/>
      <c r="H4580" s="459">
        <v>4573</v>
      </c>
      <c r="I4580" s="444">
        <f t="shared" ca="1" si="170"/>
        <v>-61219686068282.313</v>
      </c>
      <c r="J4580" s="444">
        <f t="array" ref="J4580">IFERROR(INDEX('Retirement Calculator'!K:K,MATCH('Lorri 401b'!N4580,'Retirement Calculator'!A:A,0),0),0)</f>
        <v>0</v>
      </c>
      <c r="K4580" s="444">
        <f t="shared" ca="1" si="168"/>
        <v>-255082025284.50964</v>
      </c>
      <c r="L4580" s="444">
        <f t="shared" ca="1" si="169"/>
        <v>-61474768093566.82</v>
      </c>
      <c r="M4580" s="460">
        <f t="shared" si="171"/>
        <v>0.05</v>
      </c>
      <c r="N4580" s="464">
        <f t="shared" si="172"/>
        <v>190445</v>
      </c>
    </row>
    <row r="4581" spans="7:14" ht="11.25" customHeight="1" x14ac:dyDescent="0.3">
      <c r="G4581" s="459"/>
      <c r="H4581" s="459">
        <v>4574</v>
      </c>
      <c r="I4581" s="444">
        <f t="shared" ca="1" si="170"/>
        <v>-61474768093566.82</v>
      </c>
      <c r="J4581" s="444">
        <f t="array" ref="J4581">IFERROR(INDEX('Retirement Calculator'!K:K,MATCH('Lorri 401b'!N4581,'Retirement Calculator'!A:A,0),0),0)</f>
        <v>0</v>
      </c>
      <c r="K4581" s="444">
        <f t="shared" ca="1" si="168"/>
        <v>-256144867056.52841</v>
      </c>
      <c r="L4581" s="444">
        <f t="shared" ca="1" si="169"/>
        <v>-61730912960623.352</v>
      </c>
      <c r="M4581" s="460">
        <f t="shared" si="171"/>
        <v>0.05</v>
      </c>
      <c r="N4581" s="464">
        <f t="shared" si="172"/>
        <v>190475</v>
      </c>
    </row>
    <row r="4582" spans="7:14" ht="11.25" customHeight="1" x14ac:dyDescent="0.3">
      <c r="G4582" s="459"/>
      <c r="H4582" s="459">
        <v>4575</v>
      </c>
      <c r="I4582" s="444">
        <f t="shared" ca="1" si="170"/>
        <v>-61730912960623.352</v>
      </c>
      <c r="J4582" s="444">
        <f t="array" ref="J4582">IFERROR(INDEX('Retirement Calculator'!K:K,MATCH('Lorri 401b'!N4582,'Retirement Calculator'!A:A,0),0),0)</f>
        <v>0</v>
      </c>
      <c r="K4582" s="444">
        <f t="shared" ca="1" si="168"/>
        <v>-257212137335.93066</v>
      </c>
      <c r="L4582" s="444">
        <f t="shared" ca="1" si="169"/>
        <v>-61988125097959.281</v>
      </c>
      <c r="M4582" s="460">
        <f t="shared" si="171"/>
        <v>0.05</v>
      </c>
      <c r="N4582" s="464">
        <f t="shared" si="172"/>
        <v>190506</v>
      </c>
    </row>
    <row r="4583" spans="7:14" ht="11.25" customHeight="1" x14ac:dyDescent="0.3">
      <c r="G4583" s="459"/>
      <c r="H4583" s="459">
        <v>4576</v>
      </c>
      <c r="I4583" s="444">
        <f t="shared" ca="1" si="170"/>
        <v>-61988125097959.281</v>
      </c>
      <c r="J4583" s="444">
        <f t="array" ref="J4583">IFERROR(INDEX('Retirement Calculator'!K:K,MATCH('Lorri 401b'!N4583,'Retirement Calculator'!A:A,0),0),0)</f>
        <v>0</v>
      </c>
      <c r="K4583" s="444">
        <f t="shared" ca="1" si="168"/>
        <v>-258283854574.83035</v>
      </c>
      <c r="L4583" s="444">
        <f t="shared" ca="1" si="169"/>
        <v>-62246408952534.109</v>
      </c>
      <c r="M4583" s="460">
        <f t="shared" si="171"/>
        <v>0.05</v>
      </c>
      <c r="N4583" s="464">
        <f t="shared" si="172"/>
        <v>190537</v>
      </c>
    </row>
    <row r="4584" spans="7:14" ht="11.25" customHeight="1" x14ac:dyDescent="0.3">
      <c r="G4584" s="459"/>
      <c r="H4584" s="459">
        <v>4577</v>
      </c>
      <c r="I4584" s="444">
        <f t="shared" ca="1" si="170"/>
        <v>-62246408952534.109</v>
      </c>
      <c r="J4584" s="444">
        <f t="array" ref="J4584">IFERROR(INDEX('Retirement Calculator'!K:K,MATCH('Lorri 401b'!N4584,'Retirement Calculator'!A:A,0),0),0)</f>
        <v>0</v>
      </c>
      <c r="K4584" s="444">
        <f t="shared" ca="1" si="168"/>
        <v>-259360037302.22543</v>
      </c>
      <c r="L4584" s="444">
        <f t="shared" ca="1" si="169"/>
        <v>-62505768989836.336</v>
      </c>
      <c r="M4584" s="460">
        <f t="shared" si="171"/>
        <v>0.05</v>
      </c>
      <c r="N4584" s="464">
        <f t="shared" si="172"/>
        <v>190567</v>
      </c>
    </row>
    <row r="4585" spans="7:14" ht="11.25" customHeight="1" x14ac:dyDescent="0.3">
      <c r="G4585" s="459"/>
      <c r="H4585" s="459">
        <v>4578</v>
      </c>
      <c r="I4585" s="444">
        <f t="shared" ca="1" si="170"/>
        <v>-62505768989836.336</v>
      </c>
      <c r="J4585" s="444">
        <f t="array" ref="J4585">IFERROR(INDEX('Retirement Calculator'!K:K,MATCH('Lorri 401b'!N4585,'Retirement Calculator'!A:A,0),0),0)</f>
        <v>0</v>
      </c>
      <c r="K4585" s="444">
        <f t="shared" ca="1" si="168"/>
        <v>-260440704124.31808</v>
      </c>
      <c r="L4585" s="444">
        <f t="shared" ca="1" si="169"/>
        <v>-62766209693960.656</v>
      </c>
      <c r="M4585" s="460">
        <f t="shared" si="171"/>
        <v>0.05</v>
      </c>
      <c r="N4585" s="464">
        <f t="shared" si="172"/>
        <v>190598</v>
      </c>
    </row>
    <row r="4586" spans="7:14" ht="11.25" customHeight="1" x14ac:dyDescent="0.3">
      <c r="G4586" s="459"/>
      <c r="H4586" s="459">
        <v>4579</v>
      </c>
      <c r="I4586" s="444">
        <f t="shared" ca="1" si="170"/>
        <v>-62766209693960.656</v>
      </c>
      <c r="J4586" s="444">
        <f t="array" ref="J4586">IFERROR(INDEX('Retirement Calculator'!K:K,MATCH('Lorri 401b'!N4586,'Retirement Calculator'!A:A,0),0),0)</f>
        <v>0</v>
      </c>
      <c r="K4586" s="444">
        <f t="shared" ca="1" si="168"/>
        <v>-261525873724.83606</v>
      </c>
      <c r="L4586" s="444">
        <f t="shared" ca="1" si="169"/>
        <v>-63027735567685.492</v>
      </c>
      <c r="M4586" s="460">
        <f t="shared" si="171"/>
        <v>0.05</v>
      </c>
      <c r="N4586" s="464">
        <f t="shared" si="172"/>
        <v>190628</v>
      </c>
    </row>
    <row r="4587" spans="7:14" ht="11.25" customHeight="1" x14ac:dyDescent="0.3">
      <c r="G4587" s="459"/>
      <c r="H4587" s="459">
        <v>4580</v>
      </c>
      <c r="I4587" s="444">
        <f t="shared" ca="1" si="170"/>
        <v>-63027735567685.492</v>
      </c>
      <c r="J4587" s="444">
        <f t="array" ref="J4587">IFERROR(INDEX('Retirement Calculator'!K:K,MATCH('Lorri 401b'!N4587,'Retirement Calculator'!A:A,0),0),0)</f>
        <v>0</v>
      </c>
      <c r="K4587" s="444">
        <f t="shared" ca="1" si="168"/>
        <v>-262615564865.35617</v>
      </c>
      <c r="L4587" s="444">
        <f t="shared" ca="1" si="169"/>
        <v>-63290351132550.852</v>
      </c>
      <c r="M4587" s="460">
        <f t="shared" si="171"/>
        <v>0.05</v>
      </c>
      <c r="N4587" s="464">
        <f t="shared" si="172"/>
        <v>190659</v>
      </c>
    </row>
    <row r="4588" spans="7:14" ht="11.25" customHeight="1" x14ac:dyDescent="0.3">
      <c r="G4588" s="459"/>
      <c r="H4588" s="459">
        <v>4581</v>
      </c>
      <c r="I4588" s="444">
        <f t="shared" ca="1" si="170"/>
        <v>-63290351132550.852</v>
      </c>
      <c r="J4588" s="444">
        <f t="array" ref="J4588">IFERROR(INDEX('Retirement Calculator'!K:K,MATCH('Lorri 401b'!N4588,'Retirement Calculator'!A:A,0),0),0)</f>
        <v>0</v>
      </c>
      <c r="K4588" s="444">
        <f t="shared" ca="1" si="168"/>
        <v>-263709796385.62857</v>
      </c>
      <c r="L4588" s="444">
        <f t="shared" ca="1" si="169"/>
        <v>-63554060928936.477</v>
      </c>
      <c r="M4588" s="460">
        <f t="shared" si="171"/>
        <v>0.05</v>
      </c>
      <c r="N4588" s="464">
        <f t="shared" si="172"/>
        <v>190690</v>
      </c>
    </row>
    <row r="4589" spans="7:14" ht="11.25" customHeight="1" x14ac:dyDescent="0.3">
      <c r="G4589" s="459"/>
      <c r="H4589" s="459">
        <v>4582</v>
      </c>
      <c r="I4589" s="444">
        <f t="shared" ca="1" si="170"/>
        <v>-63554060928936.477</v>
      </c>
      <c r="J4589" s="444">
        <f t="array" ref="J4589">IFERROR(INDEX('Retirement Calculator'!K:K,MATCH('Lorri 401b'!N4589,'Retirement Calculator'!A:A,0),0),0)</f>
        <v>0</v>
      </c>
      <c r="K4589" s="444">
        <f t="shared" ca="1" si="168"/>
        <v>-264808587203.90195</v>
      </c>
      <c r="L4589" s="444">
        <f t="shared" ca="1" si="169"/>
        <v>-63818869516140.375</v>
      </c>
      <c r="M4589" s="460">
        <f t="shared" si="171"/>
        <v>0.05</v>
      </c>
      <c r="N4589" s="464">
        <f t="shared" si="172"/>
        <v>190718</v>
      </c>
    </row>
    <row r="4590" spans="7:14" ht="11.25" customHeight="1" x14ac:dyDescent="0.3">
      <c r="G4590" s="459"/>
      <c r="H4590" s="459">
        <v>4583</v>
      </c>
      <c r="I4590" s="444">
        <f t="shared" ca="1" si="170"/>
        <v>-63818869516140.375</v>
      </c>
      <c r="J4590" s="444">
        <f t="array" ref="J4590">IFERROR(INDEX('Retirement Calculator'!K:K,MATCH('Lorri 401b'!N4590,'Retirement Calculator'!A:A,0),0),0)</f>
        <v>0</v>
      </c>
      <c r="K4590" s="444">
        <f t="shared" ca="1" si="168"/>
        <v>-265911956317.25156</v>
      </c>
      <c r="L4590" s="444">
        <f t="shared" ca="1" si="169"/>
        <v>-64084781472457.625</v>
      </c>
      <c r="M4590" s="460">
        <f t="shared" si="171"/>
        <v>0.05</v>
      </c>
      <c r="N4590" s="464">
        <f t="shared" si="172"/>
        <v>190749</v>
      </c>
    </row>
    <row r="4591" spans="7:14" ht="11.25" customHeight="1" x14ac:dyDescent="0.3">
      <c r="G4591" s="459"/>
      <c r="H4591" s="459">
        <v>4584</v>
      </c>
      <c r="I4591" s="444">
        <f t="shared" ca="1" si="170"/>
        <v>-64084781472457.625</v>
      </c>
      <c r="J4591" s="444">
        <f t="array" ref="J4591">IFERROR(INDEX('Retirement Calculator'!K:K,MATCH('Lorri 401b'!N4591,'Retirement Calculator'!A:A,0),0),0)</f>
        <v>0</v>
      </c>
      <c r="K4591" s="444">
        <f t="shared" ca="1" si="168"/>
        <v>-267019922801.90674</v>
      </c>
      <c r="L4591" s="444">
        <f t="shared" ca="1" si="169"/>
        <v>-64351801395259.531</v>
      </c>
      <c r="M4591" s="460">
        <f t="shared" si="171"/>
        <v>0.05</v>
      </c>
      <c r="N4591" s="464">
        <f t="shared" si="172"/>
        <v>190779</v>
      </c>
    </row>
    <row r="4592" spans="7:14" ht="11.25" customHeight="1" x14ac:dyDescent="0.3">
      <c r="G4592" s="459"/>
      <c r="H4592" s="459">
        <v>4585</v>
      </c>
      <c r="I4592" s="444">
        <f t="shared" ca="1" si="170"/>
        <v>-64351801395259.531</v>
      </c>
      <c r="J4592" s="444">
        <f t="array" ref="J4592">IFERROR(INDEX('Retirement Calculator'!K:K,MATCH('Lorri 401b'!N4592,'Retirement Calculator'!A:A,0),0),0)</f>
        <v>0</v>
      </c>
      <c r="K4592" s="444">
        <f t="shared" ca="1" si="168"/>
        <v>-268132505813.58142</v>
      </c>
      <c r="L4592" s="444">
        <f t="shared" ca="1" si="169"/>
        <v>-64619933901073.109</v>
      </c>
      <c r="M4592" s="460">
        <f t="shared" si="171"/>
        <v>0.05</v>
      </c>
      <c r="N4592" s="464">
        <f t="shared" si="172"/>
        <v>190810</v>
      </c>
    </row>
    <row r="4593" spans="7:14" ht="11.25" customHeight="1" x14ac:dyDescent="0.3">
      <c r="G4593" s="459"/>
      <c r="H4593" s="459">
        <v>4586</v>
      </c>
      <c r="I4593" s="444">
        <f t="shared" ca="1" si="170"/>
        <v>-64619933901073.109</v>
      </c>
      <c r="J4593" s="444">
        <f t="array" ref="J4593">IFERROR(INDEX('Retirement Calculator'!K:K,MATCH('Lorri 401b'!N4593,'Retirement Calculator'!A:A,0),0),0)</f>
        <v>0</v>
      </c>
      <c r="K4593" s="444">
        <f t="shared" ca="1" si="168"/>
        <v>-269249724587.80463</v>
      </c>
      <c r="L4593" s="444">
        <f t="shared" ca="1" si="169"/>
        <v>-64889183625660.914</v>
      </c>
      <c r="M4593" s="460">
        <f t="shared" si="171"/>
        <v>0.05</v>
      </c>
      <c r="N4593" s="464">
        <f t="shared" si="172"/>
        <v>190840</v>
      </c>
    </row>
    <row r="4594" spans="7:14" ht="11.25" customHeight="1" x14ac:dyDescent="0.3">
      <c r="G4594" s="459"/>
      <c r="H4594" s="459">
        <v>4587</v>
      </c>
      <c r="I4594" s="444">
        <f t="shared" ca="1" si="170"/>
        <v>-64889183625660.914</v>
      </c>
      <c r="J4594" s="444">
        <f t="array" ref="J4594">IFERROR(INDEX('Retirement Calculator'!K:K,MATCH('Lorri 401b'!N4594,'Retirement Calculator'!A:A,0),0),0)</f>
        <v>0</v>
      </c>
      <c r="K4594" s="444">
        <f t="shared" ca="1" si="168"/>
        <v>-270371598440.25385</v>
      </c>
      <c r="L4594" s="444">
        <f t="shared" ca="1" si="169"/>
        <v>-65159555224101.164</v>
      </c>
      <c r="M4594" s="460">
        <f t="shared" si="171"/>
        <v>0.05</v>
      </c>
      <c r="N4594" s="464">
        <f t="shared" si="172"/>
        <v>190871</v>
      </c>
    </row>
    <row r="4595" spans="7:14" ht="11.25" customHeight="1" x14ac:dyDescent="0.3">
      <c r="G4595" s="459"/>
      <c r="H4595" s="459">
        <v>4588</v>
      </c>
      <c r="I4595" s="444">
        <f t="shared" ca="1" si="170"/>
        <v>-65159555224101.164</v>
      </c>
      <c r="J4595" s="444">
        <f t="array" ref="J4595">IFERROR(INDEX('Retirement Calculator'!K:K,MATCH('Lorri 401b'!N4595,'Retirement Calculator'!A:A,0),0),0)</f>
        <v>0</v>
      </c>
      <c r="K4595" s="444">
        <f t="shared" ca="1" si="168"/>
        <v>-271498146767.08817</v>
      </c>
      <c r="L4595" s="444">
        <f t="shared" ca="1" si="169"/>
        <v>-65431053370868.25</v>
      </c>
      <c r="M4595" s="460">
        <f t="shared" si="171"/>
        <v>0.05</v>
      </c>
      <c r="N4595" s="464">
        <f t="shared" si="172"/>
        <v>190902</v>
      </c>
    </row>
    <row r="4596" spans="7:14" ht="11.25" customHeight="1" x14ac:dyDescent="0.3">
      <c r="G4596" s="459"/>
      <c r="H4596" s="459">
        <v>4589</v>
      </c>
      <c r="I4596" s="444">
        <f t="shared" ca="1" si="170"/>
        <v>-65431053370868.25</v>
      </c>
      <c r="J4596" s="444">
        <f t="array" ref="J4596">IFERROR(INDEX('Retirement Calculator'!K:K,MATCH('Lorri 401b'!N4596,'Retirement Calculator'!A:A,0),0),0)</f>
        <v>0</v>
      </c>
      <c r="K4596" s="444">
        <f t="shared" ca="1" si="168"/>
        <v>-272629389045.28439</v>
      </c>
      <c r="L4596" s="444">
        <f t="shared" ca="1" si="169"/>
        <v>-65703682759913.531</v>
      </c>
      <c r="M4596" s="460">
        <f t="shared" si="171"/>
        <v>0.05</v>
      </c>
      <c r="N4596" s="464">
        <f t="shared" si="172"/>
        <v>190932</v>
      </c>
    </row>
    <row r="4597" spans="7:14" ht="11.25" customHeight="1" x14ac:dyDescent="0.3">
      <c r="G4597" s="459"/>
      <c r="H4597" s="459">
        <v>4590</v>
      </c>
      <c r="I4597" s="444">
        <f t="shared" ca="1" si="170"/>
        <v>-65703682759913.531</v>
      </c>
      <c r="J4597" s="444">
        <f t="array" ref="J4597">IFERROR(INDEX('Retirement Calculator'!K:K,MATCH('Lorri 401b'!N4597,'Retirement Calculator'!A:A,0),0),0)</f>
        <v>0</v>
      </c>
      <c r="K4597" s="444">
        <f t="shared" ca="1" si="168"/>
        <v>-273765344832.97308</v>
      </c>
      <c r="L4597" s="444">
        <f t="shared" ca="1" si="169"/>
        <v>-65977448104746.508</v>
      </c>
      <c r="M4597" s="460">
        <f t="shared" si="171"/>
        <v>0.05</v>
      </c>
      <c r="N4597" s="464">
        <f t="shared" si="172"/>
        <v>190963</v>
      </c>
    </row>
    <row r="4598" spans="7:14" ht="11.25" customHeight="1" x14ac:dyDescent="0.3">
      <c r="G4598" s="459"/>
      <c r="H4598" s="459">
        <v>4591</v>
      </c>
      <c r="I4598" s="444">
        <f t="shared" ca="1" si="170"/>
        <v>-65977448104746.508</v>
      </c>
      <c r="J4598" s="444">
        <f t="array" ref="J4598">IFERROR(INDEX('Retirement Calculator'!K:K,MATCH('Lorri 401b'!N4598,'Retirement Calculator'!A:A,0),0),0)</f>
        <v>0</v>
      </c>
      <c r="K4598" s="444">
        <f t="shared" ref="K4598:K4852" ca="1" si="173">IPMT(M4598/12,1,12,-I4598+J4598,,0)</f>
        <v>-274906033769.7771</v>
      </c>
      <c r="L4598" s="444">
        <f t="shared" ref="L4598:L4852" ca="1" si="174">I4598-J4598+K4598</f>
        <v>-66252354138516.281</v>
      </c>
      <c r="M4598" s="460">
        <f t="shared" si="171"/>
        <v>0.05</v>
      </c>
      <c r="N4598" s="464">
        <f t="shared" si="172"/>
        <v>190993</v>
      </c>
    </row>
    <row r="4599" spans="7:14" ht="11.25" customHeight="1" x14ac:dyDescent="0.3">
      <c r="G4599" s="459"/>
      <c r="H4599" s="459">
        <v>4592</v>
      </c>
      <c r="I4599" s="444">
        <f t="shared" ref="I4599:I4853" ca="1" si="175">L4598</f>
        <v>-66252354138516.281</v>
      </c>
      <c r="J4599" s="444">
        <f t="array" ref="J4599">IFERROR(INDEX('Retirement Calculator'!K:K,MATCH('Lorri 401b'!N4599,'Retirement Calculator'!A:A,0),0),0)</f>
        <v>0</v>
      </c>
      <c r="K4599" s="444">
        <f t="shared" ca="1" si="173"/>
        <v>-276051475577.15118</v>
      </c>
      <c r="L4599" s="444">
        <f t="shared" ca="1" si="174"/>
        <v>-66528405614093.43</v>
      </c>
      <c r="M4599" s="460">
        <f t="shared" ref="M4599:M4853" si="176">M4598</f>
        <v>0.05</v>
      </c>
      <c r="N4599" s="464">
        <f t="shared" ref="N4599:N4853" si="177">EDATE(N4598,1)</f>
        <v>191024</v>
      </c>
    </row>
    <row r="4600" spans="7:14" ht="11.25" customHeight="1" x14ac:dyDescent="0.3">
      <c r="G4600" s="459"/>
      <c r="H4600" s="459">
        <v>4593</v>
      </c>
      <c r="I4600" s="444">
        <f t="shared" ca="1" si="175"/>
        <v>-66528405614093.43</v>
      </c>
      <c r="J4600" s="444">
        <f t="array" ref="J4600">IFERROR(INDEX('Retirement Calculator'!K:K,MATCH('Lorri 401b'!N4600,'Retirement Calculator'!A:A,0),0),0)</f>
        <v>0</v>
      </c>
      <c r="K4600" s="444">
        <f t="shared" ca="1" si="173"/>
        <v>-277201690058.7226</v>
      </c>
      <c r="L4600" s="444">
        <f t="shared" ca="1" si="174"/>
        <v>-66805607304152.148</v>
      </c>
      <c r="M4600" s="460">
        <f t="shared" si="176"/>
        <v>0.05</v>
      </c>
      <c r="N4600" s="464">
        <f t="shared" si="177"/>
        <v>191055</v>
      </c>
    </row>
    <row r="4601" spans="7:14" ht="11.25" customHeight="1" x14ac:dyDescent="0.3">
      <c r="G4601" s="459"/>
      <c r="H4601" s="459">
        <v>4594</v>
      </c>
      <c r="I4601" s="444">
        <f t="shared" ca="1" si="175"/>
        <v>-66805607304152.148</v>
      </c>
      <c r="J4601" s="444">
        <f t="array" ref="J4601">IFERROR(INDEX('Retirement Calculator'!K:K,MATCH('Lorri 401b'!N4601,'Retirement Calculator'!A:A,0),0),0)</f>
        <v>0</v>
      </c>
      <c r="K4601" s="444">
        <f t="shared" ca="1" si="173"/>
        <v>-278356697100.63397</v>
      </c>
      <c r="L4601" s="444">
        <f t="shared" ca="1" si="174"/>
        <v>-67083964001252.781</v>
      </c>
      <c r="M4601" s="460">
        <f t="shared" si="176"/>
        <v>0.05</v>
      </c>
      <c r="N4601" s="464">
        <f t="shared" si="177"/>
        <v>191083</v>
      </c>
    </row>
    <row r="4602" spans="7:14" ht="11.25" customHeight="1" x14ac:dyDescent="0.3">
      <c r="G4602" s="459"/>
      <c r="H4602" s="459">
        <v>4595</v>
      </c>
      <c r="I4602" s="444">
        <f t="shared" ca="1" si="175"/>
        <v>-67083964001252.781</v>
      </c>
      <c r="J4602" s="444">
        <f t="array" ref="J4602">IFERROR(INDEX('Retirement Calculator'!K:K,MATCH('Lorri 401b'!N4602,'Retirement Calculator'!A:A,0),0),0)</f>
        <v>0</v>
      </c>
      <c r="K4602" s="444">
        <f t="shared" ca="1" si="173"/>
        <v>-279516516671.8866</v>
      </c>
      <c r="L4602" s="444">
        <f t="shared" ca="1" si="174"/>
        <v>-67363480517924.664</v>
      </c>
      <c r="M4602" s="460">
        <f t="shared" si="176"/>
        <v>0.05</v>
      </c>
      <c r="N4602" s="464">
        <f t="shared" si="177"/>
        <v>191114</v>
      </c>
    </row>
    <row r="4603" spans="7:14" ht="11.25" customHeight="1" x14ac:dyDescent="0.3">
      <c r="G4603" s="459"/>
      <c r="H4603" s="459">
        <v>4596</v>
      </c>
      <c r="I4603" s="444">
        <f t="shared" ca="1" si="175"/>
        <v>-67363480517924.664</v>
      </c>
      <c r="J4603" s="444">
        <f t="array" ref="J4603">IFERROR(INDEX('Retirement Calculator'!K:K,MATCH('Lorri 401b'!N4603,'Retirement Calculator'!A:A,0),0),0)</f>
        <v>0</v>
      </c>
      <c r="K4603" s="444">
        <f t="shared" ca="1" si="173"/>
        <v>-280681168824.6861</v>
      </c>
      <c r="L4603" s="444">
        <f t="shared" ca="1" si="174"/>
        <v>-67644161686749.352</v>
      </c>
      <c r="M4603" s="460">
        <f t="shared" si="176"/>
        <v>0.05</v>
      </c>
      <c r="N4603" s="464">
        <f t="shared" si="177"/>
        <v>191144</v>
      </c>
    </row>
    <row r="4604" spans="7:14" ht="11.25" customHeight="1" x14ac:dyDescent="0.3">
      <c r="G4604" s="459"/>
      <c r="H4604" s="459">
        <v>4597</v>
      </c>
      <c r="I4604" s="444">
        <f t="shared" ca="1" si="175"/>
        <v>-67644161686749.352</v>
      </c>
      <c r="J4604" s="444">
        <f t="array" ref="J4604">IFERROR(INDEX('Retirement Calculator'!K:K,MATCH('Lorri 401b'!N4604,'Retirement Calculator'!A:A,0),0),0)</f>
        <v>0</v>
      </c>
      <c r="K4604" s="444">
        <f t="shared" ca="1" si="173"/>
        <v>-281850673694.78894</v>
      </c>
      <c r="L4604" s="444">
        <f t="shared" ca="1" si="174"/>
        <v>-67926012360444.141</v>
      </c>
      <c r="M4604" s="460">
        <f t="shared" si="176"/>
        <v>0.05</v>
      </c>
      <c r="N4604" s="464">
        <f t="shared" si="177"/>
        <v>191175</v>
      </c>
    </row>
    <row r="4605" spans="7:14" ht="11.25" customHeight="1" x14ac:dyDescent="0.3">
      <c r="G4605" s="459"/>
      <c r="H4605" s="459">
        <v>4598</v>
      </c>
      <c r="I4605" s="444">
        <f t="shared" ca="1" si="175"/>
        <v>-67926012360444.141</v>
      </c>
      <c r="J4605" s="444">
        <f t="array" ref="J4605">IFERROR(INDEX('Retirement Calculator'!K:K,MATCH('Lorri 401b'!N4605,'Retirement Calculator'!A:A,0),0),0)</f>
        <v>0</v>
      </c>
      <c r="K4605" s="444">
        <f t="shared" ca="1" si="173"/>
        <v>-283025051501.85059</v>
      </c>
      <c r="L4605" s="444">
        <f t="shared" ca="1" si="174"/>
        <v>-68209037411945.992</v>
      </c>
      <c r="M4605" s="460">
        <f t="shared" si="176"/>
        <v>0.05</v>
      </c>
      <c r="N4605" s="464">
        <f t="shared" si="177"/>
        <v>191205</v>
      </c>
    </row>
    <row r="4606" spans="7:14" ht="11.25" customHeight="1" x14ac:dyDescent="0.3">
      <c r="G4606" s="459"/>
      <c r="H4606" s="459">
        <v>4599</v>
      </c>
      <c r="I4606" s="444">
        <f t="shared" ca="1" si="175"/>
        <v>-68209037411945.992</v>
      </c>
      <c r="J4606" s="444">
        <f t="array" ref="J4606">IFERROR(INDEX('Retirement Calculator'!K:K,MATCH('Lorri 401b'!N4606,'Retirement Calculator'!A:A,0),0),0)</f>
        <v>0</v>
      </c>
      <c r="K4606" s="444">
        <f t="shared" ca="1" si="173"/>
        <v>-284204322549.77496</v>
      </c>
      <c r="L4606" s="444">
        <f t="shared" ca="1" si="174"/>
        <v>-68493241734495.766</v>
      </c>
      <c r="M4606" s="460">
        <f t="shared" si="176"/>
        <v>0.05</v>
      </c>
      <c r="N4606" s="464">
        <f t="shared" si="177"/>
        <v>191236</v>
      </c>
    </row>
    <row r="4607" spans="7:14" ht="11.25" customHeight="1" x14ac:dyDescent="0.3">
      <c r="G4607" s="459"/>
      <c r="H4607" s="459">
        <v>4600</v>
      </c>
      <c r="I4607" s="444">
        <f t="shared" ca="1" si="175"/>
        <v>-68493241734495.766</v>
      </c>
      <c r="J4607" s="444">
        <f t="array" ref="J4607">IFERROR(INDEX('Retirement Calculator'!K:K,MATCH('Lorri 401b'!N4607,'Retirement Calculator'!A:A,0),0),0)</f>
        <v>0</v>
      </c>
      <c r="K4607" s="444">
        <f t="shared" ca="1" si="173"/>
        <v>-285388507227.06567</v>
      </c>
      <c r="L4607" s="444">
        <f t="shared" ca="1" si="174"/>
        <v>-68778630241722.828</v>
      </c>
      <c r="M4607" s="460">
        <f t="shared" si="176"/>
        <v>0.05</v>
      </c>
      <c r="N4607" s="464">
        <f t="shared" si="177"/>
        <v>191267</v>
      </c>
    </row>
    <row r="4608" spans="7:14" ht="11.25" customHeight="1" x14ac:dyDescent="0.3">
      <c r="G4608" s="459"/>
      <c r="H4608" s="459">
        <v>4601</v>
      </c>
      <c r="I4608" s="444">
        <f t="shared" ca="1" si="175"/>
        <v>-68778630241722.828</v>
      </c>
      <c r="J4608" s="444">
        <f t="array" ref="J4608">IFERROR(INDEX('Retirement Calculator'!K:K,MATCH('Lorri 401b'!N4608,'Retirement Calculator'!A:A,0),0),0)</f>
        <v>0</v>
      </c>
      <c r="K4608" s="444">
        <f t="shared" ca="1" si="173"/>
        <v>-286577626007.17847</v>
      </c>
      <c r="L4608" s="444">
        <f t="shared" ca="1" si="174"/>
        <v>-69065207867730.008</v>
      </c>
      <c r="M4608" s="460">
        <f t="shared" si="176"/>
        <v>0.05</v>
      </c>
      <c r="N4608" s="464">
        <f t="shared" si="177"/>
        <v>191297</v>
      </c>
    </row>
    <row r="4609" spans="7:14" ht="11.25" customHeight="1" x14ac:dyDescent="0.3">
      <c r="G4609" s="459"/>
      <c r="H4609" s="459">
        <v>4602</v>
      </c>
      <c r="I4609" s="444">
        <f t="shared" ca="1" si="175"/>
        <v>-69065207867730.008</v>
      </c>
      <c r="J4609" s="444">
        <f t="array" ref="J4609">IFERROR(INDEX('Retirement Calculator'!K:K,MATCH('Lorri 401b'!N4609,'Retirement Calculator'!A:A,0),0),0)</f>
        <v>0</v>
      </c>
      <c r="K4609" s="444">
        <f t="shared" ca="1" si="173"/>
        <v>-287771699448.87506</v>
      </c>
      <c r="L4609" s="444">
        <f t="shared" ca="1" si="174"/>
        <v>-69352979567178.883</v>
      </c>
      <c r="M4609" s="460">
        <f t="shared" si="176"/>
        <v>0.05</v>
      </c>
      <c r="N4609" s="464">
        <f t="shared" si="177"/>
        <v>191328</v>
      </c>
    </row>
    <row r="4610" spans="7:14" ht="11.25" customHeight="1" x14ac:dyDescent="0.3">
      <c r="G4610" s="459"/>
      <c r="H4610" s="459">
        <v>4603</v>
      </c>
      <c r="I4610" s="444">
        <f t="shared" ca="1" si="175"/>
        <v>-69352979567178.883</v>
      </c>
      <c r="J4610" s="444">
        <f t="array" ref="J4610">IFERROR(INDEX('Retirement Calculator'!K:K,MATCH('Lorri 401b'!N4610,'Retirement Calculator'!A:A,0),0),0)</f>
        <v>0</v>
      </c>
      <c r="K4610" s="444">
        <f t="shared" ca="1" si="173"/>
        <v>-288970748196.57867</v>
      </c>
      <c r="L4610" s="444">
        <f t="shared" ca="1" si="174"/>
        <v>-69641950315375.461</v>
      </c>
      <c r="M4610" s="460">
        <f t="shared" si="176"/>
        <v>0.05</v>
      </c>
      <c r="N4610" s="464">
        <f t="shared" si="177"/>
        <v>191358</v>
      </c>
    </row>
    <row r="4611" spans="7:14" ht="11.25" customHeight="1" x14ac:dyDescent="0.3">
      <c r="G4611" s="459"/>
      <c r="H4611" s="459">
        <v>4604</v>
      </c>
      <c r="I4611" s="444">
        <f t="shared" ca="1" si="175"/>
        <v>-69641950315375.461</v>
      </c>
      <c r="J4611" s="444">
        <f t="array" ref="J4611">IFERROR(INDEX('Retirement Calculator'!K:K,MATCH('Lorri 401b'!N4611,'Retirement Calculator'!A:A,0),0),0)</f>
        <v>0</v>
      </c>
      <c r="K4611" s="444">
        <f t="shared" ca="1" si="173"/>
        <v>-290174792980.73108</v>
      </c>
      <c r="L4611" s="444">
        <f t="shared" ca="1" si="174"/>
        <v>-69932125108356.195</v>
      </c>
      <c r="M4611" s="460">
        <f t="shared" si="176"/>
        <v>0.05</v>
      </c>
      <c r="N4611" s="464">
        <f t="shared" si="177"/>
        <v>191389</v>
      </c>
    </row>
    <row r="4612" spans="7:14" ht="11.25" customHeight="1" x14ac:dyDescent="0.3">
      <c r="G4612" s="459"/>
      <c r="H4612" s="459">
        <v>4605</v>
      </c>
      <c r="I4612" s="444">
        <f t="shared" ca="1" si="175"/>
        <v>-69932125108356.195</v>
      </c>
      <c r="J4612" s="444">
        <f t="array" ref="J4612">IFERROR(INDEX('Retirement Calculator'!K:K,MATCH('Lorri 401b'!N4612,'Retirement Calculator'!A:A,0),0),0)</f>
        <v>0</v>
      </c>
      <c r="K4612" s="444">
        <f t="shared" ca="1" si="173"/>
        <v>-291383854618.15082</v>
      </c>
      <c r="L4612" s="444">
        <f t="shared" ca="1" si="174"/>
        <v>-70223508962974.344</v>
      </c>
      <c r="M4612" s="460">
        <f t="shared" si="176"/>
        <v>0.05</v>
      </c>
      <c r="N4612" s="464">
        <f t="shared" si="177"/>
        <v>191420</v>
      </c>
    </row>
    <row r="4613" spans="7:14" ht="11.25" customHeight="1" x14ac:dyDescent="0.3">
      <c r="G4613" s="459"/>
      <c r="H4613" s="459">
        <v>4606</v>
      </c>
      <c r="I4613" s="444">
        <f t="shared" ca="1" si="175"/>
        <v>-70223508962974.344</v>
      </c>
      <c r="J4613" s="444">
        <f t="array" ref="J4613">IFERROR(INDEX('Retirement Calculator'!K:K,MATCH('Lorri 401b'!N4613,'Retirement Calculator'!A:A,0),0),0)</f>
        <v>0</v>
      </c>
      <c r="K4613" s="444">
        <f t="shared" ca="1" si="173"/>
        <v>-292597954012.39307</v>
      </c>
      <c r="L4613" s="444">
        <f t="shared" ca="1" si="174"/>
        <v>-70516106916986.734</v>
      </c>
      <c r="M4613" s="460">
        <f t="shared" si="176"/>
        <v>0.05</v>
      </c>
      <c r="N4613" s="464">
        <f t="shared" si="177"/>
        <v>191449</v>
      </c>
    </row>
    <row r="4614" spans="7:14" ht="11.25" customHeight="1" x14ac:dyDescent="0.3">
      <c r="G4614" s="459"/>
      <c r="H4614" s="459">
        <v>4607</v>
      </c>
      <c r="I4614" s="444">
        <f t="shared" ca="1" si="175"/>
        <v>-70516106916986.734</v>
      </c>
      <c r="J4614" s="444">
        <f t="array" ref="J4614">IFERROR(INDEX('Retirement Calculator'!K:K,MATCH('Lorri 401b'!N4614,'Retirement Calculator'!A:A,0),0),0)</f>
        <v>0</v>
      </c>
      <c r="K4614" s="444">
        <f t="shared" ca="1" si="173"/>
        <v>-293817112154.11139</v>
      </c>
      <c r="L4614" s="444">
        <f t="shared" ca="1" si="174"/>
        <v>-70809924029140.844</v>
      </c>
      <c r="M4614" s="460">
        <f t="shared" si="176"/>
        <v>0.05</v>
      </c>
      <c r="N4614" s="464">
        <f t="shared" si="177"/>
        <v>191480</v>
      </c>
    </row>
    <row r="4615" spans="7:14" ht="11.25" customHeight="1" x14ac:dyDescent="0.3">
      <c r="G4615" s="459"/>
      <c r="H4615" s="459">
        <v>4608</v>
      </c>
      <c r="I4615" s="444">
        <f t="shared" ca="1" si="175"/>
        <v>-70809924029140.844</v>
      </c>
      <c r="J4615" s="444">
        <f t="array" ref="J4615">IFERROR(INDEX('Retirement Calculator'!K:K,MATCH('Lorri 401b'!N4615,'Retirement Calculator'!A:A,0),0),0)</f>
        <v>0</v>
      </c>
      <c r="K4615" s="444">
        <f t="shared" ca="1" si="173"/>
        <v>-295041350121.42017</v>
      </c>
      <c r="L4615" s="444">
        <f t="shared" ca="1" si="174"/>
        <v>-71104965379262.266</v>
      </c>
      <c r="M4615" s="460">
        <f t="shared" si="176"/>
        <v>0.05</v>
      </c>
      <c r="N4615" s="464">
        <f t="shared" si="177"/>
        <v>191510</v>
      </c>
    </row>
    <row r="4616" spans="7:14" ht="11.25" customHeight="1" x14ac:dyDescent="0.3">
      <c r="G4616" s="459"/>
      <c r="H4616" s="459">
        <v>4609</v>
      </c>
      <c r="I4616" s="444">
        <f t="shared" ca="1" si="175"/>
        <v>-71104965379262.266</v>
      </c>
      <c r="J4616" s="444">
        <f t="array" ref="J4616">IFERROR(INDEX('Retirement Calculator'!K:K,MATCH('Lorri 401b'!N4616,'Retirement Calculator'!A:A,0),0),0)</f>
        <v>0</v>
      </c>
      <c r="K4616" s="444">
        <f t="shared" ca="1" si="173"/>
        <v>-296270689080.25946</v>
      </c>
      <c r="L4616" s="444">
        <f t="shared" ca="1" si="174"/>
        <v>-71401236068342.531</v>
      </c>
      <c r="M4616" s="460">
        <f t="shared" si="176"/>
        <v>0.05</v>
      </c>
      <c r="N4616" s="464">
        <f t="shared" si="177"/>
        <v>191541</v>
      </c>
    </row>
    <row r="4617" spans="7:14" ht="11.25" customHeight="1" x14ac:dyDescent="0.3">
      <c r="G4617" s="459"/>
      <c r="H4617" s="459">
        <v>4610</v>
      </c>
      <c r="I4617" s="444">
        <f t="shared" ca="1" si="175"/>
        <v>-71401236068342.531</v>
      </c>
      <c r="J4617" s="444">
        <f t="array" ref="J4617">IFERROR(INDEX('Retirement Calculator'!K:K,MATCH('Lorri 401b'!N4617,'Retirement Calculator'!A:A,0),0),0)</f>
        <v>0</v>
      </c>
      <c r="K4617" s="444">
        <f t="shared" ca="1" si="173"/>
        <v>-297505150284.76056</v>
      </c>
      <c r="L4617" s="444">
        <f t="shared" ca="1" si="174"/>
        <v>-71698741218627.297</v>
      </c>
      <c r="M4617" s="460">
        <f t="shared" si="176"/>
        <v>0.05</v>
      </c>
      <c r="N4617" s="464">
        <f t="shared" si="177"/>
        <v>191571</v>
      </c>
    </row>
    <row r="4618" spans="7:14" ht="11.25" customHeight="1" x14ac:dyDescent="0.3">
      <c r="G4618" s="459"/>
      <c r="H4618" s="459">
        <v>4611</v>
      </c>
      <c r="I4618" s="444">
        <f t="shared" ca="1" si="175"/>
        <v>-71698741218627.297</v>
      </c>
      <c r="J4618" s="444">
        <f t="array" ref="J4618">IFERROR(INDEX('Retirement Calculator'!K:K,MATCH('Lorri 401b'!N4618,'Retirement Calculator'!A:A,0),0),0)</f>
        <v>0</v>
      </c>
      <c r="K4618" s="444">
        <f t="shared" ca="1" si="173"/>
        <v>-298744755077.61371</v>
      </c>
      <c r="L4618" s="444">
        <f t="shared" ca="1" si="174"/>
        <v>-71997485973704.906</v>
      </c>
      <c r="M4618" s="460">
        <f t="shared" si="176"/>
        <v>0.05</v>
      </c>
      <c r="N4618" s="464">
        <f t="shared" si="177"/>
        <v>191602</v>
      </c>
    </row>
    <row r="4619" spans="7:14" ht="11.25" customHeight="1" x14ac:dyDescent="0.3">
      <c r="G4619" s="459"/>
      <c r="H4619" s="459">
        <v>4612</v>
      </c>
      <c r="I4619" s="444">
        <f t="shared" ca="1" si="175"/>
        <v>-71997485973704.906</v>
      </c>
      <c r="J4619" s="444">
        <f t="array" ref="J4619">IFERROR(INDEX('Retirement Calculator'!K:K,MATCH('Lorri 401b'!N4619,'Retirement Calculator'!A:A,0),0),0)</f>
        <v>0</v>
      </c>
      <c r="K4619" s="444">
        <f t="shared" ca="1" si="173"/>
        <v>-299989524890.43713</v>
      </c>
      <c r="L4619" s="444">
        <f t="shared" ca="1" si="174"/>
        <v>-72297475498595.344</v>
      </c>
      <c r="M4619" s="460">
        <f t="shared" si="176"/>
        <v>0.05</v>
      </c>
      <c r="N4619" s="464">
        <f t="shared" si="177"/>
        <v>191633</v>
      </c>
    </row>
    <row r="4620" spans="7:14" ht="11.25" customHeight="1" x14ac:dyDescent="0.3">
      <c r="G4620" s="459"/>
      <c r="H4620" s="459">
        <v>4613</v>
      </c>
      <c r="I4620" s="444">
        <f t="shared" ca="1" si="175"/>
        <v>-72297475498595.344</v>
      </c>
      <c r="J4620" s="444">
        <f t="array" ref="J4620">IFERROR(INDEX('Retirement Calculator'!K:K,MATCH('Lorri 401b'!N4620,'Retirement Calculator'!A:A,0),0),0)</f>
        <v>0</v>
      </c>
      <c r="K4620" s="444">
        <f t="shared" ca="1" si="173"/>
        <v>-301239481244.14728</v>
      </c>
      <c r="L4620" s="444">
        <f t="shared" ca="1" si="174"/>
        <v>-72598714979839.484</v>
      </c>
      <c r="M4620" s="460">
        <f t="shared" si="176"/>
        <v>0.05</v>
      </c>
      <c r="N4620" s="464">
        <f t="shared" si="177"/>
        <v>191663</v>
      </c>
    </row>
    <row r="4621" spans="7:14" ht="11.25" customHeight="1" x14ac:dyDescent="0.3">
      <c r="G4621" s="459"/>
      <c r="H4621" s="459">
        <v>4614</v>
      </c>
      <c r="I4621" s="444">
        <f t="shared" ca="1" si="175"/>
        <v>-72598714979839.484</v>
      </c>
      <c r="J4621" s="444">
        <f t="array" ref="J4621">IFERROR(INDEX('Retirement Calculator'!K:K,MATCH('Lorri 401b'!N4621,'Retirement Calculator'!A:A,0),0),0)</f>
        <v>0</v>
      </c>
      <c r="K4621" s="444">
        <f t="shared" ca="1" si="173"/>
        <v>-302494645749.33118</v>
      </c>
      <c r="L4621" s="444">
        <f t="shared" ca="1" si="174"/>
        <v>-72901209625588.813</v>
      </c>
      <c r="M4621" s="460">
        <f t="shared" si="176"/>
        <v>0.05</v>
      </c>
      <c r="N4621" s="464">
        <f t="shared" si="177"/>
        <v>191694</v>
      </c>
    </row>
    <row r="4622" spans="7:14" ht="11.25" customHeight="1" x14ac:dyDescent="0.3">
      <c r="G4622" s="459"/>
      <c r="H4622" s="459">
        <v>4615</v>
      </c>
      <c r="I4622" s="444">
        <f t="shared" ca="1" si="175"/>
        <v>-72901209625588.813</v>
      </c>
      <c r="J4622" s="444">
        <f t="array" ref="J4622">IFERROR(INDEX('Retirement Calculator'!K:K,MATCH('Lorri 401b'!N4622,'Retirement Calculator'!A:A,0),0),0)</f>
        <v>0</v>
      </c>
      <c r="K4622" s="444">
        <f t="shared" ca="1" si="173"/>
        <v>-303755040106.62006</v>
      </c>
      <c r="L4622" s="444">
        <f t="shared" ca="1" si="174"/>
        <v>-73204964665695.438</v>
      </c>
      <c r="M4622" s="460">
        <f t="shared" si="176"/>
        <v>0.05</v>
      </c>
      <c r="N4622" s="464">
        <f t="shared" si="177"/>
        <v>191724</v>
      </c>
    </row>
    <row r="4623" spans="7:14" ht="11.25" customHeight="1" x14ac:dyDescent="0.3">
      <c r="G4623" s="459"/>
      <c r="H4623" s="459">
        <v>4616</v>
      </c>
      <c r="I4623" s="444">
        <f t="shared" ca="1" si="175"/>
        <v>-73204964665695.438</v>
      </c>
      <c r="J4623" s="444">
        <f t="array" ref="J4623">IFERROR(INDEX('Retirement Calculator'!K:K,MATCH('Lorri 401b'!N4623,'Retirement Calculator'!A:A,0),0),0)</f>
        <v>0</v>
      </c>
      <c r="K4623" s="444">
        <f t="shared" ca="1" si="173"/>
        <v>-305020686107.06433</v>
      </c>
      <c r="L4623" s="444">
        <f t="shared" ca="1" si="174"/>
        <v>-73509985351802.5</v>
      </c>
      <c r="M4623" s="460">
        <f t="shared" si="176"/>
        <v>0.05</v>
      </c>
      <c r="N4623" s="464">
        <f t="shared" si="177"/>
        <v>191755</v>
      </c>
    </row>
    <row r="4624" spans="7:14" ht="11.25" customHeight="1" x14ac:dyDescent="0.3">
      <c r="G4624" s="459"/>
      <c r="H4624" s="459">
        <v>4617</v>
      </c>
      <c r="I4624" s="444">
        <f t="shared" ca="1" si="175"/>
        <v>-73509985351802.5</v>
      </c>
      <c r="J4624" s="444">
        <f t="array" ref="J4624">IFERROR(INDEX('Retirement Calculator'!K:K,MATCH('Lorri 401b'!N4624,'Retirement Calculator'!A:A,0),0),0)</f>
        <v>0</v>
      </c>
      <c r="K4624" s="444">
        <f t="shared" ca="1" si="173"/>
        <v>-306291605632.51044</v>
      </c>
      <c r="L4624" s="444">
        <f t="shared" ca="1" si="174"/>
        <v>-73816276957435.016</v>
      </c>
      <c r="M4624" s="460">
        <f t="shared" si="176"/>
        <v>0.05</v>
      </c>
      <c r="N4624" s="464">
        <f t="shared" si="177"/>
        <v>191786</v>
      </c>
    </row>
    <row r="4625" spans="7:14" ht="11.25" customHeight="1" x14ac:dyDescent="0.3">
      <c r="G4625" s="459"/>
      <c r="H4625" s="459">
        <v>4618</v>
      </c>
      <c r="I4625" s="444">
        <f t="shared" ca="1" si="175"/>
        <v>-73816276957435.016</v>
      </c>
      <c r="J4625" s="444">
        <f t="array" ref="J4625">IFERROR(INDEX('Retirement Calculator'!K:K,MATCH('Lorri 401b'!N4625,'Retirement Calculator'!A:A,0),0),0)</f>
        <v>0</v>
      </c>
      <c r="K4625" s="444">
        <f t="shared" ca="1" si="173"/>
        <v>-307567820655.97925</v>
      </c>
      <c r="L4625" s="444">
        <f t="shared" ca="1" si="174"/>
        <v>-74123844778091</v>
      </c>
      <c r="M4625" s="460">
        <f t="shared" si="176"/>
        <v>0.05</v>
      </c>
      <c r="N4625" s="464">
        <f t="shared" si="177"/>
        <v>191814</v>
      </c>
    </row>
    <row r="4626" spans="7:14" ht="11.25" customHeight="1" x14ac:dyDescent="0.3">
      <c r="G4626" s="459"/>
      <c r="H4626" s="459">
        <v>4619</v>
      </c>
      <c r="I4626" s="444">
        <f t="shared" ca="1" si="175"/>
        <v>-74123844778091</v>
      </c>
      <c r="J4626" s="444">
        <f t="array" ref="J4626">IFERROR(INDEX('Retirement Calculator'!K:K,MATCH('Lorri 401b'!N4626,'Retirement Calculator'!A:A,0),0),0)</f>
        <v>0</v>
      </c>
      <c r="K4626" s="444">
        <f t="shared" ca="1" si="173"/>
        <v>-308849353242.04584</v>
      </c>
      <c r="L4626" s="444">
        <f t="shared" ca="1" si="174"/>
        <v>-74432694131333.047</v>
      </c>
      <c r="M4626" s="460">
        <f t="shared" si="176"/>
        <v>0.05</v>
      </c>
      <c r="N4626" s="464">
        <f t="shared" si="177"/>
        <v>191845</v>
      </c>
    </row>
    <row r="4627" spans="7:14" ht="11.25" customHeight="1" x14ac:dyDescent="0.3">
      <c r="G4627" s="459"/>
      <c r="H4627" s="459">
        <v>4620</v>
      </c>
      <c r="I4627" s="444">
        <f t="shared" ca="1" si="175"/>
        <v>-74432694131333.047</v>
      </c>
      <c r="J4627" s="444">
        <f t="array" ref="J4627">IFERROR(INDEX('Retirement Calculator'!K:K,MATCH('Lorri 401b'!N4627,'Retirement Calculator'!A:A,0),0),0)</f>
        <v>0</v>
      </c>
      <c r="K4627" s="444">
        <f t="shared" ca="1" si="173"/>
        <v>-310136225547.22101</v>
      </c>
      <c r="L4627" s="444">
        <f t="shared" ca="1" si="174"/>
        <v>-74742830356880.266</v>
      </c>
      <c r="M4627" s="460">
        <f t="shared" si="176"/>
        <v>0.05</v>
      </c>
      <c r="N4627" s="464">
        <f t="shared" si="177"/>
        <v>191875</v>
      </c>
    </row>
    <row r="4628" spans="7:14" ht="11.25" customHeight="1" x14ac:dyDescent="0.3">
      <c r="G4628" s="459"/>
      <c r="H4628" s="459">
        <v>4621</v>
      </c>
      <c r="I4628" s="444">
        <f t="shared" ca="1" si="175"/>
        <v>-74742830356880.266</v>
      </c>
      <c r="J4628" s="444">
        <f t="array" ref="J4628">IFERROR(INDEX('Retirement Calculator'!K:K,MATCH('Lorri 401b'!N4628,'Retirement Calculator'!A:A,0),0),0)</f>
        <v>0</v>
      </c>
      <c r="K4628" s="444">
        <f t="shared" ca="1" si="173"/>
        <v>-311428459820.33441</v>
      </c>
      <c r="L4628" s="444">
        <f t="shared" ca="1" si="174"/>
        <v>-75054258816700.594</v>
      </c>
      <c r="M4628" s="460">
        <f t="shared" si="176"/>
        <v>0.05</v>
      </c>
      <c r="N4628" s="464">
        <f t="shared" si="177"/>
        <v>191906</v>
      </c>
    </row>
    <row r="4629" spans="7:14" ht="11.25" customHeight="1" x14ac:dyDescent="0.3">
      <c r="G4629" s="459"/>
      <c r="H4629" s="459">
        <v>4622</v>
      </c>
      <c r="I4629" s="444">
        <f t="shared" ca="1" si="175"/>
        <v>-75054258816700.594</v>
      </c>
      <c r="J4629" s="444">
        <f t="array" ref="J4629">IFERROR(INDEX('Retirement Calculator'!K:K,MATCH('Lorri 401b'!N4629,'Retirement Calculator'!A:A,0),0),0)</f>
        <v>0</v>
      </c>
      <c r="K4629" s="444">
        <f t="shared" ca="1" si="173"/>
        <v>-312726078402.91913</v>
      </c>
      <c r="L4629" s="444">
        <f t="shared" ca="1" si="174"/>
        <v>-75366984895103.516</v>
      </c>
      <c r="M4629" s="460">
        <f t="shared" si="176"/>
        <v>0.05</v>
      </c>
      <c r="N4629" s="464">
        <f t="shared" si="177"/>
        <v>191936</v>
      </c>
    </row>
    <row r="4630" spans="7:14" ht="11.25" customHeight="1" x14ac:dyDescent="0.3">
      <c r="G4630" s="459"/>
      <c r="H4630" s="459">
        <v>4623</v>
      </c>
      <c r="I4630" s="444">
        <f t="shared" ca="1" si="175"/>
        <v>-75366984895103.516</v>
      </c>
      <c r="J4630" s="444">
        <f t="array" ref="J4630">IFERROR(INDEX('Retirement Calculator'!K:K,MATCH('Lorri 401b'!N4630,'Retirement Calculator'!A:A,0),0),0)</f>
        <v>0</v>
      </c>
      <c r="K4630" s="444">
        <f t="shared" ca="1" si="173"/>
        <v>-314029103729.59796</v>
      </c>
      <c r="L4630" s="444">
        <f t="shared" ca="1" si="174"/>
        <v>-75681013998833.109</v>
      </c>
      <c r="M4630" s="460">
        <f t="shared" si="176"/>
        <v>0.05</v>
      </c>
      <c r="N4630" s="464">
        <f t="shared" si="177"/>
        <v>191967</v>
      </c>
    </row>
    <row r="4631" spans="7:14" ht="11.25" customHeight="1" x14ac:dyDescent="0.3">
      <c r="G4631" s="459"/>
      <c r="H4631" s="459">
        <v>4624</v>
      </c>
      <c r="I4631" s="444">
        <f t="shared" ca="1" si="175"/>
        <v>-75681013998833.109</v>
      </c>
      <c r="J4631" s="444">
        <f t="array" ref="J4631">IFERROR(INDEX('Retirement Calculator'!K:K,MATCH('Lorri 401b'!N4631,'Retirement Calculator'!A:A,0),0),0)</f>
        <v>0</v>
      </c>
      <c r="K4631" s="444">
        <f t="shared" ca="1" si="173"/>
        <v>-315337558328.47131</v>
      </c>
      <c r="L4631" s="444">
        <f t="shared" ca="1" si="174"/>
        <v>-75996351557161.578</v>
      </c>
      <c r="M4631" s="460">
        <f t="shared" si="176"/>
        <v>0.05</v>
      </c>
      <c r="N4631" s="464">
        <f t="shared" si="177"/>
        <v>191998</v>
      </c>
    </row>
    <row r="4632" spans="7:14" ht="11.25" customHeight="1" x14ac:dyDescent="0.3">
      <c r="G4632" s="459"/>
      <c r="H4632" s="459">
        <v>4625</v>
      </c>
      <c r="I4632" s="444">
        <f t="shared" ca="1" si="175"/>
        <v>-75996351557161.578</v>
      </c>
      <c r="J4632" s="444">
        <f t="array" ref="J4632">IFERROR(INDEX('Retirement Calculator'!K:K,MATCH('Lorri 401b'!N4632,'Retirement Calculator'!A:A,0),0),0)</f>
        <v>0</v>
      </c>
      <c r="K4632" s="444">
        <f t="shared" ca="1" si="173"/>
        <v>-316651464821.50659</v>
      </c>
      <c r="L4632" s="444">
        <f t="shared" ca="1" si="174"/>
        <v>-76313003021983.078</v>
      </c>
      <c r="M4632" s="460">
        <f t="shared" si="176"/>
        <v>0.05</v>
      </c>
      <c r="N4632" s="464">
        <f t="shared" si="177"/>
        <v>192028</v>
      </c>
    </row>
    <row r="4633" spans="7:14" ht="11.25" customHeight="1" x14ac:dyDescent="0.3">
      <c r="G4633" s="459"/>
      <c r="H4633" s="459">
        <v>4626</v>
      </c>
      <c r="I4633" s="444">
        <f t="shared" ca="1" si="175"/>
        <v>-76313003021983.078</v>
      </c>
      <c r="J4633" s="444">
        <f t="array" ref="J4633">IFERROR(INDEX('Retirement Calculator'!K:K,MATCH('Lorri 401b'!N4633,'Retirement Calculator'!A:A,0),0),0)</f>
        <v>0</v>
      </c>
      <c r="K4633" s="444">
        <f t="shared" ca="1" si="173"/>
        <v>-317970845924.9295</v>
      </c>
      <c r="L4633" s="444">
        <f t="shared" ca="1" si="174"/>
        <v>-76630973867908</v>
      </c>
      <c r="M4633" s="460">
        <f t="shared" si="176"/>
        <v>0.05</v>
      </c>
      <c r="N4633" s="464">
        <f t="shared" si="177"/>
        <v>192059</v>
      </c>
    </row>
    <row r="4634" spans="7:14" ht="11.25" customHeight="1" x14ac:dyDescent="0.3">
      <c r="G4634" s="459"/>
      <c r="H4634" s="459">
        <v>4627</v>
      </c>
      <c r="I4634" s="444">
        <f t="shared" ca="1" si="175"/>
        <v>-76630973867908</v>
      </c>
      <c r="J4634" s="444">
        <f t="array" ref="J4634">IFERROR(INDEX('Retirement Calculator'!K:K,MATCH('Lorri 401b'!N4634,'Retirement Calculator'!A:A,0),0),0)</f>
        <v>0</v>
      </c>
      <c r="K4634" s="444">
        <f t="shared" ca="1" si="173"/>
        <v>-319295724449.61664</v>
      </c>
      <c r="L4634" s="444">
        <f t="shared" ca="1" si="174"/>
        <v>-76950269592357.609</v>
      </c>
      <c r="M4634" s="460">
        <f t="shared" si="176"/>
        <v>0.05</v>
      </c>
      <c r="N4634" s="464">
        <f t="shared" si="177"/>
        <v>192089</v>
      </c>
    </row>
    <row r="4635" spans="7:14" ht="11.25" customHeight="1" x14ac:dyDescent="0.3">
      <c r="G4635" s="459"/>
      <c r="H4635" s="459">
        <v>4628</v>
      </c>
      <c r="I4635" s="444">
        <f t="shared" ca="1" si="175"/>
        <v>-76950269592357.609</v>
      </c>
      <c r="J4635" s="444">
        <f t="array" ref="J4635">IFERROR(INDEX('Retirement Calculator'!K:K,MATCH('Lorri 401b'!N4635,'Retirement Calculator'!A:A,0),0),0)</f>
        <v>0</v>
      </c>
      <c r="K4635" s="444">
        <f t="shared" ca="1" si="173"/>
        <v>-320626123301.49005</v>
      </c>
      <c r="L4635" s="444">
        <f t="shared" ca="1" si="174"/>
        <v>-77270895715659.094</v>
      </c>
      <c r="M4635" s="460">
        <f t="shared" si="176"/>
        <v>0.05</v>
      </c>
      <c r="N4635" s="464">
        <f t="shared" si="177"/>
        <v>192120</v>
      </c>
    </row>
    <row r="4636" spans="7:14" ht="11.25" customHeight="1" x14ac:dyDescent="0.3">
      <c r="G4636" s="459"/>
      <c r="H4636" s="459">
        <v>4629</v>
      </c>
      <c r="I4636" s="444">
        <f t="shared" ca="1" si="175"/>
        <v>-77270895715659.094</v>
      </c>
      <c r="J4636" s="444">
        <f t="array" ref="J4636">IFERROR(INDEX('Retirement Calculator'!K:K,MATCH('Lorri 401b'!N4636,'Retirement Calculator'!A:A,0),0),0)</f>
        <v>0</v>
      </c>
      <c r="K4636" s="444">
        <f t="shared" ca="1" si="173"/>
        <v>-321962065481.9129</v>
      </c>
      <c r="L4636" s="444">
        <f t="shared" ca="1" si="174"/>
        <v>-77592857781141</v>
      </c>
      <c r="M4636" s="460">
        <f t="shared" si="176"/>
        <v>0.05</v>
      </c>
      <c r="N4636" s="464">
        <f t="shared" si="177"/>
        <v>192151</v>
      </c>
    </row>
    <row r="4637" spans="7:14" ht="11.25" customHeight="1" x14ac:dyDescent="0.3">
      <c r="G4637" s="459"/>
      <c r="H4637" s="459">
        <v>4630</v>
      </c>
      <c r="I4637" s="444">
        <f t="shared" ca="1" si="175"/>
        <v>-77592857781141</v>
      </c>
      <c r="J4637" s="444">
        <f t="array" ref="J4637">IFERROR(INDEX('Retirement Calculator'!K:K,MATCH('Lorri 401b'!N4637,'Retirement Calculator'!A:A,0),0),0)</f>
        <v>0</v>
      </c>
      <c r="K4637" s="444">
        <f t="shared" ca="1" si="173"/>
        <v>-323303574088.08752</v>
      </c>
      <c r="L4637" s="444">
        <f t="shared" ca="1" si="174"/>
        <v>-77916161355229.094</v>
      </c>
      <c r="M4637" s="460">
        <f t="shared" si="176"/>
        <v>0.05</v>
      </c>
      <c r="N4637" s="464">
        <f t="shared" si="177"/>
        <v>192179</v>
      </c>
    </row>
    <row r="4638" spans="7:14" ht="11.25" customHeight="1" x14ac:dyDescent="0.3">
      <c r="G4638" s="459"/>
      <c r="H4638" s="459">
        <v>4631</v>
      </c>
      <c r="I4638" s="444">
        <f t="shared" ca="1" si="175"/>
        <v>-77916161355229.094</v>
      </c>
      <c r="J4638" s="444">
        <f t="array" ref="J4638">IFERROR(INDEX('Retirement Calculator'!K:K,MATCH('Lorri 401b'!N4638,'Retirement Calculator'!A:A,0),0),0)</f>
        <v>0</v>
      </c>
      <c r="K4638" s="444">
        <f t="shared" ca="1" si="173"/>
        <v>-324650672313.45453</v>
      </c>
      <c r="L4638" s="444">
        <f t="shared" ca="1" si="174"/>
        <v>-78240812027542.547</v>
      </c>
      <c r="M4638" s="460">
        <f t="shared" si="176"/>
        <v>0.05</v>
      </c>
      <c r="N4638" s="464">
        <f t="shared" si="177"/>
        <v>192210</v>
      </c>
    </row>
    <row r="4639" spans="7:14" ht="11.25" customHeight="1" x14ac:dyDescent="0.3">
      <c r="G4639" s="459"/>
      <c r="H4639" s="459">
        <v>4632</v>
      </c>
      <c r="I4639" s="444">
        <f t="shared" ca="1" si="175"/>
        <v>-78240812027542.547</v>
      </c>
      <c r="J4639" s="444">
        <f t="array" ref="J4639">IFERROR(INDEX('Retirement Calculator'!K:K,MATCH('Lorri 401b'!N4639,'Retirement Calculator'!A:A,0),0),0)</f>
        <v>0</v>
      </c>
      <c r="K4639" s="444">
        <f t="shared" ca="1" si="173"/>
        <v>-326003383448.09393</v>
      </c>
      <c r="L4639" s="444">
        <f t="shared" ca="1" si="174"/>
        <v>-78566815410990.641</v>
      </c>
      <c r="M4639" s="460">
        <f t="shared" si="176"/>
        <v>0.05</v>
      </c>
      <c r="N4639" s="464">
        <f t="shared" si="177"/>
        <v>192240</v>
      </c>
    </row>
    <row r="4640" spans="7:14" ht="11.25" customHeight="1" x14ac:dyDescent="0.3">
      <c r="G4640" s="459"/>
      <c r="H4640" s="459">
        <v>4633</v>
      </c>
      <c r="I4640" s="444">
        <f t="shared" ca="1" si="175"/>
        <v>-78566815410990.641</v>
      </c>
      <c r="J4640" s="444">
        <f t="array" ref="J4640">IFERROR(INDEX('Retirement Calculator'!K:K,MATCH('Lorri 401b'!N4640,'Retirement Calculator'!A:A,0),0),0)</f>
        <v>0</v>
      </c>
      <c r="K4640" s="444">
        <f t="shared" ca="1" si="173"/>
        <v>-327361730879.12769</v>
      </c>
      <c r="L4640" s="444">
        <f t="shared" ca="1" si="174"/>
        <v>-78894177141869.766</v>
      </c>
      <c r="M4640" s="460">
        <f t="shared" si="176"/>
        <v>0.05</v>
      </c>
      <c r="N4640" s="464">
        <f t="shared" si="177"/>
        <v>192271</v>
      </c>
    </row>
    <row r="4641" spans="7:14" ht="11.25" customHeight="1" x14ac:dyDescent="0.3">
      <c r="G4641" s="459"/>
      <c r="H4641" s="459">
        <v>4634</v>
      </c>
      <c r="I4641" s="444">
        <f t="shared" ca="1" si="175"/>
        <v>-78894177141869.766</v>
      </c>
      <c r="J4641" s="444">
        <f t="array" ref="J4641">IFERROR(INDEX('Retirement Calculator'!K:K,MATCH('Lorri 401b'!N4641,'Retirement Calculator'!A:A,0),0),0)</f>
        <v>0</v>
      </c>
      <c r="K4641" s="444">
        <f t="shared" ca="1" si="173"/>
        <v>-328725738091.12402</v>
      </c>
      <c r="L4641" s="444">
        <f t="shared" ca="1" si="174"/>
        <v>-79222902879960.891</v>
      </c>
      <c r="M4641" s="460">
        <f t="shared" si="176"/>
        <v>0.05</v>
      </c>
      <c r="N4641" s="464">
        <f t="shared" si="177"/>
        <v>192301</v>
      </c>
    </row>
    <row r="4642" spans="7:14" ht="11.25" customHeight="1" x14ac:dyDescent="0.3">
      <c r="G4642" s="459"/>
      <c r="H4642" s="459">
        <v>4635</v>
      </c>
      <c r="I4642" s="444">
        <f t="shared" ca="1" si="175"/>
        <v>-79222902879960.891</v>
      </c>
      <c r="J4642" s="444">
        <f t="array" ref="J4642">IFERROR(INDEX('Retirement Calculator'!K:K,MATCH('Lorri 401b'!N4642,'Retirement Calculator'!A:A,0),0),0)</f>
        <v>0</v>
      </c>
      <c r="K4642" s="444">
        <f t="shared" ca="1" si="173"/>
        <v>-330095428666.50372</v>
      </c>
      <c r="L4642" s="444">
        <f t="shared" ca="1" si="174"/>
        <v>-79552998308627.391</v>
      </c>
      <c r="M4642" s="460">
        <f t="shared" si="176"/>
        <v>0.05</v>
      </c>
      <c r="N4642" s="464">
        <f t="shared" si="177"/>
        <v>192332</v>
      </c>
    </row>
    <row r="4643" spans="7:14" ht="11.25" customHeight="1" x14ac:dyDescent="0.3">
      <c r="G4643" s="459"/>
      <c r="H4643" s="459">
        <v>4636</v>
      </c>
      <c r="I4643" s="444">
        <f t="shared" ca="1" si="175"/>
        <v>-79552998308627.391</v>
      </c>
      <c r="J4643" s="444">
        <f t="array" ref="J4643">IFERROR(INDEX('Retirement Calculator'!K:K,MATCH('Lorri 401b'!N4643,'Retirement Calculator'!A:A,0),0),0)</f>
        <v>0</v>
      </c>
      <c r="K4643" s="444">
        <f t="shared" ca="1" si="173"/>
        <v>-331470826285.94745</v>
      </c>
      <c r="L4643" s="444">
        <f t="shared" ca="1" si="174"/>
        <v>-79884469134913.344</v>
      </c>
      <c r="M4643" s="460">
        <f t="shared" si="176"/>
        <v>0.05</v>
      </c>
      <c r="N4643" s="464">
        <f t="shared" si="177"/>
        <v>192363</v>
      </c>
    </row>
    <row r="4644" spans="7:14" ht="11.25" customHeight="1" x14ac:dyDescent="0.3">
      <c r="G4644" s="459"/>
      <c r="H4644" s="459">
        <v>4637</v>
      </c>
      <c r="I4644" s="444">
        <f t="shared" ca="1" si="175"/>
        <v>-79884469134913.344</v>
      </c>
      <c r="J4644" s="444">
        <f t="array" ref="J4644">IFERROR(INDEX('Retirement Calculator'!K:K,MATCH('Lorri 401b'!N4644,'Retirement Calculator'!A:A,0),0),0)</f>
        <v>0</v>
      </c>
      <c r="K4644" s="444">
        <f t="shared" ca="1" si="173"/>
        <v>-332851954728.8056</v>
      </c>
      <c r="L4644" s="444">
        <f t="shared" ca="1" si="174"/>
        <v>-80217321089642.156</v>
      </c>
      <c r="M4644" s="460">
        <f t="shared" si="176"/>
        <v>0.05</v>
      </c>
      <c r="N4644" s="464">
        <f t="shared" si="177"/>
        <v>192393</v>
      </c>
    </row>
    <row r="4645" spans="7:14" ht="11.25" customHeight="1" x14ac:dyDescent="0.3">
      <c r="G4645" s="459"/>
      <c r="H4645" s="459">
        <v>4638</v>
      </c>
      <c r="I4645" s="444">
        <f t="shared" ca="1" si="175"/>
        <v>-80217321089642.156</v>
      </c>
      <c r="J4645" s="444">
        <f t="array" ref="J4645">IFERROR(INDEX('Retirement Calculator'!K:K,MATCH('Lorri 401b'!N4645,'Retirement Calculator'!A:A,0),0),0)</f>
        <v>0</v>
      </c>
      <c r="K4645" s="444">
        <f t="shared" ca="1" si="173"/>
        <v>-334238837873.50897</v>
      </c>
      <c r="L4645" s="444">
        <f t="shared" ca="1" si="174"/>
        <v>-80551559927515.672</v>
      </c>
      <c r="M4645" s="460">
        <f t="shared" si="176"/>
        <v>0.05</v>
      </c>
      <c r="N4645" s="464">
        <f t="shared" si="177"/>
        <v>192424</v>
      </c>
    </row>
    <row r="4646" spans="7:14" ht="11.25" customHeight="1" x14ac:dyDescent="0.3">
      <c r="G4646" s="459"/>
      <c r="H4646" s="459">
        <v>4639</v>
      </c>
      <c r="I4646" s="444">
        <f t="shared" ca="1" si="175"/>
        <v>-80551559927515.672</v>
      </c>
      <c r="J4646" s="444">
        <f t="array" ref="J4646">IFERROR(INDEX('Retirement Calculator'!K:K,MATCH('Lorri 401b'!N4646,'Retirement Calculator'!A:A,0),0),0)</f>
        <v>0</v>
      </c>
      <c r="K4646" s="444">
        <f t="shared" ca="1" si="173"/>
        <v>-335631499697.98193</v>
      </c>
      <c r="L4646" s="444">
        <f t="shared" ca="1" si="174"/>
        <v>-80887191427213.656</v>
      </c>
      <c r="M4646" s="460">
        <f t="shared" si="176"/>
        <v>0.05</v>
      </c>
      <c r="N4646" s="464">
        <f t="shared" si="177"/>
        <v>192454</v>
      </c>
    </row>
    <row r="4647" spans="7:14" ht="11.25" customHeight="1" x14ac:dyDescent="0.3">
      <c r="G4647" s="459"/>
      <c r="H4647" s="459">
        <v>4640</v>
      </c>
      <c r="I4647" s="444">
        <f t="shared" ca="1" si="175"/>
        <v>-80887191427213.656</v>
      </c>
      <c r="J4647" s="444">
        <f t="array" ref="J4647">IFERROR(INDEX('Retirement Calculator'!K:K,MATCH('Lorri 401b'!N4647,'Retirement Calculator'!A:A,0),0),0)</f>
        <v>0</v>
      </c>
      <c r="K4647" s="444">
        <f t="shared" ca="1" si="173"/>
        <v>-337029964280.05688</v>
      </c>
      <c r="L4647" s="444">
        <f t="shared" ca="1" si="174"/>
        <v>-81224221391493.719</v>
      </c>
      <c r="M4647" s="460">
        <f t="shared" si="176"/>
        <v>0.05</v>
      </c>
      <c r="N4647" s="464">
        <f t="shared" si="177"/>
        <v>192485</v>
      </c>
    </row>
    <row r="4648" spans="7:14" ht="11.25" customHeight="1" x14ac:dyDescent="0.3">
      <c r="G4648" s="459"/>
      <c r="H4648" s="459">
        <v>4641</v>
      </c>
      <c r="I4648" s="444">
        <f t="shared" ca="1" si="175"/>
        <v>-81224221391493.719</v>
      </c>
      <c r="J4648" s="444">
        <f t="array" ref="J4648">IFERROR(INDEX('Retirement Calculator'!K:K,MATCH('Lorri 401b'!N4648,'Retirement Calculator'!A:A,0),0),0)</f>
        <v>0</v>
      </c>
      <c r="K4648" s="444">
        <f t="shared" ca="1" si="173"/>
        <v>-338434255797.8905</v>
      </c>
      <c r="L4648" s="444">
        <f t="shared" ca="1" si="174"/>
        <v>-81562655647291.609</v>
      </c>
      <c r="M4648" s="460">
        <f t="shared" si="176"/>
        <v>0.05</v>
      </c>
      <c r="N4648" s="464">
        <f t="shared" si="177"/>
        <v>192516</v>
      </c>
    </row>
    <row r="4649" spans="7:14" ht="11.25" customHeight="1" x14ac:dyDescent="0.3">
      <c r="G4649" s="459"/>
      <c r="H4649" s="459">
        <v>4642</v>
      </c>
      <c r="I4649" s="444">
        <f t="shared" ca="1" si="175"/>
        <v>-81562655647291.609</v>
      </c>
      <c r="J4649" s="444">
        <f t="array" ref="J4649">IFERROR(INDEX('Retirement Calculator'!K:K,MATCH('Lorri 401b'!N4649,'Retirement Calculator'!A:A,0),0),0)</f>
        <v>0</v>
      </c>
      <c r="K4649" s="444">
        <f t="shared" ca="1" si="173"/>
        <v>-339844398530.38171</v>
      </c>
      <c r="L4649" s="444">
        <f t="shared" ca="1" si="174"/>
        <v>-81902500045821.984</v>
      </c>
      <c r="M4649" s="460">
        <f t="shared" si="176"/>
        <v>0.05</v>
      </c>
      <c r="N4649" s="464">
        <f t="shared" si="177"/>
        <v>192544</v>
      </c>
    </row>
    <row r="4650" spans="7:14" ht="11.25" customHeight="1" x14ac:dyDescent="0.3">
      <c r="G4650" s="459"/>
      <c r="H4650" s="459">
        <v>4643</v>
      </c>
      <c r="I4650" s="444">
        <f t="shared" ca="1" si="175"/>
        <v>-81902500045821.984</v>
      </c>
      <c r="J4650" s="444">
        <f t="array" ref="J4650">IFERROR(INDEX('Retirement Calculator'!K:K,MATCH('Lorri 401b'!N4650,'Retirement Calculator'!A:A,0),0),0)</f>
        <v>0</v>
      </c>
      <c r="K4650" s="444">
        <f t="shared" ca="1" si="173"/>
        <v>-341260416857.59161</v>
      </c>
      <c r="L4650" s="444">
        <f t="shared" ca="1" si="174"/>
        <v>-82243760462679.578</v>
      </c>
      <c r="M4650" s="460">
        <f t="shared" si="176"/>
        <v>0.05</v>
      </c>
      <c r="N4650" s="464">
        <f t="shared" si="177"/>
        <v>192575</v>
      </c>
    </row>
    <row r="4651" spans="7:14" ht="11.25" customHeight="1" x14ac:dyDescent="0.3">
      <c r="G4651" s="459"/>
      <c r="H4651" s="459">
        <v>4644</v>
      </c>
      <c r="I4651" s="444">
        <f t="shared" ca="1" si="175"/>
        <v>-82243760462679.578</v>
      </c>
      <c r="J4651" s="444">
        <f t="array" ref="J4651">IFERROR(INDEX('Retirement Calculator'!K:K,MATCH('Lorri 401b'!N4651,'Retirement Calculator'!A:A,0),0),0)</f>
        <v>0</v>
      </c>
      <c r="K4651" s="444">
        <f t="shared" ca="1" si="173"/>
        <v>-342682335261.16492</v>
      </c>
      <c r="L4651" s="444">
        <f t="shared" ca="1" si="174"/>
        <v>-82586442797940.75</v>
      </c>
      <c r="M4651" s="460">
        <f t="shared" si="176"/>
        <v>0.05</v>
      </c>
      <c r="N4651" s="464">
        <f t="shared" si="177"/>
        <v>192605</v>
      </c>
    </row>
    <row r="4652" spans="7:14" ht="11.25" customHeight="1" x14ac:dyDescent="0.3">
      <c r="G4652" s="459"/>
      <c r="H4652" s="459">
        <v>4645</v>
      </c>
      <c r="I4652" s="444">
        <f t="shared" ca="1" si="175"/>
        <v>-82586442797940.75</v>
      </c>
      <c r="J4652" s="444">
        <f t="array" ref="J4652">IFERROR(INDEX('Retirement Calculator'!K:K,MATCH('Lorri 401b'!N4652,'Retirement Calculator'!A:A,0),0),0)</f>
        <v>0</v>
      </c>
      <c r="K4652" s="444">
        <f t="shared" ca="1" si="173"/>
        <v>-344110178324.75311</v>
      </c>
      <c r="L4652" s="444">
        <f t="shared" ca="1" si="174"/>
        <v>-82930552976265.5</v>
      </c>
      <c r="M4652" s="460">
        <f t="shared" si="176"/>
        <v>0.05</v>
      </c>
      <c r="N4652" s="464">
        <f t="shared" si="177"/>
        <v>192636</v>
      </c>
    </row>
    <row r="4653" spans="7:14" ht="11.25" customHeight="1" x14ac:dyDescent="0.3">
      <c r="G4653" s="459"/>
      <c r="H4653" s="459">
        <v>4646</v>
      </c>
      <c r="I4653" s="444">
        <f t="shared" ca="1" si="175"/>
        <v>-82930552976265.5</v>
      </c>
      <c r="J4653" s="444">
        <f t="array" ref="J4653">IFERROR(INDEX('Retirement Calculator'!K:K,MATCH('Lorri 401b'!N4653,'Retirement Calculator'!A:A,0),0),0)</f>
        <v>0</v>
      </c>
      <c r="K4653" s="444">
        <f t="shared" ca="1" si="173"/>
        <v>-345543970734.43958</v>
      </c>
      <c r="L4653" s="444">
        <f t="shared" ca="1" si="174"/>
        <v>-83276096946999.938</v>
      </c>
      <c r="M4653" s="460">
        <f t="shared" si="176"/>
        <v>0.05</v>
      </c>
      <c r="N4653" s="464">
        <f t="shared" si="177"/>
        <v>192666</v>
      </c>
    </row>
    <row r="4654" spans="7:14" ht="11.25" customHeight="1" x14ac:dyDescent="0.3">
      <c r="G4654" s="459"/>
      <c r="H4654" s="459">
        <v>4647</v>
      </c>
      <c r="I4654" s="444">
        <f t="shared" ca="1" si="175"/>
        <v>-83276096946999.938</v>
      </c>
      <c r="J4654" s="444">
        <f t="array" ref="J4654">IFERROR(INDEX('Retirement Calculator'!K:K,MATCH('Lorri 401b'!N4654,'Retirement Calculator'!A:A,0),0),0)</f>
        <v>0</v>
      </c>
      <c r="K4654" s="444">
        <f t="shared" ca="1" si="173"/>
        <v>-346983737279.16638</v>
      </c>
      <c r="L4654" s="444">
        <f t="shared" ca="1" si="174"/>
        <v>-83623080684279.109</v>
      </c>
      <c r="M4654" s="460">
        <f t="shared" si="176"/>
        <v>0.05</v>
      </c>
      <c r="N4654" s="464">
        <f t="shared" si="177"/>
        <v>192697</v>
      </c>
    </row>
    <row r="4655" spans="7:14" ht="11.25" customHeight="1" x14ac:dyDescent="0.3">
      <c r="G4655" s="459"/>
      <c r="H4655" s="459">
        <v>4648</v>
      </c>
      <c r="I4655" s="444">
        <f t="shared" ca="1" si="175"/>
        <v>-83623080684279.109</v>
      </c>
      <c r="J4655" s="444">
        <f t="array" ref="J4655">IFERROR(INDEX('Retirement Calculator'!K:K,MATCH('Lorri 401b'!N4655,'Retirement Calculator'!A:A,0),0),0)</f>
        <v>0</v>
      </c>
      <c r="K4655" s="444">
        <f t="shared" ca="1" si="173"/>
        <v>-348429502851.16296</v>
      </c>
      <c r="L4655" s="444">
        <f t="shared" ca="1" si="174"/>
        <v>-83971510187130.266</v>
      </c>
      <c r="M4655" s="460">
        <f t="shared" si="176"/>
        <v>0.05</v>
      </c>
      <c r="N4655" s="464">
        <f t="shared" si="177"/>
        <v>192728</v>
      </c>
    </row>
    <row r="4656" spans="7:14" ht="11.25" customHeight="1" x14ac:dyDescent="0.3">
      <c r="G4656" s="459"/>
      <c r="H4656" s="459">
        <v>4649</v>
      </c>
      <c r="I4656" s="444">
        <f t="shared" ca="1" si="175"/>
        <v>-83971510187130.266</v>
      </c>
      <c r="J4656" s="444">
        <f t="array" ref="J4656">IFERROR(INDEX('Retirement Calculator'!K:K,MATCH('Lorri 401b'!N4656,'Retirement Calculator'!A:A,0),0),0)</f>
        <v>0</v>
      </c>
      <c r="K4656" s="444">
        <f t="shared" ca="1" si="173"/>
        <v>-349881292446.3761</v>
      </c>
      <c r="L4656" s="444">
        <f t="shared" ca="1" si="174"/>
        <v>-84321391479576.641</v>
      </c>
      <c r="M4656" s="460">
        <f t="shared" si="176"/>
        <v>0.05</v>
      </c>
      <c r="N4656" s="464">
        <f t="shared" si="177"/>
        <v>192758</v>
      </c>
    </row>
    <row r="4657" spans="7:14" ht="11.25" customHeight="1" x14ac:dyDescent="0.3">
      <c r="G4657" s="459"/>
      <c r="H4657" s="459">
        <v>4650</v>
      </c>
      <c r="I4657" s="444">
        <f t="shared" ca="1" si="175"/>
        <v>-84321391479576.641</v>
      </c>
      <c r="J4657" s="444">
        <f t="array" ref="J4657">IFERROR(INDEX('Retirement Calculator'!K:K,MATCH('Lorri 401b'!N4657,'Retirement Calculator'!A:A,0),0),0)</f>
        <v>0</v>
      </c>
      <c r="K4657" s="444">
        <f t="shared" ca="1" si="173"/>
        <v>-351339131164.90265</v>
      </c>
      <c r="L4657" s="444">
        <f t="shared" ca="1" si="174"/>
        <v>-84672730610741.547</v>
      </c>
      <c r="M4657" s="460">
        <f t="shared" si="176"/>
        <v>0.05</v>
      </c>
      <c r="N4657" s="464">
        <f t="shared" si="177"/>
        <v>192789</v>
      </c>
    </row>
    <row r="4658" spans="7:14" ht="11.25" customHeight="1" x14ac:dyDescent="0.3">
      <c r="G4658" s="459"/>
      <c r="H4658" s="459">
        <v>4651</v>
      </c>
      <c r="I4658" s="444">
        <f t="shared" ca="1" si="175"/>
        <v>-84672730610741.547</v>
      </c>
      <c r="J4658" s="444">
        <f t="array" ref="J4658">IFERROR(INDEX('Retirement Calculator'!K:K,MATCH('Lorri 401b'!N4658,'Retirement Calculator'!A:A,0),0),0)</f>
        <v>0</v>
      </c>
      <c r="K4658" s="444">
        <f t="shared" ca="1" si="173"/>
        <v>-352803044211.4231</v>
      </c>
      <c r="L4658" s="444">
        <f t="shared" ca="1" si="174"/>
        <v>-85025533654952.969</v>
      </c>
      <c r="M4658" s="460">
        <f t="shared" si="176"/>
        <v>0.05</v>
      </c>
      <c r="N4658" s="464">
        <f t="shared" si="177"/>
        <v>192819</v>
      </c>
    </row>
    <row r="4659" spans="7:14" ht="11.25" customHeight="1" x14ac:dyDescent="0.3">
      <c r="G4659" s="459"/>
      <c r="H4659" s="459">
        <v>4652</v>
      </c>
      <c r="I4659" s="444">
        <f t="shared" ca="1" si="175"/>
        <v>-85025533654952.969</v>
      </c>
      <c r="J4659" s="444">
        <f t="array" ref="J4659">IFERROR(INDEX('Retirement Calculator'!K:K,MATCH('Lorri 401b'!N4659,'Retirement Calculator'!A:A,0),0),0)</f>
        <v>0</v>
      </c>
      <c r="K4659" s="444">
        <f t="shared" ca="1" si="173"/>
        <v>-354273056895.63739</v>
      </c>
      <c r="L4659" s="444">
        <f t="shared" ca="1" si="174"/>
        <v>-85379806711848.609</v>
      </c>
      <c r="M4659" s="460">
        <f t="shared" si="176"/>
        <v>0.05</v>
      </c>
      <c r="N4659" s="464">
        <f t="shared" si="177"/>
        <v>192850</v>
      </c>
    </row>
    <row r="4660" spans="7:14" ht="11.25" customHeight="1" x14ac:dyDescent="0.3">
      <c r="G4660" s="459"/>
      <c r="H4660" s="459">
        <v>4653</v>
      </c>
      <c r="I4660" s="444">
        <f t="shared" ca="1" si="175"/>
        <v>-85379806711848.609</v>
      </c>
      <c r="J4660" s="444">
        <f t="array" ref="J4660">IFERROR(INDEX('Retirement Calculator'!K:K,MATCH('Lorri 401b'!N4660,'Retirement Calculator'!A:A,0),0),0)</f>
        <v>0</v>
      </c>
      <c r="K4660" s="444">
        <f t="shared" ca="1" si="173"/>
        <v>-355749194632.70251</v>
      </c>
      <c r="L4660" s="444">
        <f t="shared" ca="1" si="174"/>
        <v>-85735555906481.313</v>
      </c>
      <c r="M4660" s="460">
        <f t="shared" si="176"/>
        <v>0.05</v>
      </c>
      <c r="N4660" s="464">
        <f t="shared" si="177"/>
        <v>192881</v>
      </c>
    </row>
    <row r="4661" spans="7:14" ht="11.25" customHeight="1" x14ac:dyDescent="0.3">
      <c r="G4661" s="459"/>
      <c r="H4661" s="459">
        <v>4654</v>
      </c>
      <c r="I4661" s="444">
        <f t="shared" ca="1" si="175"/>
        <v>-85735555906481.313</v>
      </c>
      <c r="J4661" s="444">
        <f t="array" ref="J4661">IFERROR(INDEX('Retirement Calculator'!K:K,MATCH('Lorri 401b'!N4661,'Retirement Calculator'!A:A,0),0),0)</f>
        <v>0</v>
      </c>
      <c r="K4661" s="444">
        <f t="shared" ca="1" si="173"/>
        <v>-357231482943.67212</v>
      </c>
      <c r="L4661" s="444">
        <f t="shared" ca="1" si="174"/>
        <v>-86092787389424.984</v>
      </c>
      <c r="M4661" s="460">
        <f t="shared" si="176"/>
        <v>0.05</v>
      </c>
      <c r="N4661" s="464">
        <f t="shared" si="177"/>
        <v>192910</v>
      </c>
    </row>
    <row r="4662" spans="7:14" ht="11.25" customHeight="1" x14ac:dyDescent="0.3">
      <c r="G4662" s="459"/>
      <c r="H4662" s="459">
        <v>4655</v>
      </c>
      <c r="I4662" s="444">
        <f t="shared" ca="1" si="175"/>
        <v>-86092787389424.984</v>
      </c>
      <c r="J4662" s="444">
        <f t="array" ref="J4662">IFERROR(INDEX('Retirement Calculator'!K:K,MATCH('Lorri 401b'!N4662,'Retirement Calculator'!A:A,0),0),0)</f>
        <v>0</v>
      </c>
      <c r="K4662" s="444">
        <f t="shared" ca="1" si="173"/>
        <v>-358719947455.93744</v>
      </c>
      <c r="L4662" s="444">
        <f t="shared" ca="1" si="174"/>
        <v>-86451507336880.922</v>
      </c>
      <c r="M4662" s="460">
        <f t="shared" si="176"/>
        <v>0.05</v>
      </c>
      <c r="N4662" s="464">
        <f t="shared" si="177"/>
        <v>192941</v>
      </c>
    </row>
    <row r="4663" spans="7:14" ht="11.25" customHeight="1" x14ac:dyDescent="0.3">
      <c r="G4663" s="459"/>
      <c r="H4663" s="459">
        <v>4656</v>
      </c>
      <c r="I4663" s="444">
        <f t="shared" ca="1" si="175"/>
        <v>-86451507336880.922</v>
      </c>
      <c r="J4663" s="444">
        <f t="array" ref="J4663">IFERROR(INDEX('Retirement Calculator'!K:K,MATCH('Lorri 401b'!N4663,'Retirement Calculator'!A:A,0),0),0)</f>
        <v>0</v>
      </c>
      <c r="K4663" s="444">
        <f t="shared" ca="1" si="173"/>
        <v>-360214613903.67053</v>
      </c>
      <c r="L4663" s="444">
        <f t="shared" ca="1" si="174"/>
        <v>-86811721950784.594</v>
      </c>
      <c r="M4663" s="460">
        <f t="shared" si="176"/>
        <v>0.05</v>
      </c>
      <c r="N4663" s="464">
        <f t="shared" si="177"/>
        <v>192971</v>
      </c>
    </row>
    <row r="4664" spans="7:14" ht="11.25" customHeight="1" x14ac:dyDescent="0.3">
      <c r="G4664" s="459"/>
      <c r="H4664" s="459">
        <v>4657</v>
      </c>
      <c r="I4664" s="444">
        <f t="shared" ca="1" si="175"/>
        <v>-86811721950784.594</v>
      </c>
      <c r="J4664" s="444">
        <f t="array" ref="J4664">IFERROR(INDEX('Retirement Calculator'!K:K,MATCH('Lorri 401b'!N4664,'Retirement Calculator'!A:A,0),0),0)</f>
        <v>0</v>
      </c>
      <c r="K4664" s="444">
        <f t="shared" ca="1" si="173"/>
        <v>-361715508128.26917</v>
      </c>
      <c r="L4664" s="444">
        <f t="shared" ca="1" si="174"/>
        <v>-87173437458912.859</v>
      </c>
      <c r="M4664" s="460">
        <f t="shared" si="176"/>
        <v>0.05</v>
      </c>
      <c r="N4664" s="464">
        <f t="shared" si="177"/>
        <v>193002</v>
      </c>
    </row>
    <row r="4665" spans="7:14" ht="11.25" customHeight="1" x14ac:dyDescent="0.3">
      <c r="G4665" s="459"/>
      <c r="H4665" s="459">
        <v>4658</v>
      </c>
      <c r="I4665" s="444">
        <f t="shared" ca="1" si="175"/>
        <v>-87173437458912.859</v>
      </c>
      <c r="J4665" s="444">
        <f t="array" ref="J4665">IFERROR(INDEX('Retirement Calculator'!K:K,MATCH('Lorri 401b'!N4665,'Retirement Calculator'!A:A,0),0),0)</f>
        <v>0</v>
      </c>
      <c r="K4665" s="444">
        <f t="shared" ca="1" si="173"/>
        <v>-363222656078.80359</v>
      </c>
      <c r="L4665" s="444">
        <f t="shared" ca="1" si="174"/>
        <v>-87536660114991.656</v>
      </c>
      <c r="M4665" s="460">
        <f t="shared" si="176"/>
        <v>0.05</v>
      </c>
      <c r="N4665" s="464">
        <f t="shared" si="177"/>
        <v>193032</v>
      </c>
    </row>
    <row r="4666" spans="7:14" ht="11.25" customHeight="1" x14ac:dyDescent="0.3">
      <c r="G4666" s="459"/>
      <c r="H4666" s="459">
        <v>4659</v>
      </c>
      <c r="I4666" s="444">
        <f t="shared" ca="1" si="175"/>
        <v>-87536660114991.656</v>
      </c>
      <c r="J4666" s="444">
        <f t="array" ref="J4666">IFERROR(INDEX('Retirement Calculator'!K:K,MATCH('Lorri 401b'!N4666,'Retirement Calculator'!A:A,0),0),0)</f>
        <v>0</v>
      </c>
      <c r="K4666" s="444">
        <f t="shared" ca="1" si="173"/>
        <v>-364736083812.46521</v>
      </c>
      <c r="L4666" s="444">
        <f t="shared" ca="1" si="174"/>
        <v>-87901396198804.125</v>
      </c>
      <c r="M4666" s="460">
        <f t="shared" si="176"/>
        <v>0.05</v>
      </c>
      <c r="N4666" s="464">
        <f t="shared" si="177"/>
        <v>193063</v>
      </c>
    </row>
    <row r="4667" spans="7:14" ht="11.25" customHeight="1" x14ac:dyDescent="0.3">
      <c r="G4667" s="459"/>
      <c r="H4667" s="459">
        <v>4660</v>
      </c>
      <c r="I4667" s="444">
        <f t="shared" ca="1" si="175"/>
        <v>-87901396198804.125</v>
      </c>
      <c r="J4667" s="444">
        <f t="array" ref="J4667">IFERROR(INDEX('Retirement Calculator'!K:K,MATCH('Lorri 401b'!N4667,'Retirement Calculator'!A:A,0),0),0)</f>
        <v>0</v>
      </c>
      <c r="K4667" s="444">
        <f t="shared" ca="1" si="173"/>
        <v>-366255817495.01721</v>
      </c>
      <c r="L4667" s="444">
        <f t="shared" ca="1" si="174"/>
        <v>-88267652016299.141</v>
      </c>
      <c r="M4667" s="460">
        <f t="shared" si="176"/>
        <v>0.05</v>
      </c>
      <c r="N4667" s="464">
        <f t="shared" si="177"/>
        <v>193094</v>
      </c>
    </row>
    <row r="4668" spans="7:14" ht="11.25" customHeight="1" x14ac:dyDescent="0.3">
      <c r="G4668" s="459"/>
      <c r="H4668" s="459">
        <v>4661</v>
      </c>
      <c r="I4668" s="444">
        <f t="shared" ca="1" si="175"/>
        <v>-88267652016299.141</v>
      </c>
      <c r="J4668" s="444">
        <f t="array" ref="J4668">IFERROR(INDEX('Retirement Calculator'!K:K,MATCH('Lorri 401b'!N4668,'Retirement Calculator'!A:A,0),0),0)</f>
        <v>0</v>
      </c>
      <c r="K4668" s="444">
        <f t="shared" ca="1" si="173"/>
        <v>-367781883401.2464</v>
      </c>
      <c r="L4668" s="444">
        <f t="shared" ca="1" si="174"/>
        <v>-88635433899700.391</v>
      </c>
      <c r="M4668" s="460">
        <f t="shared" si="176"/>
        <v>0.05</v>
      </c>
      <c r="N4668" s="464">
        <f t="shared" si="177"/>
        <v>193124</v>
      </c>
    </row>
    <row r="4669" spans="7:14" ht="11.25" customHeight="1" x14ac:dyDescent="0.3">
      <c r="G4669" s="459"/>
      <c r="H4669" s="459">
        <v>4662</v>
      </c>
      <c r="I4669" s="444">
        <f t="shared" ca="1" si="175"/>
        <v>-88635433899700.391</v>
      </c>
      <c r="J4669" s="444">
        <f t="array" ref="J4669">IFERROR(INDEX('Retirement Calculator'!K:K,MATCH('Lorri 401b'!N4669,'Retirement Calculator'!A:A,0),0),0)</f>
        <v>0</v>
      </c>
      <c r="K4669" s="444">
        <f t="shared" ca="1" si="173"/>
        <v>-369314307915.41827</v>
      </c>
      <c r="L4669" s="444">
        <f t="shared" ca="1" si="174"/>
        <v>-89004748207615.813</v>
      </c>
      <c r="M4669" s="460">
        <f t="shared" si="176"/>
        <v>0.05</v>
      </c>
      <c r="N4669" s="464">
        <f t="shared" si="177"/>
        <v>193155</v>
      </c>
    </row>
    <row r="4670" spans="7:14" ht="11.25" customHeight="1" x14ac:dyDescent="0.3">
      <c r="G4670" s="459"/>
      <c r="H4670" s="459">
        <v>4663</v>
      </c>
      <c r="I4670" s="444">
        <f t="shared" ca="1" si="175"/>
        <v>-89004748207615.813</v>
      </c>
      <c r="J4670" s="444">
        <f t="array" ref="J4670">IFERROR(INDEX('Retirement Calculator'!K:K,MATCH('Lorri 401b'!N4670,'Retirement Calculator'!A:A,0),0),0)</f>
        <v>0</v>
      </c>
      <c r="K4670" s="444">
        <f t="shared" ca="1" si="173"/>
        <v>-370853117531.73254</v>
      </c>
      <c r="L4670" s="444">
        <f t="shared" ca="1" si="174"/>
        <v>-89375601325147.547</v>
      </c>
      <c r="M4670" s="460">
        <f t="shared" si="176"/>
        <v>0.05</v>
      </c>
      <c r="N4670" s="464">
        <f t="shared" si="177"/>
        <v>193185</v>
      </c>
    </row>
    <row r="4671" spans="7:14" ht="11.25" customHeight="1" x14ac:dyDescent="0.3">
      <c r="G4671" s="459"/>
      <c r="H4671" s="459">
        <v>4664</v>
      </c>
      <c r="I4671" s="444">
        <f t="shared" ca="1" si="175"/>
        <v>-89375601325147.547</v>
      </c>
      <c r="J4671" s="444">
        <f t="array" ref="J4671">IFERROR(INDEX('Retirement Calculator'!K:K,MATCH('Lorri 401b'!N4671,'Retirement Calculator'!A:A,0),0),0)</f>
        <v>0</v>
      </c>
      <c r="K4671" s="444">
        <f t="shared" ca="1" si="173"/>
        <v>-372398338854.78143</v>
      </c>
      <c r="L4671" s="444">
        <f t="shared" ca="1" si="174"/>
        <v>-89747999664002.328</v>
      </c>
      <c r="M4671" s="460">
        <f t="shared" si="176"/>
        <v>0.05</v>
      </c>
      <c r="N4671" s="464">
        <f t="shared" si="177"/>
        <v>193216</v>
      </c>
    </row>
    <row r="4672" spans="7:14" ht="11.25" customHeight="1" x14ac:dyDescent="0.3">
      <c r="G4672" s="459"/>
      <c r="H4672" s="459">
        <v>4665</v>
      </c>
      <c r="I4672" s="444">
        <f t="shared" ca="1" si="175"/>
        <v>-89747999664002.328</v>
      </c>
      <c r="J4672" s="444">
        <f t="array" ref="J4672">IFERROR(INDEX('Retirement Calculator'!K:K,MATCH('Lorri 401b'!N4672,'Retirement Calculator'!A:A,0),0),0)</f>
        <v>0</v>
      </c>
      <c r="K4672" s="444">
        <f t="shared" ca="1" si="173"/>
        <v>-373949998600.0097</v>
      </c>
      <c r="L4672" s="444">
        <f t="shared" ca="1" si="174"/>
        <v>-90121949662602.344</v>
      </c>
      <c r="M4672" s="460">
        <f t="shared" si="176"/>
        <v>0.05</v>
      </c>
      <c r="N4672" s="464">
        <f t="shared" si="177"/>
        <v>193247</v>
      </c>
    </row>
    <row r="4673" spans="7:14" ht="11.25" customHeight="1" x14ac:dyDescent="0.3">
      <c r="G4673" s="459"/>
      <c r="H4673" s="459">
        <v>4666</v>
      </c>
      <c r="I4673" s="444">
        <f t="shared" ca="1" si="175"/>
        <v>-90121949662602.344</v>
      </c>
      <c r="J4673" s="444">
        <f t="array" ref="J4673">IFERROR(INDEX('Retirement Calculator'!K:K,MATCH('Lorri 401b'!N4673,'Retirement Calculator'!A:A,0),0),0)</f>
        <v>0</v>
      </c>
      <c r="K4673" s="444">
        <f t="shared" ca="1" si="173"/>
        <v>-375508123594.17645</v>
      </c>
      <c r="L4673" s="444">
        <f t="shared" ca="1" si="174"/>
        <v>-90497457786196.516</v>
      </c>
      <c r="M4673" s="460">
        <f t="shared" si="176"/>
        <v>0.05</v>
      </c>
      <c r="N4673" s="464">
        <f t="shared" si="177"/>
        <v>193275</v>
      </c>
    </row>
    <row r="4674" spans="7:14" ht="11.25" customHeight="1" x14ac:dyDescent="0.3">
      <c r="G4674" s="459"/>
      <c r="H4674" s="459">
        <v>4667</v>
      </c>
      <c r="I4674" s="444">
        <f t="shared" ca="1" si="175"/>
        <v>-90497457786196.516</v>
      </c>
      <c r="J4674" s="444">
        <f t="array" ref="J4674">IFERROR(INDEX('Retirement Calculator'!K:K,MATCH('Lorri 401b'!N4674,'Retirement Calculator'!A:A,0),0),0)</f>
        <v>0</v>
      </c>
      <c r="K4674" s="444">
        <f t="shared" ca="1" si="173"/>
        <v>-377072740775.81879</v>
      </c>
      <c r="L4674" s="444">
        <f t="shared" ca="1" si="174"/>
        <v>-90874530526972.328</v>
      </c>
      <c r="M4674" s="460">
        <f t="shared" si="176"/>
        <v>0.05</v>
      </c>
      <c r="N4674" s="464">
        <f t="shared" si="177"/>
        <v>193306</v>
      </c>
    </row>
    <row r="4675" spans="7:14" ht="11.25" customHeight="1" x14ac:dyDescent="0.3">
      <c r="G4675" s="459"/>
      <c r="H4675" s="459">
        <v>4668</v>
      </c>
      <c r="I4675" s="444">
        <f t="shared" ca="1" si="175"/>
        <v>-90874530526972.328</v>
      </c>
      <c r="J4675" s="444">
        <f t="array" ref="J4675">IFERROR(INDEX('Retirement Calculator'!K:K,MATCH('Lorri 401b'!N4675,'Retirement Calculator'!A:A,0),0),0)</f>
        <v>0</v>
      </c>
      <c r="K4675" s="444">
        <f t="shared" ca="1" si="173"/>
        <v>-378643877195.71802</v>
      </c>
      <c r="L4675" s="444">
        <f t="shared" ca="1" si="174"/>
        <v>-91253174404168.047</v>
      </c>
      <c r="M4675" s="460">
        <f t="shared" si="176"/>
        <v>0.05</v>
      </c>
      <c r="N4675" s="464">
        <f t="shared" si="177"/>
        <v>193336</v>
      </c>
    </row>
    <row r="4676" spans="7:14" ht="11.25" customHeight="1" x14ac:dyDescent="0.3">
      <c r="G4676" s="459"/>
      <c r="H4676" s="459">
        <v>4669</v>
      </c>
      <c r="I4676" s="444">
        <f t="shared" ca="1" si="175"/>
        <v>-91253174404168.047</v>
      </c>
      <c r="J4676" s="444">
        <f t="array" ref="J4676">IFERROR(INDEX('Retirement Calculator'!K:K,MATCH('Lorri 401b'!N4676,'Retirement Calculator'!A:A,0),0),0)</f>
        <v>0</v>
      </c>
      <c r="K4676" s="444">
        <f t="shared" ca="1" si="173"/>
        <v>-380221560017.36688</v>
      </c>
      <c r="L4676" s="444">
        <f t="shared" ca="1" si="174"/>
        <v>-91633395964185.406</v>
      </c>
      <c r="M4676" s="460">
        <f t="shared" si="176"/>
        <v>0.05</v>
      </c>
      <c r="N4676" s="464">
        <f t="shared" si="177"/>
        <v>193367</v>
      </c>
    </row>
    <row r="4677" spans="7:14" ht="11.25" customHeight="1" x14ac:dyDescent="0.3">
      <c r="G4677" s="459"/>
      <c r="H4677" s="459">
        <v>4670</v>
      </c>
      <c r="I4677" s="444">
        <f t="shared" ca="1" si="175"/>
        <v>-91633395964185.406</v>
      </c>
      <c r="J4677" s="444">
        <f t="array" ref="J4677">IFERROR(INDEX('Retirement Calculator'!K:K,MATCH('Lorri 401b'!N4677,'Retirement Calculator'!A:A,0),0),0)</f>
        <v>0</v>
      </c>
      <c r="K4677" s="444">
        <f t="shared" ca="1" si="173"/>
        <v>-381805816517.43921</v>
      </c>
      <c r="L4677" s="444">
        <f t="shared" ca="1" si="174"/>
        <v>-92015201780702.844</v>
      </c>
      <c r="M4677" s="460">
        <f t="shared" si="176"/>
        <v>0.05</v>
      </c>
      <c r="N4677" s="464">
        <f t="shared" si="177"/>
        <v>193397</v>
      </c>
    </row>
    <row r="4678" spans="7:14" ht="11.25" customHeight="1" x14ac:dyDescent="0.3">
      <c r="G4678" s="459"/>
      <c r="H4678" s="459">
        <v>4671</v>
      </c>
      <c r="I4678" s="444">
        <f t="shared" ca="1" si="175"/>
        <v>-92015201780702.844</v>
      </c>
      <c r="J4678" s="444">
        <f t="array" ref="J4678">IFERROR(INDEX('Retirement Calculator'!K:K,MATCH('Lorri 401b'!N4678,'Retirement Calculator'!A:A,0),0),0)</f>
        <v>0</v>
      </c>
      <c r="K4678" s="444">
        <f t="shared" ca="1" si="173"/>
        <v>-383396674086.26184</v>
      </c>
      <c r="L4678" s="444">
        <f t="shared" ca="1" si="174"/>
        <v>-92398598454789.109</v>
      </c>
      <c r="M4678" s="460">
        <f t="shared" si="176"/>
        <v>0.05</v>
      </c>
      <c r="N4678" s="464">
        <f t="shared" si="177"/>
        <v>193428</v>
      </c>
    </row>
    <row r="4679" spans="7:14" ht="11.25" customHeight="1" x14ac:dyDescent="0.3">
      <c r="G4679" s="459"/>
      <c r="H4679" s="459">
        <v>4672</v>
      </c>
      <c r="I4679" s="444">
        <f t="shared" ca="1" si="175"/>
        <v>-92398598454789.109</v>
      </c>
      <c r="J4679" s="444">
        <f t="array" ref="J4679">IFERROR(INDEX('Retirement Calculator'!K:K,MATCH('Lorri 401b'!N4679,'Retirement Calculator'!A:A,0),0),0)</f>
        <v>0</v>
      </c>
      <c r="K4679" s="444">
        <f t="shared" ca="1" si="173"/>
        <v>-384994160228.28796</v>
      </c>
      <c r="L4679" s="444">
        <f t="shared" ca="1" si="174"/>
        <v>-92783592615017.391</v>
      </c>
      <c r="M4679" s="460">
        <f t="shared" si="176"/>
        <v>0.05</v>
      </c>
      <c r="N4679" s="464">
        <f t="shared" si="177"/>
        <v>193459</v>
      </c>
    </row>
    <row r="4680" spans="7:14" ht="11.25" customHeight="1" x14ac:dyDescent="0.3">
      <c r="G4680" s="459"/>
      <c r="H4680" s="459">
        <v>4673</v>
      </c>
      <c r="I4680" s="444">
        <f t="shared" ca="1" si="175"/>
        <v>-92783592615017.391</v>
      </c>
      <c r="J4680" s="444">
        <f t="array" ref="J4680">IFERROR(INDEX('Retirement Calculator'!K:K,MATCH('Lorri 401b'!N4680,'Retirement Calculator'!A:A,0),0),0)</f>
        <v>0</v>
      </c>
      <c r="K4680" s="444">
        <f t="shared" ca="1" si="173"/>
        <v>-386598302562.57245</v>
      </c>
      <c r="L4680" s="444">
        <f t="shared" ca="1" si="174"/>
        <v>-93170190917579.969</v>
      </c>
      <c r="M4680" s="460">
        <f t="shared" si="176"/>
        <v>0.05</v>
      </c>
      <c r="N4680" s="464">
        <f t="shared" si="177"/>
        <v>193489</v>
      </c>
    </row>
    <row r="4681" spans="7:14" ht="11.25" customHeight="1" x14ac:dyDescent="0.3">
      <c r="G4681" s="459"/>
      <c r="H4681" s="459">
        <v>4674</v>
      </c>
      <c r="I4681" s="444">
        <f t="shared" ca="1" si="175"/>
        <v>-93170190917579.969</v>
      </c>
      <c r="J4681" s="444">
        <f t="array" ref="J4681">IFERROR(INDEX('Retirement Calculator'!K:K,MATCH('Lorri 401b'!N4681,'Retirement Calculator'!A:A,0),0),0)</f>
        <v>0</v>
      </c>
      <c r="K4681" s="444">
        <f t="shared" ca="1" si="173"/>
        <v>-388209128823.24988</v>
      </c>
      <c r="L4681" s="444">
        <f t="shared" ca="1" si="174"/>
        <v>-93558400046403.219</v>
      </c>
      <c r="M4681" s="460">
        <f t="shared" si="176"/>
        <v>0.05</v>
      </c>
      <c r="N4681" s="464">
        <f t="shared" si="177"/>
        <v>193520</v>
      </c>
    </row>
    <row r="4682" spans="7:14" ht="11.25" customHeight="1" x14ac:dyDescent="0.3">
      <c r="G4682" s="459"/>
      <c r="H4682" s="459">
        <v>4675</v>
      </c>
      <c r="I4682" s="444">
        <f t="shared" ca="1" si="175"/>
        <v>-93558400046403.219</v>
      </c>
      <c r="J4682" s="444">
        <f t="array" ref="J4682">IFERROR(INDEX('Retirement Calculator'!K:K,MATCH('Lorri 401b'!N4682,'Retirement Calculator'!A:A,0),0),0)</f>
        <v>0</v>
      </c>
      <c r="K4682" s="444">
        <f t="shared" ca="1" si="173"/>
        <v>-389826666860.01343</v>
      </c>
      <c r="L4682" s="444">
        <f t="shared" ca="1" si="174"/>
        <v>-93948226713263.234</v>
      </c>
      <c r="M4682" s="460">
        <f t="shared" si="176"/>
        <v>0.05</v>
      </c>
      <c r="N4682" s="464">
        <f t="shared" si="177"/>
        <v>193550</v>
      </c>
    </row>
    <row r="4683" spans="7:14" ht="11.25" customHeight="1" x14ac:dyDescent="0.3">
      <c r="G4683" s="459"/>
      <c r="H4683" s="459">
        <v>4676</v>
      </c>
      <c r="I4683" s="444">
        <f t="shared" ca="1" si="175"/>
        <v>-93948226713263.234</v>
      </c>
      <c r="J4683" s="444">
        <f t="array" ref="J4683">IFERROR(INDEX('Retirement Calculator'!K:K,MATCH('Lorri 401b'!N4683,'Retirement Calculator'!A:A,0),0),0)</f>
        <v>0</v>
      </c>
      <c r="K4683" s="444">
        <f t="shared" ca="1" si="173"/>
        <v>-391450944638.5968</v>
      </c>
      <c r="L4683" s="444">
        <f t="shared" ca="1" si="174"/>
        <v>-94339677657901.828</v>
      </c>
      <c r="M4683" s="460">
        <f t="shared" si="176"/>
        <v>0.05</v>
      </c>
      <c r="N4683" s="464">
        <f t="shared" si="177"/>
        <v>193581</v>
      </c>
    </row>
    <row r="4684" spans="7:14" ht="11.25" customHeight="1" x14ac:dyDescent="0.3">
      <c r="G4684" s="459"/>
      <c r="H4684" s="459">
        <v>4677</v>
      </c>
      <c r="I4684" s="444">
        <f t="shared" ca="1" si="175"/>
        <v>-94339677657901.828</v>
      </c>
      <c r="J4684" s="444">
        <f t="array" ref="J4684">IFERROR(INDEX('Retirement Calculator'!K:K,MATCH('Lorri 401b'!N4684,'Retirement Calculator'!A:A,0),0),0)</f>
        <v>0</v>
      </c>
      <c r="K4684" s="444">
        <f t="shared" ca="1" si="173"/>
        <v>-393081990241.25763</v>
      </c>
      <c r="L4684" s="444">
        <f t="shared" ca="1" si="174"/>
        <v>-94732759648143.078</v>
      </c>
      <c r="M4684" s="460">
        <f t="shared" si="176"/>
        <v>0.05</v>
      </c>
      <c r="N4684" s="464">
        <f t="shared" si="177"/>
        <v>193612</v>
      </c>
    </row>
    <row r="4685" spans="7:14" ht="11.25" customHeight="1" x14ac:dyDescent="0.3">
      <c r="G4685" s="459"/>
      <c r="H4685" s="459">
        <v>4678</v>
      </c>
      <c r="I4685" s="444">
        <f t="shared" ca="1" si="175"/>
        <v>-94732759648143.078</v>
      </c>
      <c r="J4685" s="444">
        <f t="array" ref="J4685">IFERROR(INDEX('Retirement Calculator'!K:K,MATCH('Lorri 401b'!N4685,'Retirement Calculator'!A:A,0),0),0)</f>
        <v>0</v>
      </c>
      <c r="K4685" s="444">
        <f t="shared" ca="1" si="173"/>
        <v>-394719831867.26282</v>
      </c>
      <c r="L4685" s="444">
        <f t="shared" ca="1" si="174"/>
        <v>-95127479480010.344</v>
      </c>
      <c r="M4685" s="460">
        <f t="shared" si="176"/>
        <v>0.05</v>
      </c>
      <c r="N4685" s="464">
        <f t="shared" si="177"/>
        <v>193640</v>
      </c>
    </row>
    <row r="4686" spans="7:14" ht="11.25" customHeight="1" x14ac:dyDescent="0.3">
      <c r="G4686" s="459"/>
      <c r="H4686" s="459">
        <v>4679</v>
      </c>
      <c r="I4686" s="444">
        <f t="shared" ca="1" si="175"/>
        <v>-95127479480010.344</v>
      </c>
      <c r="J4686" s="444">
        <f t="array" ref="J4686">IFERROR(INDEX('Retirement Calculator'!K:K,MATCH('Lorri 401b'!N4686,'Retirement Calculator'!A:A,0),0),0)</f>
        <v>0</v>
      </c>
      <c r="K4686" s="444">
        <f t="shared" ca="1" si="173"/>
        <v>-396364497833.3764</v>
      </c>
      <c r="L4686" s="444">
        <f t="shared" ca="1" si="174"/>
        <v>-95523843977843.719</v>
      </c>
      <c r="M4686" s="460">
        <f t="shared" si="176"/>
        <v>0.05</v>
      </c>
      <c r="N4686" s="464">
        <f t="shared" si="177"/>
        <v>193671</v>
      </c>
    </row>
    <row r="4687" spans="7:14" ht="11.25" customHeight="1" x14ac:dyDescent="0.3">
      <c r="G4687" s="459"/>
      <c r="H4687" s="459">
        <v>4680</v>
      </c>
      <c r="I4687" s="444">
        <f t="shared" ca="1" si="175"/>
        <v>-95523843977843.719</v>
      </c>
      <c r="J4687" s="444">
        <f t="array" ref="J4687">IFERROR(INDEX('Retirement Calculator'!K:K,MATCH('Lorri 401b'!N4687,'Retirement Calculator'!A:A,0),0),0)</f>
        <v>0</v>
      </c>
      <c r="K4687" s="444">
        <f t="shared" ca="1" si="173"/>
        <v>-398016016574.34882</v>
      </c>
      <c r="L4687" s="444">
        <f t="shared" ca="1" si="174"/>
        <v>-95921859994418.063</v>
      </c>
      <c r="M4687" s="460">
        <f t="shared" si="176"/>
        <v>0.05</v>
      </c>
      <c r="N4687" s="464">
        <f t="shared" si="177"/>
        <v>193701</v>
      </c>
    </row>
    <row r="4688" spans="7:14" ht="11.25" customHeight="1" x14ac:dyDescent="0.3">
      <c r="G4688" s="459"/>
      <c r="H4688" s="459">
        <v>4681</v>
      </c>
      <c r="I4688" s="444">
        <f t="shared" ca="1" si="175"/>
        <v>-95921859994418.063</v>
      </c>
      <c r="J4688" s="444">
        <f t="array" ref="J4688">IFERROR(INDEX('Retirement Calculator'!K:K,MATCH('Lorri 401b'!N4688,'Retirement Calculator'!A:A,0),0),0)</f>
        <v>0</v>
      </c>
      <c r="K4688" s="444">
        <f t="shared" ca="1" si="173"/>
        <v>-399674416643.40857</v>
      </c>
      <c r="L4688" s="444">
        <f t="shared" ca="1" si="174"/>
        <v>-96321534411061.469</v>
      </c>
      <c r="M4688" s="460">
        <f t="shared" si="176"/>
        <v>0.05</v>
      </c>
      <c r="N4688" s="464">
        <f t="shared" si="177"/>
        <v>193732</v>
      </c>
    </row>
    <row r="4689" spans="7:14" ht="11.25" customHeight="1" x14ac:dyDescent="0.3">
      <c r="G4689" s="459"/>
      <c r="H4689" s="459">
        <v>4682</v>
      </c>
      <c r="I4689" s="444">
        <f t="shared" ca="1" si="175"/>
        <v>-96321534411061.469</v>
      </c>
      <c r="J4689" s="444">
        <f t="array" ref="J4689">IFERROR(INDEX('Retirement Calculator'!K:K,MATCH('Lorri 401b'!N4689,'Retirement Calculator'!A:A,0),0),0)</f>
        <v>0</v>
      </c>
      <c r="K4689" s="444">
        <f t="shared" ca="1" si="173"/>
        <v>-401339726712.7561</v>
      </c>
      <c r="L4689" s="444">
        <f t="shared" ca="1" si="174"/>
        <v>-96722874137774.219</v>
      </c>
      <c r="M4689" s="460">
        <f t="shared" si="176"/>
        <v>0.05</v>
      </c>
      <c r="N4689" s="464">
        <f t="shared" si="177"/>
        <v>193762</v>
      </c>
    </row>
    <row r="4690" spans="7:14" ht="11.25" customHeight="1" x14ac:dyDescent="0.3">
      <c r="G4690" s="459"/>
      <c r="H4690" s="459">
        <v>4683</v>
      </c>
      <c r="I4690" s="444">
        <f t="shared" ca="1" si="175"/>
        <v>-96722874137774.219</v>
      </c>
      <c r="J4690" s="444">
        <f t="array" ref="J4690">IFERROR(INDEX('Retirement Calculator'!K:K,MATCH('Lorri 401b'!N4690,'Retirement Calculator'!A:A,0),0),0)</f>
        <v>0</v>
      </c>
      <c r="K4690" s="444">
        <f t="shared" ca="1" si="173"/>
        <v>-403011975574.05927</v>
      </c>
      <c r="L4690" s="444">
        <f t="shared" ca="1" si="174"/>
        <v>-97125886113348.281</v>
      </c>
      <c r="M4690" s="460">
        <f t="shared" si="176"/>
        <v>0.05</v>
      </c>
      <c r="N4690" s="464">
        <f t="shared" si="177"/>
        <v>193793</v>
      </c>
    </row>
    <row r="4691" spans="7:14" ht="11.25" customHeight="1" x14ac:dyDescent="0.3">
      <c r="G4691" s="459"/>
      <c r="H4691" s="459">
        <v>4684</v>
      </c>
      <c r="I4691" s="444">
        <f t="shared" ca="1" si="175"/>
        <v>-97125886113348.281</v>
      </c>
      <c r="J4691" s="444">
        <f t="array" ref="J4691">IFERROR(INDEX('Retirement Calculator'!K:K,MATCH('Lorri 401b'!N4691,'Retirement Calculator'!A:A,0),0),0)</f>
        <v>0</v>
      </c>
      <c r="K4691" s="444">
        <f t="shared" ca="1" si="173"/>
        <v>-404691192138.95117</v>
      </c>
      <c r="L4691" s="444">
        <f t="shared" ca="1" si="174"/>
        <v>-97530577305487.234</v>
      </c>
      <c r="M4691" s="460">
        <f t="shared" si="176"/>
        <v>0.05</v>
      </c>
      <c r="N4691" s="464">
        <f t="shared" si="177"/>
        <v>193824</v>
      </c>
    </row>
    <row r="4692" spans="7:14" ht="11.25" customHeight="1" x14ac:dyDescent="0.3">
      <c r="G4692" s="459"/>
      <c r="H4692" s="459">
        <v>4685</v>
      </c>
      <c r="I4692" s="444">
        <f t="shared" ca="1" si="175"/>
        <v>-97530577305487.234</v>
      </c>
      <c r="J4692" s="444">
        <f t="array" ref="J4692">IFERROR(INDEX('Retirement Calculator'!K:K,MATCH('Lorri 401b'!N4692,'Retirement Calculator'!A:A,0),0),0)</f>
        <v>0</v>
      </c>
      <c r="K4692" s="444">
        <f t="shared" ca="1" si="173"/>
        <v>-406377405439.53015</v>
      </c>
      <c r="L4692" s="444">
        <f t="shared" ca="1" si="174"/>
        <v>-97936954710926.766</v>
      </c>
      <c r="M4692" s="460">
        <f t="shared" si="176"/>
        <v>0.05</v>
      </c>
      <c r="N4692" s="464">
        <f t="shared" si="177"/>
        <v>193854</v>
      </c>
    </row>
    <row r="4693" spans="7:14" ht="11.25" customHeight="1" x14ac:dyDescent="0.3">
      <c r="G4693" s="459"/>
      <c r="H4693" s="459">
        <v>4686</v>
      </c>
      <c r="I4693" s="444">
        <f t="shared" ca="1" si="175"/>
        <v>-97936954710926.766</v>
      </c>
      <c r="J4693" s="444">
        <f t="array" ref="J4693">IFERROR(INDEX('Retirement Calculator'!K:K,MATCH('Lorri 401b'!N4693,'Retirement Calculator'!A:A,0),0),0)</f>
        <v>0</v>
      </c>
      <c r="K4693" s="444">
        <f t="shared" ca="1" si="173"/>
        <v>-408070644628.86151</v>
      </c>
      <c r="L4693" s="444">
        <f t="shared" ca="1" si="174"/>
        <v>-98345025355555.625</v>
      </c>
      <c r="M4693" s="460">
        <f t="shared" si="176"/>
        <v>0.05</v>
      </c>
      <c r="N4693" s="464">
        <f t="shared" si="177"/>
        <v>193885</v>
      </c>
    </row>
    <row r="4694" spans="7:14" ht="11.25" customHeight="1" x14ac:dyDescent="0.3">
      <c r="G4694" s="459"/>
      <c r="H4694" s="459">
        <v>4687</v>
      </c>
      <c r="I4694" s="444">
        <f t="shared" ca="1" si="175"/>
        <v>-98345025355555.625</v>
      </c>
      <c r="J4694" s="444">
        <f t="array" ref="J4694">IFERROR(INDEX('Retirement Calculator'!K:K,MATCH('Lorri 401b'!N4694,'Retirement Calculator'!A:A,0),0),0)</f>
        <v>0</v>
      </c>
      <c r="K4694" s="444">
        <f t="shared" ca="1" si="173"/>
        <v>-409770938981.48175</v>
      </c>
      <c r="L4694" s="444">
        <f t="shared" ca="1" si="174"/>
        <v>-98754796294537.109</v>
      </c>
      <c r="M4694" s="460">
        <f t="shared" si="176"/>
        <v>0.05</v>
      </c>
      <c r="N4694" s="464">
        <f t="shared" si="177"/>
        <v>193915</v>
      </c>
    </row>
    <row r="4695" spans="7:14" ht="11.25" customHeight="1" x14ac:dyDescent="0.3">
      <c r="G4695" s="459"/>
      <c r="H4695" s="459">
        <v>4688</v>
      </c>
      <c r="I4695" s="444">
        <f t="shared" ca="1" si="175"/>
        <v>-98754796294537.109</v>
      </c>
      <c r="J4695" s="444">
        <f t="array" ref="J4695">IFERROR(INDEX('Retirement Calculator'!K:K,MATCH('Lorri 401b'!N4695,'Retirement Calculator'!A:A,0),0),0)</f>
        <v>0</v>
      </c>
      <c r="K4695" s="444">
        <f t="shared" ca="1" si="173"/>
        <v>-411478317893.9046</v>
      </c>
      <c r="L4695" s="444">
        <f t="shared" ca="1" si="174"/>
        <v>-99166274612431.016</v>
      </c>
      <c r="M4695" s="460">
        <f t="shared" si="176"/>
        <v>0.05</v>
      </c>
      <c r="N4695" s="464">
        <f t="shared" si="177"/>
        <v>193946</v>
      </c>
    </row>
    <row r="4696" spans="7:14" ht="11.25" customHeight="1" x14ac:dyDescent="0.3">
      <c r="G4696" s="459"/>
      <c r="H4696" s="459">
        <v>4689</v>
      </c>
      <c r="I4696" s="444">
        <f t="shared" ca="1" si="175"/>
        <v>-99166274612431.016</v>
      </c>
      <c r="J4696" s="444">
        <f t="array" ref="J4696">IFERROR(INDEX('Retirement Calculator'!K:K,MATCH('Lorri 401b'!N4696,'Retirement Calculator'!A:A,0),0),0)</f>
        <v>0</v>
      </c>
      <c r="K4696" s="444">
        <f t="shared" ca="1" si="173"/>
        <v>-413192810885.12921</v>
      </c>
      <c r="L4696" s="444">
        <f t="shared" ca="1" si="174"/>
        <v>-99579467423316.141</v>
      </c>
      <c r="M4696" s="460">
        <f t="shared" si="176"/>
        <v>0.05</v>
      </c>
      <c r="N4696" s="464">
        <f t="shared" si="177"/>
        <v>193977</v>
      </c>
    </row>
    <row r="4697" spans="7:14" ht="11.25" customHeight="1" x14ac:dyDescent="0.3">
      <c r="G4697" s="459"/>
      <c r="H4697" s="459">
        <v>4690</v>
      </c>
      <c r="I4697" s="444">
        <f t="shared" ca="1" si="175"/>
        <v>-99579467423316.141</v>
      </c>
      <c r="J4697" s="444">
        <f t="array" ref="J4697">IFERROR(INDEX('Retirement Calculator'!K:K,MATCH('Lorri 401b'!N4697,'Retirement Calculator'!A:A,0),0),0)</f>
        <v>0</v>
      </c>
      <c r="K4697" s="444">
        <f t="shared" ca="1" si="173"/>
        <v>-414914447597.15057</v>
      </c>
      <c r="L4697" s="444">
        <f t="shared" ca="1" si="174"/>
        <v>-99994381870913.297</v>
      </c>
      <c r="M4697" s="460">
        <f t="shared" si="176"/>
        <v>0.05</v>
      </c>
      <c r="N4697" s="464">
        <f t="shared" si="177"/>
        <v>194005</v>
      </c>
    </row>
    <row r="4698" spans="7:14" ht="11.25" customHeight="1" x14ac:dyDescent="0.3">
      <c r="G4698" s="459"/>
      <c r="H4698" s="459">
        <v>4691</v>
      </c>
      <c r="I4698" s="444">
        <f t="shared" ca="1" si="175"/>
        <v>-99994381870913.297</v>
      </c>
      <c r="J4698" s="444">
        <f t="array" ref="J4698">IFERROR(INDEX('Retirement Calculator'!K:K,MATCH('Lorri 401b'!N4698,'Retirement Calculator'!A:A,0),0),0)</f>
        <v>0</v>
      </c>
      <c r="K4698" s="444">
        <f t="shared" ca="1" si="173"/>
        <v>-416643257795.47205</v>
      </c>
      <c r="L4698" s="444">
        <f t="shared" ca="1" si="174"/>
        <v>-100411025128708.77</v>
      </c>
      <c r="M4698" s="460">
        <f t="shared" si="176"/>
        <v>0.05</v>
      </c>
      <c r="N4698" s="464">
        <f t="shared" si="177"/>
        <v>194036</v>
      </c>
    </row>
    <row r="4699" spans="7:14" ht="11.25" customHeight="1" x14ac:dyDescent="0.3">
      <c r="G4699" s="459"/>
      <c r="H4699" s="459">
        <v>4692</v>
      </c>
      <c r="I4699" s="444">
        <f t="shared" ca="1" si="175"/>
        <v>-100411025128708.77</v>
      </c>
      <c r="J4699" s="444">
        <f t="array" ref="J4699">IFERROR(INDEX('Retirement Calculator'!K:K,MATCH('Lorri 401b'!N4699,'Retirement Calculator'!A:A,0),0),0)</f>
        <v>0</v>
      </c>
      <c r="K4699" s="444">
        <f t="shared" ca="1" si="173"/>
        <v>-418379271369.61987</v>
      </c>
      <c r="L4699" s="444">
        <f t="shared" ca="1" si="174"/>
        <v>-100829404400078.39</v>
      </c>
      <c r="M4699" s="460">
        <f t="shared" si="176"/>
        <v>0.05</v>
      </c>
      <c r="N4699" s="464">
        <f t="shared" si="177"/>
        <v>194066</v>
      </c>
    </row>
    <row r="4700" spans="7:14" ht="11.25" customHeight="1" x14ac:dyDescent="0.3">
      <c r="G4700" s="459"/>
      <c r="H4700" s="459">
        <v>4693</v>
      </c>
      <c r="I4700" s="444">
        <f t="shared" ca="1" si="175"/>
        <v>-100829404400078.39</v>
      </c>
      <c r="J4700" s="444">
        <f t="array" ref="J4700">IFERROR(INDEX('Retirement Calculator'!K:K,MATCH('Lorri 401b'!N4700,'Retirement Calculator'!A:A,0),0),0)</f>
        <v>0</v>
      </c>
      <c r="K4700" s="444">
        <f t="shared" ca="1" si="173"/>
        <v>-420122518333.65997</v>
      </c>
      <c r="L4700" s="444">
        <f t="shared" ca="1" si="174"/>
        <v>-101249526918412.05</v>
      </c>
      <c r="M4700" s="460">
        <f t="shared" si="176"/>
        <v>0.05</v>
      </c>
      <c r="N4700" s="464">
        <f t="shared" si="177"/>
        <v>194097</v>
      </c>
    </row>
    <row r="4701" spans="7:14" ht="11.25" customHeight="1" x14ac:dyDescent="0.3">
      <c r="G4701" s="459"/>
      <c r="H4701" s="459">
        <v>4694</v>
      </c>
      <c r="I4701" s="444">
        <f t="shared" ca="1" si="175"/>
        <v>-101249526918412.05</v>
      </c>
      <c r="J4701" s="444">
        <f t="array" ref="J4701">IFERROR(INDEX('Retirement Calculator'!K:K,MATCH('Lorri 401b'!N4701,'Retirement Calculator'!A:A,0),0),0)</f>
        <v>0</v>
      </c>
      <c r="K4701" s="444">
        <f t="shared" ca="1" si="173"/>
        <v>-421873028826.71686</v>
      </c>
      <c r="L4701" s="444">
        <f t="shared" ca="1" si="174"/>
        <v>-101671399947238.77</v>
      </c>
      <c r="M4701" s="460">
        <f t="shared" si="176"/>
        <v>0.05</v>
      </c>
      <c r="N4701" s="464">
        <f t="shared" si="177"/>
        <v>194127</v>
      </c>
    </row>
    <row r="4702" spans="7:14" ht="11.25" customHeight="1" x14ac:dyDescent="0.3">
      <c r="G4702" s="459"/>
      <c r="H4702" s="459">
        <v>4695</v>
      </c>
      <c r="I4702" s="444">
        <f t="shared" ca="1" si="175"/>
        <v>-101671399947238.77</v>
      </c>
      <c r="J4702" s="444">
        <f t="array" ref="J4702">IFERROR(INDEX('Retirement Calculator'!K:K,MATCH('Lorri 401b'!N4702,'Retirement Calculator'!A:A,0),0),0)</f>
        <v>0</v>
      </c>
      <c r="K4702" s="444">
        <f t="shared" ca="1" si="173"/>
        <v>-423630833113.49487</v>
      </c>
      <c r="L4702" s="444">
        <f t="shared" ca="1" si="174"/>
        <v>-102095030780352.27</v>
      </c>
      <c r="M4702" s="460">
        <f t="shared" si="176"/>
        <v>0.05</v>
      </c>
      <c r="N4702" s="464">
        <f t="shared" si="177"/>
        <v>194158</v>
      </c>
    </row>
    <row r="4703" spans="7:14" ht="11.25" customHeight="1" x14ac:dyDescent="0.3">
      <c r="G4703" s="459"/>
      <c r="H4703" s="459">
        <v>4696</v>
      </c>
      <c r="I4703" s="444">
        <f t="shared" ca="1" si="175"/>
        <v>-102095030780352.27</v>
      </c>
      <c r="J4703" s="444">
        <f t="array" ref="J4703">IFERROR(INDEX('Retirement Calculator'!K:K,MATCH('Lorri 401b'!N4703,'Retirement Calculator'!A:A,0),0),0)</f>
        <v>0</v>
      </c>
      <c r="K4703" s="444">
        <f t="shared" ca="1" si="173"/>
        <v>-425395961584.80109</v>
      </c>
      <c r="L4703" s="444">
        <f t="shared" ca="1" si="174"/>
        <v>-102520426741937.06</v>
      </c>
      <c r="M4703" s="460">
        <f t="shared" si="176"/>
        <v>0.05</v>
      </c>
      <c r="N4703" s="464">
        <f t="shared" si="177"/>
        <v>194189</v>
      </c>
    </row>
    <row r="4704" spans="7:14" ht="11.25" customHeight="1" x14ac:dyDescent="0.3">
      <c r="G4704" s="459"/>
      <c r="H4704" s="459">
        <v>4697</v>
      </c>
      <c r="I4704" s="444">
        <f t="shared" ca="1" si="175"/>
        <v>-102520426741937.06</v>
      </c>
      <c r="J4704" s="444">
        <f t="array" ref="J4704">IFERROR(INDEX('Retirement Calculator'!K:K,MATCH('Lorri 401b'!N4704,'Retirement Calculator'!A:A,0),0),0)</f>
        <v>0</v>
      </c>
      <c r="K4704" s="444">
        <f t="shared" ca="1" si="173"/>
        <v>-427168444758.07111</v>
      </c>
      <c r="L4704" s="444">
        <f t="shared" ca="1" si="174"/>
        <v>-102947595186695.14</v>
      </c>
      <c r="M4704" s="460">
        <f t="shared" si="176"/>
        <v>0.05</v>
      </c>
      <c r="N4704" s="464">
        <f t="shared" si="177"/>
        <v>194219</v>
      </c>
    </row>
    <row r="4705" spans="7:14" ht="11.25" customHeight="1" x14ac:dyDescent="0.3">
      <c r="G4705" s="459"/>
      <c r="H4705" s="459">
        <v>4698</v>
      </c>
      <c r="I4705" s="444">
        <f t="shared" ca="1" si="175"/>
        <v>-102947595186695.14</v>
      </c>
      <c r="J4705" s="444">
        <f t="array" ref="J4705">IFERROR(INDEX('Retirement Calculator'!K:K,MATCH('Lorri 401b'!N4705,'Retirement Calculator'!A:A,0),0),0)</f>
        <v>0</v>
      </c>
      <c r="K4705" s="444">
        <f t="shared" ca="1" si="173"/>
        <v>-428948313277.89642</v>
      </c>
      <c r="L4705" s="444">
        <f t="shared" ca="1" si="174"/>
        <v>-103376543499973.03</v>
      </c>
      <c r="M4705" s="460">
        <f t="shared" si="176"/>
        <v>0.05</v>
      </c>
      <c r="N4705" s="464">
        <f t="shared" si="177"/>
        <v>194250</v>
      </c>
    </row>
    <row r="4706" spans="7:14" ht="11.25" customHeight="1" x14ac:dyDescent="0.3">
      <c r="G4706" s="459"/>
      <c r="H4706" s="459">
        <v>4699</v>
      </c>
      <c r="I4706" s="444">
        <f t="shared" ca="1" si="175"/>
        <v>-103376543499973.03</v>
      </c>
      <c r="J4706" s="444">
        <f t="array" ref="J4706">IFERROR(INDEX('Retirement Calculator'!K:K,MATCH('Lorri 401b'!N4706,'Retirement Calculator'!A:A,0),0),0)</f>
        <v>0</v>
      </c>
      <c r="K4706" s="444">
        <f t="shared" ca="1" si="173"/>
        <v>-430735597916.55432</v>
      </c>
      <c r="L4706" s="444">
        <f t="shared" ca="1" si="174"/>
        <v>-103807279097889.58</v>
      </c>
      <c r="M4706" s="460">
        <f t="shared" si="176"/>
        <v>0.05</v>
      </c>
      <c r="N4706" s="464">
        <f t="shared" si="177"/>
        <v>194280</v>
      </c>
    </row>
    <row r="4707" spans="7:14" ht="11.25" customHeight="1" x14ac:dyDescent="0.3">
      <c r="G4707" s="459"/>
      <c r="H4707" s="459">
        <v>4700</v>
      </c>
      <c r="I4707" s="444">
        <f t="shared" ca="1" si="175"/>
        <v>-103807279097889.58</v>
      </c>
      <c r="J4707" s="444">
        <f t="array" ref="J4707">IFERROR(INDEX('Retirement Calculator'!K:K,MATCH('Lorri 401b'!N4707,'Retirement Calculator'!A:A,0),0),0)</f>
        <v>0</v>
      </c>
      <c r="K4707" s="444">
        <f t="shared" ca="1" si="173"/>
        <v>-432530329574.53992</v>
      </c>
      <c r="L4707" s="444">
        <f t="shared" ca="1" si="174"/>
        <v>-104239809427464.13</v>
      </c>
      <c r="M4707" s="460">
        <f t="shared" si="176"/>
        <v>0.05</v>
      </c>
      <c r="N4707" s="464">
        <f t="shared" si="177"/>
        <v>194311</v>
      </c>
    </row>
    <row r="4708" spans="7:14" ht="11.25" customHeight="1" x14ac:dyDescent="0.3">
      <c r="G4708" s="459"/>
      <c r="H4708" s="459">
        <v>4701</v>
      </c>
      <c r="I4708" s="444">
        <f t="shared" ca="1" si="175"/>
        <v>-104239809427464.13</v>
      </c>
      <c r="J4708" s="444">
        <f t="array" ref="J4708">IFERROR(INDEX('Retirement Calculator'!K:K,MATCH('Lorri 401b'!N4708,'Retirement Calculator'!A:A,0),0),0)</f>
        <v>0</v>
      </c>
      <c r="K4708" s="444">
        <f t="shared" ca="1" si="173"/>
        <v>-434332539281.10052</v>
      </c>
      <c r="L4708" s="444">
        <f t="shared" ca="1" si="174"/>
        <v>-104674141966745.22</v>
      </c>
      <c r="M4708" s="460">
        <f t="shared" si="176"/>
        <v>0.05</v>
      </c>
      <c r="N4708" s="464">
        <f t="shared" si="177"/>
        <v>194342</v>
      </c>
    </row>
    <row r="4709" spans="7:14" ht="11.25" customHeight="1" x14ac:dyDescent="0.3">
      <c r="G4709" s="459"/>
      <c r="H4709" s="459">
        <v>4702</v>
      </c>
      <c r="I4709" s="444">
        <f t="shared" ca="1" si="175"/>
        <v>-104674141966745.22</v>
      </c>
      <c r="J4709" s="444">
        <f t="array" ref="J4709">IFERROR(INDEX('Retirement Calculator'!K:K,MATCH('Lorri 401b'!N4709,'Retirement Calculator'!A:A,0),0),0)</f>
        <v>0</v>
      </c>
      <c r="K4709" s="444">
        <f t="shared" ca="1" si="173"/>
        <v>-436142258194.77173</v>
      </c>
      <c r="L4709" s="444">
        <f t="shared" ca="1" si="174"/>
        <v>-105110284224939.98</v>
      </c>
      <c r="M4709" s="460">
        <f t="shared" si="176"/>
        <v>0.05</v>
      </c>
      <c r="N4709" s="464">
        <f t="shared" si="177"/>
        <v>194371</v>
      </c>
    </row>
    <row r="4710" spans="7:14" ht="11.25" customHeight="1" x14ac:dyDescent="0.3">
      <c r="G4710" s="459"/>
      <c r="H4710" s="459">
        <v>4703</v>
      </c>
      <c r="I4710" s="444">
        <f t="shared" ca="1" si="175"/>
        <v>-105110284224939.98</v>
      </c>
      <c r="J4710" s="444">
        <f t="array" ref="J4710">IFERROR(INDEX('Retirement Calculator'!K:K,MATCH('Lorri 401b'!N4710,'Retirement Calculator'!A:A,0),0),0)</f>
        <v>0</v>
      </c>
      <c r="K4710" s="444">
        <f t="shared" ca="1" si="173"/>
        <v>-437959517603.91663</v>
      </c>
      <c r="L4710" s="444">
        <f t="shared" ca="1" si="174"/>
        <v>-105548243742543.91</v>
      </c>
      <c r="M4710" s="460">
        <f t="shared" si="176"/>
        <v>0.05</v>
      </c>
      <c r="N4710" s="464">
        <f t="shared" si="177"/>
        <v>194402</v>
      </c>
    </row>
    <row r="4711" spans="7:14" ht="11.25" customHeight="1" x14ac:dyDescent="0.3">
      <c r="G4711" s="459"/>
      <c r="H4711" s="459">
        <v>4704</v>
      </c>
      <c r="I4711" s="444">
        <f t="shared" ca="1" si="175"/>
        <v>-105548243742543.91</v>
      </c>
      <c r="J4711" s="444">
        <f t="array" ref="J4711">IFERROR(INDEX('Retirement Calculator'!K:K,MATCH('Lorri 401b'!N4711,'Retirement Calculator'!A:A,0),0),0)</f>
        <v>0</v>
      </c>
      <c r="K4711" s="444">
        <f t="shared" ca="1" si="173"/>
        <v>-439784348927.2663</v>
      </c>
      <c r="L4711" s="444">
        <f t="shared" ca="1" si="174"/>
        <v>-105988028091471.17</v>
      </c>
      <c r="M4711" s="460">
        <f t="shared" si="176"/>
        <v>0.05</v>
      </c>
      <c r="N4711" s="464">
        <f t="shared" si="177"/>
        <v>194432</v>
      </c>
    </row>
    <row r="4712" spans="7:14" ht="11.25" customHeight="1" x14ac:dyDescent="0.3">
      <c r="G4712" s="459"/>
      <c r="H4712" s="459">
        <v>4705</v>
      </c>
      <c r="I4712" s="444">
        <f t="shared" ca="1" si="175"/>
        <v>-105988028091471.17</v>
      </c>
      <c r="J4712" s="444">
        <f t="array" ref="J4712">IFERROR(INDEX('Retirement Calculator'!K:K,MATCH('Lorri 401b'!N4712,'Retirement Calculator'!A:A,0),0),0)</f>
        <v>0</v>
      </c>
      <c r="K4712" s="444">
        <f t="shared" ca="1" si="173"/>
        <v>-441616783714.4632</v>
      </c>
      <c r="L4712" s="444">
        <f t="shared" ca="1" si="174"/>
        <v>-106429644875185.64</v>
      </c>
      <c r="M4712" s="460">
        <f t="shared" si="176"/>
        <v>0.05</v>
      </c>
      <c r="N4712" s="464">
        <f t="shared" si="177"/>
        <v>194463</v>
      </c>
    </row>
    <row r="4713" spans="7:14" ht="11.25" customHeight="1" x14ac:dyDescent="0.3">
      <c r="G4713" s="459"/>
      <c r="H4713" s="459">
        <v>4706</v>
      </c>
      <c r="I4713" s="444">
        <f t="shared" ca="1" si="175"/>
        <v>-106429644875185.64</v>
      </c>
      <c r="J4713" s="444">
        <f t="array" ref="J4713">IFERROR(INDEX('Retirement Calculator'!K:K,MATCH('Lorri 401b'!N4713,'Retirement Calculator'!A:A,0),0),0)</f>
        <v>0</v>
      </c>
      <c r="K4713" s="444">
        <f t="shared" ca="1" si="173"/>
        <v>-443456853646.60681</v>
      </c>
      <c r="L4713" s="444">
        <f t="shared" ca="1" si="174"/>
        <v>-106873101728832.25</v>
      </c>
      <c r="M4713" s="460">
        <f t="shared" si="176"/>
        <v>0.05</v>
      </c>
      <c r="N4713" s="464">
        <f t="shared" si="177"/>
        <v>194493</v>
      </c>
    </row>
    <row r="4714" spans="7:14" ht="11.25" customHeight="1" x14ac:dyDescent="0.3">
      <c r="G4714" s="459"/>
      <c r="H4714" s="459">
        <v>4707</v>
      </c>
      <c r="I4714" s="444">
        <f t="shared" ca="1" si="175"/>
        <v>-106873101728832.25</v>
      </c>
      <c r="J4714" s="444">
        <f t="array" ref="J4714">IFERROR(INDEX('Retirement Calculator'!K:K,MATCH('Lorri 401b'!N4714,'Retirement Calculator'!A:A,0),0),0)</f>
        <v>0</v>
      </c>
      <c r="K4714" s="444">
        <f t="shared" ca="1" si="173"/>
        <v>-445304590536.80103</v>
      </c>
      <c r="L4714" s="444">
        <f t="shared" ca="1" si="174"/>
        <v>-107318406319369.05</v>
      </c>
      <c r="M4714" s="460">
        <f t="shared" si="176"/>
        <v>0.05</v>
      </c>
      <c r="N4714" s="464">
        <f t="shared" si="177"/>
        <v>194524</v>
      </c>
    </row>
    <row r="4715" spans="7:14" ht="11.25" customHeight="1" x14ac:dyDescent="0.3">
      <c r="G4715" s="459"/>
      <c r="H4715" s="459">
        <v>4708</v>
      </c>
      <c r="I4715" s="444">
        <f t="shared" ca="1" si="175"/>
        <v>-107318406319369.05</v>
      </c>
      <c r="J4715" s="444">
        <f t="array" ref="J4715">IFERROR(INDEX('Retirement Calculator'!K:K,MATCH('Lorri 401b'!N4715,'Retirement Calculator'!A:A,0),0),0)</f>
        <v>0</v>
      </c>
      <c r="K4715" s="444">
        <f t="shared" ca="1" si="173"/>
        <v>-447160026330.70435</v>
      </c>
      <c r="L4715" s="444">
        <f t="shared" ca="1" si="174"/>
        <v>-107765566345699.75</v>
      </c>
      <c r="M4715" s="460">
        <f t="shared" si="176"/>
        <v>0.05</v>
      </c>
      <c r="N4715" s="464">
        <f t="shared" si="177"/>
        <v>194555</v>
      </c>
    </row>
    <row r="4716" spans="7:14" ht="11.25" customHeight="1" x14ac:dyDescent="0.3">
      <c r="G4716" s="459"/>
      <c r="H4716" s="459">
        <v>4709</v>
      </c>
      <c r="I4716" s="444">
        <f t="shared" ca="1" si="175"/>
        <v>-107765566345699.75</v>
      </c>
      <c r="J4716" s="444">
        <f t="array" ref="J4716">IFERROR(INDEX('Retirement Calculator'!K:K,MATCH('Lorri 401b'!N4716,'Retirement Calculator'!A:A,0),0),0)</f>
        <v>0</v>
      </c>
      <c r="K4716" s="444">
        <f t="shared" ca="1" si="173"/>
        <v>-449023193107.08228</v>
      </c>
      <c r="L4716" s="444">
        <f t="shared" ca="1" si="174"/>
        <v>-108214589538806.83</v>
      </c>
      <c r="M4716" s="460">
        <f t="shared" si="176"/>
        <v>0.05</v>
      </c>
      <c r="N4716" s="464">
        <f t="shared" si="177"/>
        <v>194585</v>
      </c>
    </row>
    <row r="4717" spans="7:14" ht="11.25" customHeight="1" x14ac:dyDescent="0.3">
      <c r="G4717" s="459"/>
      <c r="H4717" s="459">
        <v>4710</v>
      </c>
      <c r="I4717" s="444">
        <f t="shared" ca="1" si="175"/>
        <v>-108214589538806.83</v>
      </c>
      <c r="J4717" s="444">
        <f t="array" ref="J4717">IFERROR(INDEX('Retirement Calculator'!K:K,MATCH('Lorri 401b'!N4717,'Retirement Calculator'!A:A,0),0),0)</f>
        <v>0</v>
      </c>
      <c r="K4717" s="444">
        <f t="shared" ca="1" si="173"/>
        <v>-450894123078.36176</v>
      </c>
      <c r="L4717" s="444">
        <f t="shared" ca="1" si="174"/>
        <v>-108665483661885.19</v>
      </c>
      <c r="M4717" s="460">
        <f t="shared" si="176"/>
        <v>0.05</v>
      </c>
      <c r="N4717" s="464">
        <f t="shared" si="177"/>
        <v>194616</v>
      </c>
    </row>
    <row r="4718" spans="7:14" ht="11.25" customHeight="1" x14ac:dyDescent="0.3">
      <c r="G4718" s="459"/>
      <c r="H4718" s="459">
        <v>4711</v>
      </c>
      <c r="I4718" s="444">
        <f t="shared" ca="1" si="175"/>
        <v>-108665483661885.19</v>
      </c>
      <c r="J4718" s="444">
        <f t="array" ref="J4718">IFERROR(INDEX('Retirement Calculator'!K:K,MATCH('Lorri 401b'!N4718,'Retirement Calculator'!A:A,0),0),0)</f>
        <v>0</v>
      </c>
      <c r="K4718" s="444">
        <f t="shared" ca="1" si="173"/>
        <v>-452772848591.18829</v>
      </c>
      <c r="L4718" s="444">
        <f t="shared" ca="1" si="174"/>
        <v>-109118256510476.38</v>
      </c>
      <c r="M4718" s="460">
        <f t="shared" si="176"/>
        <v>0.05</v>
      </c>
      <c r="N4718" s="464">
        <f t="shared" si="177"/>
        <v>194646</v>
      </c>
    </row>
    <row r="4719" spans="7:14" ht="11.25" customHeight="1" x14ac:dyDescent="0.3">
      <c r="G4719" s="459"/>
      <c r="H4719" s="459">
        <v>4712</v>
      </c>
      <c r="I4719" s="444">
        <f t="shared" ca="1" si="175"/>
        <v>-109118256510476.38</v>
      </c>
      <c r="J4719" s="444">
        <f t="array" ref="J4719">IFERROR(INDEX('Retirement Calculator'!K:K,MATCH('Lorri 401b'!N4719,'Retirement Calculator'!A:A,0),0),0)</f>
        <v>0</v>
      </c>
      <c r="K4719" s="444">
        <f t="shared" ca="1" si="173"/>
        <v>-454659402126.98486</v>
      </c>
      <c r="L4719" s="444">
        <f t="shared" ca="1" si="174"/>
        <v>-109572915912603.36</v>
      </c>
      <c r="M4719" s="460">
        <f t="shared" si="176"/>
        <v>0.05</v>
      </c>
      <c r="N4719" s="464">
        <f t="shared" si="177"/>
        <v>194677</v>
      </c>
    </row>
    <row r="4720" spans="7:14" ht="11.25" customHeight="1" x14ac:dyDescent="0.3">
      <c r="G4720" s="459"/>
      <c r="H4720" s="459">
        <v>4713</v>
      </c>
      <c r="I4720" s="444">
        <f t="shared" ca="1" si="175"/>
        <v>-109572915912603.36</v>
      </c>
      <c r="J4720" s="444">
        <f t="array" ref="J4720">IFERROR(INDEX('Retirement Calculator'!K:K,MATCH('Lorri 401b'!N4720,'Retirement Calculator'!A:A,0),0),0)</f>
        <v>0</v>
      </c>
      <c r="K4720" s="444">
        <f t="shared" ca="1" si="173"/>
        <v>-456553816302.51398</v>
      </c>
      <c r="L4720" s="444">
        <f t="shared" ca="1" si="174"/>
        <v>-110029469728905.88</v>
      </c>
      <c r="M4720" s="460">
        <f t="shared" si="176"/>
        <v>0.05</v>
      </c>
      <c r="N4720" s="464">
        <f t="shared" si="177"/>
        <v>194708</v>
      </c>
    </row>
    <row r="4721" spans="7:14" ht="11.25" customHeight="1" x14ac:dyDescent="0.3">
      <c r="G4721" s="459"/>
      <c r="H4721" s="459">
        <v>4714</v>
      </c>
      <c r="I4721" s="444">
        <f t="shared" ca="1" si="175"/>
        <v>-110029469728905.88</v>
      </c>
      <c r="J4721" s="444">
        <f t="array" ref="J4721">IFERROR(INDEX('Retirement Calculator'!K:K,MATCH('Lorri 401b'!N4721,'Retirement Calculator'!A:A,0),0),0)</f>
        <v>0</v>
      </c>
      <c r="K4721" s="444">
        <f t="shared" ca="1" si="173"/>
        <v>-458456123870.4411</v>
      </c>
      <c r="L4721" s="444">
        <f t="shared" ca="1" si="174"/>
        <v>-110487925852776.31</v>
      </c>
      <c r="M4721" s="460">
        <f t="shared" si="176"/>
        <v>0.05</v>
      </c>
      <c r="N4721" s="464">
        <f t="shared" si="177"/>
        <v>194736</v>
      </c>
    </row>
    <row r="4722" spans="7:14" ht="11.25" customHeight="1" x14ac:dyDescent="0.3">
      <c r="G4722" s="459"/>
      <c r="H4722" s="459">
        <v>4715</v>
      </c>
      <c r="I4722" s="444">
        <f t="shared" ca="1" si="175"/>
        <v>-110487925852776.31</v>
      </c>
      <c r="J4722" s="444">
        <f t="array" ref="J4722">IFERROR(INDEX('Retirement Calculator'!K:K,MATCH('Lorri 401b'!N4722,'Retirement Calculator'!A:A,0),0),0)</f>
        <v>0</v>
      </c>
      <c r="K4722" s="444">
        <f t="shared" ca="1" si="173"/>
        <v>-460366357719.90131</v>
      </c>
      <c r="L4722" s="444">
        <f t="shared" ca="1" si="174"/>
        <v>-110948292210496.22</v>
      </c>
      <c r="M4722" s="460">
        <f t="shared" si="176"/>
        <v>0.05</v>
      </c>
      <c r="N4722" s="464">
        <f t="shared" si="177"/>
        <v>194767</v>
      </c>
    </row>
    <row r="4723" spans="7:14" ht="11.25" customHeight="1" x14ac:dyDescent="0.3">
      <c r="G4723" s="459"/>
      <c r="H4723" s="459">
        <v>4716</v>
      </c>
      <c r="I4723" s="444">
        <f t="shared" ca="1" si="175"/>
        <v>-110948292210496.22</v>
      </c>
      <c r="J4723" s="444">
        <f t="array" ref="J4723">IFERROR(INDEX('Retirement Calculator'!K:K,MATCH('Lorri 401b'!N4723,'Retirement Calculator'!A:A,0),0),0)</f>
        <v>0</v>
      </c>
      <c r="K4723" s="444">
        <f t="shared" ca="1" si="173"/>
        <v>-462284550877.06763</v>
      </c>
      <c r="L4723" s="444">
        <f t="shared" ca="1" si="174"/>
        <v>-111410576761373.28</v>
      </c>
      <c r="M4723" s="460">
        <f t="shared" si="176"/>
        <v>0.05</v>
      </c>
      <c r="N4723" s="464">
        <f t="shared" si="177"/>
        <v>194797</v>
      </c>
    </row>
    <row r="4724" spans="7:14" ht="11.25" customHeight="1" x14ac:dyDescent="0.3">
      <c r="G4724" s="459"/>
      <c r="H4724" s="459">
        <v>4717</v>
      </c>
      <c r="I4724" s="444">
        <f t="shared" ca="1" si="175"/>
        <v>-111410576761373.28</v>
      </c>
      <c r="J4724" s="444">
        <f t="array" ref="J4724">IFERROR(INDEX('Retirement Calculator'!K:K,MATCH('Lorri 401b'!N4724,'Retirement Calculator'!A:A,0),0),0)</f>
        <v>0</v>
      </c>
      <c r="K4724" s="444">
        <f t="shared" ca="1" si="173"/>
        <v>-464210736505.72205</v>
      </c>
      <c r="L4724" s="444">
        <f t="shared" ca="1" si="174"/>
        <v>-111874787497879</v>
      </c>
      <c r="M4724" s="460">
        <f t="shared" si="176"/>
        <v>0.05</v>
      </c>
      <c r="N4724" s="464">
        <f t="shared" si="177"/>
        <v>194828</v>
      </c>
    </row>
    <row r="4725" spans="7:14" ht="11.25" customHeight="1" x14ac:dyDescent="0.3">
      <c r="G4725" s="459"/>
      <c r="H4725" s="459">
        <v>4718</v>
      </c>
      <c r="I4725" s="444">
        <f t="shared" ca="1" si="175"/>
        <v>-111874787497879</v>
      </c>
      <c r="J4725" s="444">
        <f t="array" ref="J4725">IFERROR(INDEX('Retirement Calculator'!K:K,MATCH('Lorri 401b'!N4725,'Retirement Calculator'!A:A,0),0),0)</f>
        <v>0</v>
      </c>
      <c r="K4725" s="444">
        <f t="shared" ca="1" si="173"/>
        <v>-466144947907.82916</v>
      </c>
      <c r="L4725" s="444">
        <f t="shared" ca="1" si="174"/>
        <v>-112340932445786.83</v>
      </c>
      <c r="M4725" s="460">
        <f t="shared" si="176"/>
        <v>0.05</v>
      </c>
      <c r="N4725" s="464">
        <f t="shared" si="177"/>
        <v>194858</v>
      </c>
    </row>
    <row r="4726" spans="7:14" ht="11.25" customHeight="1" x14ac:dyDescent="0.3">
      <c r="G4726" s="459"/>
      <c r="H4726" s="459">
        <v>4719</v>
      </c>
      <c r="I4726" s="444">
        <f t="shared" ca="1" si="175"/>
        <v>-112340932445786.83</v>
      </c>
      <c r="J4726" s="444">
        <f t="array" ref="J4726">IFERROR(INDEX('Retirement Calculator'!K:K,MATCH('Lorri 401b'!N4726,'Retirement Calculator'!A:A,0),0),0)</f>
        <v>0</v>
      </c>
      <c r="K4726" s="444">
        <f t="shared" ca="1" si="173"/>
        <v>-468087218524.11176</v>
      </c>
      <c r="L4726" s="444">
        <f t="shared" ca="1" si="174"/>
        <v>-112809019664310.94</v>
      </c>
      <c r="M4726" s="460">
        <f t="shared" si="176"/>
        <v>0.05</v>
      </c>
      <c r="N4726" s="464">
        <f t="shared" si="177"/>
        <v>194889</v>
      </c>
    </row>
    <row r="4727" spans="7:14" ht="11.25" customHeight="1" x14ac:dyDescent="0.3">
      <c r="G4727" s="459"/>
      <c r="H4727" s="459">
        <v>4720</v>
      </c>
      <c r="I4727" s="444">
        <f t="shared" ca="1" si="175"/>
        <v>-112809019664310.94</v>
      </c>
      <c r="J4727" s="444">
        <f t="array" ref="J4727">IFERROR(INDEX('Retirement Calculator'!K:K,MATCH('Lorri 401b'!N4727,'Retirement Calculator'!A:A,0),0),0)</f>
        <v>0</v>
      </c>
      <c r="K4727" s="444">
        <f t="shared" ca="1" si="173"/>
        <v>-470037581934.62891</v>
      </c>
      <c r="L4727" s="444">
        <f t="shared" ca="1" si="174"/>
        <v>-113279057246245.56</v>
      </c>
      <c r="M4727" s="460">
        <f t="shared" si="176"/>
        <v>0.05</v>
      </c>
      <c r="N4727" s="464">
        <f t="shared" si="177"/>
        <v>194920</v>
      </c>
    </row>
    <row r="4728" spans="7:14" ht="11.25" customHeight="1" x14ac:dyDescent="0.3">
      <c r="G4728" s="459"/>
      <c r="H4728" s="459">
        <v>4721</v>
      </c>
      <c r="I4728" s="444">
        <f t="shared" ca="1" si="175"/>
        <v>-113279057246245.56</v>
      </c>
      <c r="J4728" s="444">
        <f t="array" ref="J4728">IFERROR(INDEX('Retirement Calculator'!K:K,MATCH('Lorri 401b'!N4728,'Retirement Calculator'!A:A,0),0),0)</f>
        <v>0</v>
      </c>
      <c r="K4728" s="444">
        <f t="shared" ca="1" si="173"/>
        <v>-471996071859.35645</v>
      </c>
      <c r="L4728" s="444">
        <f t="shared" ca="1" si="174"/>
        <v>-113751053318104.92</v>
      </c>
      <c r="M4728" s="460">
        <f t="shared" si="176"/>
        <v>0.05</v>
      </c>
      <c r="N4728" s="464">
        <f t="shared" si="177"/>
        <v>194950</v>
      </c>
    </row>
    <row r="4729" spans="7:14" ht="11.25" customHeight="1" x14ac:dyDescent="0.3">
      <c r="G4729" s="459"/>
      <c r="H4729" s="459">
        <v>4722</v>
      </c>
      <c r="I4729" s="444">
        <f t="shared" ca="1" si="175"/>
        <v>-113751053318104.92</v>
      </c>
      <c r="J4729" s="444">
        <f t="array" ref="J4729">IFERROR(INDEX('Retirement Calculator'!K:K,MATCH('Lorri 401b'!N4729,'Retirement Calculator'!A:A,0),0),0)</f>
        <v>0</v>
      </c>
      <c r="K4729" s="444">
        <f t="shared" ca="1" si="173"/>
        <v>-473962722158.77051</v>
      </c>
      <c r="L4729" s="444">
        <f t="shared" ca="1" si="174"/>
        <v>-114225016040263.69</v>
      </c>
      <c r="M4729" s="460">
        <f t="shared" si="176"/>
        <v>0.05</v>
      </c>
      <c r="N4729" s="464">
        <f t="shared" si="177"/>
        <v>194981</v>
      </c>
    </row>
    <row r="4730" spans="7:14" ht="11.25" customHeight="1" x14ac:dyDescent="0.3">
      <c r="G4730" s="459"/>
      <c r="H4730" s="459">
        <v>4723</v>
      </c>
      <c r="I4730" s="444">
        <f t="shared" ca="1" si="175"/>
        <v>-114225016040263.69</v>
      </c>
      <c r="J4730" s="444">
        <f t="array" ref="J4730">IFERROR(INDEX('Retirement Calculator'!K:K,MATCH('Lorri 401b'!N4730,'Retirement Calculator'!A:A,0),0),0)</f>
        <v>0</v>
      </c>
      <c r="K4730" s="444">
        <f t="shared" ca="1" si="173"/>
        <v>-475937566834.43201</v>
      </c>
      <c r="L4730" s="444">
        <f t="shared" ca="1" si="174"/>
        <v>-114700953607098.13</v>
      </c>
      <c r="M4730" s="460">
        <f t="shared" si="176"/>
        <v>0.05</v>
      </c>
      <c r="N4730" s="464">
        <f t="shared" si="177"/>
        <v>195011</v>
      </c>
    </row>
    <row r="4731" spans="7:14" ht="11.25" customHeight="1" x14ac:dyDescent="0.3">
      <c r="G4731" s="459"/>
      <c r="H4731" s="459">
        <v>4724</v>
      </c>
      <c r="I4731" s="444">
        <f t="shared" ca="1" si="175"/>
        <v>-114700953607098.13</v>
      </c>
      <c r="J4731" s="444">
        <f t="array" ref="J4731">IFERROR(INDEX('Retirement Calculator'!K:K,MATCH('Lorri 401b'!N4731,'Retirement Calculator'!A:A,0),0),0)</f>
        <v>0</v>
      </c>
      <c r="K4731" s="444">
        <f t="shared" ca="1" si="173"/>
        <v>-477920640029.57556</v>
      </c>
      <c r="L4731" s="444">
        <f t="shared" ca="1" si="174"/>
        <v>-115178874247127.7</v>
      </c>
      <c r="M4731" s="460">
        <f t="shared" si="176"/>
        <v>0.05</v>
      </c>
      <c r="N4731" s="464">
        <f t="shared" si="177"/>
        <v>195042</v>
      </c>
    </row>
    <row r="4732" spans="7:14" ht="11.25" customHeight="1" x14ac:dyDescent="0.3">
      <c r="G4732" s="459"/>
      <c r="H4732" s="459">
        <v>4725</v>
      </c>
      <c r="I4732" s="444">
        <f t="shared" ca="1" si="175"/>
        <v>-115178874247127.7</v>
      </c>
      <c r="J4732" s="444">
        <f t="array" ref="J4732">IFERROR(INDEX('Retirement Calculator'!K:K,MATCH('Lorri 401b'!N4732,'Retirement Calculator'!A:A,0),0),0)</f>
        <v>0</v>
      </c>
      <c r="K4732" s="444">
        <f t="shared" ca="1" si="173"/>
        <v>-479911976029.69879</v>
      </c>
      <c r="L4732" s="444">
        <f t="shared" ca="1" si="174"/>
        <v>-115658786223157.41</v>
      </c>
      <c r="M4732" s="460">
        <f t="shared" si="176"/>
        <v>0.05</v>
      </c>
      <c r="N4732" s="464">
        <f t="shared" si="177"/>
        <v>195073</v>
      </c>
    </row>
    <row r="4733" spans="7:14" ht="11.25" customHeight="1" x14ac:dyDescent="0.3">
      <c r="G4733" s="459"/>
      <c r="H4733" s="459">
        <v>4726</v>
      </c>
      <c r="I4733" s="444">
        <f t="shared" ca="1" si="175"/>
        <v>-115658786223157.41</v>
      </c>
      <c r="J4733" s="444">
        <f t="array" ref="J4733">IFERROR(INDEX('Retirement Calculator'!K:K,MATCH('Lorri 401b'!N4733,'Retirement Calculator'!A:A,0),0),0)</f>
        <v>0</v>
      </c>
      <c r="K4733" s="444">
        <f t="shared" ca="1" si="173"/>
        <v>-481911609263.15582</v>
      </c>
      <c r="L4733" s="444">
        <f t="shared" ca="1" si="174"/>
        <v>-116140697832420.56</v>
      </c>
      <c r="M4733" s="460">
        <f t="shared" si="176"/>
        <v>0.05</v>
      </c>
      <c r="N4733" s="464">
        <f t="shared" si="177"/>
        <v>195101</v>
      </c>
    </row>
    <row r="4734" spans="7:14" ht="11.25" customHeight="1" x14ac:dyDescent="0.3">
      <c r="G4734" s="459"/>
      <c r="H4734" s="459">
        <v>4727</v>
      </c>
      <c r="I4734" s="444">
        <f t="shared" ca="1" si="175"/>
        <v>-116140697832420.56</v>
      </c>
      <c r="J4734" s="444">
        <f t="array" ref="J4734">IFERROR(INDEX('Retirement Calculator'!K:K,MATCH('Lorri 401b'!N4734,'Retirement Calculator'!A:A,0),0),0)</f>
        <v>0</v>
      </c>
      <c r="K4734" s="444">
        <f t="shared" ca="1" si="173"/>
        <v>-483919574301.75226</v>
      </c>
      <c r="L4734" s="444">
        <f t="shared" ca="1" si="174"/>
        <v>-116624617406722.31</v>
      </c>
      <c r="M4734" s="460">
        <f t="shared" si="176"/>
        <v>0.05</v>
      </c>
      <c r="N4734" s="464">
        <f t="shared" si="177"/>
        <v>195132</v>
      </c>
    </row>
    <row r="4735" spans="7:14" ht="11.25" customHeight="1" x14ac:dyDescent="0.3">
      <c r="G4735" s="459"/>
      <c r="H4735" s="459">
        <v>4728</v>
      </c>
      <c r="I4735" s="444">
        <f t="shared" ca="1" si="175"/>
        <v>-116624617406722.31</v>
      </c>
      <c r="J4735" s="444">
        <f t="array" ref="J4735">IFERROR(INDEX('Retirement Calculator'!K:K,MATCH('Lorri 401b'!N4735,'Retirement Calculator'!A:A,0),0),0)</f>
        <v>0</v>
      </c>
      <c r="K4735" s="444">
        <f t="shared" ca="1" si="173"/>
        <v>-485935905861.34296</v>
      </c>
      <c r="L4735" s="444">
        <f t="shared" ca="1" si="174"/>
        <v>-117110553312583.66</v>
      </c>
      <c r="M4735" s="460">
        <f t="shared" si="176"/>
        <v>0.05</v>
      </c>
      <c r="N4735" s="464">
        <f t="shared" si="177"/>
        <v>195162</v>
      </c>
    </row>
    <row r="4736" spans="7:14" ht="11.25" customHeight="1" x14ac:dyDescent="0.3">
      <c r="G4736" s="459"/>
      <c r="H4736" s="459">
        <v>4729</v>
      </c>
      <c r="I4736" s="444">
        <f t="shared" ca="1" si="175"/>
        <v>-117110553312583.66</v>
      </c>
      <c r="J4736" s="444">
        <f t="array" ref="J4736">IFERROR(INDEX('Retirement Calculator'!K:K,MATCH('Lorri 401b'!N4736,'Retirement Calculator'!A:A,0),0),0)</f>
        <v>0</v>
      </c>
      <c r="K4736" s="444">
        <f t="shared" ca="1" si="173"/>
        <v>-487960638802.43188</v>
      </c>
      <c r="L4736" s="444">
        <f t="shared" ca="1" si="174"/>
        <v>-117598513951386.09</v>
      </c>
      <c r="M4736" s="460">
        <f t="shared" si="176"/>
        <v>0.05</v>
      </c>
      <c r="N4736" s="464">
        <f t="shared" si="177"/>
        <v>195193</v>
      </c>
    </row>
    <row r="4737" spans="7:14" ht="11.25" customHeight="1" x14ac:dyDescent="0.3">
      <c r="G4737" s="459"/>
      <c r="H4737" s="459">
        <v>4730</v>
      </c>
      <c r="I4737" s="444">
        <f t="shared" ca="1" si="175"/>
        <v>-117598513951386.09</v>
      </c>
      <c r="J4737" s="444">
        <f t="array" ref="J4737">IFERROR(INDEX('Retirement Calculator'!K:K,MATCH('Lorri 401b'!N4737,'Retirement Calculator'!A:A,0),0),0)</f>
        <v>0</v>
      </c>
      <c r="K4737" s="444">
        <f t="shared" ca="1" si="173"/>
        <v>-489993808130.77539</v>
      </c>
      <c r="L4737" s="444">
        <f t="shared" ca="1" si="174"/>
        <v>-118088507759516.88</v>
      </c>
      <c r="M4737" s="460">
        <f t="shared" si="176"/>
        <v>0.05</v>
      </c>
      <c r="N4737" s="464">
        <f t="shared" si="177"/>
        <v>195223</v>
      </c>
    </row>
    <row r="4738" spans="7:14" ht="11.25" customHeight="1" x14ac:dyDescent="0.3">
      <c r="G4738" s="459"/>
      <c r="H4738" s="459">
        <v>4731</v>
      </c>
      <c r="I4738" s="444">
        <f t="shared" ca="1" si="175"/>
        <v>-118088507759516.88</v>
      </c>
      <c r="J4738" s="444">
        <f t="array" ref="J4738">IFERROR(INDEX('Retirement Calculator'!K:K,MATCH('Lorri 401b'!N4738,'Retirement Calculator'!A:A,0),0),0)</f>
        <v>0</v>
      </c>
      <c r="K4738" s="444">
        <f t="shared" ca="1" si="173"/>
        <v>-492035448997.987</v>
      </c>
      <c r="L4738" s="444">
        <f t="shared" ca="1" si="174"/>
        <v>-118580543208514.86</v>
      </c>
      <c r="M4738" s="460">
        <f t="shared" si="176"/>
        <v>0.05</v>
      </c>
      <c r="N4738" s="464">
        <f t="shared" si="177"/>
        <v>195254</v>
      </c>
    </row>
    <row r="4739" spans="7:14" ht="11.25" customHeight="1" x14ac:dyDescent="0.3">
      <c r="G4739" s="459"/>
      <c r="H4739" s="459">
        <v>4732</v>
      </c>
      <c r="I4739" s="444">
        <f t="shared" ca="1" si="175"/>
        <v>-118580543208514.86</v>
      </c>
      <c r="J4739" s="444">
        <f t="array" ref="J4739">IFERROR(INDEX('Retirement Calculator'!K:K,MATCH('Lorri 401b'!N4739,'Retirement Calculator'!A:A,0),0),0)</f>
        <v>0</v>
      </c>
      <c r="K4739" s="444">
        <f t="shared" ca="1" si="173"/>
        <v>-494085596702.14526</v>
      </c>
      <c r="L4739" s="444">
        <f t="shared" ca="1" si="174"/>
        <v>-119074628805217</v>
      </c>
      <c r="M4739" s="460">
        <f t="shared" si="176"/>
        <v>0.05</v>
      </c>
      <c r="N4739" s="464">
        <f t="shared" si="177"/>
        <v>195285</v>
      </c>
    </row>
    <row r="4740" spans="7:14" ht="11.25" customHeight="1" x14ac:dyDescent="0.3">
      <c r="G4740" s="459"/>
      <c r="H4740" s="459">
        <v>4733</v>
      </c>
      <c r="I4740" s="444">
        <f t="shared" ca="1" si="175"/>
        <v>-119074628805217</v>
      </c>
      <c r="J4740" s="444">
        <f t="array" ref="J4740">IFERROR(INDEX('Retirement Calculator'!K:K,MATCH('Lorri 401b'!N4740,'Retirement Calculator'!A:A,0),0),0)</f>
        <v>0</v>
      </c>
      <c r="K4740" s="444">
        <f t="shared" ca="1" si="173"/>
        <v>-496144286688.40417</v>
      </c>
      <c r="L4740" s="444">
        <f t="shared" ca="1" si="174"/>
        <v>-119570773091905.41</v>
      </c>
      <c r="M4740" s="460">
        <f t="shared" si="176"/>
        <v>0.05</v>
      </c>
      <c r="N4740" s="464">
        <f t="shared" si="177"/>
        <v>195315</v>
      </c>
    </row>
    <row r="4741" spans="7:14" ht="11.25" customHeight="1" x14ac:dyDescent="0.3">
      <c r="G4741" s="459"/>
      <c r="H4741" s="459">
        <v>4734</v>
      </c>
      <c r="I4741" s="444">
        <f t="shared" ca="1" si="175"/>
        <v>-119570773091905.41</v>
      </c>
      <c r="J4741" s="444">
        <f t="array" ref="J4741">IFERROR(INDEX('Retirement Calculator'!K:K,MATCH('Lorri 401b'!N4741,'Retirement Calculator'!A:A,0),0),0)</f>
        <v>0</v>
      </c>
      <c r="K4741" s="444">
        <f t="shared" ca="1" si="173"/>
        <v>-498211554549.60583</v>
      </c>
      <c r="L4741" s="444">
        <f t="shared" ca="1" si="174"/>
        <v>-120068984646455.02</v>
      </c>
      <c r="M4741" s="460">
        <f t="shared" si="176"/>
        <v>0.05</v>
      </c>
      <c r="N4741" s="464">
        <f t="shared" si="177"/>
        <v>195346</v>
      </c>
    </row>
    <row r="4742" spans="7:14" ht="11.25" customHeight="1" x14ac:dyDescent="0.3">
      <c r="G4742" s="459"/>
      <c r="H4742" s="459">
        <v>4735</v>
      </c>
      <c r="I4742" s="444">
        <f t="shared" ca="1" si="175"/>
        <v>-120068984646455.02</v>
      </c>
      <c r="J4742" s="444">
        <f t="array" ref="J4742">IFERROR(INDEX('Retirement Calculator'!K:K,MATCH('Lorri 401b'!N4742,'Retirement Calculator'!A:A,0),0),0)</f>
        <v>0</v>
      </c>
      <c r="K4742" s="444">
        <f t="shared" ca="1" si="173"/>
        <v>-500287436026.89587</v>
      </c>
      <c r="L4742" s="444">
        <f t="shared" ca="1" si="174"/>
        <v>-120569272082481.91</v>
      </c>
      <c r="M4742" s="460">
        <f t="shared" si="176"/>
        <v>0.05</v>
      </c>
      <c r="N4742" s="464">
        <f t="shared" si="177"/>
        <v>195376</v>
      </c>
    </row>
    <row r="4743" spans="7:14" ht="11.25" customHeight="1" x14ac:dyDescent="0.3">
      <c r="G4743" s="459"/>
      <c r="H4743" s="459">
        <v>4736</v>
      </c>
      <c r="I4743" s="444">
        <f t="shared" ca="1" si="175"/>
        <v>-120569272082481.91</v>
      </c>
      <c r="J4743" s="444">
        <f t="array" ref="J4743">IFERROR(INDEX('Retirement Calculator'!K:K,MATCH('Lorri 401b'!N4743,'Retirement Calculator'!A:A,0),0),0)</f>
        <v>0</v>
      </c>
      <c r="K4743" s="444">
        <f t="shared" ca="1" si="173"/>
        <v>-502371967010.34125</v>
      </c>
      <c r="L4743" s="444">
        <f t="shared" ca="1" si="174"/>
        <v>-121071644049492.25</v>
      </c>
      <c r="M4743" s="460">
        <f t="shared" si="176"/>
        <v>0.05</v>
      </c>
      <c r="N4743" s="464">
        <f t="shared" si="177"/>
        <v>195407</v>
      </c>
    </row>
    <row r="4744" spans="7:14" ht="11.25" customHeight="1" x14ac:dyDescent="0.3">
      <c r="G4744" s="459"/>
      <c r="H4744" s="459">
        <v>4737</v>
      </c>
      <c r="I4744" s="444">
        <f t="shared" ca="1" si="175"/>
        <v>-121071644049492.25</v>
      </c>
      <c r="J4744" s="444">
        <f t="array" ref="J4744">IFERROR(INDEX('Retirement Calculator'!K:K,MATCH('Lorri 401b'!N4744,'Retirement Calculator'!A:A,0),0),0)</f>
        <v>0</v>
      </c>
      <c r="K4744" s="444">
        <f t="shared" ca="1" si="173"/>
        <v>-504465183539.55109</v>
      </c>
      <c r="L4744" s="444">
        <f t="shared" ca="1" si="174"/>
        <v>-121576109233031.8</v>
      </c>
      <c r="M4744" s="460">
        <f t="shared" si="176"/>
        <v>0.05</v>
      </c>
      <c r="N4744" s="464">
        <f t="shared" si="177"/>
        <v>195438</v>
      </c>
    </row>
    <row r="4745" spans="7:14" ht="11.25" customHeight="1" x14ac:dyDescent="0.3">
      <c r="G4745" s="459"/>
      <c r="H4745" s="459">
        <v>4738</v>
      </c>
      <c r="I4745" s="444">
        <f t="shared" ca="1" si="175"/>
        <v>-121576109233031.8</v>
      </c>
      <c r="J4745" s="444">
        <f t="array" ref="J4745">IFERROR(INDEX('Retirement Calculator'!K:K,MATCH('Lorri 401b'!N4745,'Retirement Calculator'!A:A,0),0),0)</f>
        <v>0</v>
      </c>
      <c r="K4745" s="444">
        <f t="shared" ca="1" si="173"/>
        <v>-506567121804.29913</v>
      </c>
      <c r="L4745" s="444">
        <f t="shared" ca="1" si="174"/>
        <v>-122082676354836.09</v>
      </c>
      <c r="M4745" s="460">
        <f t="shared" si="176"/>
        <v>0.05</v>
      </c>
      <c r="N4745" s="464">
        <f t="shared" si="177"/>
        <v>195466</v>
      </c>
    </row>
    <row r="4746" spans="7:14" ht="11.25" customHeight="1" x14ac:dyDescent="0.3">
      <c r="G4746" s="459"/>
      <c r="H4746" s="459">
        <v>4739</v>
      </c>
      <c r="I4746" s="444">
        <f t="shared" ca="1" si="175"/>
        <v>-122082676354836.09</v>
      </c>
      <c r="J4746" s="444">
        <f t="array" ref="J4746">IFERROR(INDEX('Retirement Calculator'!K:K,MATCH('Lorri 401b'!N4746,'Retirement Calculator'!A:A,0),0),0)</f>
        <v>0</v>
      </c>
      <c r="K4746" s="444">
        <f t="shared" ca="1" si="173"/>
        <v>-508677818145.15045</v>
      </c>
      <c r="L4746" s="444">
        <f t="shared" ca="1" si="174"/>
        <v>-122591354172981.25</v>
      </c>
      <c r="M4746" s="460">
        <f t="shared" si="176"/>
        <v>0.05</v>
      </c>
      <c r="N4746" s="464">
        <f t="shared" si="177"/>
        <v>195497</v>
      </c>
    </row>
    <row r="4747" spans="7:14" ht="11.25" customHeight="1" x14ac:dyDescent="0.3">
      <c r="G4747" s="459"/>
      <c r="H4747" s="459">
        <v>4740</v>
      </c>
      <c r="I4747" s="444">
        <f t="shared" ca="1" si="175"/>
        <v>-122591354172981.25</v>
      </c>
      <c r="J4747" s="444">
        <f t="array" ref="J4747">IFERROR(INDEX('Retirement Calculator'!K:K,MATCH('Lorri 401b'!N4747,'Retirement Calculator'!A:A,0),0),0)</f>
        <v>0</v>
      </c>
      <c r="K4747" s="444">
        <f t="shared" ca="1" si="173"/>
        <v>-510797309054.08856</v>
      </c>
      <c r="L4747" s="444">
        <f t="shared" ca="1" si="174"/>
        <v>-123102151482035.34</v>
      </c>
      <c r="M4747" s="460">
        <f t="shared" si="176"/>
        <v>0.05</v>
      </c>
      <c r="N4747" s="464">
        <f t="shared" si="177"/>
        <v>195527</v>
      </c>
    </row>
    <row r="4748" spans="7:14" ht="11.25" customHeight="1" x14ac:dyDescent="0.3">
      <c r="G4748" s="459"/>
      <c r="H4748" s="459">
        <v>4741</v>
      </c>
      <c r="I4748" s="444">
        <f t="shared" ca="1" si="175"/>
        <v>-123102151482035.34</v>
      </c>
      <c r="J4748" s="444">
        <f t="array" ref="J4748">IFERROR(INDEX('Retirement Calculator'!K:K,MATCH('Lorri 401b'!N4748,'Retirement Calculator'!A:A,0),0),0)</f>
        <v>0</v>
      </c>
      <c r="K4748" s="444">
        <f t="shared" ca="1" si="173"/>
        <v>-512925631175.14728</v>
      </c>
      <c r="L4748" s="444">
        <f t="shared" ca="1" si="174"/>
        <v>-123615077113210.48</v>
      </c>
      <c r="M4748" s="460">
        <f t="shared" si="176"/>
        <v>0.05</v>
      </c>
      <c r="N4748" s="464">
        <f t="shared" si="177"/>
        <v>195558</v>
      </c>
    </row>
    <row r="4749" spans="7:14" ht="11.25" customHeight="1" x14ac:dyDescent="0.3">
      <c r="G4749" s="459"/>
      <c r="H4749" s="459">
        <v>4742</v>
      </c>
      <c r="I4749" s="444">
        <f t="shared" ca="1" si="175"/>
        <v>-123615077113210.48</v>
      </c>
      <c r="J4749" s="444">
        <f t="array" ref="J4749">IFERROR(INDEX('Retirement Calculator'!K:K,MATCH('Lorri 401b'!N4749,'Retirement Calculator'!A:A,0),0),0)</f>
        <v>0</v>
      </c>
      <c r="K4749" s="444">
        <f t="shared" ca="1" si="173"/>
        <v>-515062821305.04376</v>
      </c>
      <c r="L4749" s="444">
        <f t="shared" ca="1" si="174"/>
        <v>-124130139934515.53</v>
      </c>
      <c r="M4749" s="460">
        <f t="shared" si="176"/>
        <v>0.05</v>
      </c>
      <c r="N4749" s="464">
        <f t="shared" si="177"/>
        <v>195588</v>
      </c>
    </row>
    <row r="4750" spans="7:14" ht="11.25" customHeight="1" x14ac:dyDescent="0.3">
      <c r="G4750" s="459"/>
      <c r="H4750" s="459">
        <v>4743</v>
      </c>
      <c r="I4750" s="444">
        <f t="shared" ca="1" si="175"/>
        <v>-124130139934515.53</v>
      </c>
      <c r="J4750" s="444">
        <f t="array" ref="J4750">IFERROR(INDEX('Retirement Calculator'!K:K,MATCH('Lorri 401b'!N4750,'Retirement Calculator'!A:A,0),0),0)</f>
        <v>0</v>
      </c>
      <c r="K4750" s="444">
        <f t="shared" ca="1" si="173"/>
        <v>-517208916393.8147</v>
      </c>
      <c r="L4750" s="444">
        <f t="shared" ca="1" si="174"/>
        <v>-124647348850909.34</v>
      </c>
      <c r="M4750" s="460">
        <f t="shared" si="176"/>
        <v>0.05</v>
      </c>
      <c r="N4750" s="464">
        <f t="shared" si="177"/>
        <v>195619</v>
      </c>
    </row>
    <row r="4751" spans="7:14" ht="11.25" customHeight="1" x14ac:dyDescent="0.3">
      <c r="G4751" s="459"/>
      <c r="H4751" s="459">
        <v>4744</v>
      </c>
      <c r="I4751" s="444">
        <f t="shared" ca="1" si="175"/>
        <v>-124647348850909.34</v>
      </c>
      <c r="J4751" s="444">
        <f t="array" ref="J4751">IFERROR(INDEX('Retirement Calculator'!K:K,MATCH('Lorri 401b'!N4751,'Retirement Calculator'!A:A,0),0),0)</f>
        <v>0</v>
      </c>
      <c r="K4751" s="444">
        <f t="shared" ca="1" si="173"/>
        <v>-519363953545.45557</v>
      </c>
      <c r="L4751" s="444">
        <f t="shared" ca="1" si="174"/>
        <v>-125166712804454.8</v>
      </c>
      <c r="M4751" s="460">
        <f t="shared" si="176"/>
        <v>0.05</v>
      </c>
      <c r="N4751" s="464">
        <f t="shared" si="177"/>
        <v>195650</v>
      </c>
    </row>
    <row r="4752" spans="7:14" ht="11.25" customHeight="1" x14ac:dyDescent="0.3">
      <c r="G4752" s="459"/>
      <c r="H4752" s="459">
        <v>4745</v>
      </c>
      <c r="I4752" s="444">
        <f t="shared" ca="1" si="175"/>
        <v>-125166712804454.8</v>
      </c>
      <c r="J4752" s="444">
        <f t="array" ref="J4752">IFERROR(INDEX('Retirement Calculator'!K:K,MATCH('Lorri 401b'!N4752,'Retirement Calculator'!A:A,0),0),0)</f>
        <v>0</v>
      </c>
      <c r="K4752" s="444">
        <f t="shared" ca="1" si="173"/>
        <v>-521527970018.56171</v>
      </c>
      <c r="L4752" s="444">
        <f t="shared" ca="1" si="174"/>
        <v>-125688240774473.36</v>
      </c>
      <c r="M4752" s="460">
        <f t="shared" si="176"/>
        <v>0.05</v>
      </c>
      <c r="N4752" s="464">
        <f t="shared" si="177"/>
        <v>195680</v>
      </c>
    </row>
    <row r="4753" spans="7:14" ht="11.25" customHeight="1" x14ac:dyDescent="0.3">
      <c r="G4753" s="459"/>
      <c r="H4753" s="459">
        <v>4746</v>
      </c>
      <c r="I4753" s="444">
        <f t="shared" ca="1" si="175"/>
        <v>-125688240774473.36</v>
      </c>
      <c r="J4753" s="444">
        <f t="array" ref="J4753">IFERROR(INDEX('Retirement Calculator'!K:K,MATCH('Lorri 401b'!N4753,'Retirement Calculator'!A:A,0),0),0)</f>
        <v>0</v>
      </c>
      <c r="K4753" s="444">
        <f t="shared" ca="1" si="173"/>
        <v>-523701003226.97235</v>
      </c>
      <c r="L4753" s="444">
        <f t="shared" ca="1" si="174"/>
        <v>-126211941777700.33</v>
      </c>
      <c r="M4753" s="460">
        <f t="shared" si="176"/>
        <v>0.05</v>
      </c>
      <c r="N4753" s="464">
        <f t="shared" si="177"/>
        <v>195711</v>
      </c>
    </row>
    <row r="4754" spans="7:14" ht="11.25" customHeight="1" x14ac:dyDescent="0.3">
      <c r="G4754" s="459"/>
      <c r="H4754" s="459">
        <v>4747</v>
      </c>
      <c r="I4754" s="444">
        <f t="shared" ca="1" si="175"/>
        <v>-126211941777700.33</v>
      </c>
      <c r="J4754" s="444">
        <f t="array" ref="J4754">IFERROR(INDEX('Retirement Calculator'!K:K,MATCH('Lorri 401b'!N4754,'Retirement Calculator'!A:A,0),0),0)</f>
        <v>0</v>
      </c>
      <c r="K4754" s="444">
        <f t="shared" ca="1" si="173"/>
        <v>-525883090740.41803</v>
      </c>
      <c r="L4754" s="444">
        <f t="shared" ca="1" si="174"/>
        <v>-126737824868440.75</v>
      </c>
      <c r="M4754" s="460">
        <f t="shared" si="176"/>
        <v>0.05</v>
      </c>
      <c r="N4754" s="464">
        <f t="shared" si="177"/>
        <v>195741</v>
      </c>
    </row>
    <row r="4755" spans="7:14" ht="11.25" customHeight="1" x14ac:dyDescent="0.3">
      <c r="G4755" s="459"/>
      <c r="H4755" s="459">
        <v>4748</v>
      </c>
      <c r="I4755" s="444">
        <f t="shared" ca="1" si="175"/>
        <v>-126737824868440.75</v>
      </c>
      <c r="J4755" s="444">
        <f t="array" ref="J4755">IFERROR(INDEX('Retirement Calculator'!K:K,MATCH('Lorri 401b'!N4755,'Retirement Calculator'!A:A,0),0),0)</f>
        <v>0</v>
      </c>
      <c r="K4755" s="444">
        <f t="shared" ca="1" si="173"/>
        <v>-528074270285.16974</v>
      </c>
      <c r="L4755" s="444">
        <f t="shared" ca="1" si="174"/>
        <v>-127265899138725.92</v>
      </c>
      <c r="M4755" s="460">
        <f t="shared" si="176"/>
        <v>0.05</v>
      </c>
      <c r="N4755" s="464">
        <f t="shared" si="177"/>
        <v>195772</v>
      </c>
    </row>
    <row r="4756" spans="7:14" ht="11.25" customHeight="1" x14ac:dyDescent="0.3">
      <c r="G4756" s="459"/>
      <c r="H4756" s="459">
        <v>4749</v>
      </c>
      <c r="I4756" s="444">
        <f t="shared" ca="1" si="175"/>
        <v>-127265899138725.92</v>
      </c>
      <c r="J4756" s="444">
        <f t="array" ref="J4756">IFERROR(INDEX('Retirement Calculator'!K:K,MATCH('Lorri 401b'!N4756,'Retirement Calculator'!A:A,0),0),0)</f>
        <v>0</v>
      </c>
      <c r="K4756" s="444">
        <f t="shared" ca="1" si="173"/>
        <v>-530274579744.69128</v>
      </c>
      <c r="L4756" s="444">
        <f t="shared" ca="1" si="174"/>
        <v>-127796173718470.61</v>
      </c>
      <c r="M4756" s="460">
        <f t="shared" si="176"/>
        <v>0.05</v>
      </c>
      <c r="N4756" s="464">
        <f t="shared" si="177"/>
        <v>195803</v>
      </c>
    </row>
    <row r="4757" spans="7:14" ht="11.25" customHeight="1" x14ac:dyDescent="0.3">
      <c r="G4757" s="459"/>
      <c r="H4757" s="459">
        <v>4750</v>
      </c>
      <c r="I4757" s="444">
        <f t="shared" ca="1" si="175"/>
        <v>-127796173718470.61</v>
      </c>
      <c r="J4757" s="444">
        <f t="array" ref="J4757">IFERROR(INDEX('Retirement Calculator'!K:K,MATCH('Lorri 401b'!N4757,'Retirement Calculator'!A:A,0),0),0)</f>
        <v>0</v>
      </c>
      <c r="K4757" s="444">
        <f t="shared" ca="1" si="173"/>
        <v>-532484057160.29419</v>
      </c>
      <c r="L4757" s="444">
        <f t="shared" ca="1" si="174"/>
        <v>-128328657775630.91</v>
      </c>
      <c r="M4757" s="460">
        <f t="shared" si="176"/>
        <v>0.05</v>
      </c>
      <c r="N4757" s="464">
        <f t="shared" si="177"/>
        <v>195832</v>
      </c>
    </row>
    <row r="4758" spans="7:14" ht="11.25" customHeight="1" x14ac:dyDescent="0.3">
      <c r="G4758" s="459"/>
      <c r="H4758" s="459">
        <v>4751</v>
      </c>
      <c r="I4758" s="444">
        <f t="shared" ca="1" si="175"/>
        <v>-128328657775630.91</v>
      </c>
      <c r="J4758" s="444">
        <f t="array" ref="J4758">IFERROR(INDEX('Retirement Calculator'!K:K,MATCH('Lorri 401b'!N4758,'Retirement Calculator'!A:A,0),0),0)</f>
        <v>0</v>
      </c>
      <c r="K4758" s="444">
        <f t="shared" ca="1" si="173"/>
        <v>-534702740731.79547</v>
      </c>
      <c r="L4758" s="444">
        <f t="shared" ca="1" si="174"/>
        <v>-128863360516362.7</v>
      </c>
      <c r="M4758" s="460">
        <f t="shared" si="176"/>
        <v>0.05</v>
      </c>
      <c r="N4758" s="464">
        <f t="shared" si="177"/>
        <v>195863</v>
      </c>
    </row>
    <row r="4759" spans="7:14" ht="11.25" customHeight="1" x14ac:dyDescent="0.3">
      <c r="G4759" s="459"/>
      <c r="H4759" s="459">
        <v>4752</v>
      </c>
      <c r="I4759" s="444">
        <f t="shared" ca="1" si="175"/>
        <v>-128863360516362.7</v>
      </c>
      <c r="J4759" s="444">
        <f t="array" ref="J4759">IFERROR(INDEX('Retirement Calculator'!K:K,MATCH('Lorri 401b'!N4759,'Retirement Calculator'!A:A,0),0),0)</f>
        <v>0</v>
      </c>
      <c r="K4759" s="444">
        <f t="shared" ca="1" si="173"/>
        <v>-536930668818.17792</v>
      </c>
      <c r="L4759" s="444">
        <f t="shared" ca="1" si="174"/>
        <v>-129400291185180.88</v>
      </c>
      <c r="M4759" s="460">
        <f t="shared" si="176"/>
        <v>0.05</v>
      </c>
      <c r="N4759" s="464">
        <f t="shared" si="177"/>
        <v>195893</v>
      </c>
    </row>
    <row r="4760" spans="7:14" ht="11.25" customHeight="1" x14ac:dyDescent="0.3">
      <c r="G4760" s="459"/>
      <c r="H4760" s="459">
        <v>4753</v>
      </c>
      <c r="I4760" s="444">
        <f t="shared" ca="1" si="175"/>
        <v>-129400291185180.88</v>
      </c>
      <c r="J4760" s="444">
        <f t="array" ref="J4760">IFERROR(INDEX('Retirement Calculator'!K:K,MATCH('Lorri 401b'!N4760,'Retirement Calculator'!A:A,0),0),0)</f>
        <v>0</v>
      </c>
      <c r="K4760" s="444">
        <f t="shared" ca="1" si="173"/>
        <v>-539167879938.2536</v>
      </c>
      <c r="L4760" s="444">
        <f t="shared" ca="1" si="174"/>
        <v>-129939459065119.13</v>
      </c>
      <c r="M4760" s="460">
        <f t="shared" si="176"/>
        <v>0.05</v>
      </c>
      <c r="N4760" s="464">
        <f t="shared" si="177"/>
        <v>195924</v>
      </c>
    </row>
    <row r="4761" spans="7:14" ht="11.25" customHeight="1" x14ac:dyDescent="0.3">
      <c r="G4761" s="459"/>
      <c r="H4761" s="459">
        <v>4754</v>
      </c>
      <c r="I4761" s="444">
        <f t="shared" ca="1" si="175"/>
        <v>-129939459065119.13</v>
      </c>
      <c r="J4761" s="444">
        <f t="array" ref="J4761">IFERROR(INDEX('Retirement Calculator'!K:K,MATCH('Lorri 401b'!N4761,'Retirement Calculator'!A:A,0),0),0)</f>
        <v>0</v>
      </c>
      <c r="K4761" s="444">
        <f t="shared" ca="1" si="173"/>
        <v>-541414412771.32977</v>
      </c>
      <c r="L4761" s="444">
        <f t="shared" ca="1" si="174"/>
        <v>-130480873477890.45</v>
      </c>
      <c r="M4761" s="460">
        <f t="shared" si="176"/>
        <v>0.05</v>
      </c>
      <c r="N4761" s="464">
        <f t="shared" si="177"/>
        <v>195954</v>
      </c>
    </row>
    <row r="4762" spans="7:14" ht="11.25" customHeight="1" x14ac:dyDescent="0.3">
      <c r="G4762" s="459"/>
      <c r="H4762" s="459">
        <v>4755</v>
      </c>
      <c r="I4762" s="444">
        <f t="shared" ca="1" si="175"/>
        <v>-130480873477890.45</v>
      </c>
      <c r="J4762" s="444">
        <f t="array" ref="J4762">IFERROR(INDEX('Retirement Calculator'!K:K,MATCH('Lorri 401b'!N4762,'Retirement Calculator'!A:A,0),0),0)</f>
        <v>0</v>
      </c>
      <c r="K4762" s="444">
        <f t="shared" ca="1" si="173"/>
        <v>-543670306157.87695</v>
      </c>
      <c r="L4762" s="444">
        <f t="shared" ca="1" si="174"/>
        <v>-131024543784048.33</v>
      </c>
      <c r="M4762" s="460">
        <f t="shared" si="176"/>
        <v>0.05</v>
      </c>
      <c r="N4762" s="464">
        <f t="shared" si="177"/>
        <v>195985</v>
      </c>
    </row>
    <row r="4763" spans="7:14" ht="11.25" customHeight="1" x14ac:dyDescent="0.3">
      <c r="G4763" s="459"/>
      <c r="H4763" s="459">
        <v>4756</v>
      </c>
      <c r="I4763" s="444">
        <f t="shared" ca="1" si="175"/>
        <v>-131024543784048.33</v>
      </c>
      <c r="J4763" s="444">
        <f t="array" ref="J4763">IFERROR(INDEX('Retirement Calculator'!K:K,MATCH('Lorri 401b'!N4763,'Retirement Calculator'!A:A,0),0),0)</f>
        <v>0</v>
      </c>
      <c r="K4763" s="444">
        <f t="shared" ca="1" si="173"/>
        <v>-545935599100.20135</v>
      </c>
      <c r="L4763" s="444">
        <f t="shared" ca="1" si="174"/>
        <v>-131570479383148.53</v>
      </c>
      <c r="M4763" s="460">
        <f t="shared" si="176"/>
        <v>0.05</v>
      </c>
      <c r="N4763" s="464">
        <f t="shared" si="177"/>
        <v>196016</v>
      </c>
    </row>
    <row r="4764" spans="7:14" ht="11.25" customHeight="1" x14ac:dyDescent="0.3">
      <c r="G4764" s="459"/>
      <c r="H4764" s="459">
        <v>4757</v>
      </c>
      <c r="I4764" s="444">
        <f t="shared" ca="1" si="175"/>
        <v>-131570479383148.53</v>
      </c>
      <c r="J4764" s="444">
        <f t="array" ref="J4764">IFERROR(INDEX('Retirement Calculator'!K:K,MATCH('Lorri 401b'!N4764,'Retirement Calculator'!A:A,0),0),0)</f>
        <v>0</v>
      </c>
      <c r="K4764" s="444">
        <f t="shared" ca="1" si="173"/>
        <v>-548210330763.11884</v>
      </c>
      <c r="L4764" s="444">
        <f t="shared" ca="1" si="174"/>
        <v>-132118689713911.66</v>
      </c>
      <c r="M4764" s="460">
        <f t="shared" si="176"/>
        <v>0.05</v>
      </c>
      <c r="N4764" s="464">
        <f t="shared" si="177"/>
        <v>196046</v>
      </c>
    </row>
    <row r="4765" spans="7:14" ht="11.25" customHeight="1" x14ac:dyDescent="0.3">
      <c r="G4765" s="459"/>
      <c r="H4765" s="459">
        <v>4758</v>
      </c>
      <c r="I4765" s="444">
        <f t="shared" ca="1" si="175"/>
        <v>-132118689713911.66</v>
      </c>
      <c r="J4765" s="444">
        <f t="array" ref="J4765">IFERROR(INDEX('Retirement Calculator'!K:K,MATCH('Lorri 401b'!N4765,'Retirement Calculator'!A:A,0),0),0)</f>
        <v>0</v>
      </c>
      <c r="K4765" s="444">
        <f t="shared" ca="1" si="173"/>
        <v>-550494540474.63184</v>
      </c>
      <c r="L4765" s="444">
        <f t="shared" ca="1" si="174"/>
        <v>-132669184254386.28</v>
      </c>
      <c r="M4765" s="460">
        <f t="shared" si="176"/>
        <v>0.05</v>
      </c>
      <c r="N4765" s="464">
        <f t="shared" si="177"/>
        <v>196077</v>
      </c>
    </row>
    <row r="4766" spans="7:14" ht="11.25" customHeight="1" x14ac:dyDescent="0.3">
      <c r="G4766" s="459"/>
      <c r="H4766" s="459">
        <v>4759</v>
      </c>
      <c r="I4766" s="444">
        <f t="shared" ca="1" si="175"/>
        <v>-132669184254386.28</v>
      </c>
      <c r="J4766" s="444">
        <f t="array" ref="J4766">IFERROR(INDEX('Retirement Calculator'!K:K,MATCH('Lorri 401b'!N4766,'Retirement Calculator'!A:A,0),0),0)</f>
        <v>0</v>
      </c>
      <c r="K4766" s="444">
        <f t="shared" ca="1" si="173"/>
        <v>-552788267726.60962</v>
      </c>
      <c r="L4766" s="444">
        <f t="shared" ca="1" si="174"/>
        <v>-133221972522112.89</v>
      </c>
      <c r="M4766" s="460">
        <f t="shared" si="176"/>
        <v>0.05</v>
      </c>
      <c r="N4766" s="464">
        <f t="shared" si="177"/>
        <v>196107</v>
      </c>
    </row>
    <row r="4767" spans="7:14" ht="11.25" customHeight="1" x14ac:dyDescent="0.3">
      <c r="G4767" s="459"/>
      <c r="H4767" s="459">
        <v>4760</v>
      </c>
      <c r="I4767" s="444">
        <f t="shared" ca="1" si="175"/>
        <v>-133221972522112.89</v>
      </c>
      <c r="J4767" s="444">
        <f t="array" ref="J4767">IFERROR(INDEX('Retirement Calculator'!K:K,MATCH('Lorri 401b'!N4767,'Retirement Calculator'!A:A,0),0),0)</f>
        <v>0</v>
      </c>
      <c r="K4767" s="444">
        <f t="shared" ca="1" si="173"/>
        <v>-555091552175.47034</v>
      </c>
      <c r="L4767" s="444">
        <f t="shared" ca="1" si="174"/>
        <v>-133777064074288.36</v>
      </c>
      <c r="M4767" s="460">
        <f t="shared" si="176"/>
        <v>0.05</v>
      </c>
      <c r="N4767" s="464">
        <f t="shared" si="177"/>
        <v>196138</v>
      </c>
    </row>
    <row r="4768" spans="7:14" ht="11.25" customHeight="1" x14ac:dyDescent="0.3">
      <c r="G4768" s="459"/>
      <c r="H4768" s="459">
        <v>4761</v>
      </c>
      <c r="I4768" s="444">
        <f t="shared" ca="1" si="175"/>
        <v>-133777064074288.36</v>
      </c>
      <c r="J4768" s="444">
        <f t="array" ref="J4768">IFERROR(INDEX('Retirement Calculator'!K:K,MATCH('Lorri 401b'!N4768,'Retirement Calculator'!A:A,0),0),0)</f>
        <v>0</v>
      </c>
      <c r="K4768" s="444">
        <f t="shared" ca="1" si="173"/>
        <v>-557404433642.86816</v>
      </c>
      <c r="L4768" s="444">
        <f t="shared" ca="1" si="174"/>
        <v>-134334468507931.23</v>
      </c>
      <c r="M4768" s="460">
        <f t="shared" si="176"/>
        <v>0.05</v>
      </c>
      <c r="N4768" s="464">
        <f t="shared" si="177"/>
        <v>196169</v>
      </c>
    </row>
    <row r="4769" spans="7:14" ht="11.25" customHeight="1" x14ac:dyDescent="0.3">
      <c r="G4769" s="459"/>
      <c r="H4769" s="459">
        <v>4762</v>
      </c>
      <c r="I4769" s="444">
        <f t="shared" ca="1" si="175"/>
        <v>-134334468507931.23</v>
      </c>
      <c r="J4769" s="444">
        <f t="array" ref="J4769">IFERROR(INDEX('Retirement Calculator'!K:K,MATCH('Lorri 401b'!N4769,'Retirement Calculator'!A:A,0),0),0)</f>
        <v>0</v>
      </c>
      <c r="K4769" s="444">
        <f t="shared" ca="1" si="173"/>
        <v>-559726952116.38013</v>
      </c>
      <c r="L4769" s="444">
        <f t="shared" ca="1" si="174"/>
        <v>-134894195460047.61</v>
      </c>
      <c r="M4769" s="460">
        <f t="shared" si="176"/>
        <v>0.05</v>
      </c>
      <c r="N4769" s="464">
        <f t="shared" si="177"/>
        <v>196197</v>
      </c>
    </row>
    <row r="4770" spans="7:14" ht="11.25" customHeight="1" x14ac:dyDescent="0.3">
      <c r="G4770" s="459"/>
      <c r="H4770" s="459">
        <v>4763</v>
      </c>
      <c r="I4770" s="444">
        <f t="shared" ca="1" si="175"/>
        <v>-134894195460047.61</v>
      </c>
      <c r="J4770" s="444">
        <f t="array" ref="J4770">IFERROR(INDEX('Retirement Calculator'!K:K,MATCH('Lorri 401b'!N4770,'Retirement Calculator'!A:A,0),0),0)</f>
        <v>0</v>
      </c>
      <c r="K4770" s="444">
        <f t="shared" ca="1" si="173"/>
        <v>-562059147750.19849</v>
      </c>
      <c r="L4770" s="444">
        <f t="shared" ca="1" si="174"/>
        <v>-135456254607797.81</v>
      </c>
      <c r="M4770" s="460">
        <f t="shared" si="176"/>
        <v>0.05</v>
      </c>
      <c r="N4770" s="464">
        <f t="shared" si="177"/>
        <v>196228</v>
      </c>
    </row>
    <row r="4771" spans="7:14" ht="11.25" customHeight="1" x14ac:dyDescent="0.3">
      <c r="G4771" s="459"/>
      <c r="H4771" s="459">
        <v>4764</v>
      </c>
      <c r="I4771" s="444">
        <f t="shared" ca="1" si="175"/>
        <v>-135456254607797.81</v>
      </c>
      <c r="J4771" s="444">
        <f t="array" ref="J4771">IFERROR(INDEX('Retirement Calculator'!K:K,MATCH('Lorri 401b'!N4771,'Retirement Calculator'!A:A,0),0),0)</f>
        <v>0</v>
      </c>
      <c r="K4771" s="444">
        <f t="shared" ca="1" si="173"/>
        <v>-564401060865.82422</v>
      </c>
      <c r="L4771" s="444">
        <f t="shared" ca="1" si="174"/>
        <v>-136020655668663.64</v>
      </c>
      <c r="M4771" s="460">
        <f t="shared" si="176"/>
        <v>0.05</v>
      </c>
      <c r="N4771" s="464">
        <f t="shared" si="177"/>
        <v>196258</v>
      </c>
    </row>
    <row r="4772" spans="7:14" ht="11.25" customHeight="1" x14ac:dyDescent="0.3">
      <c r="G4772" s="459"/>
      <c r="H4772" s="459">
        <v>4765</v>
      </c>
      <c r="I4772" s="444">
        <f t="shared" ca="1" si="175"/>
        <v>-136020655668663.64</v>
      </c>
      <c r="J4772" s="444">
        <f t="array" ref="J4772">IFERROR(INDEX('Retirement Calculator'!K:K,MATCH('Lorri 401b'!N4772,'Retirement Calculator'!A:A,0),0),0)</f>
        <v>0</v>
      </c>
      <c r="K4772" s="444">
        <f t="shared" ca="1" si="173"/>
        <v>-566752731952.76514</v>
      </c>
      <c r="L4772" s="444">
        <f t="shared" ca="1" si="174"/>
        <v>-136587408400616.41</v>
      </c>
      <c r="M4772" s="460">
        <f t="shared" si="176"/>
        <v>0.05</v>
      </c>
      <c r="N4772" s="464">
        <f t="shared" si="177"/>
        <v>196289</v>
      </c>
    </row>
    <row r="4773" spans="7:14" ht="11.25" customHeight="1" x14ac:dyDescent="0.3">
      <c r="G4773" s="459"/>
      <c r="H4773" s="459">
        <v>4766</v>
      </c>
      <c r="I4773" s="444">
        <f t="shared" ca="1" si="175"/>
        <v>-136587408400616.41</v>
      </c>
      <c r="J4773" s="444">
        <f t="array" ref="J4773">IFERROR(INDEX('Retirement Calculator'!K:K,MATCH('Lorri 401b'!N4773,'Retirement Calculator'!A:A,0),0),0)</f>
        <v>0</v>
      </c>
      <c r="K4773" s="444">
        <f t="shared" ca="1" si="173"/>
        <v>-569114201669.23499</v>
      </c>
      <c r="L4773" s="444">
        <f t="shared" ca="1" si="174"/>
        <v>-137156522602285.64</v>
      </c>
      <c r="M4773" s="460">
        <f t="shared" si="176"/>
        <v>0.05</v>
      </c>
      <c r="N4773" s="464">
        <f t="shared" si="177"/>
        <v>196319</v>
      </c>
    </row>
    <row r="4774" spans="7:14" ht="11.25" customHeight="1" x14ac:dyDescent="0.3">
      <c r="G4774" s="459"/>
      <c r="H4774" s="459">
        <v>4767</v>
      </c>
      <c r="I4774" s="444">
        <f t="shared" ca="1" si="175"/>
        <v>-137156522602285.64</v>
      </c>
      <c r="J4774" s="444">
        <f t="array" ref="J4774">IFERROR(INDEX('Retirement Calculator'!K:K,MATCH('Lorri 401b'!N4774,'Retirement Calculator'!A:A,0),0),0)</f>
        <v>0</v>
      </c>
      <c r="K4774" s="444">
        <f t="shared" ca="1" si="173"/>
        <v>-571485510842.85681</v>
      </c>
      <c r="L4774" s="444">
        <f t="shared" ca="1" si="174"/>
        <v>-137728008113128.5</v>
      </c>
      <c r="M4774" s="460">
        <f t="shared" si="176"/>
        <v>0.05</v>
      </c>
      <c r="N4774" s="464">
        <f t="shared" si="177"/>
        <v>196350</v>
      </c>
    </row>
    <row r="4775" spans="7:14" ht="11.25" customHeight="1" x14ac:dyDescent="0.3">
      <c r="G4775" s="459"/>
      <c r="H4775" s="459">
        <v>4768</v>
      </c>
      <c r="I4775" s="444">
        <f t="shared" ca="1" si="175"/>
        <v>-137728008113128.5</v>
      </c>
      <c r="J4775" s="444">
        <f t="array" ref="J4775">IFERROR(INDEX('Retirement Calculator'!K:K,MATCH('Lorri 401b'!N4775,'Retirement Calculator'!A:A,0),0),0)</f>
        <v>0</v>
      </c>
      <c r="K4775" s="444">
        <f t="shared" ca="1" si="173"/>
        <v>-573866700471.36877</v>
      </c>
      <c r="L4775" s="444">
        <f t="shared" ca="1" si="174"/>
        <v>-138301874813599.88</v>
      </c>
      <c r="M4775" s="460">
        <f t="shared" si="176"/>
        <v>0.05</v>
      </c>
      <c r="N4775" s="464">
        <f t="shared" si="177"/>
        <v>196381</v>
      </c>
    </row>
    <row r="4776" spans="7:14" ht="11.25" customHeight="1" x14ac:dyDescent="0.3">
      <c r="G4776" s="459"/>
      <c r="H4776" s="459">
        <v>4769</v>
      </c>
      <c r="I4776" s="444">
        <f t="shared" ca="1" si="175"/>
        <v>-138301874813599.88</v>
      </c>
      <c r="J4776" s="444">
        <f t="array" ref="J4776">IFERROR(INDEX('Retirement Calculator'!K:K,MATCH('Lorri 401b'!N4776,'Retirement Calculator'!A:A,0),0),0)</f>
        <v>0</v>
      </c>
      <c r="K4776" s="444">
        <f t="shared" ca="1" si="173"/>
        <v>-576257811723.33276</v>
      </c>
      <c r="L4776" s="444">
        <f t="shared" ca="1" si="174"/>
        <v>-138878132625323.2</v>
      </c>
      <c r="M4776" s="460">
        <f t="shared" si="176"/>
        <v>0.05</v>
      </c>
      <c r="N4776" s="464">
        <f t="shared" si="177"/>
        <v>196411</v>
      </c>
    </row>
    <row r="4777" spans="7:14" ht="11.25" customHeight="1" x14ac:dyDescent="0.3">
      <c r="G4777" s="459"/>
      <c r="H4777" s="459">
        <v>4770</v>
      </c>
      <c r="I4777" s="444">
        <f t="shared" ca="1" si="175"/>
        <v>-138878132625323.2</v>
      </c>
      <c r="J4777" s="444">
        <f t="array" ref="J4777">IFERROR(INDEX('Retirement Calculator'!K:K,MATCH('Lorri 401b'!N4777,'Retirement Calculator'!A:A,0),0),0)</f>
        <v>0</v>
      </c>
      <c r="K4777" s="444">
        <f t="shared" ca="1" si="173"/>
        <v>-578658885938.84668</v>
      </c>
      <c r="L4777" s="444">
        <f t="shared" ca="1" si="174"/>
        <v>-139456791511262.05</v>
      </c>
      <c r="M4777" s="460">
        <f t="shared" si="176"/>
        <v>0.05</v>
      </c>
      <c r="N4777" s="464">
        <f t="shared" si="177"/>
        <v>196442</v>
      </c>
    </row>
    <row r="4778" spans="7:14" ht="11.25" customHeight="1" x14ac:dyDescent="0.3">
      <c r="G4778" s="459"/>
      <c r="H4778" s="459">
        <v>4771</v>
      </c>
      <c r="I4778" s="444">
        <f t="shared" ca="1" si="175"/>
        <v>-139456791511262.05</v>
      </c>
      <c r="J4778" s="444">
        <f t="array" ref="J4778">IFERROR(INDEX('Retirement Calculator'!K:K,MATCH('Lorri 401b'!N4778,'Retirement Calculator'!A:A,0),0),0)</f>
        <v>0</v>
      </c>
      <c r="K4778" s="444">
        <f t="shared" ca="1" si="173"/>
        <v>-581069964630.25854</v>
      </c>
      <c r="L4778" s="444">
        <f t="shared" ca="1" si="174"/>
        <v>-140037861475892.31</v>
      </c>
      <c r="M4778" s="460">
        <f t="shared" si="176"/>
        <v>0.05</v>
      </c>
      <c r="N4778" s="464">
        <f t="shared" si="177"/>
        <v>196472</v>
      </c>
    </row>
    <row r="4779" spans="7:14" ht="11.25" customHeight="1" x14ac:dyDescent="0.3">
      <c r="G4779" s="459"/>
      <c r="H4779" s="459">
        <v>4772</v>
      </c>
      <c r="I4779" s="444">
        <f t="shared" ca="1" si="175"/>
        <v>-140037861475892.31</v>
      </c>
      <c r="J4779" s="444">
        <f t="array" ref="J4779">IFERROR(INDEX('Retirement Calculator'!K:K,MATCH('Lorri 401b'!N4779,'Retirement Calculator'!A:A,0),0),0)</f>
        <v>0</v>
      </c>
      <c r="K4779" s="444">
        <f t="shared" ca="1" si="173"/>
        <v>-583491089482.88464</v>
      </c>
      <c r="L4779" s="444">
        <f t="shared" ca="1" si="174"/>
        <v>-140621352565375.2</v>
      </c>
      <c r="M4779" s="460">
        <f t="shared" si="176"/>
        <v>0.05</v>
      </c>
      <c r="N4779" s="464">
        <f t="shared" si="177"/>
        <v>196503</v>
      </c>
    </row>
    <row r="4780" spans="7:14" ht="11.25" customHeight="1" x14ac:dyDescent="0.3">
      <c r="G4780" s="459"/>
      <c r="H4780" s="459">
        <v>4773</v>
      </c>
      <c r="I4780" s="444">
        <f t="shared" ca="1" si="175"/>
        <v>-140621352565375.2</v>
      </c>
      <c r="J4780" s="444">
        <f t="array" ref="J4780">IFERROR(INDEX('Retirement Calculator'!K:K,MATCH('Lorri 401b'!N4780,'Retirement Calculator'!A:A,0),0),0)</f>
        <v>0</v>
      </c>
      <c r="K4780" s="444">
        <f t="shared" ca="1" si="173"/>
        <v>-585922302355.72998</v>
      </c>
      <c r="L4780" s="444">
        <f t="shared" ca="1" si="174"/>
        <v>-141207274867730.94</v>
      </c>
      <c r="M4780" s="460">
        <f t="shared" si="176"/>
        <v>0.05</v>
      </c>
      <c r="N4780" s="464">
        <f t="shared" si="177"/>
        <v>196534</v>
      </c>
    </row>
    <row r="4781" spans="7:14" ht="11.25" customHeight="1" x14ac:dyDescent="0.3">
      <c r="G4781" s="459"/>
      <c r="H4781" s="459">
        <v>4774</v>
      </c>
      <c r="I4781" s="444">
        <f t="shared" ca="1" si="175"/>
        <v>-141207274867730.94</v>
      </c>
      <c r="J4781" s="444">
        <f t="array" ref="J4781">IFERROR(INDEX('Retirement Calculator'!K:K,MATCH('Lorri 401b'!N4781,'Retirement Calculator'!A:A,0),0),0)</f>
        <v>0</v>
      </c>
      <c r="K4781" s="444">
        <f t="shared" ca="1" si="173"/>
        <v>-588363645282.21228</v>
      </c>
      <c r="L4781" s="444">
        <f t="shared" ca="1" si="174"/>
        <v>-141795638513013.16</v>
      </c>
      <c r="M4781" s="460">
        <f t="shared" si="176"/>
        <v>0.05</v>
      </c>
      <c r="N4781" s="464">
        <f t="shared" si="177"/>
        <v>196562</v>
      </c>
    </row>
    <row r="4782" spans="7:14" ht="11.25" customHeight="1" x14ac:dyDescent="0.3">
      <c r="G4782" s="459"/>
      <c r="H4782" s="459">
        <v>4775</v>
      </c>
      <c r="I4782" s="444">
        <f t="shared" ca="1" si="175"/>
        <v>-141795638513013.16</v>
      </c>
      <c r="J4782" s="444">
        <f t="array" ref="J4782">IFERROR(INDEX('Retirement Calculator'!K:K,MATCH('Lorri 401b'!N4782,'Retirement Calculator'!A:A,0),0),0)</f>
        <v>0</v>
      </c>
      <c r="K4782" s="444">
        <f t="shared" ca="1" si="173"/>
        <v>-590815160470.88818</v>
      </c>
      <c r="L4782" s="444">
        <f t="shared" ca="1" si="174"/>
        <v>-142386453673484.03</v>
      </c>
      <c r="M4782" s="460">
        <f t="shared" si="176"/>
        <v>0.05</v>
      </c>
      <c r="N4782" s="464">
        <f t="shared" si="177"/>
        <v>196593</v>
      </c>
    </row>
    <row r="4783" spans="7:14" ht="11.25" customHeight="1" x14ac:dyDescent="0.3">
      <c r="G4783" s="459"/>
      <c r="H4783" s="459">
        <v>4776</v>
      </c>
      <c r="I4783" s="444">
        <f t="shared" ca="1" si="175"/>
        <v>-142386453673484.03</v>
      </c>
      <c r="J4783" s="444">
        <f t="array" ref="J4783">IFERROR(INDEX('Retirement Calculator'!K:K,MATCH('Lorri 401b'!N4783,'Retirement Calculator'!A:A,0),0),0)</f>
        <v>0</v>
      </c>
      <c r="K4783" s="444">
        <f t="shared" ca="1" si="173"/>
        <v>-593276890306.18347</v>
      </c>
      <c r="L4783" s="444">
        <f t="shared" ca="1" si="174"/>
        <v>-142979730563790.22</v>
      </c>
      <c r="M4783" s="460">
        <f t="shared" si="176"/>
        <v>0.05</v>
      </c>
      <c r="N4783" s="464">
        <f t="shared" si="177"/>
        <v>196623</v>
      </c>
    </row>
    <row r="4784" spans="7:14" ht="11.25" customHeight="1" x14ac:dyDescent="0.3">
      <c r="G4784" s="459"/>
      <c r="H4784" s="459">
        <v>4777</v>
      </c>
      <c r="I4784" s="444">
        <f t="shared" ca="1" si="175"/>
        <v>-142979730563790.22</v>
      </c>
      <c r="J4784" s="444">
        <f t="array" ref="J4784">IFERROR(INDEX('Retirement Calculator'!K:K,MATCH('Lorri 401b'!N4784,'Retirement Calculator'!A:A,0),0),0)</f>
        <v>0</v>
      </c>
      <c r="K4784" s="444">
        <f t="shared" ca="1" si="173"/>
        <v>-595748877349.12585</v>
      </c>
      <c r="L4784" s="444">
        <f t="shared" ca="1" si="174"/>
        <v>-143575479441139.34</v>
      </c>
      <c r="M4784" s="460">
        <f t="shared" si="176"/>
        <v>0.05</v>
      </c>
      <c r="N4784" s="464">
        <f t="shared" si="177"/>
        <v>196654</v>
      </c>
    </row>
    <row r="4785" spans="7:14" ht="11.25" customHeight="1" x14ac:dyDescent="0.3">
      <c r="G4785" s="459"/>
      <c r="H4785" s="459">
        <v>4778</v>
      </c>
      <c r="I4785" s="444">
        <f t="shared" ca="1" si="175"/>
        <v>-143575479441139.34</v>
      </c>
      <c r="J4785" s="444">
        <f t="array" ref="J4785">IFERROR(INDEX('Retirement Calculator'!K:K,MATCH('Lorri 401b'!N4785,'Retirement Calculator'!A:A,0),0),0)</f>
        <v>0</v>
      </c>
      <c r="K4785" s="444">
        <f t="shared" ca="1" si="173"/>
        <v>-598231164338.08057</v>
      </c>
      <c r="L4785" s="444">
        <f t="shared" ca="1" si="174"/>
        <v>-144173710605477.44</v>
      </c>
      <c r="M4785" s="460">
        <f t="shared" si="176"/>
        <v>0.05</v>
      </c>
      <c r="N4785" s="464">
        <f t="shared" si="177"/>
        <v>196684</v>
      </c>
    </row>
    <row r="4786" spans="7:14" ht="11.25" customHeight="1" x14ac:dyDescent="0.3">
      <c r="G4786" s="459"/>
      <c r="H4786" s="459">
        <v>4779</v>
      </c>
      <c r="I4786" s="444">
        <f t="shared" ca="1" si="175"/>
        <v>-144173710605477.44</v>
      </c>
      <c r="J4786" s="444">
        <f t="array" ref="J4786">IFERROR(INDEX('Retirement Calculator'!K:K,MATCH('Lorri 401b'!N4786,'Retirement Calculator'!A:A,0),0),0)</f>
        <v>0</v>
      </c>
      <c r="K4786" s="444">
        <f t="shared" ca="1" si="173"/>
        <v>-600723794189.48926</v>
      </c>
      <c r="L4786" s="444">
        <f t="shared" ca="1" si="174"/>
        <v>-144774434399666.94</v>
      </c>
      <c r="M4786" s="460">
        <f t="shared" si="176"/>
        <v>0.05</v>
      </c>
      <c r="N4786" s="464">
        <f t="shared" si="177"/>
        <v>196715</v>
      </c>
    </row>
    <row r="4787" spans="7:14" ht="11.25" customHeight="1" x14ac:dyDescent="0.3">
      <c r="G4787" s="459"/>
      <c r="H4787" s="459">
        <v>4780</v>
      </c>
      <c r="I4787" s="444">
        <f t="shared" ca="1" si="175"/>
        <v>-144774434399666.94</v>
      </c>
      <c r="J4787" s="444">
        <f t="array" ref="J4787">IFERROR(INDEX('Retirement Calculator'!K:K,MATCH('Lorri 401b'!N4787,'Retirement Calculator'!A:A,0),0),0)</f>
        <v>0</v>
      </c>
      <c r="K4787" s="444">
        <f t="shared" ca="1" si="173"/>
        <v>-603226809998.61218</v>
      </c>
      <c r="L4787" s="444">
        <f t="shared" ca="1" si="174"/>
        <v>-145377661209665.56</v>
      </c>
      <c r="M4787" s="460">
        <f t="shared" si="176"/>
        <v>0.05</v>
      </c>
      <c r="N4787" s="464">
        <f t="shared" si="177"/>
        <v>196746</v>
      </c>
    </row>
    <row r="4788" spans="7:14" ht="11.25" customHeight="1" x14ac:dyDescent="0.3">
      <c r="G4788" s="459"/>
      <c r="H4788" s="459">
        <v>4781</v>
      </c>
      <c r="I4788" s="444">
        <f t="shared" ca="1" si="175"/>
        <v>-145377661209665.56</v>
      </c>
      <c r="J4788" s="444">
        <f t="array" ref="J4788">IFERROR(INDEX('Retirement Calculator'!K:K,MATCH('Lorri 401b'!N4788,'Retirement Calculator'!A:A,0),0),0)</f>
        <v>0</v>
      </c>
      <c r="K4788" s="444">
        <f t="shared" ca="1" si="173"/>
        <v>-605740255040.27319</v>
      </c>
      <c r="L4788" s="444">
        <f t="shared" ca="1" si="174"/>
        <v>-145983401464705.84</v>
      </c>
      <c r="M4788" s="460">
        <f t="shared" si="176"/>
        <v>0.05</v>
      </c>
      <c r="N4788" s="464">
        <f t="shared" si="177"/>
        <v>196776</v>
      </c>
    </row>
    <row r="4789" spans="7:14" ht="11.25" customHeight="1" x14ac:dyDescent="0.3">
      <c r="G4789" s="459"/>
      <c r="H4789" s="459">
        <v>4782</v>
      </c>
      <c r="I4789" s="444">
        <f t="shared" ca="1" si="175"/>
        <v>-145983401464705.84</v>
      </c>
      <c r="J4789" s="444">
        <f t="array" ref="J4789">IFERROR(INDEX('Retirement Calculator'!K:K,MATCH('Lorri 401b'!N4789,'Retirement Calculator'!A:A,0),0),0)</f>
        <v>0</v>
      </c>
      <c r="K4789" s="444">
        <f t="shared" ca="1" si="173"/>
        <v>-608264172769.60767</v>
      </c>
      <c r="L4789" s="444">
        <f t="shared" ca="1" si="174"/>
        <v>-146591665637475.44</v>
      </c>
      <c r="M4789" s="460">
        <f t="shared" si="176"/>
        <v>0.05</v>
      </c>
      <c r="N4789" s="464">
        <f t="shared" si="177"/>
        <v>196807</v>
      </c>
    </row>
    <row r="4790" spans="7:14" ht="11.25" customHeight="1" x14ac:dyDescent="0.3">
      <c r="G4790" s="459"/>
      <c r="H4790" s="459">
        <v>4783</v>
      </c>
      <c r="I4790" s="444">
        <f t="shared" ca="1" si="175"/>
        <v>-146591665637475.44</v>
      </c>
      <c r="J4790" s="444">
        <f t="array" ref="J4790">IFERROR(INDEX('Retirement Calculator'!K:K,MATCH('Lorri 401b'!N4790,'Retirement Calculator'!A:A,0),0),0)</f>
        <v>0</v>
      </c>
      <c r="K4790" s="444">
        <f t="shared" ca="1" si="173"/>
        <v>-610798606822.81433</v>
      </c>
      <c r="L4790" s="444">
        <f t="shared" ca="1" si="174"/>
        <v>-147202464244298.25</v>
      </c>
      <c r="M4790" s="460">
        <f t="shared" si="176"/>
        <v>0.05</v>
      </c>
      <c r="N4790" s="464">
        <f t="shared" si="177"/>
        <v>196837</v>
      </c>
    </row>
    <row r="4791" spans="7:14" ht="11.25" customHeight="1" x14ac:dyDescent="0.3">
      <c r="G4791" s="459"/>
      <c r="H4791" s="459">
        <v>4784</v>
      </c>
      <c r="I4791" s="444">
        <f t="shared" ca="1" si="175"/>
        <v>-147202464244298.25</v>
      </c>
      <c r="J4791" s="444">
        <f t="array" ref="J4791">IFERROR(INDEX('Retirement Calculator'!K:K,MATCH('Lorri 401b'!N4791,'Retirement Calculator'!A:A,0),0),0)</f>
        <v>0</v>
      </c>
      <c r="K4791" s="444">
        <f t="shared" ca="1" si="173"/>
        <v>-613343601017.90942</v>
      </c>
      <c r="L4791" s="444">
        <f t="shared" ca="1" si="174"/>
        <v>-147815807845316.16</v>
      </c>
      <c r="M4791" s="460">
        <f t="shared" si="176"/>
        <v>0.05</v>
      </c>
      <c r="N4791" s="464">
        <f t="shared" si="177"/>
        <v>196868</v>
      </c>
    </row>
    <row r="4792" spans="7:14" ht="11.25" customHeight="1" x14ac:dyDescent="0.3">
      <c r="G4792" s="459"/>
      <c r="H4792" s="459">
        <v>4785</v>
      </c>
      <c r="I4792" s="444">
        <f t="shared" ca="1" si="175"/>
        <v>-147815807845316.16</v>
      </c>
      <c r="J4792" s="444">
        <f t="array" ref="J4792">IFERROR(INDEX('Retirement Calculator'!K:K,MATCH('Lorri 401b'!N4792,'Retirement Calculator'!A:A,0),0),0)</f>
        <v>0</v>
      </c>
      <c r="K4792" s="444">
        <f t="shared" ca="1" si="173"/>
        <v>-615899199355.48401</v>
      </c>
      <c r="L4792" s="444">
        <f t="shared" ca="1" si="174"/>
        <v>-148431707044671.63</v>
      </c>
      <c r="M4792" s="460">
        <f t="shared" si="176"/>
        <v>0.05</v>
      </c>
      <c r="N4792" s="464">
        <f t="shared" si="177"/>
        <v>196899</v>
      </c>
    </row>
    <row r="4793" spans="7:14" ht="11.25" customHeight="1" x14ac:dyDescent="0.3">
      <c r="G4793" s="459"/>
      <c r="H4793" s="459">
        <v>4786</v>
      </c>
      <c r="I4793" s="444">
        <f t="shared" ca="1" si="175"/>
        <v>-148431707044671.63</v>
      </c>
      <c r="J4793" s="444">
        <f t="array" ref="J4793">IFERROR(INDEX('Retirement Calculator'!K:K,MATCH('Lorri 401b'!N4793,'Retirement Calculator'!A:A,0),0),0)</f>
        <v>0</v>
      </c>
      <c r="K4793" s="444">
        <f t="shared" ca="1" si="173"/>
        <v>-618465446019.46509</v>
      </c>
      <c r="L4793" s="444">
        <f t="shared" ca="1" si="174"/>
        <v>-149050172490691.09</v>
      </c>
      <c r="M4793" s="460">
        <f t="shared" si="176"/>
        <v>0.05</v>
      </c>
      <c r="N4793" s="464">
        <f t="shared" si="177"/>
        <v>196927</v>
      </c>
    </row>
    <row r="4794" spans="7:14" ht="11.25" customHeight="1" x14ac:dyDescent="0.3">
      <c r="G4794" s="459"/>
      <c r="H4794" s="459">
        <v>4787</v>
      </c>
      <c r="I4794" s="444">
        <f t="shared" ca="1" si="175"/>
        <v>-149050172490691.09</v>
      </c>
      <c r="J4794" s="444">
        <f t="array" ref="J4794">IFERROR(INDEX('Retirement Calculator'!K:K,MATCH('Lorri 401b'!N4794,'Retirement Calculator'!A:A,0),0),0)</f>
        <v>0</v>
      </c>
      <c r="K4794" s="444">
        <f t="shared" ca="1" si="173"/>
        <v>-621042385377.87952</v>
      </c>
      <c r="L4794" s="444">
        <f t="shared" ca="1" si="174"/>
        <v>-149671214876068.97</v>
      </c>
      <c r="M4794" s="460">
        <f t="shared" si="176"/>
        <v>0.05</v>
      </c>
      <c r="N4794" s="464">
        <f t="shared" si="177"/>
        <v>196958</v>
      </c>
    </row>
    <row r="4795" spans="7:14" ht="11.25" customHeight="1" x14ac:dyDescent="0.3">
      <c r="G4795" s="459"/>
      <c r="H4795" s="459">
        <v>4788</v>
      </c>
      <c r="I4795" s="444">
        <f t="shared" ca="1" si="175"/>
        <v>-149671214876068.97</v>
      </c>
      <c r="J4795" s="444">
        <f t="array" ref="J4795">IFERROR(INDEX('Retirement Calculator'!K:K,MATCH('Lorri 401b'!N4795,'Retirement Calculator'!A:A,0),0),0)</f>
        <v>0</v>
      </c>
      <c r="K4795" s="444">
        <f t="shared" ca="1" si="173"/>
        <v>-623630061983.62073</v>
      </c>
      <c r="L4795" s="444">
        <f t="shared" ca="1" si="174"/>
        <v>-150294844938052.59</v>
      </c>
      <c r="M4795" s="460">
        <f t="shared" si="176"/>
        <v>0.05</v>
      </c>
      <c r="N4795" s="464">
        <f t="shared" si="177"/>
        <v>196988</v>
      </c>
    </row>
    <row r="4796" spans="7:14" ht="11.25" customHeight="1" x14ac:dyDescent="0.3">
      <c r="G4796" s="459"/>
      <c r="H4796" s="459">
        <v>4789</v>
      </c>
      <c r="I4796" s="444">
        <f t="shared" ca="1" si="175"/>
        <v>-150294844938052.59</v>
      </c>
      <c r="J4796" s="444">
        <f t="array" ref="J4796">IFERROR(INDEX('Retirement Calculator'!K:K,MATCH('Lorri 401b'!N4796,'Retirement Calculator'!A:A,0),0),0)</f>
        <v>0</v>
      </c>
      <c r="K4796" s="444">
        <f t="shared" ca="1" si="173"/>
        <v>-626228520575.21912</v>
      </c>
      <c r="L4796" s="444">
        <f t="shared" ca="1" si="174"/>
        <v>-150921073458627.81</v>
      </c>
      <c r="M4796" s="460">
        <f t="shared" si="176"/>
        <v>0.05</v>
      </c>
      <c r="N4796" s="464">
        <f t="shared" si="177"/>
        <v>197019</v>
      </c>
    </row>
    <row r="4797" spans="7:14" ht="11.25" customHeight="1" x14ac:dyDescent="0.3">
      <c r="G4797" s="459"/>
      <c r="H4797" s="459">
        <v>4790</v>
      </c>
      <c r="I4797" s="444">
        <f t="shared" ca="1" si="175"/>
        <v>-150921073458627.81</v>
      </c>
      <c r="J4797" s="444">
        <f t="array" ref="J4797">IFERROR(INDEX('Retirement Calculator'!K:K,MATCH('Lorri 401b'!N4797,'Retirement Calculator'!A:A,0),0),0)</f>
        <v>0</v>
      </c>
      <c r="K4797" s="444">
        <f t="shared" ca="1" si="173"/>
        <v>-628837806077.61584</v>
      </c>
      <c r="L4797" s="444">
        <f t="shared" ca="1" si="174"/>
        <v>-151549911264705.44</v>
      </c>
      <c r="M4797" s="460">
        <f t="shared" si="176"/>
        <v>0.05</v>
      </c>
      <c r="N4797" s="464">
        <f t="shared" si="177"/>
        <v>197049</v>
      </c>
    </row>
    <row r="4798" spans="7:14" ht="11.25" customHeight="1" x14ac:dyDescent="0.3">
      <c r="G4798" s="459"/>
      <c r="H4798" s="459">
        <v>4791</v>
      </c>
      <c r="I4798" s="444">
        <f t="shared" ca="1" si="175"/>
        <v>-151549911264705.44</v>
      </c>
      <c r="J4798" s="444">
        <f t="array" ref="J4798">IFERROR(INDEX('Retirement Calculator'!K:K,MATCH('Lorri 401b'!N4798,'Retirement Calculator'!A:A,0),0),0)</f>
        <v>0</v>
      </c>
      <c r="K4798" s="444">
        <f t="shared" ca="1" si="173"/>
        <v>-631457963602.93933</v>
      </c>
      <c r="L4798" s="444">
        <f t="shared" ca="1" si="174"/>
        <v>-152181369228308.38</v>
      </c>
      <c r="M4798" s="460">
        <f t="shared" si="176"/>
        <v>0.05</v>
      </c>
      <c r="N4798" s="464">
        <f t="shared" si="177"/>
        <v>197080</v>
      </c>
    </row>
    <row r="4799" spans="7:14" ht="11.25" customHeight="1" x14ac:dyDescent="0.3">
      <c r="G4799" s="459"/>
      <c r="H4799" s="459">
        <v>4792</v>
      </c>
      <c r="I4799" s="444">
        <f t="shared" ca="1" si="175"/>
        <v>-152181369228308.38</v>
      </c>
      <c r="J4799" s="444">
        <f t="array" ref="J4799">IFERROR(INDEX('Retirement Calculator'!K:K,MATCH('Lorri 401b'!N4799,'Retirement Calculator'!A:A,0),0),0)</f>
        <v>0</v>
      </c>
      <c r="K4799" s="444">
        <f t="shared" ca="1" si="173"/>
        <v>-634089038451.28491</v>
      </c>
      <c r="L4799" s="444">
        <f t="shared" ca="1" si="174"/>
        <v>-152815458266759.66</v>
      </c>
      <c r="M4799" s="460">
        <f t="shared" si="176"/>
        <v>0.05</v>
      </c>
      <c r="N4799" s="464">
        <f t="shared" si="177"/>
        <v>197111</v>
      </c>
    </row>
    <row r="4800" spans="7:14" ht="11.25" customHeight="1" x14ac:dyDescent="0.3">
      <c r="G4800" s="459"/>
      <c r="H4800" s="459">
        <v>4793</v>
      </c>
      <c r="I4800" s="444">
        <f t="shared" ca="1" si="175"/>
        <v>-152815458266759.66</v>
      </c>
      <c r="J4800" s="444">
        <f t="array" ref="J4800">IFERROR(INDEX('Retirement Calculator'!K:K,MATCH('Lorri 401b'!N4800,'Retirement Calculator'!A:A,0),0),0)</f>
        <v>0</v>
      </c>
      <c r="K4800" s="444">
        <f t="shared" ca="1" si="173"/>
        <v>-636731076111.49854</v>
      </c>
      <c r="L4800" s="444">
        <f t="shared" ca="1" si="174"/>
        <v>-153452189342871.16</v>
      </c>
      <c r="M4800" s="460">
        <f t="shared" si="176"/>
        <v>0.05</v>
      </c>
      <c r="N4800" s="464">
        <f t="shared" si="177"/>
        <v>197141</v>
      </c>
    </row>
    <row r="4801" spans="7:14" ht="11.25" customHeight="1" x14ac:dyDescent="0.3">
      <c r="G4801" s="459"/>
      <c r="H4801" s="459">
        <v>4794</v>
      </c>
      <c r="I4801" s="444">
        <f t="shared" ca="1" si="175"/>
        <v>-153452189342871.16</v>
      </c>
      <c r="J4801" s="444">
        <f t="array" ref="J4801">IFERROR(INDEX('Retirement Calculator'!K:K,MATCH('Lorri 401b'!N4801,'Retirement Calculator'!A:A,0),0),0)</f>
        <v>0</v>
      </c>
      <c r="K4801" s="444">
        <f t="shared" ca="1" si="173"/>
        <v>-639384122261.96313</v>
      </c>
      <c r="L4801" s="444">
        <f t="shared" ca="1" si="174"/>
        <v>-154091573465133.13</v>
      </c>
      <c r="M4801" s="460">
        <f t="shared" si="176"/>
        <v>0.05</v>
      </c>
      <c r="N4801" s="464">
        <f t="shared" si="177"/>
        <v>197172</v>
      </c>
    </row>
    <row r="4802" spans="7:14" ht="11.25" customHeight="1" x14ac:dyDescent="0.3">
      <c r="G4802" s="459"/>
      <c r="H4802" s="459">
        <v>4795</v>
      </c>
      <c r="I4802" s="444">
        <f t="shared" ca="1" si="175"/>
        <v>-154091573465133.13</v>
      </c>
      <c r="J4802" s="444">
        <f t="array" ref="J4802">IFERROR(INDEX('Retirement Calculator'!K:K,MATCH('Lorri 401b'!N4802,'Retirement Calculator'!A:A,0),0),0)</f>
        <v>0</v>
      </c>
      <c r="K4802" s="444">
        <f t="shared" ca="1" si="173"/>
        <v>-642048222771.38806</v>
      </c>
      <c r="L4802" s="444">
        <f t="shared" ca="1" si="174"/>
        <v>-154733621687904.5</v>
      </c>
      <c r="M4802" s="460">
        <f t="shared" si="176"/>
        <v>0.05</v>
      </c>
      <c r="N4802" s="464">
        <f t="shared" si="177"/>
        <v>197202</v>
      </c>
    </row>
    <row r="4803" spans="7:14" ht="11.25" customHeight="1" x14ac:dyDescent="0.3">
      <c r="G4803" s="459"/>
      <c r="H4803" s="459">
        <v>4796</v>
      </c>
      <c r="I4803" s="444">
        <f t="shared" ca="1" si="175"/>
        <v>-154733621687904.5</v>
      </c>
      <c r="J4803" s="444">
        <f t="array" ref="J4803">IFERROR(INDEX('Retirement Calculator'!K:K,MATCH('Lorri 401b'!N4803,'Retirement Calculator'!A:A,0),0),0)</f>
        <v>0</v>
      </c>
      <c r="K4803" s="444">
        <f t="shared" ca="1" si="173"/>
        <v>-644723423699.60205</v>
      </c>
      <c r="L4803" s="444">
        <f t="shared" ca="1" si="174"/>
        <v>-155378345111604.09</v>
      </c>
      <c r="M4803" s="460">
        <f t="shared" si="176"/>
        <v>0.05</v>
      </c>
      <c r="N4803" s="464">
        <f t="shared" si="177"/>
        <v>197233</v>
      </c>
    </row>
    <row r="4804" spans="7:14" ht="11.25" customHeight="1" x14ac:dyDescent="0.3">
      <c r="G4804" s="459"/>
      <c r="H4804" s="459">
        <v>4797</v>
      </c>
      <c r="I4804" s="444">
        <f t="shared" ca="1" si="175"/>
        <v>-155378345111604.09</v>
      </c>
      <c r="J4804" s="444">
        <f t="array" ref="J4804">IFERROR(INDEX('Retirement Calculator'!K:K,MATCH('Lorri 401b'!N4804,'Retirement Calculator'!A:A,0),0),0)</f>
        <v>0</v>
      </c>
      <c r="K4804" s="444">
        <f t="shared" ca="1" si="173"/>
        <v>-647409771298.35034</v>
      </c>
      <c r="L4804" s="444">
        <f t="shared" ca="1" si="174"/>
        <v>-156025754882902.44</v>
      </c>
      <c r="M4804" s="460">
        <f t="shared" si="176"/>
        <v>0.05</v>
      </c>
      <c r="N4804" s="464">
        <f t="shared" si="177"/>
        <v>197264</v>
      </c>
    </row>
    <row r="4805" spans="7:14" ht="11.25" customHeight="1" x14ac:dyDescent="0.3">
      <c r="G4805" s="459"/>
      <c r="H4805" s="459">
        <v>4798</v>
      </c>
      <c r="I4805" s="444">
        <f t="shared" ca="1" si="175"/>
        <v>-156025754882902.44</v>
      </c>
      <c r="J4805" s="444">
        <f t="array" ref="J4805">IFERROR(INDEX('Retirement Calculator'!K:K,MATCH('Lorri 401b'!N4805,'Retirement Calculator'!A:A,0),0),0)</f>
        <v>0</v>
      </c>
      <c r="K4805" s="444">
        <f t="shared" ca="1" si="173"/>
        <v>-650107312012.09351</v>
      </c>
      <c r="L4805" s="444">
        <f t="shared" ca="1" si="174"/>
        <v>-156675862194914.53</v>
      </c>
      <c r="M4805" s="460">
        <f t="shared" si="176"/>
        <v>0.05</v>
      </c>
      <c r="N4805" s="464">
        <f t="shared" si="177"/>
        <v>197293</v>
      </c>
    </row>
    <row r="4806" spans="7:14" ht="11.25" customHeight="1" x14ac:dyDescent="0.3">
      <c r="G4806" s="459"/>
      <c r="H4806" s="459">
        <v>4799</v>
      </c>
      <c r="I4806" s="444">
        <f t="shared" ca="1" si="175"/>
        <v>-156675862194914.53</v>
      </c>
      <c r="J4806" s="444">
        <f t="array" ref="J4806">IFERROR(INDEX('Retirement Calculator'!K:K,MATCH('Lorri 401b'!N4806,'Retirement Calculator'!A:A,0),0),0)</f>
        <v>0</v>
      </c>
      <c r="K4806" s="444">
        <f t="shared" ca="1" si="173"/>
        <v>-652816092478.81055</v>
      </c>
      <c r="L4806" s="444">
        <f t="shared" ca="1" si="174"/>
        <v>-157328678287393.34</v>
      </c>
      <c r="M4806" s="460">
        <f t="shared" si="176"/>
        <v>0.05</v>
      </c>
      <c r="N4806" s="464">
        <f t="shared" si="177"/>
        <v>197324</v>
      </c>
    </row>
    <row r="4807" spans="7:14" ht="11.25" customHeight="1" x14ac:dyDescent="0.3">
      <c r="G4807" s="459"/>
      <c r="H4807" s="459">
        <v>4800</v>
      </c>
      <c r="I4807" s="444">
        <f t="shared" ca="1" si="175"/>
        <v>-157328678287393.34</v>
      </c>
      <c r="J4807" s="444">
        <f t="array" ref="J4807">IFERROR(INDEX('Retirement Calculator'!K:K,MATCH('Lorri 401b'!N4807,'Retirement Calculator'!A:A,0),0),0)</f>
        <v>0</v>
      </c>
      <c r="K4807" s="444">
        <f t="shared" ca="1" si="173"/>
        <v>-655536159530.80554</v>
      </c>
      <c r="L4807" s="444">
        <f t="shared" ca="1" si="174"/>
        <v>-157984214446924.16</v>
      </c>
      <c r="M4807" s="460">
        <f t="shared" si="176"/>
        <v>0.05</v>
      </c>
      <c r="N4807" s="464">
        <f t="shared" si="177"/>
        <v>197354</v>
      </c>
    </row>
    <row r="4808" spans="7:14" ht="11.25" customHeight="1" x14ac:dyDescent="0.3">
      <c r="G4808" s="459"/>
      <c r="H4808" s="459">
        <v>4801</v>
      </c>
      <c r="I4808" s="444">
        <f t="shared" ca="1" si="175"/>
        <v>-157984214446924.16</v>
      </c>
      <c r="J4808" s="444">
        <f t="array" ref="J4808">IFERROR(INDEX('Retirement Calculator'!K:K,MATCH('Lorri 401b'!N4808,'Retirement Calculator'!A:A,0),0),0)</f>
        <v>0</v>
      </c>
      <c r="K4808" s="444">
        <f t="shared" ca="1" si="173"/>
        <v>-658267560195.51733</v>
      </c>
      <c r="L4808" s="444">
        <f t="shared" ca="1" si="174"/>
        <v>-158642482007119.69</v>
      </c>
      <c r="M4808" s="460">
        <f t="shared" si="176"/>
        <v>0.05</v>
      </c>
      <c r="N4808" s="464">
        <f t="shared" si="177"/>
        <v>197385</v>
      </c>
    </row>
    <row r="4809" spans="7:14" ht="11.25" customHeight="1" x14ac:dyDescent="0.3">
      <c r="G4809" s="459"/>
      <c r="H4809" s="459">
        <v>4802</v>
      </c>
      <c r="I4809" s="444">
        <f t="shared" ca="1" si="175"/>
        <v>-158642482007119.69</v>
      </c>
      <c r="J4809" s="444">
        <f t="array" ref="J4809">IFERROR(INDEX('Retirement Calculator'!K:K,MATCH('Lorri 401b'!N4809,'Retirement Calculator'!A:A,0),0),0)</f>
        <v>0</v>
      </c>
      <c r="K4809" s="444">
        <f t="shared" ca="1" si="173"/>
        <v>-661010341696.33203</v>
      </c>
      <c r="L4809" s="444">
        <f t="shared" ca="1" si="174"/>
        <v>-159303492348816.03</v>
      </c>
      <c r="M4809" s="460">
        <f t="shared" si="176"/>
        <v>0.05</v>
      </c>
      <c r="N4809" s="464">
        <f t="shared" si="177"/>
        <v>197415</v>
      </c>
    </row>
    <row r="4810" spans="7:14" ht="11.25" customHeight="1" x14ac:dyDescent="0.3">
      <c r="G4810" s="459"/>
      <c r="H4810" s="459">
        <v>4803</v>
      </c>
      <c r="I4810" s="444">
        <f t="shared" ca="1" si="175"/>
        <v>-159303492348816.03</v>
      </c>
      <c r="J4810" s="444">
        <f t="array" ref="J4810">IFERROR(INDEX('Retirement Calculator'!K:K,MATCH('Lorri 401b'!N4810,'Retirement Calculator'!A:A,0),0),0)</f>
        <v>0</v>
      </c>
      <c r="K4810" s="444">
        <f t="shared" ca="1" si="173"/>
        <v>-663764551453.40015</v>
      </c>
      <c r="L4810" s="444">
        <f t="shared" ca="1" si="174"/>
        <v>-159967256900269.44</v>
      </c>
      <c r="M4810" s="460">
        <f t="shared" si="176"/>
        <v>0.05</v>
      </c>
      <c r="N4810" s="464">
        <f t="shared" si="177"/>
        <v>197446</v>
      </c>
    </row>
    <row r="4811" spans="7:14" ht="11.25" customHeight="1" x14ac:dyDescent="0.3">
      <c r="G4811" s="459"/>
      <c r="H4811" s="459">
        <v>4804</v>
      </c>
      <c r="I4811" s="444">
        <f t="shared" ca="1" si="175"/>
        <v>-159967256900269.44</v>
      </c>
      <c r="J4811" s="444">
        <f t="array" ref="J4811">IFERROR(INDEX('Retirement Calculator'!K:K,MATCH('Lorri 401b'!N4811,'Retirement Calculator'!A:A,0),0),0)</f>
        <v>0</v>
      </c>
      <c r="K4811" s="444">
        <f t="shared" ca="1" si="173"/>
        <v>-666530237084.45593</v>
      </c>
      <c r="L4811" s="444">
        <f t="shared" ca="1" si="174"/>
        <v>-160633787137353.91</v>
      </c>
      <c r="M4811" s="460">
        <f t="shared" si="176"/>
        <v>0.05</v>
      </c>
      <c r="N4811" s="464">
        <f t="shared" si="177"/>
        <v>197477</v>
      </c>
    </row>
    <row r="4812" spans="7:14" ht="11.25" customHeight="1" x14ac:dyDescent="0.3">
      <c r="G4812" s="459"/>
      <c r="H4812" s="459">
        <v>4805</v>
      </c>
      <c r="I4812" s="444">
        <f t="shared" ca="1" si="175"/>
        <v>-160633787137353.91</v>
      </c>
      <c r="J4812" s="444">
        <f t="array" ref="J4812">IFERROR(INDEX('Retirement Calculator'!K:K,MATCH('Lorri 401b'!N4812,'Retirement Calculator'!A:A,0),0),0)</f>
        <v>0</v>
      </c>
      <c r="K4812" s="444">
        <f t="shared" ca="1" si="173"/>
        <v>-669307446405.64124</v>
      </c>
      <c r="L4812" s="444">
        <f t="shared" ca="1" si="174"/>
        <v>-161303094583759.56</v>
      </c>
      <c r="M4812" s="460">
        <f t="shared" si="176"/>
        <v>0.05</v>
      </c>
      <c r="N4812" s="464">
        <f t="shared" si="177"/>
        <v>197507</v>
      </c>
    </row>
    <row r="4813" spans="7:14" ht="11.25" customHeight="1" x14ac:dyDescent="0.3">
      <c r="G4813" s="459"/>
      <c r="H4813" s="459">
        <v>4806</v>
      </c>
      <c r="I4813" s="444">
        <f t="shared" ca="1" si="175"/>
        <v>-161303094583759.56</v>
      </c>
      <c r="J4813" s="444">
        <f t="array" ref="J4813">IFERROR(INDEX('Retirement Calculator'!K:K,MATCH('Lorri 401b'!N4813,'Retirement Calculator'!A:A,0),0),0)</f>
        <v>0</v>
      </c>
      <c r="K4813" s="444">
        <f t="shared" ca="1" si="173"/>
        <v>-672096227432.33154</v>
      </c>
      <c r="L4813" s="444">
        <f t="shared" ca="1" si="174"/>
        <v>-161975190811191.91</v>
      </c>
      <c r="M4813" s="460">
        <f t="shared" si="176"/>
        <v>0.05</v>
      </c>
      <c r="N4813" s="464">
        <f t="shared" si="177"/>
        <v>197538</v>
      </c>
    </row>
    <row r="4814" spans="7:14" ht="11.25" customHeight="1" x14ac:dyDescent="0.3">
      <c r="G4814" s="459"/>
      <c r="H4814" s="459">
        <v>4807</v>
      </c>
      <c r="I4814" s="444">
        <f t="shared" ca="1" si="175"/>
        <v>-161975190811191.91</v>
      </c>
      <c r="J4814" s="444">
        <f t="array" ref="J4814">IFERROR(INDEX('Retirement Calculator'!K:K,MATCH('Lorri 401b'!N4814,'Retirement Calculator'!A:A,0),0),0)</f>
        <v>0</v>
      </c>
      <c r="K4814" s="444">
        <f t="shared" ca="1" si="173"/>
        <v>-674896628379.96631</v>
      </c>
      <c r="L4814" s="444">
        <f t="shared" ca="1" si="174"/>
        <v>-162650087439571.88</v>
      </c>
      <c r="M4814" s="460">
        <f t="shared" si="176"/>
        <v>0.05</v>
      </c>
      <c r="N4814" s="464">
        <f t="shared" si="177"/>
        <v>197568</v>
      </c>
    </row>
    <row r="4815" spans="7:14" ht="11.25" customHeight="1" x14ac:dyDescent="0.3">
      <c r="G4815" s="459"/>
      <c r="H4815" s="459">
        <v>4808</v>
      </c>
      <c r="I4815" s="444">
        <f t="shared" ca="1" si="175"/>
        <v>-162650087439571.88</v>
      </c>
      <c r="J4815" s="444">
        <f t="array" ref="J4815">IFERROR(INDEX('Retirement Calculator'!K:K,MATCH('Lorri 401b'!N4815,'Retirement Calculator'!A:A,0),0),0)</f>
        <v>0</v>
      </c>
      <c r="K4815" s="444">
        <f t="shared" ca="1" si="173"/>
        <v>-677708697664.88281</v>
      </c>
      <c r="L4815" s="444">
        <f t="shared" ca="1" si="174"/>
        <v>-163327796137236.75</v>
      </c>
      <c r="M4815" s="460">
        <f t="shared" si="176"/>
        <v>0.05</v>
      </c>
      <c r="N4815" s="464">
        <f t="shared" si="177"/>
        <v>197599</v>
      </c>
    </row>
    <row r="4816" spans="7:14" ht="11.25" customHeight="1" x14ac:dyDescent="0.3">
      <c r="G4816" s="459"/>
      <c r="H4816" s="459">
        <v>4809</v>
      </c>
      <c r="I4816" s="444">
        <f t="shared" ca="1" si="175"/>
        <v>-163327796137236.75</v>
      </c>
      <c r="J4816" s="444">
        <f t="array" ref="J4816">IFERROR(INDEX('Retirement Calculator'!K:K,MATCH('Lorri 401b'!N4816,'Retirement Calculator'!A:A,0),0),0)</f>
        <v>0</v>
      </c>
      <c r="K4816" s="444">
        <f t="shared" ca="1" si="173"/>
        <v>-680532483905.15308</v>
      </c>
      <c r="L4816" s="444">
        <f t="shared" ca="1" si="174"/>
        <v>-164008328621141.91</v>
      </c>
      <c r="M4816" s="460">
        <f t="shared" si="176"/>
        <v>0.05</v>
      </c>
      <c r="N4816" s="464">
        <f t="shared" si="177"/>
        <v>197630</v>
      </c>
    </row>
    <row r="4817" spans="7:14" ht="11.25" customHeight="1" x14ac:dyDescent="0.3">
      <c r="G4817" s="459"/>
      <c r="H4817" s="459">
        <v>4810</v>
      </c>
      <c r="I4817" s="444">
        <f t="shared" ca="1" si="175"/>
        <v>-164008328621141.91</v>
      </c>
      <c r="J4817" s="444">
        <f t="array" ref="J4817">IFERROR(INDEX('Retirement Calculator'!K:K,MATCH('Lorri 401b'!N4817,'Retirement Calculator'!A:A,0),0),0)</f>
        <v>0</v>
      </c>
      <c r="K4817" s="444">
        <f t="shared" ca="1" si="173"/>
        <v>-683368035921.42456</v>
      </c>
      <c r="L4817" s="444">
        <f t="shared" ca="1" si="174"/>
        <v>-164691696657063.34</v>
      </c>
      <c r="M4817" s="460">
        <f t="shared" si="176"/>
        <v>0.05</v>
      </c>
      <c r="N4817" s="464">
        <f t="shared" si="177"/>
        <v>197658</v>
      </c>
    </row>
    <row r="4818" spans="7:14" ht="11.25" customHeight="1" x14ac:dyDescent="0.3">
      <c r="G4818" s="459"/>
      <c r="H4818" s="459">
        <v>4811</v>
      </c>
      <c r="I4818" s="444">
        <f t="shared" ca="1" si="175"/>
        <v>-164691696657063.34</v>
      </c>
      <c r="J4818" s="444">
        <f t="array" ref="J4818">IFERROR(INDEX('Retirement Calculator'!K:K,MATCH('Lorri 401b'!N4818,'Retirement Calculator'!A:A,0),0),0)</f>
        <v>0</v>
      </c>
      <c r="K4818" s="444">
        <f t="shared" ca="1" si="173"/>
        <v>-686215402737.76392</v>
      </c>
      <c r="L4818" s="444">
        <f t="shared" ca="1" si="174"/>
        <v>-165377912059801.09</v>
      </c>
      <c r="M4818" s="460">
        <f t="shared" si="176"/>
        <v>0.05</v>
      </c>
      <c r="N4818" s="464">
        <f t="shared" si="177"/>
        <v>197689</v>
      </c>
    </row>
    <row r="4819" spans="7:14" ht="11.25" customHeight="1" x14ac:dyDescent="0.3">
      <c r="G4819" s="459"/>
      <c r="H4819" s="459">
        <v>4812</v>
      </c>
      <c r="I4819" s="444">
        <f t="shared" ca="1" si="175"/>
        <v>-165377912059801.09</v>
      </c>
      <c r="J4819" s="444">
        <f t="array" ref="J4819">IFERROR(INDEX('Retirement Calculator'!K:K,MATCH('Lorri 401b'!N4819,'Retirement Calculator'!A:A,0),0),0)</f>
        <v>0</v>
      </c>
      <c r="K4819" s="444">
        <f t="shared" ca="1" si="173"/>
        <v>-689074633582.50452</v>
      </c>
      <c r="L4819" s="444">
        <f t="shared" ca="1" si="174"/>
        <v>-166066986693383.59</v>
      </c>
      <c r="M4819" s="460">
        <f t="shared" si="176"/>
        <v>0.05</v>
      </c>
      <c r="N4819" s="464">
        <f t="shared" si="177"/>
        <v>197719</v>
      </c>
    </row>
    <row r="4820" spans="7:14" ht="11.25" customHeight="1" x14ac:dyDescent="0.3">
      <c r="G4820" s="459"/>
      <c r="H4820" s="459">
        <v>4813</v>
      </c>
      <c r="I4820" s="444">
        <f t="shared" ca="1" si="175"/>
        <v>-166066986693383.59</v>
      </c>
      <c r="J4820" s="444">
        <f t="array" ref="J4820">IFERROR(INDEX('Retirement Calculator'!K:K,MATCH('Lorri 401b'!N4820,'Retirement Calculator'!A:A,0),0),0)</f>
        <v>0</v>
      </c>
      <c r="K4820" s="444">
        <f t="shared" ca="1" si="173"/>
        <v>-691945777889.09827</v>
      </c>
      <c r="L4820" s="444">
        <f t="shared" ca="1" si="174"/>
        <v>-166758932471272.69</v>
      </c>
      <c r="M4820" s="460">
        <f t="shared" si="176"/>
        <v>0.05</v>
      </c>
      <c r="N4820" s="464">
        <f t="shared" si="177"/>
        <v>197750</v>
      </c>
    </row>
    <row r="4821" spans="7:14" ht="11.25" customHeight="1" x14ac:dyDescent="0.3">
      <c r="G4821" s="459"/>
      <c r="H4821" s="459">
        <v>4814</v>
      </c>
      <c r="I4821" s="444">
        <f t="shared" ca="1" si="175"/>
        <v>-166758932471272.69</v>
      </c>
      <c r="J4821" s="444">
        <f t="array" ref="J4821">IFERROR(INDEX('Retirement Calculator'!K:K,MATCH('Lorri 401b'!N4821,'Retirement Calculator'!A:A,0),0),0)</f>
        <v>0</v>
      </c>
      <c r="K4821" s="444">
        <f t="shared" ca="1" si="173"/>
        <v>-694828885296.96948</v>
      </c>
      <c r="L4821" s="444">
        <f t="shared" ca="1" si="174"/>
        <v>-167453761356569.66</v>
      </c>
      <c r="M4821" s="460">
        <f t="shared" si="176"/>
        <v>0.05</v>
      </c>
      <c r="N4821" s="464">
        <f t="shared" si="177"/>
        <v>197780</v>
      </c>
    </row>
    <row r="4822" spans="7:14" ht="11.25" customHeight="1" x14ac:dyDescent="0.3">
      <c r="G4822" s="459"/>
      <c r="H4822" s="459">
        <v>4815</v>
      </c>
      <c r="I4822" s="444">
        <f t="shared" ca="1" si="175"/>
        <v>-167453761356569.66</v>
      </c>
      <c r="J4822" s="444">
        <f t="array" ref="J4822">IFERROR(INDEX('Retirement Calculator'!K:K,MATCH('Lorri 401b'!N4822,'Retirement Calculator'!A:A,0),0),0)</f>
        <v>0</v>
      </c>
      <c r="K4822" s="444">
        <f t="shared" ca="1" si="173"/>
        <v>-697724005652.37354</v>
      </c>
      <c r="L4822" s="444">
        <f t="shared" ca="1" si="174"/>
        <v>-168151485362222.03</v>
      </c>
      <c r="M4822" s="460">
        <f t="shared" si="176"/>
        <v>0.05</v>
      </c>
      <c r="N4822" s="464">
        <f t="shared" si="177"/>
        <v>197811</v>
      </c>
    </row>
    <row r="4823" spans="7:14" ht="11.25" customHeight="1" x14ac:dyDescent="0.3">
      <c r="G4823" s="459"/>
      <c r="H4823" s="459">
        <v>4816</v>
      </c>
      <c r="I4823" s="444">
        <f t="shared" ca="1" si="175"/>
        <v>-168151485362222.03</v>
      </c>
      <c r="J4823" s="444">
        <f t="array" ref="J4823">IFERROR(INDEX('Retirement Calculator'!K:K,MATCH('Lorri 401b'!N4823,'Retirement Calculator'!A:A,0),0),0)</f>
        <v>0</v>
      </c>
      <c r="K4823" s="444">
        <f t="shared" ca="1" si="173"/>
        <v>-700631189009.25842</v>
      </c>
      <c r="L4823" s="444">
        <f t="shared" ca="1" si="174"/>
        <v>-168852116551231.28</v>
      </c>
      <c r="M4823" s="460">
        <f t="shared" si="176"/>
        <v>0.05</v>
      </c>
      <c r="N4823" s="464">
        <f t="shared" si="177"/>
        <v>197842</v>
      </c>
    </row>
    <row r="4824" spans="7:14" ht="11.25" customHeight="1" x14ac:dyDescent="0.3">
      <c r="G4824" s="459"/>
      <c r="H4824" s="459">
        <v>4817</v>
      </c>
      <c r="I4824" s="444">
        <f t="shared" ca="1" si="175"/>
        <v>-168852116551231.28</v>
      </c>
      <c r="J4824" s="444">
        <f t="array" ref="J4824">IFERROR(INDEX('Retirement Calculator'!K:K,MATCH('Lorri 401b'!N4824,'Retirement Calculator'!A:A,0),0),0)</f>
        <v>0</v>
      </c>
      <c r="K4824" s="444">
        <f t="shared" ca="1" si="173"/>
        <v>-703550485630.13037</v>
      </c>
      <c r="L4824" s="444">
        <f t="shared" ca="1" si="174"/>
        <v>-169555667036861.41</v>
      </c>
      <c r="M4824" s="460">
        <f t="shared" si="176"/>
        <v>0.05</v>
      </c>
      <c r="N4824" s="464">
        <f t="shared" si="177"/>
        <v>197872</v>
      </c>
    </row>
    <row r="4825" spans="7:14" ht="11.25" customHeight="1" x14ac:dyDescent="0.3">
      <c r="G4825" s="459"/>
      <c r="H4825" s="459">
        <v>4818</v>
      </c>
      <c r="I4825" s="444">
        <f t="shared" ca="1" si="175"/>
        <v>-169555667036861.41</v>
      </c>
      <c r="J4825" s="444">
        <f t="array" ref="J4825">IFERROR(INDEX('Retirement Calculator'!K:K,MATCH('Lorri 401b'!N4825,'Retirement Calculator'!A:A,0),0),0)</f>
        <v>0</v>
      </c>
      <c r="K4825" s="444">
        <f t="shared" ca="1" si="173"/>
        <v>-706481945986.92249</v>
      </c>
      <c r="L4825" s="444">
        <f t="shared" ca="1" si="174"/>
        <v>-170262148982848.34</v>
      </c>
      <c r="M4825" s="460">
        <f t="shared" si="176"/>
        <v>0.05</v>
      </c>
      <c r="N4825" s="464">
        <f t="shared" si="177"/>
        <v>197903</v>
      </c>
    </row>
    <row r="4826" spans="7:14" ht="11.25" customHeight="1" x14ac:dyDescent="0.3">
      <c r="G4826" s="459"/>
      <c r="H4826" s="459">
        <v>4819</v>
      </c>
      <c r="I4826" s="444">
        <f t="shared" ca="1" si="175"/>
        <v>-170262148982848.34</v>
      </c>
      <c r="J4826" s="444">
        <f t="array" ref="J4826">IFERROR(INDEX('Retirement Calculator'!K:K,MATCH('Lorri 401b'!N4826,'Retirement Calculator'!A:A,0),0),0)</f>
        <v>0</v>
      </c>
      <c r="K4826" s="444">
        <f t="shared" ca="1" si="173"/>
        <v>-709425620761.86804</v>
      </c>
      <c r="L4826" s="444">
        <f t="shared" ca="1" si="174"/>
        <v>-170971574603610.22</v>
      </c>
      <c r="M4826" s="460">
        <f t="shared" si="176"/>
        <v>0.05</v>
      </c>
      <c r="N4826" s="464">
        <f t="shared" si="177"/>
        <v>197933</v>
      </c>
    </row>
    <row r="4827" spans="7:14" ht="11.25" customHeight="1" x14ac:dyDescent="0.3">
      <c r="G4827" s="459"/>
      <c r="H4827" s="459">
        <v>4820</v>
      </c>
      <c r="I4827" s="444">
        <f t="shared" ca="1" si="175"/>
        <v>-170971574603610.22</v>
      </c>
      <c r="J4827" s="444">
        <f t="array" ref="J4827">IFERROR(INDEX('Retirement Calculator'!K:K,MATCH('Lorri 401b'!N4827,'Retirement Calculator'!A:A,0),0),0)</f>
        <v>0</v>
      </c>
      <c r="K4827" s="444">
        <f t="shared" ca="1" si="173"/>
        <v>-712381560848.37585</v>
      </c>
      <c r="L4827" s="444">
        <f t="shared" ca="1" si="174"/>
        <v>-171683956164458.59</v>
      </c>
      <c r="M4827" s="460">
        <f t="shared" si="176"/>
        <v>0.05</v>
      </c>
      <c r="N4827" s="464">
        <f t="shared" si="177"/>
        <v>197964</v>
      </c>
    </row>
    <row r="4828" spans="7:14" ht="11.25" customHeight="1" x14ac:dyDescent="0.3">
      <c r="G4828" s="459"/>
      <c r="H4828" s="459">
        <v>4821</v>
      </c>
      <c r="I4828" s="444">
        <f t="shared" ca="1" si="175"/>
        <v>-171683956164458.59</v>
      </c>
      <c r="J4828" s="444">
        <f t="array" ref="J4828">IFERROR(INDEX('Retirement Calculator'!K:K,MATCH('Lorri 401b'!N4828,'Retirement Calculator'!A:A,0),0),0)</f>
        <v>0</v>
      </c>
      <c r="K4828" s="444">
        <f t="shared" ca="1" si="173"/>
        <v>-715349817351.91077</v>
      </c>
      <c r="L4828" s="444">
        <f t="shared" ca="1" si="174"/>
        <v>-172399305981810.5</v>
      </c>
      <c r="M4828" s="460">
        <f t="shared" si="176"/>
        <v>0.05</v>
      </c>
      <c r="N4828" s="464">
        <f t="shared" si="177"/>
        <v>197995</v>
      </c>
    </row>
    <row r="4829" spans="7:14" ht="11.25" customHeight="1" x14ac:dyDescent="0.3">
      <c r="G4829" s="459"/>
      <c r="H4829" s="459">
        <v>4822</v>
      </c>
      <c r="I4829" s="444">
        <f t="shared" ca="1" si="175"/>
        <v>-172399305981810.5</v>
      </c>
      <c r="J4829" s="444">
        <f t="array" ref="J4829">IFERROR(INDEX('Retirement Calculator'!K:K,MATCH('Lorri 401b'!N4829,'Retirement Calculator'!A:A,0),0),0)</f>
        <v>0</v>
      </c>
      <c r="K4829" s="444">
        <f t="shared" ca="1" si="173"/>
        <v>-718330441590.87708</v>
      </c>
      <c r="L4829" s="444">
        <f t="shared" ca="1" si="174"/>
        <v>-173117636423401.38</v>
      </c>
      <c r="M4829" s="460">
        <f t="shared" si="176"/>
        <v>0.05</v>
      </c>
      <c r="N4829" s="464">
        <f t="shared" si="177"/>
        <v>198023</v>
      </c>
    </row>
    <row r="4830" spans="7:14" ht="11.25" customHeight="1" x14ac:dyDescent="0.3">
      <c r="G4830" s="459"/>
      <c r="H4830" s="459">
        <v>4823</v>
      </c>
      <c r="I4830" s="444">
        <f t="shared" ca="1" si="175"/>
        <v>-173117636423401.38</v>
      </c>
      <c r="J4830" s="444">
        <f t="array" ref="J4830">IFERROR(INDEX('Retirement Calculator'!K:K,MATCH('Lorri 401b'!N4830,'Retirement Calculator'!A:A,0),0),0)</f>
        <v>0</v>
      </c>
      <c r="K4830" s="444">
        <f t="shared" ca="1" si="173"/>
        <v>-721323485097.50574</v>
      </c>
      <c r="L4830" s="444">
        <f t="shared" ca="1" si="174"/>
        <v>-173838959908498.88</v>
      </c>
      <c r="M4830" s="460">
        <f t="shared" si="176"/>
        <v>0.05</v>
      </c>
      <c r="N4830" s="464">
        <f t="shared" si="177"/>
        <v>198054</v>
      </c>
    </row>
    <row r="4831" spans="7:14" ht="11.25" customHeight="1" x14ac:dyDescent="0.3">
      <c r="G4831" s="459"/>
      <c r="H4831" s="459">
        <v>4824</v>
      </c>
      <c r="I4831" s="444">
        <f t="shared" ca="1" si="175"/>
        <v>-173838959908498.88</v>
      </c>
      <c r="J4831" s="444">
        <f t="array" ref="J4831">IFERROR(INDEX('Retirement Calculator'!K:K,MATCH('Lorri 401b'!N4831,'Retirement Calculator'!A:A,0),0),0)</f>
        <v>0</v>
      </c>
      <c r="K4831" s="444">
        <f t="shared" ca="1" si="173"/>
        <v>-724328999618.74536</v>
      </c>
      <c r="L4831" s="444">
        <f t="shared" ca="1" si="174"/>
        <v>-174563288908117.63</v>
      </c>
      <c r="M4831" s="460">
        <f t="shared" si="176"/>
        <v>0.05</v>
      </c>
      <c r="N4831" s="464">
        <f t="shared" si="177"/>
        <v>198084</v>
      </c>
    </row>
    <row r="4832" spans="7:14" ht="11.25" customHeight="1" x14ac:dyDescent="0.3">
      <c r="G4832" s="459"/>
      <c r="H4832" s="459">
        <v>4825</v>
      </c>
      <c r="I4832" s="444">
        <f t="shared" ca="1" si="175"/>
        <v>-174563288908117.63</v>
      </c>
      <c r="J4832" s="444">
        <f t="array" ref="J4832">IFERROR(INDEX('Retirement Calculator'!K:K,MATCH('Lorri 401b'!N4832,'Retirement Calculator'!A:A,0),0),0)</f>
        <v>0</v>
      </c>
      <c r="K4832" s="444">
        <f t="shared" ca="1" si="173"/>
        <v>-727347037117.15674</v>
      </c>
      <c r="L4832" s="444">
        <f t="shared" ca="1" si="174"/>
        <v>-175290635945234.78</v>
      </c>
      <c r="M4832" s="460">
        <f t="shared" si="176"/>
        <v>0.05</v>
      </c>
      <c r="N4832" s="464">
        <f t="shared" si="177"/>
        <v>198115</v>
      </c>
    </row>
    <row r="4833" spans="7:14" ht="11.25" customHeight="1" x14ac:dyDescent="0.3">
      <c r="G4833" s="459"/>
      <c r="H4833" s="459">
        <v>4826</v>
      </c>
      <c r="I4833" s="444">
        <f t="shared" ca="1" si="175"/>
        <v>-175290635945234.78</v>
      </c>
      <c r="J4833" s="444">
        <f t="array" ref="J4833">IFERROR(INDEX('Retirement Calculator'!K:K,MATCH('Lorri 401b'!N4833,'Retirement Calculator'!A:A,0),0),0)</f>
        <v>0</v>
      </c>
      <c r="K4833" s="444">
        <f t="shared" ca="1" si="173"/>
        <v>-730377649771.81152</v>
      </c>
      <c r="L4833" s="444">
        <f t="shared" ca="1" si="174"/>
        <v>-176021013595006.59</v>
      </c>
      <c r="M4833" s="460">
        <f t="shared" si="176"/>
        <v>0.05</v>
      </c>
      <c r="N4833" s="464">
        <f t="shared" si="177"/>
        <v>198145</v>
      </c>
    </row>
    <row r="4834" spans="7:14" ht="11.25" customHeight="1" x14ac:dyDescent="0.3">
      <c r="G4834" s="459"/>
      <c r="H4834" s="459">
        <v>4827</v>
      </c>
      <c r="I4834" s="444">
        <f t="shared" ca="1" si="175"/>
        <v>-176021013595006.59</v>
      </c>
      <c r="J4834" s="444">
        <f t="array" ref="J4834">IFERROR(INDEX('Retirement Calculator'!K:K,MATCH('Lorri 401b'!N4834,'Retirement Calculator'!A:A,0),0),0)</f>
        <v>0</v>
      </c>
      <c r="K4834" s="444">
        <f t="shared" ca="1" si="173"/>
        <v>-733420889979.19409</v>
      </c>
      <c r="L4834" s="444">
        <f t="shared" ca="1" si="174"/>
        <v>-176754434484985.78</v>
      </c>
      <c r="M4834" s="460">
        <f t="shared" si="176"/>
        <v>0.05</v>
      </c>
      <c r="N4834" s="464">
        <f t="shared" si="177"/>
        <v>198176</v>
      </c>
    </row>
    <row r="4835" spans="7:14" ht="11.25" customHeight="1" x14ac:dyDescent="0.3">
      <c r="G4835" s="459"/>
      <c r="H4835" s="459">
        <v>4828</v>
      </c>
      <c r="I4835" s="444">
        <f t="shared" ca="1" si="175"/>
        <v>-176754434484985.78</v>
      </c>
      <c r="J4835" s="444">
        <f t="array" ref="J4835">IFERROR(INDEX('Retirement Calculator'!K:K,MATCH('Lorri 401b'!N4835,'Retirement Calculator'!A:A,0),0),0)</f>
        <v>0</v>
      </c>
      <c r="K4835" s="444">
        <f t="shared" ca="1" si="173"/>
        <v>-736476810354.10742</v>
      </c>
      <c r="L4835" s="444">
        <f t="shared" ca="1" si="174"/>
        <v>-177490911295339.88</v>
      </c>
      <c r="M4835" s="460">
        <f t="shared" si="176"/>
        <v>0.05</v>
      </c>
      <c r="N4835" s="464">
        <f t="shared" si="177"/>
        <v>198207</v>
      </c>
    </row>
    <row r="4836" spans="7:14" ht="11.25" customHeight="1" x14ac:dyDescent="0.3">
      <c r="G4836" s="459"/>
      <c r="H4836" s="459">
        <v>4829</v>
      </c>
      <c r="I4836" s="444">
        <f t="shared" ca="1" si="175"/>
        <v>-177490911295339.88</v>
      </c>
      <c r="J4836" s="444">
        <f t="array" ref="J4836">IFERROR(INDEX('Retirement Calculator'!K:K,MATCH('Lorri 401b'!N4836,'Retirement Calculator'!A:A,0),0),0)</f>
        <v>0</v>
      </c>
      <c r="K4836" s="444">
        <f t="shared" ca="1" si="173"/>
        <v>-739545463730.58276</v>
      </c>
      <c r="L4836" s="444">
        <f t="shared" ca="1" si="174"/>
        <v>-178230456759070.47</v>
      </c>
      <c r="M4836" s="460">
        <f t="shared" si="176"/>
        <v>0.05</v>
      </c>
      <c r="N4836" s="464">
        <f t="shared" si="177"/>
        <v>198237</v>
      </c>
    </row>
    <row r="4837" spans="7:14" ht="11.25" customHeight="1" x14ac:dyDescent="0.3">
      <c r="G4837" s="459"/>
      <c r="H4837" s="459">
        <v>4830</v>
      </c>
      <c r="I4837" s="444">
        <f t="shared" ca="1" si="175"/>
        <v>-178230456759070.47</v>
      </c>
      <c r="J4837" s="444">
        <f t="array" ref="J4837">IFERROR(INDEX('Retirement Calculator'!K:K,MATCH('Lorri 401b'!N4837,'Retirement Calculator'!A:A,0),0),0)</f>
        <v>0</v>
      </c>
      <c r="K4837" s="444">
        <f t="shared" ca="1" si="173"/>
        <v>-742626903162.79358</v>
      </c>
      <c r="L4837" s="444">
        <f t="shared" ca="1" si="174"/>
        <v>-178973083662233.25</v>
      </c>
      <c r="M4837" s="460">
        <f t="shared" si="176"/>
        <v>0.05</v>
      </c>
      <c r="N4837" s="464">
        <f t="shared" si="177"/>
        <v>198268</v>
      </c>
    </row>
    <row r="4838" spans="7:14" ht="11.25" customHeight="1" x14ac:dyDescent="0.3">
      <c r="G4838" s="459"/>
      <c r="H4838" s="459">
        <v>4831</v>
      </c>
      <c r="I4838" s="444">
        <f t="shared" ca="1" si="175"/>
        <v>-178973083662233.25</v>
      </c>
      <c r="J4838" s="444">
        <f t="array" ref="J4838">IFERROR(INDEX('Retirement Calculator'!K:K,MATCH('Lorri 401b'!N4838,'Retirement Calculator'!A:A,0),0),0)</f>
        <v>0</v>
      </c>
      <c r="K4838" s="444">
        <f t="shared" ca="1" si="173"/>
        <v>-745721181925.97192</v>
      </c>
      <c r="L4838" s="444">
        <f t="shared" ca="1" si="174"/>
        <v>-179718804844159.22</v>
      </c>
      <c r="M4838" s="460">
        <f t="shared" si="176"/>
        <v>0.05</v>
      </c>
      <c r="N4838" s="464">
        <f t="shared" si="177"/>
        <v>198298</v>
      </c>
    </row>
    <row r="4839" spans="7:14" ht="11.25" customHeight="1" x14ac:dyDescent="0.3">
      <c r="G4839" s="459"/>
      <c r="H4839" s="459">
        <v>4832</v>
      </c>
      <c r="I4839" s="444">
        <f t="shared" ca="1" si="175"/>
        <v>-179718804844159.22</v>
      </c>
      <c r="J4839" s="444">
        <f t="array" ref="J4839">IFERROR(INDEX('Retirement Calculator'!K:K,MATCH('Lorri 401b'!N4839,'Retirement Calculator'!A:A,0),0),0)</f>
        <v>0</v>
      </c>
      <c r="K4839" s="444">
        <f t="shared" ca="1" si="173"/>
        <v>-748828353517.33008</v>
      </c>
      <c r="L4839" s="444">
        <f t="shared" ca="1" si="174"/>
        <v>-180467633197676.56</v>
      </c>
      <c r="M4839" s="460">
        <f t="shared" si="176"/>
        <v>0.05</v>
      </c>
      <c r="N4839" s="464">
        <f t="shared" si="177"/>
        <v>198329</v>
      </c>
    </row>
    <row r="4840" spans="7:14" ht="11.25" customHeight="1" x14ac:dyDescent="0.3">
      <c r="G4840" s="459"/>
      <c r="H4840" s="459">
        <v>4833</v>
      </c>
      <c r="I4840" s="444">
        <f t="shared" ca="1" si="175"/>
        <v>-180467633197676.56</v>
      </c>
      <c r="J4840" s="444">
        <f t="array" ref="J4840">IFERROR(INDEX('Retirement Calculator'!K:K,MATCH('Lorri 401b'!N4840,'Retirement Calculator'!A:A,0),0),0)</f>
        <v>0</v>
      </c>
      <c r="K4840" s="444">
        <f t="shared" ca="1" si="173"/>
        <v>-751948471656.98572</v>
      </c>
      <c r="L4840" s="444">
        <f t="shared" ca="1" si="174"/>
        <v>-181219581669333.56</v>
      </c>
      <c r="M4840" s="460">
        <f t="shared" si="176"/>
        <v>0.05</v>
      </c>
      <c r="N4840" s="464">
        <f t="shared" si="177"/>
        <v>198360</v>
      </c>
    </row>
    <row r="4841" spans="7:14" ht="11.25" customHeight="1" x14ac:dyDescent="0.3">
      <c r="G4841" s="459"/>
      <c r="H4841" s="459">
        <v>4834</v>
      </c>
      <c r="I4841" s="444">
        <f t="shared" ca="1" si="175"/>
        <v>-181219581669333.56</v>
      </c>
      <c r="J4841" s="444">
        <f t="array" ref="J4841">IFERROR(INDEX('Retirement Calculator'!K:K,MATCH('Lorri 401b'!N4841,'Retirement Calculator'!A:A,0),0),0)</f>
        <v>0</v>
      </c>
      <c r="K4841" s="444">
        <f t="shared" ca="1" si="173"/>
        <v>-755081590288.88989</v>
      </c>
      <c r="L4841" s="444">
        <f t="shared" ca="1" si="174"/>
        <v>-181974663259622.44</v>
      </c>
      <c r="M4841" s="460">
        <f t="shared" si="176"/>
        <v>0.05</v>
      </c>
      <c r="N4841" s="464">
        <f t="shared" si="177"/>
        <v>198388</v>
      </c>
    </row>
    <row r="4842" spans="7:14" ht="11.25" customHeight="1" x14ac:dyDescent="0.3">
      <c r="G4842" s="459"/>
      <c r="H4842" s="459">
        <v>4835</v>
      </c>
      <c r="I4842" s="444">
        <f t="shared" ca="1" si="175"/>
        <v>-181974663259622.44</v>
      </c>
      <c r="J4842" s="444">
        <f t="array" ref="J4842">IFERROR(INDEX('Retirement Calculator'!K:K,MATCH('Lorri 401b'!N4842,'Retirement Calculator'!A:A,0),0),0)</f>
        <v>0</v>
      </c>
      <c r="K4842" s="444">
        <f t="shared" ca="1" si="173"/>
        <v>-758227763581.76013</v>
      </c>
      <c r="L4842" s="444">
        <f t="shared" ca="1" si="174"/>
        <v>-182732891023204.19</v>
      </c>
      <c r="M4842" s="460">
        <f t="shared" si="176"/>
        <v>0.05</v>
      </c>
      <c r="N4842" s="464">
        <f t="shared" si="177"/>
        <v>198419</v>
      </c>
    </row>
    <row r="4843" spans="7:14" ht="11.25" customHeight="1" x14ac:dyDescent="0.3">
      <c r="G4843" s="459"/>
      <c r="H4843" s="459">
        <v>4836</v>
      </c>
      <c r="I4843" s="444">
        <f t="shared" ca="1" si="175"/>
        <v>-182732891023204.19</v>
      </c>
      <c r="J4843" s="444">
        <f t="array" ref="J4843">IFERROR(INDEX('Retirement Calculator'!K:K,MATCH('Lorri 401b'!N4843,'Retirement Calculator'!A:A,0),0),0)</f>
        <v>0</v>
      </c>
      <c r="K4843" s="444">
        <f t="shared" ca="1" si="173"/>
        <v>-761387045930.01746</v>
      </c>
      <c r="L4843" s="444">
        <f t="shared" ca="1" si="174"/>
        <v>-183494278069134.22</v>
      </c>
      <c r="M4843" s="460">
        <f t="shared" si="176"/>
        <v>0.05</v>
      </c>
      <c r="N4843" s="464">
        <f t="shared" si="177"/>
        <v>198449</v>
      </c>
    </row>
    <row r="4844" spans="7:14" ht="11.25" customHeight="1" x14ac:dyDescent="0.3">
      <c r="G4844" s="459"/>
      <c r="H4844" s="459">
        <v>4837</v>
      </c>
      <c r="I4844" s="444">
        <f t="shared" ca="1" si="175"/>
        <v>-183494278069134.22</v>
      </c>
      <c r="J4844" s="444">
        <f t="array" ref="J4844">IFERROR(INDEX('Retirement Calculator'!K:K,MATCH('Lorri 401b'!N4844,'Retirement Calculator'!A:A,0),0),0)</f>
        <v>0</v>
      </c>
      <c r="K4844" s="444">
        <f t="shared" ca="1" si="173"/>
        <v>-764559491954.72595</v>
      </c>
      <c r="L4844" s="444">
        <f t="shared" ca="1" si="174"/>
        <v>-184258837561088.94</v>
      </c>
      <c r="M4844" s="460">
        <f t="shared" si="176"/>
        <v>0.05</v>
      </c>
      <c r="N4844" s="464">
        <f t="shared" si="177"/>
        <v>198480</v>
      </c>
    </row>
    <row r="4845" spans="7:14" ht="11.25" customHeight="1" x14ac:dyDescent="0.3">
      <c r="G4845" s="459"/>
      <c r="H4845" s="459">
        <v>4838</v>
      </c>
      <c r="I4845" s="444">
        <f t="shared" ca="1" si="175"/>
        <v>-184258837561088.94</v>
      </c>
      <c r="J4845" s="444">
        <f t="array" ref="J4845">IFERROR(INDEX('Retirement Calculator'!K:K,MATCH('Lorri 401b'!N4845,'Retirement Calculator'!A:A,0),0),0)</f>
        <v>0</v>
      </c>
      <c r="K4845" s="444">
        <f t="shared" ca="1" si="173"/>
        <v>-767745156504.53723</v>
      </c>
      <c r="L4845" s="444">
        <f t="shared" ca="1" si="174"/>
        <v>-185026582717593.47</v>
      </c>
      <c r="M4845" s="460">
        <f t="shared" si="176"/>
        <v>0.05</v>
      </c>
      <c r="N4845" s="464">
        <f t="shared" si="177"/>
        <v>198510</v>
      </c>
    </row>
    <row r="4846" spans="7:14" ht="11.25" customHeight="1" x14ac:dyDescent="0.3">
      <c r="G4846" s="459"/>
      <c r="H4846" s="459">
        <v>4839</v>
      </c>
      <c r="I4846" s="444">
        <f t="shared" ca="1" si="175"/>
        <v>-185026582717593.47</v>
      </c>
      <c r="J4846" s="444">
        <f t="array" ref="J4846">IFERROR(INDEX('Retirement Calculator'!K:K,MATCH('Lorri 401b'!N4846,'Retirement Calculator'!A:A,0),0),0)</f>
        <v>0</v>
      </c>
      <c r="K4846" s="444">
        <f t="shared" ca="1" si="173"/>
        <v>-770944094656.6394</v>
      </c>
      <c r="L4846" s="444">
        <f t="shared" ca="1" si="174"/>
        <v>-185797526812250.09</v>
      </c>
      <c r="M4846" s="460">
        <f t="shared" si="176"/>
        <v>0.05</v>
      </c>
      <c r="N4846" s="464">
        <f t="shared" si="177"/>
        <v>198541</v>
      </c>
    </row>
    <row r="4847" spans="7:14" ht="11.25" customHeight="1" x14ac:dyDescent="0.3">
      <c r="G4847" s="459"/>
      <c r="H4847" s="459">
        <v>4840</v>
      </c>
      <c r="I4847" s="444">
        <f t="shared" ca="1" si="175"/>
        <v>-185797526812250.09</v>
      </c>
      <c r="J4847" s="444">
        <f t="array" ref="J4847">IFERROR(INDEX('Retirement Calculator'!K:K,MATCH('Lorri 401b'!N4847,'Retirement Calculator'!A:A,0),0),0)</f>
        <v>0</v>
      </c>
      <c r="K4847" s="444">
        <f t="shared" ca="1" si="173"/>
        <v>-774156361717.70874</v>
      </c>
      <c r="L4847" s="444">
        <f t="shared" ca="1" si="174"/>
        <v>-186571683173967.81</v>
      </c>
      <c r="M4847" s="460">
        <f t="shared" si="176"/>
        <v>0.05</v>
      </c>
      <c r="N4847" s="464">
        <f t="shared" si="177"/>
        <v>198572</v>
      </c>
    </row>
    <row r="4848" spans="7:14" ht="11.25" customHeight="1" x14ac:dyDescent="0.3">
      <c r="G4848" s="459"/>
      <c r="H4848" s="459">
        <v>4841</v>
      </c>
      <c r="I4848" s="444">
        <f t="shared" ca="1" si="175"/>
        <v>-186571683173967.81</v>
      </c>
      <c r="J4848" s="444">
        <f t="array" ref="J4848">IFERROR(INDEX('Retirement Calculator'!K:K,MATCH('Lorri 401b'!N4848,'Retirement Calculator'!A:A,0),0),0)</f>
        <v>0</v>
      </c>
      <c r="K4848" s="444">
        <f t="shared" ca="1" si="173"/>
        <v>-777382013224.86584</v>
      </c>
      <c r="L4848" s="444">
        <f t="shared" ca="1" si="174"/>
        <v>-187349065187192.69</v>
      </c>
      <c r="M4848" s="460">
        <f t="shared" si="176"/>
        <v>0.05</v>
      </c>
      <c r="N4848" s="464">
        <f t="shared" si="177"/>
        <v>198602</v>
      </c>
    </row>
    <row r="4849" spans="7:14" ht="11.25" customHeight="1" x14ac:dyDescent="0.3">
      <c r="G4849" s="459"/>
      <c r="H4849" s="459">
        <v>4842</v>
      </c>
      <c r="I4849" s="444">
        <f t="shared" ca="1" si="175"/>
        <v>-187349065187192.69</v>
      </c>
      <c r="J4849" s="444">
        <f t="array" ref="J4849">IFERROR(INDEX('Retirement Calculator'!K:K,MATCH('Lorri 401b'!N4849,'Retirement Calculator'!A:A,0),0),0)</f>
        <v>0</v>
      </c>
      <c r="K4849" s="444">
        <f t="shared" ca="1" si="173"/>
        <v>-780621104946.63623</v>
      </c>
      <c r="L4849" s="444">
        <f t="shared" ca="1" si="174"/>
        <v>-188129686292139.31</v>
      </c>
      <c r="M4849" s="460">
        <f t="shared" si="176"/>
        <v>0.05</v>
      </c>
      <c r="N4849" s="464">
        <f t="shared" si="177"/>
        <v>198633</v>
      </c>
    </row>
    <row r="4850" spans="7:14" ht="11.25" customHeight="1" x14ac:dyDescent="0.3">
      <c r="G4850" s="459"/>
      <c r="H4850" s="459">
        <v>4843</v>
      </c>
      <c r="I4850" s="444">
        <f t="shared" ca="1" si="175"/>
        <v>-188129686292139.31</v>
      </c>
      <c r="J4850" s="444">
        <f t="array" ref="J4850">IFERROR(INDEX('Retirement Calculator'!K:K,MATCH('Lorri 401b'!N4850,'Retirement Calculator'!A:A,0),0),0)</f>
        <v>0</v>
      </c>
      <c r="K4850" s="444">
        <f t="shared" ca="1" si="173"/>
        <v>-783873692883.91382</v>
      </c>
      <c r="L4850" s="444">
        <f t="shared" ca="1" si="174"/>
        <v>-188913559985023.22</v>
      </c>
      <c r="M4850" s="460">
        <f t="shared" si="176"/>
        <v>0.05</v>
      </c>
      <c r="N4850" s="464">
        <f t="shared" si="177"/>
        <v>198663</v>
      </c>
    </row>
    <row r="4851" spans="7:14" ht="11.25" customHeight="1" x14ac:dyDescent="0.3">
      <c r="G4851" s="459"/>
      <c r="H4851" s="459">
        <v>4844</v>
      </c>
      <c r="I4851" s="444">
        <f t="shared" ca="1" si="175"/>
        <v>-188913559985023.22</v>
      </c>
      <c r="J4851" s="444">
        <f t="array" ref="J4851">IFERROR(INDEX('Retirement Calculator'!K:K,MATCH('Lorri 401b'!N4851,'Retirement Calculator'!A:A,0),0),0)</f>
        <v>0</v>
      </c>
      <c r="K4851" s="444">
        <f t="shared" ca="1" si="173"/>
        <v>-787139833270.93005</v>
      </c>
      <c r="L4851" s="444">
        <f t="shared" ca="1" si="174"/>
        <v>-189700699818294.16</v>
      </c>
      <c r="M4851" s="460">
        <f t="shared" si="176"/>
        <v>0.05</v>
      </c>
      <c r="N4851" s="464">
        <f t="shared" si="177"/>
        <v>198694</v>
      </c>
    </row>
    <row r="4852" spans="7:14" ht="11.25" customHeight="1" x14ac:dyDescent="0.3">
      <c r="G4852" s="459"/>
      <c r="H4852" s="459">
        <v>4845</v>
      </c>
      <c r="I4852" s="444">
        <f t="shared" ca="1" si="175"/>
        <v>-189700699818294.16</v>
      </c>
      <c r="J4852" s="444">
        <f t="array" ref="J4852">IFERROR(INDEX('Retirement Calculator'!K:K,MATCH('Lorri 401b'!N4852,'Retirement Calculator'!A:A,0),0),0)</f>
        <v>0</v>
      </c>
      <c r="K4852" s="444">
        <f t="shared" ca="1" si="173"/>
        <v>-790419582576.22559</v>
      </c>
      <c r="L4852" s="444">
        <f t="shared" ca="1" si="174"/>
        <v>-190491119400870.38</v>
      </c>
      <c r="M4852" s="460">
        <f t="shared" si="176"/>
        <v>0.05</v>
      </c>
      <c r="N4852" s="464">
        <f t="shared" si="177"/>
        <v>198725</v>
      </c>
    </row>
    <row r="4853" spans="7:14" ht="11.25" customHeight="1" x14ac:dyDescent="0.3">
      <c r="G4853" s="459"/>
      <c r="H4853" s="459">
        <v>4846</v>
      </c>
      <c r="I4853" s="444">
        <f t="shared" ca="1" si="175"/>
        <v>-190491119400870.38</v>
      </c>
      <c r="J4853" s="444">
        <f t="array" ref="J4853">IFERROR(INDEX('Retirement Calculator'!K:K,MATCH('Lorri 401b'!N4853,'Retirement Calculator'!A:A,0),0),0)</f>
        <v>0</v>
      </c>
      <c r="K4853" s="444">
        <f t="shared" ref="K4853:K5107" ca="1" si="178">IPMT(M4853/12,1,12,-I4853+J4853,,0)</f>
        <v>-793712997503.62659</v>
      </c>
      <c r="L4853" s="444">
        <f t="shared" ref="L4853:L5107" ca="1" si="179">I4853-J4853+K4853</f>
        <v>-191284832398374</v>
      </c>
      <c r="M4853" s="460">
        <f t="shared" si="176"/>
        <v>0.05</v>
      </c>
      <c r="N4853" s="464">
        <f t="shared" si="177"/>
        <v>198754</v>
      </c>
    </row>
    <row r="4854" spans="7:14" ht="11.25" customHeight="1" x14ac:dyDescent="0.3">
      <c r="G4854" s="459"/>
      <c r="H4854" s="459">
        <v>4847</v>
      </c>
      <c r="I4854" s="444">
        <f t="shared" ref="I4854:I5108" ca="1" si="180">L4853</f>
        <v>-191284832398374</v>
      </c>
      <c r="J4854" s="444">
        <f t="array" ref="J4854">IFERROR(INDEX('Retirement Calculator'!K:K,MATCH('Lorri 401b'!N4854,'Retirement Calculator'!A:A,0),0),0)</f>
        <v>0</v>
      </c>
      <c r="K4854" s="444">
        <f t="shared" ca="1" si="178"/>
        <v>-797020134993.22498</v>
      </c>
      <c r="L4854" s="444">
        <f t="shared" ca="1" si="179"/>
        <v>-192081852533367.22</v>
      </c>
      <c r="M4854" s="460">
        <f t="shared" ref="M4854:M5108" si="181">M4853</f>
        <v>0.05</v>
      </c>
      <c r="N4854" s="464">
        <f t="shared" ref="N4854:N5108" si="182">EDATE(N4853,1)</f>
        <v>198785</v>
      </c>
    </row>
    <row r="4855" spans="7:14" ht="11.25" customHeight="1" x14ac:dyDescent="0.3">
      <c r="G4855" s="459"/>
      <c r="H4855" s="459">
        <v>4848</v>
      </c>
      <c r="I4855" s="444">
        <f t="shared" ca="1" si="180"/>
        <v>-192081852533367.22</v>
      </c>
      <c r="J4855" s="444">
        <f t="array" ref="J4855">IFERROR(INDEX('Retirement Calculator'!K:K,MATCH('Lorri 401b'!N4855,'Retirement Calculator'!A:A,0),0),0)</f>
        <v>0</v>
      </c>
      <c r="K4855" s="444">
        <f t="shared" ca="1" si="178"/>
        <v>-800341052222.3634</v>
      </c>
      <c r="L4855" s="444">
        <f t="shared" ca="1" si="179"/>
        <v>-192882193585589.59</v>
      </c>
      <c r="M4855" s="460">
        <f t="shared" si="181"/>
        <v>0.05</v>
      </c>
      <c r="N4855" s="464">
        <f t="shared" si="182"/>
        <v>198815</v>
      </c>
    </row>
    <row r="4856" spans="7:14" ht="11.25" customHeight="1" x14ac:dyDescent="0.3">
      <c r="G4856" s="459"/>
      <c r="H4856" s="459">
        <v>4849</v>
      </c>
      <c r="I4856" s="444">
        <f t="shared" ca="1" si="180"/>
        <v>-192882193585589.59</v>
      </c>
      <c r="J4856" s="444">
        <f t="array" ref="J4856">IFERROR(INDEX('Retirement Calculator'!K:K,MATCH('Lorri 401b'!N4856,'Retirement Calculator'!A:A,0),0),0)</f>
        <v>0</v>
      </c>
      <c r="K4856" s="444">
        <f t="shared" ca="1" si="178"/>
        <v>-803675806606.62329</v>
      </c>
      <c r="L4856" s="444">
        <f t="shared" ca="1" si="179"/>
        <v>-193685869392196.22</v>
      </c>
      <c r="M4856" s="460">
        <f t="shared" si="181"/>
        <v>0.05</v>
      </c>
      <c r="N4856" s="464">
        <f t="shared" si="182"/>
        <v>198846</v>
      </c>
    </row>
    <row r="4857" spans="7:14" ht="11.25" customHeight="1" x14ac:dyDescent="0.3">
      <c r="G4857" s="459"/>
      <c r="H4857" s="459">
        <v>4850</v>
      </c>
      <c r="I4857" s="444">
        <f t="shared" ca="1" si="180"/>
        <v>-193685869392196.22</v>
      </c>
      <c r="J4857" s="444">
        <f t="array" ref="J4857">IFERROR(INDEX('Retirement Calculator'!K:K,MATCH('Lorri 401b'!N4857,'Retirement Calculator'!A:A,0),0),0)</f>
        <v>0</v>
      </c>
      <c r="K4857" s="444">
        <f t="shared" ca="1" si="178"/>
        <v>-807024455800.81763</v>
      </c>
      <c r="L4857" s="444">
        <f t="shared" ca="1" si="179"/>
        <v>-194492893847997.03</v>
      </c>
      <c r="M4857" s="460">
        <f t="shared" si="181"/>
        <v>0.05</v>
      </c>
      <c r="N4857" s="464">
        <f t="shared" si="182"/>
        <v>198876</v>
      </c>
    </row>
    <row r="4858" spans="7:14" ht="11.25" customHeight="1" x14ac:dyDescent="0.3">
      <c r="G4858" s="459"/>
      <c r="H4858" s="459">
        <v>4851</v>
      </c>
      <c r="I4858" s="444">
        <f t="shared" ca="1" si="180"/>
        <v>-194492893847997.03</v>
      </c>
      <c r="J4858" s="444">
        <f t="array" ref="J4858">IFERROR(INDEX('Retirement Calculator'!K:K,MATCH('Lorri 401b'!N4858,'Retirement Calculator'!A:A,0),0),0)</f>
        <v>0</v>
      </c>
      <c r="K4858" s="444">
        <f t="shared" ca="1" si="178"/>
        <v>-810387057699.98767</v>
      </c>
      <c r="L4858" s="444">
        <f t="shared" ca="1" si="179"/>
        <v>-195303280905697.03</v>
      </c>
      <c r="M4858" s="460">
        <f t="shared" si="181"/>
        <v>0.05</v>
      </c>
      <c r="N4858" s="464">
        <f t="shared" si="182"/>
        <v>198907</v>
      </c>
    </row>
    <row r="4859" spans="7:14" ht="11.25" customHeight="1" x14ac:dyDescent="0.3">
      <c r="G4859" s="459"/>
      <c r="H4859" s="459">
        <v>4852</v>
      </c>
      <c r="I4859" s="444">
        <f t="shared" ca="1" si="180"/>
        <v>-195303280905697.03</v>
      </c>
      <c r="J4859" s="444">
        <f t="array" ref="J4859">IFERROR(INDEX('Retirement Calculator'!K:K,MATCH('Lorri 401b'!N4859,'Retirement Calculator'!A:A,0),0),0)</f>
        <v>0</v>
      </c>
      <c r="K4859" s="444">
        <f t="shared" ca="1" si="178"/>
        <v>-813763670440.4043</v>
      </c>
      <c r="L4859" s="444">
        <f t="shared" ca="1" si="179"/>
        <v>-196117044576137.44</v>
      </c>
      <c r="M4859" s="460">
        <f t="shared" si="181"/>
        <v>0.05</v>
      </c>
      <c r="N4859" s="464">
        <f t="shared" si="182"/>
        <v>198938</v>
      </c>
    </row>
    <row r="4860" spans="7:14" ht="11.25" customHeight="1" x14ac:dyDescent="0.3">
      <c r="G4860" s="459"/>
      <c r="H4860" s="459">
        <v>4853</v>
      </c>
      <c r="I4860" s="444">
        <f t="shared" ca="1" si="180"/>
        <v>-196117044576137.44</v>
      </c>
      <c r="J4860" s="444">
        <f t="array" ref="J4860">IFERROR(INDEX('Retirement Calculator'!K:K,MATCH('Lorri 401b'!N4860,'Retirement Calculator'!A:A,0),0),0)</f>
        <v>0</v>
      </c>
      <c r="K4860" s="444">
        <f t="shared" ca="1" si="178"/>
        <v>-817154352400.57263</v>
      </c>
      <c r="L4860" s="444">
        <f t="shared" ca="1" si="179"/>
        <v>-196934198928538</v>
      </c>
      <c r="M4860" s="460">
        <f t="shared" si="181"/>
        <v>0.05</v>
      </c>
      <c r="N4860" s="464">
        <f t="shared" si="182"/>
        <v>198968</v>
      </c>
    </row>
    <row r="4861" spans="7:14" ht="11.25" customHeight="1" x14ac:dyDescent="0.3">
      <c r="G4861" s="459"/>
      <c r="H4861" s="459">
        <v>4854</v>
      </c>
      <c r="I4861" s="444">
        <f t="shared" ca="1" si="180"/>
        <v>-196934198928538</v>
      </c>
      <c r="J4861" s="444">
        <f t="array" ref="J4861">IFERROR(INDEX('Retirement Calculator'!K:K,MATCH('Lorri 401b'!N4861,'Retirement Calculator'!A:A,0),0),0)</f>
        <v>0</v>
      </c>
      <c r="K4861" s="444">
        <f t="shared" ca="1" si="178"/>
        <v>-820559162202.2417</v>
      </c>
      <c r="L4861" s="444">
        <f t="shared" ca="1" si="179"/>
        <v>-197754758090740.25</v>
      </c>
      <c r="M4861" s="460">
        <f t="shared" si="181"/>
        <v>0.05</v>
      </c>
      <c r="N4861" s="464">
        <f t="shared" si="182"/>
        <v>198999</v>
      </c>
    </row>
    <row r="4862" spans="7:14" ht="11.25" customHeight="1" x14ac:dyDescent="0.3">
      <c r="G4862" s="459"/>
      <c r="H4862" s="459">
        <v>4855</v>
      </c>
      <c r="I4862" s="444">
        <f t="shared" ca="1" si="180"/>
        <v>-197754758090740.25</v>
      </c>
      <c r="J4862" s="444">
        <f t="array" ref="J4862">IFERROR(INDEX('Retirement Calculator'!K:K,MATCH('Lorri 401b'!N4862,'Retirement Calculator'!A:A,0),0),0)</f>
        <v>0</v>
      </c>
      <c r="K4862" s="444">
        <f t="shared" ca="1" si="178"/>
        <v>-823978158711.41772</v>
      </c>
      <c r="L4862" s="444">
        <f t="shared" ca="1" si="179"/>
        <v>-198578736249451.66</v>
      </c>
      <c r="M4862" s="460">
        <f t="shared" si="181"/>
        <v>0.05</v>
      </c>
      <c r="N4862" s="464">
        <f t="shared" si="182"/>
        <v>199029</v>
      </c>
    </row>
    <row r="4863" spans="7:14" ht="11.25" customHeight="1" x14ac:dyDescent="0.3">
      <c r="G4863" s="459"/>
      <c r="H4863" s="459">
        <v>4856</v>
      </c>
      <c r="I4863" s="444">
        <f t="shared" ca="1" si="180"/>
        <v>-198578736249451.66</v>
      </c>
      <c r="J4863" s="444">
        <f t="array" ref="J4863">IFERROR(INDEX('Retirement Calculator'!K:K,MATCH('Lorri 401b'!N4863,'Retirement Calculator'!A:A,0),0),0)</f>
        <v>0</v>
      </c>
      <c r="K4863" s="444">
        <f t="shared" ca="1" si="178"/>
        <v>-827411401039.38184</v>
      </c>
      <c r="L4863" s="444">
        <f t="shared" ca="1" si="179"/>
        <v>-199406147650491.03</v>
      </c>
      <c r="M4863" s="460">
        <f t="shared" si="181"/>
        <v>0.05</v>
      </c>
      <c r="N4863" s="464">
        <f t="shared" si="182"/>
        <v>199060</v>
      </c>
    </row>
    <row r="4864" spans="7:14" ht="11.25" customHeight="1" x14ac:dyDescent="0.3">
      <c r="G4864" s="459"/>
      <c r="H4864" s="459">
        <v>4857</v>
      </c>
      <c r="I4864" s="444">
        <f t="shared" ca="1" si="180"/>
        <v>-199406147650491.03</v>
      </c>
      <c r="J4864" s="444">
        <f t="array" ref="J4864">IFERROR(INDEX('Retirement Calculator'!K:K,MATCH('Lorri 401b'!N4864,'Retirement Calculator'!A:A,0),0),0)</f>
        <v>0</v>
      </c>
      <c r="K4864" s="444">
        <f t="shared" ca="1" si="178"/>
        <v>-830858948543.71265</v>
      </c>
      <c r="L4864" s="444">
        <f t="shared" ca="1" si="179"/>
        <v>-200237006599034.75</v>
      </c>
      <c r="M4864" s="460">
        <f t="shared" si="181"/>
        <v>0.05</v>
      </c>
      <c r="N4864" s="464">
        <f t="shared" si="182"/>
        <v>199091</v>
      </c>
    </row>
    <row r="4865" spans="7:14" ht="11.25" customHeight="1" x14ac:dyDescent="0.3">
      <c r="G4865" s="459"/>
      <c r="H4865" s="459">
        <v>4858</v>
      </c>
      <c r="I4865" s="444">
        <f t="shared" ca="1" si="180"/>
        <v>-200237006599034.75</v>
      </c>
      <c r="J4865" s="444">
        <f t="array" ref="J4865">IFERROR(INDEX('Retirement Calculator'!K:K,MATCH('Lorri 401b'!N4865,'Retirement Calculator'!A:A,0),0),0)</f>
        <v>0</v>
      </c>
      <c r="K4865" s="444">
        <f t="shared" ca="1" si="178"/>
        <v>-834320860829.3114</v>
      </c>
      <c r="L4865" s="444">
        <f t="shared" ca="1" si="179"/>
        <v>-201071327459864.06</v>
      </c>
      <c r="M4865" s="460">
        <f t="shared" si="181"/>
        <v>0.05</v>
      </c>
      <c r="N4865" s="464">
        <f t="shared" si="182"/>
        <v>199119</v>
      </c>
    </row>
    <row r="4866" spans="7:14" ht="11.25" customHeight="1" x14ac:dyDescent="0.3">
      <c r="G4866" s="459"/>
      <c r="H4866" s="459">
        <v>4859</v>
      </c>
      <c r="I4866" s="444">
        <f t="shared" ca="1" si="180"/>
        <v>-201071327459864.06</v>
      </c>
      <c r="J4866" s="444">
        <f t="array" ref="J4866">IFERROR(INDEX('Retirement Calculator'!K:K,MATCH('Lorri 401b'!N4866,'Retirement Calculator'!A:A,0),0),0)</f>
        <v>0</v>
      </c>
      <c r="K4866" s="444">
        <f t="shared" ca="1" si="178"/>
        <v>-837797197749.43359</v>
      </c>
      <c r="L4866" s="444">
        <f t="shared" ca="1" si="179"/>
        <v>-201909124657613.5</v>
      </c>
      <c r="M4866" s="460">
        <f t="shared" si="181"/>
        <v>0.05</v>
      </c>
      <c r="N4866" s="464">
        <f t="shared" si="182"/>
        <v>199150</v>
      </c>
    </row>
    <row r="4867" spans="7:14" ht="11.25" customHeight="1" x14ac:dyDescent="0.3">
      <c r="G4867" s="459"/>
      <c r="H4867" s="459">
        <v>4860</v>
      </c>
      <c r="I4867" s="444">
        <f t="shared" ca="1" si="180"/>
        <v>-201909124657613.5</v>
      </c>
      <c r="J4867" s="444">
        <f t="array" ref="J4867">IFERROR(INDEX('Retirement Calculator'!K:K,MATCH('Lorri 401b'!N4867,'Retirement Calculator'!A:A,0),0),0)</f>
        <v>0</v>
      </c>
      <c r="K4867" s="444">
        <f t="shared" ca="1" si="178"/>
        <v>-841288019406.7229</v>
      </c>
      <c r="L4867" s="444">
        <f t="shared" ca="1" si="179"/>
        <v>-202750412677020.22</v>
      </c>
      <c r="M4867" s="460">
        <f t="shared" si="181"/>
        <v>0.05</v>
      </c>
      <c r="N4867" s="464">
        <f t="shared" si="182"/>
        <v>199180</v>
      </c>
    </row>
    <row r="4868" spans="7:14" ht="11.25" customHeight="1" x14ac:dyDescent="0.3">
      <c r="G4868" s="459"/>
      <c r="H4868" s="459">
        <v>4861</v>
      </c>
      <c r="I4868" s="444">
        <f t="shared" ca="1" si="180"/>
        <v>-202750412677020.22</v>
      </c>
      <c r="J4868" s="444">
        <f t="array" ref="J4868">IFERROR(INDEX('Retirement Calculator'!K:K,MATCH('Lorri 401b'!N4868,'Retirement Calculator'!A:A,0),0),0)</f>
        <v>0</v>
      </c>
      <c r="K4868" s="444">
        <f t="shared" ca="1" si="178"/>
        <v>-844793386154.25085</v>
      </c>
      <c r="L4868" s="444">
        <f t="shared" ca="1" si="179"/>
        <v>-203595206063174.47</v>
      </c>
      <c r="M4868" s="460">
        <f t="shared" si="181"/>
        <v>0.05</v>
      </c>
      <c r="N4868" s="464">
        <f t="shared" si="182"/>
        <v>199211</v>
      </c>
    </row>
    <row r="4869" spans="7:14" ht="11.25" customHeight="1" x14ac:dyDescent="0.3">
      <c r="G4869" s="459"/>
      <c r="H4869" s="459">
        <v>4862</v>
      </c>
      <c r="I4869" s="444">
        <f t="shared" ca="1" si="180"/>
        <v>-203595206063174.47</v>
      </c>
      <c r="J4869" s="444">
        <f t="array" ref="J4869">IFERROR(INDEX('Retirement Calculator'!K:K,MATCH('Lorri 401b'!N4869,'Retirement Calculator'!A:A,0),0),0)</f>
        <v>0</v>
      </c>
      <c r="K4869" s="444">
        <f t="shared" ca="1" si="178"/>
        <v>-848313358596.5603</v>
      </c>
      <c r="L4869" s="444">
        <f t="shared" ca="1" si="179"/>
        <v>-204443519421771.03</v>
      </c>
      <c r="M4869" s="460">
        <f t="shared" si="181"/>
        <v>0.05</v>
      </c>
      <c r="N4869" s="464">
        <f t="shared" si="182"/>
        <v>199241</v>
      </c>
    </row>
    <row r="4870" spans="7:14" ht="11.25" customHeight="1" x14ac:dyDescent="0.3">
      <c r="G4870" s="459"/>
      <c r="H4870" s="459">
        <v>4863</v>
      </c>
      <c r="I4870" s="444">
        <f t="shared" ca="1" si="180"/>
        <v>-204443519421771.03</v>
      </c>
      <c r="J4870" s="444">
        <f t="array" ref="J4870">IFERROR(INDEX('Retirement Calculator'!K:K,MATCH('Lorri 401b'!N4870,'Retirement Calculator'!A:A,0),0),0)</f>
        <v>0</v>
      </c>
      <c r="K4870" s="444">
        <f t="shared" ca="1" si="178"/>
        <v>-851847997590.71265</v>
      </c>
      <c r="L4870" s="444">
        <f t="shared" ca="1" si="179"/>
        <v>-205295367419361.75</v>
      </c>
      <c r="M4870" s="460">
        <f t="shared" si="181"/>
        <v>0.05</v>
      </c>
      <c r="N4870" s="464">
        <f t="shared" si="182"/>
        <v>199272</v>
      </c>
    </row>
    <row r="4871" spans="7:14" ht="11.25" customHeight="1" x14ac:dyDescent="0.3">
      <c r="G4871" s="459"/>
      <c r="H4871" s="459">
        <v>4864</v>
      </c>
      <c r="I4871" s="444">
        <f t="shared" ca="1" si="180"/>
        <v>-205295367419361.75</v>
      </c>
      <c r="J4871" s="444">
        <f t="array" ref="J4871">IFERROR(INDEX('Retirement Calculator'!K:K,MATCH('Lorri 401b'!N4871,'Retirement Calculator'!A:A,0),0),0)</f>
        <v>0</v>
      </c>
      <c r="K4871" s="444">
        <f t="shared" ca="1" si="178"/>
        <v>-855397364247.34058</v>
      </c>
      <c r="L4871" s="444">
        <f t="shared" ca="1" si="179"/>
        <v>-206150764783609.09</v>
      </c>
      <c r="M4871" s="460">
        <f t="shared" si="181"/>
        <v>0.05</v>
      </c>
      <c r="N4871" s="464">
        <f t="shared" si="182"/>
        <v>199303</v>
      </c>
    </row>
    <row r="4872" spans="7:14" ht="11.25" customHeight="1" x14ac:dyDescent="0.3">
      <c r="G4872" s="459"/>
      <c r="H4872" s="459">
        <v>4865</v>
      </c>
      <c r="I4872" s="444">
        <f t="shared" ca="1" si="180"/>
        <v>-206150764783609.09</v>
      </c>
      <c r="J4872" s="444">
        <f t="array" ref="J4872">IFERROR(INDEX('Retirement Calculator'!K:K,MATCH('Lorri 401b'!N4872,'Retirement Calculator'!A:A,0),0),0)</f>
        <v>0</v>
      </c>
      <c r="K4872" s="444">
        <f t="shared" ca="1" si="178"/>
        <v>-858961519931.70459</v>
      </c>
      <c r="L4872" s="444">
        <f t="shared" ca="1" si="179"/>
        <v>-207009726303540.81</v>
      </c>
      <c r="M4872" s="460">
        <f t="shared" si="181"/>
        <v>0.05</v>
      </c>
      <c r="N4872" s="464">
        <f t="shared" si="182"/>
        <v>199333</v>
      </c>
    </row>
    <row r="4873" spans="7:14" ht="11.25" customHeight="1" x14ac:dyDescent="0.3">
      <c r="G4873" s="459"/>
      <c r="H4873" s="459">
        <v>4866</v>
      </c>
      <c r="I4873" s="444">
        <f t="shared" ca="1" si="180"/>
        <v>-207009726303540.81</v>
      </c>
      <c r="J4873" s="444">
        <f t="array" ref="J4873">IFERROR(INDEX('Retirement Calculator'!K:K,MATCH('Lorri 401b'!N4873,'Retirement Calculator'!A:A,0),0),0)</f>
        <v>0</v>
      </c>
      <c r="K4873" s="444">
        <f t="shared" ca="1" si="178"/>
        <v>-862540526264.75342</v>
      </c>
      <c r="L4873" s="444">
        <f t="shared" ca="1" si="179"/>
        <v>-207872266829805.56</v>
      </c>
      <c r="M4873" s="460">
        <f t="shared" si="181"/>
        <v>0.05</v>
      </c>
      <c r="N4873" s="464">
        <f t="shared" si="182"/>
        <v>199364</v>
      </c>
    </row>
    <row r="4874" spans="7:14" ht="11.25" customHeight="1" x14ac:dyDescent="0.3">
      <c r="G4874" s="459"/>
      <c r="H4874" s="459">
        <v>4867</v>
      </c>
      <c r="I4874" s="444">
        <f t="shared" ca="1" si="180"/>
        <v>-207872266829805.56</v>
      </c>
      <c r="J4874" s="444">
        <f t="array" ref="J4874">IFERROR(INDEX('Retirement Calculator'!K:K,MATCH('Lorri 401b'!N4874,'Retirement Calculator'!A:A,0),0),0)</f>
        <v>0</v>
      </c>
      <c r="K4874" s="444">
        <f t="shared" ca="1" si="178"/>
        <v>-866134445124.18982</v>
      </c>
      <c r="L4874" s="444">
        <f t="shared" ca="1" si="179"/>
        <v>-208738401274929.75</v>
      </c>
      <c r="M4874" s="460">
        <f t="shared" si="181"/>
        <v>0.05</v>
      </c>
      <c r="N4874" s="464">
        <f t="shared" si="182"/>
        <v>199394</v>
      </c>
    </row>
    <row r="4875" spans="7:14" ht="11.25" customHeight="1" x14ac:dyDescent="0.3">
      <c r="G4875" s="459"/>
      <c r="H4875" s="459">
        <v>4868</v>
      </c>
      <c r="I4875" s="444">
        <f t="shared" ca="1" si="180"/>
        <v>-208738401274929.75</v>
      </c>
      <c r="J4875" s="444">
        <f t="array" ref="J4875">IFERROR(INDEX('Retirement Calculator'!K:K,MATCH('Lorri 401b'!N4875,'Retirement Calculator'!A:A,0),0),0)</f>
        <v>0</v>
      </c>
      <c r="K4875" s="444">
        <f t="shared" ca="1" si="178"/>
        <v>-869743338645.54065</v>
      </c>
      <c r="L4875" s="444">
        <f t="shared" ca="1" si="179"/>
        <v>-209608144613575.28</v>
      </c>
      <c r="M4875" s="460">
        <f t="shared" si="181"/>
        <v>0.05</v>
      </c>
      <c r="N4875" s="464">
        <f t="shared" si="182"/>
        <v>199425</v>
      </c>
    </row>
    <row r="4876" spans="7:14" ht="11.25" customHeight="1" x14ac:dyDescent="0.3">
      <c r="G4876" s="459"/>
      <c r="H4876" s="459">
        <v>4869</v>
      </c>
      <c r="I4876" s="444">
        <f t="shared" ca="1" si="180"/>
        <v>-209608144613575.28</v>
      </c>
      <c r="J4876" s="444">
        <f t="array" ref="J4876">IFERROR(INDEX('Retirement Calculator'!K:K,MATCH('Lorri 401b'!N4876,'Retirement Calculator'!A:A,0),0),0)</f>
        <v>0</v>
      </c>
      <c r="K4876" s="444">
        <f t="shared" ca="1" si="178"/>
        <v>-873367269223.23035</v>
      </c>
      <c r="L4876" s="444">
        <f t="shared" ca="1" si="179"/>
        <v>-210481511882798.5</v>
      </c>
      <c r="M4876" s="460">
        <f t="shared" si="181"/>
        <v>0.05</v>
      </c>
      <c r="N4876" s="464">
        <f t="shared" si="182"/>
        <v>199456</v>
      </c>
    </row>
    <row r="4877" spans="7:14" ht="11.25" customHeight="1" x14ac:dyDescent="0.3">
      <c r="G4877" s="459"/>
      <c r="H4877" s="459">
        <v>4870</v>
      </c>
      <c r="I4877" s="444">
        <f t="shared" ca="1" si="180"/>
        <v>-210481511882798.5</v>
      </c>
      <c r="J4877" s="444">
        <f t="array" ref="J4877">IFERROR(INDEX('Retirement Calculator'!K:K,MATCH('Lorri 401b'!N4877,'Retirement Calculator'!A:A,0),0),0)</f>
        <v>0</v>
      </c>
      <c r="K4877" s="444">
        <f t="shared" ca="1" si="178"/>
        <v>-877006299511.6604</v>
      </c>
      <c r="L4877" s="444">
        <f t="shared" ca="1" si="179"/>
        <v>-211358518182310.16</v>
      </c>
      <c r="M4877" s="460">
        <f t="shared" si="181"/>
        <v>0.05</v>
      </c>
      <c r="N4877" s="464">
        <f t="shared" si="182"/>
        <v>199484</v>
      </c>
    </row>
    <row r="4878" spans="7:14" ht="11.25" customHeight="1" x14ac:dyDescent="0.3">
      <c r="G4878" s="459"/>
      <c r="H4878" s="459">
        <v>4871</v>
      </c>
      <c r="I4878" s="444">
        <f t="shared" ca="1" si="180"/>
        <v>-211358518182310.16</v>
      </c>
      <c r="J4878" s="444">
        <f t="array" ref="J4878">IFERROR(INDEX('Retirement Calculator'!K:K,MATCH('Lorri 401b'!N4878,'Retirement Calculator'!A:A,0),0),0)</f>
        <v>0</v>
      </c>
      <c r="K4878" s="444">
        <f t="shared" ca="1" si="178"/>
        <v>-880660492426.29236</v>
      </c>
      <c r="L4878" s="444">
        <f t="shared" ca="1" si="179"/>
        <v>-212239178674736.44</v>
      </c>
      <c r="M4878" s="460">
        <f t="shared" si="181"/>
        <v>0.05</v>
      </c>
      <c r="N4878" s="464">
        <f t="shared" si="182"/>
        <v>199515</v>
      </c>
    </row>
    <row r="4879" spans="7:14" ht="11.25" customHeight="1" x14ac:dyDescent="0.3">
      <c r="G4879" s="459"/>
      <c r="H4879" s="459">
        <v>4872</v>
      </c>
      <c r="I4879" s="444">
        <f t="shared" ca="1" si="180"/>
        <v>-212239178674736.44</v>
      </c>
      <c r="J4879" s="444">
        <f t="array" ref="J4879">IFERROR(INDEX('Retirement Calculator'!K:K,MATCH('Lorri 401b'!N4879,'Retirement Calculator'!A:A,0),0),0)</f>
        <v>0</v>
      </c>
      <c r="K4879" s="444">
        <f t="shared" ca="1" si="178"/>
        <v>-884329911144.73511</v>
      </c>
      <c r="L4879" s="444">
        <f t="shared" ca="1" si="179"/>
        <v>-213123508585881.19</v>
      </c>
      <c r="M4879" s="460">
        <f t="shared" si="181"/>
        <v>0.05</v>
      </c>
      <c r="N4879" s="464">
        <f t="shared" si="182"/>
        <v>199545</v>
      </c>
    </row>
    <row r="4880" spans="7:14" ht="11.25" customHeight="1" x14ac:dyDescent="0.3">
      <c r="G4880" s="459"/>
      <c r="H4880" s="459">
        <v>4873</v>
      </c>
      <c r="I4880" s="444">
        <f t="shared" ca="1" si="180"/>
        <v>-213123508585881.19</v>
      </c>
      <c r="J4880" s="444">
        <f t="array" ref="J4880">IFERROR(INDEX('Retirement Calculator'!K:K,MATCH('Lorri 401b'!N4880,'Retirement Calculator'!A:A,0),0),0)</f>
        <v>0</v>
      </c>
      <c r="K4880" s="444">
        <f t="shared" ca="1" si="178"/>
        <v>-888014619107.83826</v>
      </c>
      <c r="L4880" s="444">
        <f t="shared" ca="1" si="179"/>
        <v>-214011523204989.03</v>
      </c>
      <c r="M4880" s="460">
        <f t="shared" si="181"/>
        <v>0.05</v>
      </c>
      <c r="N4880" s="464">
        <f t="shared" si="182"/>
        <v>199576</v>
      </c>
    </row>
    <row r="4881" spans="7:14" ht="11.25" customHeight="1" x14ac:dyDescent="0.3">
      <c r="G4881" s="459"/>
      <c r="H4881" s="459">
        <v>4874</v>
      </c>
      <c r="I4881" s="444">
        <f t="shared" ca="1" si="180"/>
        <v>-214011523204989.03</v>
      </c>
      <c r="J4881" s="444">
        <f t="array" ref="J4881">IFERROR(INDEX('Retirement Calculator'!K:K,MATCH('Lorri 401b'!N4881,'Retirement Calculator'!A:A,0),0),0)</f>
        <v>0</v>
      </c>
      <c r="K4881" s="444">
        <f t="shared" ca="1" si="178"/>
        <v>-891714680020.7876</v>
      </c>
      <c r="L4881" s="444">
        <f t="shared" ca="1" si="179"/>
        <v>-214903237885009.81</v>
      </c>
      <c r="M4881" s="460">
        <f t="shared" si="181"/>
        <v>0.05</v>
      </c>
      <c r="N4881" s="464">
        <f t="shared" si="182"/>
        <v>199606</v>
      </c>
    </row>
    <row r="4882" spans="7:14" ht="11.25" customHeight="1" x14ac:dyDescent="0.3">
      <c r="G4882" s="459"/>
      <c r="H4882" s="459">
        <v>4875</v>
      </c>
      <c r="I4882" s="444">
        <f t="shared" ca="1" si="180"/>
        <v>-214903237885009.81</v>
      </c>
      <c r="J4882" s="444">
        <f t="array" ref="J4882">IFERROR(INDEX('Retirement Calculator'!K:K,MATCH('Lorri 401b'!N4882,'Retirement Calculator'!A:A,0),0),0)</f>
        <v>0</v>
      </c>
      <c r="K4882" s="444">
        <f t="shared" ca="1" si="178"/>
        <v>-895430157854.20752</v>
      </c>
      <c r="L4882" s="444">
        <f t="shared" ca="1" si="179"/>
        <v>-215798668042864.03</v>
      </c>
      <c r="M4882" s="460">
        <f t="shared" si="181"/>
        <v>0.05</v>
      </c>
      <c r="N4882" s="464">
        <f t="shared" si="182"/>
        <v>199637</v>
      </c>
    </row>
    <row r="4883" spans="7:14" ht="11.25" customHeight="1" x14ac:dyDescent="0.3">
      <c r="G4883" s="459"/>
      <c r="H4883" s="459">
        <v>4876</v>
      </c>
      <c r="I4883" s="444">
        <f t="shared" ca="1" si="180"/>
        <v>-215798668042864.03</v>
      </c>
      <c r="J4883" s="444">
        <f t="array" ref="J4883">IFERROR(INDEX('Retirement Calculator'!K:K,MATCH('Lorri 401b'!N4883,'Retirement Calculator'!A:A,0),0),0)</f>
        <v>0</v>
      </c>
      <c r="K4883" s="444">
        <f t="shared" ca="1" si="178"/>
        <v>-899161116845.26672</v>
      </c>
      <c r="L4883" s="444">
        <f t="shared" ca="1" si="179"/>
        <v>-216697829159709.31</v>
      </c>
      <c r="M4883" s="460">
        <f t="shared" si="181"/>
        <v>0.05</v>
      </c>
      <c r="N4883" s="464">
        <f t="shared" si="182"/>
        <v>199668</v>
      </c>
    </row>
    <row r="4884" spans="7:14" ht="11.25" customHeight="1" x14ac:dyDescent="0.3">
      <c r="G4884" s="459"/>
      <c r="H4884" s="459">
        <v>4877</v>
      </c>
      <c r="I4884" s="444">
        <f t="shared" ca="1" si="180"/>
        <v>-216697829159709.31</v>
      </c>
      <c r="J4884" s="444">
        <f t="array" ref="J4884">IFERROR(INDEX('Retirement Calculator'!K:K,MATCH('Lorri 401b'!N4884,'Retirement Calculator'!A:A,0),0),0)</f>
        <v>0</v>
      </c>
      <c r="K4884" s="444">
        <f t="shared" ca="1" si="178"/>
        <v>-902907621498.78882</v>
      </c>
      <c r="L4884" s="444">
        <f t="shared" ca="1" si="179"/>
        <v>-217600736781208.09</v>
      </c>
      <c r="M4884" s="460">
        <f t="shared" si="181"/>
        <v>0.05</v>
      </c>
      <c r="N4884" s="464">
        <f t="shared" si="182"/>
        <v>199698</v>
      </c>
    </row>
    <row r="4885" spans="7:14" ht="11.25" customHeight="1" x14ac:dyDescent="0.3">
      <c r="G4885" s="459"/>
      <c r="H4885" s="459">
        <v>4878</v>
      </c>
      <c r="I4885" s="444">
        <f t="shared" ca="1" si="180"/>
        <v>-217600736781208.09</v>
      </c>
      <c r="J4885" s="444">
        <f t="array" ref="J4885">IFERROR(INDEX('Retirement Calculator'!K:K,MATCH('Lorri 401b'!N4885,'Retirement Calculator'!A:A,0),0),0)</f>
        <v>0</v>
      </c>
      <c r="K4885" s="444">
        <f t="shared" ca="1" si="178"/>
        <v>-906669736588.36707</v>
      </c>
      <c r="L4885" s="444">
        <f t="shared" ca="1" si="179"/>
        <v>-218507406517796.47</v>
      </c>
      <c r="M4885" s="460">
        <f t="shared" si="181"/>
        <v>0.05</v>
      </c>
      <c r="N4885" s="464">
        <f t="shared" si="182"/>
        <v>199729</v>
      </c>
    </row>
    <row r="4886" spans="7:14" ht="11.25" customHeight="1" x14ac:dyDescent="0.3">
      <c r="G4886" s="459"/>
      <c r="H4886" s="459">
        <v>4879</v>
      </c>
      <c r="I4886" s="444">
        <f t="shared" ca="1" si="180"/>
        <v>-218507406517796.47</v>
      </c>
      <c r="J4886" s="444">
        <f t="array" ref="J4886">IFERROR(INDEX('Retirement Calculator'!K:K,MATCH('Lorri 401b'!N4886,'Retirement Calculator'!A:A,0),0),0)</f>
        <v>0</v>
      </c>
      <c r="K4886" s="444">
        <f t="shared" ca="1" si="178"/>
        <v>-910447527157.48523</v>
      </c>
      <c r="L4886" s="444">
        <f t="shared" ca="1" si="179"/>
        <v>-219417854044953.97</v>
      </c>
      <c r="M4886" s="460">
        <f t="shared" si="181"/>
        <v>0.05</v>
      </c>
      <c r="N4886" s="464">
        <f t="shared" si="182"/>
        <v>199759</v>
      </c>
    </row>
    <row r="4887" spans="7:14" ht="11.25" customHeight="1" x14ac:dyDescent="0.3">
      <c r="G4887" s="459"/>
      <c r="H4887" s="459">
        <v>4880</v>
      </c>
      <c r="I4887" s="444">
        <f t="shared" ca="1" si="180"/>
        <v>-219417854044953.97</v>
      </c>
      <c r="J4887" s="444">
        <f t="array" ref="J4887">IFERROR(INDEX('Retirement Calculator'!K:K,MATCH('Lorri 401b'!N4887,'Retirement Calculator'!A:A,0),0),0)</f>
        <v>0</v>
      </c>
      <c r="K4887" s="444">
        <f t="shared" ca="1" si="178"/>
        <v>-914241058520.6416</v>
      </c>
      <c r="L4887" s="444">
        <f t="shared" ca="1" si="179"/>
        <v>-220332095103474.63</v>
      </c>
      <c r="M4887" s="460">
        <f t="shared" si="181"/>
        <v>0.05</v>
      </c>
      <c r="N4887" s="464">
        <f t="shared" si="182"/>
        <v>199790</v>
      </c>
    </row>
    <row r="4888" spans="7:14" ht="11.25" customHeight="1" x14ac:dyDescent="0.3">
      <c r="G4888" s="459"/>
      <c r="H4888" s="459">
        <v>4881</v>
      </c>
      <c r="I4888" s="444">
        <f t="shared" ca="1" si="180"/>
        <v>-220332095103474.63</v>
      </c>
      <c r="J4888" s="444">
        <f t="array" ref="J4888">IFERROR(INDEX('Retirement Calculator'!K:K,MATCH('Lorri 401b'!N4888,'Retirement Calculator'!A:A,0),0),0)</f>
        <v>0</v>
      </c>
      <c r="K4888" s="444">
        <f t="shared" ca="1" si="178"/>
        <v>-918050396264.47754</v>
      </c>
      <c r="L4888" s="444">
        <f t="shared" ca="1" si="179"/>
        <v>-221250145499739.09</v>
      </c>
      <c r="M4888" s="460">
        <f t="shared" si="181"/>
        <v>0.05</v>
      </c>
      <c r="N4888" s="464">
        <f t="shared" si="182"/>
        <v>199821</v>
      </c>
    </row>
    <row r="4889" spans="7:14" ht="11.25" customHeight="1" x14ac:dyDescent="0.3">
      <c r="G4889" s="459"/>
      <c r="H4889" s="459">
        <v>4882</v>
      </c>
      <c r="I4889" s="444">
        <f t="shared" ca="1" si="180"/>
        <v>-221250145499739.09</v>
      </c>
      <c r="J4889" s="444">
        <f t="array" ref="J4889">IFERROR(INDEX('Retirement Calculator'!K:K,MATCH('Lorri 401b'!N4889,'Retirement Calculator'!A:A,0),0),0)</f>
        <v>0</v>
      </c>
      <c r="K4889" s="444">
        <f t="shared" ca="1" si="178"/>
        <v>-921875606248.91284</v>
      </c>
      <c r="L4889" s="444">
        <f t="shared" ca="1" si="179"/>
        <v>-222172021105988</v>
      </c>
      <c r="M4889" s="460">
        <f t="shared" si="181"/>
        <v>0.05</v>
      </c>
      <c r="N4889" s="464">
        <f t="shared" si="182"/>
        <v>199849</v>
      </c>
    </row>
    <row r="4890" spans="7:14" ht="11.25" customHeight="1" x14ac:dyDescent="0.3">
      <c r="G4890" s="459"/>
      <c r="H4890" s="459">
        <v>4883</v>
      </c>
      <c r="I4890" s="444">
        <f t="shared" ca="1" si="180"/>
        <v>-222172021105988</v>
      </c>
      <c r="J4890" s="444">
        <f t="array" ref="J4890">IFERROR(INDEX('Retirement Calculator'!K:K,MATCH('Lorri 401b'!N4890,'Retirement Calculator'!A:A,0),0),0)</f>
        <v>0</v>
      </c>
      <c r="K4890" s="444">
        <f t="shared" ca="1" si="178"/>
        <v>-925716754608.28345</v>
      </c>
      <c r="L4890" s="444">
        <f t="shared" ca="1" si="179"/>
        <v>-223097737860596.28</v>
      </c>
      <c r="M4890" s="460">
        <f t="shared" si="181"/>
        <v>0.05</v>
      </c>
      <c r="N4890" s="464">
        <f t="shared" si="182"/>
        <v>199880</v>
      </c>
    </row>
    <row r="4891" spans="7:14" ht="11.25" customHeight="1" x14ac:dyDescent="0.3">
      <c r="G4891" s="459"/>
      <c r="H4891" s="459">
        <v>4884</v>
      </c>
      <c r="I4891" s="444">
        <f t="shared" ca="1" si="180"/>
        <v>-223097737860596.28</v>
      </c>
      <c r="J4891" s="444">
        <f t="array" ref="J4891">IFERROR(INDEX('Retirement Calculator'!K:K,MATCH('Lorri 401b'!N4891,'Retirement Calculator'!A:A,0),0),0)</f>
        <v>0</v>
      </c>
      <c r="K4891" s="444">
        <f t="shared" ca="1" si="178"/>
        <v>-929573907752.48438</v>
      </c>
      <c r="L4891" s="444">
        <f t="shared" ca="1" si="179"/>
        <v>-224027311768348.75</v>
      </c>
      <c r="M4891" s="460">
        <f t="shared" si="181"/>
        <v>0.05</v>
      </c>
      <c r="N4891" s="464">
        <f t="shared" si="182"/>
        <v>199910</v>
      </c>
    </row>
    <row r="4892" spans="7:14" ht="11.25" customHeight="1" x14ac:dyDescent="0.3">
      <c r="G4892" s="459"/>
      <c r="H4892" s="459">
        <v>4885</v>
      </c>
      <c r="I4892" s="444">
        <f t="shared" ca="1" si="180"/>
        <v>-224027311768348.75</v>
      </c>
      <c r="J4892" s="444">
        <f t="array" ref="J4892">IFERROR(INDEX('Retirement Calculator'!K:K,MATCH('Lorri 401b'!N4892,'Retirement Calculator'!A:A,0),0),0)</f>
        <v>0</v>
      </c>
      <c r="K4892" s="444">
        <f t="shared" ca="1" si="178"/>
        <v>-933447132368.11975</v>
      </c>
      <c r="L4892" s="444">
        <f t="shared" ca="1" si="179"/>
        <v>-224960758900716.88</v>
      </c>
      <c r="M4892" s="460">
        <f t="shared" si="181"/>
        <v>0.05</v>
      </c>
      <c r="N4892" s="464">
        <f t="shared" si="182"/>
        <v>199941</v>
      </c>
    </row>
    <row r="4893" spans="7:14" ht="11.25" customHeight="1" x14ac:dyDescent="0.3">
      <c r="G4893" s="459"/>
      <c r="H4893" s="459">
        <v>4886</v>
      </c>
      <c r="I4893" s="444">
        <f t="shared" ca="1" si="180"/>
        <v>-224960758900716.88</v>
      </c>
      <c r="J4893" s="444">
        <f t="array" ref="J4893">IFERROR(INDEX('Retirement Calculator'!K:K,MATCH('Lorri 401b'!N4893,'Retirement Calculator'!A:A,0),0),0)</f>
        <v>0</v>
      </c>
      <c r="K4893" s="444">
        <f t="shared" ca="1" si="178"/>
        <v>-937336495419.65344</v>
      </c>
      <c r="L4893" s="444">
        <f t="shared" ca="1" si="179"/>
        <v>-225898095396136.53</v>
      </c>
      <c r="M4893" s="460">
        <f t="shared" si="181"/>
        <v>0.05</v>
      </c>
      <c r="N4893" s="464">
        <f t="shared" si="182"/>
        <v>199971</v>
      </c>
    </row>
    <row r="4894" spans="7:14" ht="11.25" customHeight="1" x14ac:dyDescent="0.3">
      <c r="G4894" s="459"/>
      <c r="H4894" s="459">
        <v>4887</v>
      </c>
      <c r="I4894" s="444">
        <f t="shared" ca="1" si="180"/>
        <v>-225898095396136.53</v>
      </c>
      <c r="J4894" s="444">
        <f t="array" ref="J4894">IFERROR(INDEX('Retirement Calculator'!K:K,MATCH('Lorri 401b'!N4894,'Retirement Calculator'!A:A,0),0),0)</f>
        <v>0</v>
      </c>
      <c r="K4894" s="444">
        <f t="shared" ca="1" si="178"/>
        <v>-941242064150.56873</v>
      </c>
      <c r="L4894" s="444">
        <f t="shared" ca="1" si="179"/>
        <v>-226839337460287.09</v>
      </c>
      <c r="M4894" s="460">
        <f t="shared" si="181"/>
        <v>0.05</v>
      </c>
      <c r="N4894" s="464">
        <f t="shared" si="182"/>
        <v>200002</v>
      </c>
    </row>
    <row r="4895" spans="7:14" ht="11.25" customHeight="1" x14ac:dyDescent="0.3">
      <c r="G4895" s="459"/>
      <c r="H4895" s="459">
        <v>4888</v>
      </c>
      <c r="I4895" s="444">
        <f t="shared" ca="1" si="180"/>
        <v>-226839337460287.09</v>
      </c>
      <c r="J4895" s="444">
        <f t="array" ref="J4895">IFERROR(INDEX('Retirement Calculator'!K:K,MATCH('Lorri 401b'!N4895,'Retirement Calculator'!A:A,0),0),0)</f>
        <v>0</v>
      </c>
      <c r="K4895" s="444">
        <f t="shared" ca="1" si="178"/>
        <v>-945163906084.52942</v>
      </c>
      <c r="L4895" s="444">
        <f t="shared" ca="1" si="179"/>
        <v>-227784501366371.63</v>
      </c>
      <c r="M4895" s="460">
        <f t="shared" si="181"/>
        <v>0.05</v>
      </c>
      <c r="N4895" s="464">
        <f t="shared" si="182"/>
        <v>200033</v>
      </c>
    </row>
    <row r="4896" spans="7:14" ht="11.25" customHeight="1" x14ac:dyDescent="0.3">
      <c r="G4896" s="459"/>
      <c r="H4896" s="459">
        <v>4889</v>
      </c>
      <c r="I4896" s="444">
        <f t="shared" ca="1" si="180"/>
        <v>-227784501366371.63</v>
      </c>
      <c r="J4896" s="444">
        <f t="array" ref="J4896">IFERROR(INDEX('Retirement Calculator'!K:K,MATCH('Lorri 401b'!N4896,'Retirement Calculator'!A:A,0),0),0)</f>
        <v>0</v>
      </c>
      <c r="K4896" s="444">
        <f t="shared" ca="1" si="178"/>
        <v>-949102089026.54846</v>
      </c>
      <c r="L4896" s="444">
        <f t="shared" ca="1" si="179"/>
        <v>-228733603455398.19</v>
      </c>
      <c r="M4896" s="460">
        <f t="shared" si="181"/>
        <v>0.05</v>
      </c>
      <c r="N4896" s="464">
        <f t="shared" si="182"/>
        <v>200063</v>
      </c>
    </row>
    <row r="4897" spans="7:14" ht="11.25" customHeight="1" x14ac:dyDescent="0.3">
      <c r="G4897" s="459"/>
      <c r="H4897" s="459">
        <v>4890</v>
      </c>
      <c r="I4897" s="444">
        <f t="shared" ca="1" si="180"/>
        <v>-228733603455398.19</v>
      </c>
      <c r="J4897" s="444">
        <f t="array" ref="J4897">IFERROR(INDEX('Retirement Calculator'!K:K,MATCH('Lorri 401b'!N4897,'Retirement Calculator'!A:A,0),0),0)</f>
        <v>0</v>
      </c>
      <c r="K4897" s="444">
        <f t="shared" ca="1" si="178"/>
        <v>-953056681064.15906</v>
      </c>
      <c r="L4897" s="444">
        <f t="shared" ca="1" si="179"/>
        <v>-229686660136462.34</v>
      </c>
      <c r="M4897" s="460">
        <f t="shared" si="181"/>
        <v>0.05</v>
      </c>
      <c r="N4897" s="464">
        <f t="shared" si="182"/>
        <v>200094</v>
      </c>
    </row>
    <row r="4898" spans="7:14" ht="11.25" customHeight="1" x14ac:dyDescent="0.3">
      <c r="G4898" s="459"/>
      <c r="H4898" s="459">
        <v>4891</v>
      </c>
      <c r="I4898" s="444">
        <f t="shared" ca="1" si="180"/>
        <v>-229686660136462.34</v>
      </c>
      <c r="J4898" s="444">
        <f t="array" ref="J4898">IFERROR(INDEX('Retirement Calculator'!K:K,MATCH('Lorri 401b'!N4898,'Retirement Calculator'!A:A,0),0),0)</f>
        <v>0</v>
      </c>
      <c r="K4898" s="444">
        <f t="shared" ca="1" si="178"/>
        <v>-957027750568.5929</v>
      </c>
      <c r="L4898" s="444">
        <f t="shared" ca="1" si="179"/>
        <v>-230643687887030.94</v>
      </c>
      <c r="M4898" s="460">
        <f t="shared" si="181"/>
        <v>0.05</v>
      </c>
      <c r="N4898" s="464">
        <f t="shared" si="182"/>
        <v>200124</v>
      </c>
    </row>
    <row r="4899" spans="7:14" ht="11.25" customHeight="1" x14ac:dyDescent="0.3">
      <c r="G4899" s="459"/>
      <c r="H4899" s="459">
        <v>4892</v>
      </c>
      <c r="I4899" s="444">
        <f t="shared" ca="1" si="180"/>
        <v>-230643687887030.94</v>
      </c>
      <c r="J4899" s="444">
        <f t="array" ref="J4899">IFERROR(INDEX('Retirement Calculator'!K:K,MATCH('Lorri 401b'!N4899,'Retirement Calculator'!A:A,0),0),0)</f>
        <v>0</v>
      </c>
      <c r="K4899" s="444">
        <f t="shared" ca="1" si="178"/>
        <v>-961015366195.96204</v>
      </c>
      <c r="L4899" s="444">
        <f t="shared" ca="1" si="179"/>
        <v>-231604703253226.91</v>
      </c>
      <c r="M4899" s="460">
        <f t="shared" si="181"/>
        <v>0.05</v>
      </c>
      <c r="N4899" s="464">
        <f t="shared" si="182"/>
        <v>200155</v>
      </c>
    </row>
    <row r="4900" spans="7:14" ht="11.25" customHeight="1" x14ac:dyDescent="0.3">
      <c r="G4900" s="459"/>
      <c r="H4900" s="459">
        <v>4893</v>
      </c>
      <c r="I4900" s="444">
        <f t="shared" ca="1" si="180"/>
        <v>-231604703253226.91</v>
      </c>
      <c r="J4900" s="444">
        <f t="array" ref="J4900">IFERROR(INDEX('Retirement Calculator'!K:K,MATCH('Lorri 401b'!N4900,'Retirement Calculator'!A:A,0),0),0)</f>
        <v>0</v>
      </c>
      <c r="K4900" s="444">
        <f t="shared" ca="1" si="178"/>
        <v>-965019596888.44531</v>
      </c>
      <c r="L4900" s="444">
        <f t="shared" ca="1" si="179"/>
        <v>-232569722850115.34</v>
      </c>
      <c r="M4900" s="460">
        <f t="shared" si="181"/>
        <v>0.05</v>
      </c>
      <c r="N4900" s="464">
        <f t="shared" si="182"/>
        <v>200186</v>
      </c>
    </row>
    <row r="4901" spans="7:14" ht="11.25" customHeight="1" x14ac:dyDescent="0.3">
      <c r="G4901" s="459"/>
      <c r="H4901" s="459">
        <v>4894</v>
      </c>
      <c r="I4901" s="444">
        <f t="shared" ca="1" si="180"/>
        <v>-232569722850115.34</v>
      </c>
      <c r="J4901" s="444">
        <f t="array" ref="J4901">IFERROR(INDEX('Retirement Calculator'!K:K,MATCH('Lorri 401b'!N4901,'Retirement Calculator'!A:A,0),0),0)</f>
        <v>0</v>
      </c>
      <c r="K4901" s="444">
        <f t="shared" ca="1" si="178"/>
        <v>-969040511875.48059</v>
      </c>
      <c r="L4901" s="444">
        <f t="shared" ca="1" si="179"/>
        <v>-233538763361990.81</v>
      </c>
      <c r="M4901" s="460">
        <f t="shared" si="181"/>
        <v>0.05</v>
      </c>
      <c r="N4901" s="464">
        <f t="shared" si="182"/>
        <v>200215</v>
      </c>
    </row>
    <row r="4902" spans="7:14" ht="11.25" customHeight="1" x14ac:dyDescent="0.3">
      <c r="G4902" s="459"/>
      <c r="H4902" s="459">
        <v>4895</v>
      </c>
      <c r="I4902" s="444">
        <f t="shared" ca="1" si="180"/>
        <v>-233538763361990.81</v>
      </c>
      <c r="J4902" s="444">
        <f t="array" ref="J4902">IFERROR(INDEX('Retirement Calculator'!K:K,MATCH('Lorri 401b'!N4902,'Retirement Calculator'!A:A,0),0),0)</f>
        <v>0</v>
      </c>
      <c r="K4902" s="444">
        <f t="shared" ca="1" si="178"/>
        <v>-973078180674.96167</v>
      </c>
      <c r="L4902" s="444">
        <f t="shared" ca="1" si="179"/>
        <v>-234511841542665.78</v>
      </c>
      <c r="M4902" s="460">
        <f t="shared" si="181"/>
        <v>0.05</v>
      </c>
      <c r="N4902" s="464">
        <f t="shared" si="182"/>
        <v>200246</v>
      </c>
    </row>
    <row r="4903" spans="7:14" ht="11.25" customHeight="1" x14ac:dyDescent="0.3">
      <c r="G4903" s="459"/>
      <c r="H4903" s="459">
        <v>4896</v>
      </c>
      <c r="I4903" s="444">
        <f t="shared" ca="1" si="180"/>
        <v>-234511841542665.78</v>
      </c>
      <c r="J4903" s="444">
        <f t="array" ref="J4903">IFERROR(INDEX('Retirement Calculator'!K:K,MATCH('Lorri 401b'!N4903,'Retirement Calculator'!A:A,0),0),0)</f>
        <v>0</v>
      </c>
      <c r="K4903" s="444">
        <f t="shared" ca="1" si="178"/>
        <v>-977132673094.4408</v>
      </c>
      <c r="L4903" s="444">
        <f t="shared" ca="1" si="179"/>
        <v>-235488974215760.22</v>
      </c>
      <c r="M4903" s="460">
        <f t="shared" si="181"/>
        <v>0.05</v>
      </c>
      <c r="N4903" s="464">
        <f t="shared" si="182"/>
        <v>200276</v>
      </c>
    </row>
    <row r="4904" spans="7:14" ht="11.25" customHeight="1" x14ac:dyDescent="0.3">
      <c r="G4904" s="459"/>
      <c r="H4904" s="459">
        <v>4897</v>
      </c>
      <c r="I4904" s="444">
        <f t="shared" ca="1" si="180"/>
        <v>-235488974215760.22</v>
      </c>
      <c r="J4904" s="444">
        <f t="array" ref="J4904">IFERROR(INDEX('Retirement Calculator'!K:K,MATCH('Lorri 401b'!N4904,'Retirement Calculator'!A:A,0),0),0)</f>
        <v>0</v>
      </c>
      <c r="K4904" s="444">
        <f t="shared" ca="1" si="178"/>
        <v>-981204059232.33435</v>
      </c>
      <c r="L4904" s="444">
        <f t="shared" ca="1" si="179"/>
        <v>-236470178274992.56</v>
      </c>
      <c r="M4904" s="460">
        <f t="shared" si="181"/>
        <v>0.05</v>
      </c>
      <c r="N4904" s="464">
        <f t="shared" si="182"/>
        <v>200307</v>
      </c>
    </row>
    <row r="4905" spans="7:14" ht="11.25" customHeight="1" x14ac:dyDescent="0.3">
      <c r="G4905" s="459"/>
      <c r="H4905" s="459">
        <v>4898</v>
      </c>
      <c r="I4905" s="444">
        <f t="shared" ca="1" si="180"/>
        <v>-236470178274992.56</v>
      </c>
      <c r="J4905" s="444">
        <f t="array" ref="J4905">IFERROR(INDEX('Retirement Calculator'!K:K,MATCH('Lorri 401b'!N4905,'Retirement Calculator'!A:A,0),0),0)</f>
        <v>0</v>
      </c>
      <c r="K4905" s="444">
        <f t="shared" ca="1" si="178"/>
        <v>-985292409479.13562</v>
      </c>
      <c r="L4905" s="444">
        <f t="shared" ca="1" si="179"/>
        <v>-237455470684471.69</v>
      </c>
      <c r="M4905" s="460">
        <f t="shared" si="181"/>
        <v>0.05</v>
      </c>
      <c r="N4905" s="464">
        <f t="shared" si="182"/>
        <v>200337</v>
      </c>
    </row>
    <row r="4906" spans="7:14" ht="11.25" customHeight="1" x14ac:dyDescent="0.3">
      <c r="G4906" s="459"/>
      <c r="H4906" s="459">
        <v>4899</v>
      </c>
      <c r="I4906" s="444">
        <f t="shared" ca="1" si="180"/>
        <v>-237455470684471.69</v>
      </c>
      <c r="J4906" s="444">
        <f t="array" ref="J4906">IFERROR(INDEX('Retirement Calculator'!K:K,MATCH('Lorri 401b'!N4906,'Retirement Calculator'!A:A,0),0),0)</f>
        <v>0</v>
      </c>
      <c r="K4906" s="444">
        <f t="shared" ca="1" si="178"/>
        <v>-989397794518.63196</v>
      </c>
      <c r="L4906" s="444">
        <f t="shared" ca="1" si="179"/>
        <v>-238444868478990.31</v>
      </c>
      <c r="M4906" s="460">
        <f t="shared" si="181"/>
        <v>0.05</v>
      </c>
      <c r="N4906" s="464">
        <f t="shared" si="182"/>
        <v>200368</v>
      </c>
    </row>
    <row r="4907" spans="7:14" ht="11.25" customHeight="1" x14ac:dyDescent="0.3">
      <c r="G4907" s="459"/>
      <c r="H4907" s="459">
        <v>4900</v>
      </c>
      <c r="I4907" s="444">
        <f t="shared" ca="1" si="180"/>
        <v>-238444868478990.31</v>
      </c>
      <c r="J4907" s="444">
        <f t="array" ref="J4907">IFERROR(INDEX('Retirement Calculator'!K:K,MATCH('Lorri 401b'!N4907,'Retirement Calculator'!A:A,0),0),0)</f>
        <v>0</v>
      </c>
      <c r="K4907" s="444">
        <f t="shared" ca="1" si="178"/>
        <v>-993520285329.12634</v>
      </c>
      <c r="L4907" s="444">
        <f t="shared" ca="1" si="179"/>
        <v>-239438388764319.44</v>
      </c>
      <c r="M4907" s="460">
        <f t="shared" si="181"/>
        <v>0.05</v>
      </c>
      <c r="N4907" s="464">
        <f t="shared" si="182"/>
        <v>200399</v>
      </c>
    </row>
    <row r="4908" spans="7:14" ht="11.25" customHeight="1" x14ac:dyDescent="0.3">
      <c r="G4908" s="459"/>
      <c r="H4908" s="459">
        <v>4901</v>
      </c>
      <c r="I4908" s="444">
        <f t="shared" ca="1" si="180"/>
        <v>-239438388764319.44</v>
      </c>
      <c r="J4908" s="444">
        <f t="array" ref="J4908">IFERROR(INDEX('Retirement Calculator'!K:K,MATCH('Lorri 401b'!N4908,'Retirement Calculator'!A:A,0),0),0)</f>
        <v>0</v>
      </c>
      <c r="K4908" s="444">
        <f t="shared" ca="1" si="178"/>
        <v>-997659953184.66431</v>
      </c>
      <c r="L4908" s="444">
        <f t="shared" ca="1" si="179"/>
        <v>-240436048717504.09</v>
      </c>
      <c r="M4908" s="460">
        <f t="shared" si="181"/>
        <v>0.05</v>
      </c>
      <c r="N4908" s="464">
        <f t="shared" si="182"/>
        <v>200429</v>
      </c>
    </row>
    <row r="4909" spans="7:14" ht="11.25" customHeight="1" x14ac:dyDescent="0.3">
      <c r="G4909" s="459"/>
      <c r="H4909" s="459">
        <v>4902</v>
      </c>
      <c r="I4909" s="444">
        <f t="shared" ca="1" si="180"/>
        <v>-240436048717504.09</v>
      </c>
      <c r="J4909" s="444">
        <f t="array" ref="J4909">IFERROR(INDEX('Retirement Calculator'!K:K,MATCH('Lorri 401b'!N4909,'Retirement Calculator'!A:A,0),0),0)</f>
        <v>0</v>
      </c>
      <c r="K4909" s="444">
        <f t="shared" ca="1" si="178"/>
        <v>-1001816869656.2672</v>
      </c>
      <c r="L4909" s="444">
        <f t="shared" ca="1" si="179"/>
        <v>-241437865587160.38</v>
      </c>
      <c r="M4909" s="460">
        <f t="shared" si="181"/>
        <v>0.05</v>
      </c>
      <c r="N4909" s="464">
        <f t="shared" si="182"/>
        <v>200460</v>
      </c>
    </row>
    <row r="4910" spans="7:14" ht="11.25" customHeight="1" x14ac:dyDescent="0.3">
      <c r="G4910" s="459"/>
      <c r="H4910" s="459">
        <v>4903</v>
      </c>
      <c r="I4910" s="444">
        <f t="shared" ca="1" si="180"/>
        <v>-241437865587160.38</v>
      </c>
      <c r="J4910" s="444">
        <f t="array" ref="J4910">IFERROR(INDEX('Retirement Calculator'!K:K,MATCH('Lorri 401b'!N4910,'Retirement Calculator'!A:A,0),0),0)</f>
        <v>0</v>
      </c>
      <c r="K4910" s="444">
        <f t="shared" ca="1" si="178"/>
        <v>-1005991106613.1683</v>
      </c>
      <c r="L4910" s="444">
        <f t="shared" ca="1" si="179"/>
        <v>-242443856693773.53</v>
      </c>
      <c r="M4910" s="460">
        <f t="shared" si="181"/>
        <v>0.05</v>
      </c>
      <c r="N4910" s="464">
        <f t="shared" si="182"/>
        <v>200490</v>
      </c>
    </row>
    <row r="4911" spans="7:14" ht="11.25" customHeight="1" x14ac:dyDescent="0.3">
      <c r="G4911" s="459"/>
      <c r="H4911" s="459">
        <v>4904</v>
      </c>
      <c r="I4911" s="444">
        <f t="shared" ca="1" si="180"/>
        <v>-242443856693773.53</v>
      </c>
      <c r="J4911" s="444">
        <f t="array" ref="J4911">IFERROR(INDEX('Retirement Calculator'!K:K,MATCH('Lorri 401b'!N4911,'Retirement Calculator'!A:A,0),0),0)</f>
        <v>0</v>
      </c>
      <c r="K4911" s="444">
        <f t="shared" ca="1" si="178"/>
        <v>-1010182736224.0565</v>
      </c>
      <c r="L4911" s="444">
        <f t="shared" ca="1" si="179"/>
        <v>-243454039429997.59</v>
      </c>
      <c r="M4911" s="460">
        <f t="shared" si="181"/>
        <v>0.05</v>
      </c>
      <c r="N4911" s="464">
        <f t="shared" si="182"/>
        <v>200521</v>
      </c>
    </row>
    <row r="4912" spans="7:14" ht="11.25" customHeight="1" x14ac:dyDescent="0.3">
      <c r="G4912" s="459"/>
      <c r="H4912" s="459">
        <v>4905</v>
      </c>
      <c r="I4912" s="444">
        <f t="shared" ca="1" si="180"/>
        <v>-243454039429997.59</v>
      </c>
      <c r="J4912" s="444">
        <f t="array" ref="J4912">IFERROR(INDEX('Retirement Calculator'!K:K,MATCH('Lorri 401b'!N4912,'Retirement Calculator'!A:A,0),0),0)</f>
        <v>0</v>
      </c>
      <c r="K4912" s="444">
        <f t="shared" ca="1" si="178"/>
        <v>-1014391830958.3234</v>
      </c>
      <c r="L4912" s="444">
        <f t="shared" ca="1" si="179"/>
        <v>-244468431260955.91</v>
      </c>
      <c r="M4912" s="460">
        <f t="shared" si="181"/>
        <v>0.05</v>
      </c>
      <c r="N4912" s="464">
        <f t="shared" si="182"/>
        <v>200552</v>
      </c>
    </row>
    <row r="4913" spans="7:14" ht="11.25" customHeight="1" x14ac:dyDescent="0.3">
      <c r="G4913" s="459"/>
      <c r="H4913" s="459">
        <v>4906</v>
      </c>
      <c r="I4913" s="444">
        <f t="shared" ca="1" si="180"/>
        <v>-244468431260955.91</v>
      </c>
      <c r="J4913" s="444">
        <f t="array" ref="J4913">IFERROR(INDEX('Retirement Calculator'!K:K,MATCH('Lorri 401b'!N4913,'Retirement Calculator'!A:A,0),0),0)</f>
        <v>0</v>
      </c>
      <c r="K4913" s="444">
        <f t="shared" ca="1" si="178"/>
        <v>-1018618463587.3164</v>
      </c>
      <c r="L4913" s="444">
        <f t="shared" ca="1" si="179"/>
        <v>-245487049724543.22</v>
      </c>
      <c r="M4913" s="460">
        <f t="shared" si="181"/>
        <v>0.05</v>
      </c>
      <c r="N4913" s="464">
        <f t="shared" si="182"/>
        <v>200580</v>
      </c>
    </row>
    <row r="4914" spans="7:14" ht="11.25" customHeight="1" x14ac:dyDescent="0.3">
      <c r="G4914" s="459"/>
      <c r="H4914" s="459">
        <v>4907</v>
      </c>
      <c r="I4914" s="444">
        <f t="shared" ca="1" si="180"/>
        <v>-245487049724543.22</v>
      </c>
      <c r="J4914" s="444">
        <f t="array" ref="J4914">IFERROR(INDEX('Retirement Calculator'!K:K,MATCH('Lorri 401b'!N4914,'Retirement Calculator'!A:A,0),0),0)</f>
        <v>0</v>
      </c>
      <c r="K4914" s="444">
        <f t="shared" ca="1" si="178"/>
        <v>-1022862707185.5967</v>
      </c>
      <c r="L4914" s="444">
        <f t="shared" ca="1" si="179"/>
        <v>-246509912431728.81</v>
      </c>
      <c r="M4914" s="460">
        <f t="shared" si="181"/>
        <v>0.05</v>
      </c>
      <c r="N4914" s="464">
        <f t="shared" si="182"/>
        <v>200611</v>
      </c>
    </row>
    <row r="4915" spans="7:14" ht="11.25" customHeight="1" x14ac:dyDescent="0.3">
      <c r="G4915" s="459"/>
      <c r="H4915" s="459">
        <v>4908</v>
      </c>
      <c r="I4915" s="444">
        <f t="shared" ca="1" si="180"/>
        <v>-246509912431728.81</v>
      </c>
      <c r="J4915" s="444">
        <f t="array" ref="J4915">IFERROR(INDEX('Retirement Calculator'!K:K,MATCH('Lorri 401b'!N4915,'Retirement Calculator'!A:A,0),0),0)</f>
        <v>0</v>
      </c>
      <c r="K4915" s="444">
        <f t="shared" ca="1" si="178"/>
        <v>-1027124635132.2034</v>
      </c>
      <c r="L4915" s="444">
        <f t="shared" ca="1" si="179"/>
        <v>-247537037066861.03</v>
      </c>
      <c r="M4915" s="460">
        <f t="shared" si="181"/>
        <v>0.05</v>
      </c>
      <c r="N4915" s="464">
        <f t="shared" si="182"/>
        <v>200641</v>
      </c>
    </row>
    <row r="4916" spans="7:14" ht="11.25" customHeight="1" x14ac:dyDescent="0.3">
      <c r="G4916" s="459"/>
      <c r="H4916" s="459">
        <v>4909</v>
      </c>
      <c r="I4916" s="444">
        <f t="shared" ca="1" si="180"/>
        <v>-247537037066861.03</v>
      </c>
      <c r="J4916" s="444">
        <f t="array" ref="J4916">IFERROR(INDEX('Retirement Calculator'!K:K,MATCH('Lorri 401b'!N4916,'Retirement Calculator'!A:A,0),0),0)</f>
        <v>0</v>
      </c>
      <c r="K4916" s="444">
        <f t="shared" ca="1" si="178"/>
        <v>-1031404321111.9208</v>
      </c>
      <c r="L4916" s="444">
        <f t="shared" ca="1" si="179"/>
        <v>-248568441387972.94</v>
      </c>
      <c r="M4916" s="460">
        <f t="shared" si="181"/>
        <v>0.05</v>
      </c>
      <c r="N4916" s="464">
        <f t="shared" si="182"/>
        <v>200672</v>
      </c>
    </row>
    <row r="4917" spans="7:14" ht="11.25" customHeight="1" x14ac:dyDescent="0.3">
      <c r="G4917" s="459"/>
      <c r="H4917" s="459">
        <v>4910</v>
      </c>
      <c r="I4917" s="444">
        <f t="shared" ca="1" si="180"/>
        <v>-248568441387972.94</v>
      </c>
      <c r="J4917" s="444">
        <f t="array" ref="J4917">IFERROR(INDEX('Retirement Calculator'!K:K,MATCH('Lorri 401b'!N4917,'Retirement Calculator'!A:A,0),0),0)</f>
        <v>0</v>
      </c>
      <c r="K4917" s="444">
        <f t="shared" ca="1" si="178"/>
        <v>-1035701839116.5541</v>
      </c>
      <c r="L4917" s="444">
        <f t="shared" ca="1" si="179"/>
        <v>-249604143227089.5</v>
      </c>
      <c r="M4917" s="460">
        <f t="shared" si="181"/>
        <v>0.05</v>
      </c>
      <c r="N4917" s="464">
        <f t="shared" si="182"/>
        <v>200702</v>
      </c>
    </row>
    <row r="4918" spans="7:14" ht="11.25" customHeight="1" x14ac:dyDescent="0.3">
      <c r="G4918" s="459"/>
      <c r="H4918" s="459">
        <v>4911</v>
      </c>
      <c r="I4918" s="444">
        <f t="shared" ca="1" si="180"/>
        <v>-249604143227089.5</v>
      </c>
      <c r="J4918" s="444">
        <f t="array" ref="J4918">IFERROR(INDEX('Retirement Calculator'!K:K,MATCH('Lorri 401b'!N4918,'Retirement Calculator'!A:A,0),0),0)</f>
        <v>0</v>
      </c>
      <c r="K4918" s="444">
        <f t="shared" ca="1" si="178"/>
        <v>-1040017263446.2062</v>
      </c>
      <c r="L4918" s="444">
        <f t="shared" ca="1" si="179"/>
        <v>-250644160490535.72</v>
      </c>
      <c r="M4918" s="460">
        <f t="shared" si="181"/>
        <v>0.05</v>
      </c>
      <c r="N4918" s="464">
        <f t="shared" si="182"/>
        <v>200733</v>
      </c>
    </row>
    <row r="4919" spans="7:14" ht="11.25" customHeight="1" x14ac:dyDescent="0.3">
      <c r="G4919" s="459"/>
      <c r="H4919" s="459">
        <v>4912</v>
      </c>
      <c r="I4919" s="444">
        <f t="shared" ca="1" si="180"/>
        <v>-250644160490535.72</v>
      </c>
      <c r="J4919" s="444">
        <f t="array" ref="J4919">IFERROR(INDEX('Retirement Calculator'!K:K,MATCH('Lorri 401b'!N4919,'Retirement Calculator'!A:A,0),0),0)</f>
        <v>0</v>
      </c>
      <c r="K4919" s="444">
        <f t="shared" ca="1" si="178"/>
        <v>-1044350668710.5656</v>
      </c>
      <c r="L4919" s="444">
        <f t="shared" ca="1" si="179"/>
        <v>-251688511159246.28</v>
      </c>
      <c r="M4919" s="460">
        <f t="shared" si="181"/>
        <v>0.05</v>
      </c>
      <c r="N4919" s="464">
        <f t="shared" si="182"/>
        <v>200764</v>
      </c>
    </row>
    <row r="4920" spans="7:14" ht="11.25" customHeight="1" x14ac:dyDescent="0.3">
      <c r="G4920" s="459"/>
      <c r="H4920" s="459">
        <v>4913</v>
      </c>
      <c r="I4920" s="444">
        <f t="shared" ca="1" si="180"/>
        <v>-251688511159246.28</v>
      </c>
      <c r="J4920" s="444">
        <f t="array" ref="J4920">IFERROR(INDEX('Retirement Calculator'!K:K,MATCH('Lorri 401b'!N4920,'Retirement Calculator'!A:A,0),0),0)</f>
        <v>0</v>
      </c>
      <c r="K4920" s="444">
        <f t="shared" ca="1" si="178"/>
        <v>-1048702129830.193</v>
      </c>
      <c r="L4920" s="444">
        <f t="shared" ca="1" si="179"/>
        <v>-252737213289076.47</v>
      </c>
      <c r="M4920" s="460">
        <f t="shared" si="181"/>
        <v>0.05</v>
      </c>
      <c r="N4920" s="464">
        <f t="shared" si="182"/>
        <v>200794</v>
      </c>
    </row>
    <row r="4921" spans="7:14" ht="11.25" customHeight="1" x14ac:dyDescent="0.3">
      <c r="G4921" s="459"/>
      <c r="H4921" s="459">
        <v>4914</v>
      </c>
      <c r="I4921" s="444">
        <f t="shared" ca="1" si="180"/>
        <v>-252737213289076.47</v>
      </c>
      <c r="J4921" s="444">
        <f t="array" ref="J4921">IFERROR(INDEX('Retirement Calculator'!K:K,MATCH('Lorri 401b'!N4921,'Retirement Calculator'!A:A,0),0),0)</f>
        <v>0</v>
      </c>
      <c r="K4921" s="444">
        <f t="shared" ca="1" si="178"/>
        <v>-1053071722037.8186</v>
      </c>
      <c r="L4921" s="444">
        <f t="shared" ca="1" si="179"/>
        <v>-253790285011114.28</v>
      </c>
      <c r="M4921" s="460">
        <f t="shared" si="181"/>
        <v>0.05</v>
      </c>
      <c r="N4921" s="464">
        <f t="shared" si="182"/>
        <v>200825</v>
      </c>
    </row>
    <row r="4922" spans="7:14" ht="11.25" customHeight="1" x14ac:dyDescent="0.3">
      <c r="G4922" s="459"/>
      <c r="H4922" s="459">
        <v>4915</v>
      </c>
      <c r="I4922" s="444">
        <f t="shared" ca="1" si="180"/>
        <v>-253790285011114.28</v>
      </c>
      <c r="J4922" s="444">
        <f t="array" ref="J4922">IFERROR(INDEX('Retirement Calculator'!K:K,MATCH('Lorri 401b'!N4922,'Retirement Calculator'!A:A,0),0),0)</f>
        <v>0</v>
      </c>
      <c r="K4922" s="444">
        <f t="shared" ca="1" si="178"/>
        <v>-1057459520879.6429</v>
      </c>
      <c r="L4922" s="444">
        <f t="shared" ca="1" si="179"/>
        <v>-254847744531993.94</v>
      </c>
      <c r="M4922" s="460">
        <f t="shared" si="181"/>
        <v>0.05</v>
      </c>
      <c r="N4922" s="464">
        <f t="shared" si="182"/>
        <v>200855</v>
      </c>
    </row>
    <row r="4923" spans="7:14" ht="11.25" customHeight="1" x14ac:dyDescent="0.3">
      <c r="G4923" s="459"/>
      <c r="H4923" s="459">
        <v>4916</v>
      </c>
      <c r="I4923" s="444">
        <f t="shared" ca="1" si="180"/>
        <v>-254847744531993.94</v>
      </c>
      <c r="J4923" s="444">
        <f t="array" ref="J4923">IFERROR(INDEX('Retirement Calculator'!K:K,MATCH('Lorri 401b'!N4923,'Retirement Calculator'!A:A,0),0),0)</f>
        <v>0</v>
      </c>
      <c r="K4923" s="444">
        <f t="shared" ca="1" si="178"/>
        <v>-1061865602216.6415</v>
      </c>
      <c r="L4923" s="444">
        <f t="shared" ca="1" si="179"/>
        <v>-255909610134210.59</v>
      </c>
      <c r="M4923" s="460">
        <f t="shared" si="181"/>
        <v>0.05</v>
      </c>
      <c r="N4923" s="464">
        <f t="shared" si="182"/>
        <v>200886</v>
      </c>
    </row>
    <row r="4924" spans="7:14" ht="11.25" customHeight="1" x14ac:dyDescent="0.3">
      <c r="G4924" s="459"/>
      <c r="H4924" s="459">
        <v>4917</v>
      </c>
      <c r="I4924" s="444">
        <f t="shared" ca="1" si="180"/>
        <v>-255909610134210.59</v>
      </c>
      <c r="J4924" s="444">
        <f t="array" ref="J4924">IFERROR(INDEX('Retirement Calculator'!K:K,MATCH('Lorri 401b'!N4924,'Retirement Calculator'!A:A,0),0),0)</f>
        <v>0</v>
      </c>
      <c r="K4924" s="444">
        <f t="shared" ca="1" si="178"/>
        <v>-1066290042225.8776</v>
      </c>
      <c r="L4924" s="444">
        <f t="shared" ca="1" si="179"/>
        <v>-256975900176436.47</v>
      </c>
      <c r="M4924" s="460">
        <f t="shared" si="181"/>
        <v>0.05</v>
      </c>
      <c r="N4924" s="464">
        <f t="shared" si="182"/>
        <v>200917</v>
      </c>
    </row>
    <row r="4925" spans="7:14" ht="11.25" customHeight="1" x14ac:dyDescent="0.3">
      <c r="G4925" s="459"/>
      <c r="H4925" s="459">
        <v>4918</v>
      </c>
      <c r="I4925" s="444">
        <f t="shared" ca="1" si="180"/>
        <v>-256975900176436.47</v>
      </c>
      <c r="J4925" s="444">
        <f t="array" ref="J4925">IFERROR(INDEX('Retirement Calculator'!K:K,MATCH('Lorri 401b'!N4925,'Retirement Calculator'!A:A,0),0),0)</f>
        <v>0</v>
      </c>
      <c r="K4925" s="444">
        <f t="shared" ca="1" si="178"/>
        <v>-1070732917401.8187</v>
      </c>
      <c r="L4925" s="444">
        <f t="shared" ca="1" si="179"/>
        <v>-258046633093838.28</v>
      </c>
      <c r="M4925" s="460">
        <f t="shared" si="181"/>
        <v>0.05</v>
      </c>
      <c r="N4925" s="464">
        <f t="shared" si="182"/>
        <v>200945</v>
      </c>
    </row>
    <row r="4926" spans="7:14" ht="11.25" customHeight="1" x14ac:dyDescent="0.3">
      <c r="G4926" s="459"/>
      <c r="H4926" s="459">
        <v>4919</v>
      </c>
      <c r="I4926" s="444">
        <f t="shared" ca="1" si="180"/>
        <v>-258046633093838.28</v>
      </c>
      <c r="J4926" s="444">
        <f t="array" ref="J4926">IFERROR(INDEX('Retirement Calculator'!K:K,MATCH('Lorri 401b'!N4926,'Retirement Calculator'!A:A,0),0),0)</f>
        <v>0</v>
      </c>
      <c r="K4926" s="444">
        <f t="shared" ca="1" si="178"/>
        <v>-1075194304557.6595</v>
      </c>
      <c r="L4926" s="444">
        <f t="shared" ca="1" si="179"/>
        <v>-259121827398395.94</v>
      </c>
      <c r="M4926" s="460">
        <f t="shared" si="181"/>
        <v>0.05</v>
      </c>
      <c r="N4926" s="464">
        <f t="shared" si="182"/>
        <v>200976</v>
      </c>
    </row>
    <row r="4927" spans="7:14" ht="11.25" customHeight="1" x14ac:dyDescent="0.3">
      <c r="G4927" s="459"/>
      <c r="H4927" s="459">
        <v>4920</v>
      </c>
      <c r="I4927" s="444">
        <f t="shared" ca="1" si="180"/>
        <v>-259121827398395.94</v>
      </c>
      <c r="J4927" s="444">
        <f t="array" ref="J4927">IFERROR(INDEX('Retirement Calculator'!K:K,MATCH('Lorri 401b'!N4927,'Retirement Calculator'!A:A,0),0),0)</f>
        <v>0</v>
      </c>
      <c r="K4927" s="444">
        <f t="shared" ca="1" si="178"/>
        <v>-1079674280826.6498</v>
      </c>
      <c r="L4927" s="444">
        <f t="shared" ca="1" si="179"/>
        <v>-260201501679222.59</v>
      </c>
      <c r="M4927" s="460">
        <f t="shared" si="181"/>
        <v>0.05</v>
      </c>
      <c r="N4927" s="464">
        <f t="shared" si="182"/>
        <v>201006</v>
      </c>
    </row>
    <row r="4928" spans="7:14" ht="11.25" customHeight="1" x14ac:dyDescent="0.3">
      <c r="G4928" s="459"/>
      <c r="H4928" s="459">
        <v>4921</v>
      </c>
      <c r="I4928" s="444">
        <f t="shared" ca="1" si="180"/>
        <v>-260201501679222.59</v>
      </c>
      <c r="J4928" s="444">
        <f t="array" ref="J4928">IFERROR(INDEX('Retirement Calculator'!K:K,MATCH('Lorri 401b'!N4928,'Retirement Calculator'!A:A,0),0),0)</f>
        <v>0</v>
      </c>
      <c r="K4928" s="444">
        <f t="shared" ca="1" si="178"/>
        <v>-1084172923663.4274</v>
      </c>
      <c r="L4928" s="444">
        <f t="shared" ca="1" si="179"/>
        <v>-261285674602886.03</v>
      </c>
      <c r="M4928" s="460">
        <f t="shared" si="181"/>
        <v>0.05</v>
      </c>
      <c r="N4928" s="464">
        <f t="shared" si="182"/>
        <v>201037</v>
      </c>
    </row>
    <row r="4929" spans="7:14" ht="11.25" customHeight="1" x14ac:dyDescent="0.3">
      <c r="G4929" s="459"/>
      <c r="H4929" s="459">
        <v>4922</v>
      </c>
      <c r="I4929" s="444">
        <f t="shared" ca="1" si="180"/>
        <v>-261285674602886.03</v>
      </c>
      <c r="J4929" s="444">
        <f t="array" ref="J4929">IFERROR(INDEX('Retirement Calculator'!K:K,MATCH('Lorri 401b'!N4929,'Retirement Calculator'!A:A,0),0),0)</f>
        <v>0</v>
      </c>
      <c r="K4929" s="444">
        <f t="shared" ca="1" si="178"/>
        <v>-1088690310845.3583</v>
      </c>
      <c r="L4929" s="444">
        <f t="shared" ca="1" si="179"/>
        <v>-262374364913731.38</v>
      </c>
      <c r="M4929" s="460">
        <f t="shared" si="181"/>
        <v>0.05</v>
      </c>
      <c r="N4929" s="464">
        <f t="shared" si="182"/>
        <v>201067</v>
      </c>
    </row>
    <row r="4930" spans="7:14" ht="11.25" customHeight="1" x14ac:dyDescent="0.3">
      <c r="G4930" s="459"/>
      <c r="H4930" s="459">
        <v>4923</v>
      </c>
      <c r="I4930" s="444">
        <f t="shared" ca="1" si="180"/>
        <v>-262374364913731.38</v>
      </c>
      <c r="J4930" s="444">
        <f t="array" ref="J4930">IFERROR(INDEX('Retirement Calculator'!K:K,MATCH('Lorri 401b'!N4930,'Retirement Calculator'!A:A,0),0),0)</f>
        <v>0</v>
      </c>
      <c r="K4930" s="444">
        <f t="shared" ca="1" si="178"/>
        <v>-1093226520473.8807</v>
      </c>
      <c r="L4930" s="444">
        <f t="shared" ca="1" si="179"/>
        <v>-263467591434205.25</v>
      </c>
      <c r="M4930" s="460">
        <f t="shared" si="181"/>
        <v>0.05</v>
      </c>
      <c r="N4930" s="464">
        <f t="shared" si="182"/>
        <v>201098</v>
      </c>
    </row>
    <row r="4931" spans="7:14" ht="11.25" customHeight="1" x14ac:dyDescent="0.3">
      <c r="G4931" s="459"/>
      <c r="H4931" s="459">
        <v>4924</v>
      </c>
      <c r="I4931" s="444">
        <f t="shared" ca="1" si="180"/>
        <v>-263467591434205.25</v>
      </c>
      <c r="J4931" s="444">
        <f t="array" ref="J4931">IFERROR(INDEX('Retirement Calculator'!K:K,MATCH('Lorri 401b'!N4931,'Retirement Calculator'!A:A,0),0),0)</f>
        <v>0</v>
      </c>
      <c r="K4931" s="444">
        <f t="shared" ca="1" si="178"/>
        <v>-1097781630975.8552</v>
      </c>
      <c r="L4931" s="444">
        <f t="shared" ca="1" si="179"/>
        <v>-264565373065181.09</v>
      </c>
      <c r="M4931" s="460">
        <f t="shared" si="181"/>
        <v>0.05</v>
      </c>
      <c r="N4931" s="464">
        <f t="shared" si="182"/>
        <v>201129</v>
      </c>
    </row>
    <row r="4932" spans="7:14" ht="11.25" customHeight="1" x14ac:dyDescent="0.3">
      <c r="G4932" s="459"/>
      <c r="H4932" s="459">
        <v>4925</v>
      </c>
      <c r="I4932" s="444">
        <f t="shared" ca="1" si="180"/>
        <v>-264565373065181.09</v>
      </c>
      <c r="J4932" s="444">
        <f t="array" ref="J4932">IFERROR(INDEX('Retirement Calculator'!K:K,MATCH('Lorri 401b'!N4932,'Retirement Calculator'!A:A,0),0),0)</f>
        <v>0</v>
      </c>
      <c r="K4932" s="444">
        <f t="shared" ca="1" si="178"/>
        <v>-1102355721104.9214</v>
      </c>
      <c r="L4932" s="444">
        <f t="shared" ca="1" si="179"/>
        <v>-265667728786286</v>
      </c>
      <c r="M4932" s="460">
        <f t="shared" si="181"/>
        <v>0.05</v>
      </c>
      <c r="N4932" s="464">
        <f t="shared" si="182"/>
        <v>201159</v>
      </c>
    </row>
    <row r="4933" spans="7:14" ht="11.25" customHeight="1" x14ac:dyDescent="0.3">
      <c r="G4933" s="459"/>
      <c r="H4933" s="459">
        <v>4926</v>
      </c>
      <c r="I4933" s="444">
        <f t="shared" ca="1" si="180"/>
        <v>-265667728786286</v>
      </c>
      <c r="J4933" s="444">
        <f t="array" ref="J4933">IFERROR(INDEX('Retirement Calculator'!K:K,MATCH('Lorri 401b'!N4933,'Retirement Calculator'!A:A,0),0),0)</f>
        <v>0</v>
      </c>
      <c r="K4933" s="444">
        <f t="shared" ca="1" si="178"/>
        <v>-1106948869942.8584</v>
      </c>
      <c r="L4933" s="444">
        <f t="shared" ca="1" si="179"/>
        <v>-266774677656228.84</v>
      </c>
      <c r="M4933" s="460">
        <f t="shared" si="181"/>
        <v>0.05</v>
      </c>
      <c r="N4933" s="464">
        <f t="shared" si="182"/>
        <v>201190</v>
      </c>
    </row>
    <row r="4934" spans="7:14" ht="11.25" customHeight="1" x14ac:dyDescent="0.3">
      <c r="G4934" s="459"/>
      <c r="H4934" s="459">
        <v>4927</v>
      </c>
      <c r="I4934" s="444">
        <f t="shared" ca="1" si="180"/>
        <v>-266774677656228.84</v>
      </c>
      <c r="J4934" s="444">
        <f t="array" ref="J4934">IFERROR(INDEX('Retirement Calculator'!K:K,MATCH('Lorri 401b'!N4934,'Retirement Calculator'!A:A,0),0),0)</f>
        <v>0</v>
      </c>
      <c r="K4934" s="444">
        <f t="shared" ca="1" si="178"/>
        <v>-1111561156900.9536</v>
      </c>
      <c r="L4934" s="444">
        <f t="shared" ca="1" si="179"/>
        <v>-267886238813129.81</v>
      </c>
      <c r="M4934" s="460">
        <f t="shared" si="181"/>
        <v>0.05</v>
      </c>
      <c r="N4934" s="464">
        <f t="shared" si="182"/>
        <v>201220</v>
      </c>
    </row>
    <row r="4935" spans="7:14" ht="11.25" customHeight="1" x14ac:dyDescent="0.3">
      <c r="G4935" s="459"/>
      <c r="H4935" s="459">
        <v>4928</v>
      </c>
      <c r="I4935" s="444">
        <f t="shared" ca="1" si="180"/>
        <v>-267886238813129.81</v>
      </c>
      <c r="J4935" s="444">
        <f t="array" ref="J4935">IFERROR(INDEX('Retirement Calculator'!K:K,MATCH('Lorri 401b'!N4935,'Retirement Calculator'!A:A,0),0),0)</f>
        <v>0</v>
      </c>
      <c r="K4935" s="444">
        <f t="shared" ca="1" si="178"/>
        <v>-1116192661721.3743</v>
      </c>
      <c r="L4935" s="444">
        <f t="shared" ca="1" si="179"/>
        <v>-269002431474851.19</v>
      </c>
      <c r="M4935" s="460">
        <f t="shared" si="181"/>
        <v>0.05</v>
      </c>
      <c r="N4935" s="464">
        <f t="shared" si="182"/>
        <v>201251</v>
      </c>
    </row>
    <row r="4936" spans="7:14" ht="11.25" customHeight="1" x14ac:dyDescent="0.3">
      <c r="G4936" s="459"/>
      <c r="H4936" s="459">
        <v>4929</v>
      </c>
      <c r="I4936" s="444">
        <f t="shared" ca="1" si="180"/>
        <v>-269002431474851.19</v>
      </c>
      <c r="J4936" s="444">
        <f t="array" ref="J4936">IFERROR(INDEX('Retirement Calculator'!K:K,MATCH('Lorri 401b'!N4936,'Retirement Calculator'!A:A,0),0),0)</f>
        <v>0</v>
      </c>
      <c r="K4936" s="444">
        <f t="shared" ca="1" si="178"/>
        <v>-1120843464478.5466</v>
      </c>
      <c r="L4936" s="444">
        <f t="shared" ca="1" si="179"/>
        <v>-270123274939329.72</v>
      </c>
      <c r="M4936" s="460">
        <f t="shared" si="181"/>
        <v>0.05</v>
      </c>
      <c r="N4936" s="464">
        <f t="shared" si="182"/>
        <v>201282</v>
      </c>
    </row>
    <row r="4937" spans="7:14" ht="11.25" customHeight="1" x14ac:dyDescent="0.3">
      <c r="G4937" s="459"/>
      <c r="H4937" s="459">
        <v>4930</v>
      </c>
      <c r="I4937" s="444">
        <f t="shared" ca="1" si="180"/>
        <v>-270123274939329.72</v>
      </c>
      <c r="J4937" s="444">
        <f t="array" ref="J4937">IFERROR(INDEX('Retirement Calculator'!K:K,MATCH('Lorri 401b'!N4937,'Retirement Calculator'!A:A,0),0),0)</f>
        <v>0</v>
      </c>
      <c r="K4937" s="444">
        <f t="shared" ca="1" si="178"/>
        <v>-1125513645580.5403</v>
      </c>
      <c r="L4937" s="444">
        <f t="shared" ca="1" si="179"/>
        <v>-271248788584910.25</v>
      </c>
      <c r="M4937" s="460">
        <f t="shared" si="181"/>
        <v>0.05</v>
      </c>
      <c r="N4937" s="464">
        <f t="shared" si="182"/>
        <v>201310</v>
      </c>
    </row>
    <row r="4938" spans="7:14" ht="11.25" customHeight="1" x14ac:dyDescent="0.3">
      <c r="G4938" s="459"/>
      <c r="H4938" s="459">
        <v>4931</v>
      </c>
      <c r="I4938" s="444">
        <f t="shared" ca="1" si="180"/>
        <v>-271248788584910.25</v>
      </c>
      <c r="J4938" s="444">
        <f t="array" ref="J4938">IFERROR(INDEX('Retirement Calculator'!K:K,MATCH('Lorri 401b'!N4938,'Retirement Calculator'!A:A,0),0),0)</f>
        <v>0</v>
      </c>
      <c r="K4938" s="444">
        <f t="shared" ca="1" si="178"/>
        <v>-1130203285770.4595</v>
      </c>
      <c r="L4938" s="444">
        <f t="shared" ca="1" si="179"/>
        <v>-272378991870680.72</v>
      </c>
      <c r="M4938" s="460">
        <f t="shared" si="181"/>
        <v>0.05</v>
      </c>
      <c r="N4938" s="464">
        <f t="shared" si="182"/>
        <v>201341</v>
      </c>
    </row>
    <row r="4939" spans="7:14" ht="11.25" customHeight="1" x14ac:dyDescent="0.3">
      <c r="G4939" s="459"/>
      <c r="H4939" s="459">
        <v>4932</v>
      </c>
      <c r="I4939" s="444">
        <f t="shared" ca="1" si="180"/>
        <v>-272378991870680.72</v>
      </c>
      <c r="J4939" s="444">
        <f t="array" ref="J4939">IFERROR(INDEX('Retirement Calculator'!K:K,MATCH('Lorri 401b'!N4939,'Retirement Calculator'!A:A,0),0),0)</f>
        <v>0</v>
      </c>
      <c r="K4939" s="444">
        <f t="shared" ca="1" si="178"/>
        <v>-1134912466127.8364</v>
      </c>
      <c r="L4939" s="444">
        <f t="shared" ca="1" si="179"/>
        <v>-273513904336808.56</v>
      </c>
      <c r="M4939" s="460">
        <f t="shared" si="181"/>
        <v>0.05</v>
      </c>
      <c r="N4939" s="464">
        <f t="shared" si="182"/>
        <v>201371</v>
      </c>
    </row>
    <row r="4940" spans="7:14" ht="11.25" customHeight="1" x14ac:dyDescent="0.3">
      <c r="G4940" s="459"/>
      <c r="H4940" s="459">
        <v>4933</v>
      </c>
      <c r="I4940" s="444">
        <f t="shared" ca="1" si="180"/>
        <v>-273513904336808.56</v>
      </c>
      <c r="J4940" s="444">
        <f t="array" ref="J4940">IFERROR(INDEX('Retirement Calculator'!K:K,MATCH('Lorri 401b'!N4940,'Retirement Calculator'!A:A,0),0),0)</f>
        <v>0</v>
      </c>
      <c r="K4940" s="444">
        <f t="shared" ca="1" si="178"/>
        <v>-1139641268070.0356</v>
      </c>
      <c r="L4940" s="444">
        <f t="shared" ca="1" si="179"/>
        <v>-274653545604878.59</v>
      </c>
      <c r="M4940" s="460">
        <f t="shared" si="181"/>
        <v>0.05</v>
      </c>
      <c r="N4940" s="464">
        <f t="shared" si="182"/>
        <v>201402</v>
      </c>
    </row>
    <row r="4941" spans="7:14" ht="11.25" customHeight="1" x14ac:dyDescent="0.3">
      <c r="G4941" s="459"/>
      <c r="H4941" s="459">
        <v>4934</v>
      </c>
      <c r="I4941" s="444">
        <f t="shared" ca="1" si="180"/>
        <v>-274653545604878.59</v>
      </c>
      <c r="J4941" s="444">
        <f t="array" ref="J4941">IFERROR(INDEX('Retirement Calculator'!K:K,MATCH('Lorri 401b'!N4941,'Retirement Calculator'!A:A,0),0),0)</f>
        <v>0</v>
      </c>
      <c r="K4941" s="444">
        <f t="shared" ca="1" si="178"/>
        <v>-1144389773353.6609</v>
      </c>
      <c r="L4941" s="444">
        <f t="shared" ca="1" si="179"/>
        <v>-275797935378232.25</v>
      </c>
      <c r="M4941" s="460">
        <f t="shared" si="181"/>
        <v>0.05</v>
      </c>
      <c r="N4941" s="464">
        <f t="shared" si="182"/>
        <v>201432</v>
      </c>
    </row>
    <row r="4942" spans="7:14" ht="11.25" customHeight="1" x14ac:dyDescent="0.3">
      <c r="G4942" s="459"/>
      <c r="H4942" s="459">
        <v>4935</v>
      </c>
      <c r="I4942" s="444">
        <f t="shared" ca="1" si="180"/>
        <v>-275797935378232.25</v>
      </c>
      <c r="J4942" s="444">
        <f t="array" ref="J4942">IFERROR(INDEX('Retirement Calculator'!K:K,MATCH('Lorri 401b'!N4942,'Retirement Calculator'!A:A,0),0),0)</f>
        <v>0</v>
      </c>
      <c r="K4942" s="444">
        <f t="shared" ca="1" si="178"/>
        <v>-1149158064075.9675</v>
      </c>
      <c r="L4942" s="444">
        <f t="shared" ca="1" si="179"/>
        <v>-276947093442308.22</v>
      </c>
      <c r="M4942" s="460">
        <f t="shared" si="181"/>
        <v>0.05</v>
      </c>
      <c r="N4942" s="464">
        <f t="shared" si="182"/>
        <v>201463</v>
      </c>
    </row>
    <row r="4943" spans="7:14" ht="11.25" customHeight="1" x14ac:dyDescent="0.3">
      <c r="G4943" s="459"/>
      <c r="H4943" s="459">
        <v>4936</v>
      </c>
      <c r="I4943" s="444">
        <f t="shared" ca="1" si="180"/>
        <v>-276947093442308.22</v>
      </c>
      <c r="J4943" s="444">
        <f t="array" ref="J4943">IFERROR(INDEX('Retirement Calculator'!K:K,MATCH('Lorri 401b'!N4943,'Retirement Calculator'!A:A,0),0),0)</f>
        <v>0</v>
      </c>
      <c r="K4943" s="444">
        <f t="shared" ca="1" si="178"/>
        <v>-1153946222676.2842</v>
      </c>
      <c r="L4943" s="444">
        <f t="shared" ca="1" si="179"/>
        <v>-278101039664984.5</v>
      </c>
      <c r="M4943" s="460">
        <f t="shared" si="181"/>
        <v>0.05</v>
      </c>
      <c r="N4943" s="464">
        <f t="shared" si="182"/>
        <v>201494</v>
      </c>
    </row>
    <row r="4944" spans="7:14" ht="11.25" customHeight="1" x14ac:dyDescent="0.3">
      <c r="G4944" s="459"/>
      <c r="H4944" s="459">
        <v>4937</v>
      </c>
      <c r="I4944" s="444">
        <f t="shared" ca="1" si="180"/>
        <v>-278101039664984.5</v>
      </c>
      <c r="J4944" s="444">
        <f t="array" ref="J4944">IFERROR(INDEX('Retirement Calculator'!K:K,MATCH('Lorri 401b'!N4944,'Retirement Calculator'!A:A,0),0),0)</f>
        <v>0</v>
      </c>
      <c r="K4944" s="444">
        <f t="shared" ca="1" si="178"/>
        <v>-1158754331937.4353</v>
      </c>
      <c r="L4944" s="444">
        <f t="shared" ca="1" si="179"/>
        <v>-279259793996921.94</v>
      </c>
      <c r="M4944" s="460">
        <f t="shared" si="181"/>
        <v>0.05</v>
      </c>
      <c r="N4944" s="464">
        <f t="shared" si="182"/>
        <v>201524</v>
      </c>
    </row>
    <row r="4945" spans="7:14" ht="11.25" customHeight="1" x14ac:dyDescent="0.3">
      <c r="G4945" s="459"/>
      <c r="H4945" s="459">
        <v>4938</v>
      </c>
      <c r="I4945" s="444">
        <f t="shared" ca="1" si="180"/>
        <v>-279259793996921.94</v>
      </c>
      <c r="J4945" s="444">
        <f t="array" ref="J4945">IFERROR(INDEX('Retirement Calculator'!K:K,MATCH('Lorri 401b'!N4945,'Retirement Calculator'!A:A,0),0),0)</f>
        <v>0</v>
      </c>
      <c r="K4945" s="444">
        <f t="shared" ca="1" si="178"/>
        <v>-1163582474987.1746</v>
      </c>
      <c r="L4945" s="444">
        <f t="shared" ca="1" si="179"/>
        <v>-280423376471909.13</v>
      </c>
      <c r="M4945" s="460">
        <f t="shared" si="181"/>
        <v>0.05</v>
      </c>
      <c r="N4945" s="464">
        <f t="shared" si="182"/>
        <v>201555</v>
      </c>
    </row>
    <row r="4946" spans="7:14" ht="11.25" customHeight="1" x14ac:dyDescent="0.3">
      <c r="G4946" s="459"/>
      <c r="H4946" s="459">
        <v>4939</v>
      </c>
      <c r="I4946" s="444">
        <f t="shared" ca="1" si="180"/>
        <v>-280423376471909.13</v>
      </c>
      <c r="J4946" s="444">
        <f t="array" ref="J4946">IFERROR(INDEX('Retirement Calculator'!K:K,MATCH('Lorri 401b'!N4946,'Retirement Calculator'!A:A,0),0),0)</f>
        <v>0</v>
      </c>
      <c r="K4946" s="444">
        <f t="shared" ca="1" si="178"/>
        <v>-1168430735299.6213</v>
      </c>
      <c r="L4946" s="444">
        <f t="shared" ca="1" si="179"/>
        <v>-281591807207208.75</v>
      </c>
      <c r="M4946" s="460">
        <f t="shared" si="181"/>
        <v>0.05</v>
      </c>
      <c r="N4946" s="464">
        <f t="shared" si="182"/>
        <v>201585</v>
      </c>
    </row>
    <row r="4947" spans="7:14" ht="11.25" customHeight="1" x14ac:dyDescent="0.3">
      <c r="G4947" s="459"/>
      <c r="H4947" s="459">
        <v>4940</v>
      </c>
      <c r="I4947" s="444">
        <f t="shared" ca="1" si="180"/>
        <v>-281591807207208.75</v>
      </c>
      <c r="J4947" s="444">
        <f t="array" ref="J4947">IFERROR(INDEX('Retirement Calculator'!K:K,MATCH('Lorri 401b'!N4947,'Retirement Calculator'!A:A,0),0),0)</f>
        <v>0</v>
      </c>
      <c r="K4947" s="444">
        <f t="shared" ca="1" si="178"/>
        <v>-1173299196696.7031</v>
      </c>
      <c r="L4947" s="444">
        <f t="shared" ca="1" si="179"/>
        <v>-282765106403905.44</v>
      </c>
      <c r="M4947" s="460">
        <f t="shared" si="181"/>
        <v>0.05</v>
      </c>
      <c r="N4947" s="464">
        <f t="shared" si="182"/>
        <v>201616</v>
      </c>
    </row>
    <row r="4948" spans="7:14" ht="11.25" customHeight="1" x14ac:dyDescent="0.3">
      <c r="G4948" s="459"/>
      <c r="H4948" s="459">
        <v>4941</v>
      </c>
      <c r="I4948" s="444">
        <f t="shared" ca="1" si="180"/>
        <v>-282765106403905.44</v>
      </c>
      <c r="J4948" s="444">
        <f t="array" ref="J4948">IFERROR(INDEX('Retirement Calculator'!K:K,MATCH('Lorri 401b'!N4948,'Retirement Calculator'!A:A,0),0),0)</f>
        <v>0</v>
      </c>
      <c r="K4948" s="444">
        <f t="shared" ca="1" si="178"/>
        <v>-1178187943349.606</v>
      </c>
      <c r="L4948" s="444">
        <f t="shared" ca="1" si="179"/>
        <v>-283943294347255.06</v>
      </c>
      <c r="M4948" s="460">
        <f t="shared" si="181"/>
        <v>0.05</v>
      </c>
      <c r="N4948" s="464">
        <f t="shared" si="182"/>
        <v>201647</v>
      </c>
    </row>
    <row r="4949" spans="7:14" ht="11.25" customHeight="1" x14ac:dyDescent="0.3">
      <c r="G4949" s="459"/>
      <c r="H4949" s="459">
        <v>4942</v>
      </c>
      <c r="I4949" s="444">
        <f t="shared" ca="1" si="180"/>
        <v>-283943294347255.06</v>
      </c>
      <c r="J4949" s="444">
        <f t="array" ref="J4949">IFERROR(INDEX('Retirement Calculator'!K:K,MATCH('Lorri 401b'!N4949,'Retirement Calculator'!A:A,0),0),0)</f>
        <v>0</v>
      </c>
      <c r="K4949" s="444">
        <f t="shared" ca="1" si="178"/>
        <v>-1183097059780.2295</v>
      </c>
      <c r="L4949" s="444">
        <f t="shared" ca="1" si="179"/>
        <v>-285126391407035.31</v>
      </c>
      <c r="M4949" s="460">
        <f t="shared" si="181"/>
        <v>0.05</v>
      </c>
      <c r="N4949" s="464">
        <f t="shared" si="182"/>
        <v>201676</v>
      </c>
    </row>
    <row r="4950" spans="7:14" ht="11.25" customHeight="1" x14ac:dyDescent="0.3">
      <c r="G4950" s="459"/>
      <c r="H4950" s="459">
        <v>4943</v>
      </c>
      <c r="I4950" s="444">
        <f t="shared" ca="1" si="180"/>
        <v>-285126391407035.31</v>
      </c>
      <c r="J4950" s="444">
        <f t="array" ref="J4950">IFERROR(INDEX('Retirement Calculator'!K:K,MATCH('Lorri 401b'!N4950,'Retirement Calculator'!A:A,0),0),0)</f>
        <v>0</v>
      </c>
      <c r="K4950" s="444">
        <f t="shared" ca="1" si="178"/>
        <v>-1188026630862.6472</v>
      </c>
      <c r="L4950" s="444">
        <f t="shared" ca="1" si="179"/>
        <v>-286314418037897.94</v>
      </c>
      <c r="M4950" s="460">
        <f t="shared" si="181"/>
        <v>0.05</v>
      </c>
      <c r="N4950" s="464">
        <f t="shared" si="182"/>
        <v>201707</v>
      </c>
    </row>
    <row r="4951" spans="7:14" ht="11.25" customHeight="1" x14ac:dyDescent="0.3">
      <c r="G4951" s="459"/>
      <c r="H4951" s="459">
        <v>4944</v>
      </c>
      <c r="I4951" s="444">
        <f t="shared" ca="1" si="180"/>
        <v>-286314418037897.94</v>
      </c>
      <c r="J4951" s="444">
        <f t="array" ref="J4951">IFERROR(INDEX('Retirement Calculator'!K:K,MATCH('Lorri 401b'!N4951,'Retirement Calculator'!A:A,0),0),0)</f>
        <v>0</v>
      </c>
      <c r="K4951" s="444">
        <f t="shared" ca="1" si="178"/>
        <v>-1192976741824.5747</v>
      </c>
      <c r="L4951" s="444">
        <f t="shared" ca="1" si="179"/>
        <v>-287507394779722.5</v>
      </c>
      <c r="M4951" s="460">
        <f t="shared" si="181"/>
        <v>0.05</v>
      </c>
      <c r="N4951" s="464">
        <f t="shared" si="182"/>
        <v>201737</v>
      </c>
    </row>
    <row r="4952" spans="7:14" ht="11.25" customHeight="1" x14ac:dyDescent="0.3">
      <c r="G4952" s="459"/>
      <c r="H4952" s="459">
        <v>4945</v>
      </c>
      <c r="I4952" s="444">
        <f t="shared" ca="1" si="180"/>
        <v>-287507394779722.5</v>
      </c>
      <c r="J4952" s="444">
        <f t="array" ref="J4952">IFERROR(INDEX('Retirement Calculator'!K:K,MATCH('Lorri 401b'!N4952,'Retirement Calculator'!A:A,0),0),0)</f>
        <v>0</v>
      </c>
      <c r="K4952" s="444">
        <f t="shared" ca="1" si="178"/>
        <v>-1197947478248.8438</v>
      </c>
      <c r="L4952" s="444">
        <f t="shared" ca="1" si="179"/>
        <v>-288705342257971.38</v>
      </c>
      <c r="M4952" s="460">
        <f t="shared" si="181"/>
        <v>0.05</v>
      </c>
      <c r="N4952" s="464">
        <f t="shared" si="182"/>
        <v>201768</v>
      </c>
    </row>
    <row r="4953" spans="7:14" ht="11.25" customHeight="1" x14ac:dyDescent="0.3">
      <c r="G4953" s="459"/>
      <c r="H4953" s="459">
        <v>4946</v>
      </c>
      <c r="I4953" s="444">
        <f t="shared" ca="1" si="180"/>
        <v>-288705342257971.38</v>
      </c>
      <c r="J4953" s="444">
        <f t="array" ref="J4953">IFERROR(INDEX('Retirement Calculator'!K:K,MATCH('Lorri 401b'!N4953,'Retirement Calculator'!A:A,0),0),0)</f>
        <v>0</v>
      </c>
      <c r="K4953" s="444">
        <f t="shared" ca="1" si="178"/>
        <v>-1202938926074.8806</v>
      </c>
      <c r="L4953" s="444">
        <f t="shared" ca="1" si="179"/>
        <v>-289908281184046.25</v>
      </c>
      <c r="M4953" s="460">
        <f t="shared" si="181"/>
        <v>0.05</v>
      </c>
      <c r="N4953" s="464">
        <f t="shared" si="182"/>
        <v>201798</v>
      </c>
    </row>
    <row r="4954" spans="7:14" ht="11.25" customHeight="1" x14ac:dyDescent="0.3">
      <c r="G4954" s="459"/>
      <c r="H4954" s="459">
        <v>4947</v>
      </c>
      <c r="I4954" s="444">
        <f t="shared" ca="1" si="180"/>
        <v>-289908281184046.25</v>
      </c>
      <c r="J4954" s="444">
        <f t="array" ref="J4954">IFERROR(INDEX('Retirement Calculator'!K:K,MATCH('Lorri 401b'!N4954,'Retirement Calculator'!A:A,0),0),0)</f>
        <v>0</v>
      </c>
      <c r="K4954" s="444">
        <f t="shared" ca="1" si="178"/>
        <v>-1207951171600.1926</v>
      </c>
      <c r="L4954" s="444">
        <f t="shared" ca="1" si="179"/>
        <v>-291116232355646.44</v>
      </c>
      <c r="M4954" s="460">
        <f t="shared" si="181"/>
        <v>0.05</v>
      </c>
      <c r="N4954" s="464">
        <f t="shared" si="182"/>
        <v>201829</v>
      </c>
    </row>
    <row r="4955" spans="7:14" ht="11.25" customHeight="1" x14ac:dyDescent="0.3">
      <c r="G4955" s="459"/>
      <c r="H4955" s="459">
        <v>4948</v>
      </c>
      <c r="I4955" s="444">
        <f t="shared" ca="1" si="180"/>
        <v>-291116232355646.44</v>
      </c>
      <c r="J4955" s="444">
        <f t="array" ref="J4955">IFERROR(INDEX('Retirement Calculator'!K:K,MATCH('Lorri 401b'!N4955,'Retirement Calculator'!A:A,0),0),0)</f>
        <v>0</v>
      </c>
      <c r="K4955" s="444">
        <f t="shared" ca="1" si="178"/>
        <v>-1212984301481.8601</v>
      </c>
      <c r="L4955" s="444">
        <f t="shared" ca="1" si="179"/>
        <v>-292329216657128.31</v>
      </c>
      <c r="M4955" s="460">
        <f t="shared" si="181"/>
        <v>0.05</v>
      </c>
      <c r="N4955" s="464">
        <f t="shared" si="182"/>
        <v>201860</v>
      </c>
    </row>
    <row r="4956" spans="7:14" ht="11.25" customHeight="1" x14ac:dyDescent="0.3">
      <c r="G4956" s="459"/>
      <c r="H4956" s="459">
        <v>4949</v>
      </c>
      <c r="I4956" s="444">
        <f t="shared" ca="1" si="180"/>
        <v>-292329216657128.31</v>
      </c>
      <c r="J4956" s="444">
        <f t="array" ref="J4956">IFERROR(INDEX('Retirement Calculator'!K:K,MATCH('Lorri 401b'!N4956,'Retirement Calculator'!A:A,0),0),0)</f>
        <v>0</v>
      </c>
      <c r="K4956" s="444">
        <f t="shared" ca="1" si="178"/>
        <v>-1218038402738.0347</v>
      </c>
      <c r="L4956" s="444">
        <f t="shared" ca="1" si="179"/>
        <v>-293547255059866.38</v>
      </c>
      <c r="M4956" s="460">
        <f t="shared" si="181"/>
        <v>0.05</v>
      </c>
      <c r="N4956" s="464">
        <f t="shared" si="182"/>
        <v>201890</v>
      </c>
    </row>
    <row r="4957" spans="7:14" ht="11.25" customHeight="1" x14ac:dyDescent="0.3">
      <c r="G4957" s="459"/>
      <c r="H4957" s="459">
        <v>4950</v>
      </c>
      <c r="I4957" s="444">
        <f t="shared" ca="1" si="180"/>
        <v>-293547255059866.38</v>
      </c>
      <c r="J4957" s="444">
        <f t="array" ref="J4957">IFERROR(INDEX('Retirement Calculator'!K:K,MATCH('Lorri 401b'!N4957,'Retirement Calculator'!A:A,0),0),0)</f>
        <v>0</v>
      </c>
      <c r="K4957" s="444">
        <f t="shared" ca="1" si="178"/>
        <v>-1223113562749.4431</v>
      </c>
      <c r="L4957" s="444">
        <f t="shared" ca="1" si="179"/>
        <v>-294770368622615.81</v>
      </c>
      <c r="M4957" s="460">
        <f t="shared" si="181"/>
        <v>0.05</v>
      </c>
      <c r="N4957" s="464">
        <f t="shared" si="182"/>
        <v>201921</v>
      </c>
    </row>
    <row r="4958" spans="7:14" ht="11.25" customHeight="1" x14ac:dyDescent="0.3">
      <c r="G4958" s="459"/>
      <c r="H4958" s="459">
        <v>4951</v>
      </c>
      <c r="I4958" s="444">
        <f t="shared" ca="1" si="180"/>
        <v>-294770368622615.81</v>
      </c>
      <c r="J4958" s="444">
        <f t="array" ref="J4958">IFERROR(INDEX('Retirement Calculator'!K:K,MATCH('Lorri 401b'!N4958,'Retirement Calculator'!A:A,0),0),0)</f>
        <v>0</v>
      </c>
      <c r="K4958" s="444">
        <f t="shared" ca="1" si="178"/>
        <v>-1228209869260.8992</v>
      </c>
      <c r="L4958" s="444">
        <f t="shared" ca="1" si="179"/>
        <v>-295998578491876.69</v>
      </c>
      <c r="M4958" s="460">
        <f t="shared" si="181"/>
        <v>0.05</v>
      </c>
      <c r="N4958" s="464">
        <f t="shared" si="182"/>
        <v>201951</v>
      </c>
    </row>
    <row r="4959" spans="7:14" ht="11.25" customHeight="1" x14ac:dyDescent="0.3">
      <c r="G4959" s="459"/>
      <c r="H4959" s="459">
        <v>4952</v>
      </c>
      <c r="I4959" s="444">
        <f t="shared" ca="1" si="180"/>
        <v>-295998578491876.69</v>
      </c>
      <c r="J4959" s="444">
        <f t="array" ref="J4959">IFERROR(INDEX('Retirement Calculator'!K:K,MATCH('Lorri 401b'!N4959,'Retirement Calculator'!A:A,0),0),0)</f>
        <v>0</v>
      </c>
      <c r="K4959" s="444">
        <f t="shared" ca="1" si="178"/>
        <v>-1233327410382.8196</v>
      </c>
      <c r="L4959" s="444">
        <f t="shared" ca="1" si="179"/>
        <v>-297231905902259.5</v>
      </c>
      <c r="M4959" s="460">
        <f t="shared" si="181"/>
        <v>0.05</v>
      </c>
      <c r="N4959" s="464">
        <f t="shared" si="182"/>
        <v>201982</v>
      </c>
    </row>
    <row r="4960" spans="7:14" ht="11.25" customHeight="1" x14ac:dyDescent="0.3">
      <c r="G4960" s="459"/>
      <c r="H4960" s="459">
        <v>4953</v>
      </c>
      <c r="I4960" s="444">
        <f t="shared" ca="1" si="180"/>
        <v>-297231905902259.5</v>
      </c>
      <c r="J4960" s="444">
        <f t="array" ref="J4960">IFERROR(INDEX('Retirement Calculator'!K:K,MATCH('Lorri 401b'!N4960,'Retirement Calculator'!A:A,0),0),0)</f>
        <v>0</v>
      </c>
      <c r="K4960" s="444">
        <f t="shared" ca="1" si="178"/>
        <v>-1238466274592.7478</v>
      </c>
      <c r="L4960" s="444">
        <f t="shared" ca="1" si="179"/>
        <v>-298470372176852.25</v>
      </c>
      <c r="M4960" s="460">
        <f t="shared" si="181"/>
        <v>0.05</v>
      </c>
      <c r="N4960" s="464">
        <f t="shared" si="182"/>
        <v>202013</v>
      </c>
    </row>
    <row r="4961" spans="7:14" ht="11.25" customHeight="1" x14ac:dyDescent="0.3">
      <c r="G4961" s="459"/>
      <c r="H4961" s="459">
        <v>4954</v>
      </c>
      <c r="I4961" s="444">
        <f t="shared" ca="1" si="180"/>
        <v>-298470372176852.25</v>
      </c>
      <c r="J4961" s="444">
        <f t="array" ref="J4961">IFERROR(INDEX('Retirement Calculator'!K:K,MATCH('Lorri 401b'!N4961,'Retirement Calculator'!A:A,0),0),0)</f>
        <v>0</v>
      </c>
      <c r="K4961" s="444">
        <f t="shared" ca="1" si="178"/>
        <v>-1243626550736.8843</v>
      </c>
      <c r="L4961" s="444">
        <f t="shared" ca="1" si="179"/>
        <v>-299713998727589.13</v>
      </c>
      <c r="M4961" s="460">
        <f t="shared" si="181"/>
        <v>0.05</v>
      </c>
      <c r="N4961" s="464">
        <f t="shared" si="182"/>
        <v>202041</v>
      </c>
    </row>
    <row r="4962" spans="7:14" ht="11.25" customHeight="1" x14ac:dyDescent="0.3">
      <c r="G4962" s="459"/>
      <c r="H4962" s="459">
        <v>4955</v>
      </c>
      <c r="I4962" s="444">
        <f t="shared" ca="1" si="180"/>
        <v>-299713998727589.13</v>
      </c>
      <c r="J4962" s="444">
        <f t="array" ref="J4962">IFERROR(INDEX('Retirement Calculator'!K:K,MATCH('Lorri 401b'!N4962,'Retirement Calculator'!A:A,0),0),0)</f>
        <v>0</v>
      </c>
      <c r="K4962" s="444">
        <f t="shared" ca="1" si="178"/>
        <v>-1248808328031.6213</v>
      </c>
      <c r="L4962" s="444">
        <f t="shared" ca="1" si="179"/>
        <v>-300962807055620.75</v>
      </c>
      <c r="M4962" s="460">
        <f t="shared" si="181"/>
        <v>0.05</v>
      </c>
      <c r="N4962" s="464">
        <f t="shared" si="182"/>
        <v>202072</v>
      </c>
    </row>
    <row r="4963" spans="7:14" ht="11.25" customHeight="1" x14ac:dyDescent="0.3">
      <c r="G4963" s="459"/>
      <c r="H4963" s="459">
        <v>4956</v>
      </c>
      <c r="I4963" s="444">
        <f t="shared" ca="1" si="180"/>
        <v>-300962807055620.75</v>
      </c>
      <c r="J4963" s="444">
        <f t="array" ref="J4963">IFERROR(INDEX('Retirement Calculator'!K:K,MATCH('Lorri 401b'!N4963,'Retirement Calculator'!A:A,0),0),0)</f>
        <v>0</v>
      </c>
      <c r="K4963" s="444">
        <f t="shared" ca="1" si="178"/>
        <v>-1254011696065.0864</v>
      </c>
      <c r="L4963" s="444">
        <f t="shared" ca="1" si="179"/>
        <v>-302216818751685.81</v>
      </c>
      <c r="M4963" s="460">
        <f t="shared" si="181"/>
        <v>0.05</v>
      </c>
      <c r="N4963" s="464">
        <f t="shared" si="182"/>
        <v>202102</v>
      </c>
    </row>
    <row r="4964" spans="7:14" ht="11.25" customHeight="1" x14ac:dyDescent="0.3">
      <c r="G4964" s="459"/>
      <c r="H4964" s="459">
        <v>4957</v>
      </c>
      <c r="I4964" s="444">
        <f t="shared" ca="1" si="180"/>
        <v>-302216818751685.81</v>
      </c>
      <c r="J4964" s="444">
        <f t="array" ref="J4964">IFERROR(INDEX('Retirement Calculator'!K:K,MATCH('Lorri 401b'!N4964,'Retirement Calculator'!A:A,0),0),0)</f>
        <v>0</v>
      </c>
      <c r="K4964" s="444">
        <f t="shared" ca="1" si="178"/>
        <v>-1259236744798.6909</v>
      </c>
      <c r="L4964" s="444">
        <f t="shared" ca="1" si="179"/>
        <v>-303476055496484.5</v>
      </c>
      <c r="M4964" s="460">
        <f t="shared" si="181"/>
        <v>0.05</v>
      </c>
      <c r="N4964" s="464">
        <f t="shared" si="182"/>
        <v>202133</v>
      </c>
    </row>
    <row r="4965" spans="7:14" ht="11.25" customHeight="1" x14ac:dyDescent="0.3">
      <c r="G4965" s="459"/>
      <c r="H4965" s="459">
        <v>4958</v>
      </c>
      <c r="I4965" s="444">
        <f t="shared" ca="1" si="180"/>
        <v>-303476055496484.5</v>
      </c>
      <c r="J4965" s="444">
        <f t="array" ref="J4965">IFERROR(INDEX('Retirement Calculator'!K:K,MATCH('Lorri 401b'!N4965,'Retirement Calculator'!A:A,0),0),0)</f>
        <v>0</v>
      </c>
      <c r="K4965" s="444">
        <f t="shared" ca="1" si="178"/>
        <v>-1264483564568.6853</v>
      </c>
      <c r="L4965" s="444">
        <f t="shared" ca="1" si="179"/>
        <v>-304740539061053.19</v>
      </c>
      <c r="M4965" s="460">
        <f t="shared" si="181"/>
        <v>0.05</v>
      </c>
      <c r="N4965" s="464">
        <f t="shared" si="182"/>
        <v>202163</v>
      </c>
    </row>
    <row r="4966" spans="7:14" ht="11.25" customHeight="1" x14ac:dyDescent="0.3">
      <c r="G4966" s="459"/>
      <c r="H4966" s="459">
        <v>4959</v>
      </c>
      <c r="I4966" s="444">
        <f t="shared" ca="1" si="180"/>
        <v>-304740539061053.19</v>
      </c>
      <c r="J4966" s="444">
        <f t="array" ref="J4966">IFERROR(INDEX('Retirement Calculator'!K:K,MATCH('Lorri 401b'!N4966,'Retirement Calculator'!A:A,0),0),0)</f>
        <v>0</v>
      </c>
      <c r="K4966" s="444">
        <f t="shared" ca="1" si="178"/>
        <v>-1269752246087.7217</v>
      </c>
      <c r="L4966" s="444">
        <f t="shared" ca="1" si="179"/>
        <v>-306010291307140.94</v>
      </c>
      <c r="M4966" s="460">
        <f t="shared" si="181"/>
        <v>0.05</v>
      </c>
      <c r="N4966" s="464">
        <f t="shared" si="182"/>
        <v>202194</v>
      </c>
    </row>
    <row r="4967" spans="7:14" ht="11.25" customHeight="1" x14ac:dyDescent="0.3">
      <c r="G4967" s="459"/>
      <c r="H4967" s="459">
        <v>4960</v>
      </c>
      <c r="I4967" s="444">
        <f t="shared" ca="1" si="180"/>
        <v>-306010291307140.94</v>
      </c>
      <c r="J4967" s="444">
        <f t="array" ref="J4967">IFERROR(INDEX('Retirement Calculator'!K:K,MATCH('Lorri 401b'!N4967,'Retirement Calculator'!A:A,0),0),0)</f>
        <v>0</v>
      </c>
      <c r="K4967" s="444">
        <f t="shared" ca="1" si="178"/>
        <v>-1275042880446.4207</v>
      </c>
      <c r="L4967" s="444">
        <f t="shared" ca="1" si="179"/>
        <v>-307285334187587.38</v>
      </c>
      <c r="M4967" s="460">
        <f t="shared" si="181"/>
        <v>0.05</v>
      </c>
      <c r="N4967" s="464">
        <f t="shared" si="182"/>
        <v>202225</v>
      </c>
    </row>
    <row r="4968" spans="7:14" ht="11.25" customHeight="1" x14ac:dyDescent="0.3">
      <c r="G4968" s="459"/>
      <c r="H4968" s="459">
        <v>4961</v>
      </c>
      <c r="I4968" s="444">
        <f t="shared" ca="1" si="180"/>
        <v>-307285334187587.38</v>
      </c>
      <c r="J4968" s="444">
        <f t="array" ref="J4968">IFERROR(INDEX('Retirement Calculator'!K:K,MATCH('Lorri 401b'!N4968,'Retirement Calculator'!A:A,0),0),0)</f>
        <v>0</v>
      </c>
      <c r="K4968" s="444">
        <f t="shared" ca="1" si="178"/>
        <v>-1280355559114.9473</v>
      </c>
      <c r="L4968" s="444">
        <f t="shared" ca="1" si="179"/>
        <v>-308565689746702.31</v>
      </c>
      <c r="M4968" s="460">
        <f t="shared" si="181"/>
        <v>0.05</v>
      </c>
      <c r="N4968" s="464">
        <f t="shared" si="182"/>
        <v>202255</v>
      </c>
    </row>
    <row r="4969" spans="7:14" ht="11.25" customHeight="1" x14ac:dyDescent="0.3">
      <c r="G4969" s="459"/>
      <c r="H4969" s="459">
        <v>4962</v>
      </c>
      <c r="I4969" s="444">
        <f t="shared" ca="1" si="180"/>
        <v>-308565689746702.31</v>
      </c>
      <c r="J4969" s="444">
        <f t="array" ref="J4969">IFERROR(INDEX('Retirement Calculator'!K:K,MATCH('Lorri 401b'!N4969,'Retirement Calculator'!A:A,0),0),0)</f>
        <v>0</v>
      </c>
      <c r="K4969" s="444">
        <f t="shared" ca="1" si="178"/>
        <v>-1285690373944.593</v>
      </c>
      <c r="L4969" s="444">
        <f t="shared" ca="1" si="179"/>
        <v>-309851380120646.88</v>
      </c>
      <c r="M4969" s="460">
        <f t="shared" si="181"/>
        <v>0.05</v>
      </c>
      <c r="N4969" s="464">
        <f t="shared" si="182"/>
        <v>202286</v>
      </c>
    </row>
    <row r="4970" spans="7:14" ht="11.25" customHeight="1" x14ac:dyDescent="0.3">
      <c r="G4970" s="459"/>
      <c r="H4970" s="459">
        <v>4963</v>
      </c>
      <c r="I4970" s="444">
        <f t="shared" ca="1" si="180"/>
        <v>-309851380120646.88</v>
      </c>
      <c r="J4970" s="444">
        <f t="array" ref="J4970">IFERROR(INDEX('Retirement Calculator'!K:K,MATCH('Lorri 401b'!N4970,'Retirement Calculator'!A:A,0),0),0)</f>
        <v>0</v>
      </c>
      <c r="K4970" s="444">
        <f t="shared" ca="1" si="178"/>
        <v>-1291047417169.3621</v>
      </c>
      <c r="L4970" s="444">
        <f t="shared" ca="1" si="179"/>
        <v>-311142427537816.25</v>
      </c>
      <c r="M4970" s="460">
        <f t="shared" si="181"/>
        <v>0.05</v>
      </c>
      <c r="N4970" s="464">
        <f t="shared" si="182"/>
        <v>202316</v>
      </c>
    </row>
    <row r="4971" spans="7:14" ht="11.25" customHeight="1" x14ac:dyDescent="0.3">
      <c r="G4971" s="459"/>
      <c r="H4971" s="459">
        <v>4964</v>
      </c>
      <c r="I4971" s="444">
        <f t="shared" ca="1" si="180"/>
        <v>-311142427537816.25</v>
      </c>
      <c r="J4971" s="444">
        <f t="array" ref="J4971">IFERROR(INDEX('Retirement Calculator'!K:K,MATCH('Lorri 401b'!N4971,'Retirement Calculator'!A:A,0),0),0)</f>
        <v>0</v>
      </c>
      <c r="K4971" s="444">
        <f t="shared" ca="1" si="178"/>
        <v>-1296426781407.5676</v>
      </c>
      <c r="L4971" s="444">
        <f t="shared" ca="1" si="179"/>
        <v>-312438854319223.81</v>
      </c>
      <c r="M4971" s="460">
        <f t="shared" si="181"/>
        <v>0.05</v>
      </c>
      <c r="N4971" s="464">
        <f t="shared" si="182"/>
        <v>202347</v>
      </c>
    </row>
    <row r="4972" spans="7:14" ht="11.25" customHeight="1" x14ac:dyDescent="0.3">
      <c r="G4972" s="459"/>
      <c r="H4972" s="459">
        <v>4965</v>
      </c>
      <c r="I4972" s="444">
        <f t="shared" ca="1" si="180"/>
        <v>-312438854319223.81</v>
      </c>
      <c r="J4972" s="444">
        <f t="array" ref="J4972">IFERROR(INDEX('Retirement Calculator'!K:K,MATCH('Lorri 401b'!N4972,'Retirement Calculator'!A:A,0),0),0)</f>
        <v>0</v>
      </c>
      <c r="K4972" s="444">
        <f t="shared" ca="1" si="178"/>
        <v>-1301828559663.4326</v>
      </c>
      <c r="L4972" s="444">
        <f t="shared" ca="1" si="179"/>
        <v>-313740682878887.25</v>
      </c>
      <c r="M4972" s="460">
        <f t="shared" si="181"/>
        <v>0.05</v>
      </c>
      <c r="N4972" s="464">
        <f t="shared" si="182"/>
        <v>202378</v>
      </c>
    </row>
    <row r="4973" spans="7:14" ht="11.25" customHeight="1" x14ac:dyDescent="0.3">
      <c r="G4973" s="459"/>
      <c r="H4973" s="459">
        <v>4966</v>
      </c>
      <c r="I4973" s="444">
        <f t="shared" ca="1" si="180"/>
        <v>-313740682878887.25</v>
      </c>
      <c r="J4973" s="444">
        <f t="array" ref="J4973">IFERROR(INDEX('Retirement Calculator'!K:K,MATCH('Lorri 401b'!N4973,'Retirement Calculator'!A:A,0),0),0)</f>
        <v>0</v>
      </c>
      <c r="K4973" s="444">
        <f t="shared" ca="1" si="178"/>
        <v>-1307252845328.6968</v>
      </c>
      <c r="L4973" s="444">
        <f t="shared" ca="1" si="179"/>
        <v>-315047935724215.94</v>
      </c>
      <c r="M4973" s="460">
        <f t="shared" si="181"/>
        <v>0.05</v>
      </c>
      <c r="N4973" s="464">
        <f t="shared" si="182"/>
        <v>202406</v>
      </c>
    </row>
    <row r="4974" spans="7:14" ht="11.25" customHeight="1" x14ac:dyDescent="0.3">
      <c r="G4974" s="459"/>
      <c r="H4974" s="459">
        <v>4967</v>
      </c>
      <c r="I4974" s="444">
        <f t="shared" ca="1" si="180"/>
        <v>-315047935724215.94</v>
      </c>
      <c r="J4974" s="444">
        <f t="array" ref="J4974">IFERROR(INDEX('Retirement Calculator'!K:K,MATCH('Lorri 401b'!N4974,'Retirement Calculator'!A:A,0),0),0)</f>
        <v>0</v>
      </c>
      <c r="K4974" s="444">
        <f t="shared" ca="1" si="178"/>
        <v>-1312699732184.2332</v>
      </c>
      <c r="L4974" s="444">
        <f t="shared" ca="1" si="179"/>
        <v>-316360635456400.19</v>
      </c>
      <c r="M4974" s="460">
        <f t="shared" si="181"/>
        <v>0.05</v>
      </c>
      <c r="N4974" s="464">
        <f t="shared" si="182"/>
        <v>202437</v>
      </c>
    </row>
    <row r="4975" spans="7:14" ht="11.25" customHeight="1" x14ac:dyDescent="0.3">
      <c r="G4975" s="459"/>
      <c r="H4975" s="459">
        <v>4968</v>
      </c>
      <c r="I4975" s="444">
        <f t="shared" ca="1" si="180"/>
        <v>-316360635456400.19</v>
      </c>
      <c r="J4975" s="444">
        <f t="array" ref="J4975">IFERROR(INDEX('Retirement Calculator'!K:K,MATCH('Lorri 401b'!N4975,'Retirement Calculator'!A:A,0),0),0)</f>
        <v>0</v>
      </c>
      <c r="K4975" s="444">
        <f t="shared" ca="1" si="178"/>
        <v>-1318169314401.6675</v>
      </c>
      <c r="L4975" s="444">
        <f t="shared" ca="1" si="179"/>
        <v>-317678804770801.88</v>
      </c>
      <c r="M4975" s="460">
        <f t="shared" si="181"/>
        <v>0.05</v>
      </c>
      <c r="N4975" s="464">
        <f t="shared" si="182"/>
        <v>202467</v>
      </c>
    </row>
    <row r="4976" spans="7:14" ht="11.25" customHeight="1" x14ac:dyDescent="0.3">
      <c r="G4976" s="459"/>
      <c r="H4976" s="459">
        <v>4969</v>
      </c>
      <c r="I4976" s="444">
        <f t="shared" ca="1" si="180"/>
        <v>-317678804770801.88</v>
      </c>
      <c r="J4976" s="444">
        <f t="array" ref="J4976">IFERROR(INDEX('Retirement Calculator'!K:K,MATCH('Lorri 401b'!N4976,'Retirement Calculator'!A:A,0),0),0)</f>
        <v>0</v>
      </c>
      <c r="K4976" s="444">
        <f t="shared" ca="1" si="178"/>
        <v>-1323661686545.0078</v>
      </c>
      <c r="L4976" s="444">
        <f t="shared" ca="1" si="179"/>
        <v>-319002466457346.88</v>
      </c>
      <c r="M4976" s="460">
        <f t="shared" si="181"/>
        <v>0.05</v>
      </c>
      <c r="N4976" s="464">
        <f t="shared" si="182"/>
        <v>202498</v>
      </c>
    </row>
    <row r="4977" spans="7:14" ht="11.25" customHeight="1" x14ac:dyDescent="0.3">
      <c r="G4977" s="459"/>
      <c r="H4977" s="459">
        <v>4970</v>
      </c>
      <c r="I4977" s="444">
        <f t="shared" ca="1" si="180"/>
        <v>-319002466457346.88</v>
      </c>
      <c r="J4977" s="444">
        <f t="array" ref="J4977">IFERROR(INDEX('Retirement Calculator'!K:K,MATCH('Lorri 401b'!N4977,'Retirement Calculator'!A:A,0),0),0)</f>
        <v>0</v>
      </c>
      <c r="K4977" s="444">
        <f t="shared" ca="1" si="178"/>
        <v>-1329176943572.2786</v>
      </c>
      <c r="L4977" s="444">
        <f t="shared" ca="1" si="179"/>
        <v>-320331643400919.13</v>
      </c>
      <c r="M4977" s="460">
        <f t="shared" si="181"/>
        <v>0.05</v>
      </c>
      <c r="N4977" s="464">
        <f t="shared" si="182"/>
        <v>202528</v>
      </c>
    </row>
    <row r="4978" spans="7:14" ht="11.25" customHeight="1" x14ac:dyDescent="0.3">
      <c r="G4978" s="459"/>
      <c r="H4978" s="459">
        <v>4971</v>
      </c>
      <c r="I4978" s="444">
        <f t="shared" ca="1" si="180"/>
        <v>-320331643400919.13</v>
      </c>
      <c r="J4978" s="444">
        <f t="array" ref="J4978">IFERROR(INDEX('Retirement Calculator'!K:K,MATCH('Lorri 401b'!N4978,'Retirement Calculator'!A:A,0),0),0)</f>
        <v>0</v>
      </c>
      <c r="K4978" s="444">
        <f t="shared" ca="1" si="178"/>
        <v>-1334715180837.1631</v>
      </c>
      <c r="L4978" s="444">
        <f t="shared" ca="1" si="179"/>
        <v>-321666358581756.31</v>
      </c>
      <c r="M4978" s="460">
        <f t="shared" si="181"/>
        <v>0.05</v>
      </c>
      <c r="N4978" s="464">
        <f t="shared" si="182"/>
        <v>202559</v>
      </c>
    </row>
    <row r="4979" spans="7:14" ht="11.25" customHeight="1" x14ac:dyDescent="0.3">
      <c r="G4979" s="459"/>
      <c r="H4979" s="459">
        <v>4972</v>
      </c>
      <c r="I4979" s="444">
        <f t="shared" ca="1" si="180"/>
        <v>-321666358581756.31</v>
      </c>
      <c r="J4979" s="444">
        <f t="array" ref="J4979">IFERROR(INDEX('Retirement Calculator'!K:K,MATCH('Lorri 401b'!N4979,'Retirement Calculator'!A:A,0),0),0)</f>
        <v>0</v>
      </c>
      <c r="K4979" s="444">
        <f t="shared" ca="1" si="178"/>
        <v>-1340276494090.6514</v>
      </c>
      <c r="L4979" s="444">
        <f t="shared" ca="1" si="179"/>
        <v>-323006635075846.94</v>
      </c>
      <c r="M4979" s="460">
        <f t="shared" si="181"/>
        <v>0.05</v>
      </c>
      <c r="N4979" s="464">
        <f t="shared" si="182"/>
        <v>202590</v>
      </c>
    </row>
    <row r="4980" spans="7:14" ht="11.25" customHeight="1" x14ac:dyDescent="0.3">
      <c r="G4980" s="459"/>
      <c r="H4980" s="459">
        <v>4973</v>
      </c>
      <c r="I4980" s="444">
        <f t="shared" ca="1" si="180"/>
        <v>-323006635075846.94</v>
      </c>
      <c r="J4980" s="444">
        <f t="array" ref="J4980">IFERROR(INDEX('Retirement Calculator'!K:K,MATCH('Lorri 401b'!N4980,'Retirement Calculator'!A:A,0),0),0)</f>
        <v>0</v>
      </c>
      <c r="K4980" s="444">
        <f t="shared" ca="1" si="178"/>
        <v>-1345860979482.6956</v>
      </c>
      <c r="L4980" s="444">
        <f t="shared" ca="1" si="179"/>
        <v>-324352496055329.63</v>
      </c>
      <c r="M4980" s="460">
        <f t="shared" si="181"/>
        <v>0.05</v>
      </c>
      <c r="N4980" s="464">
        <f t="shared" si="182"/>
        <v>202620</v>
      </c>
    </row>
    <row r="4981" spans="7:14" ht="11.25" customHeight="1" x14ac:dyDescent="0.3">
      <c r="G4981" s="459"/>
      <c r="H4981" s="459">
        <v>4974</v>
      </c>
      <c r="I4981" s="444">
        <f t="shared" ca="1" si="180"/>
        <v>-324352496055329.63</v>
      </c>
      <c r="J4981" s="444">
        <f t="array" ref="J4981">IFERROR(INDEX('Retirement Calculator'!K:K,MATCH('Lorri 401b'!N4981,'Retirement Calculator'!A:A,0),0),0)</f>
        <v>0</v>
      </c>
      <c r="K4981" s="444">
        <f t="shared" ca="1" si="178"/>
        <v>-1351468733563.8735</v>
      </c>
      <c r="L4981" s="444">
        <f t="shared" ca="1" si="179"/>
        <v>-325703964788893.5</v>
      </c>
      <c r="M4981" s="460">
        <f t="shared" si="181"/>
        <v>0.05</v>
      </c>
      <c r="N4981" s="464">
        <f t="shared" si="182"/>
        <v>202651</v>
      </c>
    </row>
    <row r="4982" spans="7:14" ht="11.25" customHeight="1" x14ac:dyDescent="0.3">
      <c r="G4982" s="459"/>
      <c r="H4982" s="459">
        <v>4975</v>
      </c>
      <c r="I4982" s="444">
        <f t="shared" ca="1" si="180"/>
        <v>-325703964788893.5</v>
      </c>
      <c r="J4982" s="444">
        <f t="array" ref="J4982">IFERROR(INDEX('Retirement Calculator'!K:K,MATCH('Lorri 401b'!N4982,'Retirement Calculator'!A:A,0),0),0)</f>
        <v>0</v>
      </c>
      <c r="K4982" s="444">
        <f t="shared" ca="1" si="178"/>
        <v>-1357099853287.0562</v>
      </c>
      <c r="L4982" s="444">
        <f t="shared" ca="1" si="179"/>
        <v>-327061064642180.56</v>
      </c>
      <c r="M4982" s="460">
        <f t="shared" si="181"/>
        <v>0.05</v>
      </c>
      <c r="N4982" s="464">
        <f t="shared" si="182"/>
        <v>202681</v>
      </c>
    </row>
    <row r="4983" spans="7:14" ht="11.25" customHeight="1" x14ac:dyDescent="0.3">
      <c r="G4983" s="459"/>
      <c r="H4983" s="459">
        <v>4976</v>
      </c>
      <c r="I4983" s="444">
        <f t="shared" ca="1" si="180"/>
        <v>-327061064642180.56</v>
      </c>
      <c r="J4983" s="444">
        <f t="array" ref="J4983">IFERROR(INDEX('Retirement Calculator'!K:K,MATCH('Lorri 401b'!N4983,'Retirement Calculator'!A:A,0),0),0)</f>
        <v>0</v>
      </c>
      <c r="K4983" s="444">
        <f t="shared" ca="1" si="178"/>
        <v>-1362754436009.0857</v>
      </c>
      <c r="L4983" s="444">
        <f t="shared" ca="1" si="179"/>
        <v>-328423819078189.63</v>
      </c>
      <c r="M4983" s="460">
        <f t="shared" si="181"/>
        <v>0.05</v>
      </c>
      <c r="N4983" s="464">
        <f t="shared" si="182"/>
        <v>202712</v>
      </c>
    </row>
    <row r="4984" spans="7:14" ht="11.25" customHeight="1" x14ac:dyDescent="0.3">
      <c r="G4984" s="459"/>
      <c r="H4984" s="459">
        <v>4977</v>
      </c>
      <c r="I4984" s="444">
        <f t="shared" ca="1" si="180"/>
        <v>-328423819078189.63</v>
      </c>
      <c r="J4984" s="444">
        <f t="array" ref="J4984">IFERROR(INDEX('Retirement Calculator'!K:K,MATCH('Lorri 401b'!N4984,'Retirement Calculator'!A:A,0),0),0)</f>
        <v>0</v>
      </c>
      <c r="K4984" s="444">
        <f t="shared" ca="1" si="178"/>
        <v>-1368432579492.4568</v>
      </c>
      <c r="L4984" s="444">
        <f t="shared" ca="1" si="179"/>
        <v>-329792251657682.06</v>
      </c>
      <c r="M4984" s="460">
        <f t="shared" si="181"/>
        <v>0.05</v>
      </c>
      <c r="N4984" s="464">
        <f t="shared" si="182"/>
        <v>202743</v>
      </c>
    </row>
    <row r="4985" spans="7:14" ht="11.25" customHeight="1" x14ac:dyDescent="0.3">
      <c r="G4985" s="459"/>
      <c r="H4985" s="459">
        <v>4978</v>
      </c>
      <c r="I4985" s="444">
        <f t="shared" ca="1" si="180"/>
        <v>-329792251657682.06</v>
      </c>
      <c r="J4985" s="444">
        <f t="array" ref="J4985">IFERROR(INDEX('Retirement Calculator'!K:K,MATCH('Lorri 401b'!N4985,'Retirement Calculator'!A:A,0),0),0)</f>
        <v>0</v>
      </c>
      <c r="K4985" s="444">
        <f t="shared" ca="1" si="178"/>
        <v>-1374134381907.0085</v>
      </c>
      <c r="L4985" s="444">
        <f t="shared" ca="1" si="179"/>
        <v>-331166386039589.06</v>
      </c>
      <c r="M4985" s="460">
        <f t="shared" si="181"/>
        <v>0.05</v>
      </c>
      <c r="N4985" s="464">
        <f t="shared" si="182"/>
        <v>202771</v>
      </c>
    </row>
    <row r="4986" spans="7:14" ht="11.25" customHeight="1" x14ac:dyDescent="0.3">
      <c r="G4986" s="459"/>
      <c r="H4986" s="459">
        <v>4979</v>
      </c>
      <c r="I4986" s="444">
        <f t="shared" ca="1" si="180"/>
        <v>-331166386039589.06</v>
      </c>
      <c r="J4986" s="444">
        <f t="array" ref="J4986">IFERROR(INDEX('Retirement Calculator'!K:K,MATCH('Lorri 401b'!N4986,'Retirement Calculator'!A:A,0),0),0)</f>
        <v>0</v>
      </c>
      <c r="K4986" s="444">
        <f t="shared" ca="1" si="178"/>
        <v>-1379859941831.6211</v>
      </c>
      <c r="L4986" s="444">
        <f t="shared" ca="1" si="179"/>
        <v>-332546245981420.69</v>
      </c>
      <c r="M4986" s="460">
        <f t="shared" si="181"/>
        <v>0.05</v>
      </c>
      <c r="N4986" s="464">
        <f t="shared" si="182"/>
        <v>202802</v>
      </c>
    </row>
    <row r="4987" spans="7:14" ht="11.25" customHeight="1" x14ac:dyDescent="0.3">
      <c r="G4987" s="459"/>
      <c r="H4987" s="459">
        <v>4980</v>
      </c>
      <c r="I4987" s="444">
        <f t="shared" ca="1" si="180"/>
        <v>-332546245981420.69</v>
      </c>
      <c r="J4987" s="444">
        <f t="array" ref="J4987">IFERROR(INDEX('Retirement Calculator'!K:K,MATCH('Lorri 401b'!N4987,'Retirement Calculator'!A:A,0),0),0)</f>
        <v>0</v>
      </c>
      <c r="K4987" s="444">
        <f t="shared" ca="1" si="178"/>
        <v>-1385609358255.9194</v>
      </c>
      <c r="L4987" s="444">
        <f t="shared" ca="1" si="179"/>
        <v>-333931855339676.63</v>
      </c>
      <c r="M4987" s="460">
        <f t="shared" si="181"/>
        <v>0.05</v>
      </c>
      <c r="N4987" s="464">
        <f t="shared" si="182"/>
        <v>202832</v>
      </c>
    </row>
    <row r="4988" spans="7:14" ht="11.25" customHeight="1" x14ac:dyDescent="0.3">
      <c r="G4988" s="459"/>
      <c r="H4988" s="459">
        <v>4981</v>
      </c>
      <c r="I4988" s="444">
        <f t="shared" ca="1" si="180"/>
        <v>-333931855339676.63</v>
      </c>
      <c r="J4988" s="444">
        <f t="array" ref="J4988">IFERROR(INDEX('Retirement Calculator'!K:K,MATCH('Lorri 401b'!N4988,'Retirement Calculator'!A:A,0),0),0)</f>
        <v>0</v>
      </c>
      <c r="K4988" s="444">
        <f t="shared" ca="1" si="178"/>
        <v>-1391382730581.9858</v>
      </c>
      <c r="L4988" s="444">
        <f t="shared" ca="1" si="179"/>
        <v>-335323238070258.63</v>
      </c>
      <c r="M4988" s="460">
        <f t="shared" si="181"/>
        <v>0.05</v>
      </c>
      <c r="N4988" s="464">
        <f t="shared" si="182"/>
        <v>202863</v>
      </c>
    </row>
    <row r="4989" spans="7:14" ht="11.25" customHeight="1" x14ac:dyDescent="0.3">
      <c r="G4989" s="459"/>
      <c r="H4989" s="459">
        <v>4982</v>
      </c>
      <c r="I4989" s="444">
        <f t="shared" ca="1" si="180"/>
        <v>-335323238070258.63</v>
      </c>
      <c r="J4989" s="444">
        <f t="array" ref="J4989">IFERROR(INDEX('Retirement Calculator'!K:K,MATCH('Lorri 401b'!N4989,'Retirement Calculator'!A:A,0),0),0)</f>
        <v>0</v>
      </c>
      <c r="K4989" s="444">
        <f t="shared" ca="1" si="178"/>
        <v>-1397180158626.0776</v>
      </c>
      <c r="L4989" s="444">
        <f t="shared" ca="1" si="179"/>
        <v>-336720418228884.69</v>
      </c>
      <c r="M4989" s="460">
        <f t="shared" si="181"/>
        <v>0.05</v>
      </c>
      <c r="N4989" s="464">
        <f t="shared" si="182"/>
        <v>202893</v>
      </c>
    </row>
    <row r="4990" spans="7:14" ht="11.25" customHeight="1" x14ac:dyDescent="0.3">
      <c r="G4990" s="459"/>
      <c r="H4990" s="459">
        <v>4983</v>
      </c>
      <c r="I4990" s="444">
        <f t="shared" ca="1" si="180"/>
        <v>-336720418228884.69</v>
      </c>
      <c r="J4990" s="444">
        <f t="array" ref="J4990">IFERROR(INDEX('Retirement Calculator'!K:K,MATCH('Lorri 401b'!N4990,'Retirement Calculator'!A:A,0),0),0)</f>
        <v>0</v>
      </c>
      <c r="K4990" s="444">
        <f t="shared" ca="1" si="178"/>
        <v>-1403001742620.3528</v>
      </c>
      <c r="L4990" s="444">
        <f t="shared" ca="1" si="179"/>
        <v>-338123419971505.06</v>
      </c>
      <c r="M4990" s="460">
        <f t="shared" si="181"/>
        <v>0.05</v>
      </c>
      <c r="N4990" s="464">
        <f t="shared" si="182"/>
        <v>202924</v>
      </c>
    </row>
    <row r="4991" spans="7:14" ht="11.25" customHeight="1" x14ac:dyDescent="0.3">
      <c r="G4991" s="459"/>
      <c r="H4991" s="459">
        <v>4984</v>
      </c>
      <c r="I4991" s="444">
        <f t="shared" ca="1" si="180"/>
        <v>-338123419971505.06</v>
      </c>
      <c r="J4991" s="444">
        <f t="array" ref="J4991">IFERROR(INDEX('Retirement Calculator'!K:K,MATCH('Lorri 401b'!N4991,'Retirement Calculator'!A:A,0),0),0)</f>
        <v>0</v>
      </c>
      <c r="K4991" s="444">
        <f t="shared" ca="1" si="178"/>
        <v>-1408847583214.6045</v>
      </c>
      <c r="L4991" s="444">
        <f t="shared" ca="1" si="179"/>
        <v>-339532267554719.69</v>
      </c>
      <c r="M4991" s="460">
        <f t="shared" si="181"/>
        <v>0.05</v>
      </c>
      <c r="N4991" s="464">
        <f t="shared" si="182"/>
        <v>202955</v>
      </c>
    </row>
    <row r="4992" spans="7:14" ht="11.25" customHeight="1" x14ac:dyDescent="0.3">
      <c r="G4992" s="459"/>
      <c r="H4992" s="459">
        <v>4985</v>
      </c>
      <c r="I4992" s="444">
        <f t="shared" ca="1" si="180"/>
        <v>-339532267554719.69</v>
      </c>
      <c r="J4992" s="444">
        <f t="array" ref="J4992">IFERROR(INDEX('Retirement Calculator'!K:K,MATCH('Lorri 401b'!N4992,'Retirement Calculator'!A:A,0),0),0)</f>
        <v>0</v>
      </c>
      <c r="K4992" s="444">
        <f t="shared" ca="1" si="178"/>
        <v>-1414717781477.9988</v>
      </c>
      <c r="L4992" s="444">
        <f t="shared" ca="1" si="179"/>
        <v>-340946985336197.69</v>
      </c>
      <c r="M4992" s="460">
        <f t="shared" si="181"/>
        <v>0.05</v>
      </c>
      <c r="N4992" s="464">
        <f t="shared" si="182"/>
        <v>202985</v>
      </c>
    </row>
    <row r="4993" spans="7:14" ht="11.25" customHeight="1" x14ac:dyDescent="0.3">
      <c r="G4993" s="459"/>
      <c r="H4993" s="459">
        <v>4986</v>
      </c>
      <c r="I4993" s="444">
        <f t="shared" ca="1" si="180"/>
        <v>-340946985336197.69</v>
      </c>
      <c r="J4993" s="444">
        <f t="array" ref="J4993">IFERROR(INDEX('Retirement Calculator'!K:K,MATCH('Lorri 401b'!N4993,'Retirement Calculator'!A:A,0),0),0)</f>
        <v>0</v>
      </c>
      <c r="K4993" s="444">
        <f t="shared" ca="1" si="178"/>
        <v>-1420612438900.8237</v>
      </c>
      <c r="L4993" s="444">
        <f t="shared" ca="1" si="179"/>
        <v>-342367597775098.5</v>
      </c>
      <c r="M4993" s="460">
        <f t="shared" si="181"/>
        <v>0.05</v>
      </c>
      <c r="N4993" s="464">
        <f t="shared" si="182"/>
        <v>203016</v>
      </c>
    </row>
    <row r="4994" spans="7:14" ht="11.25" customHeight="1" x14ac:dyDescent="0.3">
      <c r="G4994" s="459"/>
      <c r="H4994" s="459">
        <v>4987</v>
      </c>
      <c r="I4994" s="444">
        <f t="shared" ca="1" si="180"/>
        <v>-342367597775098.5</v>
      </c>
      <c r="J4994" s="444">
        <f t="array" ref="J4994">IFERROR(INDEX('Retirement Calculator'!K:K,MATCH('Lorri 401b'!N4994,'Retirement Calculator'!A:A,0),0),0)</f>
        <v>0</v>
      </c>
      <c r="K4994" s="444">
        <f t="shared" ca="1" si="178"/>
        <v>-1426531657396.2437</v>
      </c>
      <c r="L4994" s="444">
        <f t="shared" ca="1" si="179"/>
        <v>-343794129432494.75</v>
      </c>
      <c r="M4994" s="460">
        <f t="shared" si="181"/>
        <v>0.05</v>
      </c>
      <c r="N4994" s="464">
        <f t="shared" si="182"/>
        <v>203046</v>
      </c>
    </row>
    <row r="4995" spans="7:14" ht="11.25" customHeight="1" x14ac:dyDescent="0.3">
      <c r="G4995" s="459"/>
      <c r="H4995" s="459">
        <v>4988</v>
      </c>
      <c r="I4995" s="444">
        <f t="shared" ca="1" si="180"/>
        <v>-343794129432494.75</v>
      </c>
      <c r="J4995" s="444">
        <f t="array" ref="J4995">IFERROR(INDEX('Retirement Calculator'!K:K,MATCH('Lorri 401b'!N4995,'Retirement Calculator'!A:A,0),0),0)</f>
        <v>0</v>
      </c>
      <c r="K4995" s="444">
        <f t="shared" ca="1" si="178"/>
        <v>-1432475539302.0615</v>
      </c>
      <c r="L4995" s="444">
        <f t="shared" ca="1" si="179"/>
        <v>-345226604971796.81</v>
      </c>
      <c r="M4995" s="460">
        <f t="shared" si="181"/>
        <v>0.05</v>
      </c>
      <c r="N4995" s="464">
        <f t="shared" si="182"/>
        <v>203077</v>
      </c>
    </row>
    <row r="4996" spans="7:14" ht="11.25" customHeight="1" x14ac:dyDescent="0.3">
      <c r="G4996" s="459"/>
      <c r="H4996" s="459">
        <v>4989</v>
      </c>
      <c r="I4996" s="444">
        <f t="shared" ca="1" si="180"/>
        <v>-345226604971796.81</v>
      </c>
      <c r="J4996" s="444">
        <f t="array" ref="J4996">IFERROR(INDEX('Retirement Calculator'!K:K,MATCH('Lorri 401b'!N4996,'Retirement Calculator'!A:A,0),0),0)</f>
        <v>0</v>
      </c>
      <c r="K4996" s="444">
        <f t="shared" ca="1" si="178"/>
        <v>-1438444187382.4868</v>
      </c>
      <c r="L4996" s="444">
        <f t="shared" ca="1" si="179"/>
        <v>-346665049159179.31</v>
      </c>
      <c r="M4996" s="460">
        <f t="shared" si="181"/>
        <v>0.05</v>
      </c>
      <c r="N4996" s="464">
        <f t="shared" si="182"/>
        <v>203108</v>
      </c>
    </row>
    <row r="4997" spans="7:14" ht="11.25" customHeight="1" x14ac:dyDescent="0.3">
      <c r="G4997" s="459"/>
      <c r="H4997" s="459">
        <v>4990</v>
      </c>
      <c r="I4997" s="444">
        <f t="shared" ca="1" si="180"/>
        <v>-346665049159179.31</v>
      </c>
      <c r="J4997" s="444">
        <f t="array" ref="J4997">IFERROR(INDEX('Retirement Calculator'!K:K,MATCH('Lorri 401b'!N4997,'Retirement Calculator'!A:A,0),0),0)</f>
        <v>0</v>
      </c>
      <c r="K4997" s="444">
        <f t="shared" ca="1" si="178"/>
        <v>-1444437704829.9138</v>
      </c>
      <c r="L4997" s="444">
        <f t="shared" ca="1" si="179"/>
        <v>-348109486864009.25</v>
      </c>
      <c r="M4997" s="460">
        <f t="shared" si="181"/>
        <v>0.05</v>
      </c>
      <c r="N4997" s="464">
        <f t="shared" si="182"/>
        <v>203137</v>
      </c>
    </row>
    <row r="4998" spans="7:14" ht="11.25" customHeight="1" x14ac:dyDescent="0.3">
      <c r="G4998" s="459"/>
      <c r="H4998" s="459">
        <v>4991</v>
      </c>
      <c r="I4998" s="444">
        <f t="shared" ca="1" si="180"/>
        <v>-348109486864009.25</v>
      </c>
      <c r="J4998" s="444">
        <f t="array" ref="J4998">IFERROR(INDEX('Retirement Calculator'!K:K,MATCH('Lorri 401b'!N4998,'Retirement Calculator'!A:A,0),0),0)</f>
        <v>0</v>
      </c>
      <c r="K4998" s="444">
        <f t="shared" ca="1" si="178"/>
        <v>-1450456195266.7051</v>
      </c>
      <c r="L4998" s="444">
        <f t="shared" ca="1" si="179"/>
        <v>-349559943059275.94</v>
      </c>
      <c r="M4998" s="460">
        <f t="shared" si="181"/>
        <v>0.05</v>
      </c>
      <c r="N4998" s="464">
        <f t="shared" si="182"/>
        <v>203168</v>
      </c>
    </row>
    <row r="4999" spans="7:14" ht="11.25" customHeight="1" x14ac:dyDescent="0.3">
      <c r="G4999" s="459"/>
      <c r="H4999" s="459">
        <v>4992</v>
      </c>
      <c r="I4999" s="444">
        <f t="shared" ca="1" si="180"/>
        <v>-349559943059275.94</v>
      </c>
      <c r="J4999" s="444">
        <f t="array" ref="J4999">IFERROR(INDEX('Retirement Calculator'!K:K,MATCH('Lorri 401b'!N4999,'Retirement Calculator'!A:A,0),0),0)</f>
        <v>0</v>
      </c>
      <c r="K4999" s="444">
        <f t="shared" ca="1" si="178"/>
        <v>-1456499762746.9832</v>
      </c>
      <c r="L4999" s="444">
        <f t="shared" ca="1" si="179"/>
        <v>-351016442822022.94</v>
      </c>
      <c r="M4999" s="460">
        <f t="shared" si="181"/>
        <v>0.05</v>
      </c>
      <c r="N4999" s="464">
        <f t="shared" si="182"/>
        <v>203198</v>
      </c>
    </row>
    <row r="5000" spans="7:14" ht="11.25" customHeight="1" x14ac:dyDescent="0.3">
      <c r="G5000" s="459"/>
      <c r="H5000" s="459">
        <v>4993</v>
      </c>
      <c r="I5000" s="444">
        <f t="shared" ca="1" si="180"/>
        <v>-351016442822022.94</v>
      </c>
      <c r="J5000" s="444">
        <f t="array" ref="J5000">IFERROR(INDEX('Retirement Calculator'!K:K,MATCH('Lorri 401b'!N5000,'Retirement Calculator'!A:A,0),0),0)</f>
        <v>0</v>
      </c>
      <c r="K5000" s="444">
        <f t="shared" ca="1" si="178"/>
        <v>-1462568511758.429</v>
      </c>
      <c r="L5000" s="444">
        <f t="shared" ca="1" si="179"/>
        <v>-352479011333781.38</v>
      </c>
      <c r="M5000" s="460">
        <f t="shared" si="181"/>
        <v>0.05</v>
      </c>
      <c r="N5000" s="464">
        <f t="shared" si="182"/>
        <v>203229</v>
      </c>
    </row>
    <row r="5001" spans="7:14" ht="11.25" customHeight="1" x14ac:dyDescent="0.3">
      <c r="G5001" s="459"/>
      <c r="H5001" s="459">
        <v>4994</v>
      </c>
      <c r="I5001" s="444">
        <f t="shared" ca="1" si="180"/>
        <v>-352479011333781.38</v>
      </c>
      <c r="J5001" s="444">
        <f t="array" ref="J5001">IFERROR(INDEX('Retirement Calculator'!K:K,MATCH('Lorri 401b'!N5001,'Retirement Calculator'!A:A,0),0),0)</f>
        <v>0</v>
      </c>
      <c r="K5001" s="444">
        <f t="shared" ca="1" si="178"/>
        <v>-1468662547224.0891</v>
      </c>
      <c r="L5001" s="444">
        <f t="shared" ca="1" si="179"/>
        <v>-353947673881005.44</v>
      </c>
      <c r="M5001" s="460">
        <f t="shared" si="181"/>
        <v>0.05</v>
      </c>
      <c r="N5001" s="464">
        <f t="shared" si="182"/>
        <v>203259</v>
      </c>
    </row>
    <row r="5002" spans="7:14" ht="11.25" customHeight="1" x14ac:dyDescent="0.3">
      <c r="G5002" s="459"/>
      <c r="H5002" s="459">
        <v>4995</v>
      </c>
      <c r="I5002" s="444">
        <f t="shared" ca="1" si="180"/>
        <v>-353947673881005.44</v>
      </c>
      <c r="J5002" s="444">
        <f t="array" ref="J5002">IFERROR(INDEX('Retirement Calculator'!K:K,MATCH('Lorri 401b'!N5002,'Retirement Calculator'!A:A,0),0),0)</f>
        <v>0</v>
      </c>
      <c r="K5002" s="444">
        <f t="shared" ca="1" si="178"/>
        <v>-1474781974504.1892</v>
      </c>
      <c r="L5002" s="444">
        <f t="shared" ca="1" si="179"/>
        <v>-355422455855509.63</v>
      </c>
      <c r="M5002" s="460">
        <f t="shared" si="181"/>
        <v>0.05</v>
      </c>
      <c r="N5002" s="464">
        <f t="shared" si="182"/>
        <v>203290</v>
      </c>
    </row>
    <row r="5003" spans="7:14" ht="11.25" customHeight="1" x14ac:dyDescent="0.3">
      <c r="G5003" s="459"/>
      <c r="H5003" s="459">
        <v>4996</v>
      </c>
      <c r="I5003" s="444">
        <f t="shared" ca="1" si="180"/>
        <v>-355422455855509.63</v>
      </c>
      <c r="J5003" s="444">
        <f t="array" ref="J5003">IFERROR(INDEX('Retirement Calculator'!K:K,MATCH('Lorri 401b'!N5003,'Retirement Calculator'!A:A,0),0),0)</f>
        <v>0</v>
      </c>
      <c r="K5003" s="444">
        <f t="shared" ca="1" si="178"/>
        <v>-1480926899397.9568</v>
      </c>
      <c r="L5003" s="444">
        <f t="shared" ca="1" si="179"/>
        <v>-356903382754907.56</v>
      </c>
      <c r="M5003" s="460">
        <f t="shared" si="181"/>
        <v>0.05</v>
      </c>
      <c r="N5003" s="464">
        <f t="shared" si="182"/>
        <v>203321</v>
      </c>
    </row>
    <row r="5004" spans="7:14" ht="11.25" customHeight="1" x14ac:dyDescent="0.3">
      <c r="G5004" s="459"/>
      <c r="H5004" s="459">
        <v>4997</v>
      </c>
      <c r="I5004" s="444">
        <f t="shared" ca="1" si="180"/>
        <v>-356903382754907.56</v>
      </c>
      <c r="J5004" s="444">
        <f t="array" ref="J5004">IFERROR(INDEX('Retirement Calculator'!K:K,MATCH('Lorri 401b'!N5004,'Retirement Calculator'!A:A,0),0),0)</f>
        <v>0</v>
      </c>
      <c r="K5004" s="444">
        <f t="shared" ca="1" si="178"/>
        <v>-1487097428145.4482</v>
      </c>
      <c r="L5004" s="444">
        <f t="shared" ca="1" si="179"/>
        <v>-358390480183053</v>
      </c>
      <c r="M5004" s="460">
        <f t="shared" si="181"/>
        <v>0.05</v>
      </c>
      <c r="N5004" s="464">
        <f t="shared" si="182"/>
        <v>203351</v>
      </c>
    </row>
    <row r="5005" spans="7:14" ht="11.25" customHeight="1" x14ac:dyDescent="0.3">
      <c r="G5005" s="459"/>
      <c r="H5005" s="459">
        <v>4998</v>
      </c>
      <c r="I5005" s="444">
        <f t="shared" ca="1" si="180"/>
        <v>-358390480183053</v>
      </c>
      <c r="J5005" s="444">
        <f t="array" ref="J5005">IFERROR(INDEX('Retirement Calculator'!K:K,MATCH('Lorri 401b'!N5005,'Retirement Calculator'!A:A,0),0),0)</f>
        <v>0</v>
      </c>
      <c r="K5005" s="444">
        <f t="shared" ca="1" si="178"/>
        <v>-1493293667429.3875</v>
      </c>
      <c r="L5005" s="444">
        <f t="shared" ca="1" si="179"/>
        <v>-359883773850482.38</v>
      </c>
      <c r="M5005" s="460">
        <f t="shared" si="181"/>
        <v>0.05</v>
      </c>
      <c r="N5005" s="464">
        <f t="shared" si="182"/>
        <v>203382</v>
      </c>
    </row>
    <row r="5006" spans="7:14" ht="11.25" customHeight="1" x14ac:dyDescent="0.3">
      <c r="G5006" s="459"/>
      <c r="H5006" s="459">
        <v>4999</v>
      </c>
      <c r="I5006" s="444">
        <f t="shared" ca="1" si="180"/>
        <v>-359883773850482.38</v>
      </c>
      <c r="J5006" s="444">
        <f t="array" ref="J5006">IFERROR(INDEX('Retirement Calculator'!K:K,MATCH('Lorri 401b'!N5006,'Retirement Calculator'!A:A,0),0),0)</f>
        <v>0</v>
      </c>
      <c r="K5006" s="444">
        <f t="shared" ca="1" si="178"/>
        <v>-1499515724377.0098</v>
      </c>
      <c r="L5006" s="444">
        <f t="shared" ca="1" si="179"/>
        <v>-361383289574859.38</v>
      </c>
      <c r="M5006" s="460">
        <f t="shared" si="181"/>
        <v>0.05</v>
      </c>
      <c r="N5006" s="464">
        <f t="shared" si="182"/>
        <v>203412</v>
      </c>
    </row>
    <row r="5007" spans="7:14" ht="11.25" customHeight="1" x14ac:dyDescent="0.3">
      <c r="G5007" s="459"/>
      <c r="H5007" s="459">
        <v>5000</v>
      </c>
      <c r="I5007" s="444">
        <f t="shared" ca="1" si="180"/>
        <v>-361383289574859.38</v>
      </c>
      <c r="J5007" s="444">
        <f t="array" ref="J5007">IFERROR(INDEX('Retirement Calculator'!K:K,MATCH('Lorri 401b'!N5007,'Retirement Calculator'!A:A,0),0),0)</f>
        <v>0</v>
      </c>
      <c r="K5007" s="444">
        <f t="shared" ca="1" si="178"/>
        <v>-1505763706561.9141</v>
      </c>
      <c r="L5007" s="444">
        <f t="shared" ca="1" si="179"/>
        <v>-362889053281421.31</v>
      </c>
      <c r="M5007" s="460">
        <f t="shared" si="181"/>
        <v>0.05</v>
      </c>
      <c r="N5007" s="464">
        <f t="shared" si="182"/>
        <v>203443</v>
      </c>
    </row>
    <row r="5008" spans="7:14" ht="11.25" customHeight="1" x14ac:dyDescent="0.3">
      <c r="G5008" s="459"/>
      <c r="H5008" s="459">
        <v>5001</v>
      </c>
      <c r="I5008" s="444">
        <f t="shared" ca="1" si="180"/>
        <v>-362889053281421.31</v>
      </c>
      <c r="J5008" s="444">
        <f t="array" ref="J5008">IFERROR(INDEX('Retirement Calculator'!K:K,MATCH('Lorri 401b'!N5008,'Retirement Calculator'!A:A,0),0),0)</f>
        <v>0</v>
      </c>
      <c r="K5008" s="444">
        <f t="shared" ca="1" si="178"/>
        <v>-1512037722005.9221</v>
      </c>
      <c r="L5008" s="444">
        <f t="shared" ca="1" si="179"/>
        <v>-364401091003427.25</v>
      </c>
      <c r="M5008" s="460">
        <f t="shared" si="181"/>
        <v>0.05</v>
      </c>
      <c r="N5008" s="464">
        <f t="shared" si="182"/>
        <v>203474</v>
      </c>
    </row>
    <row r="5009" spans="7:14" ht="11.25" customHeight="1" x14ac:dyDescent="0.3">
      <c r="G5009" s="459"/>
      <c r="H5009" s="459">
        <v>5002</v>
      </c>
      <c r="I5009" s="444">
        <f t="shared" ca="1" si="180"/>
        <v>-364401091003427.25</v>
      </c>
      <c r="J5009" s="444">
        <f t="array" ref="J5009">IFERROR(INDEX('Retirement Calculator'!K:K,MATCH('Lorri 401b'!N5009,'Retirement Calculator'!A:A,0),0),0)</f>
        <v>0</v>
      </c>
      <c r="K5009" s="444">
        <f t="shared" ca="1" si="178"/>
        <v>-1518337879180.9468</v>
      </c>
      <c r="L5009" s="444">
        <f t="shared" ca="1" si="179"/>
        <v>-365919428882608.19</v>
      </c>
      <c r="M5009" s="460">
        <f t="shared" si="181"/>
        <v>0.05</v>
      </c>
      <c r="N5009" s="464">
        <f t="shared" si="182"/>
        <v>203502</v>
      </c>
    </row>
    <row r="5010" spans="7:14" ht="11.25" customHeight="1" x14ac:dyDescent="0.3">
      <c r="G5010" s="459"/>
      <c r="H5010" s="459">
        <v>5003</v>
      </c>
      <c r="I5010" s="444">
        <f t="shared" ca="1" si="180"/>
        <v>-365919428882608.19</v>
      </c>
      <c r="J5010" s="444">
        <f t="array" ref="J5010">IFERROR(INDEX('Retirement Calculator'!K:K,MATCH('Lorri 401b'!N5010,'Retirement Calculator'!A:A,0),0),0)</f>
        <v>0</v>
      </c>
      <c r="K5010" s="444">
        <f t="shared" ca="1" si="178"/>
        <v>-1524664287010.8674</v>
      </c>
      <c r="L5010" s="444">
        <f t="shared" ca="1" si="179"/>
        <v>-367444093169619.06</v>
      </c>
      <c r="M5010" s="460">
        <f t="shared" si="181"/>
        <v>0.05</v>
      </c>
      <c r="N5010" s="464">
        <f t="shared" si="182"/>
        <v>203533</v>
      </c>
    </row>
    <row r="5011" spans="7:14" ht="11.25" customHeight="1" x14ac:dyDescent="0.3">
      <c r="G5011" s="459"/>
      <c r="H5011" s="459">
        <v>5004</v>
      </c>
      <c r="I5011" s="444">
        <f t="shared" ca="1" si="180"/>
        <v>-367444093169619.06</v>
      </c>
      <c r="J5011" s="444">
        <f t="array" ref="J5011">IFERROR(INDEX('Retirement Calculator'!K:K,MATCH('Lorri 401b'!N5011,'Retirement Calculator'!A:A,0),0),0)</f>
        <v>0</v>
      </c>
      <c r="K5011" s="444">
        <f t="shared" ca="1" si="178"/>
        <v>-1531017054873.4128</v>
      </c>
      <c r="L5011" s="444">
        <f t="shared" ca="1" si="179"/>
        <v>-368975110224492.5</v>
      </c>
      <c r="M5011" s="460">
        <f t="shared" si="181"/>
        <v>0.05</v>
      </c>
      <c r="N5011" s="464">
        <f t="shared" si="182"/>
        <v>203563</v>
      </c>
    </row>
    <row r="5012" spans="7:14" ht="11.25" customHeight="1" x14ac:dyDescent="0.3">
      <c r="G5012" s="459"/>
      <c r="H5012" s="459">
        <v>5005</v>
      </c>
      <c r="I5012" s="444">
        <f t="shared" ca="1" si="180"/>
        <v>-368975110224492.5</v>
      </c>
      <c r="J5012" s="444">
        <f t="array" ref="J5012">IFERROR(INDEX('Retirement Calculator'!K:K,MATCH('Lorri 401b'!N5012,'Retirement Calculator'!A:A,0),0),0)</f>
        <v>0</v>
      </c>
      <c r="K5012" s="444">
        <f t="shared" ca="1" si="178"/>
        <v>-1537396292602.052</v>
      </c>
      <c r="L5012" s="444">
        <f t="shared" ca="1" si="179"/>
        <v>-370512506517094.56</v>
      </c>
      <c r="M5012" s="460">
        <f t="shared" si="181"/>
        <v>0.05</v>
      </c>
      <c r="N5012" s="464">
        <f t="shared" si="182"/>
        <v>203594</v>
      </c>
    </row>
    <row r="5013" spans="7:14" ht="11.25" customHeight="1" x14ac:dyDescent="0.3">
      <c r="G5013" s="459"/>
      <c r="H5013" s="459">
        <v>5006</v>
      </c>
      <c r="I5013" s="444">
        <f t="shared" ca="1" si="180"/>
        <v>-370512506517094.56</v>
      </c>
      <c r="J5013" s="444">
        <f t="array" ref="J5013">IFERROR(INDEX('Retirement Calculator'!K:K,MATCH('Lorri 401b'!N5013,'Retirement Calculator'!A:A,0),0),0)</f>
        <v>0</v>
      </c>
      <c r="K5013" s="444">
        <f t="shared" ca="1" si="178"/>
        <v>-1543802110487.894</v>
      </c>
      <c r="L5013" s="444">
        <f t="shared" ca="1" si="179"/>
        <v>-372056308627582.44</v>
      </c>
      <c r="M5013" s="460">
        <f t="shared" si="181"/>
        <v>0.05</v>
      </c>
      <c r="N5013" s="464">
        <f t="shared" si="182"/>
        <v>203624</v>
      </c>
    </row>
    <row r="5014" spans="7:14" ht="11.25" customHeight="1" x14ac:dyDescent="0.3">
      <c r="G5014" s="459"/>
      <c r="H5014" s="459">
        <v>5007</v>
      </c>
      <c r="I5014" s="444">
        <f t="shared" ca="1" si="180"/>
        <v>-372056308627582.44</v>
      </c>
      <c r="J5014" s="444">
        <f t="array" ref="J5014">IFERROR(INDEX('Retirement Calculator'!K:K,MATCH('Lorri 401b'!N5014,'Retirement Calculator'!A:A,0),0),0)</f>
        <v>0</v>
      </c>
      <c r="K5014" s="444">
        <f t="shared" ca="1" si="178"/>
        <v>-1550234619281.5935</v>
      </c>
      <c r="L5014" s="444">
        <f t="shared" ca="1" si="179"/>
        <v>-373606543246864</v>
      </c>
      <c r="M5014" s="460">
        <f t="shared" si="181"/>
        <v>0.05</v>
      </c>
      <c r="N5014" s="464">
        <f t="shared" si="182"/>
        <v>203655</v>
      </c>
    </row>
    <row r="5015" spans="7:14" ht="11.25" customHeight="1" x14ac:dyDescent="0.3">
      <c r="G5015" s="459"/>
      <c r="H5015" s="459">
        <v>5008</v>
      </c>
      <c r="I5015" s="444">
        <f t="shared" ca="1" si="180"/>
        <v>-373606543246864</v>
      </c>
      <c r="J5015" s="444">
        <f t="array" ref="J5015">IFERROR(INDEX('Retirement Calculator'!K:K,MATCH('Lorri 401b'!N5015,'Retirement Calculator'!A:A,0),0),0)</f>
        <v>0</v>
      </c>
      <c r="K5015" s="444">
        <f t="shared" ca="1" si="178"/>
        <v>-1556693930195.2666</v>
      </c>
      <c r="L5015" s="444">
        <f t="shared" ca="1" si="179"/>
        <v>-375163237177059.25</v>
      </c>
      <c r="M5015" s="460">
        <f t="shared" si="181"/>
        <v>0.05</v>
      </c>
      <c r="N5015" s="464">
        <f t="shared" si="182"/>
        <v>203686</v>
      </c>
    </row>
    <row r="5016" spans="7:14" ht="11.25" customHeight="1" x14ac:dyDescent="0.3">
      <c r="G5016" s="459"/>
      <c r="H5016" s="459">
        <v>5009</v>
      </c>
      <c r="I5016" s="444">
        <f t="shared" ca="1" si="180"/>
        <v>-375163237177059.25</v>
      </c>
      <c r="J5016" s="444">
        <f t="array" ref="J5016">IFERROR(INDEX('Retirement Calculator'!K:K,MATCH('Lorri 401b'!N5016,'Retirement Calculator'!A:A,0),0),0)</f>
        <v>0</v>
      </c>
      <c r="K5016" s="444">
        <f t="shared" ca="1" si="178"/>
        <v>-1563180154904.4136</v>
      </c>
      <c r="L5016" s="444">
        <f t="shared" ca="1" si="179"/>
        <v>-376726417331963.69</v>
      </c>
      <c r="M5016" s="460">
        <f t="shared" si="181"/>
        <v>0.05</v>
      </c>
      <c r="N5016" s="464">
        <f t="shared" si="182"/>
        <v>203716</v>
      </c>
    </row>
    <row r="5017" spans="7:14" ht="11.25" customHeight="1" x14ac:dyDescent="0.3">
      <c r="G5017" s="459"/>
      <c r="H5017" s="459">
        <v>5010</v>
      </c>
      <c r="I5017" s="444">
        <f t="shared" ca="1" si="180"/>
        <v>-376726417331963.69</v>
      </c>
      <c r="J5017" s="444">
        <f t="array" ref="J5017">IFERROR(INDEX('Retirement Calculator'!K:K,MATCH('Lorri 401b'!N5017,'Retirement Calculator'!A:A,0),0),0)</f>
        <v>0</v>
      </c>
      <c r="K5017" s="444">
        <f t="shared" ca="1" si="178"/>
        <v>-1569693405549.8486</v>
      </c>
      <c r="L5017" s="444">
        <f t="shared" ca="1" si="179"/>
        <v>-378296110737513.56</v>
      </c>
      <c r="M5017" s="460">
        <f t="shared" si="181"/>
        <v>0.05</v>
      </c>
      <c r="N5017" s="464">
        <f t="shared" si="182"/>
        <v>203747</v>
      </c>
    </row>
    <row r="5018" spans="7:14" ht="11.25" customHeight="1" x14ac:dyDescent="0.3">
      <c r="G5018" s="459"/>
      <c r="H5018" s="459">
        <v>5011</v>
      </c>
      <c r="I5018" s="444">
        <f t="shared" ca="1" si="180"/>
        <v>-378296110737513.56</v>
      </c>
      <c r="J5018" s="444">
        <f t="array" ref="J5018">IFERROR(INDEX('Retirement Calculator'!K:K,MATCH('Lorri 401b'!N5018,'Retirement Calculator'!A:A,0),0),0)</f>
        <v>0</v>
      </c>
      <c r="K5018" s="444">
        <f t="shared" ca="1" si="178"/>
        <v>-1576233794739.6399</v>
      </c>
      <c r="L5018" s="444">
        <f t="shared" ca="1" si="179"/>
        <v>-379872344532253.19</v>
      </c>
      <c r="M5018" s="460">
        <f t="shared" si="181"/>
        <v>0.05</v>
      </c>
      <c r="N5018" s="464">
        <f t="shared" si="182"/>
        <v>203777</v>
      </c>
    </row>
    <row r="5019" spans="7:14" ht="11.25" customHeight="1" x14ac:dyDescent="0.3">
      <c r="G5019" s="459"/>
      <c r="H5019" s="459">
        <v>5012</v>
      </c>
      <c r="I5019" s="444">
        <f t="shared" ca="1" si="180"/>
        <v>-379872344532253.19</v>
      </c>
      <c r="J5019" s="444">
        <f t="array" ref="J5019">IFERROR(INDEX('Retirement Calculator'!K:K,MATCH('Lorri 401b'!N5019,'Retirement Calculator'!A:A,0),0),0)</f>
        <v>0</v>
      </c>
      <c r="K5019" s="444">
        <f t="shared" ca="1" si="178"/>
        <v>-1582801435551.0549</v>
      </c>
      <c r="L5019" s="444">
        <f t="shared" ca="1" si="179"/>
        <v>-381455145967804.25</v>
      </c>
      <c r="M5019" s="460">
        <f t="shared" si="181"/>
        <v>0.05</v>
      </c>
      <c r="N5019" s="464">
        <f t="shared" si="182"/>
        <v>203808</v>
      </c>
    </row>
    <row r="5020" spans="7:14" ht="11.25" customHeight="1" x14ac:dyDescent="0.3">
      <c r="G5020" s="459"/>
      <c r="H5020" s="459">
        <v>5013</v>
      </c>
      <c r="I5020" s="444">
        <f t="shared" ca="1" si="180"/>
        <v>-381455145967804.25</v>
      </c>
      <c r="J5020" s="444">
        <f t="array" ref="J5020">IFERROR(INDEX('Retirement Calculator'!K:K,MATCH('Lorri 401b'!N5020,'Retirement Calculator'!A:A,0),0),0)</f>
        <v>0</v>
      </c>
      <c r="K5020" s="444">
        <f t="shared" ca="1" si="178"/>
        <v>-1589396441532.5176</v>
      </c>
      <c r="L5020" s="444">
        <f t="shared" ca="1" si="179"/>
        <v>-383044542409336.75</v>
      </c>
      <c r="M5020" s="460">
        <f t="shared" si="181"/>
        <v>0.05</v>
      </c>
      <c r="N5020" s="464">
        <f t="shared" si="182"/>
        <v>203839</v>
      </c>
    </row>
    <row r="5021" spans="7:14" ht="11.25" customHeight="1" x14ac:dyDescent="0.3">
      <c r="G5021" s="459"/>
      <c r="H5021" s="459">
        <v>5014</v>
      </c>
      <c r="I5021" s="444">
        <f t="shared" ca="1" si="180"/>
        <v>-383044542409336.75</v>
      </c>
      <c r="J5021" s="444">
        <f t="array" ref="J5021">IFERROR(INDEX('Retirement Calculator'!K:K,MATCH('Lorri 401b'!N5021,'Retirement Calculator'!A:A,0),0),0)</f>
        <v>0</v>
      </c>
      <c r="K5021" s="444">
        <f t="shared" ca="1" si="178"/>
        <v>-1596018926705.5698</v>
      </c>
      <c r="L5021" s="444">
        <f t="shared" ca="1" si="179"/>
        <v>-384640561336042.31</v>
      </c>
      <c r="M5021" s="460">
        <f t="shared" si="181"/>
        <v>0.05</v>
      </c>
      <c r="N5021" s="464">
        <f t="shared" si="182"/>
        <v>203867</v>
      </c>
    </row>
    <row r="5022" spans="7:14" ht="11.25" customHeight="1" x14ac:dyDescent="0.3">
      <c r="G5022" s="459"/>
      <c r="H5022" s="459">
        <v>5015</v>
      </c>
      <c r="I5022" s="444">
        <f t="shared" ca="1" si="180"/>
        <v>-384640561336042.31</v>
      </c>
      <c r="J5022" s="444">
        <f t="array" ref="J5022">IFERROR(INDEX('Retirement Calculator'!K:K,MATCH('Lorri 401b'!N5022,'Retirement Calculator'!A:A,0),0),0)</f>
        <v>0</v>
      </c>
      <c r="K5022" s="444">
        <f t="shared" ca="1" si="178"/>
        <v>-1602669005566.843</v>
      </c>
      <c r="L5022" s="444">
        <f t="shared" ca="1" si="179"/>
        <v>-386243230341609.13</v>
      </c>
      <c r="M5022" s="460">
        <f t="shared" si="181"/>
        <v>0.05</v>
      </c>
      <c r="N5022" s="464">
        <f t="shared" si="182"/>
        <v>203898</v>
      </c>
    </row>
    <row r="5023" spans="7:14" ht="11.25" customHeight="1" x14ac:dyDescent="0.3">
      <c r="G5023" s="459"/>
      <c r="H5023" s="459">
        <v>5016</v>
      </c>
      <c r="I5023" s="444">
        <f t="shared" ca="1" si="180"/>
        <v>-386243230341609.13</v>
      </c>
      <c r="J5023" s="444">
        <f t="array" ref="J5023">IFERROR(INDEX('Retirement Calculator'!K:K,MATCH('Lorri 401b'!N5023,'Retirement Calculator'!A:A,0),0),0)</f>
        <v>0</v>
      </c>
      <c r="K5023" s="444">
        <f t="shared" ca="1" si="178"/>
        <v>-1609346793090.0381</v>
      </c>
      <c r="L5023" s="444">
        <f t="shared" ca="1" si="179"/>
        <v>-387852577134699.19</v>
      </c>
      <c r="M5023" s="460">
        <f t="shared" si="181"/>
        <v>0.05</v>
      </c>
      <c r="N5023" s="464">
        <f t="shared" si="182"/>
        <v>203928</v>
      </c>
    </row>
    <row r="5024" spans="7:14" ht="11.25" customHeight="1" x14ac:dyDescent="0.3">
      <c r="G5024" s="459"/>
      <c r="H5024" s="459">
        <v>5017</v>
      </c>
      <c r="I5024" s="444">
        <f t="shared" ca="1" si="180"/>
        <v>-387852577134699.19</v>
      </c>
      <c r="J5024" s="444">
        <f t="array" ref="J5024">IFERROR(INDEX('Retirement Calculator'!K:K,MATCH('Lorri 401b'!N5024,'Retirement Calculator'!A:A,0),0),0)</f>
        <v>0</v>
      </c>
      <c r="K5024" s="444">
        <f t="shared" ca="1" si="178"/>
        <v>-1616052404727.9133</v>
      </c>
      <c r="L5024" s="444">
        <f t="shared" ca="1" si="179"/>
        <v>-389468629539427.13</v>
      </c>
      <c r="M5024" s="460">
        <f t="shared" si="181"/>
        <v>0.05</v>
      </c>
      <c r="N5024" s="464">
        <f t="shared" si="182"/>
        <v>203959</v>
      </c>
    </row>
    <row r="5025" spans="7:14" ht="11.25" customHeight="1" x14ac:dyDescent="0.3">
      <c r="G5025" s="459"/>
      <c r="H5025" s="459">
        <v>5018</v>
      </c>
      <c r="I5025" s="444">
        <f t="shared" ca="1" si="180"/>
        <v>-389468629539427.13</v>
      </c>
      <c r="J5025" s="444">
        <f t="array" ref="J5025">IFERROR(INDEX('Retirement Calculator'!K:K,MATCH('Lorri 401b'!N5025,'Retirement Calculator'!A:A,0),0),0)</f>
        <v>0</v>
      </c>
      <c r="K5025" s="444">
        <f t="shared" ca="1" si="178"/>
        <v>-1622785956414.2798</v>
      </c>
      <c r="L5025" s="444">
        <f t="shared" ca="1" si="179"/>
        <v>-391091415495841.38</v>
      </c>
      <c r="M5025" s="460">
        <f t="shared" si="181"/>
        <v>0.05</v>
      </c>
      <c r="N5025" s="464">
        <f t="shared" si="182"/>
        <v>203989</v>
      </c>
    </row>
    <row r="5026" spans="7:14" ht="11.25" customHeight="1" x14ac:dyDescent="0.3">
      <c r="G5026" s="459"/>
      <c r="H5026" s="459">
        <v>5019</v>
      </c>
      <c r="I5026" s="444">
        <f t="shared" ca="1" si="180"/>
        <v>-391091415495841.38</v>
      </c>
      <c r="J5026" s="444">
        <f t="array" ref="J5026">IFERROR(INDEX('Retirement Calculator'!K:K,MATCH('Lorri 401b'!N5026,'Retirement Calculator'!A:A,0),0),0)</f>
        <v>0</v>
      </c>
      <c r="K5026" s="444">
        <f t="shared" ca="1" si="178"/>
        <v>-1629547564566.0056</v>
      </c>
      <c r="L5026" s="444">
        <f t="shared" ca="1" si="179"/>
        <v>-392720963060407.38</v>
      </c>
      <c r="M5026" s="460">
        <f t="shared" si="181"/>
        <v>0.05</v>
      </c>
      <c r="N5026" s="464">
        <f t="shared" si="182"/>
        <v>204020</v>
      </c>
    </row>
    <row r="5027" spans="7:14" ht="11.25" customHeight="1" x14ac:dyDescent="0.3">
      <c r="G5027" s="459"/>
      <c r="H5027" s="459">
        <v>5020</v>
      </c>
      <c r="I5027" s="444">
        <f t="shared" ca="1" si="180"/>
        <v>-392720963060407.38</v>
      </c>
      <c r="J5027" s="444">
        <f t="array" ref="J5027">IFERROR(INDEX('Retirement Calculator'!K:K,MATCH('Lorri 401b'!N5027,'Retirement Calculator'!A:A,0),0),0)</f>
        <v>0</v>
      </c>
      <c r="K5027" s="444">
        <f t="shared" ca="1" si="178"/>
        <v>-1636337346085.0308</v>
      </c>
      <c r="L5027" s="444">
        <f t="shared" ca="1" si="179"/>
        <v>-394357300406492.38</v>
      </c>
      <c r="M5027" s="460">
        <f t="shared" si="181"/>
        <v>0.05</v>
      </c>
      <c r="N5027" s="464">
        <f t="shared" si="182"/>
        <v>204051</v>
      </c>
    </row>
    <row r="5028" spans="7:14" ht="11.25" customHeight="1" x14ac:dyDescent="0.3">
      <c r="G5028" s="459"/>
      <c r="H5028" s="459">
        <v>5021</v>
      </c>
      <c r="I5028" s="444">
        <f t="shared" ca="1" si="180"/>
        <v>-394357300406492.38</v>
      </c>
      <c r="J5028" s="444">
        <f t="array" ref="J5028">IFERROR(INDEX('Retirement Calculator'!K:K,MATCH('Lorri 401b'!N5028,'Retirement Calculator'!A:A,0),0),0)</f>
        <v>0</v>
      </c>
      <c r="K5028" s="444">
        <f t="shared" ca="1" si="178"/>
        <v>-1643155418360.3848</v>
      </c>
      <c r="L5028" s="444">
        <f t="shared" ca="1" si="179"/>
        <v>-396000455824852.75</v>
      </c>
      <c r="M5028" s="460">
        <f t="shared" si="181"/>
        <v>0.05</v>
      </c>
      <c r="N5028" s="464">
        <f t="shared" si="182"/>
        <v>204081</v>
      </c>
    </row>
    <row r="5029" spans="7:14" ht="11.25" customHeight="1" x14ac:dyDescent="0.3">
      <c r="G5029" s="459"/>
      <c r="H5029" s="459">
        <v>5022</v>
      </c>
      <c r="I5029" s="444">
        <f t="shared" ca="1" si="180"/>
        <v>-396000455824852.75</v>
      </c>
      <c r="J5029" s="444">
        <f t="array" ref="J5029">IFERROR(INDEX('Retirement Calculator'!K:K,MATCH('Lorri 401b'!N5029,'Retirement Calculator'!A:A,0),0),0)</f>
        <v>0</v>
      </c>
      <c r="K5029" s="444">
        <f t="shared" ca="1" si="178"/>
        <v>-1650001899270.2197</v>
      </c>
      <c r="L5029" s="444">
        <f t="shared" ca="1" si="179"/>
        <v>-397650457724123</v>
      </c>
      <c r="M5029" s="460">
        <f t="shared" si="181"/>
        <v>0.05</v>
      </c>
      <c r="N5029" s="464">
        <f t="shared" si="182"/>
        <v>204112</v>
      </c>
    </row>
    <row r="5030" spans="7:14" ht="11.25" customHeight="1" x14ac:dyDescent="0.3">
      <c r="G5030" s="459"/>
      <c r="H5030" s="459">
        <v>5023</v>
      </c>
      <c r="I5030" s="444">
        <f t="shared" ca="1" si="180"/>
        <v>-397650457724123</v>
      </c>
      <c r="J5030" s="444">
        <f t="array" ref="J5030">IFERROR(INDEX('Retirement Calculator'!K:K,MATCH('Lorri 401b'!N5030,'Retirement Calculator'!A:A,0),0),0)</f>
        <v>0</v>
      </c>
      <c r="K5030" s="444">
        <f t="shared" ca="1" si="178"/>
        <v>-1656876907183.8457</v>
      </c>
      <c r="L5030" s="444">
        <f t="shared" ca="1" si="179"/>
        <v>-399307334631306.88</v>
      </c>
      <c r="M5030" s="460">
        <f t="shared" si="181"/>
        <v>0.05</v>
      </c>
      <c r="N5030" s="464">
        <f t="shared" si="182"/>
        <v>204142</v>
      </c>
    </row>
    <row r="5031" spans="7:14" ht="11.25" customHeight="1" x14ac:dyDescent="0.3">
      <c r="G5031" s="459"/>
      <c r="H5031" s="459">
        <v>5024</v>
      </c>
      <c r="I5031" s="444">
        <f t="shared" ca="1" si="180"/>
        <v>-399307334631306.88</v>
      </c>
      <c r="J5031" s="444">
        <f t="array" ref="J5031">IFERROR(INDEX('Retirement Calculator'!K:K,MATCH('Lorri 401b'!N5031,'Retirement Calculator'!A:A,0),0),0)</f>
        <v>0</v>
      </c>
      <c r="K5031" s="444">
        <f t="shared" ca="1" si="178"/>
        <v>-1663780560963.7786</v>
      </c>
      <c r="L5031" s="444">
        <f t="shared" ca="1" si="179"/>
        <v>-400971115192270.63</v>
      </c>
      <c r="M5031" s="460">
        <f t="shared" si="181"/>
        <v>0.05</v>
      </c>
      <c r="N5031" s="464">
        <f t="shared" si="182"/>
        <v>204173</v>
      </c>
    </row>
    <row r="5032" spans="7:14" ht="11.25" customHeight="1" x14ac:dyDescent="0.3">
      <c r="G5032" s="459"/>
      <c r="H5032" s="459">
        <v>5025</v>
      </c>
      <c r="I5032" s="444">
        <f t="shared" ca="1" si="180"/>
        <v>-400971115192270.63</v>
      </c>
      <c r="J5032" s="444">
        <f t="array" ref="J5032">IFERROR(INDEX('Retirement Calculator'!K:K,MATCH('Lorri 401b'!N5032,'Retirement Calculator'!A:A,0),0),0)</f>
        <v>0</v>
      </c>
      <c r="K5032" s="444">
        <f t="shared" ca="1" si="178"/>
        <v>-1670712979967.7942</v>
      </c>
      <c r="L5032" s="444">
        <f t="shared" ca="1" si="179"/>
        <v>-402641828172238.44</v>
      </c>
      <c r="M5032" s="460">
        <f t="shared" si="181"/>
        <v>0.05</v>
      </c>
      <c r="N5032" s="464">
        <f t="shared" si="182"/>
        <v>204204</v>
      </c>
    </row>
    <row r="5033" spans="7:14" ht="11.25" customHeight="1" x14ac:dyDescent="0.3">
      <c r="G5033" s="459"/>
      <c r="H5033" s="459">
        <v>5026</v>
      </c>
      <c r="I5033" s="444">
        <f t="shared" ca="1" si="180"/>
        <v>-402641828172238.44</v>
      </c>
      <c r="J5033" s="444">
        <f t="array" ref="J5033">IFERROR(INDEX('Retirement Calculator'!K:K,MATCH('Lorri 401b'!N5033,'Retirement Calculator'!A:A,0),0),0)</f>
        <v>0</v>
      </c>
      <c r="K5033" s="444">
        <f t="shared" ca="1" si="178"/>
        <v>-1677674284050.9934</v>
      </c>
      <c r="L5033" s="444">
        <f t="shared" ca="1" si="179"/>
        <v>-404319502456289.44</v>
      </c>
      <c r="M5033" s="460">
        <f t="shared" si="181"/>
        <v>0.05</v>
      </c>
      <c r="N5033" s="464">
        <f t="shared" si="182"/>
        <v>204232</v>
      </c>
    </row>
    <row r="5034" spans="7:14" ht="11.25" customHeight="1" x14ac:dyDescent="0.3">
      <c r="G5034" s="459"/>
      <c r="H5034" s="459">
        <v>5027</v>
      </c>
      <c r="I5034" s="444">
        <f t="shared" ca="1" si="180"/>
        <v>-404319502456289.44</v>
      </c>
      <c r="J5034" s="444">
        <f t="array" ref="J5034">IFERROR(INDEX('Retirement Calculator'!K:K,MATCH('Lorri 401b'!N5034,'Retirement Calculator'!A:A,0),0),0)</f>
        <v>0</v>
      </c>
      <c r="K5034" s="444">
        <f t="shared" ca="1" si="178"/>
        <v>-1684664593567.8726</v>
      </c>
      <c r="L5034" s="444">
        <f t="shared" ca="1" si="179"/>
        <v>-406004167049857.31</v>
      </c>
      <c r="M5034" s="460">
        <f t="shared" si="181"/>
        <v>0.05</v>
      </c>
      <c r="N5034" s="464">
        <f t="shared" si="182"/>
        <v>204263</v>
      </c>
    </row>
    <row r="5035" spans="7:14" ht="11.25" customHeight="1" x14ac:dyDescent="0.3">
      <c r="G5035" s="459"/>
      <c r="H5035" s="459">
        <v>5028</v>
      </c>
      <c r="I5035" s="444">
        <f t="shared" ca="1" si="180"/>
        <v>-406004167049857.31</v>
      </c>
      <c r="J5035" s="444">
        <f t="array" ref="J5035">IFERROR(INDEX('Retirement Calculator'!K:K,MATCH('Lorri 401b'!N5035,'Retirement Calculator'!A:A,0),0),0)</f>
        <v>0</v>
      </c>
      <c r="K5035" s="444">
        <f t="shared" ca="1" si="178"/>
        <v>-1691684029374.4055</v>
      </c>
      <c r="L5035" s="444">
        <f t="shared" ca="1" si="179"/>
        <v>-407695851079231.69</v>
      </c>
      <c r="M5035" s="460">
        <f t="shared" si="181"/>
        <v>0.05</v>
      </c>
      <c r="N5035" s="464">
        <f t="shared" si="182"/>
        <v>204293</v>
      </c>
    </row>
    <row r="5036" spans="7:14" ht="11.25" customHeight="1" x14ac:dyDescent="0.3">
      <c r="G5036" s="459"/>
      <c r="H5036" s="459">
        <v>5029</v>
      </c>
      <c r="I5036" s="444">
        <f t="shared" ca="1" si="180"/>
        <v>-407695851079231.69</v>
      </c>
      <c r="J5036" s="444">
        <f t="array" ref="J5036">IFERROR(INDEX('Retirement Calculator'!K:K,MATCH('Lorri 401b'!N5036,'Retirement Calculator'!A:A,0),0),0)</f>
        <v>0</v>
      </c>
      <c r="K5036" s="444">
        <f t="shared" ca="1" si="178"/>
        <v>-1698732712830.1321</v>
      </c>
      <c r="L5036" s="444">
        <f t="shared" ca="1" si="179"/>
        <v>-409394583792061.81</v>
      </c>
      <c r="M5036" s="460">
        <f t="shared" si="181"/>
        <v>0.05</v>
      </c>
      <c r="N5036" s="464">
        <f t="shared" si="182"/>
        <v>204324</v>
      </c>
    </row>
    <row r="5037" spans="7:14" ht="11.25" customHeight="1" x14ac:dyDescent="0.3">
      <c r="G5037" s="459"/>
      <c r="H5037" s="459">
        <v>5030</v>
      </c>
      <c r="I5037" s="444">
        <f t="shared" ca="1" si="180"/>
        <v>-409394583792061.81</v>
      </c>
      <c r="J5037" s="444">
        <f t="array" ref="J5037">IFERROR(INDEX('Retirement Calculator'!K:K,MATCH('Lorri 401b'!N5037,'Retirement Calculator'!A:A,0),0),0)</f>
        <v>0</v>
      </c>
      <c r="K5037" s="444">
        <f t="shared" ca="1" si="178"/>
        <v>-1705810765800.2576</v>
      </c>
      <c r="L5037" s="444">
        <f t="shared" ca="1" si="179"/>
        <v>-411100394557862.06</v>
      </c>
      <c r="M5037" s="460">
        <f t="shared" si="181"/>
        <v>0.05</v>
      </c>
      <c r="N5037" s="464">
        <f t="shared" si="182"/>
        <v>204354</v>
      </c>
    </row>
    <row r="5038" spans="7:14" ht="11.25" customHeight="1" x14ac:dyDescent="0.3">
      <c r="G5038" s="459"/>
      <c r="H5038" s="459">
        <v>5031</v>
      </c>
      <c r="I5038" s="444">
        <f t="shared" ca="1" si="180"/>
        <v>-411100394557862.06</v>
      </c>
      <c r="J5038" s="444">
        <f t="array" ref="J5038">IFERROR(INDEX('Retirement Calculator'!K:K,MATCH('Lorri 401b'!N5038,'Retirement Calculator'!A:A,0),0),0)</f>
        <v>0</v>
      </c>
      <c r="K5038" s="444">
        <f t="shared" ca="1" si="178"/>
        <v>-1712918310657.7585</v>
      </c>
      <c r="L5038" s="444">
        <f t="shared" ca="1" si="179"/>
        <v>-412813312868519.81</v>
      </c>
      <c r="M5038" s="460">
        <f t="shared" si="181"/>
        <v>0.05</v>
      </c>
      <c r="N5038" s="464">
        <f t="shared" si="182"/>
        <v>204385</v>
      </c>
    </row>
    <row r="5039" spans="7:14" ht="11.25" customHeight="1" x14ac:dyDescent="0.3">
      <c r="G5039" s="459"/>
      <c r="H5039" s="459">
        <v>5032</v>
      </c>
      <c r="I5039" s="444">
        <f t="shared" ca="1" si="180"/>
        <v>-412813312868519.81</v>
      </c>
      <c r="J5039" s="444">
        <f t="array" ref="J5039">IFERROR(INDEX('Retirement Calculator'!K:K,MATCH('Lorri 401b'!N5039,'Retirement Calculator'!A:A,0),0),0)</f>
        <v>0</v>
      </c>
      <c r="K5039" s="444">
        <f t="shared" ca="1" si="178"/>
        <v>-1720055470285.4993</v>
      </c>
      <c r="L5039" s="444">
        <f t="shared" ca="1" si="179"/>
        <v>-414533368338805.31</v>
      </c>
      <c r="M5039" s="460">
        <f t="shared" si="181"/>
        <v>0.05</v>
      </c>
      <c r="N5039" s="464">
        <f t="shared" si="182"/>
        <v>204416</v>
      </c>
    </row>
    <row r="5040" spans="7:14" ht="11.25" customHeight="1" x14ac:dyDescent="0.3">
      <c r="G5040" s="459"/>
      <c r="H5040" s="459">
        <v>5033</v>
      </c>
      <c r="I5040" s="444">
        <f t="shared" ca="1" si="180"/>
        <v>-414533368338805.31</v>
      </c>
      <c r="J5040" s="444">
        <f t="array" ref="J5040">IFERROR(INDEX('Retirement Calculator'!K:K,MATCH('Lorri 401b'!N5040,'Retirement Calculator'!A:A,0),0),0)</f>
        <v>0</v>
      </c>
      <c r="K5040" s="444">
        <f t="shared" ca="1" si="178"/>
        <v>-1727222368078.3555</v>
      </c>
      <c r="L5040" s="444">
        <f t="shared" ca="1" si="179"/>
        <v>-416260590706883.69</v>
      </c>
      <c r="M5040" s="460">
        <f t="shared" si="181"/>
        <v>0.05</v>
      </c>
      <c r="N5040" s="464">
        <f t="shared" si="182"/>
        <v>204446</v>
      </c>
    </row>
    <row r="5041" spans="7:14" ht="11.25" customHeight="1" x14ac:dyDescent="0.3">
      <c r="G5041" s="459"/>
      <c r="H5041" s="459">
        <v>5034</v>
      </c>
      <c r="I5041" s="444">
        <f t="shared" ca="1" si="180"/>
        <v>-416260590706883.69</v>
      </c>
      <c r="J5041" s="444">
        <f t="array" ref="J5041">IFERROR(INDEX('Retirement Calculator'!K:K,MATCH('Lorri 401b'!N5041,'Retirement Calculator'!A:A,0),0),0)</f>
        <v>0</v>
      </c>
      <c r="K5041" s="444">
        <f t="shared" ca="1" si="178"/>
        <v>-1734419127945.3486</v>
      </c>
      <c r="L5041" s="444">
        <f t="shared" ca="1" si="179"/>
        <v>-417995009834829.06</v>
      </c>
      <c r="M5041" s="460">
        <f t="shared" si="181"/>
        <v>0.05</v>
      </c>
      <c r="N5041" s="464">
        <f t="shared" si="182"/>
        <v>204477</v>
      </c>
    </row>
    <row r="5042" spans="7:14" ht="11.25" customHeight="1" x14ac:dyDescent="0.3">
      <c r="G5042" s="459"/>
      <c r="H5042" s="459">
        <v>5035</v>
      </c>
      <c r="I5042" s="444">
        <f t="shared" ca="1" si="180"/>
        <v>-417995009834829.06</v>
      </c>
      <c r="J5042" s="444">
        <f t="array" ref="J5042">IFERROR(INDEX('Retirement Calculator'!K:K,MATCH('Lorri 401b'!N5042,'Retirement Calculator'!A:A,0),0),0)</f>
        <v>0</v>
      </c>
      <c r="K5042" s="444">
        <f t="shared" ca="1" si="178"/>
        <v>-1741645874311.7878</v>
      </c>
      <c r="L5042" s="444">
        <f t="shared" ca="1" si="179"/>
        <v>-419736655709140.88</v>
      </c>
      <c r="M5042" s="460">
        <f t="shared" si="181"/>
        <v>0.05</v>
      </c>
      <c r="N5042" s="464">
        <f t="shared" si="182"/>
        <v>204507</v>
      </c>
    </row>
    <row r="5043" spans="7:14" ht="11.25" customHeight="1" x14ac:dyDescent="0.3">
      <c r="G5043" s="459"/>
      <c r="H5043" s="459">
        <v>5036</v>
      </c>
      <c r="I5043" s="444">
        <f t="shared" ca="1" si="180"/>
        <v>-419736655709140.88</v>
      </c>
      <c r="J5043" s="444">
        <f t="array" ref="J5043">IFERROR(INDEX('Retirement Calculator'!K:K,MATCH('Lorri 401b'!N5043,'Retirement Calculator'!A:A,0),0),0)</f>
        <v>0</v>
      </c>
      <c r="K5043" s="444">
        <f t="shared" ca="1" si="178"/>
        <v>-1748902732121.4204</v>
      </c>
      <c r="L5043" s="444">
        <f t="shared" ca="1" si="179"/>
        <v>-421485558441262.31</v>
      </c>
      <c r="M5043" s="460">
        <f t="shared" si="181"/>
        <v>0.05</v>
      </c>
      <c r="N5043" s="464">
        <f t="shared" si="182"/>
        <v>204538</v>
      </c>
    </row>
    <row r="5044" spans="7:14" ht="11.25" customHeight="1" x14ac:dyDescent="0.3">
      <c r="G5044" s="459"/>
      <c r="H5044" s="459">
        <v>5037</v>
      </c>
      <c r="I5044" s="444">
        <f t="shared" ca="1" si="180"/>
        <v>-421485558441262.31</v>
      </c>
      <c r="J5044" s="444">
        <f t="array" ref="J5044">IFERROR(INDEX('Retirement Calculator'!K:K,MATCH('Lorri 401b'!N5044,'Retirement Calculator'!A:A,0),0),0)</f>
        <v>0</v>
      </c>
      <c r="K5044" s="444">
        <f t="shared" ca="1" si="178"/>
        <v>-1756189826838.593</v>
      </c>
      <c r="L5044" s="444">
        <f t="shared" ca="1" si="179"/>
        <v>-423241748268100.88</v>
      </c>
      <c r="M5044" s="460">
        <f t="shared" si="181"/>
        <v>0.05</v>
      </c>
      <c r="N5044" s="464">
        <f t="shared" si="182"/>
        <v>204569</v>
      </c>
    </row>
    <row r="5045" spans="7:14" ht="11.25" customHeight="1" x14ac:dyDescent="0.3">
      <c r="G5045" s="459"/>
      <c r="H5045" s="459">
        <v>5038</v>
      </c>
      <c r="I5045" s="444">
        <f t="shared" ca="1" si="180"/>
        <v>-423241748268100.88</v>
      </c>
      <c r="J5045" s="444">
        <f t="array" ref="J5045">IFERROR(INDEX('Retirement Calculator'!K:K,MATCH('Lorri 401b'!N5045,'Retirement Calculator'!A:A,0),0),0)</f>
        <v>0</v>
      </c>
      <c r="K5045" s="444">
        <f t="shared" ca="1" si="178"/>
        <v>-1763507284450.4204</v>
      </c>
      <c r="L5045" s="444">
        <f t="shared" ca="1" si="179"/>
        <v>-425005255552551.31</v>
      </c>
      <c r="M5045" s="460">
        <f t="shared" si="181"/>
        <v>0.05</v>
      </c>
      <c r="N5045" s="464">
        <f t="shared" si="182"/>
        <v>204598</v>
      </c>
    </row>
    <row r="5046" spans="7:14" ht="11.25" customHeight="1" x14ac:dyDescent="0.3">
      <c r="G5046" s="459"/>
      <c r="H5046" s="459">
        <v>5039</v>
      </c>
      <c r="I5046" s="444">
        <f t="shared" ca="1" si="180"/>
        <v>-425005255552551.31</v>
      </c>
      <c r="J5046" s="444">
        <f t="array" ref="J5046">IFERROR(INDEX('Retirement Calculator'!K:K,MATCH('Lorri 401b'!N5046,'Retirement Calculator'!A:A,0),0),0)</f>
        <v>0</v>
      </c>
      <c r="K5046" s="444">
        <f t="shared" ca="1" si="178"/>
        <v>-1770855231468.9639</v>
      </c>
      <c r="L5046" s="444">
        <f t="shared" ca="1" si="179"/>
        <v>-426776110784020.25</v>
      </c>
      <c r="M5046" s="460">
        <f t="shared" si="181"/>
        <v>0.05</v>
      </c>
      <c r="N5046" s="464">
        <f t="shared" si="182"/>
        <v>204629</v>
      </c>
    </row>
    <row r="5047" spans="7:14" ht="11.25" customHeight="1" x14ac:dyDescent="0.3">
      <c r="G5047" s="459"/>
      <c r="H5047" s="459">
        <v>5040</v>
      </c>
      <c r="I5047" s="444">
        <f t="shared" ca="1" si="180"/>
        <v>-426776110784020.25</v>
      </c>
      <c r="J5047" s="444">
        <f t="array" ref="J5047">IFERROR(INDEX('Retirement Calculator'!K:K,MATCH('Lorri 401b'!N5047,'Retirement Calculator'!A:A,0),0),0)</f>
        <v>0</v>
      </c>
      <c r="K5047" s="444">
        <f t="shared" ca="1" si="178"/>
        <v>-1778233794933.4177</v>
      </c>
      <c r="L5047" s="444">
        <f t="shared" ca="1" si="179"/>
        <v>-428554344578953.69</v>
      </c>
      <c r="M5047" s="460">
        <f t="shared" si="181"/>
        <v>0.05</v>
      </c>
      <c r="N5047" s="464">
        <f t="shared" si="182"/>
        <v>204659</v>
      </c>
    </row>
    <row r="5048" spans="7:14" ht="11.25" customHeight="1" x14ac:dyDescent="0.3">
      <c r="G5048" s="459"/>
      <c r="H5048" s="459">
        <v>5041</v>
      </c>
      <c r="I5048" s="444">
        <f t="shared" ca="1" si="180"/>
        <v>-428554344578953.69</v>
      </c>
      <c r="J5048" s="444">
        <f t="array" ref="J5048">IFERROR(INDEX('Retirement Calculator'!K:K,MATCH('Lorri 401b'!N5048,'Retirement Calculator'!A:A,0),0),0)</f>
        <v>0</v>
      </c>
      <c r="K5048" s="444">
        <f t="shared" ca="1" si="178"/>
        <v>-1785643102412.3069</v>
      </c>
      <c r="L5048" s="444">
        <f t="shared" ca="1" si="179"/>
        <v>-430339987681366</v>
      </c>
      <c r="M5048" s="460">
        <f t="shared" si="181"/>
        <v>0.05</v>
      </c>
      <c r="N5048" s="464">
        <f t="shared" si="182"/>
        <v>204690</v>
      </c>
    </row>
    <row r="5049" spans="7:14" ht="11.25" customHeight="1" x14ac:dyDescent="0.3">
      <c r="G5049" s="459"/>
      <c r="H5049" s="459">
        <v>5042</v>
      </c>
      <c r="I5049" s="444">
        <f t="shared" ca="1" si="180"/>
        <v>-430339987681366</v>
      </c>
      <c r="J5049" s="444">
        <f t="array" ref="J5049">IFERROR(INDEX('Retirement Calculator'!K:K,MATCH('Lorri 401b'!N5049,'Retirement Calculator'!A:A,0),0),0)</f>
        <v>0</v>
      </c>
      <c r="K5049" s="444">
        <f t="shared" ca="1" si="178"/>
        <v>-1793083282005.6917</v>
      </c>
      <c r="L5049" s="444">
        <f t="shared" ca="1" si="179"/>
        <v>-432133070963371.69</v>
      </c>
      <c r="M5049" s="460">
        <f t="shared" si="181"/>
        <v>0.05</v>
      </c>
      <c r="N5049" s="464">
        <f t="shared" si="182"/>
        <v>204720</v>
      </c>
    </row>
    <row r="5050" spans="7:14" ht="11.25" customHeight="1" x14ac:dyDescent="0.3">
      <c r="G5050" s="459"/>
      <c r="H5050" s="459">
        <v>5043</v>
      </c>
      <c r="I5050" s="444">
        <f t="shared" ca="1" si="180"/>
        <v>-432133070963371.69</v>
      </c>
      <c r="J5050" s="444">
        <f t="array" ref="J5050">IFERROR(INDEX('Retirement Calculator'!K:K,MATCH('Lorri 401b'!N5050,'Retirement Calculator'!A:A,0),0),0)</f>
        <v>0</v>
      </c>
      <c r="K5050" s="444">
        <f t="shared" ca="1" si="178"/>
        <v>-1800554462347.3821</v>
      </c>
      <c r="L5050" s="444">
        <f t="shared" ca="1" si="179"/>
        <v>-433933625425719.06</v>
      </c>
      <c r="M5050" s="460">
        <f t="shared" si="181"/>
        <v>0.05</v>
      </c>
      <c r="N5050" s="464">
        <f t="shared" si="182"/>
        <v>204751</v>
      </c>
    </row>
    <row r="5051" spans="7:14" ht="11.25" customHeight="1" x14ac:dyDescent="0.3">
      <c r="G5051" s="459"/>
      <c r="H5051" s="459">
        <v>5044</v>
      </c>
      <c r="I5051" s="444">
        <f t="shared" ca="1" si="180"/>
        <v>-433933625425719.06</v>
      </c>
      <c r="J5051" s="444">
        <f t="array" ref="J5051">IFERROR(INDEX('Retirement Calculator'!K:K,MATCH('Lorri 401b'!N5051,'Retirement Calculator'!A:A,0),0),0)</f>
        <v>0</v>
      </c>
      <c r="K5051" s="444">
        <f t="shared" ca="1" si="178"/>
        <v>-1808056772607.1628</v>
      </c>
      <c r="L5051" s="444">
        <f t="shared" ca="1" si="179"/>
        <v>-435741682198326.25</v>
      </c>
      <c r="M5051" s="460">
        <f t="shared" si="181"/>
        <v>0.05</v>
      </c>
      <c r="N5051" s="464">
        <f t="shared" si="182"/>
        <v>204782</v>
      </c>
    </row>
    <row r="5052" spans="7:14" ht="11.25" customHeight="1" x14ac:dyDescent="0.3">
      <c r="G5052" s="459"/>
      <c r="H5052" s="459">
        <v>5045</v>
      </c>
      <c r="I5052" s="444">
        <f t="shared" ca="1" si="180"/>
        <v>-435741682198326.25</v>
      </c>
      <c r="J5052" s="444">
        <f t="array" ref="J5052">IFERROR(INDEX('Retirement Calculator'!K:K,MATCH('Lorri 401b'!N5052,'Retirement Calculator'!A:A,0),0),0)</f>
        <v>0</v>
      </c>
      <c r="K5052" s="444">
        <f t="shared" ca="1" si="178"/>
        <v>-1815590342493.0261</v>
      </c>
      <c r="L5052" s="444">
        <f t="shared" ca="1" si="179"/>
        <v>-437557272540819.25</v>
      </c>
      <c r="M5052" s="460">
        <f t="shared" si="181"/>
        <v>0.05</v>
      </c>
      <c r="N5052" s="464">
        <f t="shared" si="182"/>
        <v>204812</v>
      </c>
    </row>
    <row r="5053" spans="7:14" ht="11.25" customHeight="1" x14ac:dyDescent="0.3">
      <c r="G5053" s="459"/>
      <c r="H5053" s="459">
        <v>5046</v>
      </c>
      <c r="I5053" s="444">
        <f t="shared" ca="1" si="180"/>
        <v>-437557272540819.25</v>
      </c>
      <c r="J5053" s="444">
        <f t="array" ref="J5053">IFERROR(INDEX('Retirement Calculator'!K:K,MATCH('Lorri 401b'!N5053,'Retirement Calculator'!A:A,0),0),0)</f>
        <v>0</v>
      </c>
      <c r="K5053" s="444">
        <f t="shared" ca="1" si="178"/>
        <v>-1823155302253.4136</v>
      </c>
      <c r="L5053" s="444">
        <f t="shared" ca="1" si="179"/>
        <v>-439380427843072.69</v>
      </c>
      <c r="M5053" s="460">
        <f t="shared" si="181"/>
        <v>0.05</v>
      </c>
      <c r="N5053" s="464">
        <f t="shared" si="182"/>
        <v>204843</v>
      </c>
    </row>
    <row r="5054" spans="7:14" ht="11.25" customHeight="1" x14ac:dyDescent="0.3">
      <c r="G5054" s="459"/>
      <c r="H5054" s="459">
        <v>5047</v>
      </c>
      <c r="I5054" s="444">
        <f t="shared" ca="1" si="180"/>
        <v>-439380427843072.69</v>
      </c>
      <c r="J5054" s="444">
        <f t="array" ref="J5054">IFERROR(INDEX('Retirement Calculator'!K:K,MATCH('Lorri 401b'!N5054,'Retirement Calculator'!A:A,0),0),0)</f>
        <v>0</v>
      </c>
      <c r="K5054" s="444">
        <f t="shared" ca="1" si="178"/>
        <v>-1830751782679.4695</v>
      </c>
      <c r="L5054" s="444">
        <f t="shared" ca="1" si="179"/>
        <v>-441211179625752.19</v>
      </c>
      <c r="M5054" s="460">
        <f t="shared" si="181"/>
        <v>0.05</v>
      </c>
      <c r="N5054" s="464">
        <f t="shared" si="182"/>
        <v>204873</v>
      </c>
    </row>
    <row r="5055" spans="7:14" ht="11.25" customHeight="1" x14ac:dyDescent="0.3">
      <c r="G5055" s="459"/>
      <c r="H5055" s="459">
        <v>5048</v>
      </c>
      <c r="I5055" s="444">
        <f t="shared" ca="1" si="180"/>
        <v>-441211179625752.19</v>
      </c>
      <c r="J5055" s="444">
        <f t="array" ref="J5055">IFERROR(INDEX('Retirement Calculator'!K:K,MATCH('Lorri 401b'!N5055,'Retirement Calculator'!A:A,0),0),0)</f>
        <v>0</v>
      </c>
      <c r="K5055" s="444">
        <f t="shared" ca="1" si="178"/>
        <v>-1838379915107.301</v>
      </c>
      <c r="L5055" s="444">
        <f t="shared" ca="1" si="179"/>
        <v>-443049559540859.5</v>
      </c>
      <c r="M5055" s="460">
        <f t="shared" si="181"/>
        <v>0.05</v>
      </c>
      <c r="N5055" s="464">
        <f t="shared" si="182"/>
        <v>204904</v>
      </c>
    </row>
    <row r="5056" spans="7:14" ht="11.25" customHeight="1" x14ac:dyDescent="0.3">
      <c r="G5056" s="459"/>
      <c r="H5056" s="459">
        <v>5049</v>
      </c>
      <c r="I5056" s="444">
        <f t="shared" ca="1" si="180"/>
        <v>-443049559540859.5</v>
      </c>
      <c r="J5056" s="444">
        <f t="array" ref="J5056">IFERROR(INDEX('Retirement Calculator'!K:K,MATCH('Lorri 401b'!N5056,'Retirement Calculator'!A:A,0),0),0)</f>
        <v>0</v>
      </c>
      <c r="K5056" s="444">
        <f t="shared" ca="1" si="178"/>
        <v>-1846039831420.248</v>
      </c>
      <c r="L5056" s="444">
        <f t="shared" ca="1" si="179"/>
        <v>-444895599372279.75</v>
      </c>
      <c r="M5056" s="460">
        <f t="shared" si="181"/>
        <v>0.05</v>
      </c>
      <c r="N5056" s="464">
        <f t="shared" si="182"/>
        <v>204935</v>
      </c>
    </row>
    <row r="5057" spans="7:14" ht="11.25" customHeight="1" x14ac:dyDescent="0.3">
      <c r="G5057" s="459"/>
      <c r="H5057" s="459">
        <v>5050</v>
      </c>
      <c r="I5057" s="444">
        <f t="shared" ca="1" si="180"/>
        <v>-444895599372279.75</v>
      </c>
      <c r="J5057" s="444">
        <f t="array" ref="J5057">IFERROR(INDEX('Retirement Calculator'!K:K,MATCH('Lorri 401b'!N5057,'Retirement Calculator'!A:A,0),0),0)</f>
        <v>0</v>
      </c>
      <c r="K5057" s="444">
        <f t="shared" ca="1" si="178"/>
        <v>-1853731664051.1655</v>
      </c>
      <c r="L5057" s="444">
        <f t="shared" ca="1" si="179"/>
        <v>-446749331036330.94</v>
      </c>
      <c r="M5057" s="460">
        <f t="shared" si="181"/>
        <v>0.05</v>
      </c>
      <c r="N5057" s="464">
        <f t="shared" si="182"/>
        <v>204963</v>
      </c>
    </row>
    <row r="5058" spans="7:14" ht="11.25" customHeight="1" x14ac:dyDescent="0.3">
      <c r="G5058" s="459"/>
      <c r="H5058" s="459">
        <v>5051</v>
      </c>
      <c r="I5058" s="444">
        <f t="shared" ca="1" si="180"/>
        <v>-446749331036330.94</v>
      </c>
      <c r="J5058" s="444">
        <f t="array" ref="J5058">IFERROR(INDEX('Retirement Calculator'!K:K,MATCH('Lorri 401b'!N5058,'Retirement Calculator'!A:A,0),0),0)</f>
        <v>0</v>
      </c>
      <c r="K5058" s="444">
        <f t="shared" ca="1" si="178"/>
        <v>-1861455545984.7122</v>
      </c>
      <c r="L5058" s="444">
        <f t="shared" ca="1" si="179"/>
        <v>-448610786582315.63</v>
      </c>
      <c r="M5058" s="460">
        <f t="shared" si="181"/>
        <v>0.05</v>
      </c>
      <c r="N5058" s="464">
        <f t="shared" si="182"/>
        <v>204994</v>
      </c>
    </row>
    <row r="5059" spans="7:14" ht="11.25" customHeight="1" x14ac:dyDescent="0.3">
      <c r="G5059" s="459"/>
      <c r="H5059" s="459">
        <v>5052</v>
      </c>
      <c r="I5059" s="444">
        <f t="shared" ca="1" si="180"/>
        <v>-448610786582315.63</v>
      </c>
      <c r="J5059" s="444">
        <f t="array" ref="J5059">IFERROR(INDEX('Retirement Calculator'!K:K,MATCH('Lorri 401b'!N5059,'Retirement Calculator'!A:A,0),0),0)</f>
        <v>0</v>
      </c>
      <c r="K5059" s="444">
        <f t="shared" ca="1" si="178"/>
        <v>-1869211610759.6484</v>
      </c>
      <c r="L5059" s="444">
        <f t="shared" ca="1" si="179"/>
        <v>-450479998193075.25</v>
      </c>
      <c r="M5059" s="460">
        <f t="shared" si="181"/>
        <v>0.05</v>
      </c>
      <c r="N5059" s="464">
        <f t="shared" si="182"/>
        <v>205024</v>
      </c>
    </row>
    <row r="5060" spans="7:14" ht="11.25" customHeight="1" x14ac:dyDescent="0.3">
      <c r="G5060" s="459"/>
      <c r="H5060" s="459">
        <v>5053</v>
      </c>
      <c r="I5060" s="444">
        <f t="shared" ca="1" si="180"/>
        <v>-450479998193075.25</v>
      </c>
      <c r="J5060" s="444">
        <f t="array" ref="J5060">IFERROR(INDEX('Retirement Calculator'!K:K,MATCH('Lorri 401b'!N5060,'Retirement Calculator'!A:A,0),0),0)</f>
        <v>0</v>
      </c>
      <c r="K5060" s="444">
        <f t="shared" ca="1" si="178"/>
        <v>-1876999992471.1465</v>
      </c>
      <c r="L5060" s="444">
        <f t="shared" ca="1" si="179"/>
        <v>-452356998185546.38</v>
      </c>
      <c r="M5060" s="460">
        <f t="shared" si="181"/>
        <v>0.05</v>
      </c>
      <c r="N5060" s="464">
        <f t="shared" si="182"/>
        <v>205055</v>
      </c>
    </row>
    <row r="5061" spans="7:14" ht="11.25" customHeight="1" x14ac:dyDescent="0.3">
      <c r="G5061" s="459"/>
      <c r="H5061" s="459">
        <v>5054</v>
      </c>
      <c r="I5061" s="444">
        <f t="shared" ca="1" si="180"/>
        <v>-452356998185546.38</v>
      </c>
      <c r="J5061" s="444">
        <f t="array" ref="J5061">IFERROR(INDEX('Retirement Calculator'!K:K,MATCH('Lorri 401b'!N5061,'Retirement Calculator'!A:A,0),0),0)</f>
        <v>0</v>
      </c>
      <c r="K5061" s="444">
        <f t="shared" ca="1" si="178"/>
        <v>-1884820825773.1096</v>
      </c>
      <c r="L5061" s="444">
        <f t="shared" ca="1" si="179"/>
        <v>-454241819011319.5</v>
      </c>
      <c r="M5061" s="460">
        <f t="shared" si="181"/>
        <v>0.05</v>
      </c>
      <c r="N5061" s="464">
        <f t="shared" si="182"/>
        <v>205085</v>
      </c>
    </row>
    <row r="5062" spans="7:14" ht="11.25" customHeight="1" x14ac:dyDescent="0.3">
      <c r="G5062" s="459"/>
      <c r="H5062" s="459">
        <v>5055</v>
      </c>
      <c r="I5062" s="444">
        <f t="shared" ca="1" si="180"/>
        <v>-454241819011319.5</v>
      </c>
      <c r="J5062" s="444">
        <f t="array" ref="J5062">IFERROR(INDEX('Retirement Calculator'!K:K,MATCH('Lorri 401b'!N5062,'Retirement Calculator'!A:A,0),0),0)</f>
        <v>0</v>
      </c>
      <c r="K5062" s="444">
        <f t="shared" ca="1" si="178"/>
        <v>-1892674245880.4978</v>
      </c>
      <c r="L5062" s="444">
        <f t="shared" ca="1" si="179"/>
        <v>-456134493257200</v>
      </c>
      <c r="M5062" s="460">
        <f t="shared" si="181"/>
        <v>0.05</v>
      </c>
      <c r="N5062" s="464">
        <f t="shared" si="182"/>
        <v>205116</v>
      </c>
    </row>
    <row r="5063" spans="7:14" ht="11.25" customHeight="1" x14ac:dyDescent="0.3">
      <c r="G5063" s="459"/>
      <c r="H5063" s="459">
        <v>5056</v>
      </c>
      <c r="I5063" s="444">
        <f t="shared" ca="1" si="180"/>
        <v>-456134493257200</v>
      </c>
      <c r="J5063" s="444">
        <f t="array" ref="J5063">IFERROR(INDEX('Retirement Calculator'!K:K,MATCH('Lorri 401b'!N5063,'Retirement Calculator'!A:A,0),0),0)</f>
        <v>0</v>
      </c>
      <c r="K5063" s="444">
        <f t="shared" ca="1" si="178"/>
        <v>-1900560388571.6667</v>
      </c>
      <c r="L5063" s="444">
        <f t="shared" ca="1" si="179"/>
        <v>-458035053645771.69</v>
      </c>
      <c r="M5063" s="460">
        <f t="shared" si="181"/>
        <v>0.05</v>
      </c>
      <c r="N5063" s="464">
        <f t="shared" si="182"/>
        <v>205147</v>
      </c>
    </row>
    <row r="5064" spans="7:14" ht="11.25" customHeight="1" x14ac:dyDescent="0.3">
      <c r="G5064" s="459"/>
      <c r="H5064" s="459">
        <v>5057</v>
      </c>
      <c r="I5064" s="444">
        <f t="shared" ca="1" si="180"/>
        <v>-458035053645771.69</v>
      </c>
      <c r="J5064" s="444">
        <f t="array" ref="J5064">IFERROR(INDEX('Retirement Calculator'!K:K,MATCH('Lorri 401b'!N5064,'Retirement Calculator'!A:A,0),0),0)</f>
        <v>0</v>
      </c>
      <c r="K5064" s="444">
        <f t="shared" ca="1" si="178"/>
        <v>-1908479390190.7153</v>
      </c>
      <c r="L5064" s="444">
        <f t="shared" ca="1" si="179"/>
        <v>-459943533035962.38</v>
      </c>
      <c r="M5064" s="460">
        <f t="shared" si="181"/>
        <v>0.05</v>
      </c>
      <c r="N5064" s="464">
        <f t="shared" si="182"/>
        <v>205177</v>
      </c>
    </row>
    <row r="5065" spans="7:14" ht="11.25" customHeight="1" x14ac:dyDescent="0.3">
      <c r="G5065" s="459"/>
      <c r="H5065" s="459">
        <v>5058</v>
      </c>
      <c r="I5065" s="444">
        <f t="shared" ca="1" si="180"/>
        <v>-459943533035962.38</v>
      </c>
      <c r="J5065" s="444">
        <f t="array" ref="J5065">IFERROR(INDEX('Retirement Calculator'!K:K,MATCH('Lorri 401b'!N5065,'Retirement Calculator'!A:A,0),0),0)</f>
        <v>0</v>
      </c>
      <c r="K5065" s="444">
        <f t="shared" ca="1" si="178"/>
        <v>-1916431387649.843</v>
      </c>
      <c r="L5065" s="444">
        <f t="shared" ca="1" si="179"/>
        <v>-461859964423612.19</v>
      </c>
      <c r="M5065" s="460">
        <f t="shared" si="181"/>
        <v>0.05</v>
      </c>
      <c r="N5065" s="464">
        <f t="shared" si="182"/>
        <v>205208</v>
      </c>
    </row>
    <row r="5066" spans="7:14" ht="11.25" customHeight="1" x14ac:dyDescent="0.3">
      <c r="G5066" s="459"/>
      <c r="H5066" s="459">
        <v>5059</v>
      </c>
      <c r="I5066" s="444">
        <f t="shared" ca="1" si="180"/>
        <v>-461859964423612.19</v>
      </c>
      <c r="J5066" s="444">
        <f t="array" ref="J5066">IFERROR(INDEX('Retirement Calculator'!K:K,MATCH('Lorri 401b'!N5066,'Retirement Calculator'!A:A,0),0),0)</f>
        <v>0</v>
      </c>
      <c r="K5066" s="444">
        <f t="shared" ca="1" si="178"/>
        <v>-1924416518431.7175</v>
      </c>
      <c r="L5066" s="444">
        <f t="shared" ca="1" si="179"/>
        <v>-463784380942043.88</v>
      </c>
      <c r="M5066" s="460">
        <f t="shared" si="181"/>
        <v>0.05</v>
      </c>
      <c r="N5066" s="464">
        <f t="shared" si="182"/>
        <v>205238</v>
      </c>
    </row>
    <row r="5067" spans="7:14" ht="11.25" customHeight="1" x14ac:dyDescent="0.3">
      <c r="G5067" s="459"/>
      <c r="H5067" s="459">
        <v>5060</v>
      </c>
      <c r="I5067" s="444">
        <f t="shared" ca="1" si="180"/>
        <v>-463784380942043.88</v>
      </c>
      <c r="J5067" s="444">
        <f t="array" ref="J5067">IFERROR(INDEX('Retirement Calculator'!K:K,MATCH('Lorri 401b'!N5067,'Retirement Calculator'!A:A,0),0),0)</f>
        <v>0</v>
      </c>
      <c r="K5067" s="444">
        <f t="shared" ca="1" si="178"/>
        <v>-1932434920591.8494</v>
      </c>
      <c r="L5067" s="444">
        <f t="shared" ca="1" si="179"/>
        <v>-465716815862635.75</v>
      </c>
      <c r="M5067" s="460">
        <f t="shared" si="181"/>
        <v>0.05</v>
      </c>
      <c r="N5067" s="464">
        <f t="shared" si="182"/>
        <v>205269</v>
      </c>
    </row>
    <row r="5068" spans="7:14" ht="11.25" customHeight="1" x14ac:dyDescent="0.3">
      <c r="G5068" s="459"/>
      <c r="H5068" s="459">
        <v>5061</v>
      </c>
      <c r="I5068" s="444">
        <f t="shared" ca="1" si="180"/>
        <v>-465716815862635.75</v>
      </c>
      <c r="J5068" s="444">
        <f t="array" ref="J5068">IFERROR(INDEX('Retirement Calculator'!K:K,MATCH('Lorri 401b'!N5068,'Retirement Calculator'!A:A,0),0),0)</f>
        <v>0</v>
      </c>
      <c r="K5068" s="444">
        <f t="shared" ca="1" si="178"/>
        <v>-1940486732760.9822</v>
      </c>
      <c r="L5068" s="444">
        <f t="shared" ca="1" si="179"/>
        <v>-467657302595396.75</v>
      </c>
      <c r="M5068" s="460">
        <f t="shared" si="181"/>
        <v>0.05</v>
      </c>
      <c r="N5068" s="464">
        <f t="shared" si="182"/>
        <v>205300</v>
      </c>
    </row>
    <row r="5069" spans="7:14" ht="11.25" customHeight="1" x14ac:dyDescent="0.3">
      <c r="G5069" s="459"/>
      <c r="H5069" s="459">
        <v>5062</v>
      </c>
      <c r="I5069" s="444">
        <f t="shared" ca="1" si="180"/>
        <v>-467657302595396.75</v>
      </c>
      <c r="J5069" s="444">
        <f t="array" ref="J5069">IFERROR(INDEX('Retirement Calculator'!K:K,MATCH('Lorri 401b'!N5069,'Retirement Calculator'!A:A,0),0),0)</f>
        <v>0</v>
      </c>
      <c r="K5069" s="444">
        <f t="shared" ca="1" si="178"/>
        <v>-1948572094147.4866</v>
      </c>
      <c r="L5069" s="444">
        <f t="shared" ca="1" si="179"/>
        <v>-469605874689544.25</v>
      </c>
      <c r="M5069" s="460">
        <f t="shared" si="181"/>
        <v>0.05</v>
      </c>
      <c r="N5069" s="464">
        <f t="shared" si="182"/>
        <v>205328</v>
      </c>
    </row>
    <row r="5070" spans="7:14" ht="11.25" customHeight="1" x14ac:dyDescent="0.3">
      <c r="G5070" s="459"/>
      <c r="H5070" s="459">
        <v>5063</v>
      </c>
      <c r="I5070" s="444">
        <f t="shared" ca="1" si="180"/>
        <v>-469605874689544.25</v>
      </c>
      <c r="J5070" s="444">
        <f t="array" ref="J5070">IFERROR(INDEX('Retirement Calculator'!K:K,MATCH('Lorri 401b'!N5070,'Retirement Calculator'!A:A,0),0),0)</f>
        <v>0</v>
      </c>
      <c r="K5070" s="444">
        <f t="shared" ca="1" si="178"/>
        <v>-1956691144539.7673</v>
      </c>
      <c r="L5070" s="444">
        <f t="shared" ca="1" si="179"/>
        <v>-471562565834084</v>
      </c>
      <c r="M5070" s="460">
        <f t="shared" si="181"/>
        <v>0.05</v>
      </c>
      <c r="N5070" s="464">
        <f t="shared" si="182"/>
        <v>205359</v>
      </c>
    </row>
    <row r="5071" spans="7:14" ht="11.25" customHeight="1" x14ac:dyDescent="0.3">
      <c r="G5071" s="459"/>
      <c r="H5071" s="459">
        <v>5064</v>
      </c>
      <c r="I5071" s="444">
        <f t="shared" ca="1" si="180"/>
        <v>-471562565834084</v>
      </c>
      <c r="J5071" s="444">
        <f t="array" ref="J5071">IFERROR(INDEX('Retirement Calculator'!K:K,MATCH('Lorri 401b'!N5071,'Retirement Calculator'!A:A,0),0),0)</f>
        <v>0</v>
      </c>
      <c r="K5071" s="444">
        <f t="shared" ca="1" si="178"/>
        <v>-1964844024308.6831</v>
      </c>
      <c r="L5071" s="444">
        <f t="shared" ca="1" si="179"/>
        <v>-473527409858392.69</v>
      </c>
      <c r="M5071" s="460">
        <f t="shared" si="181"/>
        <v>0.05</v>
      </c>
      <c r="N5071" s="464">
        <f t="shared" si="182"/>
        <v>205389</v>
      </c>
    </row>
    <row r="5072" spans="7:14" ht="11.25" customHeight="1" x14ac:dyDescent="0.3">
      <c r="G5072" s="459"/>
      <c r="H5072" s="459">
        <v>5065</v>
      </c>
      <c r="I5072" s="444">
        <f t="shared" ca="1" si="180"/>
        <v>-473527409858392.69</v>
      </c>
      <c r="J5072" s="444">
        <f t="array" ref="J5072">IFERROR(INDEX('Retirement Calculator'!K:K,MATCH('Lorri 401b'!N5072,'Retirement Calculator'!A:A,0),0),0)</f>
        <v>0</v>
      </c>
      <c r="K5072" s="444">
        <f t="shared" ca="1" si="178"/>
        <v>-1973030874409.9692</v>
      </c>
      <c r="L5072" s="444">
        <f t="shared" ca="1" si="179"/>
        <v>-475500440732802.69</v>
      </c>
      <c r="M5072" s="460">
        <f t="shared" si="181"/>
        <v>0.05</v>
      </c>
      <c r="N5072" s="464">
        <f t="shared" si="182"/>
        <v>205420</v>
      </c>
    </row>
    <row r="5073" spans="7:14" ht="11.25" customHeight="1" x14ac:dyDescent="0.3">
      <c r="G5073" s="459"/>
      <c r="H5073" s="459">
        <v>5066</v>
      </c>
      <c r="I5073" s="444">
        <f t="shared" ca="1" si="180"/>
        <v>-475500440732802.69</v>
      </c>
      <c r="J5073" s="444">
        <f t="array" ref="J5073">IFERROR(INDEX('Retirement Calculator'!K:K,MATCH('Lorri 401b'!N5073,'Retirement Calculator'!A:A,0),0),0)</f>
        <v>0</v>
      </c>
      <c r="K5073" s="444">
        <f t="shared" ca="1" si="178"/>
        <v>-1981251836386.6777</v>
      </c>
      <c r="L5073" s="444">
        <f t="shared" ca="1" si="179"/>
        <v>-477481692569189.38</v>
      </c>
      <c r="M5073" s="460">
        <f t="shared" si="181"/>
        <v>0.05</v>
      </c>
      <c r="N5073" s="464">
        <f t="shared" si="182"/>
        <v>205450</v>
      </c>
    </row>
    <row r="5074" spans="7:14" ht="11.25" customHeight="1" x14ac:dyDescent="0.3">
      <c r="G5074" s="459"/>
      <c r="H5074" s="459">
        <v>5067</v>
      </c>
      <c r="I5074" s="444">
        <f t="shared" ca="1" si="180"/>
        <v>-477481692569189.38</v>
      </c>
      <c r="J5074" s="444">
        <f t="array" ref="J5074">IFERROR(INDEX('Retirement Calculator'!K:K,MATCH('Lorri 401b'!N5074,'Retirement Calculator'!A:A,0),0),0)</f>
        <v>0</v>
      </c>
      <c r="K5074" s="444">
        <f t="shared" ca="1" si="178"/>
        <v>-1989507052371.6223</v>
      </c>
      <c r="L5074" s="444">
        <f t="shared" ca="1" si="179"/>
        <v>-479471199621561</v>
      </c>
      <c r="M5074" s="460">
        <f t="shared" si="181"/>
        <v>0.05</v>
      </c>
      <c r="N5074" s="464">
        <f t="shared" si="182"/>
        <v>205481</v>
      </c>
    </row>
    <row r="5075" spans="7:14" ht="11.25" customHeight="1" x14ac:dyDescent="0.3">
      <c r="G5075" s="459"/>
      <c r="H5075" s="459">
        <v>5068</v>
      </c>
      <c r="I5075" s="444">
        <f t="shared" ca="1" si="180"/>
        <v>-479471199621561</v>
      </c>
      <c r="J5075" s="444">
        <f t="array" ref="J5075">IFERROR(INDEX('Retirement Calculator'!K:K,MATCH('Lorri 401b'!N5075,'Retirement Calculator'!A:A,0),0),0)</f>
        <v>0</v>
      </c>
      <c r="K5075" s="444">
        <f t="shared" ca="1" si="178"/>
        <v>-1997796665089.8376</v>
      </c>
      <c r="L5075" s="444">
        <f t="shared" ca="1" si="179"/>
        <v>-481468996286650.81</v>
      </c>
      <c r="M5075" s="460">
        <f t="shared" si="181"/>
        <v>0.05</v>
      </c>
      <c r="N5075" s="464">
        <f t="shared" si="182"/>
        <v>205512</v>
      </c>
    </row>
    <row r="5076" spans="7:14" ht="11.25" customHeight="1" x14ac:dyDescent="0.3">
      <c r="G5076" s="459"/>
      <c r="H5076" s="459">
        <v>5069</v>
      </c>
      <c r="I5076" s="444">
        <f t="shared" ca="1" si="180"/>
        <v>-481468996286650.81</v>
      </c>
      <c r="J5076" s="444">
        <f t="array" ref="J5076">IFERROR(INDEX('Retirement Calculator'!K:K,MATCH('Lorri 401b'!N5076,'Retirement Calculator'!A:A,0),0),0)</f>
        <v>0</v>
      </c>
      <c r="K5076" s="444">
        <f t="shared" ca="1" si="178"/>
        <v>-2006120817861.0449</v>
      </c>
      <c r="L5076" s="444">
        <f t="shared" ca="1" si="179"/>
        <v>-483475117104511.88</v>
      </c>
      <c r="M5076" s="460">
        <f t="shared" si="181"/>
        <v>0.05</v>
      </c>
      <c r="N5076" s="464">
        <f t="shared" si="182"/>
        <v>205542</v>
      </c>
    </row>
    <row r="5077" spans="7:14" ht="11.25" customHeight="1" x14ac:dyDescent="0.3">
      <c r="G5077" s="459"/>
      <c r="H5077" s="459">
        <v>5070</v>
      </c>
      <c r="I5077" s="444">
        <f t="shared" ca="1" si="180"/>
        <v>-483475117104511.88</v>
      </c>
      <c r="J5077" s="444">
        <f t="array" ref="J5077">IFERROR(INDEX('Retirement Calculator'!K:K,MATCH('Lorri 401b'!N5077,'Retirement Calculator'!A:A,0),0),0)</f>
        <v>0</v>
      </c>
      <c r="K5077" s="444">
        <f t="shared" ca="1" si="178"/>
        <v>-2014479654602.1331</v>
      </c>
      <c r="L5077" s="444">
        <f t="shared" ca="1" si="179"/>
        <v>-485489596759114</v>
      </c>
      <c r="M5077" s="460">
        <f t="shared" si="181"/>
        <v>0.05</v>
      </c>
      <c r="N5077" s="464">
        <f t="shared" si="182"/>
        <v>205573</v>
      </c>
    </row>
    <row r="5078" spans="7:14" ht="11.25" customHeight="1" x14ac:dyDescent="0.3">
      <c r="G5078" s="459"/>
      <c r="H5078" s="459">
        <v>5071</v>
      </c>
      <c r="I5078" s="444">
        <f t="shared" ca="1" si="180"/>
        <v>-485489596759114</v>
      </c>
      <c r="J5078" s="444">
        <f t="array" ref="J5078">IFERROR(INDEX('Retirement Calculator'!K:K,MATCH('Lorri 401b'!N5078,'Retirement Calculator'!A:A,0),0),0)</f>
        <v>0</v>
      </c>
      <c r="K5078" s="444">
        <f t="shared" ca="1" si="178"/>
        <v>-2022873319829.6416</v>
      </c>
      <c r="L5078" s="444">
        <f t="shared" ca="1" si="179"/>
        <v>-487512470078943.63</v>
      </c>
      <c r="M5078" s="460">
        <f t="shared" si="181"/>
        <v>0.05</v>
      </c>
      <c r="N5078" s="464">
        <f t="shared" si="182"/>
        <v>205603</v>
      </c>
    </row>
    <row r="5079" spans="7:14" ht="11.25" customHeight="1" x14ac:dyDescent="0.3">
      <c r="G5079" s="459"/>
      <c r="H5079" s="459">
        <v>5072</v>
      </c>
      <c r="I5079" s="444">
        <f t="shared" ca="1" si="180"/>
        <v>-487512470078943.63</v>
      </c>
      <c r="J5079" s="444">
        <f t="array" ref="J5079">IFERROR(INDEX('Retirement Calculator'!K:K,MATCH('Lorri 401b'!N5079,'Retirement Calculator'!A:A,0),0),0)</f>
        <v>0</v>
      </c>
      <c r="K5079" s="444">
        <f t="shared" ca="1" si="178"/>
        <v>-2031301958662.2651</v>
      </c>
      <c r="L5079" s="444">
        <f t="shared" ca="1" si="179"/>
        <v>-489543772037605.88</v>
      </c>
      <c r="M5079" s="460">
        <f t="shared" si="181"/>
        <v>0.05</v>
      </c>
      <c r="N5079" s="464">
        <f t="shared" si="182"/>
        <v>205634</v>
      </c>
    </row>
    <row r="5080" spans="7:14" ht="11.25" customHeight="1" x14ac:dyDescent="0.3">
      <c r="G5080" s="459"/>
      <c r="H5080" s="459">
        <v>5073</v>
      </c>
      <c r="I5080" s="444">
        <f t="shared" ca="1" si="180"/>
        <v>-489543772037605.88</v>
      </c>
      <c r="J5080" s="444">
        <f t="array" ref="J5080">IFERROR(INDEX('Retirement Calculator'!K:K,MATCH('Lorri 401b'!N5080,'Retirement Calculator'!A:A,0),0),0)</f>
        <v>0</v>
      </c>
      <c r="K5080" s="444">
        <f t="shared" ca="1" si="178"/>
        <v>-2039765716823.3577</v>
      </c>
      <c r="L5080" s="444">
        <f t="shared" ca="1" si="179"/>
        <v>-491583537754429.25</v>
      </c>
      <c r="M5080" s="460">
        <f t="shared" si="181"/>
        <v>0.05</v>
      </c>
      <c r="N5080" s="464">
        <f t="shared" si="182"/>
        <v>205665</v>
      </c>
    </row>
    <row r="5081" spans="7:14" ht="11.25" customHeight="1" x14ac:dyDescent="0.3">
      <c r="G5081" s="459"/>
      <c r="H5081" s="459">
        <v>5074</v>
      </c>
      <c r="I5081" s="444">
        <f t="shared" ca="1" si="180"/>
        <v>-491583537754429.25</v>
      </c>
      <c r="J5081" s="444">
        <f t="array" ref="J5081">IFERROR(INDEX('Retirement Calculator'!K:K,MATCH('Lorri 401b'!N5081,'Retirement Calculator'!A:A,0),0),0)</f>
        <v>0</v>
      </c>
      <c r="K5081" s="444">
        <f t="shared" ca="1" si="178"/>
        <v>-2048264740643.4548</v>
      </c>
      <c r="L5081" s="444">
        <f t="shared" ca="1" si="179"/>
        <v>-493631802495072.69</v>
      </c>
      <c r="M5081" s="460">
        <f t="shared" si="181"/>
        <v>0.05</v>
      </c>
      <c r="N5081" s="464">
        <f t="shared" si="182"/>
        <v>205693</v>
      </c>
    </row>
    <row r="5082" spans="7:14" ht="11.25" customHeight="1" x14ac:dyDescent="0.3">
      <c r="G5082" s="459"/>
      <c r="H5082" s="459">
        <v>5075</v>
      </c>
      <c r="I5082" s="444">
        <f t="shared" ca="1" si="180"/>
        <v>-493631802495072.69</v>
      </c>
      <c r="J5082" s="444">
        <f t="array" ref="J5082">IFERROR(INDEX('Retirement Calculator'!K:K,MATCH('Lorri 401b'!N5082,'Retirement Calculator'!A:A,0),0),0)</f>
        <v>0</v>
      </c>
      <c r="K5082" s="444">
        <f t="shared" ca="1" si="178"/>
        <v>-2056799177062.803</v>
      </c>
      <c r="L5082" s="444">
        <f t="shared" ca="1" si="179"/>
        <v>-495688601672135.5</v>
      </c>
      <c r="M5082" s="460">
        <f t="shared" si="181"/>
        <v>0.05</v>
      </c>
      <c r="N5082" s="464">
        <f t="shared" si="182"/>
        <v>205724</v>
      </c>
    </row>
    <row r="5083" spans="7:14" ht="11.25" customHeight="1" x14ac:dyDescent="0.3">
      <c r="G5083" s="459"/>
      <c r="H5083" s="459">
        <v>5076</v>
      </c>
      <c r="I5083" s="444">
        <f t="shared" ca="1" si="180"/>
        <v>-495688601672135.5</v>
      </c>
      <c r="J5083" s="444">
        <f t="array" ref="J5083">IFERROR(INDEX('Retirement Calculator'!K:K,MATCH('Lorri 401b'!N5083,'Retirement Calculator'!A:A,0),0),0)</f>
        <v>0</v>
      </c>
      <c r="K5083" s="444">
        <f t="shared" ca="1" si="178"/>
        <v>-2065369173633.8979</v>
      </c>
      <c r="L5083" s="444">
        <f t="shared" ca="1" si="179"/>
        <v>-497753970845769.38</v>
      </c>
      <c r="M5083" s="460">
        <f t="shared" si="181"/>
        <v>0.05</v>
      </c>
      <c r="N5083" s="464">
        <f t="shared" si="182"/>
        <v>205754</v>
      </c>
    </row>
    <row r="5084" spans="7:14" ht="11.25" customHeight="1" x14ac:dyDescent="0.3">
      <c r="G5084" s="459"/>
      <c r="H5084" s="459">
        <v>5077</v>
      </c>
      <c r="I5084" s="444">
        <f t="shared" ca="1" si="180"/>
        <v>-497753970845769.38</v>
      </c>
      <c r="J5084" s="444">
        <f t="array" ref="J5084">IFERROR(INDEX('Retirement Calculator'!K:K,MATCH('Lorri 401b'!N5084,'Retirement Calculator'!A:A,0),0),0)</f>
        <v>0</v>
      </c>
      <c r="K5084" s="444">
        <f t="shared" ca="1" si="178"/>
        <v>-2073974878524.0391</v>
      </c>
      <c r="L5084" s="444">
        <f t="shared" ca="1" si="179"/>
        <v>-499827945724293.44</v>
      </c>
      <c r="M5084" s="460">
        <f t="shared" si="181"/>
        <v>0.05</v>
      </c>
      <c r="N5084" s="464">
        <f t="shared" si="182"/>
        <v>205785</v>
      </c>
    </row>
    <row r="5085" spans="7:14" ht="11.25" customHeight="1" x14ac:dyDescent="0.3">
      <c r="G5085" s="459"/>
      <c r="H5085" s="459">
        <v>5078</v>
      </c>
      <c r="I5085" s="444">
        <f t="shared" ca="1" si="180"/>
        <v>-499827945724293.44</v>
      </c>
      <c r="J5085" s="444">
        <f t="array" ref="J5085">IFERROR(INDEX('Retirement Calculator'!K:K,MATCH('Lorri 401b'!N5085,'Retirement Calculator'!A:A,0),0),0)</f>
        <v>0</v>
      </c>
      <c r="K5085" s="444">
        <f t="shared" ca="1" si="178"/>
        <v>-2082616440517.8889</v>
      </c>
      <c r="L5085" s="444">
        <f t="shared" ca="1" si="179"/>
        <v>-501910562164811.31</v>
      </c>
      <c r="M5085" s="460">
        <f t="shared" si="181"/>
        <v>0.05</v>
      </c>
      <c r="N5085" s="464">
        <f t="shared" si="182"/>
        <v>205815</v>
      </c>
    </row>
    <row r="5086" spans="7:14" ht="11.25" customHeight="1" x14ac:dyDescent="0.3">
      <c r="G5086" s="459"/>
      <c r="H5086" s="459">
        <v>5079</v>
      </c>
      <c r="I5086" s="444">
        <f t="shared" ca="1" si="180"/>
        <v>-501910562164811.31</v>
      </c>
      <c r="J5086" s="444">
        <f t="array" ref="J5086">IFERROR(INDEX('Retirement Calculator'!K:K,MATCH('Lorri 401b'!N5086,'Retirement Calculator'!A:A,0),0),0)</f>
        <v>0</v>
      </c>
      <c r="K5086" s="444">
        <f t="shared" ca="1" si="178"/>
        <v>-2091294009020.0471</v>
      </c>
      <c r="L5086" s="444">
        <f t="shared" ca="1" si="179"/>
        <v>-504001856173831.38</v>
      </c>
      <c r="M5086" s="460">
        <f t="shared" si="181"/>
        <v>0.05</v>
      </c>
      <c r="N5086" s="464">
        <f t="shared" si="182"/>
        <v>205846</v>
      </c>
    </row>
    <row r="5087" spans="7:14" ht="11.25" customHeight="1" x14ac:dyDescent="0.3">
      <c r="G5087" s="459"/>
      <c r="H5087" s="459">
        <v>5080</v>
      </c>
      <c r="I5087" s="444">
        <f t="shared" ca="1" si="180"/>
        <v>-504001856173831.38</v>
      </c>
      <c r="J5087" s="444">
        <f t="array" ref="J5087">IFERROR(INDEX('Retirement Calculator'!K:K,MATCH('Lorri 401b'!N5087,'Retirement Calculator'!A:A,0),0),0)</f>
        <v>0</v>
      </c>
      <c r="K5087" s="444">
        <f t="shared" ca="1" si="178"/>
        <v>-2100007734057.6306</v>
      </c>
      <c r="L5087" s="444">
        <f t="shared" ca="1" si="179"/>
        <v>-506101863907889</v>
      </c>
      <c r="M5087" s="460">
        <f t="shared" si="181"/>
        <v>0.05</v>
      </c>
      <c r="N5087" s="464">
        <f t="shared" si="182"/>
        <v>205877</v>
      </c>
    </row>
    <row r="5088" spans="7:14" ht="11.25" customHeight="1" x14ac:dyDescent="0.3">
      <c r="G5088" s="459"/>
      <c r="H5088" s="459">
        <v>5081</v>
      </c>
      <c r="I5088" s="444">
        <f t="shared" ca="1" si="180"/>
        <v>-506101863907889</v>
      </c>
      <c r="J5088" s="444">
        <f t="array" ref="J5088">IFERROR(INDEX('Retirement Calculator'!K:K,MATCH('Lorri 401b'!N5088,'Retirement Calculator'!A:A,0),0),0)</f>
        <v>0</v>
      </c>
      <c r="K5088" s="444">
        <f t="shared" ca="1" si="178"/>
        <v>-2108757766282.8708</v>
      </c>
      <c r="L5088" s="444">
        <f t="shared" ca="1" si="179"/>
        <v>-508210621674171.88</v>
      </c>
      <c r="M5088" s="460">
        <f t="shared" si="181"/>
        <v>0.05</v>
      </c>
      <c r="N5088" s="464">
        <f t="shared" si="182"/>
        <v>205907</v>
      </c>
    </row>
    <row r="5089" spans="7:14" ht="11.25" customHeight="1" x14ac:dyDescent="0.3">
      <c r="G5089" s="459"/>
      <c r="H5089" s="459">
        <v>5082</v>
      </c>
      <c r="I5089" s="444">
        <f t="shared" ca="1" si="180"/>
        <v>-508210621674171.88</v>
      </c>
      <c r="J5089" s="444">
        <f t="array" ref="J5089">IFERROR(INDEX('Retirement Calculator'!K:K,MATCH('Lorri 401b'!N5089,'Retirement Calculator'!A:A,0),0),0)</f>
        <v>0</v>
      </c>
      <c r="K5089" s="444">
        <f t="shared" ca="1" si="178"/>
        <v>-2117544256975.7161</v>
      </c>
      <c r="L5089" s="444">
        <f t="shared" ca="1" si="179"/>
        <v>-510328165931147.56</v>
      </c>
      <c r="M5089" s="460">
        <f t="shared" si="181"/>
        <v>0.05</v>
      </c>
      <c r="N5089" s="464">
        <f t="shared" si="182"/>
        <v>205938</v>
      </c>
    </row>
    <row r="5090" spans="7:14" ht="11.25" customHeight="1" x14ac:dyDescent="0.3">
      <c r="G5090" s="459"/>
      <c r="H5090" s="459">
        <v>5083</v>
      </c>
      <c r="I5090" s="444">
        <f t="shared" ca="1" si="180"/>
        <v>-510328165931147.56</v>
      </c>
      <c r="J5090" s="444">
        <f t="array" ref="J5090">IFERROR(INDEX('Retirement Calculator'!K:K,MATCH('Lorri 401b'!N5090,'Retirement Calculator'!A:A,0),0),0)</f>
        <v>0</v>
      </c>
      <c r="K5090" s="444">
        <f t="shared" ca="1" si="178"/>
        <v>-2126367358046.4485</v>
      </c>
      <c r="L5090" s="444">
        <f t="shared" ca="1" si="179"/>
        <v>-512454533289194</v>
      </c>
      <c r="M5090" s="460">
        <f t="shared" si="181"/>
        <v>0.05</v>
      </c>
      <c r="N5090" s="464">
        <f t="shared" si="182"/>
        <v>205968</v>
      </c>
    </row>
    <row r="5091" spans="7:14" ht="11.25" customHeight="1" x14ac:dyDescent="0.3">
      <c r="G5091" s="459"/>
      <c r="H5091" s="459">
        <v>5084</v>
      </c>
      <c r="I5091" s="444">
        <f t="shared" ca="1" si="180"/>
        <v>-512454533289194</v>
      </c>
      <c r="J5091" s="444">
        <f t="array" ref="J5091">IFERROR(INDEX('Retirement Calculator'!K:K,MATCH('Lorri 401b'!N5091,'Retirement Calculator'!A:A,0),0),0)</f>
        <v>0</v>
      </c>
      <c r="K5091" s="444">
        <f t="shared" ca="1" si="178"/>
        <v>-2135227222038.3083</v>
      </c>
      <c r="L5091" s="444">
        <f t="shared" ca="1" si="179"/>
        <v>-514589760511232.31</v>
      </c>
      <c r="M5091" s="460">
        <f t="shared" si="181"/>
        <v>0.05</v>
      </c>
      <c r="N5091" s="464">
        <f t="shared" si="182"/>
        <v>205999</v>
      </c>
    </row>
    <row r="5092" spans="7:14" ht="11.25" customHeight="1" x14ac:dyDescent="0.3">
      <c r="G5092" s="459"/>
      <c r="H5092" s="459">
        <v>5085</v>
      </c>
      <c r="I5092" s="444">
        <f t="shared" ca="1" si="180"/>
        <v>-514589760511232.31</v>
      </c>
      <c r="J5092" s="444">
        <f t="array" ref="J5092">IFERROR(INDEX('Retirement Calculator'!K:K,MATCH('Lorri 401b'!N5092,'Retirement Calculator'!A:A,0),0),0)</f>
        <v>0</v>
      </c>
      <c r="K5092" s="444">
        <f t="shared" ca="1" si="178"/>
        <v>-2144124002130.1345</v>
      </c>
      <c r="L5092" s="444">
        <f t="shared" ca="1" si="179"/>
        <v>-516733884513362.44</v>
      </c>
      <c r="M5092" s="460">
        <f t="shared" si="181"/>
        <v>0.05</v>
      </c>
      <c r="N5092" s="464">
        <f t="shared" si="182"/>
        <v>206030</v>
      </c>
    </row>
    <row r="5093" spans="7:14" ht="11.25" customHeight="1" x14ac:dyDescent="0.3">
      <c r="G5093" s="459"/>
      <c r="H5093" s="459">
        <v>5086</v>
      </c>
      <c r="I5093" s="444">
        <f t="shared" ca="1" si="180"/>
        <v>-516733884513362.44</v>
      </c>
      <c r="J5093" s="444">
        <f t="array" ref="J5093">IFERROR(INDEX('Retirement Calculator'!K:K,MATCH('Lorri 401b'!N5093,'Retirement Calculator'!A:A,0),0),0)</f>
        <v>0</v>
      </c>
      <c r="K5093" s="444">
        <f t="shared" ca="1" si="178"/>
        <v>-2153057852139.01</v>
      </c>
      <c r="L5093" s="444">
        <f t="shared" ca="1" si="179"/>
        <v>-518886942365501.44</v>
      </c>
      <c r="M5093" s="460">
        <f t="shared" si="181"/>
        <v>0.05</v>
      </c>
      <c r="N5093" s="464">
        <f t="shared" si="182"/>
        <v>206059</v>
      </c>
    </row>
    <row r="5094" spans="7:14" ht="11.25" customHeight="1" x14ac:dyDescent="0.3">
      <c r="G5094" s="459"/>
      <c r="H5094" s="459">
        <v>5087</v>
      </c>
      <c r="I5094" s="444">
        <f t="shared" ca="1" si="180"/>
        <v>-518886942365501.44</v>
      </c>
      <c r="J5094" s="444">
        <f t="array" ref="J5094">IFERROR(INDEX('Retirement Calculator'!K:K,MATCH('Lorri 401b'!N5094,'Retirement Calculator'!A:A,0),0),0)</f>
        <v>0</v>
      </c>
      <c r="K5094" s="444">
        <f t="shared" ca="1" si="178"/>
        <v>-2162028926522.9226</v>
      </c>
      <c r="L5094" s="444">
        <f t="shared" ca="1" si="179"/>
        <v>-521048971292024.38</v>
      </c>
      <c r="M5094" s="460">
        <f t="shared" si="181"/>
        <v>0.05</v>
      </c>
      <c r="N5094" s="464">
        <f t="shared" si="182"/>
        <v>206090</v>
      </c>
    </row>
    <row r="5095" spans="7:14" ht="11.25" customHeight="1" x14ac:dyDescent="0.3">
      <c r="G5095" s="459"/>
      <c r="H5095" s="459">
        <v>5088</v>
      </c>
      <c r="I5095" s="444">
        <f t="shared" ca="1" si="180"/>
        <v>-521048971292024.38</v>
      </c>
      <c r="J5095" s="444">
        <f t="array" ref="J5095">IFERROR(INDEX('Retirement Calculator'!K:K,MATCH('Lorri 401b'!N5095,'Retirement Calculator'!A:A,0),0),0)</f>
        <v>0</v>
      </c>
      <c r="K5095" s="444">
        <f t="shared" ca="1" si="178"/>
        <v>-2171037380383.4348</v>
      </c>
      <c r="L5095" s="444">
        <f t="shared" ca="1" si="179"/>
        <v>-523220008672407.81</v>
      </c>
      <c r="M5095" s="460">
        <f t="shared" si="181"/>
        <v>0.05</v>
      </c>
      <c r="N5095" s="464">
        <f t="shared" si="182"/>
        <v>206120</v>
      </c>
    </row>
    <row r="5096" spans="7:14" ht="11.25" customHeight="1" x14ac:dyDescent="0.3">
      <c r="G5096" s="459"/>
      <c r="H5096" s="459">
        <v>5089</v>
      </c>
      <c r="I5096" s="444">
        <f t="shared" ca="1" si="180"/>
        <v>-523220008672407.81</v>
      </c>
      <c r="J5096" s="444">
        <f t="array" ref="J5096">IFERROR(INDEX('Retirement Calculator'!K:K,MATCH('Lorri 401b'!N5096,'Retirement Calculator'!A:A,0),0),0)</f>
        <v>0</v>
      </c>
      <c r="K5096" s="444">
        <f t="shared" ca="1" si="178"/>
        <v>-2180083369468.366</v>
      </c>
      <c r="L5096" s="444">
        <f t="shared" ca="1" si="179"/>
        <v>-525400092041876.19</v>
      </c>
      <c r="M5096" s="460">
        <f t="shared" si="181"/>
        <v>0.05</v>
      </c>
      <c r="N5096" s="464">
        <f t="shared" si="182"/>
        <v>206151</v>
      </c>
    </row>
    <row r="5097" spans="7:14" ht="11.25" customHeight="1" x14ac:dyDescent="0.3">
      <c r="G5097" s="459"/>
      <c r="H5097" s="459">
        <v>5090</v>
      </c>
      <c r="I5097" s="444">
        <f t="shared" ca="1" si="180"/>
        <v>-525400092041876.19</v>
      </c>
      <c r="J5097" s="444">
        <f t="array" ref="J5097">IFERROR(INDEX('Retirement Calculator'!K:K,MATCH('Lorri 401b'!N5097,'Retirement Calculator'!A:A,0),0),0)</f>
        <v>0</v>
      </c>
      <c r="K5097" s="444">
        <f t="shared" ca="1" si="178"/>
        <v>-2189167050174.4841</v>
      </c>
      <c r="L5097" s="444">
        <f t="shared" ca="1" si="179"/>
        <v>-527589259092050.69</v>
      </c>
      <c r="M5097" s="460">
        <f t="shared" si="181"/>
        <v>0.05</v>
      </c>
      <c r="N5097" s="464">
        <f t="shared" si="182"/>
        <v>206181</v>
      </c>
    </row>
    <row r="5098" spans="7:14" ht="11.25" customHeight="1" x14ac:dyDescent="0.3">
      <c r="G5098" s="459"/>
      <c r="H5098" s="459">
        <v>5091</v>
      </c>
      <c r="I5098" s="444">
        <f t="shared" ca="1" si="180"/>
        <v>-527589259092050.69</v>
      </c>
      <c r="J5098" s="444">
        <f t="array" ref="J5098">IFERROR(INDEX('Retirement Calculator'!K:K,MATCH('Lorri 401b'!N5098,'Retirement Calculator'!A:A,0),0),0)</f>
        <v>0</v>
      </c>
      <c r="K5098" s="444">
        <f t="shared" ca="1" si="178"/>
        <v>-2198288579550.2109</v>
      </c>
      <c r="L5098" s="444">
        <f t="shared" ca="1" si="179"/>
        <v>-529787547671600.88</v>
      </c>
      <c r="M5098" s="460">
        <f t="shared" si="181"/>
        <v>0.05</v>
      </c>
      <c r="N5098" s="464">
        <f t="shared" si="182"/>
        <v>206212</v>
      </c>
    </row>
    <row r="5099" spans="7:14" ht="11.25" customHeight="1" x14ac:dyDescent="0.3">
      <c r="G5099" s="459"/>
      <c r="H5099" s="459">
        <v>5092</v>
      </c>
      <c r="I5099" s="444">
        <f t="shared" ca="1" si="180"/>
        <v>-529787547671600.88</v>
      </c>
      <c r="J5099" s="444">
        <f t="array" ref="J5099">IFERROR(INDEX('Retirement Calculator'!K:K,MATCH('Lorri 401b'!N5099,'Retirement Calculator'!A:A,0),0),0)</f>
        <v>0</v>
      </c>
      <c r="K5099" s="444">
        <f t="shared" ca="1" si="178"/>
        <v>-2207448115298.3369</v>
      </c>
      <c r="L5099" s="444">
        <f t="shared" ca="1" si="179"/>
        <v>-531994995786899.19</v>
      </c>
      <c r="M5099" s="460">
        <f t="shared" si="181"/>
        <v>0.05</v>
      </c>
      <c r="N5099" s="464">
        <f t="shared" si="182"/>
        <v>206243</v>
      </c>
    </row>
    <row r="5100" spans="7:14" ht="11.25" customHeight="1" x14ac:dyDescent="0.3">
      <c r="G5100" s="459"/>
      <c r="H5100" s="459">
        <v>5093</v>
      </c>
      <c r="I5100" s="444">
        <f t="shared" ca="1" si="180"/>
        <v>-531994995786899.19</v>
      </c>
      <c r="J5100" s="444">
        <f t="array" ref="J5100">IFERROR(INDEX('Retirement Calculator'!K:K,MATCH('Lorri 401b'!N5100,'Retirement Calculator'!A:A,0),0),0)</f>
        <v>0</v>
      </c>
      <c r="K5100" s="444">
        <f t="shared" ca="1" si="178"/>
        <v>-2216645815778.7461</v>
      </c>
      <c r="L5100" s="444">
        <f t="shared" ca="1" si="179"/>
        <v>-534211641602677.94</v>
      </c>
      <c r="M5100" s="460">
        <f t="shared" si="181"/>
        <v>0.05</v>
      </c>
      <c r="N5100" s="464">
        <f t="shared" si="182"/>
        <v>206273</v>
      </c>
    </row>
    <row r="5101" spans="7:14" ht="11.25" customHeight="1" x14ac:dyDescent="0.3">
      <c r="G5101" s="459"/>
      <c r="H5101" s="459">
        <v>5094</v>
      </c>
      <c r="I5101" s="444">
        <f t="shared" ca="1" si="180"/>
        <v>-534211641602677.94</v>
      </c>
      <c r="J5101" s="444">
        <f t="array" ref="J5101">IFERROR(INDEX('Retirement Calculator'!K:K,MATCH('Lorri 401b'!N5101,'Retirement Calculator'!A:A,0),0),0)</f>
        <v>0</v>
      </c>
      <c r="K5101" s="444">
        <f t="shared" ca="1" si="178"/>
        <v>-2225881840011.1582</v>
      </c>
      <c r="L5101" s="444">
        <f t="shared" ca="1" si="179"/>
        <v>-536437523442689.13</v>
      </c>
      <c r="M5101" s="460">
        <f t="shared" si="181"/>
        <v>0.05</v>
      </c>
      <c r="N5101" s="464">
        <f t="shared" si="182"/>
        <v>206304</v>
      </c>
    </row>
    <row r="5102" spans="7:14" ht="11.25" customHeight="1" x14ac:dyDescent="0.3">
      <c r="G5102" s="459"/>
      <c r="H5102" s="459">
        <v>5095</v>
      </c>
      <c r="I5102" s="444">
        <f t="shared" ca="1" si="180"/>
        <v>-536437523442689.13</v>
      </c>
      <c r="J5102" s="444">
        <f t="array" ref="J5102">IFERROR(INDEX('Retirement Calculator'!K:K,MATCH('Lorri 401b'!N5102,'Retirement Calculator'!A:A,0),0),0)</f>
        <v>0</v>
      </c>
      <c r="K5102" s="444">
        <f t="shared" ca="1" si="178"/>
        <v>-2235156347677.8711</v>
      </c>
      <c r="L5102" s="444">
        <f t="shared" ca="1" si="179"/>
        <v>-538672679790367</v>
      </c>
      <c r="M5102" s="460">
        <f t="shared" si="181"/>
        <v>0.05</v>
      </c>
      <c r="N5102" s="464">
        <f t="shared" si="182"/>
        <v>206334</v>
      </c>
    </row>
    <row r="5103" spans="7:14" ht="11.25" customHeight="1" x14ac:dyDescent="0.3">
      <c r="G5103" s="459"/>
      <c r="H5103" s="459">
        <v>5096</v>
      </c>
      <c r="I5103" s="444">
        <f t="shared" ca="1" si="180"/>
        <v>-538672679790367</v>
      </c>
      <c r="J5103" s="444">
        <f t="array" ref="J5103">IFERROR(INDEX('Retirement Calculator'!K:K,MATCH('Lorri 401b'!N5103,'Retirement Calculator'!A:A,0),0),0)</f>
        <v>0</v>
      </c>
      <c r="K5103" s="444">
        <f t="shared" ca="1" si="178"/>
        <v>-2244469499126.5288</v>
      </c>
      <c r="L5103" s="444">
        <f t="shared" ca="1" si="179"/>
        <v>-540917149289493.5</v>
      </c>
      <c r="M5103" s="460">
        <f t="shared" si="181"/>
        <v>0.05</v>
      </c>
      <c r="N5103" s="464">
        <f t="shared" si="182"/>
        <v>206365</v>
      </c>
    </row>
    <row r="5104" spans="7:14" ht="11.25" customHeight="1" x14ac:dyDescent="0.3">
      <c r="G5104" s="459"/>
      <c r="H5104" s="459">
        <v>5097</v>
      </c>
      <c r="I5104" s="444">
        <f t="shared" ca="1" si="180"/>
        <v>-540917149289493.5</v>
      </c>
      <c r="J5104" s="444">
        <f t="array" ref="J5104">IFERROR(INDEX('Retirement Calculator'!K:K,MATCH('Lorri 401b'!N5104,'Retirement Calculator'!A:A,0),0),0)</f>
        <v>0</v>
      </c>
      <c r="K5104" s="444">
        <f t="shared" ca="1" si="178"/>
        <v>-2253821455372.8892</v>
      </c>
      <c r="L5104" s="444">
        <f t="shared" ca="1" si="179"/>
        <v>-543170970744866.38</v>
      </c>
      <c r="M5104" s="460">
        <f t="shared" si="181"/>
        <v>0.05</v>
      </c>
      <c r="N5104" s="464">
        <f t="shared" si="182"/>
        <v>206396</v>
      </c>
    </row>
    <row r="5105" spans="7:14" ht="11.25" customHeight="1" x14ac:dyDescent="0.3">
      <c r="G5105" s="459"/>
      <c r="H5105" s="459">
        <v>5098</v>
      </c>
      <c r="I5105" s="444">
        <f t="shared" ca="1" si="180"/>
        <v>-543170970744866.38</v>
      </c>
      <c r="J5105" s="444">
        <f t="array" ref="J5105">IFERROR(INDEX('Retirement Calculator'!K:K,MATCH('Lorri 401b'!N5105,'Retirement Calculator'!A:A,0),0),0)</f>
        <v>0</v>
      </c>
      <c r="K5105" s="444">
        <f t="shared" ca="1" si="178"/>
        <v>-2263212378103.6099</v>
      </c>
      <c r="L5105" s="444">
        <f t="shared" ca="1" si="179"/>
        <v>-545434183122970</v>
      </c>
      <c r="M5105" s="460">
        <f t="shared" si="181"/>
        <v>0.05</v>
      </c>
      <c r="N5105" s="464">
        <f t="shared" si="182"/>
        <v>206424</v>
      </c>
    </row>
    <row r="5106" spans="7:14" ht="11.25" customHeight="1" x14ac:dyDescent="0.3">
      <c r="G5106" s="459"/>
      <c r="H5106" s="459">
        <v>5099</v>
      </c>
      <c r="I5106" s="444">
        <f t="shared" ca="1" si="180"/>
        <v>-545434183122970</v>
      </c>
      <c r="J5106" s="444">
        <f t="array" ref="J5106">IFERROR(INDEX('Retirement Calculator'!K:K,MATCH('Lorri 401b'!N5106,'Retirement Calculator'!A:A,0),0),0)</f>
        <v>0</v>
      </c>
      <c r="K5106" s="444">
        <f t="shared" ca="1" si="178"/>
        <v>-2272642429679.0415</v>
      </c>
      <c r="L5106" s="444">
        <f t="shared" ca="1" si="179"/>
        <v>-547706825552649.06</v>
      </c>
      <c r="M5106" s="460">
        <f t="shared" si="181"/>
        <v>0.05</v>
      </c>
      <c r="N5106" s="464">
        <f t="shared" si="182"/>
        <v>206455</v>
      </c>
    </row>
    <row r="5107" spans="7:14" ht="11.25" customHeight="1" x14ac:dyDescent="0.3">
      <c r="G5107" s="459"/>
      <c r="H5107" s="459">
        <v>5100</v>
      </c>
      <c r="I5107" s="444">
        <f t="shared" ca="1" si="180"/>
        <v>-547706825552649.06</v>
      </c>
      <c r="J5107" s="444">
        <f t="array" ref="J5107">IFERROR(INDEX('Retirement Calculator'!K:K,MATCH('Lorri 401b'!N5107,'Retirement Calculator'!A:A,0),0),0)</f>
        <v>0</v>
      </c>
      <c r="K5107" s="444">
        <f t="shared" ca="1" si="178"/>
        <v>-2282111773136.0376</v>
      </c>
      <c r="L5107" s="444">
        <f t="shared" ca="1" si="179"/>
        <v>-549988937325785.13</v>
      </c>
      <c r="M5107" s="460">
        <f t="shared" si="181"/>
        <v>0.05</v>
      </c>
      <c r="N5107" s="464">
        <f t="shared" si="182"/>
        <v>206485</v>
      </c>
    </row>
    <row r="5108" spans="7:14" ht="11.25" customHeight="1" x14ac:dyDescent="0.3">
      <c r="G5108" s="459"/>
      <c r="H5108" s="459">
        <v>5101</v>
      </c>
      <c r="I5108" s="444">
        <f t="shared" ca="1" si="180"/>
        <v>-549988937325785.13</v>
      </c>
      <c r="J5108" s="444">
        <f t="array" ref="J5108">IFERROR(INDEX('Retirement Calculator'!K:K,MATCH('Lorri 401b'!N5108,'Retirement Calculator'!A:A,0),0),0)</f>
        <v>0</v>
      </c>
      <c r="K5108" s="444">
        <f t="shared" ref="K5108:K5362" ca="1" si="183">IPMT(M5108/12,1,12,-I5108+J5108,,0)</f>
        <v>-2291620572190.7715</v>
      </c>
      <c r="L5108" s="444">
        <f t="shared" ref="L5108:L5362" ca="1" si="184">I5108-J5108+K5108</f>
        <v>-552280557897975.88</v>
      </c>
      <c r="M5108" s="460">
        <f t="shared" si="181"/>
        <v>0.05</v>
      </c>
      <c r="N5108" s="464">
        <f t="shared" si="182"/>
        <v>206516</v>
      </c>
    </row>
    <row r="5109" spans="7:14" ht="11.25" customHeight="1" x14ac:dyDescent="0.3">
      <c r="G5109" s="459"/>
      <c r="H5109" s="459">
        <v>5102</v>
      </c>
      <c r="I5109" s="444">
        <f t="shared" ref="I5109:I5363" ca="1" si="185">L5108</f>
        <v>-552280557897975.88</v>
      </c>
      <c r="J5109" s="444">
        <f t="array" ref="J5109">IFERROR(INDEX('Retirement Calculator'!K:K,MATCH('Lorri 401b'!N5109,'Retirement Calculator'!A:A,0),0),0)</f>
        <v>0</v>
      </c>
      <c r="K5109" s="444">
        <f t="shared" ca="1" si="183"/>
        <v>-2301168991241.5659</v>
      </c>
      <c r="L5109" s="444">
        <f t="shared" ca="1" si="184"/>
        <v>-554581726889217.44</v>
      </c>
      <c r="M5109" s="460">
        <f t="shared" ref="M5109:M5363" si="186">M5108</f>
        <v>0.05</v>
      </c>
      <c r="N5109" s="464">
        <f t="shared" ref="N5109:N5363" si="187">EDATE(N5108,1)</f>
        <v>206546</v>
      </c>
    </row>
    <row r="5110" spans="7:14" ht="11.25" customHeight="1" x14ac:dyDescent="0.3">
      <c r="G5110" s="459"/>
      <c r="H5110" s="459">
        <v>5103</v>
      </c>
      <c r="I5110" s="444">
        <f t="shared" ca="1" si="185"/>
        <v>-554581726889217.44</v>
      </c>
      <c r="J5110" s="444">
        <f t="array" ref="J5110">IFERROR(INDEX('Retirement Calculator'!K:K,MATCH('Lorri 401b'!N5110,'Retirement Calculator'!A:A,0),0),0)</f>
        <v>0</v>
      </c>
      <c r="K5110" s="444">
        <f t="shared" ca="1" si="183"/>
        <v>-2310757195371.7393</v>
      </c>
      <c r="L5110" s="444">
        <f t="shared" ca="1" si="184"/>
        <v>-556892484084589.19</v>
      </c>
      <c r="M5110" s="460">
        <f t="shared" si="186"/>
        <v>0.05</v>
      </c>
      <c r="N5110" s="464">
        <f t="shared" si="187"/>
        <v>206577</v>
      </c>
    </row>
    <row r="5111" spans="7:14" ht="11.25" customHeight="1" x14ac:dyDescent="0.3">
      <c r="G5111" s="459"/>
      <c r="H5111" s="459">
        <v>5104</v>
      </c>
      <c r="I5111" s="444">
        <f t="shared" ca="1" si="185"/>
        <v>-556892484084589.19</v>
      </c>
      <c r="J5111" s="444">
        <f t="array" ref="J5111">IFERROR(INDEX('Retirement Calculator'!K:K,MATCH('Lorri 401b'!N5111,'Retirement Calculator'!A:A,0),0),0)</f>
        <v>0</v>
      </c>
      <c r="K5111" s="444">
        <f t="shared" ca="1" si="183"/>
        <v>-2320385350352.4551</v>
      </c>
      <c r="L5111" s="444">
        <f t="shared" ca="1" si="184"/>
        <v>-559212869434941.63</v>
      </c>
      <c r="M5111" s="460">
        <f t="shared" si="186"/>
        <v>0.05</v>
      </c>
      <c r="N5111" s="464">
        <f t="shared" si="187"/>
        <v>206608</v>
      </c>
    </row>
    <row r="5112" spans="7:14" ht="11.25" customHeight="1" x14ac:dyDescent="0.3">
      <c r="G5112" s="459"/>
      <c r="H5112" s="459">
        <v>5105</v>
      </c>
      <c r="I5112" s="444">
        <f t="shared" ca="1" si="185"/>
        <v>-559212869434941.63</v>
      </c>
      <c r="J5112" s="444">
        <f t="array" ref="J5112">IFERROR(INDEX('Retirement Calculator'!K:K,MATCH('Lorri 401b'!N5112,'Retirement Calculator'!A:A,0),0),0)</f>
        <v>0</v>
      </c>
      <c r="K5112" s="444">
        <f t="shared" ca="1" si="183"/>
        <v>-2330053622645.5898</v>
      </c>
      <c r="L5112" s="444">
        <f t="shared" ca="1" si="184"/>
        <v>-561542923057587.19</v>
      </c>
      <c r="M5112" s="460">
        <f t="shared" si="186"/>
        <v>0.05</v>
      </c>
      <c r="N5112" s="464">
        <f t="shared" si="187"/>
        <v>206638</v>
      </c>
    </row>
    <row r="5113" spans="7:14" ht="11.25" customHeight="1" x14ac:dyDescent="0.3">
      <c r="G5113" s="459"/>
      <c r="H5113" s="459">
        <v>5106</v>
      </c>
      <c r="I5113" s="444">
        <f t="shared" ca="1" si="185"/>
        <v>-561542923057587.19</v>
      </c>
      <c r="J5113" s="444">
        <f t="array" ref="J5113">IFERROR(INDEX('Retirement Calculator'!K:K,MATCH('Lorri 401b'!N5113,'Retirement Calculator'!A:A,0),0),0)</f>
        <v>0</v>
      </c>
      <c r="K5113" s="444">
        <f t="shared" ca="1" si="183"/>
        <v>-2339762179406.6133</v>
      </c>
      <c r="L5113" s="444">
        <f t="shared" ca="1" si="184"/>
        <v>-563882685236993.75</v>
      </c>
      <c r="M5113" s="460">
        <f t="shared" si="186"/>
        <v>0.05</v>
      </c>
      <c r="N5113" s="464">
        <f t="shared" si="187"/>
        <v>206669</v>
      </c>
    </row>
    <row r="5114" spans="7:14" ht="11.25" customHeight="1" x14ac:dyDescent="0.3">
      <c r="G5114" s="459"/>
      <c r="H5114" s="459">
        <v>5107</v>
      </c>
      <c r="I5114" s="444">
        <f t="shared" ca="1" si="185"/>
        <v>-563882685236993.75</v>
      </c>
      <c r="J5114" s="444">
        <f t="array" ref="J5114">IFERROR(INDEX('Retirement Calculator'!K:K,MATCH('Lorri 401b'!N5114,'Retirement Calculator'!A:A,0),0),0)</f>
        <v>0</v>
      </c>
      <c r="K5114" s="444">
        <f t="shared" ca="1" si="183"/>
        <v>-2349511188487.4741</v>
      </c>
      <c r="L5114" s="444">
        <f t="shared" ca="1" si="184"/>
        <v>-566232196425481.25</v>
      </c>
      <c r="M5114" s="460">
        <f t="shared" si="186"/>
        <v>0.05</v>
      </c>
      <c r="N5114" s="464">
        <f t="shared" si="187"/>
        <v>206699</v>
      </c>
    </row>
    <row r="5115" spans="7:14" ht="11.25" customHeight="1" x14ac:dyDescent="0.3">
      <c r="G5115" s="459"/>
      <c r="H5115" s="459">
        <v>5108</v>
      </c>
      <c r="I5115" s="444">
        <f t="shared" ca="1" si="185"/>
        <v>-566232196425481.25</v>
      </c>
      <c r="J5115" s="444">
        <f t="array" ref="J5115">IFERROR(INDEX('Retirement Calculator'!K:K,MATCH('Lorri 401b'!N5115,'Retirement Calculator'!A:A,0),0),0)</f>
        <v>0</v>
      </c>
      <c r="K5115" s="444">
        <f t="shared" ca="1" si="183"/>
        <v>-2359300818439.5054</v>
      </c>
      <c r="L5115" s="444">
        <f t="shared" ca="1" si="184"/>
        <v>-568591497243920.75</v>
      </c>
      <c r="M5115" s="460">
        <f t="shared" si="186"/>
        <v>0.05</v>
      </c>
      <c r="N5115" s="464">
        <f t="shared" si="187"/>
        <v>206730</v>
      </c>
    </row>
    <row r="5116" spans="7:14" ht="11.25" customHeight="1" x14ac:dyDescent="0.3">
      <c r="G5116" s="459"/>
      <c r="H5116" s="459">
        <v>5109</v>
      </c>
      <c r="I5116" s="444">
        <f t="shared" ca="1" si="185"/>
        <v>-568591497243920.75</v>
      </c>
      <c r="J5116" s="444">
        <f t="array" ref="J5116">IFERROR(INDEX('Retirement Calculator'!K:K,MATCH('Lorri 401b'!N5116,'Retirement Calculator'!A:A,0),0),0)</f>
        <v>0</v>
      </c>
      <c r="K5116" s="444">
        <f t="shared" ca="1" si="183"/>
        <v>-2369131238516.3364</v>
      </c>
      <c r="L5116" s="444">
        <f t="shared" ca="1" si="184"/>
        <v>-570960628482437.13</v>
      </c>
      <c r="M5116" s="460">
        <f t="shared" si="186"/>
        <v>0.05</v>
      </c>
      <c r="N5116" s="464">
        <f t="shared" si="187"/>
        <v>206761</v>
      </c>
    </row>
    <row r="5117" spans="7:14" ht="11.25" customHeight="1" x14ac:dyDescent="0.3">
      <c r="G5117" s="459"/>
      <c r="H5117" s="459">
        <v>5110</v>
      </c>
      <c r="I5117" s="444">
        <f t="shared" ca="1" si="185"/>
        <v>-570960628482437.13</v>
      </c>
      <c r="J5117" s="444">
        <f t="array" ref="J5117">IFERROR(INDEX('Retirement Calculator'!K:K,MATCH('Lorri 401b'!N5117,'Retirement Calculator'!A:A,0),0),0)</f>
        <v>0</v>
      </c>
      <c r="K5117" s="444">
        <f t="shared" ca="1" si="183"/>
        <v>-2379002618676.8213</v>
      </c>
      <c r="L5117" s="444">
        <f t="shared" ca="1" si="184"/>
        <v>-573339631101114</v>
      </c>
      <c r="M5117" s="460">
        <f t="shared" si="186"/>
        <v>0.05</v>
      </c>
      <c r="N5117" s="464">
        <f t="shared" si="187"/>
        <v>206789</v>
      </c>
    </row>
    <row r="5118" spans="7:14" ht="11.25" customHeight="1" x14ac:dyDescent="0.3">
      <c r="G5118" s="459"/>
      <c r="H5118" s="459">
        <v>5111</v>
      </c>
      <c r="I5118" s="444">
        <f t="shared" ca="1" si="185"/>
        <v>-573339631101114</v>
      </c>
      <c r="J5118" s="444">
        <f t="array" ref="J5118">IFERROR(INDEX('Retirement Calculator'!K:K,MATCH('Lorri 401b'!N5118,'Retirement Calculator'!A:A,0),0),0)</f>
        <v>0</v>
      </c>
      <c r="K5118" s="444">
        <f t="shared" ca="1" si="183"/>
        <v>-2388915129587.9751</v>
      </c>
      <c r="L5118" s="444">
        <f t="shared" ca="1" si="184"/>
        <v>-575728546230702</v>
      </c>
      <c r="M5118" s="460">
        <f t="shared" si="186"/>
        <v>0.05</v>
      </c>
      <c r="N5118" s="464">
        <f t="shared" si="187"/>
        <v>206820</v>
      </c>
    </row>
    <row r="5119" spans="7:14" ht="11.25" customHeight="1" x14ac:dyDescent="0.3">
      <c r="G5119" s="459"/>
      <c r="H5119" s="459">
        <v>5112</v>
      </c>
      <c r="I5119" s="444">
        <f t="shared" ca="1" si="185"/>
        <v>-575728546230702</v>
      </c>
      <c r="J5119" s="444">
        <f t="array" ref="J5119">IFERROR(INDEX('Retirement Calculator'!K:K,MATCH('Lorri 401b'!N5119,'Retirement Calculator'!A:A,0),0),0)</f>
        <v>0</v>
      </c>
      <c r="K5119" s="444">
        <f t="shared" ca="1" si="183"/>
        <v>-2398868942627.9248</v>
      </c>
      <c r="L5119" s="444">
        <f t="shared" ca="1" si="184"/>
        <v>-578127415173329.88</v>
      </c>
      <c r="M5119" s="460">
        <f t="shared" si="186"/>
        <v>0.05</v>
      </c>
      <c r="N5119" s="464">
        <f t="shared" si="187"/>
        <v>206850</v>
      </c>
    </row>
    <row r="5120" spans="7:14" ht="11.25" customHeight="1" x14ac:dyDescent="0.3">
      <c r="G5120" s="459"/>
      <c r="H5120" s="459">
        <v>5113</v>
      </c>
      <c r="I5120" s="444">
        <f t="shared" ca="1" si="185"/>
        <v>-578127415173329.88</v>
      </c>
      <c r="J5120" s="444">
        <f t="array" ref="J5120">IFERROR(INDEX('Retirement Calculator'!K:K,MATCH('Lorri 401b'!N5120,'Retirement Calculator'!A:A,0),0),0)</f>
        <v>0</v>
      </c>
      <c r="K5120" s="444">
        <f t="shared" ca="1" si="183"/>
        <v>-2408864229888.8745</v>
      </c>
      <c r="L5120" s="444">
        <f t="shared" ca="1" si="184"/>
        <v>-580536279403218.75</v>
      </c>
      <c r="M5120" s="460">
        <f t="shared" si="186"/>
        <v>0.05</v>
      </c>
      <c r="N5120" s="464">
        <f t="shared" si="187"/>
        <v>206881</v>
      </c>
    </row>
    <row r="5121" spans="7:14" ht="11.25" customHeight="1" x14ac:dyDescent="0.3">
      <c r="G5121" s="459"/>
      <c r="H5121" s="459">
        <v>5114</v>
      </c>
      <c r="I5121" s="444">
        <f t="shared" ca="1" si="185"/>
        <v>-580536279403218.75</v>
      </c>
      <c r="J5121" s="444">
        <f t="array" ref="J5121">IFERROR(INDEX('Retirement Calculator'!K:K,MATCH('Lorri 401b'!N5121,'Retirement Calculator'!A:A,0),0),0)</f>
        <v>0</v>
      </c>
      <c r="K5121" s="444">
        <f t="shared" ca="1" si="183"/>
        <v>-2418901164180.0781</v>
      </c>
      <c r="L5121" s="444">
        <f t="shared" ca="1" si="184"/>
        <v>-582955180567398.88</v>
      </c>
      <c r="M5121" s="460">
        <f t="shared" si="186"/>
        <v>0.05</v>
      </c>
      <c r="N5121" s="464">
        <f t="shared" si="187"/>
        <v>206911</v>
      </c>
    </row>
    <row r="5122" spans="7:14" ht="11.25" customHeight="1" x14ac:dyDescent="0.3">
      <c r="G5122" s="459"/>
      <c r="H5122" s="459">
        <v>5115</v>
      </c>
      <c r="I5122" s="444">
        <f t="shared" ca="1" si="185"/>
        <v>-582955180567398.88</v>
      </c>
      <c r="J5122" s="444">
        <f t="array" ref="J5122">IFERROR(INDEX('Retirement Calculator'!K:K,MATCH('Lorri 401b'!N5122,'Retirement Calculator'!A:A,0),0),0)</f>
        <v>0</v>
      </c>
      <c r="K5122" s="444">
        <f t="shared" ca="1" si="183"/>
        <v>-2428979919030.8286</v>
      </c>
      <c r="L5122" s="444">
        <f t="shared" ca="1" si="184"/>
        <v>-585384160486429.75</v>
      </c>
      <c r="M5122" s="460">
        <f t="shared" si="186"/>
        <v>0.05</v>
      </c>
      <c r="N5122" s="464">
        <f t="shared" si="187"/>
        <v>206942</v>
      </c>
    </row>
    <row r="5123" spans="7:14" ht="11.25" customHeight="1" x14ac:dyDescent="0.3">
      <c r="G5123" s="459"/>
      <c r="H5123" s="459">
        <v>5116</v>
      </c>
      <c r="I5123" s="444">
        <f t="shared" ca="1" si="185"/>
        <v>-585384160486429.75</v>
      </c>
      <c r="J5123" s="444">
        <f t="array" ref="J5123">IFERROR(INDEX('Retirement Calculator'!K:K,MATCH('Lorri 401b'!N5123,'Retirement Calculator'!A:A,0),0),0)</f>
        <v>0</v>
      </c>
      <c r="K5123" s="444">
        <f t="shared" ca="1" si="183"/>
        <v>-2439100668693.457</v>
      </c>
      <c r="L5123" s="444">
        <f t="shared" ca="1" si="184"/>
        <v>-587823261155123.25</v>
      </c>
      <c r="M5123" s="460">
        <f t="shared" si="186"/>
        <v>0.05</v>
      </c>
      <c r="N5123" s="464">
        <f t="shared" si="187"/>
        <v>206973</v>
      </c>
    </row>
    <row r="5124" spans="7:14" ht="11.25" customHeight="1" x14ac:dyDescent="0.3">
      <c r="G5124" s="459"/>
      <c r="H5124" s="459">
        <v>5117</v>
      </c>
      <c r="I5124" s="444">
        <f t="shared" ca="1" si="185"/>
        <v>-587823261155123.25</v>
      </c>
      <c r="J5124" s="444">
        <f t="array" ref="J5124">IFERROR(INDEX('Retirement Calculator'!K:K,MATCH('Lorri 401b'!N5124,'Retirement Calculator'!A:A,0),0),0)</f>
        <v>0</v>
      </c>
      <c r="K5124" s="444">
        <f t="shared" ca="1" si="183"/>
        <v>-2449263588146.3467</v>
      </c>
      <c r="L5124" s="444">
        <f t="shared" ca="1" si="184"/>
        <v>-590272524743269.63</v>
      </c>
      <c r="M5124" s="460">
        <f t="shared" si="186"/>
        <v>0.05</v>
      </c>
      <c r="N5124" s="464">
        <f t="shared" si="187"/>
        <v>207003</v>
      </c>
    </row>
    <row r="5125" spans="7:14" ht="11.25" customHeight="1" x14ac:dyDescent="0.3">
      <c r="G5125" s="459"/>
      <c r="H5125" s="459">
        <v>5118</v>
      </c>
      <c r="I5125" s="444">
        <f t="shared" ca="1" si="185"/>
        <v>-590272524743269.63</v>
      </c>
      <c r="J5125" s="444">
        <f t="array" ref="J5125">IFERROR(INDEX('Retirement Calculator'!K:K,MATCH('Lorri 401b'!N5125,'Retirement Calculator'!A:A,0),0),0)</f>
        <v>0</v>
      </c>
      <c r="K5125" s="444">
        <f t="shared" ca="1" si="183"/>
        <v>-2459468853096.9565</v>
      </c>
      <c r="L5125" s="444">
        <f t="shared" ca="1" si="184"/>
        <v>-592731993596366.63</v>
      </c>
      <c r="M5125" s="460">
        <f t="shared" si="186"/>
        <v>0.05</v>
      </c>
      <c r="N5125" s="464">
        <f t="shared" si="187"/>
        <v>207034</v>
      </c>
    </row>
    <row r="5126" spans="7:14" ht="11.25" customHeight="1" x14ac:dyDescent="0.3">
      <c r="G5126" s="459"/>
      <c r="H5126" s="459">
        <v>5119</v>
      </c>
      <c r="I5126" s="444">
        <f t="shared" ca="1" si="185"/>
        <v>-592731993596366.63</v>
      </c>
      <c r="J5126" s="444">
        <f t="array" ref="J5126">IFERROR(INDEX('Retirement Calculator'!K:K,MATCH('Lorri 401b'!N5126,'Retirement Calculator'!A:A,0),0),0)</f>
        <v>0</v>
      </c>
      <c r="K5126" s="444">
        <f t="shared" ca="1" si="183"/>
        <v>-2469716639984.8608</v>
      </c>
      <c r="L5126" s="444">
        <f t="shared" ca="1" si="184"/>
        <v>-595201710236351.5</v>
      </c>
      <c r="M5126" s="460">
        <f t="shared" si="186"/>
        <v>0.05</v>
      </c>
      <c r="N5126" s="464">
        <f t="shared" si="187"/>
        <v>207064</v>
      </c>
    </row>
    <row r="5127" spans="7:14" ht="11.25" customHeight="1" x14ac:dyDescent="0.3">
      <c r="G5127" s="459"/>
      <c r="H5127" s="459">
        <v>5120</v>
      </c>
      <c r="I5127" s="444">
        <f t="shared" ca="1" si="185"/>
        <v>-595201710236351.5</v>
      </c>
      <c r="J5127" s="444">
        <f t="array" ref="J5127">IFERROR(INDEX('Retirement Calculator'!K:K,MATCH('Lorri 401b'!N5127,'Retirement Calculator'!A:A,0),0),0)</f>
        <v>0</v>
      </c>
      <c r="K5127" s="444">
        <f t="shared" ca="1" si="183"/>
        <v>-2480007125984.7979</v>
      </c>
      <c r="L5127" s="444">
        <f t="shared" ca="1" si="184"/>
        <v>-597681717362336.25</v>
      </c>
      <c r="M5127" s="460">
        <f t="shared" si="186"/>
        <v>0.05</v>
      </c>
      <c r="N5127" s="464">
        <f t="shared" si="187"/>
        <v>207095</v>
      </c>
    </row>
    <row r="5128" spans="7:14" ht="11.25" customHeight="1" x14ac:dyDescent="0.3">
      <c r="G5128" s="459"/>
      <c r="H5128" s="459">
        <v>5121</v>
      </c>
      <c r="I5128" s="444">
        <f t="shared" ca="1" si="185"/>
        <v>-597681717362336.25</v>
      </c>
      <c r="J5128" s="444">
        <f t="array" ref="J5128">IFERROR(INDEX('Retirement Calculator'!K:K,MATCH('Lorri 401b'!N5128,'Retirement Calculator'!A:A,0),0),0)</f>
        <v>0</v>
      </c>
      <c r="K5128" s="444">
        <f t="shared" ca="1" si="183"/>
        <v>-2490340489009.7344</v>
      </c>
      <c r="L5128" s="444">
        <f t="shared" ca="1" si="184"/>
        <v>-600172057851346</v>
      </c>
      <c r="M5128" s="460">
        <f t="shared" si="186"/>
        <v>0.05</v>
      </c>
      <c r="N5128" s="464">
        <f t="shared" si="187"/>
        <v>207126</v>
      </c>
    </row>
    <row r="5129" spans="7:14" ht="11.25" customHeight="1" x14ac:dyDescent="0.3">
      <c r="G5129" s="459"/>
      <c r="H5129" s="459">
        <v>5122</v>
      </c>
      <c r="I5129" s="444">
        <f t="shared" ca="1" si="185"/>
        <v>-600172057851346</v>
      </c>
      <c r="J5129" s="444">
        <f t="array" ref="J5129">IFERROR(INDEX('Retirement Calculator'!K:K,MATCH('Lorri 401b'!N5129,'Retirement Calculator'!A:A,0),0),0)</f>
        <v>0</v>
      </c>
      <c r="K5129" s="444">
        <f t="shared" ca="1" si="183"/>
        <v>-2500716907713.9414</v>
      </c>
      <c r="L5129" s="444">
        <f t="shared" ca="1" si="184"/>
        <v>-602672774759060</v>
      </c>
      <c r="M5129" s="460">
        <f t="shared" si="186"/>
        <v>0.05</v>
      </c>
      <c r="N5129" s="464">
        <f t="shared" si="187"/>
        <v>207154</v>
      </c>
    </row>
    <row r="5130" spans="7:14" ht="11.25" customHeight="1" x14ac:dyDescent="0.3">
      <c r="G5130" s="459"/>
      <c r="H5130" s="459">
        <v>5123</v>
      </c>
      <c r="I5130" s="444">
        <f t="shared" ca="1" si="185"/>
        <v>-602672774759060</v>
      </c>
      <c r="J5130" s="444">
        <f t="array" ref="J5130">IFERROR(INDEX('Retirement Calculator'!K:K,MATCH('Lorri 401b'!N5130,'Retirement Calculator'!A:A,0),0),0)</f>
        <v>0</v>
      </c>
      <c r="K5130" s="444">
        <f t="shared" ca="1" si="183"/>
        <v>-2511136561496.0835</v>
      </c>
      <c r="L5130" s="444">
        <f t="shared" ca="1" si="184"/>
        <v>-605183911320556.13</v>
      </c>
      <c r="M5130" s="460">
        <f t="shared" si="186"/>
        <v>0.05</v>
      </c>
      <c r="N5130" s="464">
        <f t="shared" si="187"/>
        <v>207185</v>
      </c>
    </row>
    <row r="5131" spans="7:14" ht="11.25" customHeight="1" x14ac:dyDescent="0.3">
      <c r="G5131" s="459"/>
      <c r="H5131" s="459">
        <v>5124</v>
      </c>
      <c r="I5131" s="444">
        <f t="shared" ca="1" si="185"/>
        <v>-605183911320556.13</v>
      </c>
      <c r="J5131" s="444">
        <f t="array" ref="J5131">IFERROR(INDEX('Retirement Calculator'!K:K,MATCH('Lorri 401b'!N5131,'Retirement Calculator'!A:A,0),0),0)</f>
        <v>0</v>
      </c>
      <c r="K5131" s="444">
        <f t="shared" ca="1" si="183"/>
        <v>-2521599630502.3174</v>
      </c>
      <c r="L5131" s="444">
        <f t="shared" ca="1" si="184"/>
        <v>-607705510951058.5</v>
      </c>
      <c r="M5131" s="460">
        <f t="shared" si="186"/>
        <v>0.05</v>
      </c>
      <c r="N5131" s="464">
        <f t="shared" si="187"/>
        <v>207215</v>
      </c>
    </row>
    <row r="5132" spans="7:14" ht="11.25" customHeight="1" x14ac:dyDescent="0.3">
      <c r="G5132" s="459"/>
      <c r="H5132" s="459">
        <v>5125</v>
      </c>
      <c r="I5132" s="444">
        <f t="shared" ca="1" si="185"/>
        <v>-607705510951058.5</v>
      </c>
      <c r="J5132" s="444">
        <f t="array" ref="J5132">IFERROR(INDEX('Retirement Calculator'!K:K,MATCH('Lorri 401b'!N5132,'Retirement Calculator'!A:A,0),0),0)</f>
        <v>0</v>
      </c>
      <c r="K5132" s="444">
        <f t="shared" ca="1" si="183"/>
        <v>-2532106295629.4102</v>
      </c>
      <c r="L5132" s="444">
        <f t="shared" ca="1" si="184"/>
        <v>-610237617246687.88</v>
      </c>
      <c r="M5132" s="460">
        <f t="shared" si="186"/>
        <v>0.05</v>
      </c>
      <c r="N5132" s="464">
        <f t="shared" si="187"/>
        <v>207246</v>
      </c>
    </row>
    <row r="5133" spans="7:14" ht="11.25" customHeight="1" x14ac:dyDescent="0.3">
      <c r="G5133" s="459"/>
      <c r="H5133" s="459">
        <v>5126</v>
      </c>
      <c r="I5133" s="444">
        <f t="shared" ca="1" si="185"/>
        <v>-610237617246687.88</v>
      </c>
      <c r="J5133" s="444">
        <f t="array" ref="J5133">IFERROR(INDEX('Retirement Calculator'!K:K,MATCH('Lorri 401b'!N5133,'Retirement Calculator'!A:A,0),0),0)</f>
        <v>0</v>
      </c>
      <c r="K5133" s="444">
        <f t="shared" ca="1" si="183"/>
        <v>-2542656738527.8662</v>
      </c>
      <c r="L5133" s="444">
        <f t="shared" ca="1" si="184"/>
        <v>-612780273985215.75</v>
      </c>
      <c r="M5133" s="460">
        <f t="shared" si="186"/>
        <v>0.05</v>
      </c>
      <c r="N5133" s="464">
        <f t="shared" si="187"/>
        <v>207276</v>
      </c>
    </row>
    <row r="5134" spans="7:14" ht="11.25" customHeight="1" x14ac:dyDescent="0.3">
      <c r="G5134" s="459"/>
      <c r="H5134" s="459">
        <v>5127</v>
      </c>
      <c r="I5134" s="444">
        <f t="shared" ca="1" si="185"/>
        <v>-612780273985215.75</v>
      </c>
      <c r="J5134" s="444">
        <f t="array" ref="J5134">IFERROR(INDEX('Retirement Calculator'!K:K,MATCH('Lorri 401b'!N5134,'Retirement Calculator'!A:A,0),0),0)</f>
        <v>0</v>
      </c>
      <c r="K5134" s="444">
        <f t="shared" ca="1" si="183"/>
        <v>-2553251141605.0654</v>
      </c>
      <c r="L5134" s="444">
        <f t="shared" ca="1" si="184"/>
        <v>-615333525126820.88</v>
      </c>
      <c r="M5134" s="460">
        <f t="shared" si="186"/>
        <v>0.05</v>
      </c>
      <c r="N5134" s="464">
        <f t="shared" si="187"/>
        <v>207307</v>
      </c>
    </row>
    <row r="5135" spans="7:14" ht="11.25" customHeight="1" x14ac:dyDescent="0.3">
      <c r="G5135" s="459"/>
      <c r="H5135" s="459">
        <v>5128</v>
      </c>
      <c r="I5135" s="444">
        <f t="shared" ca="1" si="185"/>
        <v>-615333525126820.88</v>
      </c>
      <c r="J5135" s="444">
        <f t="array" ref="J5135">IFERROR(INDEX('Retirement Calculator'!K:K,MATCH('Lorri 401b'!N5135,'Retirement Calculator'!A:A,0),0),0)</f>
        <v>0</v>
      </c>
      <c r="K5135" s="444">
        <f t="shared" ca="1" si="183"/>
        <v>-2563889688028.4204</v>
      </c>
      <c r="L5135" s="444">
        <f t="shared" ca="1" si="184"/>
        <v>-617897414814849.25</v>
      </c>
      <c r="M5135" s="460">
        <f t="shared" si="186"/>
        <v>0.05</v>
      </c>
      <c r="N5135" s="464">
        <f t="shared" si="187"/>
        <v>207338</v>
      </c>
    </row>
    <row r="5136" spans="7:14" ht="11.25" customHeight="1" x14ac:dyDescent="0.3">
      <c r="G5136" s="459"/>
      <c r="H5136" s="459">
        <v>5129</v>
      </c>
      <c r="I5136" s="444">
        <f t="shared" ca="1" si="185"/>
        <v>-617897414814849.25</v>
      </c>
      <c r="J5136" s="444">
        <f t="array" ref="J5136">IFERROR(INDEX('Retirement Calculator'!K:K,MATCH('Lorri 401b'!N5136,'Retirement Calculator'!A:A,0),0),0)</f>
        <v>0</v>
      </c>
      <c r="K5136" s="444">
        <f t="shared" ca="1" si="183"/>
        <v>-2574572561728.5386</v>
      </c>
      <c r="L5136" s="444">
        <f t="shared" ca="1" si="184"/>
        <v>-620471987376577.75</v>
      </c>
      <c r="M5136" s="460">
        <f t="shared" si="186"/>
        <v>0.05</v>
      </c>
      <c r="N5136" s="464">
        <f t="shared" si="187"/>
        <v>207368</v>
      </c>
    </row>
    <row r="5137" spans="7:14" ht="11.25" customHeight="1" x14ac:dyDescent="0.3">
      <c r="G5137" s="459"/>
      <c r="H5137" s="459">
        <v>5130</v>
      </c>
      <c r="I5137" s="444">
        <f t="shared" ca="1" si="185"/>
        <v>-620471987376577.75</v>
      </c>
      <c r="J5137" s="444">
        <f t="array" ref="J5137">IFERROR(INDEX('Retirement Calculator'!K:K,MATCH('Lorri 401b'!N5137,'Retirement Calculator'!A:A,0),0),0)</f>
        <v>0</v>
      </c>
      <c r="K5137" s="444">
        <f t="shared" ca="1" si="183"/>
        <v>-2585299947402.4072</v>
      </c>
      <c r="L5137" s="444">
        <f t="shared" ca="1" si="184"/>
        <v>-623057287323980.13</v>
      </c>
      <c r="M5137" s="460">
        <f t="shared" si="186"/>
        <v>0.05</v>
      </c>
      <c r="N5137" s="464">
        <f t="shared" si="187"/>
        <v>207399</v>
      </c>
    </row>
    <row r="5138" spans="7:14" ht="11.25" customHeight="1" x14ac:dyDescent="0.3">
      <c r="G5138" s="459"/>
      <c r="H5138" s="459">
        <v>5131</v>
      </c>
      <c r="I5138" s="444">
        <f t="shared" ca="1" si="185"/>
        <v>-623057287323980.13</v>
      </c>
      <c r="J5138" s="444">
        <f t="array" ref="J5138">IFERROR(INDEX('Retirement Calculator'!K:K,MATCH('Lorri 401b'!N5138,'Retirement Calculator'!A:A,0),0),0)</f>
        <v>0</v>
      </c>
      <c r="K5138" s="444">
        <f t="shared" ca="1" si="183"/>
        <v>-2596072030516.584</v>
      </c>
      <c r="L5138" s="444">
        <f t="shared" ca="1" si="184"/>
        <v>-625653359354496.75</v>
      </c>
      <c r="M5138" s="460">
        <f t="shared" si="186"/>
        <v>0.05</v>
      </c>
      <c r="N5138" s="464">
        <f t="shared" si="187"/>
        <v>207429</v>
      </c>
    </row>
    <row r="5139" spans="7:14" ht="11.25" customHeight="1" x14ac:dyDescent="0.3">
      <c r="G5139" s="459"/>
      <c r="H5139" s="459">
        <v>5132</v>
      </c>
      <c r="I5139" s="444">
        <f t="shared" ca="1" si="185"/>
        <v>-625653359354496.75</v>
      </c>
      <c r="J5139" s="444">
        <f t="array" ref="J5139">IFERROR(INDEX('Retirement Calculator'!K:K,MATCH('Lorri 401b'!N5139,'Retirement Calculator'!A:A,0),0),0)</f>
        <v>0</v>
      </c>
      <c r="K5139" s="444">
        <f t="shared" ca="1" si="183"/>
        <v>-2606888997310.4033</v>
      </c>
      <c r="L5139" s="444">
        <f t="shared" ca="1" si="184"/>
        <v>-628260248351807.13</v>
      </c>
      <c r="M5139" s="460">
        <f t="shared" si="186"/>
        <v>0.05</v>
      </c>
      <c r="N5139" s="464">
        <f t="shared" si="187"/>
        <v>207460</v>
      </c>
    </row>
    <row r="5140" spans="7:14" ht="11.25" customHeight="1" x14ac:dyDescent="0.3">
      <c r="G5140" s="459"/>
      <c r="H5140" s="459">
        <v>5133</v>
      </c>
      <c r="I5140" s="444">
        <f t="shared" ca="1" si="185"/>
        <v>-628260248351807.13</v>
      </c>
      <c r="J5140" s="444">
        <f t="array" ref="J5140">IFERROR(INDEX('Retirement Calculator'!K:K,MATCH('Lorri 401b'!N5140,'Retirement Calculator'!A:A,0),0),0)</f>
        <v>0</v>
      </c>
      <c r="K5140" s="444">
        <f t="shared" ca="1" si="183"/>
        <v>-2617751034799.1963</v>
      </c>
      <c r="L5140" s="444">
        <f t="shared" ca="1" si="184"/>
        <v>-630877999386606.38</v>
      </c>
      <c r="M5140" s="460">
        <f t="shared" si="186"/>
        <v>0.05</v>
      </c>
      <c r="N5140" s="464">
        <f t="shared" si="187"/>
        <v>207491</v>
      </c>
    </row>
    <row r="5141" spans="7:14" ht="11.25" customHeight="1" x14ac:dyDescent="0.3">
      <c r="G5141" s="459"/>
      <c r="H5141" s="459">
        <v>5134</v>
      </c>
      <c r="I5141" s="444">
        <f t="shared" ca="1" si="185"/>
        <v>-630877999386606.38</v>
      </c>
      <c r="J5141" s="444">
        <f t="array" ref="J5141">IFERROR(INDEX('Retirement Calculator'!K:K,MATCH('Lorri 401b'!N5141,'Retirement Calculator'!A:A,0),0),0)</f>
        <v>0</v>
      </c>
      <c r="K5141" s="444">
        <f t="shared" ca="1" si="183"/>
        <v>-2628658330777.5264</v>
      </c>
      <c r="L5141" s="444">
        <f t="shared" ca="1" si="184"/>
        <v>-633506657717383.88</v>
      </c>
      <c r="M5141" s="460">
        <f t="shared" si="186"/>
        <v>0.05</v>
      </c>
      <c r="N5141" s="464">
        <f t="shared" si="187"/>
        <v>207520</v>
      </c>
    </row>
    <row r="5142" spans="7:14" ht="11.25" customHeight="1" x14ac:dyDescent="0.3">
      <c r="G5142" s="459"/>
      <c r="H5142" s="459">
        <v>5135</v>
      </c>
      <c r="I5142" s="444">
        <f t="shared" ca="1" si="185"/>
        <v>-633506657717383.88</v>
      </c>
      <c r="J5142" s="444">
        <f t="array" ref="J5142">IFERROR(INDEX('Retirement Calculator'!K:K,MATCH('Lorri 401b'!N5142,'Retirement Calculator'!A:A,0),0),0)</f>
        <v>0</v>
      </c>
      <c r="K5142" s="444">
        <f t="shared" ca="1" si="183"/>
        <v>-2639611073822.4326</v>
      </c>
      <c r="L5142" s="444">
        <f t="shared" ca="1" si="184"/>
        <v>-636146268791206.25</v>
      </c>
      <c r="M5142" s="460">
        <f t="shared" si="186"/>
        <v>0.05</v>
      </c>
      <c r="N5142" s="464">
        <f t="shared" si="187"/>
        <v>207551</v>
      </c>
    </row>
    <row r="5143" spans="7:14" ht="11.25" customHeight="1" x14ac:dyDescent="0.3">
      <c r="G5143" s="459"/>
      <c r="H5143" s="459">
        <v>5136</v>
      </c>
      <c r="I5143" s="444">
        <f t="shared" ca="1" si="185"/>
        <v>-636146268791206.25</v>
      </c>
      <c r="J5143" s="444">
        <f t="array" ref="J5143">IFERROR(INDEX('Retirement Calculator'!K:K,MATCH('Lorri 401b'!N5143,'Retirement Calculator'!A:A,0),0),0)</f>
        <v>0</v>
      </c>
      <c r="K5143" s="444">
        <f t="shared" ca="1" si="183"/>
        <v>-2650609453296.6929</v>
      </c>
      <c r="L5143" s="444">
        <f t="shared" ca="1" si="184"/>
        <v>-638796878244503</v>
      </c>
      <c r="M5143" s="460">
        <f t="shared" si="186"/>
        <v>0.05</v>
      </c>
      <c r="N5143" s="464">
        <f t="shared" si="187"/>
        <v>207581</v>
      </c>
    </row>
    <row r="5144" spans="7:14" ht="11.25" customHeight="1" x14ac:dyDescent="0.3">
      <c r="G5144" s="459"/>
      <c r="H5144" s="459">
        <v>5137</v>
      </c>
      <c r="I5144" s="444">
        <f t="shared" ca="1" si="185"/>
        <v>-638796878244503</v>
      </c>
      <c r="J5144" s="444">
        <f t="array" ref="J5144">IFERROR(INDEX('Retirement Calculator'!K:K,MATCH('Lorri 401b'!N5144,'Retirement Calculator'!A:A,0),0),0)</f>
        <v>0</v>
      </c>
      <c r="K5144" s="444">
        <f t="shared" ca="1" si="183"/>
        <v>-2661653659352.0957</v>
      </c>
      <c r="L5144" s="444">
        <f t="shared" ca="1" si="184"/>
        <v>-641458531903855.13</v>
      </c>
      <c r="M5144" s="460">
        <f t="shared" si="186"/>
        <v>0.05</v>
      </c>
      <c r="N5144" s="464">
        <f t="shared" si="187"/>
        <v>207612</v>
      </c>
    </row>
    <row r="5145" spans="7:14" ht="11.25" customHeight="1" x14ac:dyDescent="0.3">
      <c r="G5145" s="459"/>
      <c r="H5145" s="459">
        <v>5138</v>
      </c>
      <c r="I5145" s="444">
        <f t="shared" ca="1" si="185"/>
        <v>-641458531903855.13</v>
      </c>
      <c r="J5145" s="444">
        <f t="array" ref="J5145">IFERROR(INDEX('Retirement Calculator'!K:K,MATCH('Lorri 401b'!N5145,'Retirement Calculator'!A:A,0),0),0)</f>
        <v>0</v>
      </c>
      <c r="K5145" s="444">
        <f t="shared" ca="1" si="183"/>
        <v>-2672743882932.7295</v>
      </c>
      <c r="L5145" s="444">
        <f t="shared" ca="1" si="184"/>
        <v>-644131275786787.88</v>
      </c>
      <c r="M5145" s="460">
        <f t="shared" si="186"/>
        <v>0.05</v>
      </c>
      <c r="N5145" s="464">
        <f t="shared" si="187"/>
        <v>207642</v>
      </c>
    </row>
    <row r="5146" spans="7:14" ht="11.25" customHeight="1" x14ac:dyDescent="0.3">
      <c r="G5146" s="459"/>
      <c r="H5146" s="459">
        <v>5139</v>
      </c>
      <c r="I5146" s="444">
        <f t="shared" ca="1" si="185"/>
        <v>-644131275786787.88</v>
      </c>
      <c r="J5146" s="444">
        <f t="array" ref="J5146">IFERROR(INDEX('Retirement Calculator'!K:K,MATCH('Lorri 401b'!N5146,'Retirement Calculator'!A:A,0),0),0)</f>
        <v>0</v>
      </c>
      <c r="K5146" s="444">
        <f t="shared" ca="1" si="183"/>
        <v>-2683880315778.2827</v>
      </c>
      <c r="L5146" s="444">
        <f t="shared" ca="1" si="184"/>
        <v>-646815156102566.13</v>
      </c>
      <c r="M5146" s="460">
        <f t="shared" si="186"/>
        <v>0.05</v>
      </c>
      <c r="N5146" s="464">
        <f t="shared" si="187"/>
        <v>207673</v>
      </c>
    </row>
    <row r="5147" spans="7:14" ht="11.25" customHeight="1" x14ac:dyDescent="0.3">
      <c r="G5147" s="459"/>
      <c r="H5147" s="459">
        <v>5140</v>
      </c>
      <c r="I5147" s="444">
        <f t="shared" ca="1" si="185"/>
        <v>-646815156102566.13</v>
      </c>
      <c r="J5147" s="444">
        <f t="array" ref="J5147">IFERROR(INDEX('Retirement Calculator'!K:K,MATCH('Lorri 401b'!N5147,'Retirement Calculator'!A:A,0),0),0)</f>
        <v>0</v>
      </c>
      <c r="K5147" s="444">
        <f t="shared" ca="1" si="183"/>
        <v>-2695063150427.3589</v>
      </c>
      <c r="L5147" s="444">
        <f t="shared" ca="1" si="184"/>
        <v>-649510219252993.5</v>
      </c>
      <c r="M5147" s="460">
        <f t="shared" si="186"/>
        <v>0.05</v>
      </c>
      <c r="N5147" s="464">
        <f t="shared" si="187"/>
        <v>207704</v>
      </c>
    </row>
    <row r="5148" spans="7:14" ht="11.25" customHeight="1" x14ac:dyDescent="0.3">
      <c r="G5148" s="459"/>
      <c r="H5148" s="459">
        <v>5141</v>
      </c>
      <c r="I5148" s="444">
        <f t="shared" ca="1" si="185"/>
        <v>-649510219252993.5</v>
      </c>
      <c r="J5148" s="444">
        <f t="array" ref="J5148">IFERROR(INDEX('Retirement Calculator'!K:K,MATCH('Lorri 401b'!N5148,'Retirement Calculator'!A:A,0),0),0)</f>
        <v>0</v>
      </c>
      <c r="K5148" s="444">
        <f t="shared" ca="1" si="183"/>
        <v>-2706292580220.8062</v>
      </c>
      <c r="L5148" s="444">
        <f t="shared" ca="1" si="184"/>
        <v>-652216511833214.25</v>
      </c>
      <c r="M5148" s="460">
        <f t="shared" si="186"/>
        <v>0.05</v>
      </c>
      <c r="N5148" s="464">
        <f t="shared" si="187"/>
        <v>207734</v>
      </c>
    </row>
    <row r="5149" spans="7:14" ht="11.25" customHeight="1" x14ac:dyDescent="0.3">
      <c r="G5149" s="459"/>
      <c r="H5149" s="459">
        <v>5142</v>
      </c>
      <c r="I5149" s="444">
        <f t="shared" ca="1" si="185"/>
        <v>-652216511833214.25</v>
      </c>
      <c r="J5149" s="444">
        <f t="array" ref="J5149">IFERROR(INDEX('Retirement Calculator'!K:K,MATCH('Lorri 401b'!N5149,'Retirement Calculator'!A:A,0),0),0)</f>
        <v>0</v>
      </c>
      <c r="K5149" s="444">
        <f t="shared" ca="1" si="183"/>
        <v>-2717568799305.0596</v>
      </c>
      <c r="L5149" s="444">
        <f t="shared" ca="1" si="184"/>
        <v>-654934080632519.25</v>
      </c>
      <c r="M5149" s="460">
        <f t="shared" si="186"/>
        <v>0.05</v>
      </c>
      <c r="N5149" s="464">
        <f t="shared" si="187"/>
        <v>207765</v>
      </c>
    </row>
    <row r="5150" spans="7:14" ht="11.25" customHeight="1" x14ac:dyDescent="0.3">
      <c r="G5150" s="459"/>
      <c r="H5150" s="459">
        <v>5143</v>
      </c>
      <c r="I5150" s="444">
        <f t="shared" ca="1" si="185"/>
        <v>-654934080632519.25</v>
      </c>
      <c r="J5150" s="444">
        <f t="array" ref="J5150">IFERROR(INDEX('Retirement Calculator'!K:K,MATCH('Lorri 401b'!N5150,'Retirement Calculator'!A:A,0),0),0)</f>
        <v>0</v>
      </c>
      <c r="K5150" s="444">
        <f t="shared" ca="1" si="183"/>
        <v>-2728892002635.4971</v>
      </c>
      <c r="L5150" s="444">
        <f t="shared" ca="1" si="184"/>
        <v>-657662972635154.75</v>
      </c>
      <c r="M5150" s="460">
        <f t="shared" si="186"/>
        <v>0.05</v>
      </c>
      <c r="N5150" s="464">
        <f t="shared" si="187"/>
        <v>207795</v>
      </c>
    </row>
    <row r="5151" spans="7:14" ht="11.25" customHeight="1" x14ac:dyDescent="0.3">
      <c r="G5151" s="459"/>
      <c r="H5151" s="459">
        <v>5144</v>
      </c>
      <c r="I5151" s="444">
        <f t="shared" ca="1" si="185"/>
        <v>-657662972635154.75</v>
      </c>
      <c r="J5151" s="444">
        <f t="array" ref="J5151">IFERROR(INDEX('Retirement Calculator'!K:K,MATCH('Lorri 401b'!N5151,'Retirement Calculator'!A:A,0),0),0)</f>
        <v>0</v>
      </c>
      <c r="K5151" s="444">
        <f t="shared" ca="1" si="183"/>
        <v>-2740262385979.8115</v>
      </c>
      <c r="L5151" s="444">
        <f t="shared" ca="1" si="184"/>
        <v>-660403235021134.5</v>
      </c>
      <c r="M5151" s="460">
        <f t="shared" si="186"/>
        <v>0.05</v>
      </c>
      <c r="N5151" s="464">
        <f t="shared" si="187"/>
        <v>207826</v>
      </c>
    </row>
    <row r="5152" spans="7:14" ht="11.25" customHeight="1" x14ac:dyDescent="0.3">
      <c r="G5152" s="459"/>
      <c r="H5152" s="459">
        <v>5145</v>
      </c>
      <c r="I5152" s="444">
        <f t="shared" ca="1" si="185"/>
        <v>-660403235021134.5</v>
      </c>
      <c r="J5152" s="444">
        <f t="array" ref="J5152">IFERROR(INDEX('Retirement Calculator'!K:K,MATCH('Lorri 401b'!N5152,'Retirement Calculator'!A:A,0),0),0)</f>
        <v>0</v>
      </c>
      <c r="K5152" s="444">
        <f t="shared" ca="1" si="183"/>
        <v>-2751680145921.3936</v>
      </c>
      <c r="L5152" s="444">
        <f t="shared" ca="1" si="184"/>
        <v>-663154915167055.88</v>
      </c>
      <c r="M5152" s="460">
        <f t="shared" si="186"/>
        <v>0.05</v>
      </c>
      <c r="N5152" s="464">
        <f t="shared" si="187"/>
        <v>207857</v>
      </c>
    </row>
    <row r="5153" spans="7:14" ht="11.25" customHeight="1" x14ac:dyDescent="0.3">
      <c r="G5153" s="459"/>
      <c r="H5153" s="459">
        <v>5146</v>
      </c>
      <c r="I5153" s="444">
        <f t="shared" ca="1" si="185"/>
        <v>-663154915167055.88</v>
      </c>
      <c r="J5153" s="444">
        <f t="array" ref="J5153">IFERROR(INDEX('Retirement Calculator'!K:K,MATCH('Lorri 401b'!N5153,'Retirement Calculator'!A:A,0),0),0)</f>
        <v>0</v>
      </c>
      <c r="K5153" s="444">
        <f t="shared" ca="1" si="183"/>
        <v>-2763145479862.7329</v>
      </c>
      <c r="L5153" s="444">
        <f t="shared" ca="1" si="184"/>
        <v>-665918060646918.63</v>
      </c>
      <c r="M5153" s="460">
        <f t="shared" si="186"/>
        <v>0.05</v>
      </c>
      <c r="N5153" s="464">
        <f t="shared" si="187"/>
        <v>207885</v>
      </c>
    </row>
    <row r="5154" spans="7:14" ht="11.25" customHeight="1" x14ac:dyDescent="0.3">
      <c r="G5154" s="459"/>
      <c r="H5154" s="459">
        <v>5147</v>
      </c>
      <c r="I5154" s="444">
        <f t="shared" ca="1" si="185"/>
        <v>-665918060646918.63</v>
      </c>
      <c r="J5154" s="444">
        <f t="array" ref="J5154">IFERROR(INDEX('Retirement Calculator'!K:K,MATCH('Lorri 401b'!N5154,'Retirement Calculator'!A:A,0),0),0)</f>
        <v>0</v>
      </c>
      <c r="K5154" s="444">
        <f t="shared" ca="1" si="183"/>
        <v>-2774658586028.8276</v>
      </c>
      <c r="L5154" s="444">
        <f t="shared" ca="1" si="184"/>
        <v>-668692719232947.5</v>
      </c>
      <c r="M5154" s="460">
        <f t="shared" si="186"/>
        <v>0.05</v>
      </c>
      <c r="N5154" s="464">
        <f t="shared" si="187"/>
        <v>207916</v>
      </c>
    </row>
    <row r="5155" spans="7:14" ht="11.25" customHeight="1" x14ac:dyDescent="0.3">
      <c r="G5155" s="459"/>
      <c r="H5155" s="459">
        <v>5148</v>
      </c>
      <c r="I5155" s="444">
        <f t="shared" ca="1" si="185"/>
        <v>-668692719232947.5</v>
      </c>
      <c r="J5155" s="444">
        <f t="array" ref="J5155">IFERROR(INDEX('Retirement Calculator'!K:K,MATCH('Lorri 401b'!N5155,'Retirement Calculator'!A:A,0),0),0)</f>
        <v>0</v>
      </c>
      <c r="K5155" s="444">
        <f t="shared" ca="1" si="183"/>
        <v>-2786219663470.6147</v>
      </c>
      <c r="L5155" s="444">
        <f t="shared" ca="1" si="184"/>
        <v>-671478938896418.13</v>
      </c>
      <c r="M5155" s="460">
        <f t="shared" si="186"/>
        <v>0.05</v>
      </c>
      <c r="N5155" s="464">
        <f t="shared" si="187"/>
        <v>207946</v>
      </c>
    </row>
    <row r="5156" spans="7:14" ht="11.25" customHeight="1" x14ac:dyDescent="0.3">
      <c r="G5156" s="459"/>
      <c r="H5156" s="459">
        <v>5149</v>
      </c>
      <c r="I5156" s="444">
        <f t="shared" ca="1" si="185"/>
        <v>-671478938896418.13</v>
      </c>
      <c r="J5156" s="444">
        <f t="array" ref="J5156">IFERROR(INDEX('Retirement Calculator'!K:K,MATCH('Lorri 401b'!N5156,'Retirement Calculator'!A:A,0),0),0)</f>
        <v>0</v>
      </c>
      <c r="K5156" s="444">
        <f t="shared" ca="1" si="183"/>
        <v>-2797828912068.4087</v>
      </c>
      <c r="L5156" s="444">
        <f t="shared" ca="1" si="184"/>
        <v>-674276767808486.5</v>
      </c>
      <c r="M5156" s="460">
        <f t="shared" si="186"/>
        <v>0.05</v>
      </c>
      <c r="N5156" s="464">
        <f t="shared" si="187"/>
        <v>207977</v>
      </c>
    </row>
    <row r="5157" spans="7:14" ht="11.25" customHeight="1" x14ac:dyDescent="0.3">
      <c r="G5157" s="459"/>
      <c r="H5157" s="459">
        <v>5150</v>
      </c>
      <c r="I5157" s="444">
        <f t="shared" ca="1" si="185"/>
        <v>-674276767808486.5</v>
      </c>
      <c r="J5157" s="444">
        <f t="array" ref="J5157">IFERROR(INDEX('Retirement Calculator'!K:K,MATCH('Lorri 401b'!N5157,'Retirement Calculator'!A:A,0),0),0)</f>
        <v>0</v>
      </c>
      <c r="K5157" s="444">
        <f t="shared" ca="1" si="183"/>
        <v>-2809486532535.3604</v>
      </c>
      <c r="L5157" s="444">
        <f t="shared" ca="1" si="184"/>
        <v>-677086254341021.88</v>
      </c>
      <c r="M5157" s="460">
        <f t="shared" si="186"/>
        <v>0.05</v>
      </c>
      <c r="N5157" s="464">
        <f t="shared" si="187"/>
        <v>208007</v>
      </c>
    </row>
    <row r="5158" spans="7:14" ht="11.25" customHeight="1" x14ac:dyDescent="0.3">
      <c r="G5158" s="459"/>
      <c r="H5158" s="459">
        <v>5151</v>
      </c>
      <c r="I5158" s="444">
        <f t="shared" ca="1" si="185"/>
        <v>-677086254341021.88</v>
      </c>
      <c r="J5158" s="444">
        <f t="array" ref="J5158">IFERROR(INDEX('Retirement Calculator'!K:K,MATCH('Lorri 401b'!N5158,'Retirement Calculator'!A:A,0),0),0)</f>
        <v>0</v>
      </c>
      <c r="K5158" s="444">
        <f t="shared" ca="1" si="183"/>
        <v>-2821192726420.9243</v>
      </c>
      <c r="L5158" s="444">
        <f t="shared" ca="1" si="184"/>
        <v>-679907447067442.75</v>
      </c>
      <c r="M5158" s="460">
        <f t="shared" si="186"/>
        <v>0.05</v>
      </c>
      <c r="N5158" s="464">
        <f t="shared" si="187"/>
        <v>208038</v>
      </c>
    </row>
    <row r="5159" spans="7:14" ht="11.25" customHeight="1" x14ac:dyDescent="0.3">
      <c r="G5159" s="459"/>
      <c r="H5159" s="459">
        <v>5152</v>
      </c>
      <c r="I5159" s="444">
        <f t="shared" ca="1" si="185"/>
        <v>-679907447067442.75</v>
      </c>
      <c r="J5159" s="444">
        <f t="array" ref="J5159">IFERROR(INDEX('Retirement Calculator'!K:K,MATCH('Lorri 401b'!N5159,'Retirement Calculator'!A:A,0),0),0)</f>
        <v>0</v>
      </c>
      <c r="K5159" s="444">
        <f t="shared" ca="1" si="183"/>
        <v>-2832947696114.3447</v>
      </c>
      <c r="L5159" s="444">
        <f t="shared" ca="1" si="184"/>
        <v>-682740394763557.13</v>
      </c>
      <c r="M5159" s="460">
        <f t="shared" si="186"/>
        <v>0.05</v>
      </c>
      <c r="N5159" s="464">
        <f t="shared" si="187"/>
        <v>208069</v>
      </c>
    </row>
    <row r="5160" spans="7:14" ht="11.25" customHeight="1" x14ac:dyDescent="0.3">
      <c r="G5160" s="459"/>
      <c r="H5160" s="459">
        <v>5153</v>
      </c>
      <c r="I5160" s="444">
        <f t="shared" ca="1" si="185"/>
        <v>-682740394763557.13</v>
      </c>
      <c r="J5160" s="444">
        <f t="array" ref="J5160">IFERROR(INDEX('Retirement Calculator'!K:K,MATCH('Lorri 401b'!N5160,'Retirement Calculator'!A:A,0),0),0)</f>
        <v>0</v>
      </c>
      <c r="K5160" s="444">
        <f t="shared" ca="1" si="183"/>
        <v>-2844751644848.1548</v>
      </c>
      <c r="L5160" s="444">
        <f t="shared" ca="1" si="184"/>
        <v>-685585146408405.25</v>
      </c>
      <c r="M5160" s="460">
        <f t="shared" si="186"/>
        <v>0.05</v>
      </c>
      <c r="N5160" s="464">
        <f t="shared" si="187"/>
        <v>208099</v>
      </c>
    </row>
    <row r="5161" spans="7:14" ht="11.25" customHeight="1" x14ac:dyDescent="0.3">
      <c r="G5161" s="459"/>
      <c r="H5161" s="459">
        <v>5154</v>
      </c>
      <c r="I5161" s="444">
        <f t="shared" ca="1" si="185"/>
        <v>-685585146408405.25</v>
      </c>
      <c r="J5161" s="444">
        <f t="array" ref="J5161">IFERROR(INDEX('Retirement Calculator'!K:K,MATCH('Lorri 401b'!N5161,'Retirement Calculator'!A:A,0),0),0)</f>
        <v>0</v>
      </c>
      <c r="K5161" s="444">
        <f t="shared" ca="1" si="183"/>
        <v>-2856604776701.6885</v>
      </c>
      <c r="L5161" s="444">
        <f t="shared" ca="1" si="184"/>
        <v>-688441751185107</v>
      </c>
      <c r="M5161" s="460">
        <f t="shared" si="186"/>
        <v>0.05</v>
      </c>
      <c r="N5161" s="464">
        <f t="shared" si="187"/>
        <v>208130</v>
      </c>
    </row>
    <row r="5162" spans="7:14" ht="11.25" customHeight="1" x14ac:dyDescent="0.3">
      <c r="G5162" s="459"/>
      <c r="H5162" s="459">
        <v>5155</v>
      </c>
      <c r="I5162" s="444">
        <f t="shared" ca="1" si="185"/>
        <v>-688441751185107</v>
      </c>
      <c r="J5162" s="444">
        <f t="array" ref="J5162">IFERROR(INDEX('Retirement Calculator'!K:K,MATCH('Lorri 401b'!N5162,'Retirement Calculator'!A:A,0),0),0)</f>
        <v>0</v>
      </c>
      <c r="K5162" s="444">
        <f t="shared" ca="1" si="183"/>
        <v>-2868507296604.6123</v>
      </c>
      <c r="L5162" s="444">
        <f t="shared" ca="1" si="184"/>
        <v>-691310258481711.63</v>
      </c>
      <c r="M5162" s="460">
        <f t="shared" si="186"/>
        <v>0.05</v>
      </c>
      <c r="N5162" s="464">
        <f t="shared" si="187"/>
        <v>208160</v>
      </c>
    </row>
    <row r="5163" spans="7:14" ht="11.25" customHeight="1" x14ac:dyDescent="0.3">
      <c r="G5163" s="459"/>
      <c r="H5163" s="459">
        <v>5156</v>
      </c>
      <c r="I5163" s="444">
        <f t="shared" ca="1" si="185"/>
        <v>-691310258481711.63</v>
      </c>
      <c r="J5163" s="444">
        <f t="array" ref="J5163">IFERROR(INDEX('Retirement Calculator'!K:K,MATCH('Lorri 401b'!N5163,'Retirement Calculator'!A:A,0),0),0)</f>
        <v>0</v>
      </c>
      <c r="K5163" s="444">
        <f t="shared" ca="1" si="183"/>
        <v>-2880459410340.4648</v>
      </c>
      <c r="L5163" s="444">
        <f t="shared" ca="1" si="184"/>
        <v>-694190717892052.13</v>
      </c>
      <c r="M5163" s="460">
        <f t="shared" si="186"/>
        <v>0.05</v>
      </c>
      <c r="N5163" s="464">
        <f t="shared" si="187"/>
        <v>208191</v>
      </c>
    </row>
    <row r="5164" spans="7:14" ht="11.25" customHeight="1" x14ac:dyDescent="0.3">
      <c r="G5164" s="459"/>
      <c r="H5164" s="459">
        <v>5157</v>
      </c>
      <c r="I5164" s="444">
        <f t="shared" ca="1" si="185"/>
        <v>-694190717892052.13</v>
      </c>
      <c r="J5164" s="444">
        <f t="array" ref="J5164">IFERROR(INDEX('Retirement Calculator'!K:K,MATCH('Lorri 401b'!N5164,'Retirement Calculator'!A:A,0),0),0)</f>
        <v>0</v>
      </c>
      <c r="K5164" s="444">
        <f t="shared" ca="1" si="183"/>
        <v>-2892461324550.2173</v>
      </c>
      <c r="L5164" s="444">
        <f t="shared" ca="1" si="184"/>
        <v>-697083179216602.38</v>
      </c>
      <c r="M5164" s="460">
        <f t="shared" si="186"/>
        <v>0.05</v>
      </c>
      <c r="N5164" s="464">
        <f t="shared" si="187"/>
        <v>208222</v>
      </c>
    </row>
    <row r="5165" spans="7:14" ht="11.25" customHeight="1" x14ac:dyDescent="0.3">
      <c r="G5165" s="459"/>
      <c r="H5165" s="459">
        <v>5158</v>
      </c>
      <c r="I5165" s="444">
        <f t="shared" ca="1" si="185"/>
        <v>-697083179216602.38</v>
      </c>
      <c r="J5165" s="444">
        <f t="array" ref="J5165">IFERROR(INDEX('Retirement Calculator'!K:K,MATCH('Lorri 401b'!N5165,'Retirement Calculator'!A:A,0),0),0)</f>
        <v>0</v>
      </c>
      <c r="K5165" s="444">
        <f t="shared" ca="1" si="183"/>
        <v>-2904513246735.8433</v>
      </c>
      <c r="L5165" s="444">
        <f t="shared" ca="1" si="184"/>
        <v>-699987692463338.25</v>
      </c>
      <c r="M5165" s="460">
        <f t="shared" si="186"/>
        <v>0.05</v>
      </c>
      <c r="N5165" s="464">
        <f t="shared" si="187"/>
        <v>208250</v>
      </c>
    </row>
    <row r="5166" spans="7:14" ht="11.25" customHeight="1" x14ac:dyDescent="0.3">
      <c r="G5166" s="459"/>
      <c r="H5166" s="459">
        <v>5159</v>
      </c>
      <c r="I5166" s="444">
        <f t="shared" ca="1" si="185"/>
        <v>-699987692463338.25</v>
      </c>
      <c r="J5166" s="444">
        <f t="array" ref="J5166">IFERROR(INDEX('Retirement Calculator'!K:K,MATCH('Lorri 401b'!N5166,'Retirement Calculator'!A:A,0),0),0)</f>
        <v>0</v>
      </c>
      <c r="K5166" s="444">
        <f t="shared" ca="1" si="183"/>
        <v>-2916615385263.9092</v>
      </c>
      <c r="L5166" s="444">
        <f t="shared" ca="1" si="184"/>
        <v>-702904307848602.13</v>
      </c>
      <c r="M5166" s="460">
        <f t="shared" si="186"/>
        <v>0.05</v>
      </c>
      <c r="N5166" s="464">
        <f t="shared" si="187"/>
        <v>208281</v>
      </c>
    </row>
    <row r="5167" spans="7:14" ht="11.25" customHeight="1" x14ac:dyDescent="0.3">
      <c r="G5167" s="459"/>
      <c r="H5167" s="459">
        <v>5160</v>
      </c>
      <c r="I5167" s="444">
        <f t="shared" ca="1" si="185"/>
        <v>-702904307848602.13</v>
      </c>
      <c r="J5167" s="444">
        <f t="array" ref="J5167">IFERROR(INDEX('Retirement Calculator'!K:K,MATCH('Lorri 401b'!N5167,'Retirement Calculator'!A:A,0),0),0)</f>
        <v>0</v>
      </c>
      <c r="K5167" s="444">
        <f t="shared" ca="1" si="183"/>
        <v>-2928767949369.1753</v>
      </c>
      <c r="L5167" s="444">
        <f t="shared" ca="1" si="184"/>
        <v>-705833075797971.25</v>
      </c>
      <c r="M5167" s="460">
        <f t="shared" si="186"/>
        <v>0.05</v>
      </c>
      <c r="N5167" s="464">
        <f t="shared" si="187"/>
        <v>208311</v>
      </c>
    </row>
    <row r="5168" spans="7:14" ht="11.25" customHeight="1" x14ac:dyDescent="0.3">
      <c r="G5168" s="459"/>
      <c r="H5168" s="459">
        <v>5161</v>
      </c>
      <c r="I5168" s="444">
        <f t="shared" ca="1" si="185"/>
        <v>-705833075797971.25</v>
      </c>
      <c r="J5168" s="444">
        <f t="array" ref="J5168">IFERROR(INDEX('Retirement Calculator'!K:K,MATCH('Lorri 401b'!N5168,'Retirement Calculator'!A:A,0),0),0)</f>
        <v>0</v>
      </c>
      <c r="K5168" s="444">
        <f t="shared" ca="1" si="183"/>
        <v>-2940971149158.2134</v>
      </c>
      <c r="L5168" s="444">
        <f t="shared" ca="1" si="184"/>
        <v>-708774046947129.5</v>
      </c>
      <c r="M5168" s="460">
        <f t="shared" si="186"/>
        <v>0.05</v>
      </c>
      <c r="N5168" s="464">
        <f t="shared" si="187"/>
        <v>208342</v>
      </c>
    </row>
    <row r="5169" spans="7:14" ht="11.25" customHeight="1" x14ac:dyDescent="0.3">
      <c r="G5169" s="459"/>
      <c r="H5169" s="459">
        <v>5162</v>
      </c>
      <c r="I5169" s="444">
        <f t="shared" ca="1" si="185"/>
        <v>-708774046947129.5</v>
      </c>
      <c r="J5169" s="444">
        <f t="array" ref="J5169">IFERROR(INDEX('Retirement Calculator'!K:K,MATCH('Lorri 401b'!N5169,'Retirement Calculator'!A:A,0),0),0)</f>
        <v>0</v>
      </c>
      <c r="K5169" s="444">
        <f t="shared" ca="1" si="183"/>
        <v>-2953225195613.0396</v>
      </c>
      <c r="L5169" s="444">
        <f t="shared" ca="1" si="184"/>
        <v>-711727272142742.5</v>
      </c>
      <c r="M5169" s="460">
        <f t="shared" si="186"/>
        <v>0.05</v>
      </c>
      <c r="N5169" s="464">
        <f t="shared" si="187"/>
        <v>208372</v>
      </c>
    </row>
    <row r="5170" spans="7:14" ht="11.25" customHeight="1" x14ac:dyDescent="0.3">
      <c r="G5170" s="459"/>
      <c r="H5170" s="459">
        <v>5163</v>
      </c>
      <c r="I5170" s="444">
        <f t="shared" ca="1" si="185"/>
        <v>-711727272142742.5</v>
      </c>
      <c r="J5170" s="444">
        <f t="array" ref="J5170">IFERROR(INDEX('Retirement Calculator'!K:K,MATCH('Lorri 401b'!N5170,'Retirement Calculator'!A:A,0),0),0)</f>
        <v>0</v>
      </c>
      <c r="K5170" s="444">
        <f t="shared" ca="1" si="183"/>
        <v>-2965530300594.7603</v>
      </c>
      <c r="L5170" s="444">
        <f t="shared" ca="1" si="184"/>
        <v>-714692802443337.25</v>
      </c>
      <c r="M5170" s="460">
        <f t="shared" si="186"/>
        <v>0.05</v>
      </c>
      <c r="N5170" s="464">
        <f t="shared" si="187"/>
        <v>208403</v>
      </c>
    </row>
    <row r="5171" spans="7:14" ht="11.25" customHeight="1" x14ac:dyDescent="0.3">
      <c r="G5171" s="459"/>
      <c r="H5171" s="459">
        <v>5164</v>
      </c>
      <c r="I5171" s="444">
        <f t="shared" ca="1" si="185"/>
        <v>-714692802443337.25</v>
      </c>
      <c r="J5171" s="444">
        <f t="array" ref="J5171">IFERROR(INDEX('Retirement Calculator'!K:K,MATCH('Lorri 401b'!N5171,'Retirement Calculator'!A:A,0),0),0)</f>
        <v>0</v>
      </c>
      <c r="K5171" s="444">
        <f t="shared" ca="1" si="183"/>
        <v>-2977886676847.2383</v>
      </c>
      <c r="L5171" s="444">
        <f t="shared" ca="1" si="184"/>
        <v>-717670689120184.5</v>
      </c>
      <c r="M5171" s="460">
        <f t="shared" si="186"/>
        <v>0.05</v>
      </c>
      <c r="N5171" s="464">
        <f t="shared" si="187"/>
        <v>208434</v>
      </c>
    </row>
    <row r="5172" spans="7:14" ht="11.25" customHeight="1" x14ac:dyDescent="0.3">
      <c r="G5172" s="459"/>
      <c r="H5172" s="459">
        <v>5165</v>
      </c>
      <c r="I5172" s="444">
        <f t="shared" ca="1" si="185"/>
        <v>-717670689120184.5</v>
      </c>
      <c r="J5172" s="444">
        <f t="array" ref="J5172">IFERROR(INDEX('Retirement Calculator'!K:K,MATCH('Lorri 401b'!N5172,'Retirement Calculator'!A:A,0),0),0)</f>
        <v>0</v>
      </c>
      <c r="K5172" s="444">
        <f t="shared" ca="1" si="183"/>
        <v>-2990294538000.7686</v>
      </c>
      <c r="L5172" s="444">
        <f t="shared" ca="1" si="184"/>
        <v>-720660983658185.25</v>
      </c>
      <c r="M5172" s="460">
        <f t="shared" si="186"/>
        <v>0.05</v>
      </c>
      <c r="N5172" s="464">
        <f t="shared" si="187"/>
        <v>208464</v>
      </c>
    </row>
    <row r="5173" spans="7:14" ht="11.25" customHeight="1" x14ac:dyDescent="0.3">
      <c r="G5173" s="459"/>
      <c r="H5173" s="459">
        <v>5166</v>
      </c>
      <c r="I5173" s="444">
        <f t="shared" ca="1" si="185"/>
        <v>-720660983658185.25</v>
      </c>
      <c r="J5173" s="444">
        <f t="array" ref="J5173">IFERROR(INDEX('Retirement Calculator'!K:K,MATCH('Lorri 401b'!N5173,'Retirement Calculator'!A:A,0),0),0)</f>
        <v>0</v>
      </c>
      <c r="K5173" s="444">
        <f t="shared" ca="1" si="183"/>
        <v>-3002754098575.772</v>
      </c>
      <c r="L5173" s="444">
        <f t="shared" ca="1" si="184"/>
        <v>-723663737756761</v>
      </c>
      <c r="M5173" s="460">
        <f t="shared" si="186"/>
        <v>0.05</v>
      </c>
      <c r="N5173" s="464">
        <f t="shared" si="187"/>
        <v>208495</v>
      </c>
    </row>
    <row r="5174" spans="7:14" ht="11.25" customHeight="1" x14ac:dyDescent="0.3">
      <c r="G5174" s="459"/>
      <c r="H5174" s="459">
        <v>5167</v>
      </c>
      <c r="I5174" s="444">
        <f t="shared" ca="1" si="185"/>
        <v>-723663737756761</v>
      </c>
      <c r="J5174" s="444">
        <f t="array" ref="J5174">IFERROR(INDEX('Retirement Calculator'!K:K,MATCH('Lorri 401b'!N5174,'Retirement Calculator'!A:A,0),0),0)</f>
        <v>0</v>
      </c>
      <c r="K5174" s="444">
        <f t="shared" ca="1" si="183"/>
        <v>-3015265573986.5039</v>
      </c>
      <c r="L5174" s="444">
        <f t="shared" ca="1" si="184"/>
        <v>-726679003330747.5</v>
      </c>
      <c r="M5174" s="460">
        <f t="shared" si="186"/>
        <v>0.05</v>
      </c>
      <c r="N5174" s="464">
        <f t="shared" si="187"/>
        <v>208525</v>
      </c>
    </row>
    <row r="5175" spans="7:14" ht="11.25" customHeight="1" x14ac:dyDescent="0.3">
      <c r="G5175" s="459"/>
      <c r="H5175" s="459">
        <v>5168</v>
      </c>
      <c r="I5175" s="444">
        <f t="shared" ca="1" si="185"/>
        <v>-726679003330747.5</v>
      </c>
      <c r="J5175" s="444">
        <f t="array" ref="J5175">IFERROR(INDEX('Retirement Calculator'!K:K,MATCH('Lorri 401b'!N5175,'Retirement Calculator'!A:A,0),0),0)</f>
        <v>0</v>
      </c>
      <c r="K5175" s="444">
        <f t="shared" ca="1" si="183"/>
        <v>-3027829180544.7813</v>
      </c>
      <c r="L5175" s="444">
        <f t="shared" ca="1" si="184"/>
        <v>-729706832511292.25</v>
      </c>
      <c r="M5175" s="460">
        <f t="shared" si="186"/>
        <v>0.05</v>
      </c>
      <c r="N5175" s="464">
        <f t="shared" si="187"/>
        <v>208556</v>
      </c>
    </row>
    <row r="5176" spans="7:14" ht="11.25" customHeight="1" x14ac:dyDescent="0.3">
      <c r="G5176" s="459"/>
      <c r="H5176" s="459">
        <v>5169</v>
      </c>
      <c r="I5176" s="444">
        <f t="shared" ca="1" si="185"/>
        <v>-729706832511292.25</v>
      </c>
      <c r="J5176" s="444">
        <f t="array" ref="J5176">IFERROR(INDEX('Retirement Calculator'!K:K,MATCH('Lorri 401b'!N5176,'Retirement Calculator'!A:A,0),0),0)</f>
        <v>0</v>
      </c>
      <c r="K5176" s="444">
        <f t="shared" ca="1" si="183"/>
        <v>-3040445135463.7178</v>
      </c>
      <c r="L5176" s="444">
        <f t="shared" ca="1" si="184"/>
        <v>-732747277646756</v>
      </c>
      <c r="M5176" s="460">
        <f t="shared" si="186"/>
        <v>0.05</v>
      </c>
      <c r="N5176" s="464">
        <f t="shared" si="187"/>
        <v>208587</v>
      </c>
    </row>
    <row r="5177" spans="7:14" ht="11.25" customHeight="1" x14ac:dyDescent="0.3">
      <c r="G5177" s="459"/>
      <c r="H5177" s="459">
        <v>5170</v>
      </c>
      <c r="I5177" s="444">
        <f t="shared" ca="1" si="185"/>
        <v>-732747277646756</v>
      </c>
      <c r="J5177" s="444">
        <f t="array" ref="J5177">IFERROR(INDEX('Retirement Calculator'!K:K,MATCH('Lorri 401b'!N5177,'Retirement Calculator'!A:A,0),0),0)</f>
        <v>0</v>
      </c>
      <c r="K5177" s="444">
        <f t="shared" ca="1" si="183"/>
        <v>-3053113656861.4834</v>
      </c>
      <c r="L5177" s="444">
        <f t="shared" ca="1" si="184"/>
        <v>-735800391303617.5</v>
      </c>
      <c r="M5177" s="460">
        <f t="shared" si="186"/>
        <v>0.05</v>
      </c>
      <c r="N5177" s="464">
        <f t="shared" si="187"/>
        <v>208615</v>
      </c>
    </row>
    <row r="5178" spans="7:14" ht="11.25" customHeight="1" x14ac:dyDescent="0.3">
      <c r="G5178" s="459"/>
      <c r="H5178" s="459">
        <v>5171</v>
      </c>
      <c r="I5178" s="444">
        <f t="shared" ca="1" si="185"/>
        <v>-735800391303617.5</v>
      </c>
      <c r="J5178" s="444">
        <f t="array" ref="J5178">IFERROR(INDEX('Retirement Calculator'!K:K,MATCH('Lorri 401b'!N5178,'Retirement Calculator'!A:A,0),0),0)</f>
        <v>0</v>
      </c>
      <c r="K5178" s="444">
        <f t="shared" ca="1" si="183"/>
        <v>-3065834963765.0728</v>
      </c>
      <c r="L5178" s="444">
        <f t="shared" ca="1" si="184"/>
        <v>-738866226267382.63</v>
      </c>
      <c r="M5178" s="460">
        <f t="shared" si="186"/>
        <v>0.05</v>
      </c>
      <c r="N5178" s="464">
        <f t="shared" si="187"/>
        <v>208646</v>
      </c>
    </row>
    <row r="5179" spans="7:14" ht="11.25" customHeight="1" x14ac:dyDescent="0.3">
      <c r="G5179" s="459"/>
      <c r="H5179" s="459">
        <v>5172</v>
      </c>
      <c r="I5179" s="444">
        <f t="shared" ca="1" si="185"/>
        <v>-738866226267382.63</v>
      </c>
      <c r="J5179" s="444">
        <f t="array" ref="J5179">IFERROR(INDEX('Retirement Calculator'!K:K,MATCH('Lorri 401b'!N5179,'Retirement Calculator'!A:A,0),0),0)</f>
        <v>0</v>
      </c>
      <c r="K5179" s="444">
        <f t="shared" ca="1" si="183"/>
        <v>-3078609276114.0942</v>
      </c>
      <c r="L5179" s="444">
        <f t="shared" ca="1" si="184"/>
        <v>-741944835543496.75</v>
      </c>
      <c r="M5179" s="460">
        <f t="shared" si="186"/>
        <v>0.05</v>
      </c>
      <c r="N5179" s="464">
        <f t="shared" si="187"/>
        <v>208676</v>
      </c>
    </row>
    <row r="5180" spans="7:14" ht="11.25" customHeight="1" x14ac:dyDescent="0.3">
      <c r="G5180" s="459"/>
      <c r="H5180" s="459">
        <v>5173</v>
      </c>
      <c r="I5180" s="444">
        <f t="shared" ca="1" si="185"/>
        <v>-741944835543496.75</v>
      </c>
      <c r="J5180" s="444">
        <f t="array" ref="J5180">IFERROR(INDEX('Retirement Calculator'!K:K,MATCH('Lorri 401b'!N5180,'Retirement Calculator'!A:A,0),0),0)</f>
        <v>0</v>
      </c>
      <c r="K5180" s="444">
        <f t="shared" ca="1" si="183"/>
        <v>-3091436814764.5698</v>
      </c>
      <c r="L5180" s="444">
        <f t="shared" ca="1" si="184"/>
        <v>-745036272358261.38</v>
      </c>
      <c r="M5180" s="460">
        <f t="shared" si="186"/>
        <v>0.05</v>
      </c>
      <c r="N5180" s="464">
        <f t="shared" si="187"/>
        <v>208707</v>
      </c>
    </row>
    <row r="5181" spans="7:14" ht="11.25" customHeight="1" x14ac:dyDescent="0.3">
      <c r="G5181" s="459"/>
      <c r="H5181" s="459">
        <v>5174</v>
      </c>
      <c r="I5181" s="444">
        <f t="shared" ca="1" si="185"/>
        <v>-745036272358261.38</v>
      </c>
      <c r="J5181" s="444">
        <f t="array" ref="J5181">IFERROR(INDEX('Retirement Calculator'!K:K,MATCH('Lorri 401b'!N5181,'Retirement Calculator'!A:A,0),0),0)</f>
        <v>0</v>
      </c>
      <c r="K5181" s="444">
        <f t="shared" ca="1" si="183"/>
        <v>-3104317801492.7559</v>
      </c>
      <c r="L5181" s="444">
        <f t="shared" ca="1" si="184"/>
        <v>-748140590159754.13</v>
      </c>
      <c r="M5181" s="460">
        <f t="shared" si="186"/>
        <v>0.05</v>
      </c>
      <c r="N5181" s="464">
        <f t="shared" si="187"/>
        <v>208737</v>
      </c>
    </row>
    <row r="5182" spans="7:14" ht="11.25" customHeight="1" x14ac:dyDescent="0.3">
      <c r="G5182" s="459"/>
      <c r="H5182" s="459">
        <v>5175</v>
      </c>
      <c r="I5182" s="444">
        <f t="shared" ca="1" si="185"/>
        <v>-748140590159754.13</v>
      </c>
      <c r="J5182" s="444">
        <f t="array" ref="J5182">IFERROR(INDEX('Retirement Calculator'!K:K,MATCH('Lorri 401b'!N5182,'Retirement Calculator'!A:A,0),0),0)</f>
        <v>0</v>
      </c>
      <c r="K5182" s="444">
        <f t="shared" ca="1" si="183"/>
        <v>-3117252458998.9756</v>
      </c>
      <c r="L5182" s="444">
        <f t="shared" ca="1" si="184"/>
        <v>-751257842618753.13</v>
      </c>
      <c r="M5182" s="460">
        <f t="shared" si="186"/>
        <v>0.05</v>
      </c>
      <c r="N5182" s="464">
        <f t="shared" si="187"/>
        <v>208768</v>
      </c>
    </row>
    <row r="5183" spans="7:14" ht="11.25" customHeight="1" x14ac:dyDescent="0.3">
      <c r="G5183" s="459"/>
      <c r="H5183" s="459">
        <v>5176</v>
      </c>
      <c r="I5183" s="444">
        <f t="shared" ca="1" si="185"/>
        <v>-751257842618753.13</v>
      </c>
      <c r="J5183" s="444">
        <f t="array" ref="J5183">IFERROR(INDEX('Retirement Calculator'!K:K,MATCH('Lorri 401b'!N5183,'Retirement Calculator'!A:A,0),0),0)</f>
        <v>0</v>
      </c>
      <c r="K5183" s="444">
        <f t="shared" ca="1" si="183"/>
        <v>-3130241010911.4712</v>
      </c>
      <c r="L5183" s="444">
        <f t="shared" ca="1" si="184"/>
        <v>-754388083629664.63</v>
      </c>
      <c r="M5183" s="460">
        <f t="shared" si="186"/>
        <v>0.05</v>
      </c>
      <c r="N5183" s="464">
        <f t="shared" si="187"/>
        <v>208799</v>
      </c>
    </row>
    <row r="5184" spans="7:14" ht="11.25" customHeight="1" x14ac:dyDescent="0.3">
      <c r="G5184" s="459"/>
      <c r="H5184" s="459">
        <v>5177</v>
      </c>
      <c r="I5184" s="444">
        <f t="shared" ca="1" si="185"/>
        <v>-754388083629664.63</v>
      </c>
      <c r="J5184" s="444">
        <f t="array" ref="J5184">IFERROR(INDEX('Retirement Calculator'!K:K,MATCH('Lorri 401b'!N5184,'Retirement Calculator'!A:A,0),0),0)</f>
        <v>0</v>
      </c>
      <c r="K5184" s="444">
        <f t="shared" ca="1" si="183"/>
        <v>-3143283681790.269</v>
      </c>
      <c r="L5184" s="444">
        <f t="shared" ca="1" si="184"/>
        <v>-757531367311454.88</v>
      </c>
      <c r="M5184" s="460">
        <f t="shared" si="186"/>
        <v>0.05</v>
      </c>
      <c r="N5184" s="464">
        <f t="shared" si="187"/>
        <v>208829</v>
      </c>
    </row>
    <row r="5185" spans="7:14" ht="11.25" customHeight="1" x14ac:dyDescent="0.3">
      <c r="G5185" s="459"/>
      <c r="H5185" s="459">
        <v>5178</v>
      </c>
      <c r="I5185" s="444">
        <f t="shared" ca="1" si="185"/>
        <v>-757531367311454.88</v>
      </c>
      <c r="J5185" s="444">
        <f t="array" ref="J5185">IFERROR(INDEX('Retirement Calculator'!K:K,MATCH('Lorri 401b'!N5185,'Retirement Calculator'!A:A,0),0),0)</f>
        <v>0</v>
      </c>
      <c r="K5185" s="444">
        <f t="shared" ca="1" si="183"/>
        <v>-3156380697131.062</v>
      </c>
      <c r="L5185" s="444">
        <f t="shared" ca="1" si="184"/>
        <v>-760687748008585.88</v>
      </c>
      <c r="M5185" s="460">
        <f t="shared" si="186"/>
        <v>0.05</v>
      </c>
      <c r="N5185" s="464">
        <f t="shared" si="187"/>
        <v>208860</v>
      </c>
    </row>
    <row r="5186" spans="7:14" ht="11.25" customHeight="1" x14ac:dyDescent="0.3">
      <c r="G5186" s="459"/>
      <c r="H5186" s="459">
        <v>5179</v>
      </c>
      <c r="I5186" s="444">
        <f t="shared" ca="1" si="185"/>
        <v>-760687748008585.88</v>
      </c>
      <c r="J5186" s="444">
        <f t="array" ref="J5186">IFERROR(INDEX('Retirement Calculator'!K:K,MATCH('Lorri 401b'!N5186,'Retirement Calculator'!A:A,0),0),0)</f>
        <v>0</v>
      </c>
      <c r="K5186" s="444">
        <f t="shared" ca="1" si="183"/>
        <v>-3169532283369.1079</v>
      </c>
      <c r="L5186" s="444">
        <f t="shared" ca="1" si="184"/>
        <v>-763857280291955</v>
      </c>
      <c r="M5186" s="460">
        <f t="shared" si="186"/>
        <v>0.05</v>
      </c>
      <c r="N5186" s="464">
        <f t="shared" si="187"/>
        <v>208890</v>
      </c>
    </row>
    <row r="5187" spans="7:14" ht="11.25" customHeight="1" x14ac:dyDescent="0.3">
      <c r="G5187" s="459"/>
      <c r="H5187" s="459">
        <v>5180</v>
      </c>
      <c r="I5187" s="444">
        <f t="shared" ca="1" si="185"/>
        <v>-763857280291955</v>
      </c>
      <c r="J5187" s="444">
        <f t="array" ref="J5187">IFERROR(INDEX('Retirement Calculator'!K:K,MATCH('Lorri 401b'!N5187,'Retirement Calculator'!A:A,0),0),0)</f>
        <v>0</v>
      </c>
      <c r="K5187" s="444">
        <f t="shared" ca="1" si="183"/>
        <v>-3182738667883.146</v>
      </c>
      <c r="L5187" s="444">
        <f t="shared" ca="1" si="184"/>
        <v>-767040018959838.13</v>
      </c>
      <c r="M5187" s="460">
        <f t="shared" si="186"/>
        <v>0.05</v>
      </c>
      <c r="N5187" s="464">
        <f t="shared" si="187"/>
        <v>208921</v>
      </c>
    </row>
    <row r="5188" spans="7:14" ht="11.25" customHeight="1" x14ac:dyDescent="0.3">
      <c r="G5188" s="459"/>
      <c r="H5188" s="459">
        <v>5181</v>
      </c>
      <c r="I5188" s="444">
        <f t="shared" ca="1" si="185"/>
        <v>-767040018959838.13</v>
      </c>
      <c r="J5188" s="444">
        <f t="array" ref="J5188">IFERROR(INDEX('Retirement Calculator'!K:K,MATCH('Lorri 401b'!N5188,'Retirement Calculator'!A:A,0),0),0)</f>
        <v>0</v>
      </c>
      <c r="K5188" s="444">
        <f t="shared" ca="1" si="183"/>
        <v>-3196000078999.3257</v>
      </c>
      <c r="L5188" s="444">
        <f t="shared" ca="1" si="184"/>
        <v>-770236019038837.5</v>
      </c>
      <c r="M5188" s="460">
        <f t="shared" si="186"/>
        <v>0.05</v>
      </c>
      <c r="N5188" s="464">
        <f t="shared" si="187"/>
        <v>208952</v>
      </c>
    </row>
    <row r="5189" spans="7:14" ht="11.25" customHeight="1" x14ac:dyDescent="0.3">
      <c r="G5189" s="459"/>
      <c r="H5189" s="459">
        <v>5182</v>
      </c>
      <c r="I5189" s="444">
        <f t="shared" ca="1" si="185"/>
        <v>-770236019038837.5</v>
      </c>
      <c r="J5189" s="444">
        <f t="array" ref="J5189">IFERROR(INDEX('Retirement Calculator'!K:K,MATCH('Lorri 401b'!N5189,'Retirement Calculator'!A:A,0),0),0)</f>
        <v>0</v>
      </c>
      <c r="K5189" s="444">
        <f t="shared" ca="1" si="183"/>
        <v>-3209316745995.1563</v>
      </c>
      <c r="L5189" s="444">
        <f t="shared" ca="1" si="184"/>
        <v>-773445335784832.63</v>
      </c>
      <c r="M5189" s="460">
        <f t="shared" si="186"/>
        <v>0.05</v>
      </c>
      <c r="N5189" s="464">
        <f t="shared" si="187"/>
        <v>208981</v>
      </c>
    </row>
    <row r="5190" spans="7:14" ht="11.25" customHeight="1" x14ac:dyDescent="0.3">
      <c r="G5190" s="459"/>
      <c r="H5190" s="459">
        <v>5183</v>
      </c>
      <c r="I5190" s="444">
        <f t="shared" ca="1" si="185"/>
        <v>-773445335784832.63</v>
      </c>
      <c r="J5190" s="444">
        <f t="array" ref="J5190">IFERROR(INDEX('Retirement Calculator'!K:K,MATCH('Lorri 401b'!N5190,'Retirement Calculator'!A:A,0),0),0)</f>
        <v>0</v>
      </c>
      <c r="K5190" s="444">
        <f t="shared" ca="1" si="183"/>
        <v>-3222688899103.4692</v>
      </c>
      <c r="L5190" s="444">
        <f t="shared" ca="1" si="184"/>
        <v>-776668024683936.13</v>
      </c>
      <c r="M5190" s="460">
        <f t="shared" si="186"/>
        <v>0.05</v>
      </c>
      <c r="N5190" s="464">
        <f t="shared" si="187"/>
        <v>209012</v>
      </c>
    </row>
    <row r="5191" spans="7:14" ht="11.25" customHeight="1" x14ac:dyDescent="0.3">
      <c r="G5191" s="459"/>
      <c r="H5191" s="459">
        <v>5184</v>
      </c>
      <c r="I5191" s="444">
        <f t="shared" ca="1" si="185"/>
        <v>-776668024683936.13</v>
      </c>
      <c r="J5191" s="444">
        <f t="array" ref="J5191">IFERROR(INDEX('Retirement Calculator'!K:K,MATCH('Lorri 401b'!N5191,'Retirement Calculator'!A:A,0),0),0)</f>
        <v>0</v>
      </c>
      <c r="K5191" s="444">
        <f t="shared" ca="1" si="183"/>
        <v>-3236116769516.4004</v>
      </c>
      <c r="L5191" s="444">
        <f t="shared" ca="1" si="184"/>
        <v>-779904141453452.5</v>
      </c>
      <c r="M5191" s="460">
        <f t="shared" si="186"/>
        <v>0.05</v>
      </c>
      <c r="N5191" s="464">
        <f t="shared" si="187"/>
        <v>209042</v>
      </c>
    </row>
    <row r="5192" spans="7:14" ht="11.25" customHeight="1" x14ac:dyDescent="0.3">
      <c r="G5192" s="459"/>
      <c r="H5192" s="459">
        <v>5185</v>
      </c>
      <c r="I5192" s="444">
        <f t="shared" ca="1" si="185"/>
        <v>-779904141453452.5</v>
      </c>
      <c r="J5192" s="444">
        <f t="array" ref="J5192">IFERROR(INDEX('Retirement Calculator'!K:K,MATCH('Lorri 401b'!N5192,'Retirement Calculator'!A:A,0),0),0)</f>
        <v>0</v>
      </c>
      <c r="K5192" s="444">
        <f t="shared" ca="1" si="183"/>
        <v>-3249600589389.3853</v>
      </c>
      <c r="L5192" s="444">
        <f t="shared" ca="1" si="184"/>
        <v>-783153742042841.88</v>
      </c>
      <c r="M5192" s="460">
        <f t="shared" si="186"/>
        <v>0.05</v>
      </c>
      <c r="N5192" s="464">
        <f t="shared" si="187"/>
        <v>209073</v>
      </c>
    </row>
    <row r="5193" spans="7:14" ht="11.25" customHeight="1" x14ac:dyDescent="0.3">
      <c r="G5193" s="459"/>
      <c r="H5193" s="459">
        <v>5186</v>
      </c>
      <c r="I5193" s="444">
        <f t="shared" ca="1" si="185"/>
        <v>-783153742042841.88</v>
      </c>
      <c r="J5193" s="444">
        <f t="array" ref="J5193">IFERROR(INDEX('Retirement Calculator'!K:K,MATCH('Lorri 401b'!N5193,'Retirement Calculator'!A:A,0),0),0)</f>
        <v>0</v>
      </c>
      <c r="K5193" s="444">
        <f t="shared" ca="1" si="183"/>
        <v>-3263140591845.1743</v>
      </c>
      <c r="L5193" s="444">
        <f t="shared" ca="1" si="184"/>
        <v>-786416882634687</v>
      </c>
      <c r="M5193" s="460">
        <f t="shared" si="186"/>
        <v>0.05</v>
      </c>
      <c r="N5193" s="464">
        <f t="shared" si="187"/>
        <v>209103</v>
      </c>
    </row>
    <row r="5194" spans="7:14" ht="11.25" customHeight="1" x14ac:dyDescent="0.3">
      <c r="G5194" s="459"/>
      <c r="H5194" s="459">
        <v>5187</v>
      </c>
      <c r="I5194" s="444">
        <f t="shared" ca="1" si="185"/>
        <v>-786416882634687</v>
      </c>
      <c r="J5194" s="444">
        <f t="array" ref="J5194">IFERROR(INDEX('Retirement Calculator'!K:K,MATCH('Lorri 401b'!N5194,'Retirement Calculator'!A:A,0),0),0)</f>
        <v>0</v>
      </c>
      <c r="K5194" s="444">
        <f t="shared" ca="1" si="183"/>
        <v>-3276737010977.8623</v>
      </c>
      <c r="L5194" s="444">
        <f t="shared" ca="1" si="184"/>
        <v>-789693619645664.88</v>
      </c>
      <c r="M5194" s="460">
        <f t="shared" si="186"/>
        <v>0.05</v>
      </c>
      <c r="N5194" s="464">
        <f t="shared" si="187"/>
        <v>209134</v>
      </c>
    </row>
    <row r="5195" spans="7:14" ht="11.25" customHeight="1" x14ac:dyDescent="0.3">
      <c r="G5195" s="459"/>
      <c r="H5195" s="459">
        <v>5188</v>
      </c>
      <c r="I5195" s="444">
        <f t="shared" ca="1" si="185"/>
        <v>-789693619645664.88</v>
      </c>
      <c r="J5195" s="444">
        <f t="array" ref="J5195">IFERROR(INDEX('Retirement Calculator'!K:K,MATCH('Lorri 401b'!N5195,'Retirement Calculator'!A:A,0),0),0)</f>
        <v>0</v>
      </c>
      <c r="K5195" s="444">
        <f t="shared" ca="1" si="183"/>
        <v>-3290390081856.937</v>
      </c>
      <c r="L5195" s="444">
        <f t="shared" ca="1" si="184"/>
        <v>-792984009727521.75</v>
      </c>
      <c r="M5195" s="460">
        <f t="shared" si="186"/>
        <v>0.05</v>
      </c>
      <c r="N5195" s="464">
        <f t="shared" si="187"/>
        <v>209165</v>
      </c>
    </row>
    <row r="5196" spans="7:14" ht="11.25" customHeight="1" x14ac:dyDescent="0.3">
      <c r="G5196" s="459"/>
      <c r="H5196" s="459">
        <v>5189</v>
      </c>
      <c r="I5196" s="444">
        <f t="shared" ca="1" si="185"/>
        <v>-792984009727521.75</v>
      </c>
      <c r="J5196" s="444">
        <f t="array" ref="J5196">IFERROR(INDEX('Retirement Calculator'!K:K,MATCH('Lorri 401b'!N5196,'Retirement Calculator'!A:A,0),0),0)</f>
        <v>0</v>
      </c>
      <c r="K5196" s="444">
        <f t="shared" ca="1" si="183"/>
        <v>-3304100040531.3408</v>
      </c>
      <c r="L5196" s="444">
        <f t="shared" ca="1" si="184"/>
        <v>-796288109768053.13</v>
      </c>
      <c r="M5196" s="460">
        <f t="shared" si="186"/>
        <v>0.05</v>
      </c>
      <c r="N5196" s="464">
        <f t="shared" si="187"/>
        <v>209195</v>
      </c>
    </row>
    <row r="5197" spans="7:14" ht="11.25" customHeight="1" x14ac:dyDescent="0.3">
      <c r="G5197" s="459"/>
      <c r="H5197" s="459">
        <v>5190</v>
      </c>
      <c r="I5197" s="444">
        <f t="shared" ca="1" si="185"/>
        <v>-796288109768053.13</v>
      </c>
      <c r="J5197" s="444">
        <f t="array" ref="J5197">IFERROR(INDEX('Retirement Calculator'!K:K,MATCH('Lorri 401b'!N5197,'Retirement Calculator'!A:A,0),0),0)</f>
        <v>0</v>
      </c>
      <c r="K5197" s="444">
        <f t="shared" ca="1" si="183"/>
        <v>-3317867124033.5547</v>
      </c>
      <c r="L5197" s="444">
        <f t="shared" ca="1" si="184"/>
        <v>-799605976892086.63</v>
      </c>
      <c r="M5197" s="460">
        <f t="shared" si="186"/>
        <v>0.05</v>
      </c>
      <c r="N5197" s="464">
        <f t="shared" si="187"/>
        <v>209226</v>
      </c>
    </row>
    <row r="5198" spans="7:14" ht="11.25" customHeight="1" x14ac:dyDescent="0.3">
      <c r="G5198" s="459"/>
      <c r="H5198" s="459">
        <v>5191</v>
      </c>
      <c r="I5198" s="444">
        <f t="shared" ca="1" si="185"/>
        <v>-799605976892086.63</v>
      </c>
      <c r="J5198" s="444">
        <f t="array" ref="J5198">IFERROR(INDEX('Retirement Calculator'!K:K,MATCH('Lorri 401b'!N5198,'Retirement Calculator'!A:A,0),0),0)</f>
        <v>0</v>
      </c>
      <c r="K5198" s="444">
        <f t="shared" ca="1" si="183"/>
        <v>-3331691570383.6943</v>
      </c>
      <c r="L5198" s="444">
        <f t="shared" ca="1" si="184"/>
        <v>-802937668462470.38</v>
      </c>
      <c r="M5198" s="460">
        <f t="shared" si="186"/>
        <v>0.05</v>
      </c>
      <c r="N5198" s="464">
        <f t="shared" si="187"/>
        <v>209256</v>
      </c>
    </row>
    <row r="5199" spans="7:14" ht="11.25" customHeight="1" x14ac:dyDescent="0.3">
      <c r="G5199" s="459"/>
      <c r="H5199" s="459">
        <v>5192</v>
      </c>
      <c r="I5199" s="444">
        <f t="shared" ca="1" si="185"/>
        <v>-802937668462470.38</v>
      </c>
      <c r="J5199" s="444">
        <f t="array" ref="J5199">IFERROR(INDEX('Retirement Calculator'!K:K,MATCH('Lorri 401b'!N5199,'Retirement Calculator'!A:A,0),0),0)</f>
        <v>0</v>
      </c>
      <c r="K5199" s="444">
        <f t="shared" ca="1" si="183"/>
        <v>-3345573618593.6265</v>
      </c>
      <c r="L5199" s="444">
        <f t="shared" ca="1" si="184"/>
        <v>-806283242081064</v>
      </c>
      <c r="M5199" s="460">
        <f t="shared" si="186"/>
        <v>0.05</v>
      </c>
      <c r="N5199" s="464">
        <f t="shared" si="187"/>
        <v>209287</v>
      </c>
    </row>
    <row r="5200" spans="7:14" ht="11.25" customHeight="1" x14ac:dyDescent="0.3">
      <c r="G5200" s="459"/>
      <c r="H5200" s="459">
        <v>5193</v>
      </c>
      <c r="I5200" s="444">
        <f t="shared" ca="1" si="185"/>
        <v>-806283242081064</v>
      </c>
      <c r="J5200" s="444">
        <f t="array" ref="J5200">IFERROR(INDEX('Retirement Calculator'!K:K,MATCH('Lorri 401b'!N5200,'Retirement Calculator'!A:A,0),0),0)</f>
        <v>0</v>
      </c>
      <c r="K5200" s="444">
        <f t="shared" ca="1" si="183"/>
        <v>-3359513508671.1001</v>
      </c>
      <c r="L5200" s="444">
        <f t="shared" ca="1" si="184"/>
        <v>-809642755589735.13</v>
      </c>
      <c r="M5200" s="460">
        <f t="shared" si="186"/>
        <v>0.05</v>
      </c>
      <c r="N5200" s="464">
        <f t="shared" si="187"/>
        <v>209318</v>
      </c>
    </row>
    <row r="5201" spans="7:14" ht="11.25" customHeight="1" x14ac:dyDescent="0.3">
      <c r="G5201" s="459"/>
      <c r="H5201" s="459">
        <v>5194</v>
      </c>
      <c r="I5201" s="444">
        <f t="shared" ca="1" si="185"/>
        <v>-809642755589735.13</v>
      </c>
      <c r="J5201" s="444">
        <f t="array" ref="J5201">IFERROR(INDEX('Retirement Calculator'!K:K,MATCH('Lorri 401b'!N5201,'Retirement Calculator'!A:A,0),0),0)</f>
        <v>0</v>
      </c>
      <c r="K5201" s="444">
        <f t="shared" ca="1" si="183"/>
        <v>-3373511481623.8965</v>
      </c>
      <c r="L5201" s="444">
        <f t="shared" ca="1" si="184"/>
        <v>-813016267071359</v>
      </c>
      <c r="M5201" s="460">
        <f t="shared" si="186"/>
        <v>0.05</v>
      </c>
      <c r="N5201" s="464">
        <f t="shared" si="187"/>
        <v>209346</v>
      </c>
    </row>
    <row r="5202" spans="7:14" ht="11.25" customHeight="1" x14ac:dyDescent="0.3">
      <c r="G5202" s="459"/>
      <c r="H5202" s="459">
        <v>5195</v>
      </c>
      <c r="I5202" s="444">
        <f t="shared" ca="1" si="185"/>
        <v>-813016267071359</v>
      </c>
      <c r="J5202" s="444">
        <f t="array" ref="J5202">IFERROR(INDEX('Retirement Calculator'!K:K,MATCH('Lorri 401b'!N5202,'Retirement Calculator'!A:A,0),0),0)</f>
        <v>0</v>
      </c>
      <c r="K5202" s="444">
        <f t="shared" ca="1" si="183"/>
        <v>-3387567779463.9956</v>
      </c>
      <c r="L5202" s="444">
        <f t="shared" ca="1" si="184"/>
        <v>-816403834850823</v>
      </c>
      <c r="M5202" s="460">
        <f t="shared" si="186"/>
        <v>0.05</v>
      </c>
      <c r="N5202" s="464">
        <f t="shared" si="187"/>
        <v>209377</v>
      </c>
    </row>
    <row r="5203" spans="7:14" ht="11.25" customHeight="1" x14ac:dyDescent="0.3">
      <c r="G5203" s="459"/>
      <c r="H5203" s="459">
        <v>5196</v>
      </c>
      <c r="I5203" s="444">
        <f t="shared" ca="1" si="185"/>
        <v>-816403834850823</v>
      </c>
      <c r="J5203" s="444">
        <f t="array" ref="J5203">IFERROR(INDEX('Retirement Calculator'!K:K,MATCH('Lorri 401b'!N5203,'Retirement Calculator'!A:A,0),0),0)</f>
        <v>0</v>
      </c>
      <c r="K5203" s="444">
        <f t="shared" ca="1" si="183"/>
        <v>-3401682645211.7627</v>
      </c>
      <c r="L5203" s="444">
        <f t="shared" ca="1" si="184"/>
        <v>-819805517496034.75</v>
      </c>
      <c r="M5203" s="460">
        <f t="shared" si="186"/>
        <v>0.05</v>
      </c>
      <c r="N5203" s="464">
        <f t="shared" si="187"/>
        <v>209407</v>
      </c>
    </row>
    <row r="5204" spans="7:14" ht="11.25" customHeight="1" x14ac:dyDescent="0.3">
      <c r="G5204" s="459"/>
      <c r="H5204" s="459">
        <v>5197</v>
      </c>
      <c r="I5204" s="444">
        <f t="shared" ca="1" si="185"/>
        <v>-819805517496034.75</v>
      </c>
      <c r="J5204" s="444">
        <f t="array" ref="J5204">IFERROR(INDEX('Retirement Calculator'!K:K,MATCH('Lorri 401b'!N5204,'Retirement Calculator'!A:A,0),0),0)</f>
        <v>0</v>
      </c>
      <c r="K5204" s="444">
        <f t="shared" ca="1" si="183"/>
        <v>-3415856322900.1445</v>
      </c>
      <c r="L5204" s="444">
        <f t="shared" ca="1" si="184"/>
        <v>-823221373818934.88</v>
      </c>
      <c r="M5204" s="460">
        <f t="shared" si="186"/>
        <v>0.05</v>
      </c>
      <c r="N5204" s="464">
        <f t="shared" si="187"/>
        <v>209438</v>
      </c>
    </row>
    <row r="5205" spans="7:14" ht="11.25" customHeight="1" x14ac:dyDescent="0.3">
      <c r="G5205" s="459"/>
      <c r="H5205" s="459">
        <v>5198</v>
      </c>
      <c r="I5205" s="444">
        <f t="shared" ca="1" si="185"/>
        <v>-823221373818934.88</v>
      </c>
      <c r="J5205" s="444">
        <f t="array" ref="J5205">IFERROR(INDEX('Retirement Calculator'!K:K,MATCH('Lorri 401b'!N5205,'Retirement Calculator'!A:A,0),0),0)</f>
        <v>0</v>
      </c>
      <c r="K5205" s="444">
        <f t="shared" ca="1" si="183"/>
        <v>-3430089057578.8955</v>
      </c>
      <c r="L5205" s="444">
        <f t="shared" ca="1" si="184"/>
        <v>-826651462876513.75</v>
      </c>
      <c r="M5205" s="460">
        <f t="shared" si="186"/>
        <v>0.05</v>
      </c>
      <c r="N5205" s="464">
        <f t="shared" si="187"/>
        <v>209468</v>
      </c>
    </row>
    <row r="5206" spans="7:14" ht="11.25" customHeight="1" x14ac:dyDescent="0.3">
      <c r="G5206" s="459"/>
      <c r="H5206" s="459">
        <v>5199</v>
      </c>
      <c r="I5206" s="444">
        <f t="shared" ca="1" si="185"/>
        <v>-826651462876513.75</v>
      </c>
      <c r="J5206" s="444">
        <f t="array" ref="J5206">IFERROR(INDEX('Retirement Calculator'!K:K,MATCH('Lorri 401b'!N5206,'Retirement Calculator'!A:A,0),0),0)</f>
        <v>0</v>
      </c>
      <c r="K5206" s="444">
        <f t="shared" ca="1" si="183"/>
        <v>-3444381095318.8071</v>
      </c>
      <c r="L5206" s="444">
        <f t="shared" ca="1" si="184"/>
        <v>-830095843971832.5</v>
      </c>
      <c r="M5206" s="460">
        <f t="shared" si="186"/>
        <v>0.05</v>
      </c>
      <c r="N5206" s="464">
        <f t="shared" si="187"/>
        <v>209499</v>
      </c>
    </row>
    <row r="5207" spans="7:14" ht="11.25" customHeight="1" x14ac:dyDescent="0.3">
      <c r="G5207" s="459"/>
      <c r="H5207" s="459">
        <v>5200</v>
      </c>
      <c r="I5207" s="444">
        <f t="shared" ca="1" si="185"/>
        <v>-830095843971832.5</v>
      </c>
      <c r="J5207" s="444">
        <f t="array" ref="J5207">IFERROR(INDEX('Retirement Calculator'!K:K,MATCH('Lorri 401b'!N5207,'Retirement Calculator'!A:A,0),0),0)</f>
        <v>0</v>
      </c>
      <c r="K5207" s="444">
        <f t="shared" ca="1" si="183"/>
        <v>-3458732683215.9688</v>
      </c>
      <c r="L5207" s="444">
        <f t="shared" ca="1" si="184"/>
        <v>-833554576655048.5</v>
      </c>
      <c r="M5207" s="460">
        <f t="shared" si="186"/>
        <v>0.05</v>
      </c>
      <c r="N5207" s="464">
        <f t="shared" si="187"/>
        <v>209530</v>
      </c>
    </row>
    <row r="5208" spans="7:14" ht="11.25" customHeight="1" x14ac:dyDescent="0.3">
      <c r="G5208" s="459"/>
      <c r="H5208" s="459">
        <v>5201</v>
      </c>
      <c r="I5208" s="444">
        <f t="shared" ca="1" si="185"/>
        <v>-833554576655048.5</v>
      </c>
      <c r="J5208" s="444">
        <f t="array" ref="J5208">IFERROR(INDEX('Retirement Calculator'!K:K,MATCH('Lorri 401b'!N5208,'Retirement Calculator'!A:A,0),0),0)</f>
        <v>0</v>
      </c>
      <c r="K5208" s="444">
        <f t="shared" ca="1" si="183"/>
        <v>-3473144069396.0352</v>
      </c>
      <c r="L5208" s="444">
        <f t="shared" ca="1" si="184"/>
        <v>-837027720724444.5</v>
      </c>
      <c r="M5208" s="460">
        <f t="shared" si="186"/>
        <v>0.05</v>
      </c>
      <c r="N5208" s="464">
        <f t="shared" si="187"/>
        <v>209560</v>
      </c>
    </row>
    <row r="5209" spans="7:14" ht="11.25" customHeight="1" x14ac:dyDescent="0.3">
      <c r="G5209" s="459"/>
      <c r="H5209" s="459">
        <v>5202</v>
      </c>
      <c r="I5209" s="444">
        <f t="shared" ca="1" si="185"/>
        <v>-837027720724444.5</v>
      </c>
      <c r="J5209" s="444">
        <f t="array" ref="J5209">IFERROR(INDEX('Retirement Calculator'!K:K,MATCH('Lorri 401b'!N5209,'Retirement Calculator'!A:A,0),0),0)</f>
        <v>0</v>
      </c>
      <c r="K5209" s="444">
        <f t="shared" ca="1" si="183"/>
        <v>-3487615503018.5186</v>
      </c>
      <c r="L5209" s="444">
        <f t="shared" ca="1" si="184"/>
        <v>-840515336227463</v>
      </c>
      <c r="M5209" s="460">
        <f t="shared" si="186"/>
        <v>0.05</v>
      </c>
      <c r="N5209" s="464">
        <f t="shared" si="187"/>
        <v>209591</v>
      </c>
    </row>
    <row r="5210" spans="7:14" ht="11.25" customHeight="1" x14ac:dyDescent="0.3">
      <c r="G5210" s="459"/>
      <c r="H5210" s="459">
        <v>5203</v>
      </c>
      <c r="I5210" s="444">
        <f t="shared" ca="1" si="185"/>
        <v>-840515336227463</v>
      </c>
      <c r="J5210" s="444">
        <f t="array" ref="J5210">IFERROR(INDEX('Retirement Calculator'!K:K,MATCH('Lorri 401b'!N5210,'Retirement Calculator'!A:A,0),0),0)</f>
        <v>0</v>
      </c>
      <c r="K5210" s="444">
        <f t="shared" ca="1" si="183"/>
        <v>-3502147234281.0957</v>
      </c>
      <c r="L5210" s="444">
        <f t="shared" ca="1" si="184"/>
        <v>-844017483461744.13</v>
      </c>
      <c r="M5210" s="460">
        <f t="shared" si="186"/>
        <v>0.05</v>
      </c>
      <c r="N5210" s="464">
        <f t="shared" si="187"/>
        <v>209621</v>
      </c>
    </row>
    <row r="5211" spans="7:14" ht="11.25" customHeight="1" x14ac:dyDescent="0.3">
      <c r="G5211" s="459"/>
      <c r="H5211" s="459">
        <v>5204</v>
      </c>
      <c r="I5211" s="444">
        <f t="shared" ca="1" si="185"/>
        <v>-844017483461744.13</v>
      </c>
      <c r="J5211" s="444">
        <f t="array" ref="J5211">IFERROR(INDEX('Retirement Calculator'!K:K,MATCH('Lorri 401b'!N5211,'Retirement Calculator'!A:A,0),0),0)</f>
        <v>0</v>
      </c>
      <c r="K5211" s="444">
        <f t="shared" ca="1" si="183"/>
        <v>-3516739514423.9336</v>
      </c>
      <c r="L5211" s="444">
        <f t="shared" ca="1" si="184"/>
        <v>-847534222976168</v>
      </c>
      <c r="M5211" s="460">
        <f t="shared" si="186"/>
        <v>0.05</v>
      </c>
      <c r="N5211" s="464">
        <f t="shared" si="187"/>
        <v>209652</v>
      </c>
    </row>
    <row r="5212" spans="7:14" ht="11.25" customHeight="1" x14ac:dyDescent="0.3">
      <c r="G5212" s="459"/>
      <c r="H5212" s="459">
        <v>5205</v>
      </c>
      <c r="I5212" s="444">
        <f t="shared" ca="1" si="185"/>
        <v>-847534222976168</v>
      </c>
      <c r="J5212" s="444">
        <f t="array" ref="J5212">IFERROR(INDEX('Retirement Calculator'!K:K,MATCH('Lorri 401b'!N5212,'Retirement Calculator'!A:A,0),0),0)</f>
        <v>0</v>
      </c>
      <c r="K5212" s="444">
        <f t="shared" ca="1" si="183"/>
        <v>-3531392595734.0332</v>
      </c>
      <c r="L5212" s="444">
        <f t="shared" ca="1" si="184"/>
        <v>-851065615571902</v>
      </c>
      <c r="M5212" s="460">
        <f t="shared" si="186"/>
        <v>0.05</v>
      </c>
      <c r="N5212" s="464">
        <f t="shared" si="187"/>
        <v>209683</v>
      </c>
    </row>
    <row r="5213" spans="7:14" ht="11.25" customHeight="1" x14ac:dyDescent="0.3">
      <c r="G5213" s="459"/>
      <c r="H5213" s="459">
        <v>5206</v>
      </c>
      <c r="I5213" s="444">
        <f t="shared" ca="1" si="185"/>
        <v>-851065615571902</v>
      </c>
      <c r="J5213" s="444">
        <f t="array" ref="J5213">IFERROR(INDEX('Retirement Calculator'!K:K,MATCH('Lorri 401b'!N5213,'Retirement Calculator'!A:A,0),0),0)</f>
        <v>0</v>
      </c>
      <c r="K5213" s="444">
        <f t="shared" ca="1" si="183"/>
        <v>-3546106731549.5918</v>
      </c>
      <c r="L5213" s="444">
        <f t="shared" ca="1" si="184"/>
        <v>-854611722303451.63</v>
      </c>
      <c r="M5213" s="460">
        <f t="shared" si="186"/>
        <v>0.05</v>
      </c>
      <c r="N5213" s="464">
        <f t="shared" si="187"/>
        <v>209711</v>
      </c>
    </row>
    <row r="5214" spans="7:14" ht="11.25" customHeight="1" x14ac:dyDescent="0.3">
      <c r="G5214" s="459"/>
      <c r="H5214" s="459">
        <v>5207</v>
      </c>
      <c r="I5214" s="444">
        <f t="shared" ca="1" si="185"/>
        <v>-854611722303451.63</v>
      </c>
      <c r="J5214" s="444">
        <f t="array" ref="J5214">IFERROR(INDEX('Retirement Calculator'!K:K,MATCH('Lorri 401b'!N5214,'Retirement Calculator'!A:A,0),0),0)</f>
        <v>0</v>
      </c>
      <c r="K5214" s="444">
        <f t="shared" ca="1" si="183"/>
        <v>-3560882176264.3818</v>
      </c>
      <c r="L5214" s="444">
        <f t="shared" ca="1" si="184"/>
        <v>-858172604479716</v>
      </c>
      <c r="M5214" s="460">
        <f t="shared" si="186"/>
        <v>0.05</v>
      </c>
      <c r="N5214" s="464">
        <f t="shared" si="187"/>
        <v>209742</v>
      </c>
    </row>
    <row r="5215" spans="7:14" ht="11.25" customHeight="1" x14ac:dyDescent="0.3">
      <c r="G5215" s="459"/>
      <c r="H5215" s="459">
        <v>5208</v>
      </c>
      <c r="I5215" s="444">
        <f t="shared" ca="1" si="185"/>
        <v>-858172604479716</v>
      </c>
      <c r="J5215" s="444">
        <f t="array" ref="J5215">IFERROR(INDEX('Retirement Calculator'!K:K,MATCH('Lorri 401b'!N5215,'Retirement Calculator'!A:A,0),0),0)</f>
        <v>0</v>
      </c>
      <c r="K5215" s="444">
        <f t="shared" ca="1" si="183"/>
        <v>-3575719185332.1499</v>
      </c>
      <c r="L5215" s="444">
        <f t="shared" ca="1" si="184"/>
        <v>-861748323665048.13</v>
      </c>
      <c r="M5215" s="460">
        <f t="shared" si="186"/>
        <v>0.05</v>
      </c>
      <c r="N5215" s="464">
        <f t="shared" si="187"/>
        <v>209772</v>
      </c>
    </row>
    <row r="5216" spans="7:14" ht="11.25" customHeight="1" x14ac:dyDescent="0.3">
      <c r="G5216" s="459"/>
      <c r="H5216" s="459">
        <v>5209</v>
      </c>
      <c r="I5216" s="444">
        <f t="shared" ca="1" si="185"/>
        <v>-861748323665048.13</v>
      </c>
      <c r="J5216" s="444">
        <f t="array" ref="J5216">IFERROR(INDEX('Retirement Calculator'!K:K,MATCH('Lorri 401b'!N5216,'Retirement Calculator'!A:A,0),0),0)</f>
        <v>0</v>
      </c>
      <c r="K5216" s="444">
        <f t="shared" ca="1" si="183"/>
        <v>-3590618015271.0337</v>
      </c>
      <c r="L5216" s="444">
        <f t="shared" ca="1" si="184"/>
        <v>-865338941680319.13</v>
      </c>
      <c r="M5216" s="460">
        <f t="shared" si="186"/>
        <v>0.05</v>
      </c>
      <c r="N5216" s="464">
        <f t="shared" si="187"/>
        <v>209803</v>
      </c>
    </row>
    <row r="5217" spans="7:14" ht="11.25" customHeight="1" x14ac:dyDescent="0.3">
      <c r="G5217" s="459"/>
      <c r="H5217" s="459">
        <v>5210</v>
      </c>
      <c r="I5217" s="444">
        <f t="shared" ca="1" si="185"/>
        <v>-865338941680319.13</v>
      </c>
      <c r="J5217" s="444">
        <f t="array" ref="J5217">IFERROR(INDEX('Retirement Calculator'!K:K,MATCH('Lorri 401b'!N5217,'Retirement Calculator'!A:A,0),0),0)</f>
        <v>0</v>
      </c>
      <c r="K5217" s="444">
        <f t="shared" ca="1" si="183"/>
        <v>-3605578923667.9961</v>
      </c>
      <c r="L5217" s="444">
        <f t="shared" ca="1" si="184"/>
        <v>-868944520603987.13</v>
      </c>
      <c r="M5217" s="460">
        <f t="shared" si="186"/>
        <v>0.05</v>
      </c>
      <c r="N5217" s="464">
        <f t="shared" si="187"/>
        <v>209833</v>
      </c>
    </row>
    <row r="5218" spans="7:14" ht="11.25" customHeight="1" x14ac:dyDescent="0.3">
      <c r="G5218" s="459"/>
      <c r="H5218" s="459">
        <v>5211</v>
      </c>
      <c r="I5218" s="444">
        <f t="shared" ca="1" si="185"/>
        <v>-868944520603987.13</v>
      </c>
      <c r="J5218" s="444">
        <f t="array" ref="J5218">IFERROR(INDEX('Retirement Calculator'!K:K,MATCH('Lorri 401b'!N5218,'Retirement Calculator'!A:A,0),0),0)</f>
        <v>0</v>
      </c>
      <c r="K5218" s="444">
        <f t="shared" ca="1" si="183"/>
        <v>-3620602169183.2798</v>
      </c>
      <c r="L5218" s="444">
        <f t="shared" ca="1" si="184"/>
        <v>-872565122773170.38</v>
      </c>
      <c r="M5218" s="460">
        <f t="shared" si="186"/>
        <v>0.05</v>
      </c>
      <c r="N5218" s="464">
        <f t="shared" si="187"/>
        <v>209864</v>
      </c>
    </row>
    <row r="5219" spans="7:14" ht="11.25" customHeight="1" x14ac:dyDescent="0.3">
      <c r="G5219" s="459"/>
      <c r="H5219" s="459">
        <v>5212</v>
      </c>
      <c r="I5219" s="444">
        <f t="shared" ca="1" si="185"/>
        <v>-872565122773170.38</v>
      </c>
      <c r="J5219" s="444">
        <f t="array" ref="J5219">IFERROR(INDEX('Retirement Calculator'!K:K,MATCH('Lorri 401b'!N5219,'Retirement Calculator'!A:A,0),0),0)</f>
        <v>0</v>
      </c>
      <c r="K5219" s="444">
        <f t="shared" ca="1" si="183"/>
        <v>-3635688011554.8765</v>
      </c>
      <c r="L5219" s="444">
        <f t="shared" ca="1" si="184"/>
        <v>-876200810784725.25</v>
      </c>
      <c r="M5219" s="460">
        <f t="shared" si="186"/>
        <v>0.05</v>
      </c>
      <c r="N5219" s="464">
        <f t="shared" si="187"/>
        <v>209895</v>
      </c>
    </row>
    <row r="5220" spans="7:14" ht="11.25" customHeight="1" x14ac:dyDescent="0.3">
      <c r="G5220" s="459"/>
      <c r="H5220" s="459">
        <v>5213</v>
      </c>
      <c r="I5220" s="444">
        <f t="shared" ca="1" si="185"/>
        <v>-876200810784725.25</v>
      </c>
      <c r="J5220" s="444">
        <f t="array" ref="J5220">IFERROR(INDEX('Retirement Calculator'!K:K,MATCH('Lorri 401b'!N5220,'Retirement Calculator'!A:A,0),0),0)</f>
        <v>0</v>
      </c>
      <c r="K5220" s="444">
        <f t="shared" ca="1" si="183"/>
        <v>-3650836711603.022</v>
      </c>
      <c r="L5220" s="444">
        <f t="shared" ca="1" si="184"/>
        <v>-879851647496328.25</v>
      </c>
      <c r="M5220" s="460">
        <f t="shared" si="186"/>
        <v>0.05</v>
      </c>
      <c r="N5220" s="464">
        <f t="shared" si="187"/>
        <v>209925</v>
      </c>
    </row>
    <row r="5221" spans="7:14" ht="11.25" customHeight="1" x14ac:dyDescent="0.3">
      <c r="G5221" s="459"/>
      <c r="H5221" s="459">
        <v>5214</v>
      </c>
      <c r="I5221" s="444">
        <f t="shared" ca="1" si="185"/>
        <v>-879851647496328.25</v>
      </c>
      <c r="J5221" s="444">
        <f t="array" ref="J5221">IFERROR(INDEX('Retirement Calculator'!K:K,MATCH('Lorri 401b'!N5221,'Retirement Calculator'!A:A,0),0),0)</f>
        <v>0</v>
      </c>
      <c r="K5221" s="444">
        <f t="shared" ca="1" si="183"/>
        <v>-3666048531234.7012</v>
      </c>
      <c r="L5221" s="444">
        <f t="shared" ca="1" si="184"/>
        <v>-883517696027563</v>
      </c>
      <c r="M5221" s="460">
        <f t="shared" si="186"/>
        <v>0.05</v>
      </c>
      <c r="N5221" s="464">
        <f t="shared" si="187"/>
        <v>209956</v>
      </c>
    </row>
    <row r="5222" spans="7:14" ht="11.25" customHeight="1" x14ac:dyDescent="0.3">
      <c r="G5222" s="459"/>
      <c r="H5222" s="459">
        <v>5215</v>
      </c>
      <c r="I5222" s="444">
        <f t="shared" ca="1" si="185"/>
        <v>-883517696027563</v>
      </c>
      <c r="J5222" s="444">
        <f t="array" ref="J5222">IFERROR(INDEX('Retirement Calculator'!K:K,MATCH('Lorri 401b'!N5222,'Retirement Calculator'!A:A,0),0),0)</f>
        <v>0</v>
      </c>
      <c r="K5222" s="444">
        <f t="shared" ca="1" si="183"/>
        <v>-3681323733448.1792</v>
      </c>
      <c r="L5222" s="444">
        <f t="shared" ca="1" si="184"/>
        <v>-887199019761011.13</v>
      </c>
      <c r="M5222" s="460">
        <f t="shared" si="186"/>
        <v>0.05</v>
      </c>
      <c r="N5222" s="464">
        <f t="shared" si="187"/>
        <v>209986</v>
      </c>
    </row>
    <row r="5223" spans="7:14" ht="11.25" customHeight="1" x14ac:dyDescent="0.3">
      <c r="G5223" s="459"/>
      <c r="H5223" s="459">
        <v>5216</v>
      </c>
      <c r="I5223" s="444">
        <f t="shared" ca="1" si="185"/>
        <v>-887199019761011.13</v>
      </c>
      <c r="J5223" s="444">
        <f t="array" ref="J5223">IFERROR(INDEX('Retirement Calculator'!K:K,MATCH('Lorri 401b'!N5223,'Retirement Calculator'!A:A,0),0),0)</f>
        <v>0</v>
      </c>
      <c r="K5223" s="444">
        <f t="shared" ca="1" si="183"/>
        <v>-3696662582337.5464</v>
      </c>
      <c r="L5223" s="444">
        <f t="shared" ca="1" si="184"/>
        <v>-890895682343348.63</v>
      </c>
      <c r="M5223" s="460">
        <f t="shared" si="186"/>
        <v>0.05</v>
      </c>
      <c r="N5223" s="464">
        <f t="shared" si="187"/>
        <v>210017</v>
      </c>
    </row>
    <row r="5224" spans="7:14" ht="11.25" customHeight="1" x14ac:dyDescent="0.3">
      <c r="G5224" s="459"/>
      <c r="H5224" s="459">
        <v>5217</v>
      </c>
      <c r="I5224" s="444">
        <f t="shared" ca="1" si="185"/>
        <v>-890895682343348.63</v>
      </c>
      <c r="J5224" s="444">
        <f t="array" ref="J5224">IFERROR(INDEX('Retirement Calculator'!K:K,MATCH('Lorri 401b'!N5224,'Retirement Calculator'!A:A,0),0),0)</f>
        <v>0</v>
      </c>
      <c r="K5224" s="444">
        <f t="shared" ca="1" si="183"/>
        <v>-3712065343097.2856</v>
      </c>
      <c r="L5224" s="444">
        <f t="shared" ca="1" si="184"/>
        <v>-894607747686445.88</v>
      </c>
      <c r="M5224" s="460">
        <f t="shared" si="186"/>
        <v>0.05</v>
      </c>
      <c r="N5224" s="464">
        <f t="shared" si="187"/>
        <v>210048</v>
      </c>
    </row>
    <row r="5225" spans="7:14" ht="11.25" customHeight="1" x14ac:dyDescent="0.3">
      <c r="G5225" s="459"/>
      <c r="H5225" s="459">
        <v>5218</v>
      </c>
      <c r="I5225" s="444">
        <f t="shared" ca="1" si="185"/>
        <v>-894607747686445.88</v>
      </c>
      <c r="J5225" s="444">
        <f t="array" ref="J5225">IFERROR(INDEX('Retirement Calculator'!K:K,MATCH('Lorri 401b'!N5225,'Retirement Calculator'!A:A,0),0),0)</f>
        <v>0</v>
      </c>
      <c r="K5225" s="444">
        <f t="shared" ca="1" si="183"/>
        <v>-3727532282026.8579</v>
      </c>
      <c r="L5225" s="444">
        <f t="shared" ca="1" si="184"/>
        <v>-898335279968472.75</v>
      </c>
      <c r="M5225" s="460">
        <f t="shared" si="186"/>
        <v>0.05</v>
      </c>
      <c r="N5225" s="464">
        <f t="shared" si="187"/>
        <v>210076</v>
      </c>
    </row>
    <row r="5226" spans="7:14" ht="11.25" customHeight="1" x14ac:dyDescent="0.3">
      <c r="G5226" s="459"/>
      <c r="H5226" s="459">
        <v>5219</v>
      </c>
      <c r="I5226" s="444">
        <f t="shared" ca="1" si="185"/>
        <v>-898335279968472.75</v>
      </c>
      <c r="J5226" s="444">
        <f t="array" ref="J5226">IFERROR(INDEX('Retirement Calculator'!K:K,MATCH('Lorri 401b'!N5226,'Retirement Calculator'!A:A,0),0),0)</f>
        <v>0</v>
      </c>
      <c r="K5226" s="444">
        <f t="shared" ca="1" si="183"/>
        <v>-3743063666535.3032</v>
      </c>
      <c r="L5226" s="444">
        <f t="shared" ca="1" si="184"/>
        <v>-902078343635008</v>
      </c>
      <c r="M5226" s="460">
        <f t="shared" si="186"/>
        <v>0.05</v>
      </c>
      <c r="N5226" s="464">
        <f t="shared" si="187"/>
        <v>210107</v>
      </c>
    </row>
    <row r="5227" spans="7:14" ht="11.25" customHeight="1" x14ac:dyDescent="0.3">
      <c r="G5227" s="459"/>
      <c r="H5227" s="459">
        <v>5220</v>
      </c>
      <c r="I5227" s="444">
        <f t="shared" ca="1" si="185"/>
        <v>-902078343635008</v>
      </c>
      <c r="J5227" s="444">
        <f t="array" ref="J5227">IFERROR(INDEX('Retirement Calculator'!K:K,MATCH('Lorri 401b'!N5227,'Retirement Calculator'!A:A,0),0),0)</f>
        <v>0</v>
      </c>
      <c r="K5227" s="444">
        <f t="shared" ca="1" si="183"/>
        <v>-3758659765145.8662</v>
      </c>
      <c r="L5227" s="444">
        <f t="shared" ca="1" si="184"/>
        <v>-905837003400153.88</v>
      </c>
      <c r="M5227" s="460">
        <f t="shared" si="186"/>
        <v>0.05</v>
      </c>
      <c r="N5227" s="464">
        <f t="shared" si="187"/>
        <v>210137</v>
      </c>
    </row>
    <row r="5228" spans="7:14" ht="11.25" customHeight="1" x14ac:dyDescent="0.3">
      <c r="G5228" s="459"/>
      <c r="H5228" s="459">
        <v>5221</v>
      </c>
      <c r="I5228" s="444">
        <f t="shared" ca="1" si="185"/>
        <v>-905837003400153.88</v>
      </c>
      <c r="J5228" s="444">
        <f t="array" ref="J5228">IFERROR(INDEX('Retirement Calculator'!K:K,MATCH('Lorri 401b'!N5228,'Retirement Calculator'!A:A,0),0),0)</f>
        <v>0</v>
      </c>
      <c r="K5228" s="444">
        <f t="shared" ca="1" si="183"/>
        <v>-3774320847500.6416</v>
      </c>
      <c r="L5228" s="444">
        <f t="shared" ca="1" si="184"/>
        <v>-909611324247654.5</v>
      </c>
      <c r="M5228" s="460">
        <f t="shared" si="186"/>
        <v>0.05</v>
      </c>
      <c r="N5228" s="464">
        <f t="shared" si="187"/>
        <v>210168</v>
      </c>
    </row>
    <row r="5229" spans="7:14" ht="11.25" customHeight="1" x14ac:dyDescent="0.3">
      <c r="G5229" s="459"/>
      <c r="H5229" s="459">
        <v>5222</v>
      </c>
      <c r="I5229" s="444">
        <f t="shared" ca="1" si="185"/>
        <v>-909611324247654.5</v>
      </c>
      <c r="J5229" s="444">
        <f t="array" ref="J5229">IFERROR(INDEX('Retirement Calculator'!K:K,MATCH('Lorri 401b'!N5229,'Retirement Calculator'!A:A,0),0),0)</f>
        <v>0</v>
      </c>
      <c r="K5229" s="444">
        <f t="shared" ca="1" si="183"/>
        <v>-3790047184365.2271</v>
      </c>
      <c r="L5229" s="444">
        <f t="shared" ca="1" si="184"/>
        <v>-913401371432019.75</v>
      </c>
      <c r="M5229" s="460">
        <f t="shared" si="186"/>
        <v>0.05</v>
      </c>
      <c r="N5229" s="464">
        <f t="shared" si="187"/>
        <v>210198</v>
      </c>
    </row>
    <row r="5230" spans="7:14" ht="11.25" customHeight="1" x14ac:dyDescent="0.3">
      <c r="G5230" s="459"/>
      <c r="H5230" s="459">
        <v>5223</v>
      </c>
      <c r="I5230" s="444">
        <f t="shared" ca="1" si="185"/>
        <v>-913401371432019.75</v>
      </c>
      <c r="J5230" s="444">
        <f t="array" ref="J5230">IFERROR(INDEX('Retirement Calculator'!K:K,MATCH('Lorri 401b'!N5230,'Retirement Calculator'!A:A,0),0),0)</f>
        <v>0</v>
      </c>
      <c r="K5230" s="444">
        <f t="shared" ca="1" si="183"/>
        <v>-3805839047633.4155</v>
      </c>
      <c r="L5230" s="444">
        <f t="shared" ca="1" si="184"/>
        <v>-917207210479653.13</v>
      </c>
      <c r="M5230" s="460">
        <f t="shared" si="186"/>
        <v>0.05</v>
      </c>
      <c r="N5230" s="464">
        <f t="shared" si="187"/>
        <v>210229</v>
      </c>
    </row>
    <row r="5231" spans="7:14" ht="11.25" customHeight="1" x14ac:dyDescent="0.3">
      <c r="G5231" s="459"/>
      <c r="H5231" s="459">
        <v>5224</v>
      </c>
      <c r="I5231" s="444">
        <f t="shared" ca="1" si="185"/>
        <v>-917207210479653.13</v>
      </c>
      <c r="J5231" s="444">
        <f t="array" ref="J5231">IFERROR(INDEX('Retirement Calculator'!K:K,MATCH('Lorri 401b'!N5231,'Retirement Calculator'!A:A,0),0),0)</f>
        <v>0</v>
      </c>
      <c r="K5231" s="444">
        <f t="shared" ca="1" si="183"/>
        <v>-3821696710331.8887</v>
      </c>
      <c r="L5231" s="444">
        <f t="shared" ca="1" si="184"/>
        <v>-921028907189985</v>
      </c>
      <c r="M5231" s="460">
        <f t="shared" si="186"/>
        <v>0.05</v>
      </c>
      <c r="N5231" s="464">
        <f t="shared" si="187"/>
        <v>210260</v>
      </c>
    </row>
    <row r="5232" spans="7:14" ht="11.25" customHeight="1" x14ac:dyDescent="0.3">
      <c r="G5232" s="459"/>
      <c r="H5232" s="459">
        <v>5225</v>
      </c>
      <c r="I5232" s="444">
        <f t="shared" ca="1" si="185"/>
        <v>-921028907189985</v>
      </c>
      <c r="J5232" s="444">
        <f t="array" ref="J5232">IFERROR(INDEX('Retirement Calculator'!K:K,MATCH('Lorri 401b'!N5232,'Retirement Calculator'!A:A,0),0),0)</f>
        <v>0</v>
      </c>
      <c r="K5232" s="444">
        <f t="shared" ca="1" si="183"/>
        <v>-3837620446624.937</v>
      </c>
      <c r="L5232" s="444">
        <f t="shared" ca="1" si="184"/>
        <v>-924866527636609.88</v>
      </c>
      <c r="M5232" s="460">
        <f t="shared" si="186"/>
        <v>0.05</v>
      </c>
      <c r="N5232" s="464">
        <f t="shared" si="187"/>
        <v>210290</v>
      </c>
    </row>
    <row r="5233" spans="7:14" ht="11.25" customHeight="1" x14ac:dyDescent="0.3">
      <c r="G5233" s="459"/>
      <c r="H5233" s="459">
        <v>5226</v>
      </c>
      <c r="I5233" s="444">
        <f t="shared" ca="1" si="185"/>
        <v>-924866527636609.88</v>
      </c>
      <c r="J5233" s="444">
        <f t="array" ref="J5233">IFERROR(INDEX('Retirement Calculator'!K:K,MATCH('Lorri 401b'!N5233,'Retirement Calculator'!A:A,0),0),0)</f>
        <v>0</v>
      </c>
      <c r="K5233" s="444">
        <f t="shared" ca="1" si="183"/>
        <v>-3853610531819.2085</v>
      </c>
      <c r="L5233" s="444">
        <f t="shared" ca="1" si="184"/>
        <v>-928720138168429.13</v>
      </c>
      <c r="M5233" s="460">
        <f t="shared" si="186"/>
        <v>0.05</v>
      </c>
      <c r="N5233" s="464">
        <f t="shared" si="187"/>
        <v>210321</v>
      </c>
    </row>
    <row r="5234" spans="7:14" ht="11.25" customHeight="1" x14ac:dyDescent="0.3">
      <c r="G5234" s="459"/>
      <c r="H5234" s="459">
        <v>5227</v>
      </c>
      <c r="I5234" s="444">
        <f t="shared" ca="1" si="185"/>
        <v>-928720138168429.13</v>
      </c>
      <c r="J5234" s="444">
        <f t="array" ref="J5234">IFERROR(INDEX('Retirement Calculator'!K:K,MATCH('Lorri 401b'!N5234,'Retirement Calculator'!A:A,0),0),0)</f>
        <v>0</v>
      </c>
      <c r="K5234" s="444">
        <f t="shared" ca="1" si="183"/>
        <v>-3869667242368.4541</v>
      </c>
      <c r="L5234" s="444">
        <f t="shared" ca="1" si="184"/>
        <v>-932589805410797.63</v>
      </c>
      <c r="M5234" s="460">
        <f t="shared" si="186"/>
        <v>0.05</v>
      </c>
      <c r="N5234" s="464">
        <f t="shared" si="187"/>
        <v>210351</v>
      </c>
    </row>
    <row r="5235" spans="7:14" ht="11.25" customHeight="1" x14ac:dyDescent="0.3">
      <c r="G5235" s="459"/>
      <c r="H5235" s="459">
        <v>5228</v>
      </c>
      <c r="I5235" s="444">
        <f t="shared" ca="1" si="185"/>
        <v>-932589805410797.63</v>
      </c>
      <c r="J5235" s="444">
        <f t="array" ref="J5235">IFERROR(INDEX('Retirement Calculator'!K:K,MATCH('Lorri 401b'!N5235,'Retirement Calculator'!A:A,0),0),0)</f>
        <v>0</v>
      </c>
      <c r="K5235" s="444">
        <f t="shared" ca="1" si="183"/>
        <v>-3885790855878.3232</v>
      </c>
      <c r="L5235" s="444">
        <f t="shared" ca="1" si="184"/>
        <v>-936475596266676</v>
      </c>
      <c r="M5235" s="460">
        <f t="shared" si="186"/>
        <v>0.05</v>
      </c>
      <c r="N5235" s="464">
        <f t="shared" si="187"/>
        <v>210382</v>
      </c>
    </row>
    <row r="5236" spans="7:14" ht="11.25" customHeight="1" x14ac:dyDescent="0.3">
      <c r="G5236" s="459"/>
      <c r="H5236" s="459">
        <v>5229</v>
      </c>
      <c r="I5236" s="444">
        <f t="shared" ca="1" si="185"/>
        <v>-936475596266676</v>
      </c>
      <c r="J5236" s="444">
        <f t="array" ref="J5236">IFERROR(INDEX('Retirement Calculator'!K:K,MATCH('Lorri 401b'!N5236,'Retirement Calculator'!A:A,0),0),0)</f>
        <v>0</v>
      </c>
      <c r="K5236" s="444">
        <f t="shared" ca="1" si="183"/>
        <v>-3901981651111.1499</v>
      </c>
      <c r="L5236" s="444">
        <f t="shared" ca="1" si="184"/>
        <v>-940377577917787.13</v>
      </c>
      <c r="M5236" s="460">
        <f t="shared" si="186"/>
        <v>0.05</v>
      </c>
      <c r="N5236" s="464">
        <f t="shared" si="187"/>
        <v>210413</v>
      </c>
    </row>
    <row r="5237" spans="7:14" ht="11.25" customHeight="1" x14ac:dyDescent="0.3">
      <c r="G5237" s="459"/>
      <c r="H5237" s="459">
        <v>5230</v>
      </c>
      <c r="I5237" s="444">
        <f t="shared" ca="1" si="185"/>
        <v>-940377577917787.13</v>
      </c>
      <c r="J5237" s="444">
        <f t="array" ref="J5237">IFERROR(INDEX('Retirement Calculator'!K:K,MATCH('Lorri 401b'!N5237,'Retirement Calculator'!A:A,0),0),0)</f>
        <v>0</v>
      </c>
      <c r="K5237" s="444">
        <f t="shared" ca="1" si="183"/>
        <v>-3918239907990.7793</v>
      </c>
      <c r="L5237" s="444">
        <f t="shared" ca="1" si="184"/>
        <v>-944295817825777.88</v>
      </c>
      <c r="M5237" s="460">
        <f t="shared" si="186"/>
        <v>0.05</v>
      </c>
      <c r="N5237" s="464">
        <f t="shared" si="187"/>
        <v>210442</v>
      </c>
    </row>
    <row r="5238" spans="7:14" ht="11.25" customHeight="1" x14ac:dyDescent="0.3">
      <c r="G5238" s="459"/>
      <c r="H5238" s="459">
        <v>5231</v>
      </c>
      <c r="I5238" s="444">
        <f t="shared" ca="1" si="185"/>
        <v>-944295817825777.88</v>
      </c>
      <c r="J5238" s="444">
        <f t="array" ref="J5238">IFERROR(INDEX('Retirement Calculator'!K:K,MATCH('Lorri 401b'!N5238,'Retirement Calculator'!A:A,0),0),0)</f>
        <v>0</v>
      </c>
      <c r="K5238" s="444">
        <f t="shared" ca="1" si="183"/>
        <v>-3934565907607.4077</v>
      </c>
      <c r="L5238" s="444">
        <f t="shared" ca="1" si="184"/>
        <v>-948230383733385.25</v>
      </c>
      <c r="M5238" s="460">
        <f t="shared" si="186"/>
        <v>0.05</v>
      </c>
      <c r="N5238" s="464">
        <f t="shared" si="187"/>
        <v>210473</v>
      </c>
    </row>
    <row r="5239" spans="7:14" ht="11.25" customHeight="1" x14ac:dyDescent="0.3">
      <c r="G5239" s="459"/>
      <c r="H5239" s="459">
        <v>5232</v>
      </c>
      <c r="I5239" s="444">
        <f t="shared" ca="1" si="185"/>
        <v>-948230383733385.25</v>
      </c>
      <c r="J5239" s="444">
        <f t="array" ref="J5239">IFERROR(INDEX('Retirement Calculator'!K:K,MATCH('Lorri 401b'!N5239,'Retirement Calculator'!A:A,0),0),0)</f>
        <v>0</v>
      </c>
      <c r="K5239" s="444">
        <f t="shared" ca="1" si="183"/>
        <v>-3950959932222.439</v>
      </c>
      <c r="L5239" s="444">
        <f t="shared" ca="1" si="184"/>
        <v>-952181343665607.75</v>
      </c>
      <c r="M5239" s="460">
        <f t="shared" si="186"/>
        <v>0.05</v>
      </c>
      <c r="N5239" s="464">
        <f t="shared" si="187"/>
        <v>210503</v>
      </c>
    </row>
    <row r="5240" spans="7:14" ht="11.25" customHeight="1" x14ac:dyDescent="0.3">
      <c r="G5240" s="459"/>
      <c r="H5240" s="459">
        <v>5233</v>
      </c>
      <c r="I5240" s="444">
        <f t="shared" ca="1" si="185"/>
        <v>-952181343665607.75</v>
      </c>
      <c r="J5240" s="444">
        <f t="array" ref="J5240">IFERROR(INDEX('Retirement Calculator'!K:K,MATCH('Lorri 401b'!N5240,'Retirement Calculator'!A:A,0),0),0)</f>
        <v>0</v>
      </c>
      <c r="K5240" s="444">
        <f t="shared" ca="1" si="183"/>
        <v>-3967422265273.3662</v>
      </c>
      <c r="L5240" s="444">
        <f t="shared" ca="1" si="184"/>
        <v>-956148765930881.13</v>
      </c>
      <c r="M5240" s="460">
        <f t="shared" si="186"/>
        <v>0.05</v>
      </c>
      <c r="N5240" s="464">
        <f t="shared" si="187"/>
        <v>210534</v>
      </c>
    </row>
    <row r="5241" spans="7:14" ht="11.25" customHeight="1" x14ac:dyDescent="0.3">
      <c r="G5241" s="459"/>
      <c r="H5241" s="459">
        <v>5234</v>
      </c>
      <c r="I5241" s="444">
        <f t="shared" ca="1" si="185"/>
        <v>-956148765930881.13</v>
      </c>
      <c r="J5241" s="444">
        <f t="array" ref="J5241">IFERROR(INDEX('Retirement Calculator'!K:K,MATCH('Lorri 401b'!N5241,'Retirement Calculator'!A:A,0),0),0)</f>
        <v>0</v>
      </c>
      <c r="K5241" s="444">
        <f t="shared" ca="1" si="183"/>
        <v>-3983953191378.6719</v>
      </c>
      <c r="L5241" s="444">
        <f t="shared" ca="1" si="184"/>
        <v>-960132719122259.75</v>
      </c>
      <c r="M5241" s="460">
        <f t="shared" si="186"/>
        <v>0.05</v>
      </c>
      <c r="N5241" s="464">
        <f t="shared" si="187"/>
        <v>210564</v>
      </c>
    </row>
    <row r="5242" spans="7:14" ht="11.25" customHeight="1" x14ac:dyDescent="0.3">
      <c r="G5242" s="459"/>
      <c r="H5242" s="459">
        <v>5235</v>
      </c>
      <c r="I5242" s="444">
        <f t="shared" ca="1" si="185"/>
        <v>-960132719122259.75</v>
      </c>
      <c r="J5242" s="444">
        <f t="array" ref="J5242">IFERROR(INDEX('Retirement Calculator'!K:K,MATCH('Lorri 401b'!N5242,'Retirement Calculator'!A:A,0),0),0)</f>
        <v>0</v>
      </c>
      <c r="K5242" s="444">
        <f t="shared" ca="1" si="183"/>
        <v>-4000552996342.7495</v>
      </c>
      <c r="L5242" s="444">
        <f t="shared" ca="1" si="184"/>
        <v>-964133272118602.5</v>
      </c>
      <c r="M5242" s="460">
        <f t="shared" si="186"/>
        <v>0.05</v>
      </c>
      <c r="N5242" s="464">
        <f t="shared" si="187"/>
        <v>210595</v>
      </c>
    </row>
    <row r="5243" spans="7:14" ht="11.25" customHeight="1" x14ac:dyDescent="0.3">
      <c r="G5243" s="459"/>
      <c r="H5243" s="459">
        <v>5236</v>
      </c>
      <c r="I5243" s="444">
        <f t="shared" ca="1" si="185"/>
        <v>-964133272118602.5</v>
      </c>
      <c r="J5243" s="444">
        <f t="array" ref="J5243">IFERROR(INDEX('Retirement Calculator'!K:K,MATCH('Lorri 401b'!N5243,'Retirement Calculator'!A:A,0),0),0)</f>
        <v>0</v>
      </c>
      <c r="K5243" s="444">
        <f t="shared" ca="1" si="183"/>
        <v>-4017221967160.8438</v>
      </c>
      <c r="L5243" s="444">
        <f t="shared" ca="1" si="184"/>
        <v>-968150494085763.38</v>
      </c>
      <c r="M5243" s="460">
        <f t="shared" si="186"/>
        <v>0.05</v>
      </c>
      <c r="N5243" s="464">
        <f t="shared" si="187"/>
        <v>210626</v>
      </c>
    </row>
    <row r="5244" spans="7:14" ht="11.25" customHeight="1" x14ac:dyDescent="0.3">
      <c r="G5244" s="459"/>
      <c r="H5244" s="459">
        <v>5237</v>
      </c>
      <c r="I5244" s="444">
        <f t="shared" ca="1" si="185"/>
        <v>-968150494085763.38</v>
      </c>
      <c r="J5244" s="444">
        <f t="array" ref="J5244">IFERROR(INDEX('Retirement Calculator'!K:K,MATCH('Lorri 401b'!N5244,'Retirement Calculator'!A:A,0),0),0)</f>
        <v>0</v>
      </c>
      <c r="K5244" s="444">
        <f t="shared" ca="1" si="183"/>
        <v>-4033960392024.0137</v>
      </c>
      <c r="L5244" s="444">
        <f t="shared" ca="1" si="184"/>
        <v>-972184454477787.38</v>
      </c>
      <c r="M5244" s="460">
        <f t="shared" si="186"/>
        <v>0.05</v>
      </c>
      <c r="N5244" s="464">
        <f t="shared" si="187"/>
        <v>210656</v>
      </c>
    </row>
    <row r="5245" spans="7:14" ht="11.25" customHeight="1" x14ac:dyDescent="0.3">
      <c r="G5245" s="459"/>
      <c r="H5245" s="459">
        <v>5238</v>
      </c>
      <c r="I5245" s="444">
        <f t="shared" ca="1" si="185"/>
        <v>-972184454477787.38</v>
      </c>
      <c r="J5245" s="444">
        <f t="array" ref="J5245">IFERROR(INDEX('Retirement Calculator'!K:K,MATCH('Lorri 401b'!N5245,'Retirement Calculator'!A:A,0),0),0)</f>
        <v>0</v>
      </c>
      <c r="K5245" s="444">
        <f t="shared" ca="1" si="183"/>
        <v>-4050768560324.1138</v>
      </c>
      <c r="L5245" s="444">
        <f t="shared" ca="1" si="184"/>
        <v>-976235223038111.5</v>
      </c>
      <c r="M5245" s="460">
        <f t="shared" si="186"/>
        <v>0.05</v>
      </c>
      <c r="N5245" s="464">
        <f t="shared" si="187"/>
        <v>210687</v>
      </c>
    </row>
    <row r="5246" spans="7:14" ht="11.25" customHeight="1" x14ac:dyDescent="0.3">
      <c r="G5246" s="459"/>
      <c r="H5246" s="459">
        <v>5239</v>
      </c>
      <c r="I5246" s="444">
        <f t="shared" ca="1" si="185"/>
        <v>-976235223038111.5</v>
      </c>
      <c r="J5246" s="444">
        <f t="array" ref="J5246">IFERROR(INDEX('Retirement Calculator'!K:K,MATCH('Lorri 401b'!N5246,'Retirement Calculator'!A:A,0),0),0)</f>
        <v>0</v>
      </c>
      <c r="K5246" s="444">
        <f t="shared" ca="1" si="183"/>
        <v>-4067646762658.7983</v>
      </c>
      <c r="L5246" s="444">
        <f t="shared" ca="1" si="184"/>
        <v>-980302869800770.25</v>
      </c>
      <c r="M5246" s="460">
        <f t="shared" si="186"/>
        <v>0.05</v>
      </c>
      <c r="N5246" s="464">
        <f t="shared" si="187"/>
        <v>210717</v>
      </c>
    </row>
    <row r="5247" spans="7:14" ht="11.25" customHeight="1" x14ac:dyDescent="0.3">
      <c r="G5247" s="459"/>
      <c r="H5247" s="459">
        <v>5240</v>
      </c>
      <c r="I5247" s="444">
        <f t="shared" ca="1" si="185"/>
        <v>-980302869800770.25</v>
      </c>
      <c r="J5247" s="444">
        <f t="array" ref="J5247">IFERROR(INDEX('Retirement Calculator'!K:K,MATCH('Lorri 401b'!N5247,'Retirement Calculator'!A:A,0),0),0)</f>
        <v>0</v>
      </c>
      <c r="K5247" s="444">
        <f t="shared" ca="1" si="183"/>
        <v>-4084595290836.5425</v>
      </c>
      <c r="L5247" s="444">
        <f t="shared" ca="1" si="184"/>
        <v>-984387465091606.75</v>
      </c>
      <c r="M5247" s="460">
        <f t="shared" si="186"/>
        <v>0.05</v>
      </c>
      <c r="N5247" s="464">
        <f t="shared" si="187"/>
        <v>210748</v>
      </c>
    </row>
    <row r="5248" spans="7:14" ht="11.25" customHeight="1" x14ac:dyDescent="0.3">
      <c r="G5248" s="459"/>
      <c r="H5248" s="459">
        <v>5241</v>
      </c>
      <c r="I5248" s="444">
        <f t="shared" ca="1" si="185"/>
        <v>-984387465091606.75</v>
      </c>
      <c r="J5248" s="444">
        <f t="array" ref="J5248">IFERROR(INDEX('Retirement Calculator'!K:K,MATCH('Lorri 401b'!N5248,'Retirement Calculator'!A:A,0),0),0)</f>
        <v>0</v>
      </c>
      <c r="K5248" s="444">
        <f t="shared" ca="1" si="183"/>
        <v>-4101614437881.6948</v>
      </c>
      <c r="L5248" s="444">
        <f t="shared" ca="1" si="184"/>
        <v>-988489079529488.5</v>
      </c>
      <c r="M5248" s="460">
        <f t="shared" si="186"/>
        <v>0.05</v>
      </c>
      <c r="N5248" s="464">
        <f t="shared" si="187"/>
        <v>210779</v>
      </c>
    </row>
    <row r="5249" spans="7:14" ht="11.25" customHeight="1" x14ac:dyDescent="0.3">
      <c r="G5249" s="459"/>
      <c r="H5249" s="459">
        <v>5242</v>
      </c>
      <c r="I5249" s="444">
        <f t="shared" ca="1" si="185"/>
        <v>-988489079529488.5</v>
      </c>
      <c r="J5249" s="444">
        <f t="array" ref="J5249">IFERROR(INDEX('Retirement Calculator'!K:K,MATCH('Lorri 401b'!N5249,'Retirement Calculator'!A:A,0),0),0)</f>
        <v>0</v>
      </c>
      <c r="K5249" s="444">
        <f t="shared" ca="1" si="183"/>
        <v>-4118704498039.5347</v>
      </c>
      <c r="L5249" s="444">
        <f t="shared" ca="1" si="184"/>
        <v>-992607784027528</v>
      </c>
      <c r="M5249" s="460">
        <f t="shared" si="186"/>
        <v>0.05</v>
      </c>
      <c r="N5249" s="464">
        <f t="shared" si="187"/>
        <v>210807</v>
      </c>
    </row>
    <row r="5250" spans="7:14" ht="11.25" customHeight="1" x14ac:dyDescent="0.3">
      <c r="G5250" s="459"/>
      <c r="H5250" s="459">
        <v>5243</v>
      </c>
      <c r="I5250" s="444">
        <f t="shared" ca="1" si="185"/>
        <v>-992607784027528</v>
      </c>
      <c r="J5250" s="444">
        <f t="array" ref="J5250">IFERROR(INDEX('Retirement Calculator'!K:K,MATCH('Lorri 401b'!N5250,'Retirement Calculator'!A:A,0),0),0)</f>
        <v>0</v>
      </c>
      <c r="K5250" s="444">
        <f t="shared" ca="1" si="183"/>
        <v>-4135865766781.3667</v>
      </c>
      <c r="L5250" s="444">
        <f t="shared" ca="1" si="184"/>
        <v>-996743649794309.38</v>
      </c>
      <c r="M5250" s="460">
        <f t="shared" si="186"/>
        <v>0.05</v>
      </c>
      <c r="N5250" s="464">
        <f t="shared" si="187"/>
        <v>210838</v>
      </c>
    </row>
    <row r="5251" spans="7:14" ht="11.25" customHeight="1" x14ac:dyDescent="0.3">
      <c r="G5251" s="459"/>
      <c r="H5251" s="459">
        <v>5244</v>
      </c>
      <c r="I5251" s="444">
        <f t="shared" ca="1" si="185"/>
        <v>-996743649794309.38</v>
      </c>
      <c r="J5251" s="444">
        <f t="array" ref="J5251">IFERROR(INDEX('Retirement Calculator'!K:K,MATCH('Lorri 401b'!N5251,'Retirement Calculator'!A:A,0),0),0)</f>
        <v>0</v>
      </c>
      <c r="K5251" s="444">
        <f t="shared" ca="1" si="183"/>
        <v>-4153098540809.6226</v>
      </c>
      <c r="L5251" s="444">
        <f t="shared" ca="1" si="184"/>
        <v>-1000896748335119</v>
      </c>
      <c r="M5251" s="460">
        <f t="shared" si="186"/>
        <v>0.05</v>
      </c>
      <c r="N5251" s="464">
        <f t="shared" si="187"/>
        <v>210868</v>
      </c>
    </row>
    <row r="5252" spans="7:14" ht="11.25" customHeight="1" x14ac:dyDescent="0.3">
      <c r="G5252" s="459"/>
      <c r="H5252" s="459">
        <v>5245</v>
      </c>
      <c r="I5252" s="444">
        <f t="shared" ca="1" si="185"/>
        <v>-1000896748335119</v>
      </c>
      <c r="J5252" s="444">
        <f t="array" ref="J5252">IFERROR(INDEX('Retirement Calculator'!K:K,MATCH('Lorri 401b'!N5252,'Retirement Calculator'!A:A,0),0),0)</f>
        <v>0</v>
      </c>
      <c r="K5252" s="444">
        <f t="shared" ca="1" si="183"/>
        <v>-4170403118062.9956</v>
      </c>
      <c r="L5252" s="444">
        <f t="shared" ca="1" si="184"/>
        <v>-1005067151453182</v>
      </c>
      <c r="M5252" s="460">
        <f t="shared" si="186"/>
        <v>0.05</v>
      </c>
      <c r="N5252" s="464">
        <f t="shared" si="187"/>
        <v>210899</v>
      </c>
    </row>
    <row r="5253" spans="7:14" ht="11.25" customHeight="1" x14ac:dyDescent="0.3">
      <c r="G5253" s="459"/>
      <c r="H5253" s="459">
        <v>5246</v>
      </c>
      <c r="I5253" s="444">
        <f t="shared" ca="1" si="185"/>
        <v>-1005067151453182</v>
      </c>
      <c r="J5253" s="444">
        <f t="array" ref="J5253">IFERROR(INDEX('Retirement Calculator'!K:K,MATCH('Lorri 401b'!N5253,'Retirement Calculator'!A:A,0),0),0)</f>
        <v>0</v>
      </c>
      <c r="K5253" s="444">
        <f t="shared" ca="1" si="183"/>
        <v>-4187779797721.5918</v>
      </c>
      <c r="L5253" s="444">
        <f t="shared" ca="1" si="184"/>
        <v>-1009254931250903.6</v>
      </c>
      <c r="M5253" s="460">
        <f t="shared" si="186"/>
        <v>0.05</v>
      </c>
      <c r="N5253" s="464">
        <f t="shared" si="187"/>
        <v>210929</v>
      </c>
    </row>
    <row r="5254" spans="7:14" ht="11.25" customHeight="1" x14ac:dyDescent="0.3">
      <c r="G5254" s="459"/>
      <c r="H5254" s="459">
        <v>5247</v>
      </c>
      <c r="I5254" s="444">
        <f t="shared" ca="1" si="185"/>
        <v>-1009254931250903.6</v>
      </c>
      <c r="J5254" s="444">
        <f t="array" ref="J5254">IFERROR(INDEX('Retirement Calculator'!K:K,MATCH('Lorri 401b'!N5254,'Retirement Calculator'!A:A,0),0),0)</f>
        <v>0</v>
      </c>
      <c r="K5254" s="444">
        <f t="shared" ca="1" si="183"/>
        <v>-4205228880212.0991</v>
      </c>
      <c r="L5254" s="444">
        <f t="shared" ca="1" si="184"/>
        <v>-1013460160131115.8</v>
      </c>
      <c r="M5254" s="460">
        <f t="shared" si="186"/>
        <v>0.05</v>
      </c>
      <c r="N5254" s="464">
        <f t="shared" si="187"/>
        <v>210960</v>
      </c>
    </row>
    <row r="5255" spans="7:14" ht="11.25" customHeight="1" x14ac:dyDescent="0.3">
      <c r="G5255" s="459"/>
      <c r="H5255" s="459">
        <v>5248</v>
      </c>
      <c r="I5255" s="444">
        <f t="shared" ca="1" si="185"/>
        <v>-1013460160131115.8</v>
      </c>
      <c r="J5255" s="444">
        <f t="array" ref="J5255">IFERROR(INDEX('Retirement Calculator'!K:K,MATCH('Lorri 401b'!N5255,'Retirement Calculator'!A:A,0),0),0)</f>
        <v>0</v>
      </c>
      <c r="K5255" s="444">
        <f t="shared" ca="1" si="183"/>
        <v>-4222750667212.9819</v>
      </c>
      <c r="L5255" s="444">
        <f t="shared" ca="1" si="184"/>
        <v>-1017682910798328.8</v>
      </c>
      <c r="M5255" s="460">
        <f t="shared" si="186"/>
        <v>0.05</v>
      </c>
      <c r="N5255" s="464">
        <f t="shared" si="187"/>
        <v>210991</v>
      </c>
    </row>
    <row r="5256" spans="7:14" ht="11.25" customHeight="1" x14ac:dyDescent="0.3">
      <c r="G5256" s="459"/>
      <c r="H5256" s="459">
        <v>5249</v>
      </c>
      <c r="I5256" s="444">
        <f t="shared" ca="1" si="185"/>
        <v>-1017682910798328.8</v>
      </c>
      <c r="J5256" s="444">
        <f t="array" ref="J5256">IFERROR(INDEX('Retirement Calculator'!K:K,MATCH('Lorri 401b'!N5256,'Retirement Calculator'!A:A,0),0),0)</f>
        <v>0</v>
      </c>
      <c r="K5256" s="444">
        <f t="shared" ca="1" si="183"/>
        <v>-4240345461659.7031</v>
      </c>
      <c r="L5256" s="444">
        <f t="shared" ca="1" si="184"/>
        <v>-1021923256259988.5</v>
      </c>
      <c r="M5256" s="460">
        <f t="shared" si="186"/>
        <v>0.05</v>
      </c>
      <c r="N5256" s="464">
        <f t="shared" si="187"/>
        <v>211021</v>
      </c>
    </row>
    <row r="5257" spans="7:14" ht="11.25" customHeight="1" x14ac:dyDescent="0.3">
      <c r="G5257" s="459"/>
      <c r="H5257" s="459">
        <v>5250</v>
      </c>
      <c r="I5257" s="444">
        <f t="shared" ca="1" si="185"/>
        <v>-1021923256259988.5</v>
      </c>
      <c r="J5257" s="444">
        <f t="array" ref="J5257">IFERROR(INDEX('Retirement Calculator'!K:K,MATCH('Lorri 401b'!N5257,'Retirement Calculator'!A:A,0),0),0)</f>
        <v>0</v>
      </c>
      <c r="K5257" s="444">
        <f t="shared" ca="1" si="183"/>
        <v>-4258013567749.9526</v>
      </c>
      <c r="L5257" s="444">
        <f t="shared" ca="1" si="184"/>
        <v>-1026181269827738.5</v>
      </c>
      <c r="M5257" s="460">
        <f t="shared" si="186"/>
        <v>0.05</v>
      </c>
      <c r="N5257" s="464">
        <f t="shared" si="187"/>
        <v>211052</v>
      </c>
    </row>
    <row r="5258" spans="7:14" ht="11.25" customHeight="1" x14ac:dyDescent="0.3">
      <c r="G5258" s="459"/>
      <c r="H5258" s="459">
        <v>5251</v>
      </c>
      <c r="I5258" s="444">
        <f t="shared" ca="1" si="185"/>
        <v>-1026181269827738.5</v>
      </c>
      <c r="J5258" s="444">
        <f t="array" ref="J5258">IFERROR(INDEX('Retirement Calculator'!K:K,MATCH('Lorri 401b'!N5258,'Retirement Calculator'!A:A,0),0),0)</f>
        <v>0</v>
      </c>
      <c r="K5258" s="444">
        <f t="shared" ca="1" si="183"/>
        <v>-4275755290948.9102</v>
      </c>
      <c r="L5258" s="444">
        <f t="shared" ca="1" si="184"/>
        <v>-1030457025118687.4</v>
      </c>
      <c r="M5258" s="460">
        <f t="shared" si="186"/>
        <v>0.05</v>
      </c>
      <c r="N5258" s="464">
        <f t="shared" si="187"/>
        <v>211082</v>
      </c>
    </row>
    <row r="5259" spans="7:14" ht="11.25" customHeight="1" x14ac:dyDescent="0.3">
      <c r="G5259" s="459"/>
      <c r="H5259" s="459">
        <v>5252</v>
      </c>
      <c r="I5259" s="444">
        <f t="shared" ca="1" si="185"/>
        <v>-1030457025118687.4</v>
      </c>
      <c r="J5259" s="444">
        <f t="array" ref="J5259">IFERROR(INDEX('Retirement Calculator'!K:K,MATCH('Lorri 401b'!N5259,'Retirement Calculator'!A:A,0),0),0)</f>
        <v>0</v>
      </c>
      <c r="K5259" s="444">
        <f t="shared" ca="1" si="183"/>
        <v>-4293570937994.5308</v>
      </c>
      <c r="L5259" s="444">
        <f t="shared" ca="1" si="184"/>
        <v>-1034750596056681.9</v>
      </c>
      <c r="M5259" s="460">
        <f t="shared" si="186"/>
        <v>0.05</v>
      </c>
      <c r="N5259" s="464">
        <f t="shared" si="187"/>
        <v>211113</v>
      </c>
    </row>
    <row r="5260" spans="7:14" ht="11.25" customHeight="1" x14ac:dyDescent="0.3">
      <c r="G5260" s="459"/>
      <c r="H5260" s="459">
        <v>5253</v>
      </c>
      <c r="I5260" s="444">
        <f t="shared" ca="1" si="185"/>
        <v>-1034750596056681.9</v>
      </c>
      <c r="J5260" s="444">
        <f t="array" ref="J5260">IFERROR(INDEX('Retirement Calculator'!K:K,MATCH('Lorri 401b'!N5260,'Retirement Calculator'!A:A,0),0),0)</f>
        <v>0</v>
      </c>
      <c r="K5260" s="444">
        <f t="shared" ca="1" si="183"/>
        <v>-4311460816902.8413</v>
      </c>
      <c r="L5260" s="444">
        <f t="shared" ca="1" si="184"/>
        <v>-1039062056873584.8</v>
      </c>
      <c r="M5260" s="460">
        <f t="shared" si="186"/>
        <v>0.05</v>
      </c>
      <c r="N5260" s="464">
        <f t="shared" si="187"/>
        <v>211144</v>
      </c>
    </row>
    <row r="5261" spans="7:14" ht="11.25" customHeight="1" x14ac:dyDescent="0.3">
      <c r="G5261" s="459"/>
      <c r="H5261" s="459">
        <v>5254</v>
      </c>
      <c r="I5261" s="444">
        <f t="shared" ca="1" si="185"/>
        <v>-1039062056873584.8</v>
      </c>
      <c r="J5261" s="444">
        <f t="array" ref="J5261">IFERROR(INDEX('Retirement Calculator'!K:K,MATCH('Lorri 401b'!N5261,'Retirement Calculator'!A:A,0),0),0)</f>
        <v>0</v>
      </c>
      <c r="K5261" s="444">
        <f t="shared" ca="1" si="183"/>
        <v>-4329425236973.2695</v>
      </c>
      <c r="L5261" s="444">
        <f t="shared" ca="1" si="184"/>
        <v>-1043391482110558</v>
      </c>
      <c r="M5261" s="460">
        <f t="shared" si="186"/>
        <v>0.05</v>
      </c>
      <c r="N5261" s="464">
        <f t="shared" si="187"/>
        <v>211172</v>
      </c>
    </row>
    <row r="5262" spans="7:14" ht="11.25" customHeight="1" x14ac:dyDescent="0.3">
      <c r="G5262" s="459"/>
      <c r="H5262" s="459">
        <v>5255</v>
      </c>
      <c r="I5262" s="444">
        <f t="shared" ca="1" si="185"/>
        <v>-1043391482110558</v>
      </c>
      <c r="J5262" s="444">
        <f t="array" ref="J5262">IFERROR(INDEX('Retirement Calculator'!K:K,MATCH('Lorri 401b'!N5262,'Retirement Calculator'!A:A,0),0),0)</f>
        <v>0</v>
      </c>
      <c r="K5262" s="444">
        <f t="shared" ca="1" si="183"/>
        <v>-4347464508793.9917</v>
      </c>
      <c r="L5262" s="444">
        <f t="shared" ca="1" si="184"/>
        <v>-1047738946619352</v>
      </c>
      <c r="M5262" s="460">
        <f t="shared" si="186"/>
        <v>0.05</v>
      </c>
      <c r="N5262" s="464">
        <f t="shared" si="187"/>
        <v>211203</v>
      </c>
    </row>
    <row r="5263" spans="7:14" ht="11.25" customHeight="1" x14ac:dyDescent="0.3">
      <c r="G5263" s="459"/>
      <c r="H5263" s="459">
        <v>5256</v>
      </c>
      <c r="I5263" s="444">
        <f t="shared" ca="1" si="185"/>
        <v>-1047738946619352</v>
      </c>
      <c r="J5263" s="444">
        <f t="array" ref="J5263">IFERROR(INDEX('Retirement Calculator'!K:K,MATCH('Lorri 401b'!N5263,'Retirement Calculator'!A:A,0),0),0)</f>
        <v>0</v>
      </c>
      <c r="K5263" s="444">
        <f t="shared" ca="1" si="183"/>
        <v>-4365578944247.3003</v>
      </c>
      <c r="L5263" s="444">
        <f t="shared" ca="1" si="184"/>
        <v>-1052104525563599.3</v>
      </c>
      <c r="M5263" s="460">
        <f t="shared" si="186"/>
        <v>0.05</v>
      </c>
      <c r="N5263" s="464">
        <f t="shared" si="187"/>
        <v>211233</v>
      </c>
    </row>
    <row r="5264" spans="7:14" ht="11.25" customHeight="1" x14ac:dyDescent="0.3">
      <c r="G5264" s="459"/>
      <c r="H5264" s="459">
        <v>5257</v>
      </c>
      <c r="I5264" s="444">
        <f t="shared" ca="1" si="185"/>
        <v>-1052104525563599.3</v>
      </c>
      <c r="J5264" s="444">
        <f t="array" ref="J5264">IFERROR(INDEX('Retirement Calculator'!K:K,MATCH('Lorri 401b'!N5264,'Retirement Calculator'!A:A,0),0),0)</f>
        <v>0</v>
      </c>
      <c r="K5264" s="444">
        <f t="shared" ca="1" si="183"/>
        <v>-4383768856514.9961</v>
      </c>
      <c r="L5264" s="444">
        <f t="shared" ca="1" si="184"/>
        <v>-1056488294420114.3</v>
      </c>
      <c r="M5264" s="460">
        <f t="shared" si="186"/>
        <v>0.05</v>
      </c>
      <c r="N5264" s="464">
        <f t="shared" si="187"/>
        <v>211264</v>
      </c>
    </row>
    <row r="5265" spans="7:14" ht="11.25" customHeight="1" x14ac:dyDescent="0.3">
      <c r="G5265" s="459"/>
      <c r="H5265" s="459">
        <v>5258</v>
      </c>
      <c r="I5265" s="444">
        <f t="shared" ca="1" si="185"/>
        <v>-1056488294420114.3</v>
      </c>
      <c r="J5265" s="444">
        <f t="array" ref="J5265">IFERROR(INDEX('Retirement Calculator'!K:K,MATCH('Lorri 401b'!N5265,'Retirement Calculator'!A:A,0),0),0)</f>
        <v>0</v>
      </c>
      <c r="K5265" s="444">
        <f t="shared" ca="1" si="183"/>
        <v>-4402034560083.8096</v>
      </c>
      <c r="L5265" s="444">
        <f t="shared" ca="1" si="184"/>
        <v>-1060890328980198</v>
      </c>
      <c r="M5265" s="460">
        <f t="shared" si="186"/>
        <v>0.05</v>
      </c>
      <c r="N5265" s="464">
        <f t="shared" si="187"/>
        <v>211294</v>
      </c>
    </row>
    <row r="5266" spans="7:14" ht="11.25" customHeight="1" x14ac:dyDescent="0.3">
      <c r="G5266" s="459"/>
      <c r="H5266" s="459">
        <v>5259</v>
      </c>
      <c r="I5266" s="444">
        <f t="shared" ca="1" si="185"/>
        <v>-1060890328980198</v>
      </c>
      <c r="J5266" s="444">
        <f t="array" ref="J5266">IFERROR(INDEX('Retirement Calculator'!K:K,MATCH('Lorri 401b'!N5266,'Retirement Calculator'!A:A,0),0),0)</f>
        <v>0</v>
      </c>
      <c r="K5266" s="444">
        <f t="shared" ca="1" si="183"/>
        <v>-4420376370750.8252</v>
      </c>
      <c r="L5266" s="444">
        <f t="shared" ca="1" si="184"/>
        <v>-1065310705350948.9</v>
      </c>
      <c r="M5266" s="460">
        <f t="shared" si="186"/>
        <v>0.05</v>
      </c>
      <c r="N5266" s="464">
        <f t="shared" si="187"/>
        <v>211325</v>
      </c>
    </row>
    <row r="5267" spans="7:14" ht="11.25" customHeight="1" x14ac:dyDescent="0.3">
      <c r="G5267" s="459"/>
      <c r="H5267" s="459">
        <v>5260</v>
      </c>
      <c r="I5267" s="444">
        <f t="shared" ca="1" si="185"/>
        <v>-1065310705350948.9</v>
      </c>
      <c r="J5267" s="444">
        <f t="array" ref="J5267">IFERROR(INDEX('Retirement Calculator'!K:K,MATCH('Lorri 401b'!N5267,'Retirement Calculator'!A:A,0),0),0)</f>
        <v>0</v>
      </c>
      <c r="K5267" s="444">
        <f t="shared" ca="1" si="183"/>
        <v>-4438794605628.9541</v>
      </c>
      <c r="L5267" s="444">
        <f t="shared" ca="1" si="184"/>
        <v>-1069749499956577.9</v>
      </c>
      <c r="M5267" s="460">
        <f t="shared" si="186"/>
        <v>0.05</v>
      </c>
      <c r="N5267" s="464">
        <f t="shared" si="187"/>
        <v>211356</v>
      </c>
    </row>
    <row r="5268" spans="7:14" ht="11.25" customHeight="1" x14ac:dyDescent="0.3">
      <c r="G5268" s="459"/>
      <c r="H5268" s="459">
        <v>5261</v>
      </c>
      <c r="I5268" s="444">
        <f t="shared" ca="1" si="185"/>
        <v>-1069749499956577.9</v>
      </c>
      <c r="J5268" s="444">
        <f t="array" ref="J5268">IFERROR(INDEX('Retirement Calculator'!K:K,MATCH('Lorri 401b'!N5268,'Retirement Calculator'!A:A,0),0),0)</f>
        <v>0</v>
      </c>
      <c r="K5268" s="444">
        <f t="shared" ca="1" si="183"/>
        <v>-4457289583152.4082</v>
      </c>
      <c r="L5268" s="444">
        <f t="shared" ca="1" si="184"/>
        <v>-1074206789539730.3</v>
      </c>
      <c r="M5268" s="460">
        <f t="shared" si="186"/>
        <v>0.05</v>
      </c>
      <c r="N5268" s="464">
        <f t="shared" si="187"/>
        <v>211386</v>
      </c>
    </row>
    <row r="5269" spans="7:14" ht="11.25" customHeight="1" x14ac:dyDescent="0.3">
      <c r="G5269" s="459"/>
      <c r="H5269" s="459">
        <v>5262</v>
      </c>
      <c r="I5269" s="444">
        <f t="shared" ca="1" si="185"/>
        <v>-1074206789539730.3</v>
      </c>
      <c r="J5269" s="444">
        <f t="array" ref="J5269">IFERROR(INDEX('Retirement Calculator'!K:K,MATCH('Lorri 401b'!N5269,'Retirement Calculator'!A:A,0),0),0)</f>
        <v>0</v>
      </c>
      <c r="K5269" s="444">
        <f t="shared" ca="1" si="183"/>
        <v>-4475861623082.209</v>
      </c>
      <c r="L5269" s="444">
        <f t="shared" ca="1" si="184"/>
        <v>-1078682651162812.5</v>
      </c>
      <c r="M5269" s="460">
        <f t="shared" si="186"/>
        <v>0.05</v>
      </c>
      <c r="N5269" s="464">
        <f t="shared" si="187"/>
        <v>211417</v>
      </c>
    </row>
    <row r="5270" spans="7:14" ht="11.25" customHeight="1" x14ac:dyDescent="0.3">
      <c r="G5270" s="459"/>
      <c r="H5270" s="459">
        <v>5263</v>
      </c>
      <c r="I5270" s="444">
        <f t="shared" ca="1" si="185"/>
        <v>-1078682651162812.5</v>
      </c>
      <c r="J5270" s="444">
        <f t="array" ref="J5270">IFERROR(INDEX('Retirement Calculator'!K:K,MATCH('Lorri 401b'!N5270,'Retirement Calculator'!A:A,0),0),0)</f>
        <v>0</v>
      </c>
      <c r="K5270" s="444">
        <f t="shared" ca="1" si="183"/>
        <v>-4494511046511.7188</v>
      </c>
      <c r="L5270" s="444">
        <f t="shared" ca="1" si="184"/>
        <v>-1083177162209324.3</v>
      </c>
      <c r="M5270" s="460">
        <f t="shared" si="186"/>
        <v>0.05</v>
      </c>
      <c r="N5270" s="464">
        <f t="shared" si="187"/>
        <v>211447</v>
      </c>
    </row>
    <row r="5271" spans="7:14" ht="11.25" customHeight="1" x14ac:dyDescent="0.3">
      <c r="G5271" s="459"/>
      <c r="H5271" s="459">
        <v>5264</v>
      </c>
      <c r="I5271" s="444">
        <f t="shared" ca="1" si="185"/>
        <v>-1083177162209324.3</v>
      </c>
      <c r="J5271" s="444">
        <f t="array" ref="J5271">IFERROR(INDEX('Retirement Calculator'!K:K,MATCH('Lorri 401b'!N5271,'Retirement Calculator'!A:A,0),0),0)</f>
        <v>0</v>
      </c>
      <c r="K5271" s="444">
        <f t="shared" ca="1" si="183"/>
        <v>-4513238175872.1846</v>
      </c>
      <c r="L5271" s="444">
        <f t="shared" ca="1" si="184"/>
        <v>-1087690400385196.4</v>
      </c>
      <c r="M5271" s="460">
        <f t="shared" si="186"/>
        <v>0.05</v>
      </c>
      <c r="N5271" s="464">
        <f t="shared" si="187"/>
        <v>211478</v>
      </c>
    </row>
    <row r="5272" spans="7:14" ht="11.25" customHeight="1" x14ac:dyDescent="0.3">
      <c r="G5272" s="459"/>
      <c r="H5272" s="459">
        <v>5265</v>
      </c>
      <c r="I5272" s="444">
        <f t="shared" ca="1" si="185"/>
        <v>-1087690400385196.4</v>
      </c>
      <c r="J5272" s="444">
        <f t="array" ref="J5272">IFERROR(INDEX('Retirement Calculator'!K:K,MATCH('Lorri 401b'!N5272,'Retirement Calculator'!A:A,0),0),0)</f>
        <v>0</v>
      </c>
      <c r="K5272" s="444">
        <f t="shared" ca="1" si="183"/>
        <v>-4532043334938.3184</v>
      </c>
      <c r="L5272" s="444">
        <f t="shared" ca="1" si="184"/>
        <v>-1092222443720134.8</v>
      </c>
      <c r="M5272" s="460">
        <f t="shared" si="186"/>
        <v>0.05</v>
      </c>
      <c r="N5272" s="464">
        <f t="shared" si="187"/>
        <v>211509</v>
      </c>
    </row>
    <row r="5273" spans="7:14" ht="11.25" customHeight="1" x14ac:dyDescent="0.3">
      <c r="G5273" s="459"/>
      <c r="H5273" s="459">
        <v>5266</v>
      </c>
      <c r="I5273" s="444">
        <f t="shared" ca="1" si="185"/>
        <v>-1092222443720134.8</v>
      </c>
      <c r="J5273" s="444">
        <f t="array" ref="J5273">IFERROR(INDEX('Retirement Calculator'!K:K,MATCH('Lorri 401b'!N5273,'Retirement Calculator'!A:A,0),0),0)</f>
        <v>0</v>
      </c>
      <c r="K5273" s="444">
        <f t="shared" ca="1" si="183"/>
        <v>-4550926848833.8945</v>
      </c>
      <c r="L5273" s="444">
        <f t="shared" ca="1" si="184"/>
        <v>-1096773370568968.6</v>
      </c>
      <c r="M5273" s="460">
        <f t="shared" si="186"/>
        <v>0.05</v>
      </c>
      <c r="N5273" s="464">
        <f t="shared" si="187"/>
        <v>211537</v>
      </c>
    </row>
    <row r="5274" spans="7:14" ht="11.25" customHeight="1" x14ac:dyDescent="0.3">
      <c r="G5274" s="459"/>
      <c r="H5274" s="459">
        <v>5267</v>
      </c>
      <c r="I5274" s="444">
        <f t="shared" ca="1" si="185"/>
        <v>-1096773370568968.6</v>
      </c>
      <c r="J5274" s="444">
        <f t="array" ref="J5274">IFERROR(INDEX('Retirement Calculator'!K:K,MATCH('Lorri 401b'!N5274,'Retirement Calculator'!A:A,0),0),0)</f>
        <v>0</v>
      </c>
      <c r="K5274" s="444">
        <f t="shared" ca="1" si="183"/>
        <v>-4569889044037.3701</v>
      </c>
      <c r="L5274" s="444">
        <f t="shared" ca="1" si="184"/>
        <v>-1101343259613006</v>
      </c>
      <c r="M5274" s="460">
        <f t="shared" si="186"/>
        <v>0.05</v>
      </c>
      <c r="N5274" s="464">
        <f t="shared" si="187"/>
        <v>211568</v>
      </c>
    </row>
    <row r="5275" spans="7:14" ht="11.25" customHeight="1" x14ac:dyDescent="0.3">
      <c r="G5275" s="459"/>
      <c r="H5275" s="459">
        <v>5268</v>
      </c>
      <c r="I5275" s="444">
        <f t="shared" ca="1" si="185"/>
        <v>-1101343259613006</v>
      </c>
      <c r="J5275" s="444">
        <f t="array" ref="J5275">IFERROR(INDEX('Retirement Calculator'!K:K,MATCH('Lorri 401b'!N5275,'Retirement Calculator'!A:A,0),0),0)</f>
        <v>0</v>
      </c>
      <c r="K5275" s="444">
        <f t="shared" ca="1" si="183"/>
        <v>-4588930248387.5254</v>
      </c>
      <c r="L5275" s="444">
        <f t="shared" ca="1" si="184"/>
        <v>-1105932189861393.5</v>
      </c>
      <c r="M5275" s="460">
        <f t="shared" si="186"/>
        <v>0.05</v>
      </c>
      <c r="N5275" s="464">
        <f t="shared" si="187"/>
        <v>211598</v>
      </c>
    </row>
    <row r="5276" spans="7:14" ht="11.25" customHeight="1" x14ac:dyDescent="0.3">
      <c r="G5276" s="459"/>
      <c r="H5276" s="459">
        <v>5269</v>
      </c>
      <c r="I5276" s="444">
        <f t="shared" ca="1" si="185"/>
        <v>-1105932189861393.5</v>
      </c>
      <c r="J5276" s="444">
        <f t="array" ref="J5276">IFERROR(INDEX('Retirement Calculator'!K:K,MATCH('Lorri 401b'!N5276,'Retirement Calculator'!A:A,0),0),0)</f>
        <v>0</v>
      </c>
      <c r="K5276" s="444">
        <f t="shared" ca="1" si="183"/>
        <v>-4608050791089.1396</v>
      </c>
      <c r="L5276" s="444">
        <f t="shared" ca="1" si="184"/>
        <v>-1110540240652482.6</v>
      </c>
      <c r="M5276" s="460">
        <f t="shared" si="186"/>
        <v>0.05</v>
      </c>
      <c r="N5276" s="464">
        <f t="shared" si="187"/>
        <v>211629</v>
      </c>
    </row>
    <row r="5277" spans="7:14" ht="11.25" customHeight="1" x14ac:dyDescent="0.3">
      <c r="G5277" s="459"/>
      <c r="H5277" s="459">
        <v>5270</v>
      </c>
      <c r="I5277" s="444">
        <f t="shared" ca="1" si="185"/>
        <v>-1110540240652482.6</v>
      </c>
      <c r="J5277" s="444">
        <f t="array" ref="J5277">IFERROR(INDEX('Retirement Calculator'!K:K,MATCH('Lorri 401b'!N5277,'Retirement Calculator'!A:A,0),0),0)</f>
        <v>0</v>
      </c>
      <c r="K5277" s="444">
        <f t="shared" ca="1" si="183"/>
        <v>-4627251002718.6777</v>
      </c>
      <c r="L5277" s="444">
        <f t="shared" ca="1" si="184"/>
        <v>-1115167491655201.3</v>
      </c>
      <c r="M5277" s="460">
        <f t="shared" si="186"/>
        <v>0.05</v>
      </c>
      <c r="N5277" s="464">
        <f t="shared" si="187"/>
        <v>211659</v>
      </c>
    </row>
    <row r="5278" spans="7:14" ht="11.25" customHeight="1" x14ac:dyDescent="0.3">
      <c r="G5278" s="459"/>
      <c r="H5278" s="459">
        <v>5271</v>
      </c>
      <c r="I5278" s="444">
        <f t="shared" ca="1" si="185"/>
        <v>-1115167491655201.3</v>
      </c>
      <c r="J5278" s="444">
        <f t="array" ref="J5278">IFERROR(INDEX('Retirement Calculator'!K:K,MATCH('Lorri 401b'!N5278,'Retirement Calculator'!A:A,0),0),0)</f>
        <v>0</v>
      </c>
      <c r="K5278" s="444">
        <f t="shared" ca="1" si="183"/>
        <v>-4646531215230.0059</v>
      </c>
      <c r="L5278" s="444">
        <f t="shared" ca="1" si="184"/>
        <v>-1119814022870431.3</v>
      </c>
      <c r="M5278" s="460">
        <f t="shared" si="186"/>
        <v>0.05</v>
      </c>
      <c r="N5278" s="464">
        <f t="shared" si="187"/>
        <v>211690</v>
      </c>
    </row>
    <row r="5279" spans="7:14" ht="11.25" customHeight="1" x14ac:dyDescent="0.3">
      <c r="G5279" s="459"/>
      <c r="H5279" s="459">
        <v>5272</v>
      </c>
      <c r="I5279" s="444">
        <f t="shared" ca="1" si="185"/>
        <v>-1119814022870431.3</v>
      </c>
      <c r="J5279" s="444">
        <f t="array" ref="J5279">IFERROR(INDEX('Retirement Calculator'!K:K,MATCH('Lorri 401b'!N5279,'Retirement Calculator'!A:A,0),0),0)</f>
        <v>0</v>
      </c>
      <c r="K5279" s="444">
        <f t="shared" ca="1" si="183"/>
        <v>-4665891761960.1299</v>
      </c>
      <c r="L5279" s="444">
        <f t="shared" ca="1" si="184"/>
        <v>-1124479914632391.4</v>
      </c>
      <c r="M5279" s="460">
        <f t="shared" si="186"/>
        <v>0.05</v>
      </c>
      <c r="N5279" s="464">
        <f t="shared" si="187"/>
        <v>211721</v>
      </c>
    </row>
    <row r="5280" spans="7:14" ht="11.25" customHeight="1" x14ac:dyDescent="0.3">
      <c r="G5280" s="459"/>
      <c r="H5280" s="459">
        <v>5273</v>
      </c>
      <c r="I5280" s="444">
        <f t="shared" ca="1" si="185"/>
        <v>-1124479914632391.4</v>
      </c>
      <c r="J5280" s="444">
        <f t="array" ref="J5280">IFERROR(INDEX('Retirement Calculator'!K:K,MATCH('Lorri 401b'!N5280,'Retirement Calculator'!A:A,0),0),0)</f>
        <v>0</v>
      </c>
      <c r="K5280" s="444">
        <f t="shared" ca="1" si="183"/>
        <v>-4685332977634.9639</v>
      </c>
      <c r="L5280" s="444">
        <f t="shared" ca="1" si="184"/>
        <v>-1129165247610026.3</v>
      </c>
      <c r="M5280" s="460">
        <f t="shared" si="186"/>
        <v>0.05</v>
      </c>
      <c r="N5280" s="464">
        <f t="shared" si="187"/>
        <v>211751</v>
      </c>
    </row>
    <row r="5281" spans="7:14" ht="11.25" customHeight="1" x14ac:dyDescent="0.3">
      <c r="G5281" s="459"/>
      <c r="H5281" s="459">
        <v>5274</v>
      </c>
      <c r="I5281" s="444">
        <f t="shared" ca="1" si="185"/>
        <v>-1129165247610026.3</v>
      </c>
      <c r="J5281" s="444">
        <f t="array" ref="J5281">IFERROR(INDEX('Retirement Calculator'!K:K,MATCH('Lorri 401b'!N5281,'Retirement Calculator'!A:A,0),0),0)</f>
        <v>0</v>
      </c>
      <c r="K5281" s="444">
        <f t="shared" ca="1" si="183"/>
        <v>-4704855198375.1094</v>
      </c>
      <c r="L5281" s="444">
        <f t="shared" ca="1" si="184"/>
        <v>-1133870102808401.3</v>
      </c>
      <c r="M5281" s="460">
        <f t="shared" si="186"/>
        <v>0.05</v>
      </c>
      <c r="N5281" s="464">
        <f t="shared" si="187"/>
        <v>211782</v>
      </c>
    </row>
    <row r="5282" spans="7:14" ht="11.25" customHeight="1" x14ac:dyDescent="0.3">
      <c r="G5282" s="459"/>
      <c r="H5282" s="459">
        <v>5275</v>
      </c>
      <c r="I5282" s="444">
        <f t="shared" ca="1" si="185"/>
        <v>-1133870102808401.3</v>
      </c>
      <c r="J5282" s="444">
        <f t="array" ref="J5282">IFERROR(INDEX('Retirement Calculator'!K:K,MATCH('Lorri 401b'!N5282,'Retirement Calculator'!A:A,0),0),0)</f>
        <v>0</v>
      </c>
      <c r="K5282" s="444">
        <f t="shared" ca="1" si="183"/>
        <v>-4724458761701.6719</v>
      </c>
      <c r="L5282" s="444">
        <f t="shared" ca="1" si="184"/>
        <v>-1138594561570103</v>
      </c>
      <c r="M5282" s="460">
        <f t="shared" si="186"/>
        <v>0.05</v>
      </c>
      <c r="N5282" s="464">
        <f t="shared" si="187"/>
        <v>211812</v>
      </c>
    </row>
    <row r="5283" spans="7:14" ht="11.25" customHeight="1" x14ac:dyDescent="0.3">
      <c r="G5283" s="459"/>
      <c r="H5283" s="459">
        <v>5276</v>
      </c>
      <c r="I5283" s="444">
        <f t="shared" ca="1" si="185"/>
        <v>-1138594561570103</v>
      </c>
      <c r="J5283" s="444">
        <f t="array" ref="J5283">IFERROR(INDEX('Retirement Calculator'!K:K,MATCH('Lorri 401b'!N5283,'Retirement Calculator'!A:A,0),0),0)</f>
        <v>0</v>
      </c>
      <c r="K5283" s="444">
        <f t="shared" ca="1" si="183"/>
        <v>-4744144006542.0957</v>
      </c>
      <c r="L5283" s="444">
        <f t="shared" ca="1" si="184"/>
        <v>-1143338705576645</v>
      </c>
      <c r="M5283" s="460">
        <f t="shared" si="186"/>
        <v>0.05</v>
      </c>
      <c r="N5283" s="464">
        <f t="shared" si="187"/>
        <v>211843</v>
      </c>
    </row>
    <row r="5284" spans="7:14" ht="11.25" customHeight="1" x14ac:dyDescent="0.3">
      <c r="G5284" s="459"/>
      <c r="H5284" s="459">
        <v>5277</v>
      </c>
      <c r="I5284" s="444">
        <f t="shared" ca="1" si="185"/>
        <v>-1143338705576645</v>
      </c>
      <c r="J5284" s="444">
        <f t="array" ref="J5284">IFERROR(INDEX('Retirement Calculator'!K:K,MATCH('Lorri 401b'!N5284,'Retirement Calculator'!A:A,0),0),0)</f>
        <v>0</v>
      </c>
      <c r="K5284" s="444">
        <f t="shared" ca="1" si="183"/>
        <v>-4763911273236.0205</v>
      </c>
      <c r="L5284" s="444">
        <f t="shared" ca="1" si="184"/>
        <v>-1148102616849881</v>
      </c>
      <c r="M5284" s="460">
        <f t="shared" si="186"/>
        <v>0.05</v>
      </c>
      <c r="N5284" s="464">
        <f t="shared" si="187"/>
        <v>211874</v>
      </c>
    </row>
    <row r="5285" spans="7:14" ht="11.25" customHeight="1" x14ac:dyDescent="0.3">
      <c r="G5285" s="459"/>
      <c r="H5285" s="459">
        <v>5278</v>
      </c>
      <c r="I5285" s="444">
        <f t="shared" ca="1" si="185"/>
        <v>-1148102616849881</v>
      </c>
      <c r="J5285" s="444">
        <f t="array" ref="J5285">IFERROR(INDEX('Retirement Calculator'!K:K,MATCH('Lorri 401b'!N5285,'Retirement Calculator'!A:A,0),0),0)</f>
        <v>0</v>
      </c>
      <c r="K5285" s="444">
        <f t="shared" ca="1" si="183"/>
        <v>-4783760903541.1709</v>
      </c>
      <c r="L5285" s="444">
        <f t="shared" ca="1" si="184"/>
        <v>-1152886377753422.3</v>
      </c>
      <c r="M5285" s="460">
        <f t="shared" si="186"/>
        <v>0.05</v>
      </c>
      <c r="N5285" s="464">
        <f t="shared" si="187"/>
        <v>211903</v>
      </c>
    </row>
    <row r="5286" spans="7:14" ht="11.25" customHeight="1" x14ac:dyDescent="0.3">
      <c r="G5286" s="459"/>
      <c r="H5286" s="459">
        <v>5279</v>
      </c>
      <c r="I5286" s="444">
        <f t="shared" ca="1" si="185"/>
        <v>-1152886377753422.3</v>
      </c>
      <c r="J5286" s="444">
        <f t="array" ref="J5286">IFERROR(INDEX('Retirement Calculator'!K:K,MATCH('Lorri 401b'!N5286,'Retirement Calculator'!A:A,0),0),0)</f>
        <v>0</v>
      </c>
      <c r="K5286" s="444">
        <f t="shared" ca="1" si="183"/>
        <v>-4803693240639.2598</v>
      </c>
      <c r="L5286" s="444">
        <f t="shared" ca="1" si="184"/>
        <v>-1157690070994061.5</v>
      </c>
      <c r="M5286" s="460">
        <f t="shared" si="186"/>
        <v>0.05</v>
      </c>
      <c r="N5286" s="464">
        <f t="shared" si="187"/>
        <v>211934</v>
      </c>
    </row>
    <row r="5287" spans="7:14" ht="11.25" customHeight="1" x14ac:dyDescent="0.3">
      <c r="G5287" s="459"/>
      <c r="H5287" s="459">
        <v>5280</v>
      </c>
      <c r="I5287" s="444">
        <f t="shared" ca="1" si="185"/>
        <v>-1157690070994061.5</v>
      </c>
      <c r="J5287" s="444">
        <f t="array" ref="J5287">IFERROR(INDEX('Retirement Calculator'!K:K,MATCH('Lorri 401b'!N5287,'Retirement Calculator'!A:A,0),0),0)</f>
        <v>0</v>
      </c>
      <c r="K5287" s="444">
        <f t="shared" ca="1" si="183"/>
        <v>-4823708629141.9229</v>
      </c>
      <c r="L5287" s="444">
        <f t="shared" ca="1" si="184"/>
        <v>-1162513779623203.5</v>
      </c>
      <c r="M5287" s="460">
        <f t="shared" si="186"/>
        <v>0.05</v>
      </c>
      <c r="N5287" s="464">
        <f t="shared" si="187"/>
        <v>211964</v>
      </c>
    </row>
    <row r="5288" spans="7:14" ht="11.25" customHeight="1" x14ac:dyDescent="0.3">
      <c r="G5288" s="459"/>
      <c r="H5288" s="459">
        <v>5281</v>
      </c>
      <c r="I5288" s="444">
        <f t="shared" ca="1" si="185"/>
        <v>-1162513779623203.5</v>
      </c>
      <c r="J5288" s="444">
        <f t="array" ref="J5288">IFERROR(INDEX('Retirement Calculator'!K:K,MATCH('Lorri 401b'!N5288,'Retirement Calculator'!A:A,0),0),0)</f>
        <v>0</v>
      </c>
      <c r="K5288" s="444">
        <f t="shared" ca="1" si="183"/>
        <v>-4843807415096.6816</v>
      </c>
      <c r="L5288" s="444">
        <f t="shared" ca="1" si="184"/>
        <v>-1167357587038300.3</v>
      </c>
      <c r="M5288" s="460">
        <f t="shared" si="186"/>
        <v>0.05</v>
      </c>
      <c r="N5288" s="464">
        <f t="shared" si="187"/>
        <v>211995</v>
      </c>
    </row>
    <row r="5289" spans="7:14" ht="11.25" customHeight="1" x14ac:dyDescent="0.3">
      <c r="G5289" s="459"/>
      <c r="H5289" s="459">
        <v>5282</v>
      </c>
      <c r="I5289" s="444">
        <f t="shared" ca="1" si="185"/>
        <v>-1167357587038300.3</v>
      </c>
      <c r="J5289" s="444">
        <f t="array" ref="J5289">IFERROR(INDEX('Retirement Calculator'!K:K,MATCH('Lorri 401b'!N5289,'Retirement Calculator'!A:A,0),0),0)</f>
        <v>0</v>
      </c>
      <c r="K5289" s="444">
        <f t="shared" ca="1" si="183"/>
        <v>-4863989945992.918</v>
      </c>
      <c r="L5289" s="444">
        <f t="shared" ca="1" si="184"/>
        <v>-1172221576984293.3</v>
      </c>
      <c r="M5289" s="460">
        <f t="shared" si="186"/>
        <v>0.05</v>
      </c>
      <c r="N5289" s="464">
        <f t="shared" si="187"/>
        <v>212025</v>
      </c>
    </row>
    <row r="5290" spans="7:14" ht="11.25" customHeight="1" x14ac:dyDescent="0.3">
      <c r="G5290" s="459"/>
      <c r="H5290" s="459">
        <v>5283</v>
      </c>
      <c r="I5290" s="444">
        <f t="shared" ca="1" si="185"/>
        <v>-1172221576984293.3</v>
      </c>
      <c r="J5290" s="444">
        <f t="array" ref="J5290">IFERROR(INDEX('Retirement Calculator'!K:K,MATCH('Lorri 401b'!N5290,'Retirement Calculator'!A:A,0),0),0)</f>
        <v>0</v>
      </c>
      <c r="K5290" s="444">
        <f t="shared" ca="1" si="183"/>
        <v>-4884256570767.8887</v>
      </c>
      <c r="L5290" s="444">
        <f t="shared" ca="1" si="184"/>
        <v>-1177105833555061.3</v>
      </c>
      <c r="M5290" s="460">
        <f t="shared" si="186"/>
        <v>0.05</v>
      </c>
      <c r="N5290" s="464">
        <f t="shared" si="187"/>
        <v>212056</v>
      </c>
    </row>
    <row r="5291" spans="7:14" ht="11.25" customHeight="1" x14ac:dyDescent="0.3">
      <c r="G5291" s="459"/>
      <c r="H5291" s="459">
        <v>5284</v>
      </c>
      <c r="I5291" s="444">
        <f t="shared" ca="1" si="185"/>
        <v>-1177105833555061.3</v>
      </c>
      <c r="J5291" s="444">
        <f t="array" ref="J5291">IFERROR(INDEX('Retirement Calculator'!K:K,MATCH('Lorri 401b'!N5291,'Retirement Calculator'!A:A,0),0),0)</f>
        <v>0</v>
      </c>
      <c r="K5291" s="444">
        <f t="shared" ca="1" si="183"/>
        <v>-4904607639812.7549</v>
      </c>
      <c r="L5291" s="444">
        <f t="shared" ca="1" si="184"/>
        <v>-1182010441194874</v>
      </c>
      <c r="M5291" s="460">
        <f t="shared" si="186"/>
        <v>0.05</v>
      </c>
      <c r="N5291" s="464">
        <f t="shared" si="187"/>
        <v>212087</v>
      </c>
    </row>
    <row r="5292" spans="7:14" ht="11.25" customHeight="1" x14ac:dyDescent="0.3">
      <c r="G5292" s="459"/>
      <c r="H5292" s="459">
        <v>5285</v>
      </c>
      <c r="I5292" s="444">
        <f t="shared" ca="1" si="185"/>
        <v>-1182010441194874</v>
      </c>
      <c r="J5292" s="444">
        <f t="array" ref="J5292">IFERROR(INDEX('Retirement Calculator'!K:K,MATCH('Lorri 401b'!N5292,'Retirement Calculator'!A:A,0),0),0)</f>
        <v>0</v>
      </c>
      <c r="K5292" s="444">
        <f t="shared" ca="1" si="183"/>
        <v>-4925043504978.6416</v>
      </c>
      <c r="L5292" s="444">
        <f t="shared" ca="1" si="184"/>
        <v>-1186935484699852.8</v>
      </c>
      <c r="M5292" s="460">
        <f t="shared" si="186"/>
        <v>0.05</v>
      </c>
      <c r="N5292" s="464">
        <f t="shared" si="187"/>
        <v>212117</v>
      </c>
    </row>
    <row r="5293" spans="7:14" ht="11.25" customHeight="1" x14ac:dyDescent="0.3">
      <c r="G5293" s="459"/>
      <c r="H5293" s="459">
        <v>5286</v>
      </c>
      <c r="I5293" s="444">
        <f t="shared" ca="1" si="185"/>
        <v>-1186935484699852.8</v>
      </c>
      <c r="J5293" s="444">
        <f t="array" ref="J5293">IFERROR(INDEX('Retirement Calculator'!K:K,MATCH('Lorri 401b'!N5293,'Retirement Calculator'!A:A,0),0),0)</f>
        <v>0</v>
      </c>
      <c r="K5293" s="444">
        <f t="shared" ca="1" si="183"/>
        <v>-4945564519582.7197</v>
      </c>
      <c r="L5293" s="444">
        <f t="shared" ca="1" si="184"/>
        <v>-1191881049219435.5</v>
      </c>
      <c r="M5293" s="460">
        <f t="shared" si="186"/>
        <v>0.05</v>
      </c>
      <c r="N5293" s="464">
        <f t="shared" si="187"/>
        <v>212148</v>
      </c>
    </row>
    <row r="5294" spans="7:14" ht="11.25" customHeight="1" x14ac:dyDescent="0.3">
      <c r="G5294" s="459"/>
      <c r="H5294" s="459">
        <v>5287</v>
      </c>
      <c r="I5294" s="444">
        <f t="shared" ca="1" si="185"/>
        <v>-1191881049219435.5</v>
      </c>
      <c r="J5294" s="444">
        <f t="array" ref="J5294">IFERROR(INDEX('Retirement Calculator'!K:K,MATCH('Lorri 401b'!N5294,'Retirement Calculator'!A:A,0),0),0)</f>
        <v>0</v>
      </c>
      <c r="K5294" s="444">
        <f t="shared" ca="1" si="183"/>
        <v>-4966171038414.3145</v>
      </c>
      <c r="L5294" s="444">
        <f t="shared" ca="1" si="184"/>
        <v>-1196847220257849.8</v>
      </c>
      <c r="M5294" s="460">
        <f t="shared" si="186"/>
        <v>0.05</v>
      </c>
      <c r="N5294" s="464">
        <f t="shared" si="187"/>
        <v>212178</v>
      </c>
    </row>
    <row r="5295" spans="7:14" ht="11.25" customHeight="1" x14ac:dyDescent="0.3">
      <c r="G5295" s="459"/>
      <c r="H5295" s="459">
        <v>5288</v>
      </c>
      <c r="I5295" s="444">
        <f t="shared" ca="1" si="185"/>
        <v>-1196847220257849.8</v>
      </c>
      <c r="J5295" s="444">
        <f t="array" ref="J5295">IFERROR(INDEX('Retirement Calculator'!K:K,MATCH('Lorri 401b'!N5295,'Retirement Calculator'!A:A,0),0),0)</f>
        <v>0</v>
      </c>
      <c r="K5295" s="444">
        <f t="shared" ca="1" si="183"/>
        <v>-4986863417741.041</v>
      </c>
      <c r="L5295" s="444">
        <f t="shared" ca="1" si="184"/>
        <v>-1201834083675590.8</v>
      </c>
      <c r="M5295" s="460">
        <f t="shared" si="186"/>
        <v>0.05</v>
      </c>
      <c r="N5295" s="464">
        <f t="shared" si="187"/>
        <v>212209</v>
      </c>
    </row>
    <row r="5296" spans="7:14" ht="11.25" customHeight="1" x14ac:dyDescent="0.3">
      <c r="G5296" s="459"/>
      <c r="H5296" s="459">
        <v>5289</v>
      </c>
      <c r="I5296" s="444">
        <f t="shared" ca="1" si="185"/>
        <v>-1201834083675590.8</v>
      </c>
      <c r="J5296" s="444">
        <f t="array" ref="J5296">IFERROR(INDEX('Retirement Calculator'!K:K,MATCH('Lorri 401b'!N5296,'Retirement Calculator'!A:A,0),0),0)</f>
        <v>0</v>
      </c>
      <c r="K5296" s="444">
        <f t="shared" ca="1" si="183"/>
        <v>-5007642015314.9609</v>
      </c>
      <c r="L5296" s="444">
        <f t="shared" ca="1" si="184"/>
        <v>-1206841725690905.8</v>
      </c>
      <c r="M5296" s="460">
        <f t="shared" si="186"/>
        <v>0.05</v>
      </c>
      <c r="N5296" s="464">
        <f t="shared" si="187"/>
        <v>212240</v>
      </c>
    </row>
    <row r="5297" spans="7:14" ht="11.25" customHeight="1" x14ac:dyDescent="0.3">
      <c r="G5297" s="459"/>
      <c r="H5297" s="459">
        <v>5290</v>
      </c>
      <c r="I5297" s="444">
        <f t="shared" ca="1" si="185"/>
        <v>-1206841725690905.8</v>
      </c>
      <c r="J5297" s="444">
        <f t="array" ref="J5297">IFERROR(INDEX('Retirement Calculator'!K:K,MATCH('Lorri 401b'!N5297,'Retirement Calculator'!A:A,0),0),0)</f>
        <v>0</v>
      </c>
      <c r="K5297" s="444">
        <f t="shared" ca="1" si="183"/>
        <v>-5028507190378.7734</v>
      </c>
      <c r="L5297" s="444">
        <f t="shared" ca="1" si="184"/>
        <v>-1211870232881284.5</v>
      </c>
      <c r="M5297" s="460">
        <f t="shared" si="186"/>
        <v>0.05</v>
      </c>
      <c r="N5297" s="464">
        <f t="shared" si="187"/>
        <v>212268</v>
      </c>
    </row>
    <row r="5298" spans="7:14" ht="11.25" customHeight="1" x14ac:dyDescent="0.3">
      <c r="G5298" s="459"/>
      <c r="H5298" s="459">
        <v>5291</v>
      </c>
      <c r="I5298" s="444">
        <f t="shared" ca="1" si="185"/>
        <v>-1211870232881284.5</v>
      </c>
      <c r="J5298" s="444">
        <f t="array" ref="J5298">IFERROR(INDEX('Retirement Calculator'!K:K,MATCH('Lorri 401b'!N5298,'Retirement Calculator'!A:A,0),0),0)</f>
        <v>0</v>
      </c>
      <c r="K5298" s="444">
        <f t="shared" ca="1" si="183"/>
        <v>-5049459303672.0186</v>
      </c>
      <c r="L5298" s="444">
        <f t="shared" ca="1" si="184"/>
        <v>-1216919692184956.5</v>
      </c>
      <c r="M5298" s="460">
        <f t="shared" si="186"/>
        <v>0.05</v>
      </c>
      <c r="N5298" s="464">
        <f t="shared" si="187"/>
        <v>212299</v>
      </c>
    </row>
    <row r="5299" spans="7:14" ht="11.25" customHeight="1" x14ac:dyDescent="0.3">
      <c r="G5299" s="459"/>
      <c r="H5299" s="459">
        <v>5292</v>
      </c>
      <c r="I5299" s="444">
        <f t="shared" ca="1" si="185"/>
        <v>-1216919692184956.5</v>
      </c>
      <c r="J5299" s="444">
        <f t="array" ref="J5299">IFERROR(INDEX('Retirement Calculator'!K:K,MATCH('Lorri 401b'!N5299,'Retirement Calculator'!A:A,0),0),0)</f>
        <v>0</v>
      </c>
      <c r="K5299" s="444">
        <f t="shared" ca="1" si="183"/>
        <v>-5070498717437.3184</v>
      </c>
      <c r="L5299" s="444">
        <f t="shared" ca="1" si="184"/>
        <v>-1221990190902393.8</v>
      </c>
      <c r="M5299" s="460">
        <f t="shared" si="186"/>
        <v>0.05</v>
      </c>
      <c r="N5299" s="464">
        <f t="shared" si="187"/>
        <v>212329</v>
      </c>
    </row>
    <row r="5300" spans="7:14" ht="11.25" customHeight="1" x14ac:dyDescent="0.3">
      <c r="G5300" s="459"/>
      <c r="H5300" s="459">
        <v>5293</v>
      </c>
      <c r="I5300" s="444">
        <f t="shared" ca="1" si="185"/>
        <v>-1221990190902393.8</v>
      </c>
      <c r="J5300" s="444">
        <f t="array" ref="J5300">IFERROR(INDEX('Retirement Calculator'!K:K,MATCH('Lorri 401b'!N5300,'Retirement Calculator'!A:A,0),0),0)</f>
        <v>0</v>
      </c>
      <c r="K5300" s="444">
        <f t="shared" ca="1" si="183"/>
        <v>-5091625795426.6406</v>
      </c>
      <c r="L5300" s="444">
        <f t="shared" ca="1" si="184"/>
        <v>-1227081816697820.5</v>
      </c>
      <c r="M5300" s="460">
        <f t="shared" si="186"/>
        <v>0.05</v>
      </c>
      <c r="N5300" s="464">
        <f t="shared" si="187"/>
        <v>212360</v>
      </c>
    </row>
    <row r="5301" spans="7:14" ht="11.25" customHeight="1" x14ac:dyDescent="0.3">
      <c r="G5301" s="459"/>
      <c r="H5301" s="459">
        <v>5294</v>
      </c>
      <c r="I5301" s="444">
        <f t="shared" ca="1" si="185"/>
        <v>-1227081816697820.5</v>
      </c>
      <c r="J5301" s="444">
        <f t="array" ref="J5301">IFERROR(INDEX('Retirement Calculator'!K:K,MATCH('Lorri 401b'!N5301,'Retirement Calculator'!A:A,0),0),0)</f>
        <v>0</v>
      </c>
      <c r="K5301" s="444">
        <f t="shared" ca="1" si="183"/>
        <v>-5112840902907.585</v>
      </c>
      <c r="L5301" s="444">
        <f t="shared" ca="1" si="184"/>
        <v>-1232194657600728</v>
      </c>
      <c r="M5301" s="460">
        <f t="shared" si="186"/>
        <v>0.05</v>
      </c>
      <c r="N5301" s="464">
        <f t="shared" si="187"/>
        <v>212390</v>
      </c>
    </row>
    <row r="5302" spans="7:14" ht="11.25" customHeight="1" x14ac:dyDescent="0.3">
      <c r="G5302" s="459"/>
      <c r="H5302" s="459">
        <v>5295</v>
      </c>
      <c r="I5302" s="444">
        <f t="shared" ca="1" si="185"/>
        <v>-1232194657600728</v>
      </c>
      <c r="J5302" s="444">
        <f t="array" ref="J5302">IFERROR(INDEX('Retirement Calculator'!K:K,MATCH('Lorri 401b'!N5302,'Retirement Calculator'!A:A,0),0),0)</f>
        <v>0</v>
      </c>
      <c r="K5302" s="444">
        <f t="shared" ca="1" si="183"/>
        <v>-5134144406669.7002</v>
      </c>
      <c r="L5302" s="444">
        <f t="shared" ca="1" si="184"/>
        <v>-1237328802007397.8</v>
      </c>
      <c r="M5302" s="460">
        <f t="shared" si="186"/>
        <v>0.05</v>
      </c>
      <c r="N5302" s="464">
        <f t="shared" si="187"/>
        <v>212421</v>
      </c>
    </row>
    <row r="5303" spans="7:14" ht="11.25" customHeight="1" x14ac:dyDescent="0.3">
      <c r="G5303" s="459"/>
      <c r="H5303" s="459">
        <v>5296</v>
      </c>
      <c r="I5303" s="444">
        <f t="shared" ca="1" si="185"/>
        <v>-1237328802007397.8</v>
      </c>
      <c r="J5303" s="444">
        <f t="array" ref="J5303">IFERROR(INDEX('Retirement Calculator'!K:K,MATCH('Lorri 401b'!N5303,'Retirement Calculator'!A:A,0),0),0)</f>
        <v>0</v>
      </c>
      <c r="K5303" s="444">
        <f t="shared" ca="1" si="183"/>
        <v>-5155536675030.8242</v>
      </c>
      <c r="L5303" s="444">
        <f t="shared" ca="1" si="184"/>
        <v>-1242484338682428.5</v>
      </c>
      <c r="M5303" s="460">
        <f t="shared" si="186"/>
        <v>0.05</v>
      </c>
      <c r="N5303" s="464">
        <f t="shared" si="187"/>
        <v>212452</v>
      </c>
    </row>
    <row r="5304" spans="7:14" ht="11.25" customHeight="1" x14ac:dyDescent="0.3">
      <c r="G5304" s="459"/>
      <c r="H5304" s="459">
        <v>5297</v>
      </c>
      <c r="I5304" s="444">
        <f t="shared" ca="1" si="185"/>
        <v>-1242484338682428.5</v>
      </c>
      <c r="J5304" s="444">
        <f t="array" ref="J5304">IFERROR(INDEX('Retirement Calculator'!K:K,MATCH('Lorri 401b'!N5304,'Retirement Calculator'!A:A,0),0),0)</f>
        <v>0</v>
      </c>
      <c r="K5304" s="444">
        <f t="shared" ca="1" si="183"/>
        <v>-5177018077843.4521</v>
      </c>
      <c r="L5304" s="444">
        <f t="shared" ca="1" si="184"/>
        <v>-1247661356760272</v>
      </c>
      <c r="M5304" s="460">
        <f t="shared" si="186"/>
        <v>0.05</v>
      </c>
      <c r="N5304" s="464">
        <f t="shared" si="187"/>
        <v>212482</v>
      </c>
    </row>
    <row r="5305" spans="7:14" ht="11.25" customHeight="1" x14ac:dyDescent="0.3">
      <c r="G5305" s="459"/>
      <c r="H5305" s="459">
        <v>5298</v>
      </c>
      <c r="I5305" s="444">
        <f t="shared" ca="1" si="185"/>
        <v>-1247661356760272</v>
      </c>
      <c r="J5305" s="444">
        <f t="array" ref="J5305">IFERROR(INDEX('Retirement Calculator'!K:K,MATCH('Lorri 401b'!N5305,'Retirement Calculator'!A:A,0),0),0)</f>
        <v>0</v>
      </c>
      <c r="K5305" s="444">
        <f t="shared" ca="1" si="183"/>
        <v>-5198588986501.1328</v>
      </c>
      <c r="L5305" s="444">
        <f t="shared" ca="1" si="184"/>
        <v>-1252859945746773.3</v>
      </c>
      <c r="M5305" s="460">
        <f t="shared" si="186"/>
        <v>0.05</v>
      </c>
      <c r="N5305" s="464">
        <f t="shared" si="187"/>
        <v>212513</v>
      </c>
    </row>
    <row r="5306" spans="7:14" ht="11.25" customHeight="1" x14ac:dyDescent="0.3">
      <c r="G5306" s="459"/>
      <c r="H5306" s="459">
        <v>5299</v>
      </c>
      <c r="I5306" s="444">
        <f t="shared" ca="1" si="185"/>
        <v>-1252859945746773.3</v>
      </c>
      <c r="J5306" s="444">
        <f t="array" ref="J5306">IFERROR(INDEX('Retirement Calculator'!K:K,MATCH('Lorri 401b'!N5306,'Retirement Calculator'!A:A,0),0),0)</f>
        <v>0</v>
      </c>
      <c r="K5306" s="444">
        <f t="shared" ca="1" si="183"/>
        <v>-5220249773944.8887</v>
      </c>
      <c r="L5306" s="444">
        <f t="shared" ca="1" si="184"/>
        <v>-1258080195520718.3</v>
      </c>
      <c r="M5306" s="460">
        <f t="shared" si="186"/>
        <v>0.05</v>
      </c>
      <c r="N5306" s="464">
        <f t="shared" si="187"/>
        <v>212543</v>
      </c>
    </row>
    <row r="5307" spans="7:14" ht="11.25" customHeight="1" x14ac:dyDescent="0.3">
      <c r="G5307" s="459"/>
      <c r="H5307" s="459">
        <v>5300</v>
      </c>
      <c r="I5307" s="444">
        <f t="shared" ca="1" si="185"/>
        <v>-1258080195520718.3</v>
      </c>
      <c r="J5307" s="444">
        <f t="array" ref="J5307">IFERROR(INDEX('Retirement Calculator'!K:K,MATCH('Lorri 401b'!N5307,'Retirement Calculator'!A:A,0),0),0)</f>
        <v>0</v>
      </c>
      <c r="K5307" s="444">
        <f t="shared" ca="1" si="183"/>
        <v>-5242000814669.6592</v>
      </c>
      <c r="L5307" s="444">
        <f t="shared" ca="1" si="184"/>
        <v>-1263322196335388</v>
      </c>
      <c r="M5307" s="460">
        <f t="shared" si="186"/>
        <v>0.05</v>
      </c>
      <c r="N5307" s="464">
        <f t="shared" si="187"/>
        <v>212574</v>
      </c>
    </row>
    <row r="5308" spans="7:14" ht="11.25" customHeight="1" x14ac:dyDescent="0.3">
      <c r="G5308" s="459"/>
      <c r="H5308" s="459">
        <v>5301</v>
      </c>
      <c r="I5308" s="444">
        <f t="shared" ca="1" si="185"/>
        <v>-1263322196335388</v>
      </c>
      <c r="J5308" s="444">
        <f t="array" ref="J5308">IFERROR(INDEX('Retirement Calculator'!K:K,MATCH('Lorri 401b'!N5308,'Retirement Calculator'!A:A,0),0),0)</f>
        <v>0</v>
      </c>
      <c r="K5308" s="444">
        <f t="shared" ca="1" si="183"/>
        <v>-5263842484730.7832</v>
      </c>
      <c r="L5308" s="444">
        <f t="shared" ca="1" si="184"/>
        <v>-1268586038820118.8</v>
      </c>
      <c r="M5308" s="460">
        <f t="shared" si="186"/>
        <v>0.05</v>
      </c>
      <c r="N5308" s="464">
        <f t="shared" si="187"/>
        <v>212605</v>
      </c>
    </row>
    <row r="5309" spans="7:14" ht="11.25" customHeight="1" x14ac:dyDescent="0.3">
      <c r="G5309" s="459"/>
      <c r="H5309" s="459">
        <v>5302</v>
      </c>
      <c r="I5309" s="444">
        <f t="shared" ca="1" si="185"/>
        <v>-1268586038820118.8</v>
      </c>
      <c r="J5309" s="444">
        <f t="array" ref="J5309">IFERROR(INDEX('Retirement Calculator'!K:K,MATCH('Lorri 401b'!N5309,'Retirement Calculator'!A:A,0),0),0)</f>
        <v>0</v>
      </c>
      <c r="K5309" s="444">
        <f t="shared" ca="1" si="183"/>
        <v>-5285775161750.4951</v>
      </c>
      <c r="L5309" s="444">
        <f t="shared" ca="1" si="184"/>
        <v>-1273871813981869.3</v>
      </c>
      <c r="M5309" s="460">
        <f t="shared" si="186"/>
        <v>0.05</v>
      </c>
      <c r="N5309" s="464">
        <f t="shared" si="187"/>
        <v>212633</v>
      </c>
    </row>
    <row r="5310" spans="7:14" ht="11.25" customHeight="1" x14ac:dyDescent="0.3">
      <c r="G5310" s="459"/>
      <c r="H5310" s="459">
        <v>5303</v>
      </c>
      <c r="I5310" s="444">
        <f t="shared" ca="1" si="185"/>
        <v>-1273871813981869.3</v>
      </c>
      <c r="J5310" s="444">
        <f t="array" ref="J5310">IFERROR(INDEX('Retirement Calculator'!K:K,MATCH('Lorri 401b'!N5310,'Retirement Calculator'!A:A,0),0),0)</f>
        <v>0</v>
      </c>
      <c r="K5310" s="444">
        <f t="shared" ca="1" si="183"/>
        <v>-5307799224924.4551</v>
      </c>
      <c r="L5310" s="444">
        <f t="shared" ca="1" si="184"/>
        <v>-1279179613206793.8</v>
      </c>
      <c r="M5310" s="460">
        <f t="shared" si="186"/>
        <v>0.05</v>
      </c>
      <c r="N5310" s="464">
        <f t="shared" si="187"/>
        <v>212664</v>
      </c>
    </row>
    <row r="5311" spans="7:14" ht="11.25" customHeight="1" x14ac:dyDescent="0.3">
      <c r="G5311" s="459"/>
      <c r="H5311" s="459">
        <v>5304</v>
      </c>
      <c r="I5311" s="444">
        <f t="shared" ca="1" si="185"/>
        <v>-1279179613206793.8</v>
      </c>
      <c r="J5311" s="444">
        <f t="array" ref="J5311">IFERROR(INDEX('Retirement Calculator'!K:K,MATCH('Lorri 401b'!N5311,'Retirement Calculator'!A:A,0),0),0)</f>
        <v>0</v>
      </c>
      <c r="K5311" s="444">
        <f t="shared" ca="1" si="183"/>
        <v>-5329915055028.3076</v>
      </c>
      <c r="L5311" s="444">
        <f t="shared" ca="1" si="184"/>
        <v>-1284509528261822</v>
      </c>
      <c r="M5311" s="460">
        <f t="shared" si="186"/>
        <v>0.05</v>
      </c>
      <c r="N5311" s="464">
        <f t="shared" si="187"/>
        <v>212694</v>
      </c>
    </row>
    <row r="5312" spans="7:14" ht="11.25" customHeight="1" x14ac:dyDescent="0.3">
      <c r="G5312" s="459"/>
      <c r="H5312" s="459">
        <v>5305</v>
      </c>
      <c r="I5312" s="444">
        <f t="shared" ca="1" si="185"/>
        <v>-1284509528261822</v>
      </c>
      <c r="J5312" s="444">
        <f t="array" ref="J5312">IFERROR(INDEX('Retirement Calculator'!K:K,MATCH('Lorri 401b'!N5312,'Retirement Calculator'!A:A,0),0),0)</f>
        <v>0</v>
      </c>
      <c r="K5312" s="444">
        <f t="shared" ca="1" si="183"/>
        <v>-5352123034424.2578</v>
      </c>
      <c r="L5312" s="444">
        <f t="shared" ca="1" si="184"/>
        <v>-1289861651296246.3</v>
      </c>
      <c r="M5312" s="460">
        <f t="shared" si="186"/>
        <v>0.05</v>
      </c>
      <c r="N5312" s="464">
        <f t="shared" si="187"/>
        <v>212725</v>
      </c>
    </row>
    <row r="5313" spans="7:14" ht="11.25" customHeight="1" x14ac:dyDescent="0.3">
      <c r="G5313" s="459"/>
      <c r="H5313" s="459">
        <v>5306</v>
      </c>
      <c r="I5313" s="444">
        <f t="shared" ca="1" si="185"/>
        <v>-1289861651296246.3</v>
      </c>
      <c r="J5313" s="444">
        <f t="array" ref="J5313">IFERROR(INDEX('Retirement Calculator'!K:K,MATCH('Lorri 401b'!N5313,'Retirement Calculator'!A:A,0),0),0)</f>
        <v>0</v>
      </c>
      <c r="K5313" s="444">
        <f t="shared" ca="1" si="183"/>
        <v>-5374423547067.6924</v>
      </c>
      <c r="L5313" s="444">
        <f t="shared" ca="1" si="184"/>
        <v>-1295236074843314</v>
      </c>
      <c r="M5313" s="460">
        <f t="shared" si="186"/>
        <v>0.05</v>
      </c>
      <c r="N5313" s="464">
        <f t="shared" si="187"/>
        <v>212755</v>
      </c>
    </row>
    <row r="5314" spans="7:14" ht="11.25" customHeight="1" x14ac:dyDescent="0.3">
      <c r="G5314" s="459"/>
      <c r="H5314" s="459">
        <v>5307</v>
      </c>
      <c r="I5314" s="444">
        <f t="shared" ca="1" si="185"/>
        <v>-1295236074843314</v>
      </c>
      <c r="J5314" s="444">
        <f t="array" ref="J5314">IFERROR(INDEX('Retirement Calculator'!K:K,MATCH('Lorri 401b'!N5314,'Retirement Calculator'!A:A,0),0),0)</f>
        <v>0</v>
      </c>
      <c r="K5314" s="444">
        <f t="shared" ca="1" si="183"/>
        <v>-5396816978513.8086</v>
      </c>
      <c r="L5314" s="444">
        <f t="shared" ca="1" si="184"/>
        <v>-1300632891821827.8</v>
      </c>
      <c r="M5314" s="460">
        <f t="shared" si="186"/>
        <v>0.05</v>
      </c>
      <c r="N5314" s="464">
        <f t="shared" si="187"/>
        <v>212786</v>
      </c>
    </row>
    <row r="5315" spans="7:14" ht="11.25" customHeight="1" x14ac:dyDescent="0.3">
      <c r="G5315" s="459"/>
      <c r="H5315" s="459">
        <v>5308</v>
      </c>
      <c r="I5315" s="444">
        <f t="shared" ca="1" si="185"/>
        <v>-1300632891821827.8</v>
      </c>
      <c r="J5315" s="444">
        <f t="array" ref="J5315">IFERROR(INDEX('Retirement Calculator'!K:K,MATCH('Lorri 401b'!N5315,'Retirement Calculator'!A:A,0),0),0)</f>
        <v>0</v>
      </c>
      <c r="K5315" s="444">
        <f t="shared" ca="1" si="183"/>
        <v>-5419303715924.2822</v>
      </c>
      <c r="L5315" s="444">
        <f t="shared" ca="1" si="184"/>
        <v>-1306052195537752</v>
      </c>
      <c r="M5315" s="460">
        <f t="shared" si="186"/>
        <v>0.05</v>
      </c>
      <c r="N5315" s="464">
        <f t="shared" si="187"/>
        <v>212817</v>
      </c>
    </row>
    <row r="5316" spans="7:14" ht="11.25" customHeight="1" x14ac:dyDescent="0.3">
      <c r="G5316" s="459"/>
      <c r="H5316" s="459">
        <v>5309</v>
      </c>
      <c r="I5316" s="444">
        <f t="shared" ca="1" si="185"/>
        <v>-1306052195537752</v>
      </c>
      <c r="J5316" s="444">
        <f t="array" ref="J5316">IFERROR(INDEX('Retirement Calculator'!K:K,MATCH('Lorri 401b'!N5316,'Retirement Calculator'!A:A,0),0),0)</f>
        <v>0</v>
      </c>
      <c r="K5316" s="444">
        <f t="shared" ca="1" si="183"/>
        <v>-5441884148073.9668</v>
      </c>
      <c r="L5316" s="444">
        <f t="shared" ca="1" si="184"/>
        <v>-1311494079685826</v>
      </c>
      <c r="M5316" s="460">
        <f t="shared" si="186"/>
        <v>0.05</v>
      </c>
      <c r="N5316" s="464">
        <f t="shared" si="187"/>
        <v>212847</v>
      </c>
    </row>
    <row r="5317" spans="7:14" ht="11.25" customHeight="1" x14ac:dyDescent="0.3">
      <c r="G5317" s="459"/>
      <c r="H5317" s="459">
        <v>5310</v>
      </c>
      <c r="I5317" s="444">
        <f t="shared" ca="1" si="185"/>
        <v>-1311494079685826</v>
      </c>
      <c r="J5317" s="444">
        <f t="array" ref="J5317">IFERROR(INDEX('Retirement Calculator'!K:K,MATCH('Lorri 401b'!N5317,'Retirement Calculator'!A:A,0),0),0)</f>
        <v>0</v>
      </c>
      <c r="K5317" s="444">
        <f t="shared" ca="1" si="183"/>
        <v>-5464558665357.6084</v>
      </c>
      <c r="L5317" s="444">
        <f t="shared" ca="1" si="184"/>
        <v>-1316958638351183.5</v>
      </c>
      <c r="M5317" s="460">
        <f t="shared" si="186"/>
        <v>0.05</v>
      </c>
      <c r="N5317" s="464">
        <f t="shared" si="187"/>
        <v>212878</v>
      </c>
    </row>
    <row r="5318" spans="7:14" ht="11.25" customHeight="1" x14ac:dyDescent="0.3">
      <c r="G5318" s="459"/>
      <c r="H5318" s="459">
        <v>5311</v>
      </c>
      <c r="I5318" s="444">
        <f t="shared" ca="1" si="185"/>
        <v>-1316958638351183.5</v>
      </c>
      <c r="J5318" s="444">
        <f t="array" ref="J5318">IFERROR(INDEX('Retirement Calculator'!K:K,MATCH('Lorri 401b'!N5318,'Retirement Calculator'!A:A,0),0),0)</f>
        <v>0</v>
      </c>
      <c r="K5318" s="444">
        <f t="shared" ca="1" si="183"/>
        <v>-5487327659796.5977</v>
      </c>
      <c r="L5318" s="444">
        <f t="shared" ca="1" si="184"/>
        <v>-1322445966010980</v>
      </c>
      <c r="M5318" s="460">
        <f t="shared" si="186"/>
        <v>0.05</v>
      </c>
      <c r="N5318" s="464">
        <f t="shared" si="187"/>
        <v>212908</v>
      </c>
    </row>
    <row r="5319" spans="7:14" ht="11.25" customHeight="1" x14ac:dyDescent="0.3">
      <c r="G5319" s="459"/>
      <c r="H5319" s="459">
        <v>5312</v>
      </c>
      <c r="I5319" s="444">
        <f t="shared" ca="1" si="185"/>
        <v>-1322445966010980</v>
      </c>
      <c r="J5319" s="444">
        <f t="array" ref="J5319">IFERROR(INDEX('Retirement Calculator'!K:K,MATCH('Lorri 401b'!N5319,'Retirement Calculator'!A:A,0),0),0)</f>
        <v>0</v>
      </c>
      <c r="K5319" s="444">
        <f t="shared" ca="1" si="183"/>
        <v>-5510191525045.75</v>
      </c>
      <c r="L5319" s="444">
        <f t="shared" ca="1" si="184"/>
        <v>-1327956157536025.8</v>
      </c>
      <c r="M5319" s="460">
        <f t="shared" si="186"/>
        <v>0.05</v>
      </c>
      <c r="N5319" s="464">
        <f t="shared" si="187"/>
        <v>212939</v>
      </c>
    </row>
    <row r="5320" spans="7:14" ht="11.25" customHeight="1" x14ac:dyDescent="0.3">
      <c r="G5320" s="459"/>
      <c r="H5320" s="459">
        <v>5313</v>
      </c>
      <c r="I5320" s="444">
        <f t="shared" ca="1" si="185"/>
        <v>-1327956157536025.8</v>
      </c>
      <c r="J5320" s="444">
        <f t="array" ref="J5320">IFERROR(INDEX('Retirement Calculator'!K:K,MATCH('Lorri 401b'!N5320,'Retirement Calculator'!A:A,0),0),0)</f>
        <v>0</v>
      </c>
      <c r="K5320" s="444">
        <f t="shared" ca="1" si="183"/>
        <v>-5533150656400.1074</v>
      </c>
      <c r="L5320" s="444">
        <f t="shared" ca="1" si="184"/>
        <v>-1333489308192425.8</v>
      </c>
      <c r="M5320" s="460">
        <f t="shared" si="186"/>
        <v>0.05</v>
      </c>
      <c r="N5320" s="464">
        <f t="shared" si="187"/>
        <v>212970</v>
      </c>
    </row>
    <row r="5321" spans="7:14" ht="11.25" customHeight="1" x14ac:dyDescent="0.3">
      <c r="G5321" s="459"/>
      <c r="H5321" s="459">
        <v>5314</v>
      </c>
      <c r="I5321" s="444">
        <f t="shared" ca="1" si="185"/>
        <v>-1333489308192425.8</v>
      </c>
      <c r="J5321" s="444">
        <f t="array" ref="J5321">IFERROR(INDEX('Retirement Calculator'!K:K,MATCH('Lorri 401b'!N5321,'Retirement Calculator'!A:A,0),0),0)</f>
        <v>0</v>
      </c>
      <c r="K5321" s="444">
        <f t="shared" ca="1" si="183"/>
        <v>-5556205450801.7734</v>
      </c>
      <c r="L5321" s="444">
        <f t="shared" ca="1" si="184"/>
        <v>-1339045513643227.5</v>
      </c>
      <c r="M5321" s="460">
        <f t="shared" si="186"/>
        <v>0.05</v>
      </c>
      <c r="N5321" s="464">
        <f t="shared" si="187"/>
        <v>212998</v>
      </c>
    </row>
    <row r="5322" spans="7:14" ht="11.25" customHeight="1" x14ac:dyDescent="0.3">
      <c r="G5322" s="459"/>
      <c r="H5322" s="459">
        <v>5315</v>
      </c>
      <c r="I5322" s="444">
        <f t="shared" ca="1" si="185"/>
        <v>-1339045513643227.5</v>
      </c>
      <c r="J5322" s="444">
        <f t="array" ref="J5322">IFERROR(INDEX('Retirement Calculator'!K:K,MATCH('Lorri 401b'!N5322,'Retirement Calculator'!A:A,0),0),0)</f>
        <v>0</v>
      </c>
      <c r="K5322" s="444">
        <f t="shared" ca="1" si="183"/>
        <v>-5579356306846.7813</v>
      </c>
      <c r="L5322" s="444">
        <f t="shared" ca="1" si="184"/>
        <v>-1344624869950074.3</v>
      </c>
      <c r="M5322" s="460">
        <f t="shared" si="186"/>
        <v>0.05</v>
      </c>
      <c r="N5322" s="464">
        <f t="shared" si="187"/>
        <v>213029</v>
      </c>
    </row>
    <row r="5323" spans="7:14" ht="11.25" customHeight="1" x14ac:dyDescent="0.3">
      <c r="G5323" s="459"/>
      <c r="H5323" s="459">
        <v>5316</v>
      </c>
      <c r="I5323" s="444">
        <f t="shared" ca="1" si="185"/>
        <v>-1344624869950074.3</v>
      </c>
      <c r="J5323" s="444">
        <f t="array" ref="J5323">IFERROR(INDEX('Retirement Calculator'!K:K,MATCH('Lorri 401b'!N5323,'Retirement Calculator'!A:A,0),0),0)</f>
        <v>0</v>
      </c>
      <c r="K5323" s="444">
        <f t="shared" ca="1" si="183"/>
        <v>-5602603624791.9756</v>
      </c>
      <c r="L5323" s="444">
        <f t="shared" ca="1" si="184"/>
        <v>-1350227473574866.3</v>
      </c>
      <c r="M5323" s="460">
        <f t="shared" si="186"/>
        <v>0.05</v>
      </c>
      <c r="N5323" s="464">
        <f t="shared" si="187"/>
        <v>213059</v>
      </c>
    </row>
    <row r="5324" spans="7:14" ht="11.25" customHeight="1" x14ac:dyDescent="0.3">
      <c r="G5324" s="459"/>
      <c r="H5324" s="459">
        <v>5317</v>
      </c>
      <c r="I5324" s="444">
        <f t="shared" ca="1" si="185"/>
        <v>-1350227473574866.3</v>
      </c>
      <c r="J5324" s="444">
        <f t="array" ref="J5324">IFERROR(INDEX('Retirement Calculator'!K:K,MATCH('Lorri 401b'!N5324,'Retirement Calculator'!A:A,0),0),0)</f>
        <v>0</v>
      </c>
      <c r="K5324" s="444">
        <f t="shared" ca="1" si="183"/>
        <v>-5625947806561.9424</v>
      </c>
      <c r="L5324" s="444">
        <f t="shared" ca="1" si="184"/>
        <v>-1355853421381428.3</v>
      </c>
      <c r="M5324" s="460">
        <f t="shared" si="186"/>
        <v>0.05</v>
      </c>
      <c r="N5324" s="464">
        <f t="shared" si="187"/>
        <v>213090</v>
      </c>
    </row>
    <row r="5325" spans="7:14" ht="11.25" customHeight="1" x14ac:dyDescent="0.3">
      <c r="G5325" s="459"/>
      <c r="H5325" s="459">
        <v>5318</v>
      </c>
      <c r="I5325" s="444">
        <f t="shared" ca="1" si="185"/>
        <v>-1355853421381428.3</v>
      </c>
      <c r="J5325" s="444">
        <f t="array" ref="J5325">IFERROR(INDEX('Retirement Calculator'!K:K,MATCH('Lorri 401b'!N5325,'Retirement Calculator'!A:A,0),0),0)</f>
        <v>0</v>
      </c>
      <c r="K5325" s="444">
        <f t="shared" ca="1" si="183"/>
        <v>-5649389255755.9512</v>
      </c>
      <c r="L5325" s="444">
        <f t="shared" ca="1" si="184"/>
        <v>-1361502810637184.3</v>
      </c>
      <c r="M5325" s="460">
        <f t="shared" si="186"/>
        <v>0.05</v>
      </c>
      <c r="N5325" s="464">
        <f t="shared" si="187"/>
        <v>213120</v>
      </c>
    </row>
    <row r="5326" spans="7:14" ht="11.25" customHeight="1" x14ac:dyDescent="0.3">
      <c r="G5326" s="459"/>
      <c r="H5326" s="459">
        <v>5319</v>
      </c>
      <c r="I5326" s="444">
        <f t="shared" ca="1" si="185"/>
        <v>-1361502810637184.3</v>
      </c>
      <c r="J5326" s="444">
        <f t="array" ref="J5326">IFERROR(INDEX('Retirement Calculator'!K:K,MATCH('Lorri 401b'!N5326,'Retirement Calculator'!A:A,0),0),0)</f>
        <v>0</v>
      </c>
      <c r="K5326" s="444">
        <f t="shared" ca="1" si="183"/>
        <v>-5672928377654.9346</v>
      </c>
      <c r="L5326" s="444">
        <f t="shared" ca="1" si="184"/>
        <v>-1367175739014839.3</v>
      </c>
      <c r="M5326" s="460">
        <f t="shared" si="186"/>
        <v>0.05</v>
      </c>
      <c r="N5326" s="464">
        <f t="shared" si="187"/>
        <v>213151</v>
      </c>
    </row>
    <row r="5327" spans="7:14" ht="11.25" customHeight="1" x14ac:dyDescent="0.3">
      <c r="G5327" s="459"/>
      <c r="H5327" s="459">
        <v>5320</v>
      </c>
      <c r="I5327" s="444">
        <f t="shared" ca="1" si="185"/>
        <v>-1367175739014839.3</v>
      </c>
      <c r="J5327" s="444">
        <f t="array" ref="J5327">IFERROR(INDEX('Retirement Calculator'!K:K,MATCH('Lorri 401b'!N5327,'Retirement Calculator'!A:A,0),0),0)</f>
        <v>0</v>
      </c>
      <c r="K5327" s="444">
        <f t="shared" ca="1" si="183"/>
        <v>-5696565579228.4971</v>
      </c>
      <c r="L5327" s="444">
        <f t="shared" ca="1" si="184"/>
        <v>-1372872304594067.8</v>
      </c>
      <c r="M5327" s="460">
        <f t="shared" si="186"/>
        <v>0.05</v>
      </c>
      <c r="N5327" s="464">
        <f t="shared" si="187"/>
        <v>213182</v>
      </c>
    </row>
    <row r="5328" spans="7:14" ht="11.25" customHeight="1" x14ac:dyDescent="0.3">
      <c r="G5328" s="459"/>
      <c r="H5328" s="459">
        <v>5321</v>
      </c>
      <c r="I5328" s="444">
        <f t="shared" ca="1" si="185"/>
        <v>-1372872304594067.8</v>
      </c>
      <c r="J5328" s="444">
        <f t="array" ref="J5328">IFERROR(INDEX('Retirement Calculator'!K:K,MATCH('Lorri 401b'!N5328,'Retirement Calculator'!A:A,0),0),0)</f>
        <v>0</v>
      </c>
      <c r="K5328" s="444">
        <f t="shared" ca="1" si="183"/>
        <v>-5720301269141.9492</v>
      </c>
      <c r="L5328" s="444">
        <f t="shared" ca="1" si="184"/>
        <v>-1378592605863209.8</v>
      </c>
      <c r="M5328" s="460">
        <f t="shared" si="186"/>
        <v>0.05</v>
      </c>
      <c r="N5328" s="464">
        <f t="shared" si="187"/>
        <v>213212</v>
      </c>
    </row>
    <row r="5329" spans="7:14" ht="11.25" customHeight="1" x14ac:dyDescent="0.3">
      <c r="G5329" s="459"/>
      <c r="H5329" s="459">
        <v>5322</v>
      </c>
      <c r="I5329" s="444">
        <f t="shared" ca="1" si="185"/>
        <v>-1378592605863209.8</v>
      </c>
      <c r="J5329" s="444">
        <f t="array" ref="J5329">IFERROR(INDEX('Retirement Calculator'!K:K,MATCH('Lorri 401b'!N5329,'Retirement Calculator'!A:A,0),0),0)</f>
        <v>0</v>
      </c>
      <c r="K5329" s="444">
        <f t="shared" ca="1" si="183"/>
        <v>-5744135857763.374</v>
      </c>
      <c r="L5329" s="444">
        <f t="shared" ca="1" si="184"/>
        <v>-1384336741720973</v>
      </c>
      <c r="M5329" s="460">
        <f t="shared" si="186"/>
        <v>0.05</v>
      </c>
      <c r="N5329" s="464">
        <f t="shared" si="187"/>
        <v>213243</v>
      </c>
    </row>
    <row r="5330" spans="7:14" ht="11.25" customHeight="1" x14ac:dyDescent="0.3">
      <c r="G5330" s="459"/>
      <c r="H5330" s="459">
        <v>5323</v>
      </c>
      <c r="I5330" s="444">
        <f t="shared" ca="1" si="185"/>
        <v>-1384336741720973</v>
      </c>
      <c r="J5330" s="444">
        <f t="array" ref="J5330">IFERROR(INDEX('Retirement Calculator'!K:K,MATCH('Lorri 401b'!N5330,'Retirement Calculator'!A:A,0),0),0)</f>
        <v>0</v>
      </c>
      <c r="K5330" s="444">
        <f t="shared" ca="1" si="183"/>
        <v>-5768069757170.7207</v>
      </c>
      <c r="L5330" s="444">
        <f t="shared" ca="1" si="184"/>
        <v>-1390104811478143.8</v>
      </c>
      <c r="M5330" s="460">
        <f t="shared" si="186"/>
        <v>0.05</v>
      </c>
      <c r="N5330" s="464">
        <f t="shared" si="187"/>
        <v>213273</v>
      </c>
    </row>
    <row r="5331" spans="7:14" ht="11.25" customHeight="1" x14ac:dyDescent="0.3">
      <c r="G5331" s="459"/>
      <c r="H5331" s="459">
        <v>5324</v>
      </c>
      <c r="I5331" s="444">
        <f t="shared" ca="1" si="185"/>
        <v>-1390104811478143.8</v>
      </c>
      <c r="J5331" s="444">
        <f t="array" ref="J5331">IFERROR(INDEX('Retirement Calculator'!K:K,MATCH('Lorri 401b'!N5331,'Retirement Calculator'!A:A,0),0),0)</f>
        <v>0</v>
      </c>
      <c r="K5331" s="444">
        <f t="shared" ca="1" si="183"/>
        <v>-5792103381158.9326</v>
      </c>
      <c r="L5331" s="444">
        <f t="shared" ca="1" si="184"/>
        <v>-1395896914859302.8</v>
      </c>
      <c r="M5331" s="460">
        <f t="shared" si="186"/>
        <v>0.05</v>
      </c>
      <c r="N5331" s="464">
        <f t="shared" si="187"/>
        <v>213304</v>
      </c>
    </row>
    <row r="5332" spans="7:14" ht="11.25" customHeight="1" x14ac:dyDescent="0.3">
      <c r="G5332" s="459"/>
      <c r="H5332" s="459">
        <v>5325</v>
      </c>
      <c r="I5332" s="444">
        <f t="shared" ca="1" si="185"/>
        <v>-1395896914859302.8</v>
      </c>
      <c r="J5332" s="444">
        <f t="array" ref="J5332">IFERROR(INDEX('Retirement Calculator'!K:K,MATCH('Lorri 401b'!N5332,'Retirement Calculator'!A:A,0),0),0)</f>
        <v>0</v>
      </c>
      <c r="K5332" s="444">
        <f t="shared" ca="1" si="183"/>
        <v>-5816237145247.0947</v>
      </c>
      <c r="L5332" s="444">
        <f t="shared" ca="1" si="184"/>
        <v>-1401713152004549.8</v>
      </c>
      <c r="M5332" s="460">
        <f t="shared" si="186"/>
        <v>0.05</v>
      </c>
      <c r="N5332" s="464">
        <f t="shared" si="187"/>
        <v>213335</v>
      </c>
    </row>
    <row r="5333" spans="7:14" ht="11.25" customHeight="1" x14ac:dyDescent="0.3">
      <c r="G5333" s="459"/>
      <c r="H5333" s="459">
        <v>5326</v>
      </c>
      <c r="I5333" s="444">
        <f t="shared" ca="1" si="185"/>
        <v>-1401713152004549.8</v>
      </c>
      <c r="J5333" s="444">
        <f t="array" ref="J5333">IFERROR(INDEX('Retirement Calculator'!K:K,MATCH('Lorri 401b'!N5333,'Retirement Calculator'!A:A,0),0),0)</f>
        <v>0</v>
      </c>
      <c r="K5333" s="444">
        <f t="shared" ca="1" si="183"/>
        <v>-5840471466685.624</v>
      </c>
      <c r="L5333" s="444">
        <f t="shared" ca="1" si="184"/>
        <v>-1407553623471235.3</v>
      </c>
      <c r="M5333" s="460">
        <f t="shared" si="186"/>
        <v>0.05</v>
      </c>
      <c r="N5333" s="464">
        <f t="shared" si="187"/>
        <v>213364</v>
      </c>
    </row>
    <row r="5334" spans="7:14" ht="11.25" customHeight="1" x14ac:dyDescent="0.3">
      <c r="G5334" s="459"/>
      <c r="H5334" s="459">
        <v>5327</v>
      </c>
      <c r="I5334" s="444">
        <f t="shared" ca="1" si="185"/>
        <v>-1407553623471235.3</v>
      </c>
      <c r="J5334" s="444">
        <f t="array" ref="J5334">IFERROR(INDEX('Retirement Calculator'!K:K,MATCH('Lorri 401b'!N5334,'Retirement Calculator'!A:A,0),0),0)</f>
        <v>0</v>
      </c>
      <c r="K5334" s="444">
        <f t="shared" ca="1" si="183"/>
        <v>-5864806764463.4805</v>
      </c>
      <c r="L5334" s="444">
        <f t="shared" ca="1" si="184"/>
        <v>-1413418430235698.8</v>
      </c>
      <c r="M5334" s="460">
        <f t="shared" si="186"/>
        <v>0.05</v>
      </c>
      <c r="N5334" s="464">
        <f t="shared" si="187"/>
        <v>213395</v>
      </c>
    </row>
    <row r="5335" spans="7:14" ht="11.25" customHeight="1" x14ac:dyDescent="0.3">
      <c r="G5335" s="459"/>
      <c r="H5335" s="459">
        <v>5328</v>
      </c>
      <c r="I5335" s="444">
        <f t="shared" ca="1" si="185"/>
        <v>-1413418430235698.8</v>
      </c>
      <c r="J5335" s="444">
        <f t="array" ref="J5335">IFERROR(INDEX('Retirement Calculator'!K:K,MATCH('Lorri 401b'!N5335,'Retirement Calculator'!A:A,0),0),0)</f>
        <v>0</v>
      </c>
      <c r="K5335" s="444">
        <f t="shared" ca="1" si="183"/>
        <v>-5889243459315.4111</v>
      </c>
      <c r="L5335" s="444">
        <f t="shared" ca="1" si="184"/>
        <v>-1419307673695014.3</v>
      </c>
      <c r="M5335" s="460">
        <f t="shared" si="186"/>
        <v>0.05</v>
      </c>
      <c r="N5335" s="464">
        <f t="shared" si="187"/>
        <v>213425</v>
      </c>
    </row>
    <row r="5336" spans="7:14" ht="11.25" customHeight="1" x14ac:dyDescent="0.3">
      <c r="G5336" s="459"/>
      <c r="H5336" s="459">
        <v>5329</v>
      </c>
      <c r="I5336" s="444">
        <f t="shared" ca="1" si="185"/>
        <v>-1419307673695014.3</v>
      </c>
      <c r="J5336" s="444">
        <f t="array" ref="J5336">IFERROR(INDEX('Retirement Calculator'!K:K,MATCH('Lorri 401b'!N5336,'Retirement Calculator'!A:A,0),0),0)</f>
        <v>0</v>
      </c>
      <c r="K5336" s="444">
        <f t="shared" ca="1" si="183"/>
        <v>-5913781973729.2256</v>
      </c>
      <c r="L5336" s="444">
        <f t="shared" ca="1" si="184"/>
        <v>-1425221455668743.5</v>
      </c>
      <c r="M5336" s="460">
        <f t="shared" si="186"/>
        <v>0.05</v>
      </c>
      <c r="N5336" s="464">
        <f t="shared" si="187"/>
        <v>213456</v>
      </c>
    </row>
    <row r="5337" spans="7:14" ht="11.25" customHeight="1" x14ac:dyDescent="0.3">
      <c r="G5337" s="459"/>
      <c r="H5337" s="459">
        <v>5330</v>
      </c>
      <c r="I5337" s="444">
        <f t="shared" ca="1" si="185"/>
        <v>-1425221455668743.5</v>
      </c>
      <c r="J5337" s="444">
        <f t="array" ref="J5337">IFERROR(INDEX('Retirement Calculator'!K:K,MATCH('Lorri 401b'!N5337,'Retirement Calculator'!A:A,0),0),0)</f>
        <v>0</v>
      </c>
      <c r="K5337" s="444">
        <f t="shared" ca="1" si="183"/>
        <v>-5938422731953.0977</v>
      </c>
      <c r="L5337" s="444">
        <f t="shared" ca="1" si="184"/>
        <v>-1431159878400696.5</v>
      </c>
      <c r="M5337" s="460">
        <f t="shared" si="186"/>
        <v>0.05</v>
      </c>
      <c r="N5337" s="464">
        <f t="shared" si="187"/>
        <v>213486</v>
      </c>
    </row>
    <row r="5338" spans="7:14" ht="11.25" customHeight="1" x14ac:dyDescent="0.3">
      <c r="G5338" s="459"/>
      <c r="H5338" s="459">
        <v>5331</v>
      </c>
      <c r="I5338" s="444">
        <f t="shared" ca="1" si="185"/>
        <v>-1431159878400696.5</v>
      </c>
      <c r="J5338" s="444">
        <f t="array" ref="J5338">IFERROR(INDEX('Retirement Calculator'!K:K,MATCH('Lorri 401b'!N5338,'Retirement Calculator'!A:A,0),0),0)</f>
        <v>0</v>
      </c>
      <c r="K5338" s="444">
        <f t="shared" ca="1" si="183"/>
        <v>-5963166160002.9023</v>
      </c>
      <c r="L5338" s="444">
        <f t="shared" ca="1" si="184"/>
        <v>-1437123044560699.5</v>
      </c>
      <c r="M5338" s="460">
        <f t="shared" si="186"/>
        <v>0.05</v>
      </c>
      <c r="N5338" s="464">
        <f t="shared" si="187"/>
        <v>213517</v>
      </c>
    </row>
    <row r="5339" spans="7:14" ht="11.25" customHeight="1" x14ac:dyDescent="0.3">
      <c r="G5339" s="459"/>
      <c r="H5339" s="459">
        <v>5332</v>
      </c>
      <c r="I5339" s="444">
        <f t="shared" ca="1" si="185"/>
        <v>-1437123044560699.5</v>
      </c>
      <c r="J5339" s="444">
        <f t="array" ref="J5339">IFERROR(INDEX('Retirement Calculator'!K:K,MATCH('Lorri 401b'!N5339,'Retirement Calculator'!A:A,0),0),0)</f>
        <v>0</v>
      </c>
      <c r="K5339" s="444">
        <f t="shared" ca="1" si="183"/>
        <v>-5988012685669.5811</v>
      </c>
      <c r="L5339" s="444">
        <f t="shared" ca="1" si="184"/>
        <v>-1443111057246369</v>
      </c>
      <c r="M5339" s="460">
        <f t="shared" si="186"/>
        <v>0.05</v>
      </c>
      <c r="N5339" s="464">
        <f t="shared" si="187"/>
        <v>213548</v>
      </c>
    </row>
    <row r="5340" spans="7:14" ht="11.25" customHeight="1" x14ac:dyDescent="0.3">
      <c r="G5340" s="459"/>
      <c r="H5340" s="459">
        <v>5333</v>
      </c>
      <c r="I5340" s="444">
        <f t="shared" ca="1" si="185"/>
        <v>-1443111057246369</v>
      </c>
      <c r="J5340" s="444">
        <f t="array" ref="J5340">IFERROR(INDEX('Retirement Calculator'!K:K,MATCH('Lorri 401b'!N5340,'Retirement Calculator'!A:A,0),0),0)</f>
        <v>0</v>
      </c>
      <c r="K5340" s="444">
        <f t="shared" ca="1" si="183"/>
        <v>-6012962738526.5371</v>
      </c>
      <c r="L5340" s="444">
        <f t="shared" ca="1" si="184"/>
        <v>-1449124019984895.5</v>
      </c>
      <c r="M5340" s="460">
        <f t="shared" si="186"/>
        <v>0.05</v>
      </c>
      <c r="N5340" s="464">
        <f t="shared" si="187"/>
        <v>213578</v>
      </c>
    </row>
    <row r="5341" spans="7:14" ht="11.25" customHeight="1" x14ac:dyDescent="0.3">
      <c r="G5341" s="459"/>
      <c r="H5341" s="459">
        <v>5334</v>
      </c>
      <c r="I5341" s="444">
        <f t="shared" ca="1" si="185"/>
        <v>-1449124019984895.5</v>
      </c>
      <c r="J5341" s="444">
        <f t="array" ref="J5341">IFERROR(INDEX('Retirement Calculator'!K:K,MATCH('Lorri 401b'!N5341,'Retirement Calculator'!A:A,0),0),0)</f>
        <v>0</v>
      </c>
      <c r="K5341" s="444">
        <f t="shared" ca="1" si="183"/>
        <v>-6038016749937.0645</v>
      </c>
      <c r="L5341" s="444">
        <f t="shared" ca="1" si="184"/>
        <v>-1455162036734832.5</v>
      </c>
      <c r="M5341" s="460">
        <f t="shared" si="186"/>
        <v>0.05</v>
      </c>
      <c r="N5341" s="464">
        <f t="shared" si="187"/>
        <v>213609</v>
      </c>
    </row>
    <row r="5342" spans="7:14" ht="11.25" customHeight="1" x14ac:dyDescent="0.3">
      <c r="G5342" s="459"/>
      <c r="H5342" s="459">
        <v>5335</v>
      </c>
      <c r="I5342" s="444">
        <f t="shared" ca="1" si="185"/>
        <v>-1455162036734832.5</v>
      </c>
      <c r="J5342" s="444">
        <f t="array" ref="J5342">IFERROR(INDEX('Retirement Calculator'!K:K,MATCH('Lorri 401b'!N5342,'Retirement Calculator'!A:A,0),0),0)</f>
        <v>0</v>
      </c>
      <c r="K5342" s="444">
        <f t="shared" ca="1" si="183"/>
        <v>-6063175153061.8018</v>
      </c>
      <c r="L5342" s="444">
        <f t="shared" ca="1" si="184"/>
        <v>-1461225211887894.3</v>
      </c>
      <c r="M5342" s="460">
        <f t="shared" si="186"/>
        <v>0.05</v>
      </c>
      <c r="N5342" s="464">
        <f t="shared" si="187"/>
        <v>213639</v>
      </c>
    </row>
    <row r="5343" spans="7:14" ht="11.25" customHeight="1" x14ac:dyDescent="0.3">
      <c r="G5343" s="459"/>
      <c r="H5343" s="459">
        <v>5336</v>
      </c>
      <c r="I5343" s="444">
        <f t="shared" ca="1" si="185"/>
        <v>-1461225211887894.3</v>
      </c>
      <c r="J5343" s="444">
        <f t="array" ref="J5343">IFERROR(INDEX('Retirement Calculator'!K:K,MATCH('Lorri 401b'!N5343,'Retirement Calculator'!A:A,0),0),0)</f>
        <v>0</v>
      </c>
      <c r="K5343" s="444">
        <f t="shared" ca="1" si="183"/>
        <v>-6088438382866.2256</v>
      </c>
      <c r="L5343" s="444">
        <f t="shared" ca="1" si="184"/>
        <v>-1467313650270760.5</v>
      </c>
      <c r="M5343" s="460">
        <f t="shared" si="186"/>
        <v>0.05</v>
      </c>
      <c r="N5343" s="464">
        <f t="shared" si="187"/>
        <v>213670</v>
      </c>
    </row>
    <row r="5344" spans="7:14" ht="11.25" customHeight="1" x14ac:dyDescent="0.3">
      <c r="G5344" s="459"/>
      <c r="H5344" s="459">
        <v>5337</v>
      </c>
      <c r="I5344" s="444">
        <f t="shared" ca="1" si="185"/>
        <v>-1467313650270760.5</v>
      </c>
      <c r="J5344" s="444">
        <f t="array" ref="J5344">IFERROR(INDEX('Retirement Calculator'!K:K,MATCH('Lorri 401b'!N5344,'Retirement Calculator'!A:A,0),0),0)</f>
        <v>0</v>
      </c>
      <c r="K5344" s="444">
        <f t="shared" ca="1" si="183"/>
        <v>-6113806876128.1689</v>
      </c>
      <c r="L5344" s="444">
        <f t="shared" ca="1" si="184"/>
        <v>-1473427457146888.8</v>
      </c>
      <c r="M5344" s="460">
        <f t="shared" si="186"/>
        <v>0.05</v>
      </c>
      <c r="N5344" s="464">
        <f t="shared" si="187"/>
        <v>213701</v>
      </c>
    </row>
    <row r="5345" spans="7:14" ht="11.25" customHeight="1" x14ac:dyDescent="0.3">
      <c r="G5345" s="459"/>
      <c r="H5345" s="459">
        <v>5338</v>
      </c>
      <c r="I5345" s="444">
        <f t="shared" ca="1" si="185"/>
        <v>-1473427457146888.8</v>
      </c>
      <c r="J5345" s="444">
        <f t="array" ref="J5345">IFERROR(INDEX('Retirement Calculator'!K:K,MATCH('Lorri 401b'!N5345,'Retirement Calculator'!A:A,0),0),0)</f>
        <v>0</v>
      </c>
      <c r="K5345" s="444">
        <f t="shared" ca="1" si="183"/>
        <v>-6139281071445.3701</v>
      </c>
      <c r="L5345" s="444">
        <f t="shared" ca="1" si="184"/>
        <v>-1479566738218334</v>
      </c>
      <c r="M5345" s="460">
        <f t="shared" si="186"/>
        <v>0.05</v>
      </c>
      <c r="N5345" s="464">
        <f t="shared" si="187"/>
        <v>213729</v>
      </c>
    </row>
    <row r="5346" spans="7:14" ht="11.25" customHeight="1" x14ac:dyDescent="0.3">
      <c r="G5346" s="459"/>
      <c r="H5346" s="459">
        <v>5339</v>
      </c>
      <c r="I5346" s="444">
        <f t="shared" ca="1" si="185"/>
        <v>-1479566738218334</v>
      </c>
      <c r="J5346" s="444">
        <f t="array" ref="J5346">IFERROR(INDEX('Retirement Calculator'!K:K,MATCH('Lorri 401b'!N5346,'Retirement Calculator'!A:A,0),0),0)</f>
        <v>0</v>
      </c>
      <c r="K5346" s="444">
        <f t="shared" ca="1" si="183"/>
        <v>-6164861409243.0586</v>
      </c>
      <c r="L5346" s="444">
        <f t="shared" ca="1" si="184"/>
        <v>-1485731599627577</v>
      </c>
      <c r="M5346" s="460">
        <f t="shared" si="186"/>
        <v>0.05</v>
      </c>
      <c r="N5346" s="464">
        <f t="shared" si="187"/>
        <v>213760</v>
      </c>
    </row>
    <row r="5347" spans="7:14" ht="11.25" customHeight="1" x14ac:dyDescent="0.3">
      <c r="G5347" s="459"/>
      <c r="H5347" s="459">
        <v>5340</v>
      </c>
      <c r="I5347" s="444">
        <f t="shared" ca="1" si="185"/>
        <v>-1485731599627577</v>
      </c>
      <c r="J5347" s="444">
        <f t="array" ref="J5347">IFERROR(INDEX('Retirement Calculator'!K:K,MATCH('Lorri 401b'!N5347,'Retirement Calculator'!A:A,0),0),0)</f>
        <v>0</v>
      </c>
      <c r="K5347" s="444">
        <f t="shared" ca="1" si="183"/>
        <v>-6190548331781.5703</v>
      </c>
      <c r="L5347" s="444">
        <f t="shared" ca="1" si="184"/>
        <v>-1491922147959358.5</v>
      </c>
      <c r="M5347" s="460">
        <f t="shared" si="186"/>
        <v>0.05</v>
      </c>
      <c r="N5347" s="464">
        <f t="shared" si="187"/>
        <v>213790</v>
      </c>
    </row>
    <row r="5348" spans="7:14" ht="11.25" customHeight="1" x14ac:dyDescent="0.3">
      <c r="G5348" s="459"/>
      <c r="H5348" s="459">
        <v>5341</v>
      </c>
      <c r="I5348" s="444">
        <f t="shared" ca="1" si="185"/>
        <v>-1491922147959358.5</v>
      </c>
      <c r="J5348" s="444">
        <f t="array" ref="J5348">IFERROR(INDEX('Retirement Calculator'!K:K,MATCH('Lorri 401b'!N5348,'Retirement Calculator'!A:A,0),0),0)</f>
        <v>0</v>
      </c>
      <c r="K5348" s="444">
        <f t="shared" ca="1" si="183"/>
        <v>-6216342283163.9941</v>
      </c>
      <c r="L5348" s="444">
        <f t="shared" ca="1" si="184"/>
        <v>-1498138490242522.5</v>
      </c>
      <c r="M5348" s="460">
        <f t="shared" si="186"/>
        <v>0.05</v>
      </c>
      <c r="N5348" s="464">
        <f t="shared" si="187"/>
        <v>213821</v>
      </c>
    </row>
    <row r="5349" spans="7:14" ht="11.25" customHeight="1" x14ac:dyDescent="0.3">
      <c r="G5349" s="459"/>
      <c r="H5349" s="459">
        <v>5342</v>
      </c>
      <c r="I5349" s="444">
        <f t="shared" ca="1" si="185"/>
        <v>-1498138490242522.5</v>
      </c>
      <c r="J5349" s="444">
        <f t="array" ref="J5349">IFERROR(INDEX('Retirement Calculator'!K:K,MATCH('Lorri 401b'!N5349,'Retirement Calculator'!A:A,0),0),0)</f>
        <v>0</v>
      </c>
      <c r="K5349" s="444">
        <f t="shared" ca="1" si="183"/>
        <v>-6242243709343.8438</v>
      </c>
      <c r="L5349" s="444">
        <f t="shared" ca="1" si="184"/>
        <v>-1504380733951866.3</v>
      </c>
      <c r="M5349" s="460">
        <f t="shared" si="186"/>
        <v>0.05</v>
      </c>
      <c r="N5349" s="464">
        <f t="shared" si="187"/>
        <v>213851</v>
      </c>
    </row>
    <row r="5350" spans="7:14" ht="11.25" customHeight="1" x14ac:dyDescent="0.3">
      <c r="G5350" s="459"/>
      <c r="H5350" s="459">
        <v>5343</v>
      </c>
      <c r="I5350" s="444">
        <f t="shared" ca="1" si="185"/>
        <v>-1504380733951866.3</v>
      </c>
      <c r="J5350" s="444">
        <f t="array" ref="J5350">IFERROR(INDEX('Retirement Calculator'!K:K,MATCH('Lorri 401b'!N5350,'Retirement Calculator'!A:A,0),0),0)</f>
        <v>0</v>
      </c>
      <c r="K5350" s="444">
        <f t="shared" ca="1" si="183"/>
        <v>-6268253058132.7764</v>
      </c>
      <c r="L5350" s="444">
        <f t="shared" ca="1" si="184"/>
        <v>-1510648987009999</v>
      </c>
      <c r="M5350" s="460">
        <f t="shared" si="186"/>
        <v>0.05</v>
      </c>
      <c r="N5350" s="464">
        <f t="shared" si="187"/>
        <v>213882</v>
      </c>
    </row>
    <row r="5351" spans="7:14" ht="11.25" customHeight="1" x14ac:dyDescent="0.3">
      <c r="G5351" s="459"/>
      <c r="H5351" s="459">
        <v>5344</v>
      </c>
      <c r="I5351" s="444">
        <f t="shared" ca="1" si="185"/>
        <v>-1510648987009999</v>
      </c>
      <c r="J5351" s="444">
        <f t="array" ref="J5351">IFERROR(INDEX('Retirement Calculator'!K:K,MATCH('Lorri 401b'!N5351,'Retirement Calculator'!A:A,0),0),0)</f>
        <v>0</v>
      </c>
      <c r="K5351" s="444">
        <f t="shared" ca="1" si="183"/>
        <v>-6294370779208.3291</v>
      </c>
      <c r="L5351" s="444">
        <f t="shared" ca="1" si="184"/>
        <v>-1516943357789207.3</v>
      </c>
      <c r="M5351" s="460">
        <f t="shared" si="186"/>
        <v>0.05</v>
      </c>
      <c r="N5351" s="464">
        <f t="shared" si="187"/>
        <v>213913</v>
      </c>
    </row>
    <row r="5352" spans="7:14" ht="11.25" customHeight="1" x14ac:dyDescent="0.3">
      <c r="G5352" s="459"/>
      <c r="H5352" s="459">
        <v>5345</v>
      </c>
      <c r="I5352" s="444">
        <f t="shared" ca="1" si="185"/>
        <v>-1516943357789207.3</v>
      </c>
      <c r="J5352" s="444">
        <f t="array" ref="J5352">IFERROR(INDEX('Retirement Calculator'!K:K,MATCH('Lorri 401b'!N5352,'Retirement Calculator'!A:A,0),0),0)</f>
        <v>0</v>
      </c>
      <c r="K5352" s="444">
        <f t="shared" ca="1" si="183"/>
        <v>-6320597324121.6973</v>
      </c>
      <c r="L5352" s="444">
        <f t="shared" ca="1" si="184"/>
        <v>-1523263955113329</v>
      </c>
      <c r="M5352" s="460">
        <f t="shared" si="186"/>
        <v>0.05</v>
      </c>
      <c r="N5352" s="464">
        <f t="shared" si="187"/>
        <v>213943</v>
      </c>
    </row>
    <row r="5353" spans="7:14" ht="11.25" customHeight="1" x14ac:dyDescent="0.3">
      <c r="G5353" s="459"/>
      <c r="H5353" s="459">
        <v>5346</v>
      </c>
      <c r="I5353" s="444">
        <f t="shared" ca="1" si="185"/>
        <v>-1523263955113329</v>
      </c>
      <c r="J5353" s="444">
        <f t="array" ref="J5353">IFERROR(INDEX('Retirement Calculator'!K:K,MATCH('Lorri 401b'!N5353,'Retirement Calculator'!A:A,0),0),0)</f>
        <v>0</v>
      </c>
      <c r="K5353" s="444">
        <f t="shared" ca="1" si="183"/>
        <v>-6346933146305.5371</v>
      </c>
      <c r="L5353" s="444">
        <f t="shared" ca="1" si="184"/>
        <v>-1529610888259634.5</v>
      </c>
      <c r="M5353" s="460">
        <f t="shared" si="186"/>
        <v>0.05</v>
      </c>
      <c r="N5353" s="464">
        <f t="shared" si="187"/>
        <v>213974</v>
      </c>
    </row>
    <row r="5354" spans="7:14" ht="11.25" customHeight="1" x14ac:dyDescent="0.3">
      <c r="G5354" s="459"/>
      <c r="H5354" s="459">
        <v>5347</v>
      </c>
      <c r="I5354" s="444">
        <f t="shared" ca="1" si="185"/>
        <v>-1529610888259634.5</v>
      </c>
      <c r="J5354" s="444">
        <f t="array" ref="J5354">IFERROR(INDEX('Retirement Calculator'!K:K,MATCH('Lorri 401b'!N5354,'Retirement Calculator'!A:A,0),0),0)</f>
        <v>0</v>
      </c>
      <c r="K5354" s="444">
        <f t="shared" ca="1" si="183"/>
        <v>-6373378701081.8105</v>
      </c>
      <c r="L5354" s="444">
        <f t="shared" ca="1" si="184"/>
        <v>-1535984266960716.3</v>
      </c>
      <c r="M5354" s="460">
        <f t="shared" si="186"/>
        <v>0.05</v>
      </c>
      <c r="N5354" s="464">
        <f t="shared" si="187"/>
        <v>214004</v>
      </c>
    </row>
    <row r="5355" spans="7:14" ht="11.25" customHeight="1" x14ac:dyDescent="0.3">
      <c r="G5355" s="459"/>
      <c r="H5355" s="459">
        <v>5348</v>
      </c>
      <c r="I5355" s="444">
        <f t="shared" ca="1" si="185"/>
        <v>-1535984266960716.3</v>
      </c>
      <c r="J5355" s="444">
        <f t="array" ref="J5355">IFERROR(INDEX('Retirement Calculator'!K:K,MATCH('Lorri 401b'!N5355,'Retirement Calculator'!A:A,0),0),0)</f>
        <v>0</v>
      </c>
      <c r="K5355" s="444">
        <f t="shared" ca="1" si="183"/>
        <v>-6399934445669.6514</v>
      </c>
      <c r="L5355" s="444">
        <f t="shared" ca="1" si="184"/>
        <v>-1542384201406386</v>
      </c>
      <c r="M5355" s="460">
        <f t="shared" si="186"/>
        <v>0.05</v>
      </c>
      <c r="N5355" s="464">
        <f t="shared" si="187"/>
        <v>214035</v>
      </c>
    </row>
    <row r="5356" spans="7:14" ht="11.25" customHeight="1" x14ac:dyDescent="0.3">
      <c r="G5356" s="459"/>
      <c r="H5356" s="459">
        <v>5349</v>
      </c>
      <c r="I5356" s="444">
        <f t="shared" ca="1" si="185"/>
        <v>-1542384201406386</v>
      </c>
      <c r="J5356" s="444">
        <f t="array" ref="J5356">IFERROR(INDEX('Retirement Calculator'!K:K,MATCH('Lorri 401b'!N5356,'Retirement Calculator'!A:A,0),0),0)</f>
        <v>0</v>
      </c>
      <c r="K5356" s="444">
        <f t="shared" ca="1" si="183"/>
        <v>-6426600839193.2754</v>
      </c>
      <c r="L5356" s="444">
        <f t="shared" ca="1" si="184"/>
        <v>-1548810802245579.3</v>
      </c>
      <c r="M5356" s="460">
        <f t="shared" si="186"/>
        <v>0.05</v>
      </c>
      <c r="N5356" s="464">
        <f t="shared" si="187"/>
        <v>214066</v>
      </c>
    </row>
    <row r="5357" spans="7:14" ht="11.25" customHeight="1" x14ac:dyDescent="0.3">
      <c r="G5357" s="459"/>
      <c r="H5357" s="459">
        <v>5350</v>
      </c>
      <c r="I5357" s="444">
        <f t="shared" ca="1" si="185"/>
        <v>-1548810802245579.3</v>
      </c>
      <c r="J5357" s="444">
        <f t="array" ref="J5357">IFERROR(INDEX('Retirement Calculator'!K:K,MATCH('Lorri 401b'!N5357,'Retirement Calculator'!A:A,0),0),0)</f>
        <v>0</v>
      </c>
      <c r="K5357" s="444">
        <f t="shared" ca="1" si="183"/>
        <v>-6453378342689.9131</v>
      </c>
      <c r="L5357" s="444">
        <f t="shared" ca="1" si="184"/>
        <v>-1555264180588269.3</v>
      </c>
      <c r="M5357" s="460">
        <f t="shared" si="186"/>
        <v>0.05</v>
      </c>
      <c r="N5357" s="464">
        <f t="shared" si="187"/>
        <v>214094</v>
      </c>
    </row>
    <row r="5358" spans="7:14" ht="11.25" customHeight="1" x14ac:dyDescent="0.3">
      <c r="G5358" s="459"/>
      <c r="H5358" s="459">
        <v>5351</v>
      </c>
      <c r="I5358" s="444">
        <f t="shared" ca="1" si="185"/>
        <v>-1555264180588269.3</v>
      </c>
      <c r="J5358" s="444">
        <f t="array" ref="J5358">IFERROR(INDEX('Retirement Calculator'!K:K,MATCH('Lorri 401b'!N5358,'Retirement Calculator'!A:A,0),0),0)</f>
        <v>0</v>
      </c>
      <c r="K5358" s="444">
        <f t="shared" ca="1" si="183"/>
        <v>-6480267419117.7881</v>
      </c>
      <c r="L5358" s="444">
        <f t="shared" ca="1" si="184"/>
        <v>-1561744448007387</v>
      </c>
      <c r="M5358" s="460">
        <f t="shared" si="186"/>
        <v>0.05</v>
      </c>
      <c r="N5358" s="464">
        <f t="shared" si="187"/>
        <v>214125</v>
      </c>
    </row>
    <row r="5359" spans="7:14" ht="11.25" customHeight="1" x14ac:dyDescent="0.3">
      <c r="G5359" s="459"/>
      <c r="H5359" s="459">
        <v>5352</v>
      </c>
      <c r="I5359" s="444">
        <f t="shared" ca="1" si="185"/>
        <v>-1561744448007387</v>
      </c>
      <c r="J5359" s="444">
        <f t="array" ref="J5359">IFERROR(INDEX('Retirement Calculator'!K:K,MATCH('Lorri 401b'!N5359,'Retirement Calculator'!A:A,0),0),0)</f>
        <v>0</v>
      </c>
      <c r="K5359" s="444">
        <f t="shared" ca="1" si="183"/>
        <v>-6507268533364.1123</v>
      </c>
      <c r="L5359" s="444">
        <f t="shared" ca="1" si="184"/>
        <v>-1568251716540751</v>
      </c>
      <c r="M5359" s="460">
        <f t="shared" si="186"/>
        <v>0.05</v>
      </c>
      <c r="N5359" s="464">
        <f t="shared" si="187"/>
        <v>214155</v>
      </c>
    </row>
    <row r="5360" spans="7:14" ht="11.25" customHeight="1" x14ac:dyDescent="0.3">
      <c r="G5360" s="459"/>
      <c r="H5360" s="459">
        <v>5353</v>
      </c>
      <c r="I5360" s="444">
        <f t="shared" ca="1" si="185"/>
        <v>-1568251716540751</v>
      </c>
      <c r="J5360" s="444">
        <f t="array" ref="J5360">IFERROR(INDEX('Retirement Calculator'!K:K,MATCH('Lorri 401b'!N5360,'Retirement Calculator'!A:A,0),0),0)</f>
        <v>0</v>
      </c>
      <c r="K5360" s="444">
        <f t="shared" ca="1" si="183"/>
        <v>-6534382152253.1289</v>
      </c>
      <c r="L5360" s="444">
        <f t="shared" ca="1" si="184"/>
        <v>-1574786098693004.3</v>
      </c>
      <c r="M5360" s="460">
        <f t="shared" si="186"/>
        <v>0.05</v>
      </c>
      <c r="N5360" s="464">
        <f t="shared" si="187"/>
        <v>214186</v>
      </c>
    </row>
    <row r="5361" spans="7:14" ht="11.25" customHeight="1" x14ac:dyDescent="0.3">
      <c r="G5361" s="459"/>
      <c r="H5361" s="459">
        <v>5354</v>
      </c>
      <c r="I5361" s="444">
        <f t="shared" ca="1" si="185"/>
        <v>-1574786098693004.3</v>
      </c>
      <c r="J5361" s="444">
        <f t="array" ref="J5361">IFERROR(INDEX('Retirement Calculator'!K:K,MATCH('Lorri 401b'!N5361,'Retirement Calculator'!A:A,0),0),0)</f>
        <v>0</v>
      </c>
      <c r="K5361" s="444">
        <f t="shared" ca="1" si="183"/>
        <v>-6561608744554.1846</v>
      </c>
      <c r="L5361" s="444">
        <f t="shared" ca="1" si="184"/>
        <v>-1581347707437558.5</v>
      </c>
      <c r="M5361" s="460">
        <f t="shared" si="186"/>
        <v>0.05</v>
      </c>
      <c r="N5361" s="464">
        <f t="shared" si="187"/>
        <v>214216</v>
      </c>
    </row>
    <row r="5362" spans="7:14" ht="11.25" customHeight="1" x14ac:dyDescent="0.3">
      <c r="G5362" s="459"/>
      <c r="H5362" s="459">
        <v>5355</v>
      </c>
      <c r="I5362" s="444">
        <f t="shared" ca="1" si="185"/>
        <v>-1581347707437558.5</v>
      </c>
      <c r="J5362" s="444">
        <f t="array" ref="J5362">IFERROR(INDEX('Retirement Calculator'!K:K,MATCH('Lorri 401b'!N5362,'Retirement Calculator'!A:A,0),0),0)</f>
        <v>0</v>
      </c>
      <c r="K5362" s="444">
        <f t="shared" ca="1" si="183"/>
        <v>-6588948780989.8271</v>
      </c>
      <c r="L5362" s="444">
        <f t="shared" ca="1" si="184"/>
        <v>-1587936656218548.3</v>
      </c>
      <c r="M5362" s="460">
        <f t="shared" si="186"/>
        <v>0.05</v>
      </c>
      <c r="N5362" s="464">
        <f t="shared" si="187"/>
        <v>214247</v>
      </c>
    </row>
    <row r="5363" spans="7:14" ht="11.25" customHeight="1" x14ac:dyDescent="0.3">
      <c r="G5363" s="459"/>
      <c r="H5363" s="459">
        <v>5356</v>
      </c>
      <c r="I5363" s="444">
        <f t="shared" ca="1" si="185"/>
        <v>-1587936656218548.3</v>
      </c>
      <c r="J5363" s="444">
        <f t="array" ref="J5363">IFERROR(INDEX('Retirement Calculator'!K:K,MATCH('Lorri 401b'!N5363,'Retirement Calculator'!A:A,0),0),0)</f>
        <v>0</v>
      </c>
      <c r="K5363" s="444">
        <f t="shared" ref="K5363:K5617" ca="1" si="188">IPMT(M5363/12,1,12,-I5363+J5363,,0)</f>
        <v>-6616402734243.9512</v>
      </c>
      <c r="L5363" s="444">
        <f t="shared" ref="L5363:L5617" ca="1" si="189">I5363-J5363+K5363</f>
        <v>-1594553058952792.3</v>
      </c>
      <c r="M5363" s="460">
        <f t="shared" si="186"/>
        <v>0.05</v>
      </c>
      <c r="N5363" s="464">
        <f t="shared" si="187"/>
        <v>214278</v>
      </c>
    </row>
    <row r="5364" spans="7:14" ht="11.25" customHeight="1" x14ac:dyDescent="0.3">
      <c r="G5364" s="459"/>
      <c r="H5364" s="459">
        <v>5357</v>
      </c>
      <c r="I5364" s="444">
        <f t="shared" ref="I5364:I5618" ca="1" si="190">L5363</f>
        <v>-1594553058952792.3</v>
      </c>
      <c r="J5364" s="444">
        <f t="array" ref="J5364">IFERROR(INDEX('Retirement Calculator'!K:K,MATCH('Lorri 401b'!N5364,'Retirement Calculator'!A:A,0),0),0)</f>
        <v>0</v>
      </c>
      <c r="K5364" s="444">
        <f t="shared" ca="1" si="188"/>
        <v>-6643971078969.9678</v>
      </c>
      <c r="L5364" s="444">
        <f t="shared" ca="1" si="189"/>
        <v>-1601197030031762.3</v>
      </c>
      <c r="M5364" s="460">
        <f t="shared" ref="M5364:M5618" si="191">M5363</f>
        <v>0.05</v>
      </c>
      <c r="N5364" s="464">
        <f t="shared" ref="N5364:N5618" si="192">EDATE(N5363,1)</f>
        <v>214308</v>
      </c>
    </row>
    <row r="5365" spans="7:14" ht="11.25" customHeight="1" x14ac:dyDescent="0.3">
      <c r="G5365" s="459"/>
      <c r="H5365" s="459">
        <v>5358</v>
      </c>
      <c r="I5365" s="444">
        <f t="shared" ca="1" si="190"/>
        <v>-1601197030031762.3</v>
      </c>
      <c r="J5365" s="444">
        <f t="array" ref="J5365">IFERROR(INDEX('Retirement Calculator'!K:K,MATCH('Lorri 401b'!N5365,'Retirement Calculator'!A:A,0),0),0)</f>
        <v>0</v>
      </c>
      <c r="K5365" s="444">
        <f t="shared" ca="1" si="188"/>
        <v>-6671654291799.0098</v>
      </c>
      <c r="L5365" s="444">
        <f t="shared" ca="1" si="189"/>
        <v>-1607868684323561.3</v>
      </c>
      <c r="M5365" s="460">
        <f t="shared" si="191"/>
        <v>0.05</v>
      </c>
      <c r="N5365" s="464">
        <f t="shared" si="192"/>
        <v>214339</v>
      </c>
    </row>
    <row r="5366" spans="7:14" ht="11.25" customHeight="1" x14ac:dyDescent="0.3">
      <c r="G5366" s="459"/>
      <c r="H5366" s="459">
        <v>5359</v>
      </c>
      <c r="I5366" s="444">
        <f t="shared" ca="1" si="190"/>
        <v>-1607868684323561.3</v>
      </c>
      <c r="J5366" s="444">
        <f t="array" ref="J5366">IFERROR(INDEX('Retirement Calculator'!K:K,MATCH('Lorri 401b'!N5366,'Retirement Calculator'!A:A,0),0),0)</f>
        <v>0</v>
      </c>
      <c r="K5366" s="444">
        <f t="shared" ca="1" si="188"/>
        <v>-6699452851348.1719</v>
      </c>
      <c r="L5366" s="444">
        <f t="shared" ca="1" si="189"/>
        <v>-1614568137174909.5</v>
      </c>
      <c r="M5366" s="460">
        <f t="shared" si="191"/>
        <v>0.05</v>
      </c>
      <c r="N5366" s="464">
        <f t="shared" si="192"/>
        <v>214369</v>
      </c>
    </row>
    <row r="5367" spans="7:14" ht="11.25" customHeight="1" x14ac:dyDescent="0.3">
      <c r="G5367" s="459"/>
      <c r="H5367" s="459">
        <v>5360</v>
      </c>
      <c r="I5367" s="444">
        <f t="shared" ca="1" si="190"/>
        <v>-1614568137174909.5</v>
      </c>
      <c r="J5367" s="444">
        <f t="array" ref="J5367">IFERROR(INDEX('Retirement Calculator'!K:K,MATCH('Lorri 401b'!N5367,'Retirement Calculator'!A:A,0),0),0)</f>
        <v>0</v>
      </c>
      <c r="K5367" s="444">
        <f t="shared" ca="1" si="188"/>
        <v>-6727367238228.7891</v>
      </c>
      <c r="L5367" s="444">
        <f t="shared" ca="1" si="189"/>
        <v>-1621295504413138.3</v>
      </c>
      <c r="M5367" s="460">
        <f t="shared" si="191"/>
        <v>0.05</v>
      </c>
      <c r="N5367" s="464">
        <f t="shared" si="192"/>
        <v>214400</v>
      </c>
    </row>
    <row r="5368" spans="7:14" ht="11.25" customHeight="1" x14ac:dyDescent="0.3">
      <c r="G5368" s="459"/>
      <c r="H5368" s="459">
        <v>5361</v>
      </c>
      <c r="I5368" s="444">
        <f t="shared" ca="1" si="190"/>
        <v>-1621295504413138.3</v>
      </c>
      <c r="J5368" s="444">
        <f t="array" ref="J5368">IFERROR(INDEX('Retirement Calculator'!K:K,MATCH('Lorri 401b'!N5368,'Retirement Calculator'!A:A,0),0),0)</f>
        <v>0</v>
      </c>
      <c r="K5368" s="444">
        <f t="shared" ca="1" si="188"/>
        <v>-6755397935054.7422</v>
      </c>
      <c r="L5368" s="444">
        <f t="shared" ca="1" si="189"/>
        <v>-1628050902348193</v>
      </c>
      <c r="M5368" s="460">
        <f t="shared" si="191"/>
        <v>0.05</v>
      </c>
      <c r="N5368" s="464">
        <f t="shared" si="192"/>
        <v>214431</v>
      </c>
    </row>
    <row r="5369" spans="7:14" ht="11.25" customHeight="1" x14ac:dyDescent="0.3">
      <c r="G5369" s="459"/>
      <c r="H5369" s="459">
        <v>5362</v>
      </c>
      <c r="I5369" s="444">
        <f t="shared" ca="1" si="190"/>
        <v>-1628050902348193</v>
      </c>
      <c r="J5369" s="444">
        <f t="array" ref="J5369">IFERROR(INDEX('Retirement Calculator'!K:K,MATCH('Lorri 401b'!N5369,'Retirement Calculator'!A:A,0),0),0)</f>
        <v>0</v>
      </c>
      <c r="K5369" s="444">
        <f t="shared" ca="1" si="188"/>
        <v>-6783545426450.8037</v>
      </c>
      <c r="L5369" s="444">
        <f t="shared" ca="1" si="189"/>
        <v>-1634834447774643.8</v>
      </c>
      <c r="M5369" s="460">
        <f t="shared" si="191"/>
        <v>0.05</v>
      </c>
      <c r="N5369" s="464">
        <f t="shared" si="192"/>
        <v>214459</v>
      </c>
    </row>
    <row r="5370" spans="7:14" ht="11.25" customHeight="1" x14ac:dyDescent="0.3">
      <c r="G5370" s="459"/>
      <c r="H5370" s="459">
        <v>5363</v>
      </c>
      <c r="I5370" s="444">
        <f t="shared" ca="1" si="190"/>
        <v>-1634834447774643.8</v>
      </c>
      <c r="J5370" s="444">
        <f t="array" ref="J5370">IFERROR(INDEX('Retirement Calculator'!K:K,MATCH('Lorri 401b'!N5370,'Retirement Calculator'!A:A,0),0),0)</f>
        <v>0</v>
      </c>
      <c r="K5370" s="444">
        <f t="shared" ca="1" si="188"/>
        <v>-6811810199061.0156</v>
      </c>
      <c r="L5370" s="444">
        <f t="shared" ca="1" si="189"/>
        <v>-1641646257973704.8</v>
      </c>
      <c r="M5370" s="460">
        <f t="shared" si="191"/>
        <v>0.05</v>
      </c>
      <c r="N5370" s="464">
        <f t="shared" si="192"/>
        <v>214490</v>
      </c>
    </row>
    <row r="5371" spans="7:14" ht="11.25" customHeight="1" x14ac:dyDescent="0.3">
      <c r="G5371" s="459"/>
      <c r="H5371" s="459">
        <v>5364</v>
      </c>
      <c r="I5371" s="444">
        <f t="shared" ca="1" si="190"/>
        <v>-1641646257973704.8</v>
      </c>
      <c r="J5371" s="444">
        <f t="array" ref="J5371">IFERROR(INDEX('Retirement Calculator'!K:K,MATCH('Lorri 401b'!N5371,'Retirement Calculator'!A:A,0),0),0)</f>
        <v>0</v>
      </c>
      <c r="K5371" s="444">
        <f t="shared" ca="1" si="188"/>
        <v>-6840192741557.1035</v>
      </c>
      <c r="L5371" s="444">
        <f t="shared" ca="1" si="189"/>
        <v>-1648486450715261.8</v>
      </c>
      <c r="M5371" s="460">
        <f t="shared" si="191"/>
        <v>0.05</v>
      </c>
      <c r="N5371" s="464">
        <f t="shared" si="192"/>
        <v>214520</v>
      </c>
    </row>
    <row r="5372" spans="7:14" ht="11.25" customHeight="1" x14ac:dyDescent="0.3">
      <c r="G5372" s="459"/>
      <c r="H5372" s="459">
        <v>5365</v>
      </c>
      <c r="I5372" s="444">
        <f t="shared" ca="1" si="190"/>
        <v>-1648486450715261.8</v>
      </c>
      <c r="J5372" s="444">
        <f t="array" ref="J5372">IFERROR(INDEX('Retirement Calculator'!K:K,MATCH('Lorri 401b'!N5372,'Retirement Calculator'!A:A,0),0),0)</f>
        <v>0</v>
      </c>
      <c r="K5372" s="444">
        <f t="shared" ca="1" si="188"/>
        <v>-6868693544646.9238</v>
      </c>
      <c r="L5372" s="444">
        <f t="shared" ca="1" si="189"/>
        <v>-1655355144259908.8</v>
      </c>
      <c r="M5372" s="460">
        <f t="shared" si="191"/>
        <v>0.05</v>
      </c>
      <c r="N5372" s="464">
        <f t="shared" si="192"/>
        <v>214551</v>
      </c>
    </row>
    <row r="5373" spans="7:14" ht="11.25" customHeight="1" x14ac:dyDescent="0.3">
      <c r="G5373" s="459"/>
      <c r="H5373" s="459">
        <v>5366</v>
      </c>
      <c r="I5373" s="444">
        <f t="shared" ca="1" si="190"/>
        <v>-1655355144259908.8</v>
      </c>
      <c r="J5373" s="444">
        <f t="array" ref="J5373">IFERROR(INDEX('Retirement Calculator'!K:K,MATCH('Lorri 401b'!N5373,'Retirement Calculator'!A:A,0),0),0)</f>
        <v>0</v>
      </c>
      <c r="K5373" s="444">
        <f t="shared" ca="1" si="188"/>
        <v>-6897313101082.9531</v>
      </c>
      <c r="L5373" s="444">
        <f t="shared" ca="1" si="189"/>
        <v>-1662252457360991.8</v>
      </c>
      <c r="M5373" s="460">
        <f t="shared" si="191"/>
        <v>0.05</v>
      </c>
      <c r="N5373" s="464">
        <f t="shared" si="192"/>
        <v>214581</v>
      </c>
    </row>
    <row r="5374" spans="7:14" ht="11.25" customHeight="1" x14ac:dyDescent="0.3">
      <c r="G5374" s="459"/>
      <c r="H5374" s="459">
        <v>5367</v>
      </c>
      <c r="I5374" s="444">
        <f t="shared" ca="1" si="190"/>
        <v>-1662252457360991.8</v>
      </c>
      <c r="J5374" s="444">
        <f t="array" ref="J5374">IFERROR(INDEX('Retirement Calculator'!K:K,MATCH('Lorri 401b'!N5374,'Retirement Calculator'!A:A,0),0),0)</f>
        <v>0</v>
      </c>
      <c r="K5374" s="444">
        <f t="shared" ca="1" si="188"/>
        <v>-6926051905670.7988</v>
      </c>
      <c r="L5374" s="444">
        <f t="shared" ca="1" si="189"/>
        <v>-1669178509266662.5</v>
      </c>
      <c r="M5374" s="460">
        <f t="shared" si="191"/>
        <v>0.05</v>
      </c>
      <c r="N5374" s="464">
        <f t="shared" si="192"/>
        <v>214612</v>
      </c>
    </row>
    <row r="5375" spans="7:14" ht="11.25" customHeight="1" x14ac:dyDescent="0.3">
      <c r="G5375" s="459"/>
      <c r="H5375" s="459">
        <v>5368</v>
      </c>
      <c r="I5375" s="444">
        <f t="shared" ca="1" si="190"/>
        <v>-1669178509266662.5</v>
      </c>
      <c r="J5375" s="444">
        <f t="array" ref="J5375">IFERROR(INDEX('Retirement Calculator'!K:K,MATCH('Lorri 401b'!N5375,'Retirement Calculator'!A:A,0),0),0)</f>
        <v>0</v>
      </c>
      <c r="K5375" s="444">
        <f t="shared" ca="1" si="188"/>
        <v>-6954910455277.7607</v>
      </c>
      <c r="L5375" s="444">
        <f t="shared" ca="1" si="189"/>
        <v>-1676133419721940.3</v>
      </c>
      <c r="M5375" s="460">
        <f t="shared" si="191"/>
        <v>0.05</v>
      </c>
      <c r="N5375" s="464">
        <f t="shared" si="192"/>
        <v>214643</v>
      </c>
    </row>
    <row r="5376" spans="7:14" ht="11.25" customHeight="1" x14ac:dyDescent="0.3">
      <c r="G5376" s="459"/>
      <c r="H5376" s="459">
        <v>5369</v>
      </c>
      <c r="I5376" s="444">
        <f t="shared" ca="1" si="190"/>
        <v>-1676133419721940.3</v>
      </c>
      <c r="J5376" s="444">
        <f t="array" ref="J5376">IFERROR(INDEX('Retirement Calculator'!K:K,MATCH('Lorri 401b'!N5376,'Retirement Calculator'!A:A,0),0),0)</f>
        <v>0</v>
      </c>
      <c r="K5376" s="444">
        <f t="shared" ca="1" si="188"/>
        <v>-6983889248841.418</v>
      </c>
      <c r="L5376" s="444">
        <f t="shared" ca="1" si="189"/>
        <v>-1683117308970781.8</v>
      </c>
      <c r="M5376" s="460">
        <f t="shared" si="191"/>
        <v>0.05</v>
      </c>
      <c r="N5376" s="464">
        <f t="shared" si="192"/>
        <v>214673</v>
      </c>
    </row>
    <row r="5377" spans="7:14" ht="11.25" customHeight="1" x14ac:dyDescent="0.3">
      <c r="G5377" s="459"/>
      <c r="H5377" s="459">
        <v>5370</v>
      </c>
      <c r="I5377" s="444">
        <f t="shared" ca="1" si="190"/>
        <v>-1683117308970781.8</v>
      </c>
      <c r="J5377" s="444">
        <f t="array" ref="J5377">IFERROR(INDEX('Retirement Calculator'!K:K,MATCH('Lorri 401b'!N5377,'Retirement Calculator'!A:A,0),0),0)</f>
        <v>0</v>
      </c>
      <c r="K5377" s="444">
        <f t="shared" ca="1" si="188"/>
        <v>-7012988787378.2568</v>
      </c>
      <c r="L5377" s="444">
        <f t="shared" ca="1" si="189"/>
        <v>-1690130297758160</v>
      </c>
      <c r="M5377" s="460">
        <f t="shared" si="191"/>
        <v>0.05</v>
      </c>
      <c r="N5377" s="464">
        <f t="shared" si="192"/>
        <v>214704</v>
      </c>
    </row>
    <row r="5378" spans="7:14" ht="11.25" customHeight="1" x14ac:dyDescent="0.3">
      <c r="G5378" s="459"/>
      <c r="H5378" s="459">
        <v>5371</v>
      </c>
      <c r="I5378" s="444">
        <f t="shared" ca="1" si="190"/>
        <v>-1690130297758160</v>
      </c>
      <c r="J5378" s="444">
        <f t="array" ref="J5378">IFERROR(INDEX('Retirement Calculator'!K:K,MATCH('Lorri 401b'!N5378,'Retirement Calculator'!A:A,0),0),0)</f>
        <v>0</v>
      </c>
      <c r="K5378" s="444">
        <f t="shared" ca="1" si="188"/>
        <v>-7042209573992.333</v>
      </c>
      <c r="L5378" s="444">
        <f t="shared" ca="1" si="189"/>
        <v>-1697172507332152.3</v>
      </c>
      <c r="M5378" s="460">
        <f t="shared" si="191"/>
        <v>0.05</v>
      </c>
      <c r="N5378" s="464">
        <f t="shared" si="192"/>
        <v>214734</v>
      </c>
    </row>
    <row r="5379" spans="7:14" ht="11.25" customHeight="1" x14ac:dyDescent="0.3">
      <c r="G5379" s="459"/>
      <c r="H5379" s="459">
        <v>5372</v>
      </c>
      <c r="I5379" s="444">
        <f t="shared" ca="1" si="190"/>
        <v>-1697172507332152.3</v>
      </c>
      <c r="J5379" s="444">
        <f t="array" ref="J5379">IFERROR(INDEX('Retirement Calculator'!K:K,MATCH('Lorri 401b'!N5379,'Retirement Calculator'!A:A,0),0),0)</f>
        <v>0</v>
      </c>
      <c r="K5379" s="444">
        <f t="shared" ca="1" si="188"/>
        <v>-7071552113883.9678</v>
      </c>
      <c r="L5379" s="444">
        <f t="shared" ca="1" si="189"/>
        <v>-1704244059446036.3</v>
      </c>
      <c r="M5379" s="460">
        <f t="shared" si="191"/>
        <v>0.05</v>
      </c>
      <c r="N5379" s="464">
        <f t="shared" si="192"/>
        <v>214765</v>
      </c>
    </row>
    <row r="5380" spans="7:14" ht="11.25" customHeight="1" x14ac:dyDescent="0.3">
      <c r="G5380" s="459"/>
      <c r="H5380" s="459">
        <v>5373</v>
      </c>
      <c r="I5380" s="444">
        <f t="shared" ca="1" si="190"/>
        <v>-1704244059446036.3</v>
      </c>
      <c r="J5380" s="444">
        <f t="array" ref="J5380">IFERROR(INDEX('Retirement Calculator'!K:K,MATCH('Lorri 401b'!N5380,'Retirement Calculator'!A:A,0),0),0)</f>
        <v>0</v>
      </c>
      <c r="K5380" s="444">
        <f t="shared" ca="1" si="188"/>
        <v>-7101016914358.4844</v>
      </c>
      <c r="L5380" s="444">
        <f t="shared" ca="1" si="189"/>
        <v>-1711345076360394.8</v>
      </c>
      <c r="M5380" s="460">
        <f t="shared" si="191"/>
        <v>0.05</v>
      </c>
      <c r="N5380" s="464">
        <f t="shared" si="192"/>
        <v>214796</v>
      </c>
    </row>
    <row r="5381" spans="7:14" ht="11.25" customHeight="1" x14ac:dyDescent="0.3">
      <c r="G5381" s="459"/>
      <c r="H5381" s="459">
        <v>5374</v>
      </c>
      <c r="I5381" s="444">
        <f t="shared" ca="1" si="190"/>
        <v>-1711345076360394.8</v>
      </c>
      <c r="J5381" s="444">
        <f t="array" ref="J5381">IFERROR(INDEX('Retirement Calculator'!K:K,MATCH('Lorri 401b'!N5381,'Retirement Calculator'!A:A,0),0),0)</f>
        <v>0</v>
      </c>
      <c r="K5381" s="444">
        <f t="shared" ca="1" si="188"/>
        <v>-7130604484834.9775</v>
      </c>
      <c r="L5381" s="444">
        <f t="shared" ca="1" si="189"/>
        <v>-1718475680845229.8</v>
      </c>
      <c r="M5381" s="460">
        <f t="shared" si="191"/>
        <v>0.05</v>
      </c>
      <c r="N5381" s="464">
        <f t="shared" si="192"/>
        <v>214825</v>
      </c>
    </row>
    <row r="5382" spans="7:14" ht="11.25" customHeight="1" x14ac:dyDescent="0.3">
      <c r="G5382" s="459"/>
      <c r="H5382" s="459">
        <v>5375</v>
      </c>
      <c r="I5382" s="444">
        <f t="shared" ca="1" si="190"/>
        <v>-1718475680845229.8</v>
      </c>
      <c r="J5382" s="444">
        <f t="array" ref="J5382">IFERROR(INDEX('Retirement Calculator'!K:K,MATCH('Lorri 401b'!N5382,'Retirement Calculator'!A:A,0),0),0)</f>
        <v>0</v>
      </c>
      <c r="K5382" s="444">
        <f t="shared" ca="1" si="188"/>
        <v>-7160315336855.124</v>
      </c>
      <c r="L5382" s="444">
        <f t="shared" ca="1" si="189"/>
        <v>-1725635996182084.8</v>
      </c>
      <c r="M5382" s="460">
        <f t="shared" si="191"/>
        <v>0.05</v>
      </c>
      <c r="N5382" s="464">
        <f t="shared" si="192"/>
        <v>214856</v>
      </c>
    </row>
    <row r="5383" spans="7:14" ht="11.25" customHeight="1" x14ac:dyDescent="0.3">
      <c r="G5383" s="459"/>
      <c r="H5383" s="459">
        <v>5376</v>
      </c>
      <c r="I5383" s="444">
        <f t="shared" ca="1" si="190"/>
        <v>-1725635996182084.8</v>
      </c>
      <c r="J5383" s="444">
        <f t="array" ref="J5383">IFERROR(INDEX('Retirement Calculator'!K:K,MATCH('Lorri 401b'!N5383,'Retirement Calculator'!A:A,0),0),0)</f>
        <v>0</v>
      </c>
      <c r="K5383" s="444">
        <f t="shared" ca="1" si="188"/>
        <v>-7190149984092.0195</v>
      </c>
      <c r="L5383" s="444">
        <f t="shared" ca="1" si="189"/>
        <v>-1732826146166176.8</v>
      </c>
      <c r="M5383" s="460">
        <f t="shared" si="191"/>
        <v>0.05</v>
      </c>
      <c r="N5383" s="464">
        <f t="shared" si="192"/>
        <v>214886</v>
      </c>
    </row>
    <row r="5384" spans="7:14" ht="11.25" customHeight="1" x14ac:dyDescent="0.3">
      <c r="G5384" s="459"/>
      <c r="H5384" s="459">
        <v>5377</v>
      </c>
      <c r="I5384" s="444">
        <f t="shared" ca="1" si="190"/>
        <v>-1732826146166176.8</v>
      </c>
      <c r="J5384" s="444">
        <f t="array" ref="J5384">IFERROR(INDEX('Retirement Calculator'!K:K,MATCH('Lorri 401b'!N5384,'Retirement Calculator'!A:A,0),0),0)</f>
        <v>0</v>
      </c>
      <c r="K5384" s="444">
        <f t="shared" ca="1" si="188"/>
        <v>-7220108942359.0693</v>
      </c>
      <c r="L5384" s="444">
        <f t="shared" ca="1" si="189"/>
        <v>-1740046255108535.8</v>
      </c>
      <c r="M5384" s="460">
        <f t="shared" si="191"/>
        <v>0.05</v>
      </c>
      <c r="N5384" s="464">
        <f t="shared" si="192"/>
        <v>214917</v>
      </c>
    </row>
    <row r="5385" spans="7:14" ht="11.25" customHeight="1" x14ac:dyDescent="0.3">
      <c r="G5385" s="459"/>
      <c r="H5385" s="459">
        <v>5378</v>
      </c>
      <c r="I5385" s="444">
        <f t="shared" ca="1" si="190"/>
        <v>-1740046255108535.8</v>
      </c>
      <c r="J5385" s="444">
        <f t="array" ref="J5385">IFERROR(INDEX('Retirement Calculator'!K:K,MATCH('Lorri 401b'!N5385,'Retirement Calculator'!A:A,0),0),0)</f>
        <v>0</v>
      </c>
      <c r="K5385" s="444">
        <f t="shared" ca="1" si="188"/>
        <v>-7250192729618.8984</v>
      </c>
      <c r="L5385" s="444">
        <f t="shared" ca="1" si="189"/>
        <v>-1747296447838154.8</v>
      </c>
      <c r="M5385" s="460">
        <f t="shared" si="191"/>
        <v>0.05</v>
      </c>
      <c r="N5385" s="464">
        <f t="shared" si="192"/>
        <v>214947</v>
      </c>
    </row>
    <row r="5386" spans="7:14" ht="11.25" customHeight="1" x14ac:dyDescent="0.3">
      <c r="G5386" s="459"/>
      <c r="H5386" s="459">
        <v>5379</v>
      </c>
      <c r="I5386" s="444">
        <f t="shared" ca="1" si="190"/>
        <v>-1747296447838154.8</v>
      </c>
      <c r="J5386" s="444">
        <f t="array" ref="J5386">IFERROR(INDEX('Retirement Calculator'!K:K,MATCH('Lorri 401b'!N5386,'Retirement Calculator'!A:A,0),0),0)</f>
        <v>0</v>
      </c>
      <c r="K5386" s="444">
        <f t="shared" ca="1" si="188"/>
        <v>-7280401865992.3115</v>
      </c>
      <c r="L5386" s="444">
        <f t="shared" ca="1" si="189"/>
        <v>-1754576849704147</v>
      </c>
      <c r="M5386" s="460">
        <f t="shared" si="191"/>
        <v>0.05</v>
      </c>
      <c r="N5386" s="464">
        <f t="shared" si="192"/>
        <v>214978</v>
      </c>
    </row>
    <row r="5387" spans="7:14" ht="11.25" customHeight="1" x14ac:dyDescent="0.3">
      <c r="G5387" s="459"/>
      <c r="H5387" s="459">
        <v>5380</v>
      </c>
      <c r="I5387" s="444">
        <f t="shared" ca="1" si="190"/>
        <v>-1754576849704147</v>
      </c>
      <c r="J5387" s="444">
        <f t="array" ref="J5387">IFERROR(INDEX('Retirement Calculator'!K:K,MATCH('Lorri 401b'!N5387,'Retirement Calculator'!A:A,0),0),0)</f>
        <v>0</v>
      </c>
      <c r="K5387" s="444">
        <f t="shared" ca="1" si="188"/>
        <v>-7310736873767.2793</v>
      </c>
      <c r="L5387" s="444">
        <f t="shared" ca="1" si="189"/>
        <v>-1761887586577914.3</v>
      </c>
      <c r="M5387" s="460">
        <f t="shared" si="191"/>
        <v>0.05</v>
      </c>
      <c r="N5387" s="464">
        <f t="shared" si="192"/>
        <v>215009</v>
      </c>
    </row>
    <row r="5388" spans="7:14" ht="11.25" customHeight="1" x14ac:dyDescent="0.3">
      <c r="G5388" s="459"/>
      <c r="H5388" s="459">
        <v>5381</v>
      </c>
      <c r="I5388" s="444">
        <f t="shared" ca="1" si="190"/>
        <v>-1761887586577914.3</v>
      </c>
      <c r="J5388" s="444">
        <f t="array" ref="J5388">IFERROR(INDEX('Retirement Calculator'!K:K,MATCH('Lorri 401b'!N5388,'Retirement Calculator'!A:A,0),0),0)</f>
        <v>0</v>
      </c>
      <c r="K5388" s="444">
        <f t="shared" ca="1" si="188"/>
        <v>-7341198277407.9756</v>
      </c>
      <c r="L5388" s="444">
        <f t="shared" ca="1" si="189"/>
        <v>-1769228784855322.3</v>
      </c>
      <c r="M5388" s="460">
        <f t="shared" si="191"/>
        <v>0.05</v>
      </c>
      <c r="N5388" s="464">
        <f t="shared" si="192"/>
        <v>215039</v>
      </c>
    </row>
    <row r="5389" spans="7:14" ht="11.25" customHeight="1" x14ac:dyDescent="0.3">
      <c r="G5389" s="459"/>
      <c r="H5389" s="459">
        <v>5382</v>
      </c>
      <c r="I5389" s="444">
        <f t="shared" ca="1" si="190"/>
        <v>-1769228784855322.3</v>
      </c>
      <c r="J5389" s="444">
        <f t="array" ref="J5389">IFERROR(INDEX('Retirement Calculator'!K:K,MATCH('Lorri 401b'!N5389,'Retirement Calculator'!A:A,0),0),0)</f>
        <v>0</v>
      </c>
      <c r="K5389" s="444">
        <f t="shared" ca="1" si="188"/>
        <v>-7371786603563.8428</v>
      </c>
      <c r="L5389" s="444">
        <f t="shared" ca="1" si="189"/>
        <v>-1776600571458886</v>
      </c>
      <c r="M5389" s="460">
        <f t="shared" si="191"/>
        <v>0.05</v>
      </c>
      <c r="N5389" s="464">
        <f t="shared" si="192"/>
        <v>215070</v>
      </c>
    </row>
    <row r="5390" spans="7:14" ht="11.25" customHeight="1" x14ac:dyDescent="0.3">
      <c r="G5390" s="459"/>
      <c r="H5390" s="459">
        <v>5383</v>
      </c>
      <c r="I5390" s="444">
        <f t="shared" ca="1" si="190"/>
        <v>-1776600571458886</v>
      </c>
      <c r="J5390" s="444">
        <f t="array" ref="J5390">IFERROR(INDEX('Retirement Calculator'!K:K,MATCH('Lorri 401b'!N5390,'Retirement Calculator'!A:A,0),0),0)</f>
        <v>0</v>
      </c>
      <c r="K5390" s="444">
        <f t="shared" ca="1" si="188"/>
        <v>-7402502381078.6904</v>
      </c>
      <c r="L5390" s="444">
        <f t="shared" ca="1" si="189"/>
        <v>-1784003073839964.8</v>
      </c>
      <c r="M5390" s="460">
        <f t="shared" si="191"/>
        <v>0.05</v>
      </c>
      <c r="N5390" s="464">
        <f t="shared" si="192"/>
        <v>215100</v>
      </c>
    </row>
    <row r="5391" spans="7:14" ht="11.25" customHeight="1" x14ac:dyDescent="0.3">
      <c r="G5391" s="459"/>
      <c r="H5391" s="459">
        <v>5384</v>
      </c>
      <c r="I5391" s="444">
        <f t="shared" ca="1" si="190"/>
        <v>-1784003073839964.8</v>
      </c>
      <c r="J5391" s="444">
        <f t="array" ref="J5391">IFERROR(INDEX('Retirement Calculator'!K:K,MATCH('Lorri 401b'!N5391,'Retirement Calculator'!A:A,0),0),0)</f>
        <v>0</v>
      </c>
      <c r="K5391" s="444">
        <f t="shared" ca="1" si="188"/>
        <v>-7433346140999.8525</v>
      </c>
      <c r="L5391" s="444">
        <f t="shared" ca="1" si="189"/>
        <v>-1791436419980964.5</v>
      </c>
      <c r="M5391" s="460">
        <f t="shared" si="191"/>
        <v>0.05</v>
      </c>
      <c r="N5391" s="464">
        <f t="shared" si="192"/>
        <v>215131</v>
      </c>
    </row>
    <row r="5392" spans="7:14" ht="11.25" customHeight="1" x14ac:dyDescent="0.3">
      <c r="G5392" s="459"/>
      <c r="H5392" s="459">
        <v>5385</v>
      </c>
      <c r="I5392" s="444">
        <f t="shared" ca="1" si="190"/>
        <v>-1791436419980964.5</v>
      </c>
      <c r="J5392" s="444">
        <f t="array" ref="J5392">IFERROR(INDEX('Retirement Calculator'!K:K,MATCH('Lorri 401b'!N5392,'Retirement Calculator'!A:A,0),0),0)</f>
        <v>0</v>
      </c>
      <c r="K5392" s="444">
        <f t="shared" ca="1" si="188"/>
        <v>-7464318416587.3516</v>
      </c>
      <c r="L5392" s="444">
        <f t="shared" ca="1" si="189"/>
        <v>-1798900738397551.8</v>
      </c>
      <c r="M5392" s="460">
        <f t="shared" si="191"/>
        <v>0.05</v>
      </c>
      <c r="N5392" s="464">
        <f t="shared" si="192"/>
        <v>215162</v>
      </c>
    </row>
    <row r="5393" spans="7:14" ht="11.25" customHeight="1" x14ac:dyDescent="0.3">
      <c r="G5393" s="459"/>
      <c r="H5393" s="459">
        <v>5386</v>
      </c>
      <c r="I5393" s="444">
        <f t="shared" ca="1" si="190"/>
        <v>-1798900738397551.8</v>
      </c>
      <c r="J5393" s="444">
        <f t="array" ref="J5393">IFERROR(INDEX('Retirement Calculator'!K:K,MATCH('Lorri 401b'!N5393,'Retirement Calculator'!A:A,0),0),0)</f>
        <v>0</v>
      </c>
      <c r="K5393" s="444">
        <f t="shared" ca="1" si="188"/>
        <v>-7495419743323.1309</v>
      </c>
      <c r="L5393" s="444">
        <f t="shared" ca="1" si="189"/>
        <v>-1806396158140875</v>
      </c>
      <c r="M5393" s="460">
        <f t="shared" si="191"/>
        <v>0.05</v>
      </c>
      <c r="N5393" s="464">
        <f t="shared" si="192"/>
        <v>215190</v>
      </c>
    </row>
    <row r="5394" spans="7:14" ht="11.25" customHeight="1" x14ac:dyDescent="0.3">
      <c r="G5394" s="459"/>
      <c r="H5394" s="459">
        <v>5387</v>
      </c>
      <c r="I5394" s="444">
        <f t="shared" ca="1" si="190"/>
        <v>-1806396158140875</v>
      </c>
      <c r="J5394" s="444">
        <f t="array" ref="J5394">IFERROR(INDEX('Retirement Calculator'!K:K,MATCH('Lorri 401b'!N5394,'Retirement Calculator'!A:A,0),0),0)</f>
        <v>0</v>
      </c>
      <c r="K5394" s="444">
        <f t="shared" ca="1" si="188"/>
        <v>-7526650658920.3115</v>
      </c>
      <c r="L5394" s="444">
        <f t="shared" ca="1" si="189"/>
        <v>-1813922808799795.3</v>
      </c>
      <c r="M5394" s="460">
        <f t="shared" si="191"/>
        <v>0.05</v>
      </c>
      <c r="N5394" s="464">
        <f t="shared" si="192"/>
        <v>215221</v>
      </c>
    </row>
    <row r="5395" spans="7:14" ht="11.25" customHeight="1" x14ac:dyDescent="0.3">
      <c r="G5395" s="459"/>
      <c r="H5395" s="459">
        <v>5388</v>
      </c>
      <c r="I5395" s="444">
        <f t="shared" ca="1" si="190"/>
        <v>-1813922808799795.3</v>
      </c>
      <c r="J5395" s="444">
        <f t="array" ref="J5395">IFERROR(INDEX('Retirement Calculator'!K:K,MATCH('Lorri 401b'!N5395,'Retirement Calculator'!A:A,0),0),0)</f>
        <v>0</v>
      </c>
      <c r="K5395" s="444">
        <f t="shared" ca="1" si="188"/>
        <v>-7558011703332.4795</v>
      </c>
      <c r="L5395" s="444">
        <f t="shared" ca="1" si="189"/>
        <v>-1821480820503127.8</v>
      </c>
      <c r="M5395" s="460">
        <f t="shared" si="191"/>
        <v>0.05</v>
      </c>
      <c r="N5395" s="464">
        <f t="shared" si="192"/>
        <v>215251</v>
      </c>
    </row>
    <row r="5396" spans="7:14" ht="11.25" customHeight="1" x14ac:dyDescent="0.3">
      <c r="G5396" s="459"/>
      <c r="H5396" s="459">
        <v>5389</v>
      </c>
      <c r="I5396" s="444">
        <f t="shared" ca="1" si="190"/>
        <v>-1821480820503127.8</v>
      </c>
      <c r="J5396" s="444">
        <f t="array" ref="J5396">IFERROR(INDEX('Retirement Calculator'!K:K,MATCH('Lorri 401b'!N5396,'Retirement Calculator'!A:A,0),0),0)</f>
        <v>0</v>
      </c>
      <c r="K5396" s="444">
        <f t="shared" ca="1" si="188"/>
        <v>-7589503418763.0322</v>
      </c>
      <c r="L5396" s="444">
        <f t="shared" ca="1" si="189"/>
        <v>-1829070323921890.8</v>
      </c>
      <c r="M5396" s="460">
        <f t="shared" si="191"/>
        <v>0.05</v>
      </c>
      <c r="N5396" s="464">
        <f t="shared" si="192"/>
        <v>215282</v>
      </c>
    </row>
    <row r="5397" spans="7:14" ht="11.25" customHeight="1" x14ac:dyDescent="0.3">
      <c r="G5397" s="459"/>
      <c r="H5397" s="459">
        <v>5390</v>
      </c>
      <c r="I5397" s="444">
        <f t="shared" ca="1" si="190"/>
        <v>-1829070323921890.8</v>
      </c>
      <c r="J5397" s="444">
        <f t="array" ref="J5397">IFERROR(INDEX('Retirement Calculator'!K:K,MATCH('Lorri 401b'!N5397,'Retirement Calculator'!A:A,0),0),0)</f>
        <v>0</v>
      </c>
      <c r="K5397" s="444">
        <f t="shared" ca="1" si="188"/>
        <v>-7621126349674.5449</v>
      </c>
      <c r="L5397" s="444">
        <f t="shared" ca="1" si="189"/>
        <v>-1836691450271565.3</v>
      </c>
      <c r="M5397" s="460">
        <f t="shared" si="191"/>
        <v>0.05</v>
      </c>
      <c r="N5397" s="464">
        <f t="shared" si="192"/>
        <v>215312</v>
      </c>
    </row>
    <row r="5398" spans="7:14" ht="11.25" customHeight="1" x14ac:dyDescent="0.3">
      <c r="G5398" s="459"/>
      <c r="H5398" s="459">
        <v>5391</v>
      </c>
      <c r="I5398" s="444">
        <f t="shared" ca="1" si="190"/>
        <v>-1836691450271565.3</v>
      </c>
      <c r="J5398" s="444">
        <f t="array" ref="J5398">IFERROR(INDEX('Retirement Calculator'!K:K,MATCH('Lorri 401b'!N5398,'Retirement Calculator'!A:A,0),0),0)</f>
        <v>0</v>
      </c>
      <c r="K5398" s="444">
        <f t="shared" ca="1" si="188"/>
        <v>-7652881042798.1885</v>
      </c>
      <c r="L5398" s="444">
        <f t="shared" ca="1" si="189"/>
        <v>-1844344331314363.5</v>
      </c>
      <c r="M5398" s="460">
        <f t="shared" si="191"/>
        <v>0.05</v>
      </c>
      <c r="N5398" s="464">
        <f t="shared" si="192"/>
        <v>215343</v>
      </c>
    </row>
    <row r="5399" spans="7:14" ht="11.25" customHeight="1" x14ac:dyDescent="0.3">
      <c r="G5399" s="459"/>
      <c r="H5399" s="459">
        <v>5392</v>
      </c>
      <c r="I5399" s="444">
        <f t="shared" ca="1" si="190"/>
        <v>-1844344331314363.5</v>
      </c>
      <c r="J5399" s="444">
        <f t="array" ref="J5399">IFERROR(INDEX('Retirement Calculator'!K:K,MATCH('Lorri 401b'!N5399,'Retirement Calculator'!A:A,0),0),0)</f>
        <v>0</v>
      </c>
      <c r="K5399" s="444">
        <f t="shared" ca="1" si="188"/>
        <v>-7684768047143.1807</v>
      </c>
      <c r="L5399" s="444">
        <f t="shared" ca="1" si="189"/>
        <v>-1852029099361506.8</v>
      </c>
      <c r="M5399" s="460">
        <f t="shared" si="191"/>
        <v>0.05</v>
      </c>
      <c r="N5399" s="464">
        <f t="shared" si="192"/>
        <v>215374</v>
      </c>
    </row>
    <row r="5400" spans="7:14" ht="11.25" customHeight="1" x14ac:dyDescent="0.3">
      <c r="G5400" s="459"/>
      <c r="H5400" s="459">
        <v>5393</v>
      </c>
      <c r="I5400" s="444">
        <f t="shared" ca="1" si="190"/>
        <v>-1852029099361506.8</v>
      </c>
      <c r="J5400" s="444">
        <f t="array" ref="J5400">IFERROR(INDEX('Retirement Calculator'!K:K,MATCH('Lorri 401b'!N5400,'Retirement Calculator'!A:A,0),0),0)</f>
        <v>0</v>
      </c>
      <c r="K5400" s="444">
        <f t="shared" ca="1" si="188"/>
        <v>-7716787914006.2783</v>
      </c>
      <c r="L5400" s="444">
        <f t="shared" ca="1" si="189"/>
        <v>-1859745887275513</v>
      </c>
      <c r="M5400" s="460">
        <f t="shared" si="191"/>
        <v>0.05</v>
      </c>
      <c r="N5400" s="464">
        <f t="shared" si="192"/>
        <v>215404</v>
      </c>
    </row>
    <row r="5401" spans="7:14" ht="11.25" customHeight="1" x14ac:dyDescent="0.3">
      <c r="G5401" s="459"/>
      <c r="H5401" s="459">
        <v>5394</v>
      </c>
      <c r="I5401" s="444">
        <f t="shared" ca="1" si="190"/>
        <v>-1859745887275513</v>
      </c>
      <c r="J5401" s="444">
        <f t="array" ref="J5401">IFERROR(INDEX('Retirement Calculator'!K:K,MATCH('Lorri 401b'!N5401,'Retirement Calculator'!A:A,0),0),0)</f>
        <v>0</v>
      </c>
      <c r="K5401" s="444">
        <f t="shared" ca="1" si="188"/>
        <v>-7748941196981.3047</v>
      </c>
      <c r="L5401" s="444">
        <f t="shared" ca="1" si="189"/>
        <v>-1867494828472494.3</v>
      </c>
      <c r="M5401" s="460">
        <f t="shared" si="191"/>
        <v>0.05</v>
      </c>
      <c r="N5401" s="464">
        <f t="shared" si="192"/>
        <v>215435</v>
      </c>
    </row>
    <row r="5402" spans="7:14" ht="11.25" customHeight="1" x14ac:dyDescent="0.3">
      <c r="G5402" s="459"/>
      <c r="H5402" s="459">
        <v>5395</v>
      </c>
      <c r="I5402" s="444">
        <f t="shared" ca="1" si="190"/>
        <v>-1867494828472494.3</v>
      </c>
      <c r="J5402" s="444">
        <f t="array" ref="J5402">IFERROR(INDEX('Retirement Calculator'!K:K,MATCH('Lorri 401b'!N5402,'Retirement Calculator'!A:A,0),0),0)</f>
        <v>0</v>
      </c>
      <c r="K5402" s="444">
        <f t="shared" ca="1" si="188"/>
        <v>-7781228451968.7256</v>
      </c>
      <c r="L5402" s="444">
        <f t="shared" ca="1" si="189"/>
        <v>-1875276056924463</v>
      </c>
      <c r="M5402" s="460">
        <f t="shared" si="191"/>
        <v>0.05</v>
      </c>
      <c r="N5402" s="464">
        <f t="shared" si="192"/>
        <v>215465</v>
      </c>
    </row>
    <row r="5403" spans="7:14" ht="11.25" customHeight="1" x14ac:dyDescent="0.3">
      <c r="G5403" s="459"/>
      <c r="H5403" s="459">
        <v>5396</v>
      </c>
      <c r="I5403" s="444">
        <f t="shared" ca="1" si="190"/>
        <v>-1875276056924463</v>
      </c>
      <c r="J5403" s="444">
        <f t="array" ref="J5403">IFERROR(INDEX('Retirement Calculator'!K:K,MATCH('Lorri 401b'!N5403,'Retirement Calculator'!A:A,0),0),0)</f>
        <v>0</v>
      </c>
      <c r="K5403" s="444">
        <f t="shared" ca="1" si="188"/>
        <v>-7813650237185.2617</v>
      </c>
      <c r="L5403" s="444">
        <f t="shared" ca="1" si="189"/>
        <v>-1883089707161648.3</v>
      </c>
      <c r="M5403" s="460">
        <f t="shared" si="191"/>
        <v>0.05</v>
      </c>
      <c r="N5403" s="464">
        <f t="shared" si="192"/>
        <v>215496</v>
      </c>
    </row>
    <row r="5404" spans="7:14" ht="11.25" customHeight="1" x14ac:dyDescent="0.3">
      <c r="G5404" s="459"/>
      <c r="H5404" s="459">
        <v>5397</v>
      </c>
      <c r="I5404" s="444">
        <f t="shared" ca="1" si="190"/>
        <v>-1883089707161648.3</v>
      </c>
      <c r="J5404" s="444">
        <f t="array" ref="J5404">IFERROR(INDEX('Retirement Calculator'!K:K,MATCH('Lorri 401b'!N5404,'Retirement Calculator'!A:A,0),0),0)</f>
        <v>0</v>
      </c>
      <c r="K5404" s="444">
        <f t="shared" ca="1" si="188"/>
        <v>-7846207113173.5342</v>
      </c>
      <c r="L5404" s="444">
        <f t="shared" ca="1" si="189"/>
        <v>-1890935914274821.8</v>
      </c>
      <c r="M5404" s="460">
        <f t="shared" si="191"/>
        <v>0.05</v>
      </c>
      <c r="N5404" s="464">
        <f t="shared" si="192"/>
        <v>215527</v>
      </c>
    </row>
    <row r="5405" spans="7:14" ht="11.25" customHeight="1" x14ac:dyDescent="0.3">
      <c r="G5405" s="459"/>
      <c r="H5405" s="459">
        <v>5398</v>
      </c>
      <c r="I5405" s="444">
        <f t="shared" ca="1" si="190"/>
        <v>-1890935914274821.8</v>
      </c>
      <c r="J5405" s="444">
        <f t="array" ref="J5405">IFERROR(INDEX('Retirement Calculator'!K:K,MATCH('Lorri 401b'!N5405,'Retirement Calculator'!A:A,0),0),0)</f>
        <v>0</v>
      </c>
      <c r="K5405" s="444">
        <f t="shared" ca="1" si="188"/>
        <v>-7878899642811.7568</v>
      </c>
      <c r="L5405" s="444">
        <f t="shared" ca="1" si="189"/>
        <v>-1898814813917633.5</v>
      </c>
      <c r="M5405" s="460">
        <f t="shared" si="191"/>
        <v>0.05</v>
      </c>
      <c r="N5405" s="464">
        <f t="shared" si="192"/>
        <v>215555</v>
      </c>
    </row>
    <row r="5406" spans="7:14" ht="11.25" customHeight="1" x14ac:dyDescent="0.3">
      <c r="G5406" s="459"/>
      <c r="H5406" s="459">
        <v>5399</v>
      </c>
      <c r="I5406" s="444">
        <f t="shared" ca="1" si="190"/>
        <v>-1898814813917633.5</v>
      </c>
      <c r="J5406" s="444">
        <f t="array" ref="J5406">IFERROR(INDEX('Retirement Calculator'!K:K,MATCH('Lorri 401b'!N5406,'Retirement Calculator'!A:A,0),0),0)</f>
        <v>0</v>
      </c>
      <c r="K5406" s="444">
        <f t="shared" ca="1" si="188"/>
        <v>-7911728391323.4717</v>
      </c>
      <c r="L5406" s="444">
        <f t="shared" ca="1" si="189"/>
        <v>-1906726542308957</v>
      </c>
      <c r="M5406" s="460">
        <f t="shared" si="191"/>
        <v>0.05</v>
      </c>
      <c r="N5406" s="464">
        <f t="shared" si="192"/>
        <v>215586</v>
      </c>
    </row>
    <row r="5407" spans="7:14" ht="11.25" customHeight="1" x14ac:dyDescent="0.3">
      <c r="G5407" s="459"/>
      <c r="H5407" s="459">
        <v>5400</v>
      </c>
      <c r="I5407" s="444">
        <f t="shared" ca="1" si="190"/>
        <v>-1906726542308957</v>
      </c>
      <c r="J5407" s="444">
        <f t="array" ref="J5407">IFERROR(INDEX('Retirement Calculator'!K:K,MATCH('Lorri 401b'!N5407,'Retirement Calculator'!A:A,0),0),0)</f>
        <v>0</v>
      </c>
      <c r="K5407" s="444">
        <f t="shared" ca="1" si="188"/>
        <v>-7944693926287.3203</v>
      </c>
      <c r="L5407" s="444">
        <f t="shared" ca="1" si="189"/>
        <v>-1914671236235244.3</v>
      </c>
      <c r="M5407" s="460">
        <f t="shared" si="191"/>
        <v>0.05</v>
      </c>
      <c r="N5407" s="464">
        <f t="shared" si="192"/>
        <v>215616</v>
      </c>
    </row>
    <row r="5408" spans="7:14" ht="11.25" customHeight="1" x14ac:dyDescent="0.3">
      <c r="G5408" s="459"/>
      <c r="H5408" s="459">
        <v>5401</v>
      </c>
      <c r="I5408" s="444">
        <f t="shared" ca="1" si="190"/>
        <v>-1914671236235244.3</v>
      </c>
      <c r="J5408" s="444">
        <f t="array" ref="J5408">IFERROR(INDEX('Retirement Calculator'!K:K,MATCH('Lorri 401b'!N5408,'Retirement Calculator'!A:A,0),0),0)</f>
        <v>0</v>
      </c>
      <c r="K5408" s="444">
        <f t="shared" ca="1" si="188"/>
        <v>-7977796817646.8516</v>
      </c>
      <c r="L5408" s="444">
        <f t="shared" ca="1" si="189"/>
        <v>-1922649033052891</v>
      </c>
      <c r="M5408" s="460">
        <f t="shared" si="191"/>
        <v>0.05</v>
      </c>
      <c r="N5408" s="464">
        <f t="shared" si="192"/>
        <v>215647</v>
      </c>
    </row>
    <row r="5409" spans="7:14" ht="11.25" customHeight="1" x14ac:dyDescent="0.3">
      <c r="G5409" s="459"/>
      <c r="H5409" s="459">
        <v>5402</v>
      </c>
      <c r="I5409" s="444">
        <f t="shared" ca="1" si="190"/>
        <v>-1922649033052891</v>
      </c>
      <c r="J5409" s="444">
        <f t="array" ref="J5409">IFERROR(INDEX('Retirement Calculator'!K:K,MATCH('Lorri 401b'!N5409,'Retirement Calculator'!A:A,0),0),0)</f>
        <v>0</v>
      </c>
      <c r="K5409" s="444">
        <f t="shared" ca="1" si="188"/>
        <v>-8011037637720.3789</v>
      </c>
      <c r="L5409" s="444">
        <f t="shared" ca="1" si="189"/>
        <v>-1930660070690611.5</v>
      </c>
      <c r="M5409" s="460">
        <f t="shared" si="191"/>
        <v>0.05</v>
      </c>
      <c r="N5409" s="464">
        <f t="shared" si="192"/>
        <v>215677</v>
      </c>
    </row>
    <row r="5410" spans="7:14" ht="11.25" customHeight="1" x14ac:dyDescent="0.3">
      <c r="G5410" s="459"/>
      <c r="H5410" s="459">
        <v>5403</v>
      </c>
      <c r="I5410" s="444">
        <f t="shared" ca="1" si="190"/>
        <v>-1930660070690611.5</v>
      </c>
      <c r="J5410" s="444">
        <f t="array" ref="J5410">IFERROR(INDEX('Retirement Calculator'!K:K,MATCH('Lorri 401b'!N5410,'Retirement Calculator'!A:A,0),0),0)</f>
        <v>0</v>
      </c>
      <c r="K5410" s="444">
        <f t="shared" ca="1" si="188"/>
        <v>-8044416961210.8818</v>
      </c>
      <c r="L5410" s="444">
        <f t="shared" ca="1" si="189"/>
        <v>-1938704487651822.5</v>
      </c>
      <c r="M5410" s="460">
        <f t="shared" si="191"/>
        <v>0.05</v>
      </c>
      <c r="N5410" s="464">
        <f t="shared" si="192"/>
        <v>215708</v>
      </c>
    </row>
    <row r="5411" spans="7:14" ht="11.25" customHeight="1" x14ac:dyDescent="0.3">
      <c r="G5411" s="459"/>
      <c r="H5411" s="459">
        <v>5404</v>
      </c>
      <c r="I5411" s="444">
        <f t="shared" ca="1" si="190"/>
        <v>-1938704487651822.5</v>
      </c>
      <c r="J5411" s="444">
        <f t="array" ref="J5411">IFERROR(INDEX('Retirement Calculator'!K:K,MATCH('Lorri 401b'!N5411,'Retirement Calculator'!A:A,0),0),0)</f>
        <v>0</v>
      </c>
      <c r="K5411" s="444">
        <f t="shared" ca="1" si="188"/>
        <v>-8077935365215.9268</v>
      </c>
      <c r="L5411" s="444">
        <f t="shared" ca="1" si="189"/>
        <v>-1946782423017038.5</v>
      </c>
      <c r="M5411" s="460">
        <f t="shared" si="191"/>
        <v>0.05</v>
      </c>
      <c r="N5411" s="464">
        <f t="shared" si="192"/>
        <v>215739</v>
      </c>
    </row>
    <row r="5412" spans="7:14" ht="11.25" customHeight="1" x14ac:dyDescent="0.3">
      <c r="G5412" s="459"/>
      <c r="H5412" s="459">
        <v>5405</v>
      </c>
      <c r="I5412" s="444">
        <f t="shared" ca="1" si="190"/>
        <v>-1946782423017038.5</v>
      </c>
      <c r="J5412" s="444">
        <f t="array" ref="J5412">IFERROR(INDEX('Retirement Calculator'!K:K,MATCH('Lorri 401b'!N5412,'Retirement Calculator'!A:A,0),0),0)</f>
        <v>0</v>
      </c>
      <c r="K5412" s="444">
        <f t="shared" ca="1" si="188"/>
        <v>-8111593429237.6602</v>
      </c>
      <c r="L5412" s="444">
        <f t="shared" ca="1" si="189"/>
        <v>-1954894016446276.3</v>
      </c>
      <c r="M5412" s="460">
        <f t="shared" si="191"/>
        <v>0.05</v>
      </c>
      <c r="N5412" s="464">
        <f t="shared" si="192"/>
        <v>215769</v>
      </c>
    </row>
    <row r="5413" spans="7:14" ht="11.25" customHeight="1" x14ac:dyDescent="0.3">
      <c r="G5413" s="459"/>
      <c r="H5413" s="459">
        <v>5406</v>
      </c>
      <c r="I5413" s="444">
        <f t="shared" ca="1" si="190"/>
        <v>-1954894016446276.3</v>
      </c>
      <c r="J5413" s="444">
        <f t="array" ref="J5413">IFERROR(INDEX('Retirement Calculator'!K:K,MATCH('Lorri 401b'!N5413,'Retirement Calculator'!A:A,0),0),0)</f>
        <v>0</v>
      </c>
      <c r="K5413" s="444">
        <f t="shared" ca="1" si="188"/>
        <v>-8145391735192.8184</v>
      </c>
      <c r="L5413" s="444">
        <f t="shared" ca="1" si="189"/>
        <v>-1963039408181469</v>
      </c>
      <c r="M5413" s="460">
        <f t="shared" si="191"/>
        <v>0.05</v>
      </c>
      <c r="N5413" s="464">
        <f t="shared" si="192"/>
        <v>215800</v>
      </c>
    </row>
    <row r="5414" spans="7:14" ht="11.25" customHeight="1" x14ac:dyDescent="0.3">
      <c r="G5414" s="459"/>
      <c r="H5414" s="459">
        <v>5407</v>
      </c>
      <c r="I5414" s="444">
        <f t="shared" ca="1" si="190"/>
        <v>-1963039408181469</v>
      </c>
      <c r="J5414" s="444">
        <f t="array" ref="J5414">IFERROR(INDEX('Retirement Calculator'!K:K,MATCH('Lorri 401b'!N5414,'Retirement Calculator'!A:A,0),0),0)</f>
        <v>0</v>
      </c>
      <c r="K5414" s="444">
        <f t="shared" ca="1" si="188"/>
        <v>-8179330867422.7871</v>
      </c>
      <c r="L5414" s="444">
        <f t="shared" ca="1" si="189"/>
        <v>-1971218739048891.8</v>
      </c>
      <c r="M5414" s="460">
        <f t="shared" si="191"/>
        <v>0.05</v>
      </c>
      <c r="N5414" s="464">
        <f t="shared" si="192"/>
        <v>215830</v>
      </c>
    </row>
    <row r="5415" spans="7:14" ht="11.25" customHeight="1" x14ac:dyDescent="0.3">
      <c r="G5415" s="459"/>
      <c r="H5415" s="459">
        <v>5408</v>
      </c>
      <c r="I5415" s="444">
        <f t="shared" ca="1" si="190"/>
        <v>-1971218739048891.8</v>
      </c>
      <c r="J5415" s="444">
        <f t="array" ref="J5415">IFERROR(INDEX('Retirement Calculator'!K:K,MATCH('Lorri 401b'!N5415,'Retirement Calculator'!A:A,0),0),0)</f>
        <v>0</v>
      </c>
      <c r="K5415" s="444">
        <f t="shared" ca="1" si="188"/>
        <v>-8213411412703.7158</v>
      </c>
      <c r="L5415" s="444">
        <f t="shared" ca="1" si="189"/>
        <v>-1979432150461595.5</v>
      </c>
      <c r="M5415" s="460">
        <f t="shared" si="191"/>
        <v>0.05</v>
      </c>
      <c r="N5415" s="464">
        <f t="shared" si="192"/>
        <v>215861</v>
      </c>
    </row>
    <row r="5416" spans="7:14" ht="11.25" customHeight="1" x14ac:dyDescent="0.3">
      <c r="G5416" s="459"/>
      <c r="H5416" s="459">
        <v>5409</v>
      </c>
      <c r="I5416" s="444">
        <f t="shared" ca="1" si="190"/>
        <v>-1979432150461595.5</v>
      </c>
      <c r="J5416" s="444">
        <f t="array" ref="J5416">IFERROR(INDEX('Retirement Calculator'!K:K,MATCH('Lorri 401b'!N5416,'Retirement Calculator'!A:A,0),0),0)</f>
        <v>0</v>
      </c>
      <c r="K5416" s="444">
        <f t="shared" ca="1" si="188"/>
        <v>-8247633960256.6475</v>
      </c>
      <c r="L5416" s="444">
        <f t="shared" ca="1" si="189"/>
        <v>-1987679784421852.3</v>
      </c>
      <c r="M5416" s="460">
        <f t="shared" si="191"/>
        <v>0.05</v>
      </c>
      <c r="N5416" s="464">
        <f t="shared" si="192"/>
        <v>215892</v>
      </c>
    </row>
    <row r="5417" spans="7:14" ht="11.25" customHeight="1" x14ac:dyDescent="0.3">
      <c r="G5417" s="459"/>
      <c r="H5417" s="459">
        <v>5410</v>
      </c>
      <c r="I5417" s="444">
        <f t="shared" ca="1" si="190"/>
        <v>-1987679784421852.3</v>
      </c>
      <c r="J5417" s="444">
        <f t="array" ref="J5417">IFERROR(INDEX('Retirement Calculator'!K:K,MATCH('Lorri 401b'!N5417,'Retirement Calculator'!A:A,0),0),0)</f>
        <v>0</v>
      </c>
      <c r="K5417" s="444">
        <f t="shared" ca="1" si="188"/>
        <v>-8281999101757.7188</v>
      </c>
      <c r="L5417" s="444">
        <f t="shared" ca="1" si="189"/>
        <v>-1995961783523610</v>
      </c>
      <c r="M5417" s="460">
        <f t="shared" si="191"/>
        <v>0.05</v>
      </c>
      <c r="N5417" s="464">
        <f t="shared" si="192"/>
        <v>215920</v>
      </c>
    </row>
    <row r="5418" spans="7:14" ht="11.25" customHeight="1" x14ac:dyDescent="0.3">
      <c r="G5418" s="459"/>
      <c r="H5418" s="459">
        <v>5411</v>
      </c>
      <c r="I5418" s="444">
        <f t="shared" ca="1" si="190"/>
        <v>-1995961783523610</v>
      </c>
      <c r="J5418" s="444">
        <f t="array" ref="J5418">IFERROR(INDEX('Retirement Calculator'!K:K,MATCH('Lorri 401b'!N5418,'Retirement Calculator'!A:A,0),0),0)</f>
        <v>0</v>
      </c>
      <c r="K5418" s="444">
        <f t="shared" ca="1" si="188"/>
        <v>-8316507431348.374</v>
      </c>
      <c r="L5418" s="444">
        <f t="shared" ca="1" si="189"/>
        <v>-2004278290954958.3</v>
      </c>
      <c r="M5418" s="460">
        <f t="shared" si="191"/>
        <v>0.05</v>
      </c>
      <c r="N5418" s="464">
        <f t="shared" si="192"/>
        <v>215951</v>
      </c>
    </row>
    <row r="5419" spans="7:14" ht="11.25" customHeight="1" x14ac:dyDescent="0.3">
      <c r="G5419" s="459"/>
      <c r="H5419" s="459">
        <v>5412</v>
      </c>
      <c r="I5419" s="444">
        <f t="shared" ca="1" si="190"/>
        <v>-2004278290954958.3</v>
      </c>
      <c r="J5419" s="444">
        <f t="array" ref="J5419">IFERROR(INDEX('Retirement Calculator'!K:K,MATCH('Lorri 401b'!N5419,'Retirement Calculator'!A:A,0),0),0)</f>
        <v>0</v>
      </c>
      <c r="K5419" s="444">
        <f t="shared" ca="1" si="188"/>
        <v>-8351159545645.6582</v>
      </c>
      <c r="L5419" s="444">
        <f t="shared" ca="1" si="189"/>
        <v>-2012629450500604</v>
      </c>
      <c r="M5419" s="460">
        <f t="shared" si="191"/>
        <v>0.05</v>
      </c>
      <c r="N5419" s="464">
        <f t="shared" si="192"/>
        <v>215981</v>
      </c>
    </row>
    <row r="5420" spans="7:14" ht="11.25" customHeight="1" x14ac:dyDescent="0.3">
      <c r="G5420" s="459"/>
      <c r="H5420" s="459">
        <v>5413</v>
      </c>
      <c r="I5420" s="444">
        <f t="shared" ca="1" si="190"/>
        <v>-2012629450500604</v>
      </c>
      <c r="J5420" s="444">
        <f t="array" ref="J5420">IFERROR(INDEX('Retirement Calculator'!K:K,MATCH('Lorri 401b'!N5420,'Retirement Calculator'!A:A,0),0),0)</f>
        <v>0</v>
      </c>
      <c r="K5420" s="444">
        <f t="shared" ca="1" si="188"/>
        <v>-8385956043752.5166</v>
      </c>
      <c r="L5420" s="444">
        <f t="shared" ca="1" si="189"/>
        <v>-2021015406544356.5</v>
      </c>
      <c r="M5420" s="460">
        <f t="shared" si="191"/>
        <v>0.05</v>
      </c>
      <c r="N5420" s="464">
        <f t="shared" si="192"/>
        <v>216012</v>
      </c>
    </row>
    <row r="5421" spans="7:14" ht="11.25" customHeight="1" x14ac:dyDescent="0.3">
      <c r="G5421" s="459"/>
      <c r="H5421" s="459">
        <v>5414</v>
      </c>
      <c r="I5421" s="444">
        <f t="shared" ca="1" si="190"/>
        <v>-2021015406544356.5</v>
      </c>
      <c r="J5421" s="444">
        <f t="array" ref="J5421">IFERROR(INDEX('Retirement Calculator'!K:K,MATCH('Lorri 401b'!N5421,'Retirement Calculator'!A:A,0),0),0)</f>
        <v>0</v>
      </c>
      <c r="K5421" s="444">
        <f t="shared" ca="1" si="188"/>
        <v>-8420897527268.1523</v>
      </c>
      <c r="L5421" s="444">
        <f t="shared" ca="1" si="189"/>
        <v>-2029436304071624.8</v>
      </c>
      <c r="M5421" s="460">
        <f t="shared" si="191"/>
        <v>0.05</v>
      </c>
      <c r="N5421" s="464">
        <f t="shared" si="192"/>
        <v>216042</v>
      </c>
    </row>
    <row r="5422" spans="7:14" ht="11.25" customHeight="1" x14ac:dyDescent="0.3">
      <c r="G5422" s="459"/>
      <c r="H5422" s="459">
        <v>5415</v>
      </c>
      <c r="I5422" s="444">
        <f t="shared" ca="1" si="190"/>
        <v>-2029436304071624.8</v>
      </c>
      <c r="J5422" s="444">
        <f t="array" ref="J5422">IFERROR(INDEX('Retirement Calculator'!K:K,MATCH('Lorri 401b'!N5422,'Retirement Calculator'!A:A,0),0),0)</f>
        <v>0</v>
      </c>
      <c r="K5422" s="444">
        <f t="shared" ca="1" si="188"/>
        <v>-8455984600298.4375</v>
      </c>
      <c r="L5422" s="444">
        <f t="shared" ca="1" si="189"/>
        <v>-2037892288671923.3</v>
      </c>
      <c r="M5422" s="460">
        <f t="shared" si="191"/>
        <v>0.05</v>
      </c>
      <c r="N5422" s="464">
        <f t="shared" si="192"/>
        <v>216073</v>
      </c>
    </row>
    <row r="5423" spans="7:14" ht="11.25" customHeight="1" x14ac:dyDescent="0.3">
      <c r="G5423" s="459"/>
      <c r="H5423" s="459">
        <v>5416</v>
      </c>
      <c r="I5423" s="444">
        <f t="shared" ca="1" si="190"/>
        <v>-2037892288671923.3</v>
      </c>
      <c r="J5423" s="444">
        <f t="array" ref="J5423">IFERROR(INDEX('Retirement Calculator'!K:K,MATCH('Lorri 401b'!N5423,'Retirement Calculator'!A:A,0),0),0)</f>
        <v>0</v>
      </c>
      <c r="K5423" s="444">
        <f t="shared" ca="1" si="188"/>
        <v>-8491217869466.3467</v>
      </c>
      <c r="L5423" s="444">
        <f t="shared" ca="1" si="189"/>
        <v>-2046383506541389.5</v>
      </c>
      <c r="M5423" s="460">
        <f t="shared" si="191"/>
        <v>0.05</v>
      </c>
      <c r="N5423" s="464">
        <f t="shared" si="192"/>
        <v>216104</v>
      </c>
    </row>
    <row r="5424" spans="7:14" ht="11.25" customHeight="1" x14ac:dyDescent="0.3">
      <c r="G5424" s="459"/>
      <c r="H5424" s="459">
        <v>5417</v>
      </c>
      <c r="I5424" s="444">
        <f t="shared" ca="1" si="190"/>
        <v>-2046383506541389.5</v>
      </c>
      <c r="J5424" s="444">
        <f t="array" ref="J5424">IFERROR(INDEX('Retirement Calculator'!K:K,MATCH('Lorri 401b'!N5424,'Retirement Calculator'!A:A,0),0),0)</f>
        <v>0</v>
      </c>
      <c r="K5424" s="444">
        <f t="shared" ca="1" si="188"/>
        <v>-8526597943922.4561</v>
      </c>
      <c r="L5424" s="444">
        <f t="shared" ca="1" si="189"/>
        <v>-2054910104485312</v>
      </c>
      <c r="M5424" s="460">
        <f t="shared" si="191"/>
        <v>0.05</v>
      </c>
      <c r="N5424" s="464">
        <f t="shared" si="192"/>
        <v>216134</v>
      </c>
    </row>
    <row r="5425" spans="7:14" ht="11.25" customHeight="1" x14ac:dyDescent="0.3">
      <c r="G5425" s="459"/>
      <c r="H5425" s="459">
        <v>5418</v>
      </c>
      <c r="I5425" s="444">
        <f t="shared" ca="1" si="190"/>
        <v>-2054910104485312</v>
      </c>
      <c r="J5425" s="444">
        <f t="array" ref="J5425">IFERROR(INDEX('Retirement Calculator'!K:K,MATCH('Lorri 401b'!N5425,'Retirement Calculator'!A:A,0),0),0)</f>
        <v>0</v>
      </c>
      <c r="K5425" s="444">
        <f t="shared" ca="1" si="188"/>
        <v>-8562125435355.4668</v>
      </c>
      <c r="L5425" s="444">
        <f t="shared" ca="1" si="189"/>
        <v>-2063472229920667.5</v>
      </c>
      <c r="M5425" s="460">
        <f t="shared" si="191"/>
        <v>0.05</v>
      </c>
      <c r="N5425" s="464">
        <f t="shared" si="192"/>
        <v>216165</v>
      </c>
    </row>
    <row r="5426" spans="7:14" ht="11.25" customHeight="1" x14ac:dyDescent="0.3">
      <c r="G5426" s="459"/>
      <c r="H5426" s="459">
        <v>5419</v>
      </c>
      <c r="I5426" s="444">
        <f t="shared" ca="1" si="190"/>
        <v>-2063472229920667.5</v>
      </c>
      <c r="J5426" s="444">
        <f t="array" ref="J5426">IFERROR(INDEX('Retirement Calculator'!K:K,MATCH('Lorri 401b'!N5426,'Retirement Calculator'!A:A,0),0),0)</f>
        <v>0</v>
      </c>
      <c r="K5426" s="444">
        <f t="shared" ca="1" si="188"/>
        <v>-8597800958002.7813</v>
      </c>
      <c r="L5426" s="444">
        <f t="shared" ca="1" si="189"/>
        <v>-2072070030878670.3</v>
      </c>
      <c r="M5426" s="460">
        <f t="shared" si="191"/>
        <v>0.05</v>
      </c>
      <c r="N5426" s="464">
        <f t="shared" si="192"/>
        <v>216195</v>
      </c>
    </row>
    <row r="5427" spans="7:14" ht="11.25" customHeight="1" x14ac:dyDescent="0.3">
      <c r="G5427" s="459"/>
      <c r="H5427" s="459">
        <v>5420</v>
      </c>
      <c r="I5427" s="444">
        <f t="shared" ca="1" si="190"/>
        <v>-2072070030878670.3</v>
      </c>
      <c r="J5427" s="444">
        <f t="array" ref="J5427">IFERROR(INDEX('Retirement Calculator'!K:K,MATCH('Lorri 401b'!N5427,'Retirement Calculator'!A:A,0),0),0)</f>
        <v>0</v>
      </c>
      <c r="K5427" s="444">
        <f t="shared" ca="1" si="188"/>
        <v>-8633625128661.127</v>
      </c>
      <c r="L5427" s="444">
        <f t="shared" ca="1" si="189"/>
        <v>-2080703656007331.5</v>
      </c>
      <c r="M5427" s="460">
        <f t="shared" si="191"/>
        <v>0.05</v>
      </c>
      <c r="N5427" s="464">
        <f t="shared" si="192"/>
        <v>216226</v>
      </c>
    </row>
    <row r="5428" spans="7:14" ht="11.25" customHeight="1" x14ac:dyDescent="0.3">
      <c r="G5428" s="459"/>
      <c r="H5428" s="459">
        <v>5421</v>
      </c>
      <c r="I5428" s="444">
        <f t="shared" ca="1" si="190"/>
        <v>-2080703656007331.5</v>
      </c>
      <c r="J5428" s="444">
        <f t="array" ref="J5428">IFERROR(INDEX('Retirement Calculator'!K:K,MATCH('Lorri 401b'!N5428,'Retirement Calculator'!A:A,0),0),0)</f>
        <v>0</v>
      </c>
      <c r="K5428" s="444">
        <f t="shared" ca="1" si="188"/>
        <v>-8669598566697.2148</v>
      </c>
      <c r="L5428" s="444">
        <f t="shared" ca="1" si="189"/>
        <v>-2089373254574028.8</v>
      </c>
      <c r="M5428" s="460">
        <f t="shared" si="191"/>
        <v>0.05</v>
      </c>
      <c r="N5428" s="464">
        <f t="shared" si="192"/>
        <v>216257</v>
      </c>
    </row>
    <row r="5429" spans="7:14" ht="11.25" customHeight="1" x14ac:dyDescent="0.3">
      <c r="G5429" s="459"/>
      <c r="H5429" s="459">
        <v>5422</v>
      </c>
      <c r="I5429" s="444">
        <f t="shared" ca="1" si="190"/>
        <v>-2089373254574028.8</v>
      </c>
      <c r="J5429" s="444">
        <f t="array" ref="J5429">IFERROR(INDEX('Retirement Calculator'!K:K,MATCH('Lorri 401b'!N5429,'Retirement Calculator'!A:A,0),0),0)</f>
        <v>0</v>
      </c>
      <c r="K5429" s="444">
        <f t="shared" ca="1" si="188"/>
        <v>-8705721894058.4531</v>
      </c>
      <c r="L5429" s="444">
        <f t="shared" ca="1" si="189"/>
        <v>-2098078976468087.3</v>
      </c>
      <c r="M5429" s="460">
        <f t="shared" si="191"/>
        <v>0.05</v>
      </c>
      <c r="N5429" s="464">
        <f t="shared" si="192"/>
        <v>216286</v>
      </c>
    </row>
    <row r="5430" spans="7:14" ht="11.25" customHeight="1" x14ac:dyDescent="0.3">
      <c r="G5430" s="459"/>
      <c r="H5430" s="459">
        <v>5423</v>
      </c>
      <c r="I5430" s="444">
        <f t="shared" ca="1" si="190"/>
        <v>-2098078976468087.3</v>
      </c>
      <c r="J5430" s="444">
        <f t="array" ref="J5430">IFERROR(INDEX('Retirement Calculator'!K:K,MATCH('Lorri 401b'!N5430,'Retirement Calculator'!A:A,0),0),0)</f>
        <v>0</v>
      </c>
      <c r="K5430" s="444">
        <f t="shared" ca="1" si="188"/>
        <v>-8741995735283.6963</v>
      </c>
      <c r="L5430" s="444">
        <f t="shared" ca="1" si="189"/>
        <v>-2106820972203371</v>
      </c>
      <c r="M5430" s="460">
        <f t="shared" si="191"/>
        <v>0.05</v>
      </c>
      <c r="N5430" s="464">
        <f t="shared" si="192"/>
        <v>216317</v>
      </c>
    </row>
    <row r="5431" spans="7:14" ht="11.25" customHeight="1" x14ac:dyDescent="0.3">
      <c r="G5431" s="459"/>
      <c r="H5431" s="459">
        <v>5424</v>
      </c>
      <c r="I5431" s="444">
        <f t="shared" ca="1" si="190"/>
        <v>-2106820972203371</v>
      </c>
      <c r="J5431" s="444">
        <f t="array" ref="J5431">IFERROR(INDEX('Retirement Calculator'!K:K,MATCH('Lorri 401b'!N5431,'Retirement Calculator'!A:A,0),0),0)</f>
        <v>0</v>
      </c>
      <c r="K5431" s="444">
        <f t="shared" ca="1" si="188"/>
        <v>-8778420717514.0459</v>
      </c>
      <c r="L5431" s="444">
        <f t="shared" ca="1" si="189"/>
        <v>-2115599392920885</v>
      </c>
      <c r="M5431" s="460">
        <f t="shared" si="191"/>
        <v>0.05</v>
      </c>
      <c r="N5431" s="464">
        <f t="shared" si="192"/>
        <v>216347</v>
      </c>
    </row>
    <row r="5432" spans="7:14" ht="11.25" customHeight="1" x14ac:dyDescent="0.3">
      <c r="G5432" s="459"/>
      <c r="H5432" s="459">
        <v>5425</v>
      </c>
      <c r="I5432" s="444">
        <f t="shared" ca="1" si="190"/>
        <v>-2115599392920885</v>
      </c>
      <c r="J5432" s="444">
        <f t="array" ref="J5432">IFERROR(INDEX('Retirement Calculator'!K:K,MATCH('Lorri 401b'!N5432,'Retirement Calculator'!A:A,0),0),0)</f>
        <v>0</v>
      </c>
      <c r="K5432" s="444">
        <f t="shared" ca="1" si="188"/>
        <v>-8814997470503.6855</v>
      </c>
      <c r="L5432" s="444">
        <f t="shared" ca="1" si="189"/>
        <v>-2124414390391388.8</v>
      </c>
      <c r="M5432" s="460">
        <f t="shared" si="191"/>
        <v>0.05</v>
      </c>
      <c r="N5432" s="464">
        <f t="shared" si="192"/>
        <v>216378</v>
      </c>
    </row>
    <row r="5433" spans="7:14" ht="11.25" customHeight="1" x14ac:dyDescent="0.3">
      <c r="G5433" s="459"/>
      <c r="H5433" s="459">
        <v>5426</v>
      </c>
      <c r="I5433" s="444">
        <f t="shared" ca="1" si="190"/>
        <v>-2124414390391388.8</v>
      </c>
      <c r="J5433" s="444">
        <f t="array" ref="J5433">IFERROR(INDEX('Retirement Calculator'!K:K,MATCH('Lorri 401b'!N5433,'Retirement Calculator'!A:A,0),0),0)</f>
        <v>0</v>
      </c>
      <c r="K5433" s="444">
        <f t="shared" ca="1" si="188"/>
        <v>-8851726626630.7852</v>
      </c>
      <c r="L5433" s="444">
        <f t="shared" ca="1" si="189"/>
        <v>-2133266117018019.5</v>
      </c>
      <c r="M5433" s="460">
        <f t="shared" si="191"/>
        <v>0.05</v>
      </c>
      <c r="N5433" s="464">
        <f t="shared" si="192"/>
        <v>216408</v>
      </c>
    </row>
    <row r="5434" spans="7:14" ht="11.25" customHeight="1" x14ac:dyDescent="0.3">
      <c r="G5434" s="459"/>
      <c r="H5434" s="459">
        <v>5427</v>
      </c>
      <c r="I5434" s="444">
        <f t="shared" ca="1" si="190"/>
        <v>-2133266117018019.5</v>
      </c>
      <c r="J5434" s="444">
        <f t="array" ref="J5434">IFERROR(INDEX('Retirement Calculator'!K:K,MATCH('Lorri 401b'!N5434,'Retirement Calculator'!A:A,0),0),0)</f>
        <v>0</v>
      </c>
      <c r="K5434" s="444">
        <f t="shared" ca="1" si="188"/>
        <v>-8888608820908.4141</v>
      </c>
      <c r="L5434" s="444">
        <f t="shared" ca="1" si="189"/>
        <v>-2142154725838928</v>
      </c>
      <c r="M5434" s="460">
        <f t="shared" si="191"/>
        <v>0.05</v>
      </c>
      <c r="N5434" s="464">
        <f t="shared" si="192"/>
        <v>216439</v>
      </c>
    </row>
    <row r="5435" spans="7:14" ht="11.25" customHeight="1" x14ac:dyDescent="0.3">
      <c r="G5435" s="459"/>
      <c r="H5435" s="459">
        <v>5428</v>
      </c>
      <c r="I5435" s="444">
        <f t="shared" ca="1" si="190"/>
        <v>-2142154725838928</v>
      </c>
      <c r="J5435" s="444">
        <f t="array" ref="J5435">IFERROR(INDEX('Retirement Calculator'!K:K,MATCH('Lorri 401b'!N5435,'Retirement Calculator'!A:A,0),0),0)</f>
        <v>0</v>
      </c>
      <c r="K5435" s="444">
        <f t="shared" ca="1" si="188"/>
        <v>-8925644690995.5332</v>
      </c>
      <c r="L5435" s="444">
        <f t="shared" ca="1" si="189"/>
        <v>-2151080370529923.5</v>
      </c>
      <c r="M5435" s="460">
        <f t="shared" si="191"/>
        <v>0.05</v>
      </c>
      <c r="N5435" s="464">
        <f t="shared" si="192"/>
        <v>216470</v>
      </c>
    </row>
    <row r="5436" spans="7:14" ht="11.25" customHeight="1" x14ac:dyDescent="0.3">
      <c r="G5436" s="459"/>
      <c r="H5436" s="459">
        <v>5429</v>
      </c>
      <c r="I5436" s="444">
        <f t="shared" ca="1" si="190"/>
        <v>-2151080370529923.5</v>
      </c>
      <c r="J5436" s="444">
        <f t="array" ref="J5436">IFERROR(INDEX('Retirement Calculator'!K:K,MATCH('Lorri 401b'!N5436,'Retirement Calculator'!A:A,0),0),0)</f>
        <v>0</v>
      </c>
      <c r="K5436" s="444">
        <f t="shared" ca="1" si="188"/>
        <v>-8962834877208.0156</v>
      </c>
      <c r="L5436" s="444">
        <f t="shared" ca="1" si="189"/>
        <v>-2160043205407131.5</v>
      </c>
      <c r="M5436" s="460">
        <f t="shared" si="191"/>
        <v>0.05</v>
      </c>
      <c r="N5436" s="464">
        <f t="shared" si="192"/>
        <v>216500</v>
      </c>
    </row>
    <row r="5437" spans="7:14" ht="11.25" customHeight="1" x14ac:dyDescent="0.3">
      <c r="G5437" s="459"/>
      <c r="H5437" s="459">
        <v>5430</v>
      </c>
      <c r="I5437" s="444">
        <f t="shared" ca="1" si="190"/>
        <v>-2160043205407131.5</v>
      </c>
      <c r="J5437" s="444">
        <f t="array" ref="J5437">IFERROR(INDEX('Retirement Calculator'!K:K,MATCH('Lorri 401b'!N5437,'Retirement Calculator'!A:A,0),0),0)</f>
        <v>0</v>
      </c>
      <c r="K5437" s="444">
        <f t="shared" ca="1" si="188"/>
        <v>-9000180022529.7148</v>
      </c>
      <c r="L5437" s="444">
        <f t="shared" ca="1" si="189"/>
        <v>-2169043385429661.3</v>
      </c>
      <c r="M5437" s="460">
        <f t="shared" si="191"/>
        <v>0.05</v>
      </c>
      <c r="N5437" s="464">
        <f t="shared" si="192"/>
        <v>216531</v>
      </c>
    </row>
    <row r="5438" spans="7:14" ht="11.25" customHeight="1" x14ac:dyDescent="0.3">
      <c r="G5438" s="459"/>
      <c r="H5438" s="459">
        <v>5431</v>
      </c>
      <c r="I5438" s="444">
        <f t="shared" ca="1" si="190"/>
        <v>-2169043385429661.3</v>
      </c>
      <c r="J5438" s="444">
        <f t="array" ref="J5438">IFERROR(INDEX('Retirement Calculator'!K:K,MATCH('Lorri 401b'!N5438,'Retirement Calculator'!A:A,0),0),0)</f>
        <v>0</v>
      </c>
      <c r="K5438" s="444">
        <f t="shared" ca="1" si="188"/>
        <v>-9037680772623.5879</v>
      </c>
      <c r="L5438" s="444">
        <f t="shared" ca="1" si="189"/>
        <v>-2178081066202284.8</v>
      </c>
      <c r="M5438" s="460">
        <f t="shared" si="191"/>
        <v>0.05</v>
      </c>
      <c r="N5438" s="464">
        <f t="shared" si="192"/>
        <v>216561</v>
      </c>
    </row>
    <row r="5439" spans="7:14" ht="11.25" customHeight="1" x14ac:dyDescent="0.3">
      <c r="G5439" s="459"/>
      <c r="H5439" s="459">
        <v>5432</v>
      </c>
      <c r="I5439" s="444">
        <f t="shared" ca="1" si="190"/>
        <v>-2178081066202284.8</v>
      </c>
      <c r="J5439" s="444">
        <f t="array" ref="J5439">IFERROR(INDEX('Retirement Calculator'!K:K,MATCH('Lorri 401b'!N5439,'Retirement Calculator'!A:A,0),0),0)</f>
        <v>0</v>
      </c>
      <c r="K5439" s="444">
        <f t="shared" ca="1" si="188"/>
        <v>-9075337775842.8535</v>
      </c>
      <c r="L5439" s="444">
        <f t="shared" ca="1" si="189"/>
        <v>-2187156403978127.5</v>
      </c>
      <c r="M5439" s="460">
        <f t="shared" si="191"/>
        <v>0.05</v>
      </c>
      <c r="N5439" s="464">
        <f t="shared" si="192"/>
        <v>216592</v>
      </c>
    </row>
    <row r="5440" spans="7:14" ht="11.25" customHeight="1" x14ac:dyDescent="0.3">
      <c r="G5440" s="459"/>
      <c r="H5440" s="459">
        <v>5433</v>
      </c>
      <c r="I5440" s="444">
        <f t="shared" ca="1" si="190"/>
        <v>-2187156403978127.5</v>
      </c>
      <c r="J5440" s="444">
        <f t="array" ref="J5440">IFERROR(INDEX('Retirement Calculator'!K:K,MATCH('Lorri 401b'!N5440,'Retirement Calculator'!A:A,0),0),0)</f>
        <v>0</v>
      </c>
      <c r="K5440" s="444">
        <f t="shared" ca="1" si="188"/>
        <v>-9113151683242.1973</v>
      </c>
      <c r="L5440" s="444">
        <f t="shared" ca="1" si="189"/>
        <v>-2196269555661369.8</v>
      </c>
      <c r="M5440" s="460">
        <f t="shared" si="191"/>
        <v>0.05</v>
      </c>
      <c r="N5440" s="464">
        <f t="shared" si="192"/>
        <v>216623</v>
      </c>
    </row>
    <row r="5441" spans="7:14" ht="11.25" customHeight="1" x14ac:dyDescent="0.3">
      <c r="G5441" s="459"/>
      <c r="H5441" s="459">
        <v>5434</v>
      </c>
      <c r="I5441" s="444">
        <f t="shared" ca="1" si="190"/>
        <v>-2196269555661369.8</v>
      </c>
      <c r="J5441" s="444">
        <f t="array" ref="J5441">IFERROR(INDEX('Retirement Calculator'!K:K,MATCH('Lorri 401b'!N5441,'Retirement Calculator'!A:A,0),0),0)</f>
        <v>0</v>
      </c>
      <c r="K5441" s="444">
        <f t="shared" ca="1" si="188"/>
        <v>-9151123148589.041</v>
      </c>
      <c r="L5441" s="444">
        <f t="shared" ca="1" si="189"/>
        <v>-2205420678809958.8</v>
      </c>
      <c r="M5441" s="460">
        <f t="shared" si="191"/>
        <v>0.05</v>
      </c>
      <c r="N5441" s="464">
        <f t="shared" si="192"/>
        <v>216651</v>
      </c>
    </row>
    <row r="5442" spans="7:14" ht="11.25" customHeight="1" x14ac:dyDescent="0.3">
      <c r="G5442" s="459"/>
      <c r="H5442" s="459">
        <v>5435</v>
      </c>
      <c r="I5442" s="444">
        <f t="shared" ca="1" si="190"/>
        <v>-2205420678809958.8</v>
      </c>
      <c r="J5442" s="444">
        <f t="array" ref="J5442">IFERROR(INDEX('Retirement Calculator'!K:K,MATCH('Lorri 401b'!N5442,'Retirement Calculator'!A:A,0),0),0)</f>
        <v>0</v>
      </c>
      <c r="K5442" s="444">
        <f t="shared" ca="1" si="188"/>
        <v>-9189252828374.8281</v>
      </c>
      <c r="L5442" s="444">
        <f t="shared" ca="1" si="189"/>
        <v>-2214609931638333.5</v>
      </c>
      <c r="M5442" s="460">
        <f t="shared" si="191"/>
        <v>0.05</v>
      </c>
      <c r="N5442" s="464">
        <f t="shared" si="192"/>
        <v>216682</v>
      </c>
    </row>
    <row r="5443" spans="7:14" ht="11.25" customHeight="1" x14ac:dyDescent="0.3">
      <c r="G5443" s="459"/>
      <c r="H5443" s="459">
        <v>5436</v>
      </c>
      <c r="I5443" s="444">
        <f t="shared" ca="1" si="190"/>
        <v>-2214609931638333.5</v>
      </c>
      <c r="J5443" s="444">
        <f t="array" ref="J5443">IFERROR(INDEX('Retirement Calculator'!K:K,MATCH('Lorri 401b'!N5443,'Retirement Calculator'!A:A,0),0),0)</f>
        <v>0</v>
      </c>
      <c r="K5443" s="444">
        <f t="shared" ca="1" si="188"/>
        <v>-9227541381826.3887</v>
      </c>
      <c r="L5443" s="444">
        <f t="shared" ca="1" si="189"/>
        <v>-2223837473020160</v>
      </c>
      <c r="M5443" s="460">
        <f t="shared" si="191"/>
        <v>0.05</v>
      </c>
      <c r="N5443" s="464">
        <f t="shared" si="192"/>
        <v>216712</v>
      </c>
    </row>
    <row r="5444" spans="7:14" ht="11.25" customHeight="1" x14ac:dyDescent="0.3">
      <c r="G5444" s="459"/>
      <c r="H5444" s="459">
        <v>5437</v>
      </c>
      <c r="I5444" s="444">
        <f t="shared" ca="1" si="190"/>
        <v>-2223837473020160</v>
      </c>
      <c r="J5444" s="444">
        <f t="array" ref="J5444">IFERROR(INDEX('Retirement Calculator'!K:K,MATCH('Lorri 401b'!N5444,'Retirement Calculator'!A:A,0),0),0)</f>
        <v>0</v>
      </c>
      <c r="K5444" s="444">
        <f t="shared" ca="1" si="188"/>
        <v>-9265989470917.334</v>
      </c>
      <c r="L5444" s="444">
        <f t="shared" ca="1" si="189"/>
        <v>-2233103462491077.3</v>
      </c>
      <c r="M5444" s="460">
        <f t="shared" si="191"/>
        <v>0.05</v>
      </c>
      <c r="N5444" s="464">
        <f t="shared" si="192"/>
        <v>216743</v>
      </c>
    </row>
    <row r="5445" spans="7:14" ht="11.25" customHeight="1" x14ac:dyDescent="0.3">
      <c r="G5445" s="459"/>
      <c r="H5445" s="459">
        <v>5438</v>
      </c>
      <c r="I5445" s="444">
        <f t="shared" ca="1" si="190"/>
        <v>-2233103462491077.3</v>
      </c>
      <c r="J5445" s="444">
        <f t="array" ref="J5445">IFERROR(INDEX('Retirement Calculator'!K:K,MATCH('Lorri 401b'!N5445,'Retirement Calculator'!A:A,0),0),0)</f>
        <v>0</v>
      </c>
      <c r="K5445" s="444">
        <f t="shared" ca="1" si="188"/>
        <v>-9304597760379.4902</v>
      </c>
      <c r="L5445" s="444">
        <f t="shared" ca="1" si="189"/>
        <v>-2242408060251456.8</v>
      </c>
      <c r="M5445" s="460">
        <f t="shared" si="191"/>
        <v>0.05</v>
      </c>
      <c r="N5445" s="464">
        <f t="shared" si="192"/>
        <v>216773</v>
      </c>
    </row>
    <row r="5446" spans="7:14" ht="11.25" customHeight="1" x14ac:dyDescent="0.3">
      <c r="G5446" s="459"/>
      <c r="H5446" s="459">
        <v>5439</v>
      </c>
      <c r="I5446" s="444">
        <f t="shared" ca="1" si="190"/>
        <v>-2242408060251456.8</v>
      </c>
      <c r="J5446" s="444">
        <f t="array" ref="J5446">IFERROR(INDEX('Retirement Calculator'!K:K,MATCH('Lorri 401b'!N5446,'Retirement Calculator'!A:A,0),0),0)</f>
        <v>0</v>
      </c>
      <c r="K5446" s="444">
        <f t="shared" ca="1" si="188"/>
        <v>-9343366917714.4043</v>
      </c>
      <c r="L5446" s="444">
        <f t="shared" ca="1" si="189"/>
        <v>-2251751427169171.3</v>
      </c>
      <c r="M5446" s="460">
        <f t="shared" si="191"/>
        <v>0.05</v>
      </c>
      <c r="N5446" s="464">
        <f t="shared" si="192"/>
        <v>216804</v>
      </c>
    </row>
    <row r="5447" spans="7:14" ht="11.25" customHeight="1" x14ac:dyDescent="0.3">
      <c r="G5447" s="459"/>
      <c r="H5447" s="459">
        <v>5440</v>
      </c>
      <c r="I5447" s="444">
        <f t="shared" ca="1" si="190"/>
        <v>-2251751427169171.3</v>
      </c>
      <c r="J5447" s="444">
        <f t="array" ref="J5447">IFERROR(INDEX('Retirement Calculator'!K:K,MATCH('Lorri 401b'!N5447,'Retirement Calculator'!A:A,0),0),0)</f>
        <v>0</v>
      </c>
      <c r="K5447" s="444">
        <f t="shared" ca="1" si="188"/>
        <v>-9382297613204.8809</v>
      </c>
      <c r="L5447" s="444">
        <f t="shared" ca="1" si="189"/>
        <v>-2261133724782376</v>
      </c>
      <c r="M5447" s="460">
        <f t="shared" si="191"/>
        <v>0.05</v>
      </c>
      <c r="N5447" s="464">
        <f t="shared" si="192"/>
        <v>216835</v>
      </c>
    </row>
    <row r="5448" spans="7:14" ht="11.25" customHeight="1" x14ac:dyDescent="0.3">
      <c r="G5448" s="459"/>
      <c r="H5448" s="459">
        <v>5441</v>
      </c>
      <c r="I5448" s="444">
        <f t="shared" ca="1" si="190"/>
        <v>-2261133724782376</v>
      </c>
      <c r="J5448" s="444">
        <f t="array" ref="J5448">IFERROR(INDEX('Retirement Calculator'!K:K,MATCH('Lorri 401b'!N5448,'Retirement Calculator'!A:A,0),0),0)</f>
        <v>0</v>
      </c>
      <c r="K5448" s="444">
        <f t="shared" ca="1" si="188"/>
        <v>-9421390519926.5664</v>
      </c>
      <c r="L5448" s="444">
        <f t="shared" ca="1" si="189"/>
        <v>-2270555115302302.5</v>
      </c>
      <c r="M5448" s="460">
        <f t="shared" si="191"/>
        <v>0.05</v>
      </c>
      <c r="N5448" s="464">
        <f t="shared" si="192"/>
        <v>216865</v>
      </c>
    </row>
    <row r="5449" spans="7:14" ht="11.25" customHeight="1" x14ac:dyDescent="0.3">
      <c r="G5449" s="459"/>
      <c r="H5449" s="459">
        <v>5442</v>
      </c>
      <c r="I5449" s="444">
        <f t="shared" ca="1" si="190"/>
        <v>-2270555115302302.5</v>
      </c>
      <c r="J5449" s="444">
        <f t="array" ref="J5449">IFERROR(INDEX('Retirement Calculator'!K:K,MATCH('Lorri 401b'!N5449,'Retirement Calculator'!A:A,0),0),0)</f>
        <v>0</v>
      </c>
      <c r="K5449" s="444">
        <f t="shared" ca="1" si="188"/>
        <v>-9460646313759.5938</v>
      </c>
      <c r="L5449" s="444">
        <f t="shared" ca="1" si="189"/>
        <v>-2280015761616062</v>
      </c>
      <c r="M5449" s="460">
        <f t="shared" si="191"/>
        <v>0.05</v>
      </c>
      <c r="N5449" s="464">
        <f t="shared" si="192"/>
        <v>216896</v>
      </c>
    </row>
    <row r="5450" spans="7:14" ht="11.25" customHeight="1" x14ac:dyDescent="0.3">
      <c r="G5450" s="459"/>
      <c r="H5450" s="459">
        <v>5443</v>
      </c>
      <c r="I5450" s="444">
        <f t="shared" ca="1" si="190"/>
        <v>-2280015761616062</v>
      </c>
      <c r="J5450" s="444">
        <f t="array" ref="J5450">IFERROR(INDEX('Retirement Calculator'!K:K,MATCH('Lorri 401b'!N5450,'Retirement Calculator'!A:A,0),0),0)</f>
        <v>0</v>
      </c>
      <c r="K5450" s="444">
        <f t="shared" ca="1" si="188"/>
        <v>-9500065673400.2578</v>
      </c>
      <c r="L5450" s="444">
        <f t="shared" ca="1" si="189"/>
        <v>-2289515827289462.5</v>
      </c>
      <c r="M5450" s="460">
        <f t="shared" si="191"/>
        <v>0.05</v>
      </c>
      <c r="N5450" s="464">
        <f t="shared" si="192"/>
        <v>216926</v>
      </c>
    </row>
    <row r="5451" spans="7:14" ht="11.25" customHeight="1" x14ac:dyDescent="0.3">
      <c r="G5451" s="459"/>
      <c r="H5451" s="459">
        <v>5444</v>
      </c>
      <c r="I5451" s="444">
        <f t="shared" ca="1" si="190"/>
        <v>-2289515827289462.5</v>
      </c>
      <c r="J5451" s="444">
        <f t="array" ref="J5451">IFERROR(INDEX('Retirement Calculator'!K:K,MATCH('Lorri 401b'!N5451,'Retirement Calculator'!A:A,0),0),0)</f>
        <v>0</v>
      </c>
      <c r="K5451" s="444">
        <f t="shared" ca="1" si="188"/>
        <v>-9539649280372.7598</v>
      </c>
      <c r="L5451" s="444">
        <f t="shared" ca="1" si="189"/>
        <v>-2299055476569835.5</v>
      </c>
      <c r="M5451" s="460">
        <f t="shared" si="191"/>
        <v>0.05</v>
      </c>
      <c r="N5451" s="464">
        <f t="shared" si="192"/>
        <v>216957</v>
      </c>
    </row>
    <row r="5452" spans="7:14" ht="11.25" customHeight="1" x14ac:dyDescent="0.3">
      <c r="G5452" s="459"/>
      <c r="H5452" s="459">
        <v>5445</v>
      </c>
      <c r="I5452" s="444">
        <f t="shared" ca="1" si="190"/>
        <v>-2299055476569835.5</v>
      </c>
      <c r="J5452" s="444">
        <f t="array" ref="J5452">IFERROR(INDEX('Retirement Calculator'!K:K,MATCH('Lorri 401b'!N5452,'Retirement Calculator'!A:A,0),0),0)</f>
        <v>0</v>
      </c>
      <c r="K5452" s="444">
        <f t="shared" ca="1" si="188"/>
        <v>-9579397819040.9805</v>
      </c>
      <c r="L5452" s="444">
        <f t="shared" ca="1" si="189"/>
        <v>-2308634874388876.5</v>
      </c>
      <c r="M5452" s="460">
        <f t="shared" si="191"/>
        <v>0.05</v>
      </c>
      <c r="N5452" s="464">
        <f t="shared" si="192"/>
        <v>216988</v>
      </c>
    </row>
    <row r="5453" spans="7:14" ht="11.25" customHeight="1" x14ac:dyDescent="0.3">
      <c r="G5453" s="459"/>
      <c r="H5453" s="459">
        <v>5446</v>
      </c>
      <c r="I5453" s="444">
        <f t="shared" ca="1" si="190"/>
        <v>-2308634874388876.5</v>
      </c>
      <c r="J5453" s="444">
        <f t="array" ref="J5453">IFERROR(INDEX('Retirement Calculator'!K:K,MATCH('Lorri 401b'!N5453,'Retirement Calculator'!A:A,0),0),0)</f>
        <v>0</v>
      </c>
      <c r="K5453" s="444">
        <f t="shared" ca="1" si="188"/>
        <v>-9619311976620.3184</v>
      </c>
      <c r="L5453" s="444">
        <f t="shared" ca="1" si="189"/>
        <v>-2318254186365497</v>
      </c>
      <c r="M5453" s="460">
        <f t="shared" si="191"/>
        <v>0.05</v>
      </c>
      <c r="N5453" s="464">
        <f t="shared" si="192"/>
        <v>217016</v>
      </c>
    </row>
    <row r="5454" spans="7:14" ht="11.25" customHeight="1" x14ac:dyDescent="0.3">
      <c r="G5454" s="459"/>
      <c r="H5454" s="459">
        <v>5447</v>
      </c>
      <c r="I5454" s="444">
        <f t="shared" ca="1" si="190"/>
        <v>-2318254186365497</v>
      </c>
      <c r="J5454" s="444">
        <f t="array" ref="J5454">IFERROR(INDEX('Retirement Calculator'!K:K,MATCH('Lorri 401b'!N5454,'Retirement Calculator'!A:A,0),0),0)</f>
        <v>0</v>
      </c>
      <c r="K5454" s="444">
        <f t="shared" ca="1" si="188"/>
        <v>-9659392443189.5703</v>
      </c>
      <c r="L5454" s="444">
        <f t="shared" ca="1" si="189"/>
        <v>-2327913578808686.5</v>
      </c>
      <c r="M5454" s="460">
        <f t="shared" si="191"/>
        <v>0.05</v>
      </c>
      <c r="N5454" s="464">
        <f t="shared" si="192"/>
        <v>217047</v>
      </c>
    </row>
    <row r="5455" spans="7:14" ht="11.25" customHeight="1" x14ac:dyDescent="0.3">
      <c r="G5455" s="459"/>
      <c r="H5455" s="459">
        <v>5448</v>
      </c>
      <c r="I5455" s="444">
        <f t="shared" ca="1" si="190"/>
        <v>-2327913578808686.5</v>
      </c>
      <c r="J5455" s="444">
        <f t="array" ref="J5455">IFERROR(INDEX('Retirement Calculator'!K:K,MATCH('Lorri 401b'!N5455,'Retirement Calculator'!A:A,0),0),0)</f>
        <v>0</v>
      </c>
      <c r="K5455" s="444">
        <f t="shared" ca="1" si="188"/>
        <v>-9699639911702.8594</v>
      </c>
      <c r="L5455" s="444">
        <f t="shared" ca="1" si="189"/>
        <v>-2337613218720389.5</v>
      </c>
      <c r="M5455" s="460">
        <f t="shared" si="191"/>
        <v>0.05</v>
      </c>
      <c r="N5455" s="464">
        <f t="shared" si="192"/>
        <v>217077</v>
      </c>
    </row>
    <row r="5456" spans="7:14" ht="11.25" customHeight="1" x14ac:dyDescent="0.3">
      <c r="G5456" s="459"/>
      <c r="H5456" s="459">
        <v>5449</v>
      </c>
      <c r="I5456" s="444">
        <f t="shared" ca="1" si="190"/>
        <v>-2337613218720389.5</v>
      </c>
      <c r="J5456" s="444">
        <f t="array" ref="J5456">IFERROR(INDEX('Retirement Calculator'!K:K,MATCH('Lorri 401b'!N5456,'Retirement Calculator'!A:A,0),0),0)</f>
        <v>0</v>
      </c>
      <c r="K5456" s="444">
        <f t="shared" ca="1" si="188"/>
        <v>-9740055078001.623</v>
      </c>
      <c r="L5456" s="444">
        <f t="shared" ca="1" si="189"/>
        <v>-2347353273798391</v>
      </c>
      <c r="M5456" s="460">
        <f t="shared" si="191"/>
        <v>0.05</v>
      </c>
      <c r="N5456" s="464">
        <f t="shared" si="192"/>
        <v>217108</v>
      </c>
    </row>
    <row r="5457" spans="7:14" ht="11.25" customHeight="1" x14ac:dyDescent="0.3">
      <c r="G5457" s="459"/>
      <c r="H5457" s="459">
        <v>5450</v>
      </c>
      <c r="I5457" s="444">
        <f t="shared" ca="1" si="190"/>
        <v>-2347353273798391</v>
      </c>
      <c r="J5457" s="444">
        <f t="array" ref="J5457">IFERROR(INDEX('Retirement Calculator'!K:K,MATCH('Lorri 401b'!N5457,'Retirement Calculator'!A:A,0),0),0)</f>
        <v>0</v>
      </c>
      <c r="K5457" s="444">
        <f t="shared" ca="1" si="188"/>
        <v>-9780638640826.6289</v>
      </c>
      <c r="L5457" s="444">
        <f t="shared" ca="1" si="189"/>
        <v>-2357133912439217.5</v>
      </c>
      <c r="M5457" s="460">
        <f t="shared" si="191"/>
        <v>0.05</v>
      </c>
      <c r="N5457" s="464">
        <f t="shared" si="192"/>
        <v>217138</v>
      </c>
    </row>
    <row r="5458" spans="7:14" ht="11.25" customHeight="1" x14ac:dyDescent="0.3">
      <c r="G5458" s="459"/>
      <c r="H5458" s="459">
        <v>5451</v>
      </c>
      <c r="I5458" s="444">
        <f t="shared" ca="1" si="190"/>
        <v>-2357133912439217.5</v>
      </c>
      <c r="J5458" s="444">
        <f t="array" ref="J5458">IFERROR(INDEX('Retirement Calculator'!K:K,MATCH('Lorri 401b'!N5458,'Retirement Calculator'!A:A,0),0),0)</f>
        <v>0</v>
      </c>
      <c r="K5458" s="444">
        <f t="shared" ca="1" si="188"/>
        <v>-9821391301830.0723</v>
      </c>
      <c r="L5458" s="444">
        <f t="shared" ca="1" si="189"/>
        <v>-2366955303741047.5</v>
      </c>
      <c r="M5458" s="460">
        <f t="shared" si="191"/>
        <v>0.05</v>
      </c>
      <c r="N5458" s="464">
        <f t="shared" si="192"/>
        <v>217169</v>
      </c>
    </row>
    <row r="5459" spans="7:14" ht="11.25" customHeight="1" x14ac:dyDescent="0.3">
      <c r="G5459" s="459"/>
      <c r="H5459" s="459">
        <v>5452</v>
      </c>
      <c r="I5459" s="444">
        <f t="shared" ca="1" si="190"/>
        <v>-2366955303741047.5</v>
      </c>
      <c r="J5459" s="444">
        <f t="array" ref="J5459">IFERROR(INDEX('Retirement Calculator'!K:K,MATCH('Lorri 401b'!N5459,'Retirement Calculator'!A:A,0),0),0)</f>
        <v>0</v>
      </c>
      <c r="K5459" s="444">
        <f t="shared" ca="1" si="188"/>
        <v>-9862313765587.6973</v>
      </c>
      <c r="L5459" s="444">
        <f t="shared" ca="1" si="189"/>
        <v>-2376817617506635</v>
      </c>
      <c r="M5459" s="460">
        <f t="shared" si="191"/>
        <v>0.05</v>
      </c>
      <c r="N5459" s="464">
        <f t="shared" si="192"/>
        <v>217200</v>
      </c>
    </row>
    <row r="5460" spans="7:14" ht="11.25" customHeight="1" x14ac:dyDescent="0.3">
      <c r="G5460" s="459"/>
      <c r="H5460" s="459">
        <v>5453</v>
      </c>
      <c r="I5460" s="444">
        <f t="shared" ca="1" si="190"/>
        <v>-2376817617506635</v>
      </c>
      <c r="J5460" s="444">
        <f t="array" ref="J5460">IFERROR(INDEX('Retirement Calculator'!K:K,MATCH('Lorri 401b'!N5460,'Retirement Calculator'!A:A,0),0),0)</f>
        <v>0</v>
      </c>
      <c r="K5460" s="444">
        <f t="shared" ca="1" si="188"/>
        <v>-9903406739610.9785</v>
      </c>
      <c r="L5460" s="444">
        <f t="shared" ca="1" si="189"/>
        <v>-2386721024246246</v>
      </c>
      <c r="M5460" s="460">
        <f t="shared" si="191"/>
        <v>0.05</v>
      </c>
      <c r="N5460" s="464">
        <f t="shared" si="192"/>
        <v>217230</v>
      </c>
    </row>
    <row r="5461" spans="7:14" ht="11.25" customHeight="1" x14ac:dyDescent="0.3">
      <c r="G5461" s="459"/>
      <c r="H5461" s="459">
        <v>5454</v>
      </c>
      <c r="I5461" s="444">
        <f t="shared" ca="1" si="190"/>
        <v>-2386721024246246</v>
      </c>
      <c r="J5461" s="444">
        <f t="array" ref="J5461">IFERROR(INDEX('Retirement Calculator'!K:K,MATCH('Lorri 401b'!N5461,'Retirement Calculator'!A:A,0),0),0)</f>
        <v>0</v>
      </c>
      <c r="K5461" s="444">
        <f t="shared" ca="1" si="188"/>
        <v>-9944670934359.3574</v>
      </c>
      <c r="L5461" s="444">
        <f t="shared" ca="1" si="189"/>
        <v>-2396665695180605.5</v>
      </c>
      <c r="M5461" s="460">
        <f t="shared" si="191"/>
        <v>0.05</v>
      </c>
      <c r="N5461" s="464">
        <f t="shared" si="192"/>
        <v>217261</v>
      </c>
    </row>
    <row r="5462" spans="7:14" ht="11.25" customHeight="1" x14ac:dyDescent="0.3">
      <c r="G5462" s="459"/>
      <c r="H5462" s="459">
        <v>5455</v>
      </c>
      <c r="I5462" s="444">
        <f t="shared" ca="1" si="190"/>
        <v>-2396665695180605.5</v>
      </c>
      <c r="J5462" s="444">
        <f t="array" ref="J5462">IFERROR(INDEX('Retirement Calculator'!K:K,MATCH('Lorri 401b'!N5462,'Retirement Calculator'!A:A,0),0),0)</f>
        <v>0</v>
      </c>
      <c r="K5462" s="444">
        <f t="shared" ca="1" si="188"/>
        <v>-9986107063252.5234</v>
      </c>
      <c r="L5462" s="444">
        <f t="shared" ca="1" si="189"/>
        <v>-2406651802243858</v>
      </c>
      <c r="M5462" s="460">
        <f t="shared" si="191"/>
        <v>0.05</v>
      </c>
      <c r="N5462" s="464">
        <f t="shared" si="192"/>
        <v>217291</v>
      </c>
    </row>
    <row r="5463" spans="7:14" ht="11.25" customHeight="1" x14ac:dyDescent="0.3">
      <c r="G5463" s="459"/>
      <c r="H5463" s="459">
        <v>5456</v>
      </c>
      <c r="I5463" s="444">
        <f t="shared" ca="1" si="190"/>
        <v>-2406651802243858</v>
      </c>
      <c r="J5463" s="444">
        <f t="array" ref="J5463">IFERROR(INDEX('Retirement Calculator'!K:K,MATCH('Lorri 401b'!N5463,'Retirement Calculator'!A:A,0),0),0)</f>
        <v>0</v>
      </c>
      <c r="K5463" s="444">
        <f t="shared" ca="1" si="188"/>
        <v>-10027715842682.742</v>
      </c>
      <c r="L5463" s="444">
        <f t="shared" ca="1" si="189"/>
        <v>-2416679518086540.5</v>
      </c>
      <c r="M5463" s="460">
        <f t="shared" si="191"/>
        <v>0.05</v>
      </c>
      <c r="N5463" s="464">
        <f t="shared" si="192"/>
        <v>217322</v>
      </c>
    </row>
    <row r="5464" spans="7:14" ht="11.25" customHeight="1" x14ac:dyDescent="0.3">
      <c r="G5464" s="459"/>
      <c r="H5464" s="459">
        <v>5457</v>
      </c>
      <c r="I5464" s="444">
        <f t="shared" ca="1" si="190"/>
        <v>-2416679518086540.5</v>
      </c>
      <c r="J5464" s="444">
        <f t="array" ref="J5464">IFERROR(INDEX('Retirement Calculator'!K:K,MATCH('Lorri 401b'!N5464,'Retirement Calculator'!A:A,0),0),0)</f>
        <v>0</v>
      </c>
      <c r="K5464" s="444">
        <f t="shared" ca="1" si="188"/>
        <v>-10069497992027.252</v>
      </c>
      <c r="L5464" s="444">
        <f t="shared" ca="1" si="189"/>
        <v>-2426749016078568</v>
      </c>
      <c r="M5464" s="460">
        <f t="shared" si="191"/>
        <v>0.05</v>
      </c>
      <c r="N5464" s="464">
        <f t="shared" si="192"/>
        <v>217353</v>
      </c>
    </row>
    <row r="5465" spans="7:14" ht="11.25" customHeight="1" x14ac:dyDescent="0.3">
      <c r="G5465" s="459"/>
      <c r="H5465" s="459">
        <v>5458</v>
      </c>
      <c r="I5465" s="444">
        <f t="shared" ca="1" si="190"/>
        <v>-2426749016078568</v>
      </c>
      <c r="J5465" s="444">
        <f t="array" ref="J5465">IFERROR(INDEX('Retirement Calculator'!K:K,MATCH('Lorri 401b'!N5465,'Retirement Calculator'!A:A,0),0),0)</f>
        <v>0</v>
      </c>
      <c r="K5465" s="444">
        <f t="shared" ca="1" si="188"/>
        <v>-10111454233660.699</v>
      </c>
      <c r="L5465" s="444">
        <f t="shared" ca="1" si="189"/>
        <v>-2436860470312228.5</v>
      </c>
      <c r="M5465" s="460">
        <f t="shared" si="191"/>
        <v>0.05</v>
      </c>
      <c r="N5465" s="464">
        <f t="shared" si="192"/>
        <v>217381</v>
      </c>
    </row>
    <row r="5466" spans="7:14" ht="11.25" customHeight="1" x14ac:dyDescent="0.3">
      <c r="G5466" s="459"/>
      <c r="H5466" s="459">
        <v>5459</v>
      </c>
      <c r="I5466" s="444">
        <f t="shared" ca="1" si="190"/>
        <v>-2436860470312228.5</v>
      </c>
      <c r="J5466" s="444">
        <f t="array" ref="J5466">IFERROR(INDEX('Retirement Calculator'!K:K,MATCH('Lorri 401b'!N5466,'Retirement Calculator'!A:A,0),0),0)</f>
        <v>0</v>
      </c>
      <c r="K5466" s="444">
        <f t="shared" ca="1" si="188"/>
        <v>-10153585292967.619</v>
      </c>
      <c r="L5466" s="444">
        <f t="shared" ca="1" si="189"/>
        <v>-2447014055605196</v>
      </c>
      <c r="M5466" s="460">
        <f t="shared" si="191"/>
        <v>0.05</v>
      </c>
      <c r="N5466" s="464">
        <f t="shared" si="192"/>
        <v>217412</v>
      </c>
    </row>
    <row r="5467" spans="7:14" ht="11.25" customHeight="1" x14ac:dyDescent="0.3">
      <c r="G5467" s="459"/>
      <c r="H5467" s="459">
        <v>5460</v>
      </c>
      <c r="I5467" s="444">
        <f t="shared" ca="1" si="190"/>
        <v>-2447014055605196</v>
      </c>
      <c r="J5467" s="444">
        <f t="array" ref="J5467">IFERROR(INDEX('Retirement Calculator'!K:K,MATCH('Lorri 401b'!N5467,'Retirement Calculator'!A:A,0),0),0)</f>
        <v>0</v>
      </c>
      <c r="K5467" s="444">
        <f t="shared" ca="1" si="188"/>
        <v>-10195891898354.982</v>
      </c>
      <c r="L5467" s="444">
        <f t="shared" ca="1" si="189"/>
        <v>-2457209947503551</v>
      </c>
      <c r="M5467" s="460">
        <f t="shared" si="191"/>
        <v>0.05</v>
      </c>
      <c r="N5467" s="464">
        <f t="shared" si="192"/>
        <v>217442</v>
      </c>
    </row>
    <row r="5468" spans="7:14" ht="11.25" customHeight="1" x14ac:dyDescent="0.3">
      <c r="G5468" s="459"/>
      <c r="H5468" s="459">
        <v>5461</v>
      </c>
      <c r="I5468" s="444">
        <f t="shared" ca="1" si="190"/>
        <v>-2457209947503551</v>
      </c>
      <c r="J5468" s="444">
        <f t="array" ref="J5468">IFERROR(INDEX('Retirement Calculator'!K:K,MATCH('Lorri 401b'!N5468,'Retirement Calculator'!A:A,0),0),0)</f>
        <v>0</v>
      </c>
      <c r="K5468" s="444">
        <f t="shared" ca="1" si="188"/>
        <v>-10238374781264.795</v>
      </c>
      <c r="L5468" s="444">
        <f t="shared" ca="1" si="189"/>
        <v>-2467448322284816</v>
      </c>
      <c r="M5468" s="460">
        <f t="shared" si="191"/>
        <v>0.05</v>
      </c>
      <c r="N5468" s="464">
        <f t="shared" si="192"/>
        <v>217473</v>
      </c>
    </row>
    <row r="5469" spans="7:14" ht="11.25" customHeight="1" x14ac:dyDescent="0.3">
      <c r="G5469" s="459"/>
      <c r="H5469" s="459">
        <v>5462</v>
      </c>
      <c r="I5469" s="444">
        <f t="shared" ca="1" si="190"/>
        <v>-2467448322284816</v>
      </c>
      <c r="J5469" s="444">
        <f t="array" ref="J5469">IFERROR(INDEX('Retirement Calculator'!K:K,MATCH('Lorri 401b'!N5469,'Retirement Calculator'!A:A,0),0),0)</f>
        <v>0</v>
      </c>
      <c r="K5469" s="444">
        <f t="shared" ca="1" si="188"/>
        <v>-10281034676186.732</v>
      </c>
      <c r="L5469" s="444">
        <f t="shared" ca="1" si="189"/>
        <v>-2477729356961002.5</v>
      </c>
      <c r="M5469" s="460">
        <f t="shared" si="191"/>
        <v>0.05</v>
      </c>
      <c r="N5469" s="464">
        <f t="shared" si="192"/>
        <v>217503</v>
      </c>
    </row>
    <row r="5470" spans="7:14" ht="11.25" customHeight="1" x14ac:dyDescent="0.3">
      <c r="G5470" s="459"/>
      <c r="H5470" s="459">
        <v>5463</v>
      </c>
      <c r="I5470" s="444">
        <f t="shared" ca="1" si="190"/>
        <v>-2477729356961002.5</v>
      </c>
      <c r="J5470" s="444">
        <f t="array" ref="J5470">IFERROR(INDEX('Retirement Calculator'!K:K,MATCH('Lorri 401b'!N5470,'Retirement Calculator'!A:A,0),0),0)</f>
        <v>0</v>
      </c>
      <c r="K5470" s="444">
        <f t="shared" ca="1" si="188"/>
        <v>-10323872320670.844</v>
      </c>
      <c r="L5470" s="444">
        <f t="shared" ca="1" si="189"/>
        <v>-2488053229281673.5</v>
      </c>
      <c r="M5470" s="460">
        <f t="shared" si="191"/>
        <v>0.05</v>
      </c>
      <c r="N5470" s="464">
        <f t="shared" si="192"/>
        <v>217534</v>
      </c>
    </row>
    <row r="5471" spans="7:14" ht="11.25" customHeight="1" x14ac:dyDescent="0.3">
      <c r="G5471" s="459"/>
      <c r="H5471" s="459">
        <v>5464</v>
      </c>
      <c r="I5471" s="444">
        <f t="shared" ca="1" si="190"/>
        <v>-2488053229281673.5</v>
      </c>
      <c r="J5471" s="444">
        <f t="array" ref="J5471">IFERROR(INDEX('Retirement Calculator'!K:K,MATCH('Lorri 401b'!N5471,'Retirement Calculator'!A:A,0),0),0)</f>
        <v>0</v>
      </c>
      <c r="K5471" s="444">
        <f t="shared" ca="1" si="188"/>
        <v>-10366888455340.307</v>
      </c>
      <c r="L5471" s="444">
        <f t="shared" ca="1" si="189"/>
        <v>-2498420117737014</v>
      </c>
      <c r="M5471" s="460">
        <f t="shared" si="191"/>
        <v>0.05</v>
      </c>
      <c r="N5471" s="464">
        <f t="shared" si="192"/>
        <v>217565</v>
      </c>
    </row>
    <row r="5472" spans="7:14" ht="11.25" customHeight="1" x14ac:dyDescent="0.3">
      <c r="G5472" s="459"/>
      <c r="H5472" s="459">
        <v>5465</v>
      </c>
      <c r="I5472" s="444">
        <f t="shared" ca="1" si="190"/>
        <v>-2498420117737014</v>
      </c>
      <c r="J5472" s="444">
        <f t="array" ref="J5472">IFERROR(INDEX('Retirement Calculator'!K:K,MATCH('Lorri 401b'!N5472,'Retirement Calculator'!A:A,0),0),0)</f>
        <v>0</v>
      </c>
      <c r="K5472" s="444">
        <f t="shared" ca="1" si="188"/>
        <v>-10410083823904.225</v>
      </c>
      <c r="L5472" s="444">
        <f t="shared" ca="1" si="189"/>
        <v>-2508830201560918</v>
      </c>
      <c r="M5472" s="460">
        <f t="shared" si="191"/>
        <v>0.05</v>
      </c>
      <c r="N5472" s="464">
        <f t="shared" si="192"/>
        <v>217595</v>
      </c>
    </row>
    <row r="5473" spans="7:14" ht="11.25" customHeight="1" x14ac:dyDescent="0.3">
      <c r="G5473" s="459"/>
      <c r="H5473" s="459">
        <v>5466</v>
      </c>
      <c r="I5473" s="444">
        <f t="shared" ca="1" si="190"/>
        <v>-2508830201560918</v>
      </c>
      <c r="J5473" s="444">
        <f t="array" ref="J5473">IFERROR(INDEX('Retirement Calculator'!K:K,MATCH('Lorri 401b'!N5473,'Retirement Calculator'!A:A,0),0),0)</f>
        <v>0</v>
      </c>
      <c r="K5473" s="444">
        <f t="shared" ca="1" si="188"/>
        <v>-10453459173170.492</v>
      </c>
      <c r="L5473" s="444">
        <f t="shared" ca="1" si="189"/>
        <v>-2519283660734088.5</v>
      </c>
      <c r="M5473" s="460">
        <f t="shared" si="191"/>
        <v>0.05</v>
      </c>
      <c r="N5473" s="464">
        <f t="shared" si="192"/>
        <v>217626</v>
      </c>
    </row>
    <row r="5474" spans="7:14" ht="11.25" customHeight="1" x14ac:dyDescent="0.3">
      <c r="G5474" s="459"/>
      <c r="H5474" s="459">
        <v>5467</v>
      </c>
      <c r="I5474" s="444">
        <f t="shared" ca="1" si="190"/>
        <v>-2519283660734088.5</v>
      </c>
      <c r="J5474" s="444">
        <f t="array" ref="J5474">IFERROR(INDEX('Retirement Calculator'!K:K,MATCH('Lorri 401b'!N5474,'Retirement Calculator'!A:A,0),0),0)</f>
        <v>0</v>
      </c>
      <c r="K5474" s="444">
        <f t="shared" ca="1" si="188"/>
        <v>-10497015253058.701</v>
      </c>
      <c r="L5474" s="444">
        <f t="shared" ca="1" si="189"/>
        <v>-2529780675987147</v>
      </c>
      <c r="M5474" s="460">
        <f t="shared" si="191"/>
        <v>0.05</v>
      </c>
      <c r="N5474" s="464">
        <f t="shared" si="192"/>
        <v>217656</v>
      </c>
    </row>
    <row r="5475" spans="7:14" ht="11.25" customHeight="1" x14ac:dyDescent="0.3">
      <c r="G5475" s="459"/>
      <c r="H5475" s="459">
        <v>5468</v>
      </c>
      <c r="I5475" s="444">
        <f t="shared" ca="1" si="190"/>
        <v>-2529780675987147</v>
      </c>
      <c r="J5475" s="444">
        <f t="array" ref="J5475">IFERROR(INDEX('Retirement Calculator'!K:K,MATCH('Lorri 401b'!N5475,'Retirement Calculator'!A:A,0),0),0)</f>
        <v>0</v>
      </c>
      <c r="K5475" s="444">
        <f t="shared" ca="1" si="188"/>
        <v>-10540752816613.113</v>
      </c>
      <c r="L5475" s="444">
        <f t="shared" ca="1" si="189"/>
        <v>-2540321428803760</v>
      </c>
      <c r="M5475" s="460">
        <f t="shared" si="191"/>
        <v>0.05</v>
      </c>
      <c r="N5475" s="464">
        <f t="shared" si="192"/>
        <v>217687</v>
      </c>
    </row>
    <row r="5476" spans="7:14" ht="11.25" customHeight="1" x14ac:dyDescent="0.3">
      <c r="G5476" s="459"/>
      <c r="H5476" s="459">
        <v>5469</v>
      </c>
      <c r="I5476" s="444">
        <f t="shared" ca="1" si="190"/>
        <v>-2540321428803760</v>
      </c>
      <c r="J5476" s="444">
        <f t="array" ref="J5476">IFERROR(INDEX('Retirement Calculator'!K:K,MATCH('Lorri 401b'!N5476,'Retirement Calculator'!A:A,0),0),0)</f>
        <v>0</v>
      </c>
      <c r="K5476" s="444">
        <f t="shared" ca="1" si="188"/>
        <v>-10584672620015.666</v>
      </c>
      <c r="L5476" s="444">
        <f t="shared" ca="1" si="189"/>
        <v>-2550906101423775.5</v>
      </c>
      <c r="M5476" s="460">
        <f t="shared" si="191"/>
        <v>0.05</v>
      </c>
      <c r="N5476" s="464">
        <f t="shared" si="192"/>
        <v>217718</v>
      </c>
    </row>
    <row r="5477" spans="7:14" ht="11.25" customHeight="1" x14ac:dyDescent="0.3">
      <c r="G5477" s="459"/>
      <c r="H5477" s="459">
        <v>5470</v>
      </c>
      <c r="I5477" s="444">
        <f t="shared" ca="1" si="190"/>
        <v>-2550906101423775.5</v>
      </c>
      <c r="J5477" s="444">
        <f t="array" ref="J5477">IFERROR(INDEX('Retirement Calculator'!K:K,MATCH('Lorri 401b'!N5477,'Retirement Calculator'!A:A,0),0),0)</f>
        <v>0</v>
      </c>
      <c r="K5477" s="444">
        <f t="shared" ca="1" si="188"/>
        <v>-10628775422599.064</v>
      </c>
      <c r="L5477" s="444">
        <f t="shared" ca="1" si="189"/>
        <v>-2561534876846374.5</v>
      </c>
      <c r="M5477" s="460">
        <f t="shared" si="191"/>
        <v>0.05</v>
      </c>
      <c r="N5477" s="464">
        <f t="shared" si="192"/>
        <v>217747</v>
      </c>
    </row>
    <row r="5478" spans="7:14" ht="11.25" customHeight="1" x14ac:dyDescent="0.3">
      <c r="G5478" s="459"/>
      <c r="H5478" s="459">
        <v>5471</v>
      </c>
      <c r="I5478" s="444">
        <f t="shared" ca="1" si="190"/>
        <v>-2561534876846374.5</v>
      </c>
      <c r="J5478" s="444">
        <f t="array" ref="J5478">IFERROR(INDEX('Retirement Calculator'!K:K,MATCH('Lorri 401b'!N5478,'Retirement Calculator'!A:A,0),0),0)</f>
        <v>0</v>
      </c>
      <c r="K5478" s="444">
        <f t="shared" ca="1" si="188"/>
        <v>-10673061986859.895</v>
      </c>
      <c r="L5478" s="444">
        <f t="shared" ca="1" si="189"/>
        <v>-2572207938833234.5</v>
      </c>
      <c r="M5478" s="460">
        <f t="shared" si="191"/>
        <v>0.05</v>
      </c>
      <c r="N5478" s="464">
        <f t="shared" si="192"/>
        <v>217778</v>
      </c>
    </row>
    <row r="5479" spans="7:14" ht="11.25" customHeight="1" x14ac:dyDescent="0.3">
      <c r="G5479" s="459"/>
      <c r="H5479" s="459">
        <v>5472</v>
      </c>
      <c r="I5479" s="444">
        <f t="shared" ca="1" si="190"/>
        <v>-2572207938833234.5</v>
      </c>
      <c r="J5479" s="444">
        <f t="array" ref="J5479">IFERROR(INDEX('Retirement Calculator'!K:K,MATCH('Lorri 401b'!N5479,'Retirement Calculator'!A:A,0),0),0)</f>
        <v>0</v>
      </c>
      <c r="K5479" s="444">
        <f t="shared" ca="1" si="188"/>
        <v>-10717533078471.811</v>
      </c>
      <c r="L5479" s="444">
        <f t="shared" ca="1" si="189"/>
        <v>-2582925471911706.5</v>
      </c>
      <c r="M5479" s="460">
        <f t="shared" si="191"/>
        <v>0.05</v>
      </c>
      <c r="N5479" s="464">
        <f t="shared" si="192"/>
        <v>217808</v>
      </c>
    </row>
    <row r="5480" spans="7:14" ht="11.25" customHeight="1" x14ac:dyDescent="0.3">
      <c r="G5480" s="459"/>
      <c r="H5480" s="459">
        <v>5473</v>
      </c>
      <c r="I5480" s="444">
        <f t="shared" ca="1" si="190"/>
        <v>-2582925471911706.5</v>
      </c>
      <c r="J5480" s="444">
        <f t="array" ref="J5480">IFERROR(INDEX('Retirement Calculator'!K:K,MATCH('Lorri 401b'!N5480,'Retirement Calculator'!A:A,0),0),0)</f>
        <v>0</v>
      </c>
      <c r="K5480" s="444">
        <f t="shared" ca="1" si="188"/>
        <v>-10762189466298.777</v>
      </c>
      <c r="L5480" s="444">
        <f t="shared" ca="1" si="189"/>
        <v>-2593687661378005.5</v>
      </c>
      <c r="M5480" s="460">
        <f t="shared" si="191"/>
        <v>0.05</v>
      </c>
      <c r="N5480" s="464">
        <f t="shared" si="192"/>
        <v>217839</v>
      </c>
    </row>
    <row r="5481" spans="7:14" ht="11.25" customHeight="1" x14ac:dyDescent="0.3">
      <c r="G5481" s="459"/>
      <c r="H5481" s="459">
        <v>5474</v>
      </c>
      <c r="I5481" s="444">
        <f t="shared" ca="1" si="190"/>
        <v>-2593687661378005.5</v>
      </c>
      <c r="J5481" s="444">
        <f t="array" ref="J5481">IFERROR(INDEX('Retirement Calculator'!K:K,MATCH('Lorri 401b'!N5481,'Retirement Calculator'!A:A,0),0),0)</f>
        <v>0</v>
      </c>
      <c r="K5481" s="444">
        <f t="shared" ca="1" si="188"/>
        <v>-10807031922408.355</v>
      </c>
      <c r="L5481" s="444">
        <f t="shared" ca="1" si="189"/>
        <v>-2604494693300414</v>
      </c>
      <c r="M5481" s="460">
        <f t="shared" si="191"/>
        <v>0.05</v>
      </c>
      <c r="N5481" s="464">
        <f t="shared" si="192"/>
        <v>217869</v>
      </c>
    </row>
    <row r="5482" spans="7:14" ht="11.25" customHeight="1" x14ac:dyDescent="0.3">
      <c r="G5482" s="459"/>
      <c r="H5482" s="459">
        <v>5475</v>
      </c>
      <c r="I5482" s="444">
        <f t="shared" ca="1" si="190"/>
        <v>-2604494693300414</v>
      </c>
      <c r="J5482" s="444">
        <f t="array" ref="J5482">IFERROR(INDEX('Retirement Calculator'!K:K,MATCH('Lorri 401b'!N5482,'Retirement Calculator'!A:A,0),0),0)</f>
        <v>0</v>
      </c>
      <c r="K5482" s="444">
        <f t="shared" ca="1" si="188"/>
        <v>-10852061222085.059</v>
      </c>
      <c r="L5482" s="444">
        <f t="shared" ca="1" si="189"/>
        <v>-2615346754522499</v>
      </c>
      <c r="M5482" s="460">
        <f t="shared" si="191"/>
        <v>0.05</v>
      </c>
      <c r="N5482" s="464">
        <f t="shared" si="192"/>
        <v>217900</v>
      </c>
    </row>
    <row r="5483" spans="7:14" ht="11.25" customHeight="1" x14ac:dyDescent="0.3">
      <c r="G5483" s="459"/>
      <c r="H5483" s="459">
        <v>5476</v>
      </c>
      <c r="I5483" s="444">
        <f t="shared" ca="1" si="190"/>
        <v>-2615346754522499</v>
      </c>
      <c r="J5483" s="444">
        <f t="array" ref="J5483">IFERROR(INDEX('Retirement Calculator'!K:K,MATCH('Lorri 401b'!N5483,'Retirement Calculator'!A:A,0),0),0)</f>
        <v>0</v>
      </c>
      <c r="K5483" s="444">
        <f t="shared" ca="1" si="188"/>
        <v>-10897278143843.746</v>
      </c>
      <c r="L5483" s="444">
        <f t="shared" ca="1" si="189"/>
        <v>-2626244032666342.5</v>
      </c>
      <c r="M5483" s="460">
        <f t="shared" si="191"/>
        <v>0.05</v>
      </c>
      <c r="N5483" s="464">
        <f t="shared" si="192"/>
        <v>217931</v>
      </c>
    </row>
    <row r="5484" spans="7:14" ht="11.25" customHeight="1" x14ac:dyDescent="0.3">
      <c r="G5484" s="459"/>
      <c r="H5484" s="459">
        <v>5477</v>
      </c>
      <c r="I5484" s="444">
        <f t="shared" ca="1" si="190"/>
        <v>-2626244032666342.5</v>
      </c>
      <c r="J5484" s="444">
        <f t="array" ref="J5484">IFERROR(INDEX('Retirement Calculator'!K:K,MATCH('Lorri 401b'!N5484,'Retirement Calculator'!A:A,0),0),0)</f>
        <v>0</v>
      </c>
      <c r="K5484" s="444">
        <f t="shared" ca="1" si="188"/>
        <v>-10942683469443.094</v>
      </c>
      <c r="L5484" s="444">
        <f t="shared" ca="1" si="189"/>
        <v>-2637186716135785.5</v>
      </c>
      <c r="M5484" s="460">
        <f t="shared" si="191"/>
        <v>0.05</v>
      </c>
      <c r="N5484" s="464">
        <f t="shared" si="192"/>
        <v>217961</v>
      </c>
    </row>
    <row r="5485" spans="7:14" ht="11.25" customHeight="1" x14ac:dyDescent="0.3">
      <c r="G5485" s="459"/>
      <c r="H5485" s="459">
        <v>5478</v>
      </c>
      <c r="I5485" s="444">
        <f t="shared" ca="1" si="190"/>
        <v>-2637186716135785.5</v>
      </c>
      <c r="J5485" s="444">
        <f t="array" ref="J5485">IFERROR(INDEX('Retirement Calculator'!K:K,MATCH('Lorri 401b'!N5485,'Retirement Calculator'!A:A,0),0),0)</f>
        <v>0</v>
      </c>
      <c r="K5485" s="444">
        <f t="shared" ca="1" si="188"/>
        <v>-10988277983899.105</v>
      </c>
      <c r="L5485" s="444">
        <f t="shared" ca="1" si="189"/>
        <v>-2648174994119684.5</v>
      </c>
      <c r="M5485" s="460">
        <f t="shared" si="191"/>
        <v>0.05</v>
      </c>
      <c r="N5485" s="464">
        <f t="shared" si="192"/>
        <v>217992</v>
      </c>
    </row>
    <row r="5486" spans="7:14" ht="11.25" customHeight="1" x14ac:dyDescent="0.3">
      <c r="G5486" s="459"/>
      <c r="H5486" s="459">
        <v>5479</v>
      </c>
      <c r="I5486" s="444">
        <f t="shared" ca="1" si="190"/>
        <v>-2648174994119684.5</v>
      </c>
      <c r="J5486" s="444">
        <f t="array" ref="J5486">IFERROR(INDEX('Retirement Calculator'!K:K,MATCH('Lorri 401b'!N5486,'Retirement Calculator'!A:A,0),0),0)</f>
        <v>0</v>
      </c>
      <c r="K5486" s="444">
        <f t="shared" ca="1" si="188"/>
        <v>-11034062475498.686</v>
      </c>
      <c r="L5486" s="444">
        <f t="shared" ca="1" si="189"/>
        <v>-2659209056595183</v>
      </c>
      <c r="M5486" s="460">
        <f t="shared" si="191"/>
        <v>0.05</v>
      </c>
      <c r="N5486" s="464">
        <f t="shared" si="192"/>
        <v>218022</v>
      </c>
    </row>
    <row r="5487" spans="7:14" ht="11.25" customHeight="1" x14ac:dyDescent="0.3">
      <c r="G5487" s="459"/>
      <c r="H5487" s="459">
        <v>5480</v>
      </c>
      <c r="I5487" s="444">
        <f t="shared" ca="1" si="190"/>
        <v>-2659209056595183</v>
      </c>
      <c r="J5487" s="444">
        <f t="array" ref="J5487">IFERROR(INDEX('Retirement Calculator'!K:K,MATCH('Lorri 401b'!N5487,'Retirement Calculator'!A:A,0),0),0)</f>
        <v>0</v>
      </c>
      <c r="K5487" s="444">
        <f t="shared" ca="1" si="188"/>
        <v>-11080037735813.262</v>
      </c>
      <c r="L5487" s="444">
        <f t="shared" ca="1" si="189"/>
        <v>-2670289094330996.5</v>
      </c>
      <c r="M5487" s="460">
        <f t="shared" si="191"/>
        <v>0.05</v>
      </c>
      <c r="N5487" s="464">
        <f t="shared" si="192"/>
        <v>218053</v>
      </c>
    </row>
    <row r="5488" spans="7:14" ht="11.25" customHeight="1" x14ac:dyDescent="0.3">
      <c r="G5488" s="459"/>
      <c r="H5488" s="459">
        <v>5481</v>
      </c>
      <c r="I5488" s="444">
        <f t="shared" ca="1" si="190"/>
        <v>-2670289094330996.5</v>
      </c>
      <c r="J5488" s="444">
        <f t="array" ref="J5488">IFERROR(INDEX('Retirement Calculator'!K:K,MATCH('Lorri 401b'!N5488,'Retirement Calculator'!A:A,0),0),0)</f>
        <v>0</v>
      </c>
      <c r="K5488" s="444">
        <f t="shared" ca="1" si="188"/>
        <v>-11126204559712.484</v>
      </c>
      <c r="L5488" s="444">
        <f t="shared" ca="1" si="189"/>
        <v>-2681415298890709</v>
      </c>
      <c r="M5488" s="460">
        <f t="shared" si="191"/>
        <v>0.05</v>
      </c>
      <c r="N5488" s="464">
        <f t="shared" si="192"/>
        <v>218084</v>
      </c>
    </row>
    <row r="5489" spans="7:14" ht="11.25" customHeight="1" x14ac:dyDescent="0.3">
      <c r="G5489" s="459"/>
      <c r="H5489" s="459">
        <v>5482</v>
      </c>
      <c r="I5489" s="444">
        <f t="shared" ca="1" si="190"/>
        <v>-2681415298890709</v>
      </c>
      <c r="J5489" s="444">
        <f t="array" ref="J5489">IFERROR(INDEX('Retirement Calculator'!K:K,MATCH('Lorri 401b'!N5489,'Retirement Calculator'!A:A,0),0),0)</f>
        <v>0</v>
      </c>
      <c r="K5489" s="444">
        <f t="shared" ca="1" si="188"/>
        <v>-11172563745377.953</v>
      </c>
      <c r="L5489" s="444">
        <f t="shared" ca="1" si="189"/>
        <v>-2692587862636087</v>
      </c>
      <c r="M5489" s="460">
        <f t="shared" si="191"/>
        <v>0.05</v>
      </c>
      <c r="N5489" s="464">
        <f t="shared" si="192"/>
        <v>218112</v>
      </c>
    </row>
    <row r="5490" spans="7:14" ht="11.25" customHeight="1" x14ac:dyDescent="0.3">
      <c r="G5490" s="459"/>
      <c r="H5490" s="459">
        <v>5483</v>
      </c>
      <c r="I5490" s="444">
        <f t="shared" ca="1" si="190"/>
        <v>-2692587862636087</v>
      </c>
      <c r="J5490" s="444">
        <f t="array" ref="J5490">IFERROR(INDEX('Retirement Calculator'!K:K,MATCH('Lorri 401b'!N5490,'Retirement Calculator'!A:A,0),0),0)</f>
        <v>0</v>
      </c>
      <c r="K5490" s="444">
        <f t="shared" ca="1" si="188"/>
        <v>-11219116094317.029</v>
      </c>
      <c r="L5490" s="444">
        <f t="shared" ca="1" si="189"/>
        <v>-2703806978730404</v>
      </c>
      <c r="M5490" s="460">
        <f t="shared" si="191"/>
        <v>0.05</v>
      </c>
      <c r="N5490" s="464">
        <f t="shared" si="192"/>
        <v>218143</v>
      </c>
    </row>
    <row r="5491" spans="7:14" ht="11.25" customHeight="1" x14ac:dyDescent="0.3">
      <c r="G5491" s="459"/>
      <c r="H5491" s="459">
        <v>5484</v>
      </c>
      <c r="I5491" s="444">
        <f t="shared" ca="1" si="190"/>
        <v>-2703806978730404</v>
      </c>
      <c r="J5491" s="444">
        <f t="array" ref="J5491">IFERROR(INDEX('Retirement Calculator'!K:K,MATCH('Lorri 401b'!N5491,'Retirement Calculator'!A:A,0),0),0)</f>
        <v>0</v>
      </c>
      <c r="K5491" s="444">
        <f t="shared" ca="1" si="188"/>
        <v>-11265862411376.684</v>
      </c>
      <c r="L5491" s="444">
        <f t="shared" ca="1" si="189"/>
        <v>-2715072841141780.5</v>
      </c>
      <c r="M5491" s="460">
        <f t="shared" si="191"/>
        <v>0.05</v>
      </c>
      <c r="N5491" s="464">
        <f t="shared" si="192"/>
        <v>218173</v>
      </c>
    </row>
    <row r="5492" spans="7:14" ht="11.25" customHeight="1" x14ac:dyDescent="0.3">
      <c r="G5492" s="459"/>
      <c r="H5492" s="459">
        <v>5485</v>
      </c>
      <c r="I5492" s="444">
        <f t="shared" ca="1" si="190"/>
        <v>-2715072841141780.5</v>
      </c>
      <c r="J5492" s="444">
        <f t="array" ref="J5492">IFERROR(INDEX('Retirement Calculator'!K:K,MATCH('Lorri 401b'!N5492,'Retirement Calculator'!A:A,0),0),0)</f>
        <v>0</v>
      </c>
      <c r="K5492" s="444">
        <f t="shared" ca="1" si="188"/>
        <v>-11312803504757.418</v>
      </c>
      <c r="L5492" s="444">
        <f t="shared" ca="1" si="189"/>
        <v>-2726385644646538</v>
      </c>
      <c r="M5492" s="460">
        <f t="shared" si="191"/>
        <v>0.05</v>
      </c>
      <c r="N5492" s="464">
        <f t="shared" si="192"/>
        <v>218204</v>
      </c>
    </row>
    <row r="5493" spans="7:14" ht="11.25" customHeight="1" x14ac:dyDescent="0.3">
      <c r="G5493" s="459"/>
      <c r="H5493" s="459">
        <v>5486</v>
      </c>
      <c r="I5493" s="444">
        <f t="shared" ca="1" si="190"/>
        <v>-2726385644646538</v>
      </c>
      <c r="J5493" s="444">
        <f t="array" ref="J5493">IFERROR(INDEX('Retirement Calculator'!K:K,MATCH('Lorri 401b'!N5493,'Retirement Calculator'!A:A,0),0),0)</f>
        <v>0</v>
      </c>
      <c r="K5493" s="444">
        <f t="shared" ca="1" si="188"/>
        <v>-11359940186027.242</v>
      </c>
      <c r="L5493" s="444">
        <f t="shared" ca="1" si="189"/>
        <v>-2737745584832565</v>
      </c>
      <c r="M5493" s="460">
        <f t="shared" si="191"/>
        <v>0.05</v>
      </c>
      <c r="N5493" s="464">
        <f t="shared" si="192"/>
        <v>218234</v>
      </c>
    </row>
    <row r="5494" spans="7:14" ht="11.25" customHeight="1" x14ac:dyDescent="0.3">
      <c r="G5494" s="459"/>
      <c r="H5494" s="459">
        <v>5487</v>
      </c>
      <c r="I5494" s="444">
        <f t="shared" ca="1" si="190"/>
        <v>-2737745584832565</v>
      </c>
      <c r="J5494" s="444">
        <f t="array" ref="J5494">IFERROR(INDEX('Retirement Calculator'!K:K,MATCH('Lorri 401b'!N5494,'Retirement Calculator'!A:A,0),0),0)</f>
        <v>0</v>
      </c>
      <c r="K5494" s="444">
        <f t="shared" ca="1" si="188"/>
        <v>-11407273270135.688</v>
      </c>
      <c r="L5494" s="444">
        <f t="shared" ca="1" si="189"/>
        <v>-2749152858102700.5</v>
      </c>
      <c r="M5494" s="460">
        <f t="shared" si="191"/>
        <v>0.05</v>
      </c>
      <c r="N5494" s="464">
        <f t="shared" si="192"/>
        <v>218265</v>
      </c>
    </row>
    <row r="5495" spans="7:14" ht="11.25" customHeight="1" x14ac:dyDescent="0.3">
      <c r="G5495" s="459"/>
      <c r="H5495" s="459">
        <v>5488</v>
      </c>
      <c r="I5495" s="444">
        <f t="shared" ca="1" si="190"/>
        <v>-2749152858102700.5</v>
      </c>
      <c r="J5495" s="444">
        <f t="array" ref="J5495">IFERROR(INDEX('Retirement Calculator'!K:K,MATCH('Lorri 401b'!N5495,'Retirement Calculator'!A:A,0),0),0)</f>
        <v>0</v>
      </c>
      <c r="K5495" s="444">
        <f t="shared" ca="1" si="188"/>
        <v>-11454803575427.918</v>
      </c>
      <c r="L5495" s="444">
        <f t="shared" ca="1" si="189"/>
        <v>-2760607661678128.5</v>
      </c>
      <c r="M5495" s="460">
        <f t="shared" si="191"/>
        <v>0.05</v>
      </c>
      <c r="N5495" s="464">
        <f t="shared" si="192"/>
        <v>218296</v>
      </c>
    </row>
    <row r="5496" spans="7:14" ht="11.25" customHeight="1" x14ac:dyDescent="0.3">
      <c r="G5496" s="459"/>
      <c r="H5496" s="459">
        <v>5489</v>
      </c>
      <c r="I5496" s="444">
        <f t="shared" ca="1" si="190"/>
        <v>-2760607661678128.5</v>
      </c>
      <c r="J5496" s="444">
        <f t="array" ref="J5496">IFERROR(INDEX('Retirement Calculator'!K:K,MATCH('Lorri 401b'!N5496,'Retirement Calculator'!A:A,0),0),0)</f>
        <v>0</v>
      </c>
      <c r="K5496" s="444">
        <f t="shared" ca="1" si="188"/>
        <v>-11502531923658.869</v>
      </c>
      <c r="L5496" s="444">
        <f t="shared" ca="1" si="189"/>
        <v>-2772110193601787.5</v>
      </c>
      <c r="M5496" s="460">
        <f t="shared" si="191"/>
        <v>0.05</v>
      </c>
      <c r="N5496" s="464">
        <f t="shared" si="192"/>
        <v>218326</v>
      </c>
    </row>
    <row r="5497" spans="7:14" ht="11.25" customHeight="1" x14ac:dyDescent="0.3">
      <c r="G5497" s="459"/>
      <c r="H5497" s="459">
        <v>5490</v>
      </c>
      <c r="I5497" s="444">
        <f t="shared" ca="1" si="190"/>
        <v>-2772110193601787.5</v>
      </c>
      <c r="J5497" s="444">
        <f t="array" ref="J5497">IFERROR(INDEX('Retirement Calculator'!K:K,MATCH('Lorri 401b'!N5497,'Retirement Calculator'!A:A,0),0),0)</f>
        <v>0</v>
      </c>
      <c r="K5497" s="444">
        <f t="shared" ca="1" si="188"/>
        <v>-11550459140007.447</v>
      </c>
      <c r="L5497" s="444">
        <f t="shared" ca="1" si="189"/>
        <v>-2783660652741795</v>
      </c>
      <c r="M5497" s="460">
        <f t="shared" si="191"/>
        <v>0.05</v>
      </c>
      <c r="N5497" s="464">
        <f t="shared" si="192"/>
        <v>218357</v>
      </c>
    </row>
    <row r="5498" spans="7:14" ht="11.25" customHeight="1" x14ac:dyDescent="0.3">
      <c r="G5498" s="459"/>
      <c r="H5498" s="459">
        <v>5491</v>
      </c>
      <c r="I5498" s="444">
        <f t="shared" ca="1" si="190"/>
        <v>-2783660652741795</v>
      </c>
      <c r="J5498" s="444">
        <f t="array" ref="J5498">IFERROR(INDEX('Retirement Calculator'!K:K,MATCH('Lorri 401b'!N5498,'Retirement Calculator'!A:A,0),0),0)</f>
        <v>0</v>
      </c>
      <c r="K5498" s="444">
        <f t="shared" ca="1" si="188"/>
        <v>-11598586053090.813</v>
      </c>
      <c r="L5498" s="444">
        <f t="shared" ca="1" si="189"/>
        <v>-2795259238794886</v>
      </c>
      <c r="M5498" s="460">
        <f t="shared" si="191"/>
        <v>0.05</v>
      </c>
      <c r="N5498" s="464">
        <f t="shared" si="192"/>
        <v>218387</v>
      </c>
    </row>
    <row r="5499" spans="7:14" ht="11.25" customHeight="1" x14ac:dyDescent="0.3">
      <c r="G5499" s="459"/>
      <c r="H5499" s="459">
        <v>5492</v>
      </c>
      <c r="I5499" s="444">
        <f t="shared" ca="1" si="190"/>
        <v>-2795259238794886</v>
      </c>
      <c r="J5499" s="444">
        <f t="array" ref="J5499">IFERROR(INDEX('Retirement Calculator'!K:K,MATCH('Lorri 401b'!N5499,'Retirement Calculator'!A:A,0),0),0)</f>
        <v>0</v>
      </c>
      <c r="K5499" s="444">
        <f t="shared" ca="1" si="188"/>
        <v>-11646913494978.691</v>
      </c>
      <c r="L5499" s="444">
        <f t="shared" ca="1" si="189"/>
        <v>-2806906152289864.5</v>
      </c>
      <c r="M5499" s="460">
        <f t="shared" si="191"/>
        <v>0.05</v>
      </c>
      <c r="N5499" s="464">
        <f t="shared" si="192"/>
        <v>218418</v>
      </c>
    </row>
    <row r="5500" spans="7:14" ht="11.25" customHeight="1" x14ac:dyDescent="0.3">
      <c r="G5500" s="459"/>
      <c r="H5500" s="459">
        <v>5493</v>
      </c>
      <c r="I5500" s="444">
        <f t="shared" ca="1" si="190"/>
        <v>-2806906152289864.5</v>
      </c>
      <c r="J5500" s="444">
        <f t="array" ref="J5500">IFERROR(INDEX('Retirement Calculator'!K:K,MATCH('Lorri 401b'!N5500,'Retirement Calculator'!A:A,0),0),0)</f>
        <v>0</v>
      </c>
      <c r="K5500" s="444">
        <f t="shared" ca="1" si="188"/>
        <v>-11695442301207.77</v>
      </c>
      <c r="L5500" s="444">
        <f t="shared" ca="1" si="189"/>
        <v>-2818601594591072.5</v>
      </c>
      <c r="M5500" s="460">
        <f t="shared" si="191"/>
        <v>0.05</v>
      </c>
      <c r="N5500" s="464">
        <f t="shared" si="192"/>
        <v>218449</v>
      </c>
    </row>
    <row r="5501" spans="7:14" ht="11.25" customHeight="1" x14ac:dyDescent="0.3">
      <c r="G5501" s="459"/>
      <c r="H5501" s="459">
        <v>5494</v>
      </c>
      <c r="I5501" s="444">
        <f t="shared" ca="1" si="190"/>
        <v>-2818601594591072.5</v>
      </c>
      <c r="J5501" s="444">
        <f t="array" ref="J5501">IFERROR(INDEX('Retirement Calculator'!K:K,MATCH('Lorri 401b'!N5501,'Retirement Calculator'!A:A,0),0),0)</f>
        <v>0</v>
      </c>
      <c r="K5501" s="444">
        <f t="shared" ca="1" si="188"/>
        <v>-11744173310796.135</v>
      </c>
      <c r="L5501" s="444">
        <f t="shared" ca="1" si="189"/>
        <v>-2830345767901868.5</v>
      </c>
      <c r="M5501" s="460">
        <f t="shared" si="191"/>
        <v>0.05</v>
      </c>
      <c r="N5501" s="464">
        <f t="shared" si="192"/>
        <v>218477</v>
      </c>
    </row>
    <row r="5502" spans="7:14" ht="11.25" customHeight="1" x14ac:dyDescent="0.3">
      <c r="G5502" s="459"/>
      <c r="H5502" s="459">
        <v>5495</v>
      </c>
      <c r="I5502" s="444">
        <f t="shared" ca="1" si="190"/>
        <v>-2830345767901868.5</v>
      </c>
      <c r="J5502" s="444">
        <f t="array" ref="J5502">IFERROR(INDEX('Retirement Calculator'!K:K,MATCH('Lorri 401b'!N5502,'Retirement Calculator'!A:A,0),0),0)</f>
        <v>0</v>
      </c>
      <c r="K5502" s="444">
        <f t="shared" ca="1" si="188"/>
        <v>-11793107366257.785</v>
      </c>
      <c r="L5502" s="444">
        <f t="shared" ca="1" si="189"/>
        <v>-2842138875268126.5</v>
      </c>
      <c r="M5502" s="460">
        <f t="shared" si="191"/>
        <v>0.05</v>
      </c>
      <c r="N5502" s="464">
        <f t="shared" si="192"/>
        <v>218508</v>
      </c>
    </row>
    <row r="5503" spans="7:14" ht="11.25" customHeight="1" x14ac:dyDescent="0.3">
      <c r="G5503" s="459"/>
      <c r="H5503" s="459">
        <v>5496</v>
      </c>
      <c r="I5503" s="444">
        <f t="shared" ca="1" si="190"/>
        <v>-2842138875268126.5</v>
      </c>
      <c r="J5503" s="444">
        <f t="array" ref="J5503">IFERROR(INDEX('Retirement Calculator'!K:K,MATCH('Lorri 401b'!N5503,'Retirement Calculator'!A:A,0),0),0)</f>
        <v>0</v>
      </c>
      <c r="K5503" s="444">
        <f t="shared" ca="1" si="188"/>
        <v>-11842245313617.193</v>
      </c>
      <c r="L5503" s="444">
        <f t="shared" ca="1" si="189"/>
        <v>-2853981120581743.5</v>
      </c>
      <c r="M5503" s="460">
        <f t="shared" si="191"/>
        <v>0.05</v>
      </c>
      <c r="N5503" s="464">
        <f t="shared" si="192"/>
        <v>218538</v>
      </c>
    </row>
    <row r="5504" spans="7:14" ht="11.25" customHeight="1" x14ac:dyDescent="0.3">
      <c r="G5504" s="459"/>
      <c r="H5504" s="459">
        <v>5497</v>
      </c>
      <c r="I5504" s="444">
        <f t="shared" ca="1" si="190"/>
        <v>-2853981120581743.5</v>
      </c>
      <c r="J5504" s="444">
        <f t="array" ref="J5504">IFERROR(INDEX('Retirement Calculator'!K:K,MATCH('Lorri 401b'!N5504,'Retirement Calculator'!A:A,0),0),0)</f>
        <v>0</v>
      </c>
      <c r="K5504" s="444">
        <f t="shared" ca="1" si="188"/>
        <v>-11891588002423.932</v>
      </c>
      <c r="L5504" s="444">
        <f t="shared" ca="1" si="189"/>
        <v>-2865872708584167.5</v>
      </c>
      <c r="M5504" s="460">
        <f t="shared" si="191"/>
        <v>0.05</v>
      </c>
      <c r="N5504" s="464">
        <f t="shared" si="192"/>
        <v>218569</v>
      </c>
    </row>
    <row r="5505" spans="7:14" ht="11.25" customHeight="1" x14ac:dyDescent="0.3">
      <c r="G5505" s="459"/>
      <c r="H5505" s="459">
        <v>5498</v>
      </c>
      <c r="I5505" s="444">
        <f t="shared" ca="1" si="190"/>
        <v>-2865872708584167.5</v>
      </c>
      <c r="J5505" s="444">
        <f t="array" ref="J5505">IFERROR(INDEX('Retirement Calculator'!K:K,MATCH('Lorri 401b'!N5505,'Retirement Calculator'!A:A,0),0),0)</f>
        <v>0</v>
      </c>
      <c r="K5505" s="444">
        <f t="shared" ca="1" si="188"/>
        <v>-11941136285767.365</v>
      </c>
      <c r="L5505" s="444">
        <f t="shared" ca="1" si="189"/>
        <v>-2877813844869935</v>
      </c>
      <c r="M5505" s="460">
        <f t="shared" si="191"/>
        <v>0.05</v>
      </c>
      <c r="N5505" s="464">
        <f t="shared" si="192"/>
        <v>218599</v>
      </c>
    </row>
    <row r="5506" spans="7:14" ht="11.25" customHeight="1" x14ac:dyDescent="0.3">
      <c r="G5506" s="459"/>
      <c r="H5506" s="459">
        <v>5499</v>
      </c>
      <c r="I5506" s="444">
        <f t="shared" ca="1" si="190"/>
        <v>-2877813844869935</v>
      </c>
      <c r="J5506" s="444">
        <f t="array" ref="J5506">IFERROR(INDEX('Retirement Calculator'!K:K,MATCH('Lorri 401b'!N5506,'Retirement Calculator'!A:A,0),0),0)</f>
        <v>0</v>
      </c>
      <c r="K5506" s="444">
        <f t="shared" ca="1" si="188"/>
        <v>-11990891020291.396</v>
      </c>
      <c r="L5506" s="444">
        <f t="shared" ca="1" si="189"/>
        <v>-2889804735890226.5</v>
      </c>
      <c r="M5506" s="460">
        <f t="shared" si="191"/>
        <v>0.05</v>
      </c>
      <c r="N5506" s="464">
        <f t="shared" si="192"/>
        <v>218630</v>
      </c>
    </row>
    <row r="5507" spans="7:14" ht="11.25" customHeight="1" x14ac:dyDescent="0.3">
      <c r="G5507" s="459"/>
      <c r="H5507" s="459">
        <v>5500</v>
      </c>
      <c r="I5507" s="444">
        <f t="shared" ca="1" si="190"/>
        <v>-2889804735890226.5</v>
      </c>
      <c r="J5507" s="444">
        <f t="array" ref="J5507">IFERROR(INDEX('Retirement Calculator'!K:K,MATCH('Lorri 401b'!N5507,'Retirement Calculator'!A:A,0),0),0)</f>
        <v>0</v>
      </c>
      <c r="K5507" s="444">
        <f t="shared" ca="1" si="188"/>
        <v>-12040853066209.277</v>
      </c>
      <c r="L5507" s="444">
        <f t="shared" ca="1" si="189"/>
        <v>-2901845588956436</v>
      </c>
      <c r="M5507" s="460">
        <f t="shared" si="191"/>
        <v>0.05</v>
      </c>
      <c r="N5507" s="464">
        <f t="shared" si="192"/>
        <v>218661</v>
      </c>
    </row>
    <row r="5508" spans="7:14" ht="11.25" customHeight="1" x14ac:dyDescent="0.3">
      <c r="G5508" s="459"/>
      <c r="H5508" s="459">
        <v>5501</v>
      </c>
      <c r="I5508" s="444">
        <f t="shared" ca="1" si="190"/>
        <v>-2901845588956436</v>
      </c>
      <c r="J5508" s="444">
        <f t="array" ref="J5508">IFERROR(INDEX('Retirement Calculator'!K:K,MATCH('Lorri 401b'!N5508,'Retirement Calculator'!A:A,0),0),0)</f>
        <v>0</v>
      </c>
      <c r="K5508" s="444">
        <f t="shared" ca="1" si="188"/>
        <v>-12091023287318.482</v>
      </c>
      <c r="L5508" s="444">
        <f t="shared" ca="1" si="189"/>
        <v>-2913936612243754.5</v>
      </c>
      <c r="M5508" s="460">
        <f t="shared" si="191"/>
        <v>0.05</v>
      </c>
      <c r="N5508" s="464">
        <f t="shared" si="192"/>
        <v>218691</v>
      </c>
    </row>
    <row r="5509" spans="7:14" ht="11.25" customHeight="1" x14ac:dyDescent="0.3">
      <c r="G5509" s="459"/>
      <c r="H5509" s="459">
        <v>5502</v>
      </c>
      <c r="I5509" s="444">
        <f t="shared" ca="1" si="190"/>
        <v>-2913936612243754.5</v>
      </c>
      <c r="J5509" s="444">
        <f t="array" ref="J5509">IFERROR(INDEX('Retirement Calculator'!K:K,MATCH('Lorri 401b'!N5509,'Retirement Calculator'!A:A,0),0),0)</f>
        <v>0</v>
      </c>
      <c r="K5509" s="444">
        <f t="shared" ca="1" si="188"/>
        <v>-12141402551015.645</v>
      </c>
      <c r="L5509" s="444">
        <f t="shared" ca="1" si="189"/>
        <v>-2926078014794770</v>
      </c>
      <c r="M5509" s="460">
        <f t="shared" si="191"/>
        <v>0.05</v>
      </c>
      <c r="N5509" s="464">
        <f t="shared" si="192"/>
        <v>218722</v>
      </c>
    </row>
    <row r="5510" spans="7:14" ht="11.25" customHeight="1" x14ac:dyDescent="0.3">
      <c r="G5510" s="459"/>
      <c r="H5510" s="459">
        <v>5503</v>
      </c>
      <c r="I5510" s="444">
        <f t="shared" ca="1" si="190"/>
        <v>-2926078014794770</v>
      </c>
      <c r="J5510" s="444">
        <f t="array" ref="J5510">IFERROR(INDEX('Retirement Calculator'!K:K,MATCH('Lorri 401b'!N5510,'Retirement Calculator'!A:A,0),0),0)</f>
        <v>0</v>
      </c>
      <c r="K5510" s="444">
        <f t="shared" ca="1" si="188"/>
        <v>-12191991728311.541</v>
      </c>
      <c r="L5510" s="444">
        <f t="shared" ca="1" si="189"/>
        <v>-2938270006523081.5</v>
      </c>
      <c r="M5510" s="460">
        <f t="shared" si="191"/>
        <v>0.05</v>
      </c>
      <c r="N5510" s="464">
        <f t="shared" si="192"/>
        <v>218752</v>
      </c>
    </row>
    <row r="5511" spans="7:14" ht="11.25" customHeight="1" x14ac:dyDescent="0.3">
      <c r="G5511" s="459"/>
      <c r="H5511" s="459">
        <v>5504</v>
      </c>
      <c r="I5511" s="444">
        <f t="shared" ca="1" si="190"/>
        <v>-2938270006523081.5</v>
      </c>
      <c r="J5511" s="444">
        <f t="array" ref="J5511">IFERROR(INDEX('Retirement Calculator'!K:K,MATCH('Lorri 401b'!N5511,'Retirement Calculator'!A:A,0),0),0)</f>
        <v>0</v>
      </c>
      <c r="K5511" s="444">
        <f t="shared" ca="1" si="188"/>
        <v>-12242791693846.172</v>
      </c>
      <c r="L5511" s="444">
        <f t="shared" ca="1" si="189"/>
        <v>-2950512798216927.5</v>
      </c>
      <c r="M5511" s="460">
        <f t="shared" si="191"/>
        <v>0.05</v>
      </c>
      <c r="N5511" s="464">
        <f t="shared" si="192"/>
        <v>218783</v>
      </c>
    </row>
    <row r="5512" spans="7:14" ht="11.25" customHeight="1" x14ac:dyDescent="0.3">
      <c r="G5512" s="459"/>
      <c r="H5512" s="459">
        <v>5505</v>
      </c>
      <c r="I5512" s="444">
        <f t="shared" ca="1" si="190"/>
        <v>-2950512798216927.5</v>
      </c>
      <c r="J5512" s="444">
        <f t="array" ref="J5512">IFERROR(INDEX('Retirement Calculator'!K:K,MATCH('Lorri 401b'!N5512,'Retirement Calculator'!A:A,0),0),0)</f>
        <v>0</v>
      </c>
      <c r="K5512" s="444">
        <f t="shared" ca="1" si="188"/>
        <v>-12293803325903.865</v>
      </c>
      <c r="L5512" s="444">
        <f t="shared" ca="1" si="189"/>
        <v>-2962806601542831.5</v>
      </c>
      <c r="M5512" s="460">
        <f t="shared" si="191"/>
        <v>0.05</v>
      </c>
      <c r="N5512" s="464">
        <f t="shared" si="192"/>
        <v>218814</v>
      </c>
    </row>
    <row r="5513" spans="7:14" ht="11.25" customHeight="1" x14ac:dyDescent="0.3">
      <c r="G5513" s="459"/>
      <c r="H5513" s="459">
        <v>5506</v>
      </c>
      <c r="I5513" s="444">
        <f t="shared" ca="1" si="190"/>
        <v>-2962806601542831.5</v>
      </c>
      <c r="J5513" s="444">
        <f t="array" ref="J5513">IFERROR(INDEX('Retirement Calculator'!K:K,MATCH('Lorri 401b'!N5513,'Retirement Calculator'!A:A,0),0),0)</f>
        <v>0</v>
      </c>
      <c r="K5513" s="444">
        <f t="shared" ca="1" si="188"/>
        <v>-12345027506428.465</v>
      </c>
      <c r="L5513" s="444">
        <f t="shared" ca="1" si="189"/>
        <v>-2975151629049260</v>
      </c>
      <c r="M5513" s="460">
        <f t="shared" si="191"/>
        <v>0.05</v>
      </c>
      <c r="N5513" s="464">
        <f t="shared" si="192"/>
        <v>218842</v>
      </c>
    </row>
    <row r="5514" spans="7:14" ht="11.25" customHeight="1" x14ac:dyDescent="0.3">
      <c r="G5514" s="459"/>
      <c r="H5514" s="459">
        <v>5507</v>
      </c>
      <c r="I5514" s="444">
        <f t="shared" ca="1" si="190"/>
        <v>-2975151629049260</v>
      </c>
      <c r="J5514" s="444">
        <f t="array" ref="J5514">IFERROR(INDEX('Retirement Calculator'!K:K,MATCH('Lorri 401b'!N5514,'Retirement Calculator'!A:A,0),0),0)</f>
        <v>0</v>
      </c>
      <c r="K5514" s="444">
        <f t="shared" ca="1" si="188"/>
        <v>-12396465121038.584</v>
      </c>
      <c r="L5514" s="444">
        <f t="shared" ca="1" si="189"/>
        <v>-2987548094170298.5</v>
      </c>
      <c r="M5514" s="460">
        <f t="shared" si="191"/>
        <v>0.05</v>
      </c>
      <c r="N5514" s="464">
        <f t="shared" si="192"/>
        <v>218873</v>
      </c>
    </row>
    <row r="5515" spans="7:14" ht="11.25" customHeight="1" x14ac:dyDescent="0.3">
      <c r="G5515" s="459"/>
      <c r="H5515" s="459">
        <v>5508</v>
      </c>
      <c r="I5515" s="444">
        <f t="shared" ca="1" si="190"/>
        <v>-2987548094170298.5</v>
      </c>
      <c r="J5515" s="444">
        <f t="array" ref="J5515">IFERROR(INDEX('Retirement Calculator'!K:K,MATCH('Lorri 401b'!N5515,'Retirement Calculator'!A:A,0),0),0)</f>
        <v>0</v>
      </c>
      <c r="K5515" s="444">
        <f t="shared" ca="1" si="188"/>
        <v>-12448117059042.91</v>
      </c>
      <c r="L5515" s="444">
        <f t="shared" ca="1" si="189"/>
        <v>-2999996211229341.5</v>
      </c>
      <c r="M5515" s="460">
        <f t="shared" si="191"/>
        <v>0.05</v>
      </c>
      <c r="N5515" s="464">
        <f t="shared" si="192"/>
        <v>218903</v>
      </c>
    </row>
    <row r="5516" spans="7:14" ht="11.25" customHeight="1" x14ac:dyDescent="0.3">
      <c r="G5516" s="459"/>
      <c r="H5516" s="459">
        <v>5509</v>
      </c>
      <c r="I5516" s="444">
        <f t="shared" ca="1" si="190"/>
        <v>-2999996211229341.5</v>
      </c>
      <c r="J5516" s="444">
        <f t="array" ref="J5516">IFERROR(INDEX('Retirement Calculator'!K:K,MATCH('Lorri 401b'!N5516,'Retirement Calculator'!A:A,0),0),0)</f>
        <v>0</v>
      </c>
      <c r="K5516" s="444">
        <f t="shared" ca="1" si="188"/>
        <v>-12499984213455.59</v>
      </c>
      <c r="L5516" s="444">
        <f t="shared" ca="1" si="189"/>
        <v>-3012496195442797</v>
      </c>
      <c r="M5516" s="460">
        <f t="shared" si="191"/>
        <v>0.05</v>
      </c>
      <c r="N5516" s="464">
        <f t="shared" si="192"/>
        <v>218934</v>
      </c>
    </row>
    <row r="5517" spans="7:14" ht="11.25" customHeight="1" x14ac:dyDescent="0.3">
      <c r="G5517" s="459"/>
      <c r="H5517" s="459">
        <v>5510</v>
      </c>
      <c r="I5517" s="444">
        <f t="shared" ca="1" si="190"/>
        <v>-3012496195442797</v>
      </c>
      <c r="J5517" s="444">
        <f t="array" ref="J5517">IFERROR(INDEX('Retirement Calculator'!K:K,MATCH('Lorri 401b'!N5517,'Retirement Calculator'!A:A,0),0),0)</f>
        <v>0</v>
      </c>
      <c r="K5517" s="444">
        <f t="shared" ca="1" si="188"/>
        <v>-12552067481011.654</v>
      </c>
      <c r="L5517" s="444">
        <f t="shared" ca="1" si="189"/>
        <v>-3025048262923808.5</v>
      </c>
      <c r="M5517" s="460">
        <f t="shared" si="191"/>
        <v>0.05</v>
      </c>
      <c r="N5517" s="464">
        <f t="shared" si="192"/>
        <v>218964</v>
      </c>
    </row>
    <row r="5518" spans="7:14" ht="11.25" customHeight="1" x14ac:dyDescent="0.3">
      <c r="G5518" s="459"/>
      <c r="H5518" s="459">
        <v>5511</v>
      </c>
      <c r="I5518" s="444">
        <f t="shared" ca="1" si="190"/>
        <v>-3025048262923808.5</v>
      </c>
      <c r="J5518" s="444">
        <f t="array" ref="J5518">IFERROR(INDEX('Retirement Calculator'!K:K,MATCH('Lorri 401b'!N5518,'Retirement Calculator'!A:A,0),0),0)</f>
        <v>0</v>
      </c>
      <c r="K5518" s="444">
        <f t="shared" ca="1" si="188"/>
        <v>-12604367762182.535</v>
      </c>
      <c r="L5518" s="444">
        <f t="shared" ca="1" si="189"/>
        <v>-3037652630685991</v>
      </c>
      <c r="M5518" s="460">
        <f t="shared" si="191"/>
        <v>0.05</v>
      </c>
      <c r="N5518" s="464">
        <f t="shared" si="192"/>
        <v>218995</v>
      </c>
    </row>
    <row r="5519" spans="7:14" ht="11.25" customHeight="1" x14ac:dyDescent="0.3">
      <c r="G5519" s="459"/>
      <c r="H5519" s="459">
        <v>5512</v>
      </c>
      <c r="I5519" s="444">
        <f t="shared" ca="1" si="190"/>
        <v>-3037652630685991</v>
      </c>
      <c r="J5519" s="444">
        <f t="array" ref="J5519">IFERROR(INDEX('Retirement Calculator'!K:K,MATCH('Lorri 401b'!N5519,'Retirement Calculator'!A:A,0),0),0)</f>
        <v>0</v>
      </c>
      <c r="K5519" s="444">
        <f t="shared" ca="1" si="188"/>
        <v>-12656885961191.629</v>
      </c>
      <c r="L5519" s="444">
        <f t="shared" ca="1" si="189"/>
        <v>-3050309516647182.5</v>
      </c>
      <c r="M5519" s="460">
        <f t="shared" si="191"/>
        <v>0.05</v>
      </c>
      <c r="N5519" s="464">
        <f t="shared" si="192"/>
        <v>219026</v>
      </c>
    </row>
    <row r="5520" spans="7:14" ht="11.25" customHeight="1" x14ac:dyDescent="0.3">
      <c r="G5520" s="459"/>
      <c r="H5520" s="459">
        <v>5513</v>
      </c>
      <c r="I5520" s="444">
        <f t="shared" ca="1" si="190"/>
        <v>-3050309516647182.5</v>
      </c>
      <c r="J5520" s="444">
        <f t="array" ref="J5520">IFERROR(INDEX('Retirement Calculator'!K:K,MATCH('Lorri 401b'!N5520,'Retirement Calculator'!A:A,0),0),0)</f>
        <v>0</v>
      </c>
      <c r="K5520" s="444">
        <f t="shared" ca="1" si="188"/>
        <v>-12709622986029.928</v>
      </c>
      <c r="L5520" s="444">
        <f t="shared" ca="1" si="189"/>
        <v>-3063019139633212.5</v>
      </c>
      <c r="M5520" s="460">
        <f t="shared" si="191"/>
        <v>0.05</v>
      </c>
      <c r="N5520" s="464">
        <f t="shared" si="192"/>
        <v>219056</v>
      </c>
    </row>
    <row r="5521" spans="7:14" ht="11.25" customHeight="1" x14ac:dyDescent="0.3">
      <c r="G5521" s="459"/>
      <c r="H5521" s="459">
        <v>5514</v>
      </c>
      <c r="I5521" s="444">
        <f t="shared" ca="1" si="190"/>
        <v>-3063019139633212.5</v>
      </c>
      <c r="J5521" s="444">
        <f t="array" ref="J5521">IFERROR(INDEX('Retirement Calculator'!K:K,MATCH('Lorri 401b'!N5521,'Retirement Calculator'!A:A,0),0),0)</f>
        <v>0</v>
      </c>
      <c r="K5521" s="444">
        <f t="shared" ca="1" si="188"/>
        <v>-12762579748471.719</v>
      </c>
      <c r="L5521" s="444">
        <f t="shared" ca="1" si="189"/>
        <v>-3075781719381684</v>
      </c>
      <c r="M5521" s="460">
        <f t="shared" si="191"/>
        <v>0.05</v>
      </c>
      <c r="N5521" s="464">
        <f t="shared" si="192"/>
        <v>219087</v>
      </c>
    </row>
    <row r="5522" spans="7:14" ht="11.25" customHeight="1" x14ac:dyDescent="0.3">
      <c r="G5522" s="459"/>
      <c r="H5522" s="459">
        <v>5515</v>
      </c>
      <c r="I5522" s="444">
        <f t="shared" ca="1" si="190"/>
        <v>-3075781719381684</v>
      </c>
      <c r="J5522" s="444">
        <f t="array" ref="J5522">IFERROR(INDEX('Retirement Calculator'!K:K,MATCH('Lorri 401b'!N5522,'Retirement Calculator'!A:A,0),0),0)</f>
        <v>0</v>
      </c>
      <c r="K5522" s="444">
        <f t="shared" ca="1" si="188"/>
        <v>-12815757164090.35</v>
      </c>
      <c r="L5522" s="444">
        <f t="shared" ca="1" si="189"/>
        <v>-3088597476545774.5</v>
      </c>
      <c r="M5522" s="460">
        <f t="shared" si="191"/>
        <v>0.05</v>
      </c>
      <c r="N5522" s="464">
        <f t="shared" si="192"/>
        <v>219117</v>
      </c>
    </row>
    <row r="5523" spans="7:14" ht="11.25" customHeight="1" x14ac:dyDescent="0.3">
      <c r="G5523" s="459"/>
      <c r="H5523" s="459">
        <v>5516</v>
      </c>
      <c r="I5523" s="444">
        <f t="shared" ca="1" si="190"/>
        <v>-3088597476545774.5</v>
      </c>
      <c r="J5523" s="444">
        <f t="array" ref="J5523">IFERROR(INDEX('Retirement Calculator'!K:K,MATCH('Lorri 401b'!N5523,'Retirement Calculator'!A:A,0),0),0)</f>
        <v>0</v>
      </c>
      <c r="K5523" s="444">
        <f t="shared" ca="1" si="188"/>
        <v>-12869156152274.061</v>
      </c>
      <c r="L5523" s="444">
        <f t="shared" ca="1" si="189"/>
        <v>-3101466632698048.5</v>
      </c>
      <c r="M5523" s="460">
        <f t="shared" si="191"/>
        <v>0.05</v>
      </c>
      <c r="N5523" s="464">
        <f t="shared" si="192"/>
        <v>219148</v>
      </c>
    </row>
    <row r="5524" spans="7:14" ht="11.25" customHeight="1" x14ac:dyDescent="0.3">
      <c r="G5524" s="459"/>
      <c r="H5524" s="459">
        <v>5517</v>
      </c>
      <c r="I5524" s="444">
        <f t="shared" ca="1" si="190"/>
        <v>-3101466632698048.5</v>
      </c>
      <c r="J5524" s="444">
        <f t="array" ref="J5524">IFERROR(INDEX('Retirement Calculator'!K:K,MATCH('Lorri 401b'!N5524,'Retirement Calculator'!A:A,0),0),0)</f>
        <v>0</v>
      </c>
      <c r="K5524" s="444">
        <f t="shared" ca="1" si="188"/>
        <v>-12922777636241.869</v>
      </c>
      <c r="L5524" s="444">
        <f t="shared" ca="1" si="189"/>
        <v>-3114389410334290.5</v>
      </c>
      <c r="M5524" s="460">
        <f t="shared" si="191"/>
        <v>0.05</v>
      </c>
      <c r="N5524" s="464">
        <f t="shared" si="192"/>
        <v>219179</v>
      </c>
    </row>
    <row r="5525" spans="7:14" ht="11.25" customHeight="1" x14ac:dyDescent="0.3">
      <c r="G5525" s="459"/>
      <c r="H5525" s="459">
        <v>5518</v>
      </c>
      <c r="I5525" s="444">
        <f t="shared" ca="1" si="190"/>
        <v>-3114389410334290.5</v>
      </c>
      <c r="J5525" s="444">
        <f t="array" ref="J5525">IFERROR(INDEX('Retirement Calculator'!K:K,MATCH('Lorri 401b'!N5525,'Retirement Calculator'!A:A,0),0),0)</f>
        <v>0</v>
      </c>
      <c r="K5525" s="444">
        <f t="shared" ca="1" si="188"/>
        <v>-12976622543059.543</v>
      </c>
      <c r="L5525" s="444">
        <f t="shared" ca="1" si="189"/>
        <v>-3127366032877350</v>
      </c>
      <c r="M5525" s="460">
        <f t="shared" si="191"/>
        <v>0.05</v>
      </c>
      <c r="N5525" s="464">
        <f t="shared" si="192"/>
        <v>219207</v>
      </c>
    </row>
    <row r="5526" spans="7:14" ht="11.25" customHeight="1" x14ac:dyDescent="0.3">
      <c r="G5526" s="459"/>
      <c r="H5526" s="459">
        <v>5519</v>
      </c>
      <c r="I5526" s="444">
        <f t="shared" ca="1" si="190"/>
        <v>-3127366032877350</v>
      </c>
      <c r="J5526" s="444">
        <f t="array" ref="J5526">IFERROR(INDEX('Retirement Calculator'!K:K,MATCH('Lorri 401b'!N5526,'Retirement Calculator'!A:A,0),0),0)</f>
        <v>0</v>
      </c>
      <c r="K5526" s="444">
        <f t="shared" ca="1" si="188"/>
        <v>-13030691803655.625</v>
      </c>
      <c r="L5526" s="444">
        <f t="shared" ca="1" si="189"/>
        <v>-3140396724681005.5</v>
      </c>
      <c r="M5526" s="460">
        <f t="shared" si="191"/>
        <v>0.05</v>
      </c>
      <c r="N5526" s="464">
        <f t="shared" si="192"/>
        <v>219238</v>
      </c>
    </row>
    <row r="5527" spans="7:14" ht="11.25" customHeight="1" x14ac:dyDescent="0.3">
      <c r="G5527" s="459"/>
      <c r="H5527" s="459">
        <v>5520</v>
      </c>
      <c r="I5527" s="444">
        <f t="shared" ca="1" si="190"/>
        <v>-3140396724681005.5</v>
      </c>
      <c r="J5527" s="444">
        <f t="array" ref="J5527">IFERROR(INDEX('Retirement Calculator'!K:K,MATCH('Lorri 401b'!N5527,'Retirement Calculator'!A:A,0),0),0)</f>
        <v>0</v>
      </c>
      <c r="K5527" s="444">
        <f t="shared" ca="1" si="188"/>
        <v>-13084986352837.523</v>
      </c>
      <c r="L5527" s="444">
        <f t="shared" ca="1" si="189"/>
        <v>-3153481711033843</v>
      </c>
      <c r="M5527" s="460">
        <f t="shared" si="191"/>
        <v>0.05</v>
      </c>
      <c r="N5527" s="464">
        <f t="shared" si="192"/>
        <v>219268</v>
      </c>
    </row>
    <row r="5528" spans="7:14" ht="11.25" customHeight="1" x14ac:dyDescent="0.3">
      <c r="G5528" s="459"/>
      <c r="H5528" s="459">
        <v>5521</v>
      </c>
      <c r="I5528" s="444">
        <f t="shared" ca="1" si="190"/>
        <v>-3153481711033843</v>
      </c>
      <c r="J5528" s="444">
        <f t="array" ref="J5528">IFERROR(INDEX('Retirement Calculator'!K:K,MATCH('Lorri 401b'!N5528,'Retirement Calculator'!A:A,0),0),0)</f>
        <v>0</v>
      </c>
      <c r="K5528" s="444">
        <f t="shared" ca="1" si="188"/>
        <v>-13139507129307.68</v>
      </c>
      <c r="L5528" s="444">
        <f t="shared" ca="1" si="189"/>
        <v>-3166621218163150.5</v>
      </c>
      <c r="M5528" s="460">
        <f t="shared" si="191"/>
        <v>0.05</v>
      </c>
      <c r="N5528" s="464">
        <f t="shared" si="192"/>
        <v>219299</v>
      </c>
    </row>
    <row r="5529" spans="7:14" ht="11.25" customHeight="1" x14ac:dyDescent="0.3">
      <c r="G5529" s="459"/>
      <c r="H5529" s="459">
        <v>5522</v>
      </c>
      <c r="I5529" s="444">
        <f t="shared" ca="1" si="190"/>
        <v>-3166621218163150.5</v>
      </c>
      <c r="J5529" s="444">
        <f t="array" ref="J5529">IFERROR(INDEX('Retirement Calculator'!K:K,MATCH('Lorri 401b'!N5529,'Retirement Calculator'!A:A,0),0),0)</f>
        <v>0</v>
      </c>
      <c r="K5529" s="444">
        <f t="shared" ca="1" si="188"/>
        <v>-13194255075679.793</v>
      </c>
      <c r="L5529" s="444">
        <f t="shared" ca="1" si="189"/>
        <v>-3179815473238830.5</v>
      </c>
      <c r="M5529" s="460">
        <f t="shared" si="191"/>
        <v>0.05</v>
      </c>
      <c r="N5529" s="464">
        <f t="shared" si="192"/>
        <v>219329</v>
      </c>
    </row>
    <row r="5530" spans="7:14" ht="11.25" customHeight="1" x14ac:dyDescent="0.3">
      <c r="G5530" s="459"/>
      <c r="H5530" s="459">
        <v>5523</v>
      </c>
      <c r="I5530" s="444">
        <f t="shared" ca="1" si="190"/>
        <v>-3179815473238830.5</v>
      </c>
      <c r="J5530" s="444">
        <f t="array" ref="J5530">IFERROR(INDEX('Retirement Calculator'!K:K,MATCH('Lorri 401b'!N5530,'Retirement Calculator'!A:A,0),0),0)</f>
        <v>0</v>
      </c>
      <c r="K5530" s="444">
        <f t="shared" ca="1" si="188"/>
        <v>-13249231138495.127</v>
      </c>
      <c r="L5530" s="444">
        <f t="shared" ca="1" si="189"/>
        <v>-3193064704377325.5</v>
      </c>
      <c r="M5530" s="460">
        <f t="shared" si="191"/>
        <v>0.05</v>
      </c>
      <c r="N5530" s="464">
        <f t="shared" si="192"/>
        <v>219360</v>
      </c>
    </row>
    <row r="5531" spans="7:14" ht="11.25" customHeight="1" x14ac:dyDescent="0.3">
      <c r="G5531" s="459"/>
      <c r="H5531" s="459">
        <v>5524</v>
      </c>
      <c r="I5531" s="444">
        <f t="shared" ca="1" si="190"/>
        <v>-3193064704377325.5</v>
      </c>
      <c r="J5531" s="444">
        <f t="array" ref="J5531">IFERROR(INDEX('Retirement Calculator'!K:K,MATCH('Lorri 401b'!N5531,'Retirement Calculator'!A:A,0),0),0)</f>
        <v>0</v>
      </c>
      <c r="K5531" s="444">
        <f t="shared" ca="1" si="188"/>
        <v>-13304436268238.855</v>
      </c>
      <c r="L5531" s="444">
        <f t="shared" ca="1" si="189"/>
        <v>-3206369140645564.5</v>
      </c>
      <c r="M5531" s="460">
        <f t="shared" si="191"/>
        <v>0.05</v>
      </c>
      <c r="N5531" s="464">
        <f t="shared" si="192"/>
        <v>219391</v>
      </c>
    </row>
    <row r="5532" spans="7:14" ht="11.25" customHeight="1" x14ac:dyDescent="0.3">
      <c r="G5532" s="459"/>
      <c r="H5532" s="459">
        <v>5525</v>
      </c>
      <c r="I5532" s="444">
        <f t="shared" ca="1" si="190"/>
        <v>-3206369140645564.5</v>
      </c>
      <c r="J5532" s="444">
        <f t="array" ref="J5532">IFERROR(INDEX('Retirement Calculator'!K:K,MATCH('Lorri 401b'!N5532,'Retirement Calculator'!A:A,0),0),0)</f>
        <v>0</v>
      </c>
      <c r="K5532" s="444">
        <f t="shared" ca="1" si="188"/>
        <v>-13359871419356.52</v>
      </c>
      <c r="L5532" s="444">
        <f t="shared" ca="1" si="189"/>
        <v>-3219729012064921</v>
      </c>
      <c r="M5532" s="460">
        <f t="shared" si="191"/>
        <v>0.05</v>
      </c>
      <c r="N5532" s="464">
        <f t="shared" si="192"/>
        <v>219421</v>
      </c>
    </row>
    <row r="5533" spans="7:14" ht="11.25" customHeight="1" x14ac:dyDescent="0.3">
      <c r="G5533" s="459"/>
      <c r="H5533" s="459">
        <v>5526</v>
      </c>
      <c r="I5533" s="444">
        <f t="shared" ca="1" si="190"/>
        <v>-3219729012064921</v>
      </c>
      <c r="J5533" s="444">
        <f t="array" ref="J5533">IFERROR(INDEX('Retirement Calculator'!K:K,MATCH('Lorri 401b'!N5533,'Retirement Calculator'!A:A,0),0),0)</f>
        <v>0</v>
      </c>
      <c r="K5533" s="444">
        <f t="shared" ca="1" si="188"/>
        <v>-13415537550270.504</v>
      </c>
      <c r="L5533" s="444">
        <f t="shared" ca="1" si="189"/>
        <v>-3233144549615191.5</v>
      </c>
      <c r="M5533" s="460">
        <f t="shared" si="191"/>
        <v>0.05</v>
      </c>
      <c r="N5533" s="464">
        <f t="shared" si="192"/>
        <v>219452</v>
      </c>
    </row>
    <row r="5534" spans="7:14" ht="11.25" customHeight="1" x14ac:dyDescent="0.3">
      <c r="G5534" s="459"/>
      <c r="H5534" s="459">
        <v>5527</v>
      </c>
      <c r="I5534" s="444">
        <f t="shared" ca="1" si="190"/>
        <v>-3233144549615191.5</v>
      </c>
      <c r="J5534" s="444">
        <f t="array" ref="J5534">IFERROR(INDEX('Retirement Calculator'!K:K,MATCH('Lorri 401b'!N5534,'Retirement Calculator'!A:A,0),0),0)</f>
        <v>0</v>
      </c>
      <c r="K5534" s="444">
        <f t="shared" ca="1" si="188"/>
        <v>-13471435623396.631</v>
      </c>
      <c r="L5534" s="444">
        <f t="shared" ca="1" si="189"/>
        <v>-3246615985238588</v>
      </c>
      <c r="M5534" s="460">
        <f t="shared" si="191"/>
        <v>0.05</v>
      </c>
      <c r="N5534" s="464">
        <f t="shared" si="192"/>
        <v>219482</v>
      </c>
    </row>
    <row r="5535" spans="7:14" ht="11.25" customHeight="1" x14ac:dyDescent="0.3">
      <c r="G5535" s="459"/>
      <c r="H5535" s="459">
        <v>5528</v>
      </c>
      <c r="I5535" s="444">
        <f t="shared" ca="1" si="190"/>
        <v>-3246615985238588</v>
      </c>
      <c r="J5535" s="444">
        <f t="array" ref="J5535">IFERROR(INDEX('Retirement Calculator'!K:K,MATCH('Lorri 401b'!N5535,'Retirement Calculator'!A:A,0),0),0)</f>
        <v>0</v>
      </c>
      <c r="K5535" s="444">
        <f t="shared" ca="1" si="188"/>
        <v>-13527566605160.783</v>
      </c>
      <c r="L5535" s="444">
        <f t="shared" ca="1" si="189"/>
        <v>-3260143551843749</v>
      </c>
      <c r="M5535" s="460">
        <f t="shared" si="191"/>
        <v>0.05</v>
      </c>
      <c r="N5535" s="464">
        <f t="shared" si="192"/>
        <v>219513</v>
      </c>
    </row>
    <row r="5536" spans="7:14" ht="11.25" customHeight="1" x14ac:dyDescent="0.3">
      <c r="G5536" s="459"/>
      <c r="H5536" s="459">
        <v>5529</v>
      </c>
      <c r="I5536" s="444">
        <f t="shared" ca="1" si="190"/>
        <v>-3260143551843749</v>
      </c>
      <c r="J5536" s="444">
        <f t="array" ref="J5536">IFERROR(INDEX('Retirement Calculator'!K:K,MATCH('Lorri 401b'!N5536,'Retirement Calculator'!A:A,0),0),0)</f>
        <v>0</v>
      </c>
      <c r="K5536" s="444">
        <f t="shared" ca="1" si="188"/>
        <v>-13583931466015.621</v>
      </c>
      <c r="L5536" s="444">
        <f t="shared" ca="1" si="189"/>
        <v>-3273727483309764.5</v>
      </c>
      <c r="M5536" s="460">
        <f t="shared" si="191"/>
        <v>0.05</v>
      </c>
      <c r="N5536" s="464">
        <f t="shared" si="192"/>
        <v>219544</v>
      </c>
    </row>
    <row r="5537" spans="7:14" ht="11.25" customHeight="1" x14ac:dyDescent="0.3">
      <c r="G5537" s="459"/>
      <c r="H5537" s="459">
        <v>5530</v>
      </c>
      <c r="I5537" s="444">
        <f t="shared" ca="1" si="190"/>
        <v>-3273727483309764.5</v>
      </c>
      <c r="J5537" s="444">
        <f t="array" ref="J5537">IFERROR(INDEX('Retirement Calculator'!K:K,MATCH('Lorri 401b'!N5537,'Retirement Calculator'!A:A,0),0),0)</f>
        <v>0</v>
      </c>
      <c r="K5537" s="444">
        <f t="shared" ca="1" si="188"/>
        <v>-13640531180457.352</v>
      </c>
      <c r="L5537" s="444">
        <f t="shared" ca="1" si="189"/>
        <v>-3287368014490222</v>
      </c>
      <c r="M5537" s="460">
        <f t="shared" si="191"/>
        <v>0.05</v>
      </c>
      <c r="N5537" s="464">
        <f t="shared" si="192"/>
        <v>219572</v>
      </c>
    </row>
    <row r="5538" spans="7:14" ht="11.25" customHeight="1" x14ac:dyDescent="0.3">
      <c r="G5538" s="459"/>
      <c r="H5538" s="459">
        <v>5531</v>
      </c>
      <c r="I5538" s="444">
        <f t="shared" ca="1" si="190"/>
        <v>-3287368014490222</v>
      </c>
      <c r="J5538" s="444">
        <f t="array" ref="J5538">IFERROR(INDEX('Retirement Calculator'!K:K,MATCH('Lorri 401b'!N5538,'Retirement Calculator'!A:A,0),0),0)</f>
        <v>0</v>
      </c>
      <c r="K5538" s="444">
        <f t="shared" ca="1" si="188"/>
        <v>-13697366727042.592</v>
      </c>
      <c r="L5538" s="444">
        <f t="shared" ca="1" si="189"/>
        <v>-3301065381217264.5</v>
      </c>
      <c r="M5538" s="460">
        <f t="shared" si="191"/>
        <v>0.05</v>
      </c>
      <c r="N5538" s="464">
        <f t="shared" si="192"/>
        <v>219603</v>
      </c>
    </row>
    <row r="5539" spans="7:14" ht="11.25" customHeight="1" x14ac:dyDescent="0.3">
      <c r="G5539" s="459"/>
      <c r="H5539" s="459">
        <v>5532</v>
      </c>
      <c r="I5539" s="444">
        <f t="shared" ca="1" si="190"/>
        <v>-3301065381217264.5</v>
      </c>
      <c r="J5539" s="444">
        <f t="array" ref="J5539">IFERROR(INDEX('Retirement Calculator'!K:K,MATCH('Lorri 401b'!N5539,'Retirement Calculator'!A:A,0),0),0)</f>
        <v>0</v>
      </c>
      <c r="K5539" s="444">
        <f t="shared" ca="1" si="188"/>
        <v>-13754439088405.27</v>
      </c>
      <c r="L5539" s="444">
        <f t="shared" ca="1" si="189"/>
        <v>-3314819820305670</v>
      </c>
      <c r="M5539" s="460">
        <f t="shared" si="191"/>
        <v>0.05</v>
      </c>
      <c r="N5539" s="464">
        <f t="shared" si="192"/>
        <v>219633</v>
      </c>
    </row>
    <row r="5540" spans="7:14" ht="11.25" customHeight="1" x14ac:dyDescent="0.3">
      <c r="G5540" s="459"/>
      <c r="H5540" s="459">
        <v>5533</v>
      </c>
      <c r="I5540" s="444">
        <f t="shared" ca="1" si="190"/>
        <v>-3314819820305670</v>
      </c>
      <c r="J5540" s="444">
        <f t="array" ref="J5540">IFERROR(INDEX('Retirement Calculator'!K:K,MATCH('Lorri 401b'!N5540,'Retirement Calculator'!A:A,0),0),0)</f>
        <v>0</v>
      </c>
      <c r="K5540" s="444">
        <f t="shared" ca="1" si="188"/>
        <v>-13811749251273.625</v>
      </c>
      <c r="L5540" s="444">
        <f t="shared" ca="1" si="189"/>
        <v>-3328631569556943.5</v>
      </c>
      <c r="M5540" s="460">
        <f t="shared" si="191"/>
        <v>0.05</v>
      </c>
      <c r="N5540" s="464">
        <f t="shared" si="192"/>
        <v>219664</v>
      </c>
    </row>
    <row r="5541" spans="7:14" ht="11.25" customHeight="1" x14ac:dyDescent="0.3">
      <c r="G5541" s="459"/>
      <c r="H5541" s="459">
        <v>5534</v>
      </c>
      <c r="I5541" s="444">
        <f t="shared" ca="1" si="190"/>
        <v>-3328631569556943.5</v>
      </c>
      <c r="J5541" s="444">
        <f t="array" ref="J5541">IFERROR(INDEX('Retirement Calculator'!K:K,MATCH('Lorri 401b'!N5541,'Retirement Calculator'!A:A,0),0),0)</f>
        <v>0</v>
      </c>
      <c r="K5541" s="444">
        <f t="shared" ca="1" si="188"/>
        <v>-13869298206487.264</v>
      </c>
      <c r="L5541" s="444">
        <f t="shared" ca="1" si="189"/>
        <v>-3342500867763431</v>
      </c>
      <c r="M5541" s="460">
        <f t="shared" si="191"/>
        <v>0.05</v>
      </c>
      <c r="N5541" s="464">
        <f t="shared" si="192"/>
        <v>219694</v>
      </c>
    </row>
    <row r="5542" spans="7:14" ht="11.25" customHeight="1" x14ac:dyDescent="0.3">
      <c r="G5542" s="459"/>
      <c r="H5542" s="459">
        <v>5535</v>
      </c>
      <c r="I5542" s="444">
        <f t="shared" ca="1" si="190"/>
        <v>-3342500867763431</v>
      </c>
      <c r="J5542" s="444">
        <f t="array" ref="J5542">IFERROR(INDEX('Retirement Calculator'!K:K,MATCH('Lorri 401b'!N5542,'Retirement Calculator'!A:A,0),0),0)</f>
        <v>0</v>
      </c>
      <c r="K5542" s="444">
        <f t="shared" ca="1" si="188"/>
        <v>-13927086949014.295</v>
      </c>
      <c r="L5542" s="444">
        <f t="shared" ca="1" si="189"/>
        <v>-3356427954712445.5</v>
      </c>
      <c r="M5542" s="460">
        <f t="shared" si="191"/>
        <v>0.05</v>
      </c>
      <c r="N5542" s="464">
        <f t="shared" si="192"/>
        <v>219725</v>
      </c>
    </row>
    <row r="5543" spans="7:14" ht="11.25" customHeight="1" x14ac:dyDescent="0.3">
      <c r="G5543" s="459"/>
      <c r="H5543" s="459">
        <v>5536</v>
      </c>
      <c r="I5543" s="444">
        <f t="shared" ca="1" si="190"/>
        <v>-3356427954712445.5</v>
      </c>
      <c r="J5543" s="444">
        <f t="array" ref="J5543">IFERROR(INDEX('Retirement Calculator'!K:K,MATCH('Lorri 401b'!N5543,'Retirement Calculator'!A:A,0),0),0)</f>
        <v>0</v>
      </c>
      <c r="K5543" s="444">
        <f t="shared" ca="1" si="188"/>
        <v>-13985116477968.523</v>
      </c>
      <c r="L5543" s="444">
        <f t="shared" ca="1" si="189"/>
        <v>-3370413071190414</v>
      </c>
      <c r="M5543" s="460">
        <f t="shared" si="191"/>
        <v>0.05</v>
      </c>
      <c r="N5543" s="464">
        <f t="shared" si="192"/>
        <v>219756</v>
      </c>
    </row>
    <row r="5544" spans="7:14" ht="11.25" customHeight="1" x14ac:dyDescent="0.3">
      <c r="G5544" s="459"/>
      <c r="H5544" s="459">
        <v>5537</v>
      </c>
      <c r="I5544" s="444">
        <f t="shared" ca="1" si="190"/>
        <v>-3370413071190414</v>
      </c>
      <c r="J5544" s="444">
        <f t="array" ref="J5544">IFERROR(INDEX('Retirement Calculator'!K:K,MATCH('Lorri 401b'!N5544,'Retirement Calculator'!A:A,0),0),0)</f>
        <v>0</v>
      </c>
      <c r="K5544" s="444">
        <f t="shared" ca="1" si="188"/>
        <v>-14043387796626.725</v>
      </c>
      <c r="L5544" s="444">
        <f t="shared" ca="1" si="189"/>
        <v>-3384456458987040.5</v>
      </c>
      <c r="M5544" s="460">
        <f t="shared" si="191"/>
        <v>0.05</v>
      </c>
      <c r="N5544" s="464">
        <f t="shared" si="192"/>
        <v>219786</v>
      </c>
    </row>
    <row r="5545" spans="7:14" ht="11.25" customHeight="1" x14ac:dyDescent="0.3">
      <c r="G5545" s="459"/>
      <c r="H5545" s="459">
        <v>5538</v>
      </c>
      <c r="I5545" s="444">
        <f t="shared" ca="1" si="190"/>
        <v>-3384456458987040.5</v>
      </c>
      <c r="J5545" s="444">
        <f t="array" ref="J5545">IFERROR(INDEX('Retirement Calculator'!K:K,MATCH('Lorri 401b'!N5545,'Retirement Calculator'!A:A,0),0),0)</f>
        <v>0</v>
      </c>
      <c r="K5545" s="444">
        <f t="shared" ca="1" si="188"/>
        <v>-14101901912446.002</v>
      </c>
      <c r="L5545" s="444">
        <f t="shared" ca="1" si="189"/>
        <v>-3398558360899486.5</v>
      </c>
      <c r="M5545" s="460">
        <f t="shared" si="191"/>
        <v>0.05</v>
      </c>
      <c r="N5545" s="464">
        <f t="shared" si="192"/>
        <v>219817</v>
      </c>
    </row>
    <row r="5546" spans="7:14" ht="11.25" customHeight="1" x14ac:dyDescent="0.3">
      <c r="G5546" s="459"/>
      <c r="H5546" s="459">
        <v>5539</v>
      </c>
      <c r="I5546" s="444">
        <f t="shared" ca="1" si="190"/>
        <v>-3398558360899486.5</v>
      </c>
      <c r="J5546" s="444">
        <f t="array" ref="J5546">IFERROR(INDEX('Retirement Calculator'!K:K,MATCH('Lorri 401b'!N5546,'Retirement Calculator'!A:A,0),0),0)</f>
        <v>0</v>
      </c>
      <c r="K5546" s="444">
        <f t="shared" ca="1" si="188"/>
        <v>-14160659837081.193</v>
      </c>
      <c r="L5546" s="444">
        <f t="shared" ca="1" si="189"/>
        <v>-3412719020736567.5</v>
      </c>
      <c r="M5546" s="460">
        <f t="shared" si="191"/>
        <v>0.05</v>
      </c>
      <c r="N5546" s="464">
        <f t="shared" si="192"/>
        <v>219847</v>
      </c>
    </row>
    <row r="5547" spans="7:14" ht="11.25" customHeight="1" x14ac:dyDescent="0.3">
      <c r="G5547" s="459"/>
      <c r="H5547" s="459">
        <v>5540</v>
      </c>
      <c r="I5547" s="444">
        <f t="shared" ca="1" si="190"/>
        <v>-3412719020736567.5</v>
      </c>
      <c r="J5547" s="444">
        <f t="array" ref="J5547">IFERROR(INDEX('Retirement Calculator'!K:K,MATCH('Lorri 401b'!N5547,'Retirement Calculator'!A:A,0),0),0)</f>
        <v>0</v>
      </c>
      <c r="K5547" s="444">
        <f t="shared" ca="1" si="188"/>
        <v>-14219662586402.365</v>
      </c>
      <c r="L5547" s="444">
        <f t="shared" ca="1" si="189"/>
        <v>-3426938683322970</v>
      </c>
      <c r="M5547" s="460">
        <f t="shared" si="191"/>
        <v>0.05</v>
      </c>
      <c r="N5547" s="464">
        <f t="shared" si="192"/>
        <v>219878</v>
      </c>
    </row>
    <row r="5548" spans="7:14" ht="11.25" customHeight="1" x14ac:dyDescent="0.3">
      <c r="G5548" s="459"/>
      <c r="H5548" s="459">
        <v>5541</v>
      </c>
      <c r="I5548" s="444">
        <f t="shared" ca="1" si="190"/>
        <v>-3426938683322970</v>
      </c>
      <c r="J5548" s="444">
        <f t="array" ref="J5548">IFERROR(INDEX('Retirement Calculator'!K:K,MATCH('Lorri 401b'!N5548,'Retirement Calculator'!A:A,0),0),0)</f>
        <v>0</v>
      </c>
      <c r="K5548" s="444">
        <f t="shared" ca="1" si="188"/>
        <v>-14278911180512.375</v>
      </c>
      <c r="L5548" s="444">
        <f t="shared" ca="1" si="189"/>
        <v>-3441217594503482.5</v>
      </c>
      <c r="M5548" s="460">
        <f t="shared" si="191"/>
        <v>0.05</v>
      </c>
      <c r="N5548" s="464">
        <f t="shared" si="192"/>
        <v>219909</v>
      </c>
    </row>
    <row r="5549" spans="7:14" ht="11.25" customHeight="1" x14ac:dyDescent="0.3">
      <c r="G5549" s="459"/>
      <c r="H5549" s="459">
        <v>5542</v>
      </c>
      <c r="I5549" s="444">
        <f t="shared" ca="1" si="190"/>
        <v>-3441217594503482.5</v>
      </c>
      <c r="J5549" s="444">
        <f t="array" ref="J5549">IFERROR(INDEX('Retirement Calculator'!K:K,MATCH('Lorri 401b'!N5549,'Retirement Calculator'!A:A,0),0),0)</f>
        <v>0</v>
      </c>
      <c r="K5549" s="444">
        <f t="shared" ca="1" si="188"/>
        <v>-14338406643764.51</v>
      </c>
      <c r="L5549" s="444">
        <f t="shared" ca="1" si="189"/>
        <v>-3455556001147247</v>
      </c>
      <c r="M5549" s="460">
        <f t="shared" si="191"/>
        <v>0.05</v>
      </c>
      <c r="N5549" s="464">
        <f t="shared" si="192"/>
        <v>219937</v>
      </c>
    </row>
    <row r="5550" spans="7:14" ht="11.25" customHeight="1" x14ac:dyDescent="0.3">
      <c r="G5550" s="459"/>
      <c r="H5550" s="459">
        <v>5543</v>
      </c>
      <c r="I5550" s="444">
        <f t="shared" ca="1" si="190"/>
        <v>-3455556001147247</v>
      </c>
      <c r="J5550" s="444">
        <f t="array" ref="J5550">IFERROR(INDEX('Retirement Calculator'!K:K,MATCH('Lorri 401b'!N5550,'Retirement Calculator'!A:A,0),0),0)</f>
        <v>0</v>
      </c>
      <c r="K5550" s="444">
        <f t="shared" ca="1" si="188"/>
        <v>-14398150004780.195</v>
      </c>
      <c r="L5550" s="444">
        <f t="shared" ca="1" si="189"/>
        <v>-3469954151152027</v>
      </c>
      <c r="M5550" s="460">
        <f t="shared" si="191"/>
        <v>0.05</v>
      </c>
      <c r="N5550" s="464">
        <f t="shared" si="192"/>
        <v>219968</v>
      </c>
    </row>
    <row r="5551" spans="7:14" ht="11.25" customHeight="1" x14ac:dyDescent="0.3">
      <c r="G5551" s="459"/>
      <c r="H5551" s="459">
        <v>5544</v>
      </c>
      <c r="I5551" s="444">
        <f t="shared" ca="1" si="190"/>
        <v>-3469954151152027</v>
      </c>
      <c r="J5551" s="444">
        <f t="array" ref="J5551">IFERROR(INDEX('Retirement Calculator'!K:K,MATCH('Lorri 401b'!N5551,'Retirement Calculator'!A:A,0),0),0)</f>
        <v>0</v>
      </c>
      <c r="K5551" s="444">
        <f t="shared" ca="1" si="188"/>
        <v>-14458142296466.779</v>
      </c>
      <c r="L5551" s="444">
        <f t="shared" ca="1" si="189"/>
        <v>-3484412293448494</v>
      </c>
      <c r="M5551" s="460">
        <f t="shared" si="191"/>
        <v>0.05</v>
      </c>
      <c r="N5551" s="464">
        <f t="shared" si="192"/>
        <v>219998</v>
      </c>
    </row>
    <row r="5552" spans="7:14" ht="11.25" customHeight="1" x14ac:dyDescent="0.3">
      <c r="G5552" s="459"/>
      <c r="H5552" s="459">
        <v>5545</v>
      </c>
      <c r="I5552" s="444">
        <f t="shared" ca="1" si="190"/>
        <v>-3484412293448494</v>
      </c>
      <c r="J5552" s="444">
        <f t="array" ref="J5552">IFERROR(INDEX('Retirement Calculator'!K:K,MATCH('Lorri 401b'!N5552,'Retirement Calculator'!A:A,0),0),0)</f>
        <v>0</v>
      </c>
      <c r="K5552" s="444">
        <f t="shared" ca="1" si="188"/>
        <v>-14518384556035.391</v>
      </c>
      <c r="L5552" s="444">
        <f t="shared" ca="1" si="189"/>
        <v>-3498930678004529.5</v>
      </c>
      <c r="M5552" s="460">
        <f t="shared" si="191"/>
        <v>0.05</v>
      </c>
      <c r="N5552" s="464">
        <f t="shared" si="192"/>
        <v>220029</v>
      </c>
    </row>
    <row r="5553" spans="7:14" ht="11.25" customHeight="1" x14ac:dyDescent="0.3">
      <c r="G5553" s="459"/>
      <c r="H5553" s="459">
        <v>5546</v>
      </c>
      <c r="I5553" s="444">
        <f t="shared" ca="1" si="190"/>
        <v>-3498930678004529.5</v>
      </c>
      <c r="J5553" s="444">
        <f t="array" ref="J5553">IFERROR(INDEX('Retirement Calculator'!K:K,MATCH('Lorri 401b'!N5553,'Retirement Calculator'!A:A,0),0),0)</f>
        <v>0</v>
      </c>
      <c r="K5553" s="444">
        <f t="shared" ca="1" si="188"/>
        <v>-14578877825018.873</v>
      </c>
      <c r="L5553" s="444">
        <f t="shared" ca="1" si="189"/>
        <v>-3513509555829548.5</v>
      </c>
      <c r="M5553" s="460">
        <f t="shared" si="191"/>
        <v>0.05</v>
      </c>
      <c r="N5553" s="464">
        <f t="shared" si="192"/>
        <v>220059</v>
      </c>
    </row>
    <row r="5554" spans="7:14" ht="11.25" customHeight="1" x14ac:dyDescent="0.3">
      <c r="G5554" s="459"/>
      <c r="H5554" s="459">
        <v>5547</v>
      </c>
      <c r="I5554" s="444">
        <f t="shared" ca="1" si="190"/>
        <v>-3513509555829548.5</v>
      </c>
      <c r="J5554" s="444">
        <f t="array" ref="J5554">IFERROR(INDEX('Retirement Calculator'!K:K,MATCH('Lorri 401b'!N5554,'Retirement Calculator'!A:A,0),0),0)</f>
        <v>0</v>
      </c>
      <c r="K5554" s="444">
        <f t="shared" ca="1" si="188"/>
        <v>-14639623149289.787</v>
      </c>
      <c r="L5554" s="444">
        <f t="shared" ca="1" si="189"/>
        <v>-3528149178978838.5</v>
      </c>
      <c r="M5554" s="460">
        <f t="shared" si="191"/>
        <v>0.05</v>
      </c>
      <c r="N5554" s="464">
        <f t="shared" si="192"/>
        <v>220090</v>
      </c>
    </row>
    <row r="5555" spans="7:14" ht="11.25" customHeight="1" x14ac:dyDescent="0.3">
      <c r="G5555" s="459"/>
      <c r="H5555" s="459">
        <v>5548</v>
      </c>
      <c r="I5555" s="444">
        <f t="shared" ca="1" si="190"/>
        <v>-3528149178978838.5</v>
      </c>
      <c r="J5555" s="444">
        <f t="array" ref="J5555">IFERROR(INDEX('Retirement Calculator'!K:K,MATCH('Lorri 401b'!N5555,'Retirement Calculator'!A:A,0),0),0)</f>
        <v>0</v>
      </c>
      <c r="K5555" s="444">
        <f t="shared" ca="1" si="188"/>
        <v>-14700621579078.496</v>
      </c>
      <c r="L5555" s="444">
        <f t="shared" ca="1" si="189"/>
        <v>-3542849800557917</v>
      </c>
      <c r="M5555" s="460">
        <f t="shared" si="191"/>
        <v>0.05</v>
      </c>
      <c r="N5555" s="464">
        <f t="shared" si="192"/>
        <v>220121</v>
      </c>
    </row>
    <row r="5556" spans="7:14" ht="11.25" customHeight="1" x14ac:dyDescent="0.3">
      <c r="G5556" s="459"/>
      <c r="H5556" s="459">
        <v>5549</v>
      </c>
      <c r="I5556" s="444">
        <f t="shared" ca="1" si="190"/>
        <v>-3542849800557917</v>
      </c>
      <c r="J5556" s="444">
        <f t="array" ref="J5556">IFERROR(INDEX('Retirement Calculator'!K:K,MATCH('Lorri 401b'!N5556,'Retirement Calculator'!A:A,0),0),0)</f>
        <v>0</v>
      </c>
      <c r="K5556" s="444">
        <f t="shared" ca="1" si="188"/>
        <v>-14761874168991.32</v>
      </c>
      <c r="L5556" s="444">
        <f t="shared" ca="1" si="189"/>
        <v>-3557611674726908.5</v>
      </c>
      <c r="M5556" s="460">
        <f t="shared" si="191"/>
        <v>0.05</v>
      </c>
      <c r="N5556" s="464">
        <f t="shared" si="192"/>
        <v>220151</v>
      </c>
    </row>
    <row r="5557" spans="7:14" ht="11.25" customHeight="1" x14ac:dyDescent="0.3">
      <c r="G5557" s="459"/>
      <c r="H5557" s="459">
        <v>5550</v>
      </c>
      <c r="I5557" s="444">
        <f t="shared" ca="1" si="190"/>
        <v>-3557611674726908.5</v>
      </c>
      <c r="J5557" s="444">
        <f t="array" ref="J5557">IFERROR(INDEX('Retirement Calculator'!K:K,MATCH('Lorri 401b'!N5557,'Retirement Calculator'!A:A,0),0),0)</f>
        <v>0</v>
      </c>
      <c r="K5557" s="444">
        <f t="shared" ca="1" si="188"/>
        <v>-14823381978028.785</v>
      </c>
      <c r="L5557" s="444">
        <f t="shared" ca="1" si="189"/>
        <v>-3572435056704937.5</v>
      </c>
      <c r="M5557" s="460">
        <f t="shared" si="191"/>
        <v>0.05</v>
      </c>
      <c r="N5557" s="464">
        <f t="shared" si="192"/>
        <v>220182</v>
      </c>
    </row>
    <row r="5558" spans="7:14" ht="11.25" customHeight="1" x14ac:dyDescent="0.3">
      <c r="G5558" s="459"/>
      <c r="H5558" s="459">
        <v>5551</v>
      </c>
      <c r="I5558" s="444">
        <f t="shared" ca="1" si="190"/>
        <v>-3572435056704937.5</v>
      </c>
      <c r="J5558" s="444">
        <f t="array" ref="J5558">IFERROR(INDEX('Retirement Calculator'!K:K,MATCH('Lorri 401b'!N5558,'Retirement Calculator'!A:A,0),0),0)</f>
        <v>0</v>
      </c>
      <c r="K5558" s="444">
        <f t="shared" ca="1" si="188"/>
        <v>-14885146069603.906</v>
      </c>
      <c r="L5558" s="444">
        <f t="shared" ca="1" si="189"/>
        <v>-3587320202774541.5</v>
      </c>
      <c r="M5558" s="460">
        <f t="shared" si="191"/>
        <v>0.05</v>
      </c>
      <c r="N5558" s="464">
        <f t="shared" si="192"/>
        <v>220212</v>
      </c>
    </row>
    <row r="5559" spans="7:14" ht="11.25" customHeight="1" x14ac:dyDescent="0.3">
      <c r="G5559" s="459"/>
      <c r="H5559" s="459">
        <v>5552</v>
      </c>
      <c r="I5559" s="444">
        <f t="shared" ca="1" si="190"/>
        <v>-3587320202774541.5</v>
      </c>
      <c r="J5559" s="444">
        <f t="array" ref="J5559">IFERROR(INDEX('Retirement Calculator'!K:K,MATCH('Lorri 401b'!N5559,'Retirement Calculator'!A:A,0),0),0)</f>
        <v>0</v>
      </c>
      <c r="K5559" s="444">
        <f t="shared" ca="1" si="188"/>
        <v>-14947167511560.592</v>
      </c>
      <c r="L5559" s="444">
        <f t="shared" ca="1" si="189"/>
        <v>-3602267370286102</v>
      </c>
      <c r="M5559" s="460">
        <f t="shared" si="191"/>
        <v>0.05</v>
      </c>
      <c r="N5559" s="464">
        <f t="shared" si="192"/>
        <v>220243</v>
      </c>
    </row>
    <row r="5560" spans="7:14" ht="11.25" customHeight="1" x14ac:dyDescent="0.3">
      <c r="G5560" s="459"/>
      <c r="H5560" s="459">
        <v>5553</v>
      </c>
      <c r="I5560" s="444">
        <f t="shared" ca="1" si="190"/>
        <v>-3602267370286102</v>
      </c>
      <c r="J5560" s="444">
        <f t="array" ref="J5560">IFERROR(INDEX('Retirement Calculator'!K:K,MATCH('Lorri 401b'!N5560,'Retirement Calculator'!A:A,0),0),0)</f>
        <v>0</v>
      </c>
      <c r="K5560" s="444">
        <f t="shared" ca="1" si="188"/>
        <v>-15009447376192.092</v>
      </c>
      <c r="L5560" s="444">
        <f t="shared" ca="1" si="189"/>
        <v>-3617276817662294</v>
      </c>
      <c r="M5560" s="460">
        <f t="shared" si="191"/>
        <v>0.05</v>
      </c>
      <c r="N5560" s="464">
        <f t="shared" si="192"/>
        <v>220274</v>
      </c>
    </row>
    <row r="5561" spans="7:14" ht="11.25" customHeight="1" x14ac:dyDescent="0.3">
      <c r="G5561" s="459"/>
      <c r="H5561" s="459">
        <v>5554</v>
      </c>
      <c r="I5561" s="444">
        <f t="shared" ca="1" si="190"/>
        <v>-3617276817662294</v>
      </c>
      <c r="J5561" s="444">
        <f t="array" ref="J5561">IFERROR(INDEX('Retirement Calculator'!K:K,MATCH('Lorri 401b'!N5561,'Retirement Calculator'!A:A,0),0),0)</f>
        <v>0</v>
      </c>
      <c r="K5561" s="444">
        <f t="shared" ca="1" si="188"/>
        <v>-15071986740259.561</v>
      </c>
      <c r="L5561" s="444">
        <f t="shared" ca="1" si="189"/>
        <v>-3632348804402553.5</v>
      </c>
      <c r="M5561" s="460">
        <f t="shared" si="191"/>
        <v>0.05</v>
      </c>
      <c r="N5561" s="464">
        <f t="shared" si="192"/>
        <v>220302</v>
      </c>
    </row>
    <row r="5562" spans="7:14" ht="11.25" customHeight="1" x14ac:dyDescent="0.3">
      <c r="G5562" s="459"/>
      <c r="H5562" s="459">
        <v>5555</v>
      </c>
      <c r="I5562" s="444">
        <f t="shared" ca="1" si="190"/>
        <v>-3632348804402553.5</v>
      </c>
      <c r="J5562" s="444">
        <f t="array" ref="J5562">IFERROR(INDEX('Retirement Calculator'!K:K,MATCH('Lorri 401b'!N5562,'Retirement Calculator'!A:A,0),0),0)</f>
        <v>0</v>
      </c>
      <c r="K5562" s="444">
        <f t="shared" ca="1" si="188"/>
        <v>-15134786685010.639</v>
      </c>
      <c r="L5562" s="444">
        <f t="shared" ca="1" si="189"/>
        <v>-3647483591087564</v>
      </c>
      <c r="M5562" s="460">
        <f t="shared" si="191"/>
        <v>0.05</v>
      </c>
      <c r="N5562" s="464">
        <f t="shared" si="192"/>
        <v>220333</v>
      </c>
    </row>
    <row r="5563" spans="7:14" ht="11.25" customHeight="1" x14ac:dyDescent="0.3">
      <c r="G5563" s="459"/>
      <c r="H5563" s="459">
        <v>5556</v>
      </c>
      <c r="I5563" s="444">
        <f t="shared" ca="1" si="190"/>
        <v>-3647483591087564</v>
      </c>
      <c r="J5563" s="444">
        <f t="array" ref="J5563">IFERROR(INDEX('Retirement Calculator'!K:K,MATCH('Lorri 401b'!N5563,'Retirement Calculator'!A:A,0),0),0)</f>
        <v>0</v>
      </c>
      <c r="K5563" s="444">
        <f t="shared" ca="1" si="188"/>
        <v>-15197848296198.184</v>
      </c>
      <c r="L5563" s="444">
        <f t="shared" ca="1" si="189"/>
        <v>-3662681439383762</v>
      </c>
      <c r="M5563" s="460">
        <f t="shared" si="191"/>
        <v>0.05</v>
      </c>
      <c r="N5563" s="464">
        <f t="shared" si="192"/>
        <v>220363</v>
      </c>
    </row>
    <row r="5564" spans="7:14" ht="11.25" customHeight="1" x14ac:dyDescent="0.3">
      <c r="G5564" s="459"/>
      <c r="H5564" s="459">
        <v>5557</v>
      </c>
      <c r="I5564" s="444">
        <f t="shared" ca="1" si="190"/>
        <v>-3662681439383762</v>
      </c>
      <c r="J5564" s="444">
        <f t="array" ref="J5564">IFERROR(INDEX('Retirement Calculator'!K:K,MATCH('Lorri 401b'!N5564,'Retirement Calculator'!A:A,0),0),0)</f>
        <v>0</v>
      </c>
      <c r="K5564" s="444">
        <f t="shared" ca="1" si="188"/>
        <v>-15261172664099.01</v>
      </c>
      <c r="L5564" s="444">
        <f t="shared" ca="1" si="189"/>
        <v>-3677942612047861</v>
      </c>
      <c r="M5564" s="460">
        <f t="shared" si="191"/>
        <v>0.05</v>
      </c>
      <c r="N5564" s="464">
        <f t="shared" si="192"/>
        <v>220394</v>
      </c>
    </row>
    <row r="5565" spans="7:14" ht="11.25" customHeight="1" x14ac:dyDescent="0.3">
      <c r="G5565" s="459"/>
      <c r="H5565" s="459">
        <v>5558</v>
      </c>
      <c r="I5565" s="444">
        <f t="shared" ca="1" si="190"/>
        <v>-3677942612047861</v>
      </c>
      <c r="J5565" s="444">
        <f t="array" ref="J5565">IFERROR(INDEX('Retirement Calculator'!K:K,MATCH('Lorri 401b'!N5565,'Retirement Calculator'!A:A,0),0),0)</f>
        <v>0</v>
      </c>
      <c r="K5565" s="444">
        <f t="shared" ca="1" si="188"/>
        <v>-15324760883532.754</v>
      </c>
      <c r="L5565" s="444">
        <f t="shared" ca="1" si="189"/>
        <v>-3693267372931394</v>
      </c>
      <c r="M5565" s="460">
        <f t="shared" si="191"/>
        <v>0.05</v>
      </c>
      <c r="N5565" s="464">
        <f t="shared" si="192"/>
        <v>220424</v>
      </c>
    </row>
    <row r="5566" spans="7:14" ht="11.25" customHeight="1" x14ac:dyDescent="0.3">
      <c r="G5566" s="459"/>
      <c r="H5566" s="459">
        <v>5559</v>
      </c>
      <c r="I5566" s="444">
        <f t="shared" ca="1" si="190"/>
        <v>-3693267372931394</v>
      </c>
      <c r="J5566" s="444">
        <f t="array" ref="J5566">IFERROR(INDEX('Retirement Calculator'!K:K,MATCH('Lorri 401b'!N5566,'Retirement Calculator'!A:A,0),0),0)</f>
        <v>0</v>
      </c>
      <c r="K5566" s="444">
        <f t="shared" ca="1" si="188"/>
        <v>-15388614053880.809</v>
      </c>
      <c r="L5566" s="444">
        <f t="shared" ca="1" si="189"/>
        <v>-3708655986985275</v>
      </c>
      <c r="M5566" s="460">
        <f t="shared" si="191"/>
        <v>0.05</v>
      </c>
      <c r="N5566" s="464">
        <f t="shared" si="192"/>
        <v>220455</v>
      </c>
    </row>
    <row r="5567" spans="7:14" ht="11.25" customHeight="1" x14ac:dyDescent="0.3">
      <c r="G5567" s="459"/>
      <c r="H5567" s="459">
        <v>5560</v>
      </c>
      <c r="I5567" s="444">
        <f t="shared" ca="1" si="190"/>
        <v>-3708655986985275</v>
      </c>
      <c r="J5567" s="444">
        <f t="array" ref="J5567">IFERROR(INDEX('Retirement Calculator'!K:K,MATCH('Lorri 401b'!N5567,'Retirement Calculator'!A:A,0),0),0)</f>
        <v>0</v>
      </c>
      <c r="K5567" s="444">
        <f t="shared" ca="1" si="188"/>
        <v>-15452733279105.313</v>
      </c>
      <c r="L5567" s="444">
        <f t="shared" ca="1" si="189"/>
        <v>-3724108720264380.5</v>
      </c>
      <c r="M5567" s="460">
        <f t="shared" si="191"/>
        <v>0.05</v>
      </c>
      <c r="N5567" s="464">
        <f t="shared" si="192"/>
        <v>220486</v>
      </c>
    </row>
    <row r="5568" spans="7:14" ht="11.25" customHeight="1" x14ac:dyDescent="0.3">
      <c r="G5568" s="459"/>
      <c r="H5568" s="459">
        <v>5561</v>
      </c>
      <c r="I5568" s="444">
        <f t="shared" ca="1" si="190"/>
        <v>-3724108720264380.5</v>
      </c>
      <c r="J5568" s="444">
        <f t="array" ref="J5568">IFERROR(INDEX('Retirement Calculator'!K:K,MATCH('Lorri 401b'!N5568,'Retirement Calculator'!A:A,0),0),0)</f>
        <v>0</v>
      </c>
      <c r="K5568" s="444">
        <f t="shared" ca="1" si="188"/>
        <v>-15517119667768.252</v>
      </c>
      <c r="L5568" s="444">
        <f t="shared" ca="1" si="189"/>
        <v>-3739625839932149</v>
      </c>
      <c r="M5568" s="460">
        <f t="shared" si="191"/>
        <v>0.05</v>
      </c>
      <c r="N5568" s="464">
        <f t="shared" si="192"/>
        <v>220516</v>
      </c>
    </row>
    <row r="5569" spans="7:14" ht="11.25" customHeight="1" x14ac:dyDescent="0.3">
      <c r="G5569" s="459"/>
      <c r="H5569" s="459">
        <v>5562</v>
      </c>
      <c r="I5569" s="444">
        <f t="shared" ca="1" si="190"/>
        <v>-3739625839932149</v>
      </c>
      <c r="J5569" s="444">
        <f t="array" ref="J5569">IFERROR(INDEX('Retirement Calculator'!K:K,MATCH('Lorri 401b'!N5569,'Retirement Calculator'!A:A,0),0),0)</f>
        <v>0</v>
      </c>
      <c r="K5569" s="444">
        <f t="shared" ca="1" si="188"/>
        <v>-15581774333050.621</v>
      </c>
      <c r="L5569" s="444">
        <f t="shared" ca="1" si="189"/>
        <v>-3755207614265199.5</v>
      </c>
      <c r="M5569" s="460">
        <f t="shared" si="191"/>
        <v>0.05</v>
      </c>
      <c r="N5569" s="464">
        <f t="shared" si="192"/>
        <v>220547</v>
      </c>
    </row>
    <row r="5570" spans="7:14" ht="11.25" customHeight="1" x14ac:dyDescent="0.3">
      <c r="G5570" s="459"/>
      <c r="H5570" s="459">
        <v>5563</v>
      </c>
      <c r="I5570" s="444">
        <f t="shared" ca="1" si="190"/>
        <v>-3755207614265199.5</v>
      </c>
      <c r="J5570" s="444">
        <f t="array" ref="J5570">IFERROR(INDEX('Retirement Calculator'!K:K,MATCH('Lorri 401b'!N5570,'Retirement Calculator'!A:A,0),0),0)</f>
        <v>0</v>
      </c>
      <c r="K5570" s="444">
        <f t="shared" ca="1" si="188"/>
        <v>-15646698392771.662</v>
      </c>
      <c r="L5570" s="444">
        <f t="shared" ca="1" si="189"/>
        <v>-3770854312657971</v>
      </c>
      <c r="M5570" s="460">
        <f t="shared" si="191"/>
        <v>0.05</v>
      </c>
      <c r="N5570" s="464">
        <f t="shared" si="192"/>
        <v>220577</v>
      </c>
    </row>
    <row r="5571" spans="7:14" ht="11.25" customHeight="1" x14ac:dyDescent="0.3">
      <c r="G5571" s="459"/>
      <c r="H5571" s="459">
        <v>5564</v>
      </c>
      <c r="I5571" s="444">
        <f t="shared" ca="1" si="190"/>
        <v>-3770854312657971</v>
      </c>
      <c r="J5571" s="444">
        <f t="array" ref="J5571">IFERROR(INDEX('Retirement Calculator'!K:K,MATCH('Lorri 401b'!N5571,'Retirement Calculator'!A:A,0),0),0)</f>
        <v>0</v>
      </c>
      <c r="K5571" s="444">
        <f t="shared" ca="1" si="188"/>
        <v>-15711892969408.213</v>
      </c>
      <c r="L5571" s="444">
        <f t="shared" ca="1" si="189"/>
        <v>-3786566205627379</v>
      </c>
      <c r="M5571" s="460">
        <f t="shared" si="191"/>
        <v>0.05</v>
      </c>
      <c r="N5571" s="464">
        <f t="shared" si="192"/>
        <v>220608</v>
      </c>
    </row>
    <row r="5572" spans="7:14" ht="11.25" customHeight="1" x14ac:dyDescent="0.3">
      <c r="G5572" s="459"/>
      <c r="H5572" s="459">
        <v>5565</v>
      </c>
      <c r="I5572" s="444">
        <f t="shared" ca="1" si="190"/>
        <v>-3786566205627379</v>
      </c>
      <c r="J5572" s="444">
        <f t="array" ref="J5572">IFERROR(INDEX('Retirement Calculator'!K:K,MATCH('Lorri 401b'!N5572,'Retirement Calculator'!A:A,0),0),0)</f>
        <v>0</v>
      </c>
      <c r="K5572" s="444">
        <f t="shared" ca="1" si="188"/>
        <v>-15777359190114.078</v>
      </c>
      <c r="L5572" s="444">
        <f t="shared" ca="1" si="189"/>
        <v>-3802343564817493</v>
      </c>
      <c r="M5572" s="460">
        <f t="shared" si="191"/>
        <v>0.05</v>
      </c>
      <c r="N5572" s="464">
        <f t="shared" si="192"/>
        <v>220639</v>
      </c>
    </row>
    <row r="5573" spans="7:14" ht="11.25" customHeight="1" x14ac:dyDescent="0.3">
      <c r="G5573" s="459"/>
      <c r="H5573" s="459">
        <v>5566</v>
      </c>
      <c r="I5573" s="444">
        <f t="shared" ca="1" si="190"/>
        <v>-3802343564817493</v>
      </c>
      <c r="J5573" s="444">
        <f t="array" ref="J5573">IFERROR(INDEX('Retirement Calculator'!K:K,MATCH('Lorri 401b'!N5573,'Retirement Calculator'!A:A,0),0),0)</f>
        <v>0</v>
      </c>
      <c r="K5573" s="444">
        <f t="shared" ca="1" si="188"/>
        <v>-15843098186739.555</v>
      </c>
      <c r="L5573" s="444">
        <f t="shared" ca="1" si="189"/>
        <v>-3818186663004232.5</v>
      </c>
      <c r="M5573" s="460">
        <f t="shared" si="191"/>
        <v>0.05</v>
      </c>
      <c r="N5573" s="464">
        <f t="shared" si="192"/>
        <v>220668</v>
      </c>
    </row>
    <row r="5574" spans="7:14" ht="11.25" customHeight="1" x14ac:dyDescent="0.3">
      <c r="G5574" s="459"/>
      <c r="H5574" s="459">
        <v>5567</v>
      </c>
      <c r="I5574" s="444">
        <f t="shared" ca="1" si="190"/>
        <v>-3818186663004232.5</v>
      </c>
      <c r="J5574" s="444">
        <f t="array" ref="J5574">IFERROR(INDEX('Retirement Calculator'!K:K,MATCH('Lorri 401b'!N5574,'Retirement Calculator'!A:A,0),0),0)</f>
        <v>0</v>
      </c>
      <c r="K5574" s="444">
        <f t="shared" ca="1" si="188"/>
        <v>-15909111095850.969</v>
      </c>
      <c r="L5574" s="444">
        <f t="shared" ca="1" si="189"/>
        <v>-3834095774100083.5</v>
      </c>
      <c r="M5574" s="460">
        <f t="shared" si="191"/>
        <v>0.05</v>
      </c>
      <c r="N5574" s="464">
        <f t="shared" si="192"/>
        <v>220699</v>
      </c>
    </row>
    <row r="5575" spans="7:14" ht="11.25" customHeight="1" x14ac:dyDescent="0.3">
      <c r="G5575" s="459"/>
      <c r="H5575" s="459">
        <v>5568</v>
      </c>
      <c r="I5575" s="444">
        <f t="shared" ca="1" si="190"/>
        <v>-3834095774100083.5</v>
      </c>
      <c r="J5575" s="444">
        <f t="array" ref="J5575">IFERROR(INDEX('Retirement Calculator'!K:K,MATCH('Lorri 401b'!N5575,'Retirement Calculator'!A:A,0),0),0)</f>
        <v>0</v>
      </c>
      <c r="K5575" s="444">
        <f t="shared" ca="1" si="188"/>
        <v>-15975399058750.348</v>
      </c>
      <c r="L5575" s="444">
        <f t="shared" ca="1" si="189"/>
        <v>-3850071173158834</v>
      </c>
      <c r="M5575" s="460">
        <f t="shared" si="191"/>
        <v>0.05</v>
      </c>
      <c r="N5575" s="464">
        <f t="shared" si="192"/>
        <v>220729</v>
      </c>
    </row>
    <row r="5576" spans="7:14" ht="11.25" customHeight="1" x14ac:dyDescent="0.3">
      <c r="G5576" s="459"/>
      <c r="H5576" s="459">
        <v>5569</v>
      </c>
      <c r="I5576" s="444">
        <f t="shared" ca="1" si="190"/>
        <v>-3850071173158834</v>
      </c>
      <c r="J5576" s="444">
        <f t="array" ref="J5576">IFERROR(INDEX('Retirement Calculator'!K:K,MATCH('Lorri 401b'!N5576,'Retirement Calculator'!A:A,0),0),0)</f>
        <v>0</v>
      </c>
      <c r="K5576" s="444">
        <f t="shared" ca="1" si="188"/>
        <v>-16041963221495.139</v>
      </c>
      <c r="L5576" s="444">
        <f t="shared" ca="1" si="189"/>
        <v>-3866113136380329</v>
      </c>
      <c r="M5576" s="460">
        <f t="shared" si="191"/>
        <v>0.05</v>
      </c>
      <c r="N5576" s="464">
        <f t="shared" si="192"/>
        <v>220760</v>
      </c>
    </row>
    <row r="5577" spans="7:14" ht="11.25" customHeight="1" x14ac:dyDescent="0.3">
      <c r="G5577" s="459"/>
      <c r="H5577" s="459">
        <v>5570</v>
      </c>
      <c r="I5577" s="444">
        <f t="shared" ca="1" si="190"/>
        <v>-3866113136380329</v>
      </c>
      <c r="J5577" s="444">
        <f t="array" ref="J5577">IFERROR(INDEX('Retirement Calculator'!K:K,MATCH('Lorri 401b'!N5577,'Retirement Calculator'!A:A,0),0),0)</f>
        <v>0</v>
      </c>
      <c r="K5577" s="444">
        <f t="shared" ca="1" si="188"/>
        <v>-16108804734918.037</v>
      </c>
      <c r="L5577" s="444">
        <f t="shared" ca="1" si="189"/>
        <v>-3882221941115247</v>
      </c>
      <c r="M5577" s="460">
        <f t="shared" si="191"/>
        <v>0.05</v>
      </c>
      <c r="N5577" s="464">
        <f t="shared" si="192"/>
        <v>220790</v>
      </c>
    </row>
    <row r="5578" spans="7:14" ht="11.25" customHeight="1" x14ac:dyDescent="0.3">
      <c r="G5578" s="459"/>
      <c r="H5578" s="459">
        <v>5571</v>
      </c>
      <c r="I5578" s="444">
        <f t="shared" ca="1" si="190"/>
        <v>-3882221941115247</v>
      </c>
      <c r="J5578" s="444">
        <f t="array" ref="J5578">IFERROR(INDEX('Retirement Calculator'!K:K,MATCH('Lorri 401b'!N5578,'Retirement Calculator'!A:A,0),0),0)</f>
        <v>0</v>
      </c>
      <c r="K5578" s="444">
        <f t="shared" ca="1" si="188"/>
        <v>-16175924754646.861</v>
      </c>
      <c r="L5578" s="444">
        <f t="shared" ca="1" si="189"/>
        <v>-3898397865869894</v>
      </c>
      <c r="M5578" s="460">
        <f t="shared" si="191"/>
        <v>0.05</v>
      </c>
      <c r="N5578" s="464">
        <f t="shared" si="192"/>
        <v>220821</v>
      </c>
    </row>
    <row r="5579" spans="7:14" ht="11.25" customHeight="1" x14ac:dyDescent="0.3">
      <c r="G5579" s="459"/>
      <c r="H5579" s="459">
        <v>5572</v>
      </c>
      <c r="I5579" s="444">
        <f t="shared" ca="1" si="190"/>
        <v>-3898397865869894</v>
      </c>
      <c r="J5579" s="444">
        <f t="array" ref="J5579">IFERROR(INDEX('Retirement Calculator'!K:K,MATCH('Lorri 401b'!N5579,'Retirement Calculator'!A:A,0),0),0)</f>
        <v>0</v>
      </c>
      <c r="K5579" s="444">
        <f t="shared" ca="1" si="188"/>
        <v>-16243324441124.559</v>
      </c>
      <c r="L5579" s="444">
        <f t="shared" ca="1" si="189"/>
        <v>-3914641190311018.5</v>
      </c>
      <c r="M5579" s="460">
        <f t="shared" si="191"/>
        <v>0.05</v>
      </c>
      <c r="N5579" s="464">
        <f t="shared" si="192"/>
        <v>220852</v>
      </c>
    </row>
    <row r="5580" spans="7:14" ht="11.25" customHeight="1" x14ac:dyDescent="0.3">
      <c r="G5580" s="459"/>
      <c r="H5580" s="459">
        <v>5573</v>
      </c>
      <c r="I5580" s="444">
        <f t="shared" ca="1" si="190"/>
        <v>-3914641190311018.5</v>
      </c>
      <c r="J5580" s="444">
        <f t="array" ref="J5580">IFERROR(INDEX('Retirement Calculator'!K:K,MATCH('Lorri 401b'!N5580,'Retirement Calculator'!A:A,0),0),0)</f>
        <v>0</v>
      </c>
      <c r="K5580" s="444">
        <f t="shared" ca="1" si="188"/>
        <v>-16311004959629.244</v>
      </c>
      <c r="L5580" s="444">
        <f t="shared" ca="1" si="189"/>
        <v>-3930952195270647.5</v>
      </c>
      <c r="M5580" s="460">
        <f t="shared" si="191"/>
        <v>0.05</v>
      </c>
      <c r="N5580" s="464">
        <f t="shared" si="192"/>
        <v>220882</v>
      </c>
    </row>
    <row r="5581" spans="7:14" ht="11.25" customHeight="1" x14ac:dyDescent="0.3">
      <c r="G5581" s="459"/>
      <c r="H5581" s="459">
        <v>5574</v>
      </c>
      <c r="I5581" s="444">
        <f t="shared" ca="1" si="190"/>
        <v>-3930952195270647.5</v>
      </c>
      <c r="J5581" s="444">
        <f t="array" ref="J5581">IFERROR(INDEX('Retirement Calculator'!K:K,MATCH('Lorri 401b'!N5581,'Retirement Calculator'!A:A,0),0),0)</f>
        <v>0</v>
      </c>
      <c r="K5581" s="444">
        <f t="shared" ca="1" si="188"/>
        <v>-16378967480294.367</v>
      </c>
      <c r="L5581" s="444">
        <f t="shared" ca="1" si="189"/>
        <v>-3947331162750942</v>
      </c>
      <c r="M5581" s="460">
        <f t="shared" si="191"/>
        <v>0.05</v>
      </c>
      <c r="N5581" s="464">
        <f t="shared" si="192"/>
        <v>220913</v>
      </c>
    </row>
    <row r="5582" spans="7:14" ht="11.25" customHeight="1" x14ac:dyDescent="0.3">
      <c r="G5582" s="459"/>
      <c r="H5582" s="459">
        <v>5575</v>
      </c>
      <c r="I5582" s="444">
        <f t="shared" ca="1" si="190"/>
        <v>-3947331162750942</v>
      </c>
      <c r="J5582" s="444">
        <f t="array" ref="J5582">IFERROR(INDEX('Retirement Calculator'!K:K,MATCH('Lorri 401b'!N5582,'Retirement Calculator'!A:A,0),0),0)</f>
        <v>0</v>
      </c>
      <c r="K5582" s="444">
        <f t="shared" ca="1" si="188"/>
        <v>-16447213178128.924</v>
      </c>
      <c r="L5582" s="444">
        <f t="shared" ca="1" si="189"/>
        <v>-3963778375929071</v>
      </c>
      <c r="M5582" s="460">
        <f t="shared" si="191"/>
        <v>0.05</v>
      </c>
      <c r="N5582" s="464">
        <f t="shared" si="192"/>
        <v>220943</v>
      </c>
    </row>
    <row r="5583" spans="7:14" ht="11.25" customHeight="1" x14ac:dyDescent="0.3">
      <c r="G5583" s="459"/>
      <c r="H5583" s="459">
        <v>5576</v>
      </c>
      <c r="I5583" s="444">
        <f t="shared" ca="1" si="190"/>
        <v>-3963778375929071</v>
      </c>
      <c r="J5583" s="444">
        <f t="array" ref="J5583">IFERROR(INDEX('Retirement Calculator'!K:K,MATCH('Lorri 401b'!N5583,'Retirement Calculator'!A:A,0),0),0)</f>
        <v>0</v>
      </c>
      <c r="K5583" s="444">
        <f t="shared" ca="1" si="188"/>
        <v>-16515743233037.793</v>
      </c>
      <c r="L5583" s="444">
        <f t="shared" ca="1" si="189"/>
        <v>-3980294119162109</v>
      </c>
      <c r="M5583" s="460">
        <f t="shared" si="191"/>
        <v>0.05</v>
      </c>
      <c r="N5583" s="464">
        <f t="shared" si="192"/>
        <v>220974</v>
      </c>
    </row>
    <row r="5584" spans="7:14" ht="11.25" customHeight="1" x14ac:dyDescent="0.3">
      <c r="G5584" s="459"/>
      <c r="H5584" s="459">
        <v>5577</v>
      </c>
      <c r="I5584" s="444">
        <f t="shared" ca="1" si="190"/>
        <v>-3980294119162109</v>
      </c>
      <c r="J5584" s="444">
        <f t="array" ref="J5584">IFERROR(INDEX('Retirement Calculator'!K:K,MATCH('Lorri 401b'!N5584,'Retirement Calculator'!A:A,0),0),0)</f>
        <v>0</v>
      </c>
      <c r="K5584" s="444">
        <f t="shared" ca="1" si="188"/>
        <v>-16584558829842.121</v>
      </c>
      <c r="L5584" s="444">
        <f t="shared" ca="1" si="189"/>
        <v>-3996878677991951</v>
      </c>
      <c r="M5584" s="460">
        <f t="shared" si="191"/>
        <v>0.05</v>
      </c>
      <c r="N5584" s="464">
        <f t="shared" si="192"/>
        <v>221005</v>
      </c>
    </row>
    <row r="5585" spans="7:14" ht="11.25" customHeight="1" x14ac:dyDescent="0.3">
      <c r="G5585" s="459"/>
      <c r="H5585" s="459">
        <v>5578</v>
      </c>
      <c r="I5585" s="444">
        <f t="shared" ca="1" si="190"/>
        <v>-3996878677991951</v>
      </c>
      <c r="J5585" s="444">
        <f t="array" ref="J5585">IFERROR(INDEX('Retirement Calculator'!K:K,MATCH('Lorri 401b'!N5585,'Retirement Calculator'!A:A,0),0),0)</f>
        <v>0</v>
      </c>
      <c r="K5585" s="444">
        <f t="shared" ca="1" si="188"/>
        <v>-16653661158299.795</v>
      </c>
      <c r="L5585" s="444">
        <f t="shared" ca="1" si="189"/>
        <v>-4013532339150251</v>
      </c>
      <c r="M5585" s="460">
        <f t="shared" si="191"/>
        <v>0.05</v>
      </c>
      <c r="N5585" s="464">
        <f t="shared" si="192"/>
        <v>221033</v>
      </c>
    </row>
    <row r="5586" spans="7:14" ht="11.25" customHeight="1" x14ac:dyDescent="0.3">
      <c r="G5586" s="459"/>
      <c r="H5586" s="459">
        <v>5579</v>
      </c>
      <c r="I5586" s="444">
        <f t="shared" ca="1" si="190"/>
        <v>-4013532339150251</v>
      </c>
      <c r="J5586" s="444">
        <f t="array" ref="J5586">IFERROR(INDEX('Retirement Calculator'!K:K,MATCH('Lorri 401b'!N5586,'Retirement Calculator'!A:A,0),0),0)</f>
        <v>0</v>
      </c>
      <c r="K5586" s="444">
        <f t="shared" ca="1" si="188"/>
        <v>-16723051413126.045</v>
      </c>
      <c r="L5586" s="444">
        <f t="shared" ca="1" si="189"/>
        <v>-4030255390563377</v>
      </c>
      <c r="M5586" s="460">
        <f t="shared" si="191"/>
        <v>0.05</v>
      </c>
      <c r="N5586" s="464">
        <f t="shared" si="192"/>
        <v>221064</v>
      </c>
    </row>
    <row r="5587" spans="7:14" ht="11.25" customHeight="1" x14ac:dyDescent="0.3">
      <c r="G5587" s="459"/>
      <c r="H5587" s="459">
        <v>5580</v>
      </c>
      <c r="I5587" s="444">
        <f t="shared" ca="1" si="190"/>
        <v>-4030255390563377</v>
      </c>
      <c r="J5587" s="444">
        <f t="array" ref="J5587">IFERROR(INDEX('Retirement Calculator'!K:K,MATCH('Lorri 401b'!N5587,'Retirement Calculator'!A:A,0),0),0)</f>
        <v>0</v>
      </c>
      <c r="K5587" s="444">
        <f t="shared" ca="1" si="188"/>
        <v>-16792730794014.072</v>
      </c>
      <c r="L5587" s="444">
        <f t="shared" ca="1" si="189"/>
        <v>-4047048121357391</v>
      </c>
      <c r="M5587" s="460">
        <f t="shared" si="191"/>
        <v>0.05</v>
      </c>
      <c r="N5587" s="464">
        <f t="shared" si="192"/>
        <v>221094</v>
      </c>
    </row>
    <row r="5588" spans="7:14" ht="11.25" customHeight="1" x14ac:dyDescent="0.3">
      <c r="G5588" s="459"/>
      <c r="H5588" s="459">
        <v>5581</v>
      </c>
      <c r="I5588" s="444">
        <f t="shared" ca="1" si="190"/>
        <v>-4047048121357391</v>
      </c>
      <c r="J5588" s="444">
        <f t="array" ref="J5588">IFERROR(INDEX('Retirement Calculator'!K:K,MATCH('Lorri 401b'!N5588,'Retirement Calculator'!A:A,0),0),0)</f>
        <v>0</v>
      </c>
      <c r="K5588" s="444">
        <f t="shared" ca="1" si="188"/>
        <v>-16862700505655.793</v>
      </c>
      <c r="L5588" s="444">
        <f t="shared" ca="1" si="189"/>
        <v>-4063910821863047</v>
      </c>
      <c r="M5588" s="460">
        <f t="shared" si="191"/>
        <v>0.05</v>
      </c>
      <c r="N5588" s="464">
        <f t="shared" si="192"/>
        <v>221125</v>
      </c>
    </row>
    <row r="5589" spans="7:14" ht="11.25" customHeight="1" x14ac:dyDescent="0.3">
      <c r="G5589" s="459"/>
      <c r="H5589" s="459">
        <v>5582</v>
      </c>
      <c r="I5589" s="444">
        <f t="shared" ca="1" si="190"/>
        <v>-4063910821863047</v>
      </c>
      <c r="J5589" s="444">
        <f t="array" ref="J5589">IFERROR(INDEX('Retirement Calculator'!K:K,MATCH('Lorri 401b'!N5589,'Retirement Calculator'!A:A,0),0),0)</f>
        <v>0</v>
      </c>
      <c r="K5589" s="444">
        <f t="shared" ca="1" si="188"/>
        <v>-16932961757762.695</v>
      </c>
      <c r="L5589" s="444">
        <f t="shared" ca="1" si="189"/>
        <v>-4080843783620809.5</v>
      </c>
      <c r="M5589" s="460">
        <f t="shared" si="191"/>
        <v>0.05</v>
      </c>
      <c r="N5589" s="464">
        <f t="shared" si="192"/>
        <v>221155</v>
      </c>
    </row>
    <row r="5590" spans="7:14" ht="11.25" customHeight="1" x14ac:dyDescent="0.3">
      <c r="G5590" s="459"/>
      <c r="H5590" s="459">
        <v>5583</v>
      </c>
      <c r="I5590" s="444">
        <f t="shared" ca="1" si="190"/>
        <v>-4080843783620809.5</v>
      </c>
      <c r="J5590" s="444">
        <f t="array" ref="J5590">IFERROR(INDEX('Retirement Calculator'!K:K,MATCH('Lorri 401b'!N5590,'Retirement Calculator'!A:A,0),0),0)</f>
        <v>0</v>
      </c>
      <c r="K5590" s="444">
        <f t="shared" ca="1" si="188"/>
        <v>-17003515765086.705</v>
      </c>
      <c r="L5590" s="444">
        <f t="shared" ca="1" si="189"/>
        <v>-4097847299385896</v>
      </c>
      <c r="M5590" s="460">
        <f t="shared" si="191"/>
        <v>0.05</v>
      </c>
      <c r="N5590" s="464">
        <f t="shared" si="192"/>
        <v>221186</v>
      </c>
    </row>
    <row r="5591" spans="7:14" ht="11.25" customHeight="1" x14ac:dyDescent="0.3">
      <c r="G5591" s="459"/>
      <c r="H5591" s="459">
        <v>5584</v>
      </c>
      <c r="I5591" s="444">
        <f t="shared" ca="1" si="190"/>
        <v>-4097847299385896</v>
      </c>
      <c r="J5591" s="444">
        <f t="array" ref="J5591">IFERROR(INDEX('Retirement Calculator'!K:K,MATCH('Lorri 401b'!N5591,'Retirement Calculator'!A:A,0),0),0)</f>
        <v>0</v>
      </c>
      <c r="K5591" s="444">
        <f t="shared" ca="1" si="188"/>
        <v>-17074363747441.234</v>
      </c>
      <c r="L5591" s="444">
        <f t="shared" ca="1" si="189"/>
        <v>-4114921663133337</v>
      </c>
      <c r="M5591" s="460">
        <f t="shared" si="191"/>
        <v>0.05</v>
      </c>
      <c r="N5591" s="464">
        <f t="shared" si="192"/>
        <v>221217</v>
      </c>
    </row>
    <row r="5592" spans="7:14" ht="11.25" customHeight="1" x14ac:dyDescent="0.3">
      <c r="G5592" s="459"/>
      <c r="H5592" s="459">
        <v>5585</v>
      </c>
      <c r="I5592" s="444">
        <f t="shared" ca="1" si="190"/>
        <v>-4114921663133337</v>
      </c>
      <c r="J5592" s="444">
        <f t="array" ref="J5592">IFERROR(INDEX('Retirement Calculator'!K:K,MATCH('Lorri 401b'!N5592,'Retirement Calculator'!A:A,0),0),0)</f>
        <v>0</v>
      </c>
      <c r="K5592" s="444">
        <f t="shared" ca="1" si="188"/>
        <v>-17145506929722.236</v>
      </c>
      <c r="L5592" s="444">
        <f t="shared" ca="1" si="189"/>
        <v>-4132067170063059</v>
      </c>
      <c r="M5592" s="460">
        <f t="shared" si="191"/>
        <v>0.05</v>
      </c>
      <c r="N5592" s="464">
        <f t="shared" si="192"/>
        <v>221247</v>
      </c>
    </row>
    <row r="5593" spans="7:14" ht="11.25" customHeight="1" x14ac:dyDescent="0.3">
      <c r="G5593" s="459"/>
      <c r="H5593" s="459">
        <v>5586</v>
      </c>
      <c r="I5593" s="444">
        <f t="shared" ca="1" si="190"/>
        <v>-4132067170063059</v>
      </c>
      <c r="J5593" s="444">
        <f t="array" ref="J5593">IFERROR(INDEX('Retirement Calculator'!K:K,MATCH('Lorri 401b'!N5593,'Retirement Calculator'!A:A,0),0),0)</f>
        <v>0</v>
      </c>
      <c r="K5593" s="444">
        <f t="shared" ca="1" si="188"/>
        <v>-17216946541929.41</v>
      </c>
      <c r="L5593" s="444">
        <f t="shared" ca="1" si="189"/>
        <v>-4149284116604988.5</v>
      </c>
      <c r="M5593" s="460">
        <f t="shared" si="191"/>
        <v>0.05</v>
      </c>
      <c r="N5593" s="464">
        <f t="shared" si="192"/>
        <v>221278</v>
      </c>
    </row>
    <row r="5594" spans="7:14" ht="11.25" customHeight="1" x14ac:dyDescent="0.3">
      <c r="G5594" s="459"/>
      <c r="H5594" s="459">
        <v>5587</v>
      </c>
      <c r="I5594" s="444">
        <f t="shared" ca="1" si="190"/>
        <v>-4149284116604988.5</v>
      </c>
      <c r="J5594" s="444">
        <f t="array" ref="J5594">IFERROR(INDEX('Retirement Calculator'!K:K,MATCH('Lorri 401b'!N5594,'Retirement Calculator'!A:A,0),0),0)</f>
        <v>0</v>
      </c>
      <c r="K5594" s="444">
        <f t="shared" ca="1" si="188"/>
        <v>-17288683819187.451</v>
      </c>
      <c r="L5594" s="444">
        <f t="shared" ca="1" si="189"/>
        <v>-4166572800424176</v>
      </c>
      <c r="M5594" s="460">
        <f t="shared" si="191"/>
        <v>0.05</v>
      </c>
      <c r="N5594" s="464">
        <f t="shared" si="192"/>
        <v>221308</v>
      </c>
    </row>
    <row r="5595" spans="7:14" ht="11.25" customHeight="1" x14ac:dyDescent="0.3">
      <c r="G5595" s="459"/>
      <c r="H5595" s="459">
        <v>5588</v>
      </c>
      <c r="I5595" s="444">
        <f t="shared" ca="1" si="190"/>
        <v>-4166572800424176</v>
      </c>
      <c r="J5595" s="444">
        <f t="array" ref="J5595">IFERROR(INDEX('Retirement Calculator'!K:K,MATCH('Lorri 401b'!N5595,'Retirement Calculator'!A:A,0),0),0)</f>
        <v>0</v>
      </c>
      <c r="K5595" s="444">
        <f t="shared" ca="1" si="188"/>
        <v>-17360720001767.4</v>
      </c>
      <c r="L5595" s="444">
        <f t="shared" ca="1" si="189"/>
        <v>-4183933520425943.5</v>
      </c>
      <c r="M5595" s="460">
        <f t="shared" si="191"/>
        <v>0.05</v>
      </c>
      <c r="N5595" s="464">
        <f t="shared" si="192"/>
        <v>221339</v>
      </c>
    </row>
    <row r="5596" spans="7:14" ht="11.25" customHeight="1" x14ac:dyDescent="0.3">
      <c r="G5596" s="459"/>
      <c r="H5596" s="459">
        <v>5589</v>
      </c>
      <c r="I5596" s="444">
        <f t="shared" ca="1" si="190"/>
        <v>-4183933520425943.5</v>
      </c>
      <c r="J5596" s="444">
        <f t="array" ref="J5596">IFERROR(INDEX('Retirement Calculator'!K:K,MATCH('Lorri 401b'!N5596,'Retirement Calculator'!A:A,0),0),0)</f>
        <v>0</v>
      </c>
      <c r="K5596" s="444">
        <f t="shared" ca="1" si="188"/>
        <v>-17433056335108.098</v>
      </c>
      <c r="L5596" s="444">
        <f t="shared" ca="1" si="189"/>
        <v>-4201366576761051.5</v>
      </c>
      <c r="M5596" s="460">
        <f t="shared" si="191"/>
        <v>0.05</v>
      </c>
      <c r="N5596" s="464">
        <f t="shared" si="192"/>
        <v>221370</v>
      </c>
    </row>
    <row r="5597" spans="7:14" ht="11.25" customHeight="1" x14ac:dyDescent="0.3">
      <c r="G5597" s="459"/>
      <c r="H5597" s="459">
        <v>5590</v>
      </c>
      <c r="I5597" s="444">
        <f t="shared" ca="1" si="190"/>
        <v>-4201366576761051.5</v>
      </c>
      <c r="J5597" s="444">
        <f t="array" ref="J5597">IFERROR(INDEX('Retirement Calculator'!K:K,MATCH('Lorri 401b'!N5597,'Retirement Calculator'!A:A,0),0),0)</f>
        <v>0</v>
      </c>
      <c r="K5597" s="444">
        <f t="shared" ca="1" si="188"/>
        <v>-17505694069837.715</v>
      </c>
      <c r="L5597" s="444">
        <f t="shared" ca="1" si="189"/>
        <v>-4218872270830889</v>
      </c>
      <c r="M5597" s="460">
        <f t="shared" si="191"/>
        <v>0.05</v>
      </c>
      <c r="N5597" s="464">
        <f t="shared" si="192"/>
        <v>221398</v>
      </c>
    </row>
    <row r="5598" spans="7:14" ht="11.25" customHeight="1" x14ac:dyDescent="0.3">
      <c r="G5598" s="459"/>
      <c r="H5598" s="459">
        <v>5591</v>
      </c>
      <c r="I5598" s="444">
        <f t="shared" ca="1" si="190"/>
        <v>-4218872270830889</v>
      </c>
      <c r="J5598" s="444">
        <f t="array" ref="J5598">IFERROR(INDEX('Retirement Calculator'!K:K,MATCH('Lorri 401b'!N5598,'Retirement Calculator'!A:A,0),0),0)</f>
        <v>0</v>
      </c>
      <c r="K5598" s="444">
        <f t="shared" ca="1" si="188"/>
        <v>-17578634461795.369</v>
      </c>
      <c r="L5598" s="444">
        <f t="shared" ca="1" si="189"/>
        <v>-4236450905292684.5</v>
      </c>
      <c r="M5598" s="460">
        <f t="shared" si="191"/>
        <v>0.05</v>
      </c>
      <c r="N5598" s="464">
        <f t="shared" si="192"/>
        <v>221429</v>
      </c>
    </row>
    <row r="5599" spans="7:14" ht="11.25" customHeight="1" x14ac:dyDescent="0.3">
      <c r="G5599" s="459"/>
      <c r="H5599" s="459">
        <v>5592</v>
      </c>
      <c r="I5599" s="444">
        <f t="shared" ca="1" si="190"/>
        <v>-4236450905292684.5</v>
      </c>
      <c r="J5599" s="444">
        <f t="array" ref="J5599">IFERROR(INDEX('Retirement Calculator'!K:K,MATCH('Lorri 401b'!N5599,'Retirement Calculator'!A:A,0),0),0)</f>
        <v>0</v>
      </c>
      <c r="K5599" s="444">
        <f t="shared" ca="1" si="188"/>
        <v>-17651878772052.855</v>
      </c>
      <c r="L5599" s="444">
        <f t="shared" ca="1" si="189"/>
        <v>-4254102784064737.5</v>
      </c>
      <c r="M5599" s="460">
        <f t="shared" si="191"/>
        <v>0.05</v>
      </c>
      <c r="N5599" s="464">
        <f t="shared" si="192"/>
        <v>221459</v>
      </c>
    </row>
    <row r="5600" spans="7:14" ht="11.25" customHeight="1" x14ac:dyDescent="0.3">
      <c r="G5600" s="459"/>
      <c r="H5600" s="459">
        <v>5593</v>
      </c>
      <c r="I5600" s="444">
        <f t="shared" ca="1" si="190"/>
        <v>-4254102784064737.5</v>
      </c>
      <c r="J5600" s="444">
        <f t="array" ref="J5600">IFERROR(INDEX('Retirement Calculator'!K:K,MATCH('Lorri 401b'!N5600,'Retirement Calculator'!A:A,0),0),0)</f>
        <v>0</v>
      </c>
      <c r="K5600" s="444">
        <f t="shared" ca="1" si="188"/>
        <v>-17725428266936.406</v>
      </c>
      <c r="L5600" s="444">
        <f t="shared" ca="1" si="189"/>
        <v>-4271828212331674</v>
      </c>
      <c r="M5600" s="460">
        <f t="shared" si="191"/>
        <v>0.05</v>
      </c>
      <c r="N5600" s="464">
        <f t="shared" si="192"/>
        <v>221490</v>
      </c>
    </row>
    <row r="5601" spans="7:14" ht="11.25" customHeight="1" x14ac:dyDescent="0.3">
      <c r="G5601" s="459"/>
      <c r="H5601" s="459">
        <v>5594</v>
      </c>
      <c r="I5601" s="444">
        <f t="shared" ca="1" si="190"/>
        <v>-4271828212331674</v>
      </c>
      <c r="J5601" s="444">
        <f t="array" ref="J5601">IFERROR(INDEX('Retirement Calculator'!K:K,MATCH('Lorri 401b'!N5601,'Retirement Calculator'!A:A,0),0),0)</f>
        <v>0</v>
      </c>
      <c r="K5601" s="444">
        <f t="shared" ca="1" si="188"/>
        <v>-17799284218048.641</v>
      </c>
      <c r="L5601" s="444">
        <f t="shared" ca="1" si="189"/>
        <v>-4289627496549722.5</v>
      </c>
      <c r="M5601" s="460">
        <f t="shared" si="191"/>
        <v>0.05</v>
      </c>
      <c r="N5601" s="464">
        <f t="shared" si="192"/>
        <v>221520</v>
      </c>
    </row>
    <row r="5602" spans="7:14" ht="11.25" customHeight="1" x14ac:dyDescent="0.3">
      <c r="G5602" s="459"/>
      <c r="H5602" s="459">
        <v>5595</v>
      </c>
      <c r="I5602" s="444">
        <f t="shared" ca="1" si="190"/>
        <v>-4289627496549722.5</v>
      </c>
      <c r="J5602" s="444">
        <f t="array" ref="J5602">IFERROR(INDEX('Retirement Calculator'!K:K,MATCH('Lorri 401b'!N5602,'Retirement Calculator'!A:A,0),0),0)</f>
        <v>0</v>
      </c>
      <c r="K5602" s="444">
        <f t="shared" ca="1" si="188"/>
        <v>-17873447902290.512</v>
      </c>
      <c r="L5602" s="444">
        <f t="shared" ca="1" si="189"/>
        <v>-4307500944452013</v>
      </c>
      <c r="M5602" s="460">
        <f t="shared" si="191"/>
        <v>0.05</v>
      </c>
      <c r="N5602" s="464">
        <f t="shared" si="192"/>
        <v>221551</v>
      </c>
    </row>
    <row r="5603" spans="7:14" ht="11.25" customHeight="1" x14ac:dyDescent="0.3">
      <c r="G5603" s="459"/>
      <c r="H5603" s="459">
        <v>5596</v>
      </c>
      <c r="I5603" s="444">
        <f t="shared" ca="1" si="190"/>
        <v>-4307500944452013</v>
      </c>
      <c r="J5603" s="444">
        <f t="array" ref="J5603">IFERROR(INDEX('Retirement Calculator'!K:K,MATCH('Lorri 401b'!N5603,'Retirement Calculator'!A:A,0),0),0)</f>
        <v>0</v>
      </c>
      <c r="K5603" s="444">
        <f t="shared" ca="1" si="188"/>
        <v>-17947920601883.387</v>
      </c>
      <c r="L5603" s="444">
        <f t="shared" ca="1" si="189"/>
        <v>-4325448865053896.5</v>
      </c>
      <c r="M5603" s="460">
        <f t="shared" si="191"/>
        <v>0.05</v>
      </c>
      <c r="N5603" s="464">
        <f t="shared" si="192"/>
        <v>221582</v>
      </c>
    </row>
    <row r="5604" spans="7:14" ht="11.25" customHeight="1" x14ac:dyDescent="0.3">
      <c r="G5604" s="459"/>
      <c r="H5604" s="459">
        <v>5597</v>
      </c>
      <c r="I5604" s="444">
        <f t="shared" ca="1" si="190"/>
        <v>-4325448865053896.5</v>
      </c>
      <c r="J5604" s="444">
        <f t="array" ref="J5604">IFERROR(INDEX('Retirement Calculator'!K:K,MATCH('Lorri 401b'!N5604,'Retirement Calculator'!A:A,0),0),0)</f>
        <v>0</v>
      </c>
      <c r="K5604" s="444">
        <f t="shared" ca="1" si="188"/>
        <v>-18022703604391.234</v>
      </c>
      <c r="L5604" s="444">
        <f t="shared" ca="1" si="189"/>
        <v>-4343471568658287.5</v>
      </c>
      <c r="M5604" s="460">
        <f t="shared" si="191"/>
        <v>0.05</v>
      </c>
      <c r="N5604" s="464">
        <f t="shared" si="192"/>
        <v>221612</v>
      </c>
    </row>
    <row r="5605" spans="7:14" ht="11.25" customHeight="1" x14ac:dyDescent="0.3">
      <c r="G5605" s="459"/>
      <c r="H5605" s="459">
        <v>5598</v>
      </c>
      <c r="I5605" s="444">
        <f t="shared" ca="1" si="190"/>
        <v>-4343471568658287.5</v>
      </c>
      <c r="J5605" s="444">
        <f t="array" ref="J5605">IFERROR(INDEX('Retirement Calculator'!K:K,MATCH('Lorri 401b'!N5605,'Retirement Calculator'!A:A,0),0),0)</f>
        <v>0</v>
      </c>
      <c r="K5605" s="444">
        <f t="shared" ca="1" si="188"/>
        <v>-18097798202742.867</v>
      </c>
      <c r="L5605" s="444">
        <f t="shared" ca="1" si="189"/>
        <v>-4361569366861030.5</v>
      </c>
      <c r="M5605" s="460">
        <f t="shared" si="191"/>
        <v>0.05</v>
      </c>
      <c r="N5605" s="464">
        <f t="shared" si="192"/>
        <v>221643</v>
      </c>
    </row>
    <row r="5606" spans="7:14" ht="11.25" customHeight="1" x14ac:dyDescent="0.3">
      <c r="G5606" s="459"/>
      <c r="H5606" s="459">
        <v>5599</v>
      </c>
      <c r="I5606" s="444">
        <f t="shared" ca="1" si="190"/>
        <v>-4361569366861030.5</v>
      </c>
      <c r="J5606" s="444">
        <f t="array" ref="J5606">IFERROR(INDEX('Retirement Calculator'!K:K,MATCH('Lorri 401b'!N5606,'Retirement Calculator'!A:A,0),0),0)</f>
        <v>0</v>
      </c>
      <c r="K5606" s="444">
        <f t="shared" ca="1" si="188"/>
        <v>-18173205695254.297</v>
      </c>
      <c r="L5606" s="444">
        <f t="shared" ca="1" si="189"/>
        <v>-4379742572556285</v>
      </c>
      <c r="M5606" s="460">
        <f t="shared" si="191"/>
        <v>0.05</v>
      </c>
      <c r="N5606" s="464">
        <f t="shared" si="192"/>
        <v>221673</v>
      </c>
    </row>
    <row r="5607" spans="7:14" ht="11.25" customHeight="1" x14ac:dyDescent="0.3">
      <c r="G5607" s="459"/>
      <c r="H5607" s="459">
        <v>5600</v>
      </c>
      <c r="I5607" s="444">
        <f t="shared" ca="1" si="190"/>
        <v>-4379742572556285</v>
      </c>
      <c r="J5607" s="444">
        <f t="array" ref="J5607">IFERROR(INDEX('Retirement Calculator'!K:K,MATCH('Lorri 401b'!N5607,'Retirement Calculator'!A:A,0),0),0)</f>
        <v>0</v>
      </c>
      <c r="K5607" s="444">
        <f t="shared" ca="1" si="188"/>
        <v>-18248927385651.188</v>
      </c>
      <c r="L5607" s="444">
        <f t="shared" ca="1" si="189"/>
        <v>-4397991499941936</v>
      </c>
      <c r="M5607" s="460">
        <f t="shared" si="191"/>
        <v>0.05</v>
      </c>
      <c r="N5607" s="464">
        <f t="shared" si="192"/>
        <v>221704</v>
      </c>
    </row>
    <row r="5608" spans="7:14" ht="11.25" customHeight="1" x14ac:dyDescent="0.3">
      <c r="G5608" s="459"/>
      <c r="H5608" s="459">
        <v>5601</v>
      </c>
      <c r="I5608" s="444">
        <f t="shared" ca="1" si="190"/>
        <v>-4397991499941936</v>
      </c>
      <c r="J5608" s="444">
        <f t="array" ref="J5608">IFERROR(INDEX('Retirement Calculator'!K:K,MATCH('Lorri 401b'!N5608,'Retirement Calculator'!A:A,0),0),0)</f>
        <v>0</v>
      </c>
      <c r="K5608" s="444">
        <f t="shared" ca="1" si="188"/>
        <v>-18324964583091.398</v>
      </c>
      <c r="L5608" s="444">
        <f t="shared" ca="1" si="189"/>
        <v>-4416316464525027.5</v>
      </c>
      <c r="M5608" s="460">
        <f t="shared" si="191"/>
        <v>0.05</v>
      </c>
      <c r="N5608" s="464">
        <f t="shared" si="192"/>
        <v>221735</v>
      </c>
    </row>
    <row r="5609" spans="7:14" ht="11.25" customHeight="1" x14ac:dyDescent="0.3">
      <c r="G5609" s="459"/>
      <c r="H5609" s="459">
        <v>5602</v>
      </c>
      <c r="I5609" s="444">
        <f t="shared" ca="1" si="190"/>
        <v>-4416316464525027.5</v>
      </c>
      <c r="J5609" s="444">
        <f t="array" ref="J5609">IFERROR(INDEX('Retirement Calculator'!K:K,MATCH('Lorri 401b'!N5609,'Retirement Calculator'!A:A,0),0),0)</f>
        <v>0</v>
      </c>
      <c r="K5609" s="444">
        <f t="shared" ca="1" si="188"/>
        <v>-18401318602187.613</v>
      </c>
      <c r="L5609" s="444">
        <f t="shared" ca="1" si="189"/>
        <v>-4434717783127215</v>
      </c>
      <c r="M5609" s="460">
        <f t="shared" si="191"/>
        <v>0.05</v>
      </c>
      <c r="N5609" s="464">
        <f t="shared" si="192"/>
        <v>221763</v>
      </c>
    </row>
    <row r="5610" spans="7:14" ht="11.25" customHeight="1" x14ac:dyDescent="0.3">
      <c r="G5610" s="459"/>
      <c r="H5610" s="459">
        <v>5603</v>
      </c>
      <c r="I5610" s="444">
        <f t="shared" ca="1" si="190"/>
        <v>-4434717783127215</v>
      </c>
      <c r="J5610" s="444">
        <f t="array" ref="J5610">IFERROR(INDEX('Retirement Calculator'!K:K,MATCH('Lorri 401b'!N5610,'Retirement Calculator'!A:A,0),0),0)</f>
        <v>0</v>
      </c>
      <c r="K5610" s="444">
        <f t="shared" ca="1" si="188"/>
        <v>-18477990763030.063</v>
      </c>
      <c r="L5610" s="444">
        <f t="shared" ca="1" si="189"/>
        <v>-4453195773890245</v>
      </c>
      <c r="M5610" s="460">
        <f t="shared" si="191"/>
        <v>0.05</v>
      </c>
      <c r="N5610" s="464">
        <f t="shared" si="192"/>
        <v>221794</v>
      </c>
    </row>
    <row r="5611" spans="7:14" ht="11.25" customHeight="1" x14ac:dyDescent="0.3">
      <c r="G5611" s="459"/>
      <c r="H5611" s="459">
        <v>5604</v>
      </c>
      <c r="I5611" s="444">
        <f t="shared" ca="1" si="190"/>
        <v>-4453195773890245</v>
      </c>
      <c r="J5611" s="444">
        <f t="array" ref="J5611">IFERROR(INDEX('Retirement Calculator'!K:K,MATCH('Lorri 401b'!N5611,'Retirement Calculator'!A:A,0),0),0)</f>
        <v>0</v>
      </c>
      <c r="K5611" s="444">
        <f t="shared" ca="1" si="188"/>
        <v>-18554982391209.355</v>
      </c>
      <c r="L5611" s="444">
        <f t="shared" ca="1" si="189"/>
        <v>-4471750756281454.5</v>
      </c>
      <c r="M5611" s="460">
        <f t="shared" si="191"/>
        <v>0.05</v>
      </c>
      <c r="N5611" s="464">
        <f t="shared" si="192"/>
        <v>221824</v>
      </c>
    </row>
    <row r="5612" spans="7:14" ht="11.25" customHeight="1" x14ac:dyDescent="0.3">
      <c r="G5612" s="459"/>
      <c r="H5612" s="459">
        <v>5605</v>
      </c>
      <c r="I5612" s="444">
        <f t="shared" ca="1" si="190"/>
        <v>-4471750756281454.5</v>
      </c>
      <c r="J5612" s="444">
        <f t="array" ref="J5612">IFERROR(INDEX('Retirement Calculator'!K:K,MATCH('Lorri 401b'!N5612,'Retirement Calculator'!A:A,0),0),0)</f>
        <v>0</v>
      </c>
      <c r="K5612" s="444">
        <f t="shared" ca="1" si="188"/>
        <v>-18632294817839.395</v>
      </c>
      <c r="L5612" s="444">
        <f t="shared" ca="1" si="189"/>
        <v>-4490383051099294</v>
      </c>
      <c r="M5612" s="460">
        <f t="shared" si="191"/>
        <v>0.05</v>
      </c>
      <c r="N5612" s="464">
        <f t="shared" si="192"/>
        <v>221855</v>
      </c>
    </row>
    <row r="5613" spans="7:14" ht="11.25" customHeight="1" x14ac:dyDescent="0.3">
      <c r="G5613" s="459"/>
      <c r="H5613" s="459">
        <v>5606</v>
      </c>
      <c r="I5613" s="444">
        <f t="shared" ca="1" si="190"/>
        <v>-4490383051099294</v>
      </c>
      <c r="J5613" s="444">
        <f t="array" ref="J5613">IFERROR(INDEX('Retirement Calculator'!K:K,MATCH('Lorri 401b'!N5613,'Retirement Calculator'!A:A,0),0),0)</f>
        <v>0</v>
      </c>
      <c r="K5613" s="444">
        <f t="shared" ca="1" si="188"/>
        <v>-18709929379580.391</v>
      </c>
      <c r="L5613" s="444">
        <f t="shared" ca="1" si="189"/>
        <v>-4509092980478874</v>
      </c>
      <c r="M5613" s="460">
        <f t="shared" si="191"/>
        <v>0.05</v>
      </c>
      <c r="N5613" s="464">
        <f t="shared" si="192"/>
        <v>221885</v>
      </c>
    </row>
    <row r="5614" spans="7:14" ht="11.25" customHeight="1" x14ac:dyDescent="0.3">
      <c r="G5614" s="459"/>
      <c r="H5614" s="459">
        <v>5607</v>
      </c>
      <c r="I5614" s="444">
        <f t="shared" ca="1" si="190"/>
        <v>-4509092980478874</v>
      </c>
      <c r="J5614" s="444">
        <f t="array" ref="J5614">IFERROR(INDEX('Retirement Calculator'!K:K,MATCH('Lorri 401b'!N5614,'Retirement Calculator'!A:A,0),0),0)</f>
        <v>0</v>
      </c>
      <c r="K5614" s="444">
        <f t="shared" ca="1" si="188"/>
        <v>-18787887418661.977</v>
      </c>
      <c r="L5614" s="444">
        <f t="shared" ca="1" si="189"/>
        <v>-4527880867897536</v>
      </c>
      <c r="M5614" s="460">
        <f t="shared" si="191"/>
        <v>0.05</v>
      </c>
      <c r="N5614" s="464">
        <f t="shared" si="192"/>
        <v>221916</v>
      </c>
    </row>
    <row r="5615" spans="7:14" ht="11.25" customHeight="1" x14ac:dyDescent="0.3">
      <c r="G5615" s="459"/>
      <c r="H5615" s="459">
        <v>5608</v>
      </c>
      <c r="I5615" s="444">
        <f t="shared" ca="1" si="190"/>
        <v>-4527880867897536</v>
      </c>
      <c r="J5615" s="444">
        <f t="array" ref="J5615">IFERROR(INDEX('Retirement Calculator'!K:K,MATCH('Lorri 401b'!N5615,'Retirement Calculator'!A:A,0),0),0)</f>
        <v>0</v>
      </c>
      <c r="K5615" s="444">
        <f t="shared" ca="1" si="188"/>
        <v>-18866170282906.398</v>
      </c>
      <c r="L5615" s="444">
        <f t="shared" ca="1" si="189"/>
        <v>-4546747038180442</v>
      </c>
      <c r="M5615" s="460">
        <f t="shared" si="191"/>
        <v>0.05</v>
      </c>
      <c r="N5615" s="464">
        <f t="shared" si="192"/>
        <v>221947</v>
      </c>
    </row>
    <row r="5616" spans="7:14" ht="11.25" customHeight="1" x14ac:dyDescent="0.3">
      <c r="G5616" s="459"/>
      <c r="H5616" s="459">
        <v>5609</v>
      </c>
      <c r="I5616" s="444">
        <f t="shared" ca="1" si="190"/>
        <v>-4546747038180442</v>
      </c>
      <c r="J5616" s="444">
        <f t="array" ref="J5616">IFERROR(INDEX('Retirement Calculator'!K:K,MATCH('Lorri 401b'!N5616,'Retirement Calculator'!A:A,0),0),0)</f>
        <v>0</v>
      </c>
      <c r="K5616" s="444">
        <f t="shared" ca="1" si="188"/>
        <v>-18944779325751.84</v>
      </c>
      <c r="L5616" s="444">
        <f t="shared" ca="1" si="189"/>
        <v>-4565691817506194</v>
      </c>
      <c r="M5616" s="460">
        <f t="shared" si="191"/>
        <v>0.05</v>
      </c>
      <c r="N5616" s="464">
        <f t="shared" si="192"/>
        <v>221977</v>
      </c>
    </row>
    <row r="5617" spans="7:14" ht="11.25" customHeight="1" x14ac:dyDescent="0.3">
      <c r="G5617" s="459"/>
      <c r="H5617" s="459">
        <v>5610</v>
      </c>
      <c r="I5617" s="444">
        <f t="shared" ca="1" si="190"/>
        <v>-4565691817506194</v>
      </c>
      <c r="J5617" s="444">
        <f t="array" ref="J5617">IFERROR(INDEX('Retirement Calculator'!K:K,MATCH('Lorri 401b'!N5617,'Retirement Calculator'!A:A,0),0),0)</f>
        <v>0</v>
      </c>
      <c r="K5617" s="444">
        <f t="shared" ca="1" si="188"/>
        <v>-19023715906275.809</v>
      </c>
      <c r="L5617" s="444">
        <f t="shared" ca="1" si="189"/>
        <v>-4584715533412470</v>
      </c>
      <c r="M5617" s="460">
        <f t="shared" si="191"/>
        <v>0.05</v>
      </c>
      <c r="N5617" s="464">
        <f t="shared" si="192"/>
        <v>222008</v>
      </c>
    </row>
    <row r="5618" spans="7:14" ht="11.25" customHeight="1" x14ac:dyDescent="0.3">
      <c r="G5618" s="459"/>
      <c r="H5618" s="459">
        <v>5611</v>
      </c>
      <c r="I5618" s="444">
        <f t="shared" ca="1" si="190"/>
        <v>-4584715533412470</v>
      </c>
      <c r="J5618" s="444">
        <f t="array" ref="J5618">IFERROR(INDEX('Retirement Calculator'!K:K,MATCH('Lorri 401b'!N5618,'Retirement Calculator'!A:A,0),0),0)</f>
        <v>0</v>
      </c>
      <c r="K5618" s="444">
        <f t="shared" ref="K5618:K5872" ca="1" si="193">IPMT(M5618/12,1,12,-I5618+J5618,,0)</f>
        <v>-19102981389218.625</v>
      </c>
      <c r="L5618" s="444">
        <f t="shared" ref="L5618:L5872" ca="1" si="194">I5618-J5618+K5618</f>
        <v>-4603818514801689</v>
      </c>
      <c r="M5618" s="460">
        <f t="shared" si="191"/>
        <v>0.05</v>
      </c>
      <c r="N5618" s="464">
        <f t="shared" si="192"/>
        <v>222038</v>
      </c>
    </row>
    <row r="5619" spans="7:14" ht="11.25" customHeight="1" x14ac:dyDescent="0.3">
      <c r="G5619" s="459"/>
      <c r="H5619" s="459">
        <v>5612</v>
      </c>
      <c r="I5619" s="444">
        <f t="shared" ref="I5619:I5873" ca="1" si="195">L5618</f>
        <v>-4603818514801689</v>
      </c>
      <c r="J5619" s="444">
        <f t="array" ref="J5619">IFERROR(INDEX('Retirement Calculator'!K:K,MATCH('Lorri 401b'!N5619,'Retirement Calculator'!A:A,0),0),0)</f>
        <v>0</v>
      </c>
      <c r="K5619" s="444">
        <f t="shared" ca="1" si="193"/>
        <v>-19182577145007.039</v>
      </c>
      <c r="L5619" s="444">
        <f t="shared" ca="1" si="194"/>
        <v>-4623001091946696</v>
      </c>
      <c r="M5619" s="460">
        <f t="shared" ref="M5619:M5873" si="196">M5618</f>
        <v>0.05</v>
      </c>
      <c r="N5619" s="464">
        <f t="shared" ref="N5619:N5873" si="197">EDATE(N5618,1)</f>
        <v>222069</v>
      </c>
    </row>
    <row r="5620" spans="7:14" ht="11.25" customHeight="1" x14ac:dyDescent="0.3">
      <c r="G5620" s="459"/>
      <c r="H5620" s="459">
        <v>5613</v>
      </c>
      <c r="I5620" s="444">
        <f t="shared" ca="1" si="195"/>
        <v>-4623001091946696</v>
      </c>
      <c r="J5620" s="444">
        <f t="array" ref="J5620">IFERROR(INDEX('Retirement Calculator'!K:K,MATCH('Lorri 401b'!N5620,'Retirement Calculator'!A:A,0),0),0)</f>
        <v>0</v>
      </c>
      <c r="K5620" s="444">
        <f t="shared" ca="1" si="193"/>
        <v>-19262504549777.898</v>
      </c>
      <c r="L5620" s="444">
        <f t="shared" ca="1" si="194"/>
        <v>-4642263596496474</v>
      </c>
      <c r="M5620" s="460">
        <f t="shared" si="196"/>
        <v>0.05</v>
      </c>
      <c r="N5620" s="464">
        <f t="shared" si="197"/>
        <v>222100</v>
      </c>
    </row>
    <row r="5621" spans="7:14" ht="11.25" customHeight="1" x14ac:dyDescent="0.3">
      <c r="G5621" s="459"/>
      <c r="H5621" s="459">
        <v>5614</v>
      </c>
      <c r="I5621" s="444">
        <f t="shared" ca="1" si="195"/>
        <v>-4642263596496474</v>
      </c>
      <c r="J5621" s="444">
        <f t="array" ref="J5621">IFERROR(INDEX('Retirement Calculator'!K:K,MATCH('Lorri 401b'!N5621,'Retirement Calculator'!A:A,0),0),0)</f>
        <v>0</v>
      </c>
      <c r="K5621" s="444">
        <f t="shared" ca="1" si="193"/>
        <v>-19342764985401.977</v>
      </c>
      <c r="L5621" s="444">
        <f t="shared" ca="1" si="194"/>
        <v>-4661606361481876</v>
      </c>
      <c r="M5621" s="460">
        <f t="shared" si="196"/>
        <v>0.05</v>
      </c>
      <c r="N5621" s="464">
        <f t="shared" si="197"/>
        <v>222129</v>
      </c>
    </row>
    <row r="5622" spans="7:14" ht="11.25" customHeight="1" x14ac:dyDescent="0.3">
      <c r="G5622" s="459"/>
      <c r="H5622" s="459">
        <v>5615</v>
      </c>
      <c r="I5622" s="444">
        <f t="shared" ca="1" si="195"/>
        <v>-4661606361481876</v>
      </c>
      <c r="J5622" s="444">
        <f t="array" ref="J5622">IFERROR(INDEX('Retirement Calculator'!K:K,MATCH('Lorri 401b'!N5622,'Retirement Calculator'!A:A,0),0),0)</f>
        <v>0</v>
      </c>
      <c r="K5622" s="444">
        <f t="shared" ca="1" si="193"/>
        <v>-19423359839507.816</v>
      </c>
      <c r="L5622" s="444">
        <f t="shared" ca="1" si="194"/>
        <v>-4681029721321384</v>
      </c>
      <c r="M5622" s="460">
        <f t="shared" si="196"/>
        <v>0.05</v>
      </c>
      <c r="N5622" s="464">
        <f t="shared" si="197"/>
        <v>222160</v>
      </c>
    </row>
    <row r="5623" spans="7:14" ht="11.25" customHeight="1" x14ac:dyDescent="0.3">
      <c r="G5623" s="459"/>
      <c r="H5623" s="459">
        <v>5616</v>
      </c>
      <c r="I5623" s="444">
        <f t="shared" ca="1" si="195"/>
        <v>-4681029721321384</v>
      </c>
      <c r="J5623" s="444">
        <f t="array" ref="J5623">IFERROR(INDEX('Retirement Calculator'!K:K,MATCH('Lorri 401b'!N5623,'Retirement Calculator'!A:A,0),0),0)</f>
        <v>0</v>
      </c>
      <c r="K5623" s="444">
        <f t="shared" ca="1" si="193"/>
        <v>-19504290505505.766</v>
      </c>
      <c r="L5623" s="444">
        <f t="shared" ca="1" si="194"/>
        <v>-4700534011826890</v>
      </c>
      <c r="M5623" s="460">
        <f t="shared" si="196"/>
        <v>0.05</v>
      </c>
      <c r="N5623" s="464">
        <f t="shared" si="197"/>
        <v>222190</v>
      </c>
    </row>
    <row r="5624" spans="7:14" ht="11.25" customHeight="1" x14ac:dyDescent="0.3">
      <c r="G5624" s="459"/>
      <c r="H5624" s="459">
        <v>5617</v>
      </c>
      <c r="I5624" s="444">
        <f t="shared" ca="1" si="195"/>
        <v>-4700534011826890</v>
      </c>
      <c r="J5624" s="444">
        <f t="array" ref="J5624">IFERROR(INDEX('Retirement Calculator'!K:K,MATCH('Lorri 401b'!N5624,'Retirement Calculator'!A:A,0),0),0)</f>
        <v>0</v>
      </c>
      <c r="K5624" s="444">
        <f t="shared" ca="1" si="193"/>
        <v>-19585558382612.043</v>
      </c>
      <c r="L5624" s="444">
        <f t="shared" ca="1" si="194"/>
        <v>-4720119570209502</v>
      </c>
      <c r="M5624" s="460">
        <f t="shared" si="196"/>
        <v>0.05</v>
      </c>
      <c r="N5624" s="464">
        <f t="shared" si="197"/>
        <v>222221</v>
      </c>
    </row>
    <row r="5625" spans="7:14" ht="11.25" customHeight="1" x14ac:dyDescent="0.3">
      <c r="G5625" s="459"/>
      <c r="H5625" s="459">
        <v>5618</v>
      </c>
      <c r="I5625" s="444">
        <f t="shared" ca="1" si="195"/>
        <v>-4720119570209502</v>
      </c>
      <c r="J5625" s="444">
        <f t="array" ref="J5625">IFERROR(INDEX('Retirement Calculator'!K:K,MATCH('Lorri 401b'!N5625,'Retirement Calculator'!A:A,0),0),0)</f>
        <v>0</v>
      </c>
      <c r="K5625" s="444">
        <f t="shared" ca="1" si="193"/>
        <v>-19667164875872.926</v>
      </c>
      <c r="L5625" s="444">
        <f t="shared" ca="1" si="194"/>
        <v>-4739786735085375</v>
      </c>
      <c r="M5625" s="460">
        <f t="shared" si="196"/>
        <v>0.05</v>
      </c>
      <c r="N5625" s="464">
        <f t="shared" si="197"/>
        <v>222251</v>
      </c>
    </row>
    <row r="5626" spans="7:14" ht="11.25" customHeight="1" x14ac:dyDescent="0.3">
      <c r="G5626" s="459"/>
      <c r="H5626" s="459">
        <v>5619</v>
      </c>
      <c r="I5626" s="444">
        <f t="shared" ca="1" si="195"/>
        <v>-4739786735085375</v>
      </c>
      <c r="J5626" s="444">
        <f t="array" ref="J5626">IFERROR(INDEX('Retirement Calculator'!K:K,MATCH('Lorri 401b'!N5626,'Retirement Calculator'!A:A,0),0),0)</f>
        <v>0</v>
      </c>
      <c r="K5626" s="444">
        <f t="shared" ca="1" si="193"/>
        <v>-19749111396189.063</v>
      </c>
      <c r="L5626" s="444">
        <f t="shared" ca="1" si="194"/>
        <v>-4759535846481564</v>
      </c>
      <c r="M5626" s="460">
        <f t="shared" si="196"/>
        <v>0.05</v>
      </c>
      <c r="N5626" s="464">
        <f t="shared" si="197"/>
        <v>222282</v>
      </c>
    </row>
    <row r="5627" spans="7:14" ht="11.25" customHeight="1" x14ac:dyDescent="0.3">
      <c r="G5627" s="459"/>
      <c r="H5627" s="459">
        <v>5620</v>
      </c>
      <c r="I5627" s="444">
        <f t="shared" ca="1" si="195"/>
        <v>-4759535846481564</v>
      </c>
      <c r="J5627" s="444">
        <f t="array" ref="J5627">IFERROR(INDEX('Retirement Calculator'!K:K,MATCH('Lorri 401b'!N5627,'Retirement Calculator'!A:A,0),0),0)</f>
        <v>0</v>
      </c>
      <c r="K5627" s="444">
        <f t="shared" ca="1" si="193"/>
        <v>-19831399360339.852</v>
      </c>
      <c r="L5627" s="444">
        <f t="shared" ca="1" si="194"/>
        <v>-4779367245841904</v>
      </c>
      <c r="M5627" s="460">
        <f t="shared" si="196"/>
        <v>0.05</v>
      </c>
      <c r="N5627" s="464">
        <f t="shared" si="197"/>
        <v>222313</v>
      </c>
    </row>
    <row r="5628" spans="7:14" ht="11.25" customHeight="1" x14ac:dyDescent="0.3">
      <c r="G5628" s="459"/>
      <c r="H5628" s="459">
        <v>5621</v>
      </c>
      <c r="I5628" s="444">
        <f t="shared" ca="1" si="195"/>
        <v>-4779367245841904</v>
      </c>
      <c r="J5628" s="444">
        <f t="array" ref="J5628">IFERROR(INDEX('Retirement Calculator'!K:K,MATCH('Lorri 401b'!N5628,'Retirement Calculator'!A:A,0),0),0)</f>
        <v>0</v>
      </c>
      <c r="K5628" s="444">
        <f t="shared" ca="1" si="193"/>
        <v>-19914030191007.934</v>
      </c>
      <c r="L5628" s="444">
        <f t="shared" ca="1" si="194"/>
        <v>-4799281276032912</v>
      </c>
      <c r="M5628" s="460">
        <f t="shared" si="196"/>
        <v>0.05</v>
      </c>
      <c r="N5628" s="464">
        <f t="shared" si="197"/>
        <v>222343</v>
      </c>
    </row>
    <row r="5629" spans="7:14" ht="11.25" customHeight="1" x14ac:dyDescent="0.3">
      <c r="G5629" s="459"/>
      <c r="H5629" s="459">
        <v>5622</v>
      </c>
      <c r="I5629" s="444">
        <f t="shared" ca="1" si="195"/>
        <v>-4799281276032912</v>
      </c>
      <c r="J5629" s="444">
        <f t="array" ref="J5629">IFERROR(INDEX('Retirement Calculator'!K:K,MATCH('Lorri 401b'!N5629,'Retirement Calculator'!A:A,0),0),0)</f>
        <v>0</v>
      </c>
      <c r="K5629" s="444">
        <f t="shared" ca="1" si="193"/>
        <v>-19997005316803.801</v>
      </c>
      <c r="L5629" s="444">
        <f t="shared" ca="1" si="194"/>
        <v>-4819278281349716</v>
      </c>
      <c r="M5629" s="460">
        <f t="shared" si="196"/>
        <v>0.05</v>
      </c>
      <c r="N5629" s="464">
        <f t="shared" si="197"/>
        <v>222374</v>
      </c>
    </row>
    <row r="5630" spans="7:14" ht="11.25" customHeight="1" x14ac:dyDescent="0.3">
      <c r="G5630" s="459"/>
      <c r="H5630" s="459">
        <v>5623</v>
      </c>
      <c r="I5630" s="444">
        <f t="shared" ca="1" si="195"/>
        <v>-4819278281349716</v>
      </c>
      <c r="J5630" s="444">
        <f t="array" ref="J5630">IFERROR(INDEX('Retirement Calculator'!K:K,MATCH('Lorri 401b'!N5630,'Retirement Calculator'!A:A,0),0),0)</f>
        <v>0</v>
      </c>
      <c r="K5630" s="444">
        <f t="shared" ca="1" si="193"/>
        <v>-20080326172290.484</v>
      </c>
      <c r="L5630" s="444">
        <f t="shared" ca="1" si="194"/>
        <v>-4839358607522006</v>
      </c>
      <c r="M5630" s="460">
        <f t="shared" si="196"/>
        <v>0.05</v>
      </c>
      <c r="N5630" s="464">
        <f t="shared" si="197"/>
        <v>222404</v>
      </c>
    </row>
    <row r="5631" spans="7:14" ht="11.25" customHeight="1" x14ac:dyDescent="0.3">
      <c r="G5631" s="459"/>
      <c r="H5631" s="459">
        <v>5624</v>
      </c>
      <c r="I5631" s="444">
        <f t="shared" ca="1" si="195"/>
        <v>-4839358607522006</v>
      </c>
      <c r="J5631" s="444">
        <f t="array" ref="J5631">IFERROR(INDEX('Retirement Calculator'!K:K,MATCH('Lorri 401b'!N5631,'Retirement Calculator'!A:A,0),0),0)</f>
        <v>0</v>
      </c>
      <c r="K5631" s="444">
        <f t="shared" ca="1" si="193"/>
        <v>-20163994198008.359</v>
      </c>
      <c r="L5631" s="444">
        <f t="shared" ca="1" si="194"/>
        <v>-4859522601720014</v>
      </c>
      <c r="M5631" s="460">
        <f t="shared" si="196"/>
        <v>0.05</v>
      </c>
      <c r="N5631" s="464">
        <f t="shared" si="197"/>
        <v>222435</v>
      </c>
    </row>
    <row r="5632" spans="7:14" ht="11.25" customHeight="1" x14ac:dyDescent="0.3">
      <c r="G5632" s="459"/>
      <c r="H5632" s="459">
        <v>5625</v>
      </c>
      <c r="I5632" s="444">
        <f t="shared" ca="1" si="195"/>
        <v>-4859522601720014</v>
      </c>
      <c r="J5632" s="444">
        <f t="array" ref="J5632">IFERROR(INDEX('Retirement Calculator'!K:K,MATCH('Lorri 401b'!N5632,'Retirement Calculator'!A:A,0),0),0)</f>
        <v>0</v>
      </c>
      <c r="K5632" s="444">
        <f t="shared" ca="1" si="193"/>
        <v>-20248010840500.059</v>
      </c>
      <c r="L5632" s="444">
        <f t="shared" ca="1" si="194"/>
        <v>-4879770612560514</v>
      </c>
      <c r="M5632" s="460">
        <f t="shared" si="196"/>
        <v>0.05</v>
      </c>
      <c r="N5632" s="464">
        <f t="shared" si="197"/>
        <v>222466</v>
      </c>
    </row>
    <row r="5633" spans="7:14" ht="11.25" customHeight="1" x14ac:dyDescent="0.3">
      <c r="G5633" s="459"/>
      <c r="H5633" s="459">
        <v>5626</v>
      </c>
      <c r="I5633" s="444">
        <f t="shared" ca="1" si="195"/>
        <v>-4879770612560514</v>
      </c>
      <c r="J5633" s="444">
        <f t="array" ref="J5633">IFERROR(INDEX('Retirement Calculator'!K:K,MATCH('Lorri 401b'!N5633,'Retirement Calculator'!A:A,0),0),0)</f>
        <v>0</v>
      </c>
      <c r="K5633" s="444">
        <f t="shared" ca="1" si="193"/>
        <v>-20332377552335.477</v>
      </c>
      <c r="L5633" s="444">
        <f t="shared" ca="1" si="194"/>
        <v>-4900102990112849</v>
      </c>
      <c r="M5633" s="460">
        <f t="shared" si="196"/>
        <v>0.05</v>
      </c>
      <c r="N5633" s="464">
        <f t="shared" si="197"/>
        <v>222494</v>
      </c>
    </row>
    <row r="5634" spans="7:14" ht="11.25" customHeight="1" x14ac:dyDescent="0.3">
      <c r="G5634" s="459"/>
      <c r="H5634" s="459">
        <v>5627</v>
      </c>
      <c r="I5634" s="444">
        <f t="shared" ca="1" si="195"/>
        <v>-4900102990112849</v>
      </c>
      <c r="J5634" s="444">
        <f t="array" ref="J5634">IFERROR(INDEX('Retirement Calculator'!K:K,MATCH('Lorri 401b'!N5634,'Retirement Calculator'!A:A,0),0),0)</f>
        <v>0</v>
      </c>
      <c r="K5634" s="444">
        <f t="shared" ca="1" si="193"/>
        <v>-20417095792136.871</v>
      </c>
      <c r="L5634" s="444">
        <f t="shared" ca="1" si="194"/>
        <v>-4920520085904986</v>
      </c>
      <c r="M5634" s="460">
        <f t="shared" si="196"/>
        <v>0.05</v>
      </c>
      <c r="N5634" s="464">
        <f t="shared" si="197"/>
        <v>222525</v>
      </c>
    </row>
    <row r="5635" spans="7:14" ht="11.25" customHeight="1" x14ac:dyDescent="0.3">
      <c r="G5635" s="459"/>
      <c r="H5635" s="459">
        <v>5628</v>
      </c>
      <c r="I5635" s="444">
        <f t="shared" ca="1" si="195"/>
        <v>-4920520085904986</v>
      </c>
      <c r="J5635" s="444">
        <f t="array" ref="J5635">IFERROR(INDEX('Retirement Calculator'!K:K,MATCH('Lorri 401b'!N5635,'Retirement Calculator'!A:A,0),0),0)</f>
        <v>0</v>
      </c>
      <c r="K5635" s="444">
        <f t="shared" ca="1" si="193"/>
        <v>-20502167024604.109</v>
      </c>
      <c r="L5635" s="444">
        <f t="shared" ca="1" si="194"/>
        <v>-4941022252929590</v>
      </c>
      <c r="M5635" s="460">
        <f t="shared" si="196"/>
        <v>0.05</v>
      </c>
      <c r="N5635" s="464">
        <f t="shared" si="197"/>
        <v>222555</v>
      </c>
    </row>
    <row r="5636" spans="7:14" ht="11.25" customHeight="1" x14ac:dyDescent="0.3">
      <c r="G5636" s="459"/>
      <c r="H5636" s="459">
        <v>5629</v>
      </c>
      <c r="I5636" s="444">
        <f t="shared" ca="1" si="195"/>
        <v>-4941022252929590</v>
      </c>
      <c r="J5636" s="444">
        <f t="array" ref="J5636">IFERROR(INDEX('Retirement Calculator'!K:K,MATCH('Lorri 401b'!N5636,'Retirement Calculator'!A:A,0),0),0)</f>
        <v>0</v>
      </c>
      <c r="K5636" s="444">
        <f t="shared" ca="1" si="193"/>
        <v>-20587592720539.957</v>
      </c>
      <c r="L5636" s="444">
        <f t="shared" ca="1" si="194"/>
        <v>-4961609845650130</v>
      </c>
      <c r="M5636" s="460">
        <f t="shared" si="196"/>
        <v>0.05</v>
      </c>
      <c r="N5636" s="464">
        <f t="shared" si="197"/>
        <v>222586</v>
      </c>
    </row>
    <row r="5637" spans="7:14" ht="11.25" customHeight="1" x14ac:dyDescent="0.3">
      <c r="G5637" s="459"/>
      <c r="H5637" s="459">
        <v>5630</v>
      </c>
      <c r="I5637" s="444">
        <f t="shared" ca="1" si="195"/>
        <v>-4961609845650130</v>
      </c>
      <c r="J5637" s="444">
        <f t="array" ref="J5637">IFERROR(INDEX('Retirement Calculator'!K:K,MATCH('Lorri 401b'!N5637,'Retirement Calculator'!A:A,0),0),0)</f>
        <v>0</v>
      </c>
      <c r="K5637" s="444">
        <f t="shared" ca="1" si="193"/>
        <v>-20673374356875.543</v>
      </c>
      <c r="L5637" s="444">
        <f t="shared" ca="1" si="194"/>
        <v>-4982283220007006</v>
      </c>
      <c r="M5637" s="460">
        <f t="shared" si="196"/>
        <v>0.05</v>
      </c>
      <c r="N5637" s="464">
        <f t="shared" si="197"/>
        <v>222616</v>
      </c>
    </row>
    <row r="5638" spans="7:14" ht="11.25" customHeight="1" x14ac:dyDescent="0.3">
      <c r="G5638" s="459"/>
      <c r="H5638" s="459">
        <v>5631</v>
      </c>
      <c r="I5638" s="444">
        <f t="shared" ca="1" si="195"/>
        <v>-4982283220007006</v>
      </c>
      <c r="J5638" s="444">
        <f t="array" ref="J5638">IFERROR(INDEX('Retirement Calculator'!K:K,MATCH('Lorri 401b'!N5638,'Retirement Calculator'!A:A,0),0),0)</f>
        <v>0</v>
      </c>
      <c r="K5638" s="444">
        <f t="shared" ca="1" si="193"/>
        <v>-20759513416695.859</v>
      </c>
      <c r="L5638" s="444">
        <f t="shared" ca="1" si="194"/>
        <v>-5003042733423702</v>
      </c>
      <c r="M5638" s="460">
        <f t="shared" si="196"/>
        <v>0.05</v>
      </c>
      <c r="N5638" s="464">
        <f t="shared" si="197"/>
        <v>222647</v>
      </c>
    </row>
    <row r="5639" spans="7:14" ht="11.25" customHeight="1" x14ac:dyDescent="0.3">
      <c r="G5639" s="459"/>
      <c r="H5639" s="459">
        <v>5632</v>
      </c>
      <c r="I5639" s="444">
        <f t="shared" ca="1" si="195"/>
        <v>-5003042733423702</v>
      </c>
      <c r="J5639" s="444">
        <f t="array" ref="J5639">IFERROR(INDEX('Retirement Calculator'!K:K,MATCH('Lorri 401b'!N5639,'Retirement Calculator'!A:A,0),0),0)</f>
        <v>0</v>
      </c>
      <c r="K5639" s="444">
        <f t="shared" ca="1" si="193"/>
        <v>-20846011389265.426</v>
      </c>
      <c r="L5639" s="444">
        <f t="shared" ca="1" si="194"/>
        <v>-5023888744812967</v>
      </c>
      <c r="M5639" s="460">
        <f t="shared" si="196"/>
        <v>0.05</v>
      </c>
      <c r="N5639" s="464">
        <f t="shared" si="197"/>
        <v>222678</v>
      </c>
    </row>
    <row r="5640" spans="7:14" ht="11.25" customHeight="1" x14ac:dyDescent="0.3">
      <c r="G5640" s="459"/>
      <c r="H5640" s="459">
        <v>5633</v>
      </c>
      <c r="I5640" s="444">
        <f t="shared" ca="1" si="195"/>
        <v>-5023888744812967</v>
      </c>
      <c r="J5640" s="444">
        <f t="array" ref="J5640">IFERROR(INDEX('Retirement Calculator'!K:K,MATCH('Lorri 401b'!N5640,'Retirement Calculator'!A:A,0),0),0)</f>
        <v>0</v>
      </c>
      <c r="K5640" s="444">
        <f t="shared" ca="1" si="193"/>
        <v>-20932869770054.027</v>
      </c>
      <c r="L5640" s="444">
        <f t="shared" ca="1" si="194"/>
        <v>-5044821614583021</v>
      </c>
      <c r="M5640" s="460">
        <f t="shared" si="196"/>
        <v>0.05</v>
      </c>
      <c r="N5640" s="464">
        <f t="shared" si="197"/>
        <v>222708</v>
      </c>
    </row>
    <row r="5641" spans="7:14" ht="11.25" customHeight="1" x14ac:dyDescent="0.3">
      <c r="G5641" s="459"/>
      <c r="H5641" s="459">
        <v>5634</v>
      </c>
      <c r="I5641" s="444">
        <f t="shared" ca="1" si="195"/>
        <v>-5044821614583021</v>
      </c>
      <c r="J5641" s="444">
        <f t="array" ref="J5641">IFERROR(INDEX('Retirement Calculator'!K:K,MATCH('Lorri 401b'!N5641,'Retirement Calculator'!A:A,0),0),0)</f>
        <v>0</v>
      </c>
      <c r="K5641" s="444">
        <f t="shared" ca="1" si="193"/>
        <v>-21020090060762.586</v>
      </c>
      <c r="L5641" s="444">
        <f t="shared" ca="1" si="194"/>
        <v>-5065841704643784</v>
      </c>
      <c r="M5641" s="460">
        <f t="shared" si="196"/>
        <v>0.05</v>
      </c>
      <c r="N5641" s="464">
        <f t="shared" si="197"/>
        <v>222739</v>
      </c>
    </row>
    <row r="5642" spans="7:14" ht="11.25" customHeight="1" x14ac:dyDescent="0.3">
      <c r="G5642" s="459"/>
      <c r="H5642" s="459">
        <v>5635</v>
      </c>
      <c r="I5642" s="444">
        <f t="shared" ca="1" si="195"/>
        <v>-5065841704643784</v>
      </c>
      <c r="J5642" s="444">
        <f t="array" ref="J5642">IFERROR(INDEX('Retirement Calculator'!K:K,MATCH('Lorri 401b'!N5642,'Retirement Calculator'!A:A,0),0),0)</f>
        <v>0</v>
      </c>
      <c r="K5642" s="444">
        <f t="shared" ca="1" si="193"/>
        <v>-21107673769349.102</v>
      </c>
      <c r="L5642" s="444">
        <f t="shared" ca="1" si="194"/>
        <v>-5086949378413133</v>
      </c>
      <c r="M5642" s="460">
        <f t="shared" si="196"/>
        <v>0.05</v>
      </c>
      <c r="N5642" s="464">
        <f t="shared" si="197"/>
        <v>222769</v>
      </c>
    </row>
    <row r="5643" spans="7:14" ht="11.25" customHeight="1" x14ac:dyDescent="0.3">
      <c r="G5643" s="459"/>
      <c r="H5643" s="459">
        <v>5636</v>
      </c>
      <c r="I5643" s="444">
        <f t="shared" ca="1" si="195"/>
        <v>-5086949378413133</v>
      </c>
      <c r="J5643" s="444">
        <f t="array" ref="J5643">IFERROR(INDEX('Retirement Calculator'!K:K,MATCH('Lorri 401b'!N5643,'Retirement Calculator'!A:A,0),0),0)</f>
        <v>0</v>
      </c>
      <c r="K5643" s="444">
        <f t="shared" ca="1" si="193"/>
        <v>-21195622410054.719</v>
      </c>
      <c r="L5643" s="444">
        <f t="shared" ca="1" si="194"/>
        <v>-5108145000823188</v>
      </c>
      <c r="M5643" s="460">
        <f t="shared" si="196"/>
        <v>0.05</v>
      </c>
      <c r="N5643" s="464">
        <f t="shared" si="197"/>
        <v>222800</v>
      </c>
    </row>
    <row r="5644" spans="7:14" ht="11.25" customHeight="1" x14ac:dyDescent="0.3">
      <c r="G5644" s="459"/>
      <c r="H5644" s="459">
        <v>5637</v>
      </c>
      <c r="I5644" s="444">
        <f t="shared" ca="1" si="195"/>
        <v>-5108145000823188</v>
      </c>
      <c r="J5644" s="444">
        <f t="array" ref="J5644">IFERROR(INDEX('Retirement Calculator'!K:K,MATCH('Lorri 401b'!N5644,'Retirement Calculator'!A:A,0),0),0)</f>
        <v>0</v>
      </c>
      <c r="K5644" s="444">
        <f t="shared" ca="1" si="193"/>
        <v>-21283937503429.949</v>
      </c>
      <c r="L5644" s="444">
        <f t="shared" ca="1" si="194"/>
        <v>-5129428938326618</v>
      </c>
      <c r="M5644" s="460">
        <f t="shared" si="196"/>
        <v>0.05</v>
      </c>
      <c r="N5644" s="464">
        <f t="shared" si="197"/>
        <v>222831</v>
      </c>
    </row>
    <row r="5645" spans="7:14" ht="11.25" customHeight="1" x14ac:dyDescent="0.3">
      <c r="G5645" s="459"/>
      <c r="H5645" s="459">
        <v>5638</v>
      </c>
      <c r="I5645" s="444">
        <f t="shared" ca="1" si="195"/>
        <v>-5129428938326618</v>
      </c>
      <c r="J5645" s="444">
        <f t="array" ref="J5645">IFERROR(INDEX('Retirement Calculator'!K:K,MATCH('Lorri 401b'!N5645,'Retirement Calculator'!A:A,0),0),0)</f>
        <v>0</v>
      </c>
      <c r="K5645" s="444">
        <f t="shared" ca="1" si="193"/>
        <v>-21372620576360.906</v>
      </c>
      <c r="L5645" s="444">
        <f t="shared" ca="1" si="194"/>
        <v>-5150801558902979</v>
      </c>
      <c r="M5645" s="460">
        <f t="shared" si="196"/>
        <v>0.05</v>
      </c>
      <c r="N5645" s="464">
        <f t="shared" si="197"/>
        <v>222859</v>
      </c>
    </row>
    <row r="5646" spans="7:14" ht="11.25" customHeight="1" x14ac:dyDescent="0.3">
      <c r="G5646" s="459"/>
      <c r="H5646" s="459">
        <v>5639</v>
      </c>
      <c r="I5646" s="444">
        <f t="shared" ca="1" si="195"/>
        <v>-5150801558902979</v>
      </c>
      <c r="J5646" s="444">
        <f t="array" ref="J5646">IFERROR(INDEX('Retirement Calculator'!K:K,MATCH('Lorri 401b'!N5646,'Retirement Calculator'!A:A,0),0),0)</f>
        <v>0</v>
      </c>
      <c r="K5646" s="444">
        <f t="shared" ca="1" si="193"/>
        <v>-21461673162095.746</v>
      </c>
      <c r="L5646" s="444">
        <f t="shared" ca="1" si="194"/>
        <v>-5172263232065075</v>
      </c>
      <c r="M5646" s="460">
        <f t="shared" si="196"/>
        <v>0.05</v>
      </c>
      <c r="N5646" s="464">
        <f t="shared" si="197"/>
        <v>222890</v>
      </c>
    </row>
    <row r="5647" spans="7:14" ht="11.25" customHeight="1" x14ac:dyDescent="0.3">
      <c r="G5647" s="459"/>
      <c r="H5647" s="459">
        <v>5640</v>
      </c>
      <c r="I5647" s="444">
        <f t="shared" ca="1" si="195"/>
        <v>-5172263232065075</v>
      </c>
      <c r="J5647" s="444">
        <f t="array" ref="J5647">IFERROR(INDEX('Retirement Calculator'!K:K,MATCH('Lorri 401b'!N5647,'Retirement Calculator'!A:A,0),0),0)</f>
        <v>0</v>
      </c>
      <c r="K5647" s="444">
        <f t="shared" ca="1" si="193"/>
        <v>-21551096800271.145</v>
      </c>
      <c r="L5647" s="444">
        <f t="shared" ca="1" si="194"/>
        <v>-5193814328865346</v>
      </c>
      <c r="M5647" s="460">
        <f t="shared" si="196"/>
        <v>0.05</v>
      </c>
      <c r="N5647" s="464">
        <f t="shared" si="197"/>
        <v>222920</v>
      </c>
    </row>
    <row r="5648" spans="7:14" ht="11.25" customHeight="1" x14ac:dyDescent="0.3">
      <c r="G5648" s="459"/>
      <c r="H5648" s="459">
        <v>5641</v>
      </c>
      <c r="I5648" s="444">
        <f t="shared" ca="1" si="195"/>
        <v>-5193814328865346</v>
      </c>
      <c r="J5648" s="444">
        <f t="array" ref="J5648">IFERROR(INDEX('Retirement Calculator'!K:K,MATCH('Lorri 401b'!N5648,'Retirement Calculator'!A:A,0),0),0)</f>
        <v>0</v>
      </c>
      <c r="K5648" s="444">
        <f t="shared" ca="1" si="193"/>
        <v>-21640893036938.941</v>
      </c>
      <c r="L5648" s="444">
        <f t="shared" ca="1" si="194"/>
        <v>-5215455221902285</v>
      </c>
      <c r="M5648" s="460">
        <f t="shared" si="196"/>
        <v>0.05</v>
      </c>
      <c r="N5648" s="464">
        <f t="shared" si="197"/>
        <v>222951</v>
      </c>
    </row>
    <row r="5649" spans="7:14" ht="11.25" customHeight="1" x14ac:dyDescent="0.3">
      <c r="G5649" s="459"/>
      <c r="H5649" s="459">
        <v>5642</v>
      </c>
      <c r="I5649" s="444">
        <f t="shared" ca="1" si="195"/>
        <v>-5215455221902285</v>
      </c>
      <c r="J5649" s="444">
        <f t="array" ref="J5649">IFERROR(INDEX('Retirement Calculator'!K:K,MATCH('Lorri 401b'!N5649,'Retirement Calculator'!A:A,0),0),0)</f>
        <v>0</v>
      </c>
      <c r="K5649" s="444">
        <f t="shared" ca="1" si="193"/>
        <v>-21731063424592.855</v>
      </c>
      <c r="L5649" s="444">
        <f t="shared" ca="1" si="194"/>
        <v>-5237186285326878</v>
      </c>
      <c r="M5649" s="460">
        <f t="shared" si="196"/>
        <v>0.05</v>
      </c>
      <c r="N5649" s="464">
        <f t="shared" si="197"/>
        <v>222981</v>
      </c>
    </row>
    <row r="5650" spans="7:14" ht="11.25" customHeight="1" x14ac:dyDescent="0.3">
      <c r="G5650" s="459"/>
      <c r="H5650" s="459">
        <v>5643</v>
      </c>
      <c r="I5650" s="444">
        <f t="shared" ca="1" si="195"/>
        <v>-5237186285326878</v>
      </c>
      <c r="J5650" s="444">
        <f t="array" ref="J5650">IFERROR(INDEX('Retirement Calculator'!K:K,MATCH('Lorri 401b'!N5650,'Retirement Calculator'!A:A,0),0),0)</f>
        <v>0</v>
      </c>
      <c r="K5650" s="444">
        <f t="shared" ca="1" si="193"/>
        <v>-21821609522195.324</v>
      </c>
      <c r="L5650" s="444">
        <f t="shared" ca="1" si="194"/>
        <v>-5259007894849073</v>
      </c>
      <c r="M5650" s="460">
        <f t="shared" si="196"/>
        <v>0.05</v>
      </c>
      <c r="N5650" s="464">
        <f t="shared" si="197"/>
        <v>223012</v>
      </c>
    </row>
    <row r="5651" spans="7:14" ht="11.25" customHeight="1" x14ac:dyDescent="0.3">
      <c r="G5651" s="459"/>
      <c r="H5651" s="459">
        <v>5644</v>
      </c>
      <c r="I5651" s="444">
        <f t="shared" ca="1" si="195"/>
        <v>-5259007894849073</v>
      </c>
      <c r="J5651" s="444">
        <f t="array" ref="J5651">IFERROR(INDEX('Retirement Calculator'!K:K,MATCH('Lorri 401b'!N5651,'Retirement Calculator'!A:A,0),0),0)</f>
        <v>0</v>
      </c>
      <c r="K5651" s="444">
        <f t="shared" ca="1" si="193"/>
        <v>-21912532895204.469</v>
      </c>
      <c r="L5651" s="444">
        <f t="shared" ca="1" si="194"/>
        <v>-5280920427744277</v>
      </c>
      <c r="M5651" s="460">
        <f t="shared" si="196"/>
        <v>0.05</v>
      </c>
      <c r="N5651" s="464">
        <f t="shared" si="197"/>
        <v>223043</v>
      </c>
    </row>
    <row r="5652" spans="7:14" ht="11.25" customHeight="1" x14ac:dyDescent="0.3">
      <c r="G5652" s="459"/>
      <c r="H5652" s="459">
        <v>5645</v>
      </c>
      <c r="I5652" s="444">
        <f t="shared" ca="1" si="195"/>
        <v>-5280920427744277</v>
      </c>
      <c r="J5652" s="444">
        <f t="array" ref="J5652">IFERROR(INDEX('Retirement Calculator'!K:K,MATCH('Lorri 401b'!N5652,'Retirement Calculator'!A:A,0),0),0)</f>
        <v>0</v>
      </c>
      <c r="K5652" s="444">
        <f t="shared" ca="1" si="193"/>
        <v>-22003835115601.152</v>
      </c>
      <c r="L5652" s="444">
        <f t="shared" ca="1" si="194"/>
        <v>-5302924262859878</v>
      </c>
      <c r="M5652" s="460">
        <f t="shared" si="196"/>
        <v>0.05</v>
      </c>
      <c r="N5652" s="464">
        <f t="shared" si="197"/>
        <v>223073</v>
      </c>
    </row>
    <row r="5653" spans="7:14" ht="11.25" customHeight="1" x14ac:dyDescent="0.3">
      <c r="G5653" s="459"/>
      <c r="H5653" s="459">
        <v>5646</v>
      </c>
      <c r="I5653" s="444">
        <f t="shared" ca="1" si="195"/>
        <v>-5302924262859878</v>
      </c>
      <c r="J5653" s="444">
        <f t="array" ref="J5653">IFERROR(INDEX('Retirement Calculator'!K:K,MATCH('Lorri 401b'!N5653,'Retirement Calculator'!A:A,0),0),0)</f>
        <v>0</v>
      </c>
      <c r="K5653" s="444">
        <f t="shared" ca="1" si="193"/>
        <v>-22095517761916.156</v>
      </c>
      <c r="L5653" s="444">
        <f t="shared" ca="1" si="194"/>
        <v>-5325019780621794</v>
      </c>
      <c r="M5653" s="460">
        <f t="shared" si="196"/>
        <v>0.05</v>
      </c>
      <c r="N5653" s="464">
        <f t="shared" si="197"/>
        <v>223104</v>
      </c>
    </row>
    <row r="5654" spans="7:14" ht="11.25" customHeight="1" x14ac:dyDescent="0.3">
      <c r="G5654" s="459"/>
      <c r="H5654" s="459">
        <v>5647</v>
      </c>
      <c r="I5654" s="444">
        <f t="shared" ca="1" si="195"/>
        <v>-5325019780621794</v>
      </c>
      <c r="J5654" s="444">
        <f t="array" ref="J5654">IFERROR(INDEX('Retirement Calculator'!K:K,MATCH('Lorri 401b'!N5654,'Retirement Calculator'!A:A,0),0),0)</f>
        <v>0</v>
      </c>
      <c r="K5654" s="444">
        <f t="shared" ca="1" si="193"/>
        <v>-22187582419257.477</v>
      </c>
      <c r="L5654" s="444">
        <f t="shared" ca="1" si="194"/>
        <v>-5347207363041051</v>
      </c>
      <c r="M5654" s="460">
        <f t="shared" si="196"/>
        <v>0.05</v>
      </c>
      <c r="N5654" s="464">
        <f t="shared" si="197"/>
        <v>223134</v>
      </c>
    </row>
    <row r="5655" spans="7:14" ht="11.25" customHeight="1" x14ac:dyDescent="0.3">
      <c r="G5655" s="459"/>
      <c r="H5655" s="459">
        <v>5648</v>
      </c>
      <c r="I5655" s="444">
        <f t="shared" ca="1" si="195"/>
        <v>-5347207363041051</v>
      </c>
      <c r="J5655" s="444">
        <f t="array" ref="J5655">IFERROR(INDEX('Retirement Calculator'!K:K,MATCH('Lorri 401b'!N5655,'Retirement Calculator'!A:A,0),0),0)</f>
        <v>0</v>
      </c>
      <c r="K5655" s="444">
        <f t="shared" ca="1" si="193"/>
        <v>-22280030679337.711</v>
      </c>
      <c r="L5655" s="444">
        <f t="shared" ca="1" si="194"/>
        <v>-5369487393720389</v>
      </c>
      <c r="M5655" s="460">
        <f t="shared" si="196"/>
        <v>0.05</v>
      </c>
      <c r="N5655" s="464">
        <f t="shared" si="197"/>
        <v>223165</v>
      </c>
    </row>
    <row r="5656" spans="7:14" ht="11.25" customHeight="1" x14ac:dyDescent="0.3">
      <c r="G5656" s="459"/>
      <c r="H5656" s="459">
        <v>5649</v>
      </c>
      <c r="I5656" s="444">
        <f t="shared" ca="1" si="195"/>
        <v>-5369487393720389</v>
      </c>
      <c r="J5656" s="444">
        <f t="array" ref="J5656">IFERROR(INDEX('Retirement Calculator'!K:K,MATCH('Lorri 401b'!N5656,'Retirement Calculator'!A:A,0),0),0)</f>
        <v>0</v>
      </c>
      <c r="K5656" s="444">
        <f t="shared" ca="1" si="193"/>
        <v>-22372864140501.621</v>
      </c>
      <c r="L5656" s="444">
        <f t="shared" ca="1" si="194"/>
        <v>-5391860257860891</v>
      </c>
      <c r="M5656" s="460">
        <f t="shared" si="196"/>
        <v>0.05</v>
      </c>
      <c r="N5656" s="464">
        <f t="shared" si="197"/>
        <v>223196</v>
      </c>
    </row>
    <row r="5657" spans="7:14" ht="11.25" customHeight="1" x14ac:dyDescent="0.3">
      <c r="G5657" s="459"/>
      <c r="H5657" s="459">
        <v>5650</v>
      </c>
      <c r="I5657" s="444">
        <f t="shared" ca="1" si="195"/>
        <v>-5391860257860891</v>
      </c>
      <c r="J5657" s="444">
        <f t="array" ref="J5657">IFERROR(INDEX('Retirement Calculator'!K:K,MATCH('Lorri 401b'!N5657,'Retirement Calculator'!A:A,0),0),0)</f>
        <v>0</v>
      </c>
      <c r="K5657" s="444">
        <f t="shared" ca="1" si="193"/>
        <v>-22466084407753.711</v>
      </c>
      <c r="L5657" s="444">
        <f t="shared" ca="1" si="194"/>
        <v>-5414326342268645</v>
      </c>
      <c r="M5657" s="460">
        <f t="shared" si="196"/>
        <v>0.05</v>
      </c>
      <c r="N5657" s="464">
        <f t="shared" si="197"/>
        <v>223224</v>
      </c>
    </row>
    <row r="5658" spans="7:14" ht="11.25" customHeight="1" x14ac:dyDescent="0.3">
      <c r="G5658" s="459"/>
      <c r="H5658" s="459">
        <v>5651</v>
      </c>
      <c r="I5658" s="444">
        <f t="shared" ca="1" si="195"/>
        <v>-5414326342268645</v>
      </c>
      <c r="J5658" s="444">
        <f t="array" ref="J5658">IFERROR(INDEX('Retirement Calculator'!K:K,MATCH('Lorri 401b'!N5658,'Retirement Calculator'!A:A,0),0),0)</f>
        <v>0</v>
      </c>
      <c r="K5658" s="444">
        <f t="shared" ca="1" si="193"/>
        <v>-22559693092786.02</v>
      </c>
      <c r="L5658" s="444">
        <f t="shared" ca="1" si="194"/>
        <v>-5436886035361431</v>
      </c>
      <c r="M5658" s="460">
        <f t="shared" si="196"/>
        <v>0.05</v>
      </c>
      <c r="N5658" s="464">
        <f t="shared" si="197"/>
        <v>223255</v>
      </c>
    </row>
    <row r="5659" spans="7:14" ht="11.25" customHeight="1" x14ac:dyDescent="0.3">
      <c r="G5659" s="459"/>
      <c r="H5659" s="459">
        <v>5652</v>
      </c>
      <c r="I5659" s="444">
        <f t="shared" ca="1" si="195"/>
        <v>-5436886035361431</v>
      </c>
      <c r="J5659" s="444">
        <f t="array" ref="J5659">IFERROR(INDEX('Retirement Calculator'!K:K,MATCH('Lorri 401b'!N5659,'Retirement Calculator'!A:A,0),0),0)</f>
        <v>0</v>
      </c>
      <c r="K5659" s="444">
        <f t="shared" ca="1" si="193"/>
        <v>-22653691814005.961</v>
      </c>
      <c r="L5659" s="444">
        <f t="shared" ca="1" si="194"/>
        <v>-5459539727175437</v>
      </c>
      <c r="M5659" s="460">
        <f t="shared" si="196"/>
        <v>0.05</v>
      </c>
      <c r="N5659" s="464">
        <f t="shared" si="197"/>
        <v>223285</v>
      </c>
    </row>
    <row r="5660" spans="7:14" ht="11.25" customHeight="1" x14ac:dyDescent="0.3">
      <c r="G5660" s="459"/>
      <c r="H5660" s="459">
        <v>5653</v>
      </c>
      <c r="I5660" s="444">
        <f t="shared" ca="1" si="195"/>
        <v>-5459539727175437</v>
      </c>
      <c r="J5660" s="444">
        <f t="array" ref="J5660">IFERROR(INDEX('Retirement Calculator'!K:K,MATCH('Lorri 401b'!N5660,'Retirement Calculator'!A:A,0),0),0)</f>
        <v>0</v>
      </c>
      <c r="K5660" s="444">
        <f t="shared" ca="1" si="193"/>
        <v>-22748082196564.32</v>
      </c>
      <c r="L5660" s="444">
        <f t="shared" ca="1" si="194"/>
        <v>-5482287809372001</v>
      </c>
      <c r="M5660" s="460">
        <f t="shared" si="196"/>
        <v>0.05</v>
      </c>
      <c r="N5660" s="464">
        <f t="shared" si="197"/>
        <v>223316</v>
      </c>
    </row>
    <row r="5661" spans="7:14" ht="11.25" customHeight="1" x14ac:dyDescent="0.3">
      <c r="G5661" s="459"/>
      <c r="H5661" s="459">
        <v>5654</v>
      </c>
      <c r="I5661" s="444">
        <f t="shared" ca="1" si="195"/>
        <v>-5482287809372001</v>
      </c>
      <c r="J5661" s="444">
        <f t="array" ref="J5661">IFERROR(INDEX('Retirement Calculator'!K:K,MATCH('Lorri 401b'!N5661,'Retirement Calculator'!A:A,0),0),0)</f>
        <v>0</v>
      </c>
      <c r="K5661" s="444">
        <f t="shared" ca="1" si="193"/>
        <v>-22842865872383.336</v>
      </c>
      <c r="L5661" s="444">
        <f t="shared" ca="1" si="194"/>
        <v>-5505130675244384</v>
      </c>
      <c r="M5661" s="460">
        <f t="shared" si="196"/>
        <v>0.05</v>
      </c>
      <c r="N5661" s="464">
        <f t="shared" si="197"/>
        <v>223346</v>
      </c>
    </row>
    <row r="5662" spans="7:14" ht="11.25" customHeight="1" x14ac:dyDescent="0.3">
      <c r="G5662" s="459"/>
      <c r="H5662" s="459">
        <v>5655</v>
      </c>
      <c r="I5662" s="444">
        <f t="shared" ca="1" si="195"/>
        <v>-5505130675244384</v>
      </c>
      <c r="J5662" s="444">
        <f t="array" ref="J5662">IFERROR(INDEX('Retirement Calculator'!K:K,MATCH('Lorri 401b'!N5662,'Retirement Calculator'!A:A,0),0),0)</f>
        <v>0</v>
      </c>
      <c r="K5662" s="444">
        <f t="shared" ca="1" si="193"/>
        <v>-22938044480184.934</v>
      </c>
      <c r="L5662" s="444">
        <f t="shared" ca="1" si="194"/>
        <v>-5528068719724569</v>
      </c>
      <c r="M5662" s="460">
        <f t="shared" si="196"/>
        <v>0.05</v>
      </c>
      <c r="N5662" s="464">
        <f t="shared" si="197"/>
        <v>223377</v>
      </c>
    </row>
    <row r="5663" spans="7:14" ht="11.25" customHeight="1" x14ac:dyDescent="0.3">
      <c r="G5663" s="459"/>
      <c r="H5663" s="459">
        <v>5656</v>
      </c>
      <c r="I5663" s="444">
        <f t="shared" ca="1" si="195"/>
        <v>-5528068719724569</v>
      </c>
      <c r="J5663" s="444">
        <f t="array" ref="J5663">IFERROR(INDEX('Retirement Calculator'!K:K,MATCH('Lorri 401b'!N5663,'Retirement Calculator'!A:A,0),0),0)</f>
        <v>0</v>
      </c>
      <c r="K5663" s="444">
        <f t="shared" ca="1" si="193"/>
        <v>-23033619665519.039</v>
      </c>
      <c r="L5663" s="444">
        <f t="shared" ca="1" si="194"/>
        <v>-5551102339390088</v>
      </c>
      <c r="M5663" s="460">
        <f t="shared" si="196"/>
        <v>0.05</v>
      </c>
      <c r="N5663" s="464">
        <f t="shared" si="197"/>
        <v>223408</v>
      </c>
    </row>
    <row r="5664" spans="7:14" ht="11.25" customHeight="1" x14ac:dyDescent="0.3">
      <c r="G5664" s="459"/>
      <c r="H5664" s="459">
        <v>5657</v>
      </c>
      <c r="I5664" s="444">
        <f t="shared" ca="1" si="195"/>
        <v>-5551102339390088</v>
      </c>
      <c r="J5664" s="444">
        <f t="array" ref="J5664">IFERROR(INDEX('Retirement Calculator'!K:K,MATCH('Lorri 401b'!N5664,'Retirement Calculator'!A:A,0),0),0)</f>
        <v>0</v>
      </c>
      <c r="K5664" s="444">
        <f t="shared" ca="1" si="193"/>
        <v>-23129593080792.031</v>
      </c>
      <c r="L5664" s="444">
        <f t="shared" ca="1" si="194"/>
        <v>-5574231932470880</v>
      </c>
      <c r="M5664" s="460">
        <f t="shared" si="196"/>
        <v>0.05</v>
      </c>
      <c r="N5664" s="464">
        <f t="shared" si="197"/>
        <v>223438</v>
      </c>
    </row>
    <row r="5665" spans="7:14" ht="11.25" customHeight="1" x14ac:dyDescent="0.3">
      <c r="G5665" s="459"/>
      <c r="H5665" s="459">
        <v>5658</v>
      </c>
      <c r="I5665" s="444">
        <f t="shared" ca="1" si="195"/>
        <v>-5574231932470880</v>
      </c>
      <c r="J5665" s="444">
        <f t="array" ref="J5665">IFERROR(INDEX('Retirement Calculator'!K:K,MATCH('Lorri 401b'!N5665,'Retirement Calculator'!A:A,0),0),0)</f>
        <v>0</v>
      </c>
      <c r="K5665" s="444">
        <f t="shared" ca="1" si="193"/>
        <v>-23225966385295.332</v>
      </c>
      <c r="L5665" s="444">
        <f t="shared" ca="1" si="194"/>
        <v>-5597457898856175</v>
      </c>
      <c r="M5665" s="460">
        <f t="shared" si="196"/>
        <v>0.05</v>
      </c>
      <c r="N5665" s="464">
        <f t="shared" si="197"/>
        <v>223469</v>
      </c>
    </row>
    <row r="5666" spans="7:14" ht="11.25" customHeight="1" x14ac:dyDescent="0.3">
      <c r="G5666" s="459"/>
      <c r="H5666" s="459">
        <v>5659</v>
      </c>
      <c r="I5666" s="444">
        <f t="shared" ca="1" si="195"/>
        <v>-5597457898856175</v>
      </c>
      <c r="J5666" s="444">
        <f t="array" ref="J5666">IFERROR(INDEX('Retirement Calculator'!K:K,MATCH('Lorri 401b'!N5666,'Retirement Calculator'!A:A,0),0),0)</f>
        <v>0</v>
      </c>
      <c r="K5666" s="444">
        <f t="shared" ca="1" si="193"/>
        <v>-23322741245234.063</v>
      </c>
      <c r="L5666" s="444">
        <f t="shared" ca="1" si="194"/>
        <v>-5620780640101409</v>
      </c>
      <c r="M5666" s="460">
        <f t="shared" si="196"/>
        <v>0.05</v>
      </c>
      <c r="N5666" s="464">
        <f t="shared" si="197"/>
        <v>223499</v>
      </c>
    </row>
    <row r="5667" spans="7:14" ht="11.25" customHeight="1" x14ac:dyDescent="0.3">
      <c r="G5667" s="459"/>
      <c r="H5667" s="459">
        <v>5660</v>
      </c>
      <c r="I5667" s="444">
        <f t="shared" ca="1" si="195"/>
        <v>-5620780640101409</v>
      </c>
      <c r="J5667" s="444">
        <f t="array" ref="J5667">IFERROR(INDEX('Retirement Calculator'!K:K,MATCH('Lorri 401b'!N5667,'Retirement Calculator'!A:A,0),0),0)</f>
        <v>0</v>
      </c>
      <c r="K5667" s="444">
        <f t="shared" ca="1" si="193"/>
        <v>-23419919333755.871</v>
      </c>
      <c r="L5667" s="444">
        <f t="shared" ca="1" si="194"/>
        <v>-5644200559435165</v>
      </c>
      <c r="M5667" s="460">
        <f t="shared" si="196"/>
        <v>0.05</v>
      </c>
      <c r="N5667" s="464">
        <f t="shared" si="197"/>
        <v>223530</v>
      </c>
    </row>
    <row r="5668" spans="7:14" ht="11.25" customHeight="1" x14ac:dyDescent="0.3">
      <c r="G5668" s="459"/>
      <c r="H5668" s="459">
        <v>5661</v>
      </c>
      <c r="I5668" s="444">
        <f t="shared" ca="1" si="195"/>
        <v>-5644200559435165</v>
      </c>
      <c r="J5668" s="444">
        <f t="array" ref="J5668">IFERROR(INDEX('Retirement Calculator'!K:K,MATCH('Lorri 401b'!N5668,'Retirement Calculator'!A:A,0),0),0)</f>
        <v>0</v>
      </c>
      <c r="K5668" s="444">
        <f t="shared" ca="1" si="193"/>
        <v>-23517502330979.855</v>
      </c>
      <c r="L5668" s="444">
        <f t="shared" ca="1" si="194"/>
        <v>-5667718061766145</v>
      </c>
      <c r="M5668" s="460">
        <f t="shared" si="196"/>
        <v>0.05</v>
      </c>
      <c r="N5668" s="464">
        <f t="shared" si="197"/>
        <v>223561</v>
      </c>
    </row>
    <row r="5669" spans="7:14" ht="11.25" customHeight="1" x14ac:dyDescent="0.3">
      <c r="G5669" s="459"/>
      <c r="H5669" s="459">
        <v>5662</v>
      </c>
      <c r="I5669" s="444">
        <f t="shared" ca="1" si="195"/>
        <v>-5667718061766145</v>
      </c>
      <c r="J5669" s="444">
        <f t="array" ref="J5669">IFERROR(INDEX('Retirement Calculator'!K:K,MATCH('Lorri 401b'!N5669,'Retirement Calculator'!A:A,0),0),0)</f>
        <v>0</v>
      </c>
      <c r="K5669" s="444">
        <f t="shared" ca="1" si="193"/>
        <v>-23615491924025.605</v>
      </c>
      <c r="L5669" s="444">
        <f t="shared" ca="1" si="194"/>
        <v>-5691333553690171</v>
      </c>
      <c r="M5669" s="460">
        <f t="shared" si="196"/>
        <v>0.05</v>
      </c>
      <c r="N5669" s="464">
        <f t="shared" si="197"/>
        <v>223590</v>
      </c>
    </row>
    <row r="5670" spans="7:14" ht="11.25" customHeight="1" x14ac:dyDescent="0.3">
      <c r="G5670" s="459"/>
      <c r="H5670" s="459">
        <v>5663</v>
      </c>
      <c r="I5670" s="444">
        <f t="shared" ca="1" si="195"/>
        <v>-5691333553690171</v>
      </c>
      <c r="J5670" s="444">
        <f t="array" ref="J5670">IFERROR(INDEX('Retirement Calculator'!K:K,MATCH('Lorri 401b'!N5670,'Retirement Calculator'!A:A,0),0),0)</f>
        <v>0</v>
      </c>
      <c r="K5670" s="444">
        <f t="shared" ca="1" si="193"/>
        <v>-23713889807042.379</v>
      </c>
      <c r="L5670" s="444">
        <f t="shared" ca="1" si="194"/>
        <v>-5715047443497213</v>
      </c>
      <c r="M5670" s="460">
        <f t="shared" si="196"/>
        <v>0.05</v>
      </c>
      <c r="N5670" s="464">
        <f t="shared" si="197"/>
        <v>223621</v>
      </c>
    </row>
    <row r="5671" spans="7:14" ht="11.25" customHeight="1" x14ac:dyDescent="0.3">
      <c r="G5671" s="459"/>
      <c r="H5671" s="459">
        <v>5664</v>
      </c>
      <c r="I5671" s="444">
        <f t="shared" ca="1" si="195"/>
        <v>-5715047443497213</v>
      </c>
      <c r="J5671" s="444">
        <f t="array" ref="J5671">IFERROR(INDEX('Retirement Calculator'!K:K,MATCH('Lorri 401b'!N5671,'Retirement Calculator'!A:A,0),0),0)</f>
        <v>0</v>
      </c>
      <c r="K5671" s="444">
        <f t="shared" ca="1" si="193"/>
        <v>-23812697681238.387</v>
      </c>
      <c r="L5671" s="444">
        <f t="shared" ca="1" si="194"/>
        <v>-5738860141178451</v>
      </c>
      <c r="M5671" s="460">
        <f t="shared" si="196"/>
        <v>0.05</v>
      </c>
      <c r="N5671" s="464">
        <f t="shared" si="197"/>
        <v>223651</v>
      </c>
    </row>
    <row r="5672" spans="7:14" ht="11.25" customHeight="1" x14ac:dyDescent="0.3">
      <c r="G5672" s="459"/>
      <c r="H5672" s="459">
        <v>5665</v>
      </c>
      <c r="I5672" s="444">
        <f t="shared" ca="1" si="195"/>
        <v>-5738860141178451</v>
      </c>
      <c r="J5672" s="444">
        <f t="array" ref="J5672">IFERROR(INDEX('Retirement Calculator'!K:K,MATCH('Lorri 401b'!N5672,'Retirement Calculator'!A:A,0),0),0)</f>
        <v>0</v>
      </c>
      <c r="K5672" s="444">
        <f t="shared" ca="1" si="193"/>
        <v>-23911917254910.211</v>
      </c>
      <c r="L5672" s="444">
        <f t="shared" ca="1" si="194"/>
        <v>-5762772058433361</v>
      </c>
      <c r="M5672" s="460">
        <f t="shared" si="196"/>
        <v>0.05</v>
      </c>
      <c r="N5672" s="464">
        <f t="shared" si="197"/>
        <v>223682</v>
      </c>
    </row>
    <row r="5673" spans="7:14" ht="11.25" customHeight="1" x14ac:dyDescent="0.3">
      <c r="G5673" s="459"/>
      <c r="H5673" s="459">
        <v>5666</v>
      </c>
      <c r="I5673" s="444">
        <f t="shared" ca="1" si="195"/>
        <v>-5762772058433361</v>
      </c>
      <c r="J5673" s="444">
        <f t="array" ref="J5673">IFERROR(INDEX('Retirement Calculator'!K:K,MATCH('Lorri 401b'!N5673,'Retirement Calculator'!A:A,0),0),0)</f>
        <v>0</v>
      </c>
      <c r="K5673" s="444">
        <f t="shared" ca="1" si="193"/>
        <v>-24011550243472.336</v>
      </c>
      <c r="L5673" s="444">
        <f t="shared" ca="1" si="194"/>
        <v>-5786783608676833</v>
      </c>
      <c r="M5673" s="460">
        <f t="shared" si="196"/>
        <v>0.05</v>
      </c>
      <c r="N5673" s="464">
        <f t="shared" si="197"/>
        <v>223712</v>
      </c>
    </row>
    <row r="5674" spans="7:14" ht="11.25" customHeight="1" x14ac:dyDescent="0.3">
      <c r="G5674" s="459"/>
      <c r="H5674" s="459">
        <v>5667</v>
      </c>
      <c r="I5674" s="444">
        <f t="shared" ca="1" si="195"/>
        <v>-5786783608676833</v>
      </c>
      <c r="J5674" s="444">
        <f t="array" ref="J5674">IFERROR(INDEX('Retirement Calculator'!K:K,MATCH('Lorri 401b'!N5674,'Retirement Calculator'!A:A,0),0),0)</f>
        <v>0</v>
      </c>
      <c r="K5674" s="444">
        <f t="shared" ca="1" si="193"/>
        <v>-24111598369486.805</v>
      </c>
      <c r="L5674" s="444">
        <f t="shared" ca="1" si="194"/>
        <v>-5810895207046320</v>
      </c>
      <c r="M5674" s="460">
        <f t="shared" si="196"/>
        <v>0.05</v>
      </c>
      <c r="N5674" s="464">
        <f t="shared" si="197"/>
        <v>223743</v>
      </c>
    </row>
    <row r="5675" spans="7:14" ht="11.25" customHeight="1" x14ac:dyDescent="0.3">
      <c r="G5675" s="459"/>
      <c r="H5675" s="459">
        <v>5668</v>
      </c>
      <c r="I5675" s="444">
        <f t="shared" ca="1" si="195"/>
        <v>-5810895207046320</v>
      </c>
      <c r="J5675" s="444">
        <f t="array" ref="J5675">IFERROR(INDEX('Retirement Calculator'!K:K,MATCH('Lorri 401b'!N5675,'Retirement Calculator'!A:A,0),0),0)</f>
        <v>0</v>
      </c>
      <c r="K5675" s="444">
        <f t="shared" ca="1" si="193"/>
        <v>-24212063362693</v>
      </c>
      <c r="L5675" s="444">
        <f t="shared" ca="1" si="194"/>
        <v>-5835107270409013</v>
      </c>
      <c r="M5675" s="460">
        <f t="shared" si="196"/>
        <v>0.05</v>
      </c>
      <c r="N5675" s="464">
        <f t="shared" si="197"/>
        <v>223774</v>
      </c>
    </row>
    <row r="5676" spans="7:14" ht="11.25" customHeight="1" x14ac:dyDescent="0.3">
      <c r="G5676" s="459"/>
      <c r="H5676" s="459">
        <v>5669</v>
      </c>
      <c r="I5676" s="444">
        <f t="shared" ca="1" si="195"/>
        <v>-5835107270409013</v>
      </c>
      <c r="J5676" s="444">
        <f t="array" ref="J5676">IFERROR(INDEX('Retirement Calculator'!K:K,MATCH('Lorri 401b'!N5676,'Retirement Calculator'!A:A,0),0),0)</f>
        <v>0</v>
      </c>
      <c r="K5676" s="444">
        <f t="shared" ca="1" si="193"/>
        <v>-24312946960037.555</v>
      </c>
      <c r="L5676" s="444">
        <f t="shared" ca="1" si="194"/>
        <v>-5859420217369051</v>
      </c>
      <c r="M5676" s="460">
        <f t="shared" si="196"/>
        <v>0.05</v>
      </c>
      <c r="N5676" s="464">
        <f t="shared" si="197"/>
        <v>223804</v>
      </c>
    </row>
    <row r="5677" spans="7:14" ht="11.25" customHeight="1" x14ac:dyDescent="0.3">
      <c r="G5677" s="459"/>
      <c r="H5677" s="459">
        <v>5670</v>
      </c>
      <c r="I5677" s="444">
        <f t="shared" ca="1" si="195"/>
        <v>-5859420217369051</v>
      </c>
      <c r="J5677" s="444">
        <f t="array" ref="J5677">IFERROR(INDEX('Retirement Calculator'!K:K,MATCH('Lorri 401b'!N5677,'Retirement Calculator'!A:A,0),0),0)</f>
        <v>0</v>
      </c>
      <c r="K5677" s="444">
        <f t="shared" ca="1" si="193"/>
        <v>-24414250905704.379</v>
      </c>
      <c r="L5677" s="444">
        <f t="shared" ca="1" si="194"/>
        <v>-5883834468274755</v>
      </c>
      <c r="M5677" s="460">
        <f t="shared" si="196"/>
        <v>0.05</v>
      </c>
      <c r="N5677" s="464">
        <f t="shared" si="197"/>
        <v>223835</v>
      </c>
    </row>
    <row r="5678" spans="7:14" ht="11.25" customHeight="1" x14ac:dyDescent="0.3">
      <c r="G5678" s="459"/>
      <c r="H5678" s="459">
        <v>5671</v>
      </c>
      <c r="I5678" s="444">
        <f t="shared" ca="1" si="195"/>
        <v>-5883834468274755</v>
      </c>
      <c r="J5678" s="444">
        <f t="array" ref="J5678">IFERROR(INDEX('Retirement Calculator'!K:K,MATCH('Lorri 401b'!N5678,'Retirement Calculator'!A:A,0),0),0)</f>
        <v>0</v>
      </c>
      <c r="K5678" s="444">
        <f t="shared" ca="1" si="193"/>
        <v>-24515976951144.813</v>
      </c>
      <c r="L5678" s="444">
        <f t="shared" ca="1" si="194"/>
        <v>-5908350445225900</v>
      </c>
      <c r="M5678" s="460">
        <f t="shared" si="196"/>
        <v>0.05</v>
      </c>
      <c r="N5678" s="464">
        <f t="shared" si="197"/>
        <v>223865</v>
      </c>
    </row>
    <row r="5679" spans="7:14" ht="11.25" customHeight="1" x14ac:dyDescent="0.3">
      <c r="G5679" s="459"/>
      <c r="H5679" s="459">
        <v>5672</v>
      </c>
      <c r="I5679" s="444">
        <f t="shared" ca="1" si="195"/>
        <v>-5908350445225900</v>
      </c>
      <c r="J5679" s="444">
        <f t="array" ref="J5679">IFERROR(INDEX('Retirement Calculator'!K:K,MATCH('Lorri 401b'!N5679,'Retirement Calculator'!A:A,0),0),0)</f>
        <v>0</v>
      </c>
      <c r="K5679" s="444">
        <f t="shared" ca="1" si="193"/>
        <v>-24618126855107.918</v>
      </c>
      <c r="L5679" s="444">
        <f t="shared" ca="1" si="194"/>
        <v>-5932968572081008</v>
      </c>
      <c r="M5679" s="460">
        <f t="shared" si="196"/>
        <v>0.05</v>
      </c>
      <c r="N5679" s="464">
        <f t="shared" si="197"/>
        <v>223896</v>
      </c>
    </row>
    <row r="5680" spans="7:14" ht="11.25" customHeight="1" x14ac:dyDescent="0.3">
      <c r="G5680" s="459"/>
      <c r="H5680" s="459">
        <v>5673</v>
      </c>
      <c r="I5680" s="444">
        <f t="shared" ca="1" si="195"/>
        <v>-5932968572081008</v>
      </c>
      <c r="J5680" s="444">
        <f t="array" ref="J5680">IFERROR(INDEX('Retirement Calculator'!K:K,MATCH('Lorri 401b'!N5680,'Retirement Calculator'!A:A,0),0),0)</f>
        <v>0</v>
      </c>
      <c r="K5680" s="444">
        <f t="shared" ca="1" si="193"/>
        <v>-24720702383670.867</v>
      </c>
      <c r="L5680" s="444">
        <f t="shared" ca="1" si="194"/>
        <v>-5957689274464679</v>
      </c>
      <c r="M5680" s="460">
        <f t="shared" si="196"/>
        <v>0.05</v>
      </c>
      <c r="N5680" s="464">
        <f t="shared" si="197"/>
        <v>223927</v>
      </c>
    </row>
    <row r="5681" spans="7:14" ht="11.25" customHeight="1" x14ac:dyDescent="0.3">
      <c r="G5681" s="459"/>
      <c r="H5681" s="459">
        <v>5674</v>
      </c>
      <c r="I5681" s="444">
        <f t="shared" ca="1" si="195"/>
        <v>-5957689274464679</v>
      </c>
      <c r="J5681" s="444">
        <f t="array" ref="J5681">IFERROR(INDEX('Retirement Calculator'!K:K,MATCH('Lorri 401b'!N5681,'Retirement Calculator'!A:A,0),0),0)</f>
        <v>0</v>
      </c>
      <c r="K5681" s="444">
        <f t="shared" ca="1" si="193"/>
        <v>-24823705310269.496</v>
      </c>
      <c r="L5681" s="444">
        <f t="shared" ca="1" si="194"/>
        <v>-5982512979774948</v>
      </c>
      <c r="M5681" s="460">
        <f t="shared" si="196"/>
        <v>0.05</v>
      </c>
      <c r="N5681" s="464">
        <f t="shared" si="197"/>
        <v>223955</v>
      </c>
    </row>
    <row r="5682" spans="7:14" ht="11.25" customHeight="1" x14ac:dyDescent="0.3">
      <c r="G5682" s="459"/>
      <c r="H5682" s="459">
        <v>5675</v>
      </c>
      <c r="I5682" s="444">
        <f t="shared" ca="1" si="195"/>
        <v>-5982512979774948</v>
      </c>
      <c r="J5682" s="444">
        <f t="array" ref="J5682">IFERROR(INDEX('Retirement Calculator'!K:K,MATCH('Lorri 401b'!N5682,'Retirement Calculator'!A:A,0),0),0)</f>
        <v>0</v>
      </c>
      <c r="K5682" s="444">
        <f t="shared" ca="1" si="193"/>
        <v>-24927137415728.949</v>
      </c>
      <c r="L5682" s="444">
        <f t="shared" ca="1" si="194"/>
        <v>-6007440117190677</v>
      </c>
      <c r="M5682" s="460">
        <f t="shared" si="196"/>
        <v>0.05</v>
      </c>
      <c r="N5682" s="464">
        <f t="shared" si="197"/>
        <v>223986</v>
      </c>
    </row>
    <row r="5683" spans="7:14" ht="11.25" customHeight="1" x14ac:dyDescent="0.3">
      <c r="G5683" s="459"/>
      <c r="H5683" s="459">
        <v>5676</v>
      </c>
      <c r="I5683" s="444">
        <f t="shared" ca="1" si="195"/>
        <v>-6007440117190677</v>
      </c>
      <c r="J5683" s="444">
        <f t="array" ref="J5683">IFERROR(INDEX('Retirement Calculator'!K:K,MATCH('Lorri 401b'!N5683,'Retirement Calculator'!A:A,0),0),0)</f>
        <v>0</v>
      </c>
      <c r="K5683" s="444">
        <f t="shared" ca="1" si="193"/>
        <v>-25031000488294.488</v>
      </c>
      <c r="L5683" s="444">
        <f t="shared" ca="1" si="194"/>
        <v>-6032471117678971</v>
      </c>
      <c r="M5683" s="460">
        <f t="shared" si="196"/>
        <v>0.05</v>
      </c>
      <c r="N5683" s="464">
        <f t="shared" si="197"/>
        <v>224016</v>
      </c>
    </row>
    <row r="5684" spans="7:14" ht="11.25" customHeight="1" x14ac:dyDescent="0.3">
      <c r="G5684" s="459"/>
      <c r="H5684" s="459">
        <v>5677</v>
      </c>
      <c r="I5684" s="444">
        <f t="shared" ca="1" si="195"/>
        <v>-6032471117678971</v>
      </c>
      <c r="J5684" s="444">
        <f t="array" ref="J5684">IFERROR(INDEX('Retirement Calculator'!K:K,MATCH('Lorri 401b'!N5684,'Retirement Calculator'!A:A,0),0),0)</f>
        <v>0</v>
      </c>
      <c r="K5684" s="444">
        <f t="shared" ca="1" si="193"/>
        <v>-25135296323662.379</v>
      </c>
      <c r="L5684" s="444">
        <f t="shared" ca="1" si="194"/>
        <v>-6057606414002633</v>
      </c>
      <c r="M5684" s="460">
        <f t="shared" si="196"/>
        <v>0.05</v>
      </c>
      <c r="N5684" s="464">
        <f t="shared" si="197"/>
        <v>224047</v>
      </c>
    </row>
    <row r="5685" spans="7:14" ht="11.25" customHeight="1" x14ac:dyDescent="0.3">
      <c r="G5685" s="459"/>
      <c r="H5685" s="459">
        <v>5678</v>
      </c>
      <c r="I5685" s="444">
        <f t="shared" ca="1" si="195"/>
        <v>-6057606414002633</v>
      </c>
      <c r="J5685" s="444">
        <f t="array" ref="J5685">IFERROR(INDEX('Retirement Calculator'!K:K,MATCH('Lorri 401b'!N5685,'Retirement Calculator'!A:A,0),0),0)</f>
        <v>0</v>
      </c>
      <c r="K5685" s="444">
        <f t="shared" ca="1" si="193"/>
        <v>-25240026725010.969</v>
      </c>
      <c r="L5685" s="444">
        <f t="shared" ca="1" si="194"/>
        <v>-6082846440727644</v>
      </c>
      <c r="M5685" s="460">
        <f t="shared" si="196"/>
        <v>0.05</v>
      </c>
      <c r="N5685" s="464">
        <f t="shared" si="197"/>
        <v>224077</v>
      </c>
    </row>
    <row r="5686" spans="7:14" ht="11.25" customHeight="1" x14ac:dyDescent="0.3">
      <c r="G5686" s="459"/>
      <c r="H5686" s="459">
        <v>5679</v>
      </c>
      <c r="I5686" s="444">
        <f t="shared" ca="1" si="195"/>
        <v>-6082846440727644</v>
      </c>
      <c r="J5686" s="444">
        <f t="array" ref="J5686">IFERROR(INDEX('Retirement Calculator'!K:K,MATCH('Lorri 401b'!N5686,'Retirement Calculator'!A:A,0),0),0)</f>
        <v>0</v>
      </c>
      <c r="K5686" s="444">
        <f t="shared" ca="1" si="193"/>
        <v>-25345193503031.852</v>
      </c>
      <c r="L5686" s="444">
        <f t="shared" ca="1" si="194"/>
        <v>-6108191634230676</v>
      </c>
      <c r="M5686" s="460">
        <f t="shared" si="196"/>
        <v>0.05</v>
      </c>
      <c r="N5686" s="464">
        <f t="shared" si="197"/>
        <v>224108</v>
      </c>
    </row>
    <row r="5687" spans="7:14" ht="11.25" customHeight="1" x14ac:dyDescent="0.3">
      <c r="G5687" s="459"/>
      <c r="H5687" s="459">
        <v>5680</v>
      </c>
      <c r="I5687" s="444">
        <f t="shared" ca="1" si="195"/>
        <v>-6108191634230676</v>
      </c>
      <c r="J5687" s="444">
        <f t="array" ref="J5687">IFERROR(INDEX('Retirement Calculator'!K:K,MATCH('Lorri 401b'!N5687,'Retirement Calculator'!A:A,0),0),0)</f>
        <v>0</v>
      </c>
      <c r="K5687" s="444">
        <f t="shared" ca="1" si="193"/>
        <v>-25450798475961.148</v>
      </c>
      <c r="L5687" s="444">
        <f t="shared" ca="1" si="194"/>
        <v>-6133642432706637</v>
      </c>
      <c r="M5687" s="460">
        <f t="shared" si="196"/>
        <v>0.05</v>
      </c>
      <c r="N5687" s="464">
        <f t="shared" si="197"/>
        <v>224139</v>
      </c>
    </row>
    <row r="5688" spans="7:14" ht="11.25" customHeight="1" x14ac:dyDescent="0.3">
      <c r="G5688" s="459"/>
      <c r="H5688" s="459">
        <v>5681</v>
      </c>
      <c r="I5688" s="444">
        <f t="shared" ca="1" si="195"/>
        <v>-6133642432706637</v>
      </c>
      <c r="J5688" s="444">
        <f t="array" ref="J5688">IFERROR(INDEX('Retirement Calculator'!K:K,MATCH('Lorri 401b'!N5688,'Retirement Calculator'!A:A,0),0),0)</f>
        <v>0</v>
      </c>
      <c r="K5688" s="444">
        <f t="shared" ca="1" si="193"/>
        <v>-25556843469610.988</v>
      </c>
      <c r="L5688" s="444">
        <f t="shared" ca="1" si="194"/>
        <v>-6159199276176248</v>
      </c>
      <c r="M5688" s="460">
        <f t="shared" si="196"/>
        <v>0.05</v>
      </c>
      <c r="N5688" s="464">
        <f t="shared" si="197"/>
        <v>224169</v>
      </c>
    </row>
    <row r="5689" spans="7:14" ht="11.25" customHeight="1" x14ac:dyDescent="0.3">
      <c r="G5689" s="459"/>
      <c r="H5689" s="459">
        <v>5682</v>
      </c>
      <c r="I5689" s="444">
        <f t="shared" ca="1" si="195"/>
        <v>-6159199276176248</v>
      </c>
      <c r="J5689" s="444">
        <f t="array" ref="J5689">IFERROR(INDEX('Retirement Calculator'!K:K,MATCH('Lorri 401b'!N5689,'Retirement Calculator'!A:A,0),0),0)</f>
        <v>0</v>
      </c>
      <c r="K5689" s="444">
        <f t="shared" ca="1" si="193"/>
        <v>-25663330317401.031</v>
      </c>
      <c r="L5689" s="444">
        <f t="shared" ca="1" si="194"/>
        <v>-6184862606493649</v>
      </c>
      <c r="M5689" s="460">
        <f t="shared" si="196"/>
        <v>0.05</v>
      </c>
      <c r="N5689" s="464">
        <f t="shared" si="197"/>
        <v>224200</v>
      </c>
    </row>
    <row r="5690" spans="7:14" ht="11.25" customHeight="1" x14ac:dyDescent="0.3">
      <c r="G5690" s="459"/>
      <c r="H5690" s="459">
        <v>5683</v>
      </c>
      <c r="I5690" s="444">
        <f t="shared" ca="1" si="195"/>
        <v>-6184862606493649</v>
      </c>
      <c r="J5690" s="444">
        <f t="array" ref="J5690">IFERROR(INDEX('Retirement Calculator'!K:K,MATCH('Lorri 401b'!N5690,'Retirement Calculator'!A:A,0),0),0)</f>
        <v>0</v>
      </c>
      <c r="K5690" s="444">
        <f t="shared" ca="1" si="193"/>
        <v>-25770260860390.203</v>
      </c>
      <c r="L5690" s="444">
        <f t="shared" ca="1" si="194"/>
        <v>-6210632867354039</v>
      </c>
      <c r="M5690" s="460">
        <f t="shared" si="196"/>
        <v>0.05</v>
      </c>
      <c r="N5690" s="464">
        <f t="shared" si="197"/>
        <v>224230</v>
      </c>
    </row>
    <row r="5691" spans="7:14" ht="11.25" customHeight="1" x14ac:dyDescent="0.3">
      <c r="G5691" s="459"/>
      <c r="H5691" s="459">
        <v>5684</v>
      </c>
      <c r="I5691" s="444">
        <f t="shared" ca="1" si="195"/>
        <v>-6210632867354039</v>
      </c>
      <c r="J5691" s="444">
        <f t="array" ref="J5691">IFERROR(INDEX('Retirement Calculator'!K:K,MATCH('Lorri 401b'!N5691,'Retirement Calculator'!A:A,0),0),0)</f>
        <v>0</v>
      </c>
      <c r="K5691" s="444">
        <f t="shared" ca="1" si="193"/>
        <v>-25877636947308.496</v>
      </c>
      <c r="L5691" s="444">
        <f t="shared" ca="1" si="194"/>
        <v>-6236510504301347</v>
      </c>
      <c r="M5691" s="460">
        <f t="shared" si="196"/>
        <v>0.05</v>
      </c>
      <c r="N5691" s="464">
        <f t="shared" si="197"/>
        <v>224261</v>
      </c>
    </row>
    <row r="5692" spans="7:14" ht="11.25" customHeight="1" x14ac:dyDescent="0.3">
      <c r="G5692" s="459"/>
      <c r="H5692" s="459">
        <v>5685</v>
      </c>
      <c r="I5692" s="444">
        <f t="shared" ca="1" si="195"/>
        <v>-6236510504301347</v>
      </c>
      <c r="J5692" s="444">
        <f t="array" ref="J5692">IFERROR(INDEX('Retirement Calculator'!K:K,MATCH('Lorri 401b'!N5692,'Retirement Calculator'!A:A,0),0),0)</f>
        <v>0</v>
      </c>
      <c r="K5692" s="444">
        <f t="shared" ca="1" si="193"/>
        <v>-25985460434588.945</v>
      </c>
      <c r="L5692" s="444">
        <f t="shared" ca="1" si="194"/>
        <v>-6262495964735936</v>
      </c>
      <c r="M5692" s="460">
        <f t="shared" si="196"/>
        <v>0.05</v>
      </c>
      <c r="N5692" s="464">
        <f t="shared" si="197"/>
        <v>224292</v>
      </c>
    </row>
    <row r="5693" spans="7:14" ht="11.25" customHeight="1" x14ac:dyDescent="0.3">
      <c r="G5693" s="459"/>
      <c r="H5693" s="459">
        <v>5686</v>
      </c>
      <c r="I5693" s="444">
        <f t="shared" ca="1" si="195"/>
        <v>-6262495964735936</v>
      </c>
      <c r="J5693" s="444">
        <f t="array" ref="J5693">IFERROR(INDEX('Retirement Calculator'!K:K,MATCH('Lorri 401b'!N5693,'Retirement Calculator'!A:A,0),0),0)</f>
        <v>0</v>
      </c>
      <c r="K5693" s="444">
        <f t="shared" ca="1" si="193"/>
        <v>-26093733186399.734</v>
      </c>
      <c r="L5693" s="444">
        <f t="shared" ca="1" si="194"/>
        <v>-6288589697922336</v>
      </c>
      <c r="M5693" s="460">
        <f t="shared" si="196"/>
        <v>0.05</v>
      </c>
      <c r="N5693" s="464">
        <f t="shared" si="197"/>
        <v>224320</v>
      </c>
    </row>
    <row r="5694" spans="7:14" ht="11.25" customHeight="1" x14ac:dyDescent="0.3">
      <c r="G5694" s="459"/>
      <c r="H5694" s="459">
        <v>5687</v>
      </c>
      <c r="I5694" s="444">
        <f t="shared" ca="1" si="195"/>
        <v>-6288589697922336</v>
      </c>
      <c r="J5694" s="444">
        <f t="array" ref="J5694">IFERROR(INDEX('Retirement Calculator'!K:K,MATCH('Lorri 401b'!N5694,'Retirement Calculator'!A:A,0),0),0)</f>
        <v>0</v>
      </c>
      <c r="K5694" s="444">
        <f t="shared" ca="1" si="193"/>
        <v>-26202457074676.398</v>
      </c>
      <c r="L5694" s="444">
        <f t="shared" ca="1" si="194"/>
        <v>-6314792154997012</v>
      </c>
      <c r="M5694" s="460">
        <f t="shared" si="196"/>
        <v>0.05</v>
      </c>
      <c r="N5694" s="464">
        <f t="shared" si="197"/>
        <v>224351</v>
      </c>
    </row>
    <row r="5695" spans="7:14" ht="11.25" customHeight="1" x14ac:dyDescent="0.3">
      <c r="G5695" s="459"/>
      <c r="H5695" s="459">
        <v>5688</v>
      </c>
      <c r="I5695" s="444">
        <f t="shared" ca="1" si="195"/>
        <v>-6314792154997012</v>
      </c>
      <c r="J5695" s="444">
        <f t="array" ref="J5695">IFERROR(INDEX('Retirement Calculator'!K:K,MATCH('Lorri 401b'!N5695,'Retirement Calculator'!A:A,0),0),0)</f>
        <v>0</v>
      </c>
      <c r="K5695" s="444">
        <f t="shared" ca="1" si="193"/>
        <v>-26311633979154.215</v>
      </c>
      <c r="L5695" s="444">
        <f t="shared" ca="1" si="194"/>
        <v>-6341103788976166</v>
      </c>
      <c r="M5695" s="460">
        <f t="shared" si="196"/>
        <v>0.05</v>
      </c>
      <c r="N5695" s="464">
        <f t="shared" si="197"/>
        <v>224381</v>
      </c>
    </row>
    <row r="5696" spans="7:14" ht="11.25" customHeight="1" x14ac:dyDescent="0.3">
      <c r="G5696" s="459"/>
      <c r="H5696" s="459">
        <v>5689</v>
      </c>
      <c r="I5696" s="444">
        <f t="shared" ca="1" si="195"/>
        <v>-6341103788976166</v>
      </c>
      <c r="J5696" s="444">
        <f t="array" ref="J5696">IFERROR(INDEX('Retirement Calculator'!K:K,MATCH('Lorri 401b'!N5696,'Retirement Calculator'!A:A,0),0),0)</f>
        <v>0</v>
      </c>
      <c r="K5696" s="444">
        <f t="shared" ca="1" si="193"/>
        <v>-26421265787400.691</v>
      </c>
      <c r="L5696" s="444">
        <f t="shared" ca="1" si="194"/>
        <v>-6367525054763567</v>
      </c>
      <c r="M5696" s="460">
        <f t="shared" si="196"/>
        <v>0.05</v>
      </c>
      <c r="N5696" s="464">
        <f t="shared" si="197"/>
        <v>224412</v>
      </c>
    </row>
    <row r="5697" spans="7:14" ht="11.25" customHeight="1" x14ac:dyDescent="0.3">
      <c r="G5697" s="459"/>
      <c r="H5697" s="459">
        <v>5690</v>
      </c>
      <c r="I5697" s="444">
        <f t="shared" ca="1" si="195"/>
        <v>-6367525054763567</v>
      </c>
      <c r="J5697" s="444">
        <f t="array" ref="J5697">IFERROR(INDEX('Retirement Calculator'!K:K,MATCH('Lorri 401b'!N5697,'Retirement Calculator'!A:A,0),0),0)</f>
        <v>0</v>
      </c>
      <c r="K5697" s="444">
        <f t="shared" ca="1" si="193"/>
        <v>-26531354394848.195</v>
      </c>
      <c r="L5697" s="444">
        <f t="shared" ca="1" si="194"/>
        <v>-6394056409158415</v>
      </c>
      <c r="M5697" s="460">
        <f t="shared" si="196"/>
        <v>0.05</v>
      </c>
      <c r="N5697" s="464">
        <f t="shared" si="197"/>
        <v>224442</v>
      </c>
    </row>
    <row r="5698" spans="7:14" ht="11.25" customHeight="1" x14ac:dyDescent="0.3">
      <c r="G5698" s="459"/>
      <c r="H5698" s="459">
        <v>5691</v>
      </c>
      <c r="I5698" s="444">
        <f t="shared" ca="1" si="195"/>
        <v>-6394056409158415</v>
      </c>
      <c r="J5698" s="444">
        <f t="array" ref="J5698">IFERROR(INDEX('Retirement Calculator'!K:K,MATCH('Lorri 401b'!N5698,'Retirement Calculator'!A:A,0),0),0)</f>
        <v>0</v>
      </c>
      <c r="K5698" s="444">
        <f t="shared" ca="1" si="193"/>
        <v>-26641901704826.73</v>
      </c>
      <c r="L5698" s="444">
        <f t="shared" ca="1" si="194"/>
        <v>-6420698310863242</v>
      </c>
      <c r="M5698" s="460">
        <f t="shared" si="196"/>
        <v>0.05</v>
      </c>
      <c r="N5698" s="464">
        <f t="shared" si="197"/>
        <v>224473</v>
      </c>
    </row>
    <row r="5699" spans="7:14" ht="11.25" customHeight="1" x14ac:dyDescent="0.3">
      <c r="G5699" s="459"/>
      <c r="H5699" s="459">
        <v>5692</v>
      </c>
      <c r="I5699" s="444">
        <f t="shared" ca="1" si="195"/>
        <v>-6420698310863242</v>
      </c>
      <c r="J5699" s="444">
        <f t="array" ref="J5699">IFERROR(INDEX('Retirement Calculator'!K:K,MATCH('Lorri 401b'!N5699,'Retirement Calculator'!A:A,0),0),0)</f>
        <v>0</v>
      </c>
      <c r="K5699" s="444">
        <f t="shared" ca="1" si="193"/>
        <v>-26752909628596.84</v>
      </c>
      <c r="L5699" s="444">
        <f t="shared" ca="1" si="194"/>
        <v>-6447451220491839</v>
      </c>
      <c r="M5699" s="460">
        <f t="shared" si="196"/>
        <v>0.05</v>
      </c>
      <c r="N5699" s="464">
        <f t="shared" si="197"/>
        <v>224504</v>
      </c>
    </row>
    <row r="5700" spans="7:14" ht="11.25" customHeight="1" x14ac:dyDescent="0.3">
      <c r="G5700" s="459"/>
      <c r="H5700" s="459">
        <v>5693</v>
      </c>
      <c r="I5700" s="444">
        <f t="shared" ca="1" si="195"/>
        <v>-6447451220491839</v>
      </c>
      <c r="J5700" s="444">
        <f t="array" ref="J5700">IFERROR(INDEX('Retirement Calculator'!K:K,MATCH('Lorri 401b'!N5700,'Retirement Calculator'!A:A,0),0),0)</f>
        <v>0</v>
      </c>
      <c r="K5700" s="444">
        <f t="shared" ca="1" si="193"/>
        <v>-26864380085382.664</v>
      </c>
      <c r="L5700" s="444">
        <f t="shared" ca="1" si="194"/>
        <v>-6474315600577222</v>
      </c>
      <c r="M5700" s="460">
        <f t="shared" si="196"/>
        <v>0.05</v>
      </c>
      <c r="N5700" s="464">
        <f t="shared" si="197"/>
        <v>224534</v>
      </c>
    </row>
    <row r="5701" spans="7:14" ht="11.25" customHeight="1" x14ac:dyDescent="0.3">
      <c r="G5701" s="459"/>
      <c r="H5701" s="459">
        <v>5694</v>
      </c>
      <c r="I5701" s="444">
        <f t="shared" ca="1" si="195"/>
        <v>-6474315600577222</v>
      </c>
      <c r="J5701" s="444">
        <f t="array" ref="J5701">IFERROR(INDEX('Retirement Calculator'!K:K,MATCH('Lorri 401b'!N5701,'Retirement Calculator'!A:A,0),0),0)</f>
        <v>0</v>
      </c>
      <c r="K5701" s="444">
        <f t="shared" ca="1" si="193"/>
        <v>-26976315002405.09</v>
      </c>
      <c r="L5701" s="444">
        <f t="shared" ca="1" si="194"/>
        <v>-6501291915579627</v>
      </c>
      <c r="M5701" s="460">
        <f t="shared" si="196"/>
        <v>0.05</v>
      </c>
      <c r="N5701" s="464">
        <f t="shared" si="197"/>
        <v>224565</v>
      </c>
    </row>
    <row r="5702" spans="7:14" ht="11.25" customHeight="1" x14ac:dyDescent="0.3">
      <c r="G5702" s="459"/>
      <c r="H5702" s="459">
        <v>5695</v>
      </c>
      <c r="I5702" s="444">
        <f t="shared" ca="1" si="195"/>
        <v>-6501291915579627</v>
      </c>
      <c r="J5702" s="444">
        <f t="array" ref="J5702">IFERROR(INDEX('Retirement Calculator'!K:K,MATCH('Lorri 401b'!N5702,'Retirement Calculator'!A:A,0),0),0)</f>
        <v>0</v>
      </c>
      <c r="K5702" s="444">
        <f t="shared" ca="1" si="193"/>
        <v>-27088716314915.113</v>
      </c>
      <c r="L5702" s="444">
        <f t="shared" ca="1" si="194"/>
        <v>-6528380631894542</v>
      </c>
      <c r="M5702" s="460">
        <f t="shared" si="196"/>
        <v>0.05</v>
      </c>
      <c r="N5702" s="464">
        <f t="shared" si="197"/>
        <v>224595</v>
      </c>
    </row>
    <row r="5703" spans="7:14" ht="11.25" customHeight="1" x14ac:dyDescent="0.3">
      <c r="G5703" s="459"/>
      <c r="H5703" s="459">
        <v>5696</v>
      </c>
      <c r="I5703" s="444">
        <f t="shared" ca="1" si="195"/>
        <v>-6528380631894542</v>
      </c>
      <c r="J5703" s="444">
        <f t="array" ref="J5703">IFERROR(INDEX('Retirement Calculator'!K:K,MATCH('Lorri 401b'!N5703,'Retirement Calculator'!A:A,0),0),0)</f>
        <v>0</v>
      </c>
      <c r="K5703" s="444">
        <f t="shared" ca="1" si="193"/>
        <v>-27201585966227.258</v>
      </c>
      <c r="L5703" s="444">
        <f t="shared" ca="1" si="194"/>
        <v>-6555582217860769</v>
      </c>
      <c r="M5703" s="460">
        <f t="shared" si="196"/>
        <v>0.05</v>
      </c>
      <c r="N5703" s="464">
        <f t="shared" si="197"/>
        <v>224626</v>
      </c>
    </row>
    <row r="5704" spans="7:14" ht="11.25" customHeight="1" x14ac:dyDescent="0.3">
      <c r="G5704" s="459"/>
      <c r="H5704" s="459">
        <v>5697</v>
      </c>
      <c r="I5704" s="444">
        <f t="shared" ca="1" si="195"/>
        <v>-6555582217860769</v>
      </c>
      <c r="J5704" s="444">
        <f t="array" ref="J5704">IFERROR(INDEX('Retirement Calculator'!K:K,MATCH('Lorri 401b'!N5704,'Retirement Calculator'!A:A,0),0),0)</f>
        <v>0</v>
      </c>
      <c r="K5704" s="444">
        <f t="shared" ca="1" si="193"/>
        <v>-27314925907753.203</v>
      </c>
      <c r="L5704" s="444">
        <f t="shared" ca="1" si="194"/>
        <v>-6582897143768522</v>
      </c>
      <c r="M5704" s="460">
        <f t="shared" si="196"/>
        <v>0.05</v>
      </c>
      <c r="N5704" s="464">
        <f t="shared" si="197"/>
        <v>224657</v>
      </c>
    </row>
    <row r="5705" spans="7:14" ht="11.25" customHeight="1" x14ac:dyDescent="0.3">
      <c r="G5705" s="459"/>
      <c r="H5705" s="459">
        <v>5698</v>
      </c>
      <c r="I5705" s="444">
        <f t="shared" ca="1" si="195"/>
        <v>-6582897143768522</v>
      </c>
      <c r="J5705" s="444">
        <f t="array" ref="J5705">IFERROR(INDEX('Retirement Calculator'!K:K,MATCH('Lorri 401b'!N5705,'Retirement Calculator'!A:A,0),0),0)</f>
        <v>0</v>
      </c>
      <c r="K5705" s="444">
        <f t="shared" ca="1" si="193"/>
        <v>-27428738099035.508</v>
      </c>
      <c r="L5705" s="444">
        <f t="shared" ca="1" si="194"/>
        <v>-6610325881867558</v>
      </c>
      <c r="M5705" s="460">
        <f t="shared" si="196"/>
        <v>0.05</v>
      </c>
      <c r="N5705" s="464">
        <f t="shared" si="197"/>
        <v>224685</v>
      </c>
    </row>
    <row r="5706" spans="7:14" ht="11.25" customHeight="1" x14ac:dyDescent="0.3">
      <c r="G5706" s="459"/>
      <c r="H5706" s="459">
        <v>5699</v>
      </c>
      <c r="I5706" s="444">
        <f t="shared" ca="1" si="195"/>
        <v>-6610325881867558</v>
      </c>
      <c r="J5706" s="444">
        <f t="array" ref="J5706">IFERROR(INDEX('Retirement Calculator'!K:K,MATCH('Lorri 401b'!N5706,'Retirement Calculator'!A:A,0),0),0)</f>
        <v>0</v>
      </c>
      <c r="K5706" s="444">
        <f t="shared" ca="1" si="193"/>
        <v>-27543024507781.492</v>
      </c>
      <c r="L5706" s="444">
        <f t="shared" ca="1" si="194"/>
        <v>-6637868906375339</v>
      </c>
      <c r="M5706" s="460">
        <f t="shared" si="196"/>
        <v>0.05</v>
      </c>
      <c r="N5706" s="464">
        <f t="shared" si="197"/>
        <v>224716</v>
      </c>
    </row>
    <row r="5707" spans="7:14" ht="11.25" customHeight="1" x14ac:dyDescent="0.3">
      <c r="G5707" s="459"/>
      <c r="H5707" s="459">
        <v>5700</v>
      </c>
      <c r="I5707" s="444">
        <f t="shared" ca="1" si="195"/>
        <v>-6637868906375339</v>
      </c>
      <c r="J5707" s="444">
        <f t="array" ref="J5707">IFERROR(INDEX('Retirement Calculator'!K:K,MATCH('Lorri 401b'!N5707,'Retirement Calculator'!A:A,0),0),0)</f>
        <v>0</v>
      </c>
      <c r="K5707" s="444">
        <f t="shared" ca="1" si="193"/>
        <v>-27657787109897.246</v>
      </c>
      <c r="L5707" s="444">
        <f t="shared" ca="1" si="194"/>
        <v>-6665526693485236</v>
      </c>
      <c r="M5707" s="460">
        <f t="shared" si="196"/>
        <v>0.05</v>
      </c>
      <c r="N5707" s="464">
        <f t="shared" si="197"/>
        <v>224746</v>
      </c>
    </row>
    <row r="5708" spans="7:14" ht="11.25" customHeight="1" x14ac:dyDescent="0.3">
      <c r="G5708" s="459"/>
      <c r="H5708" s="459">
        <v>5701</v>
      </c>
      <c r="I5708" s="444">
        <f t="shared" ca="1" si="195"/>
        <v>-6665526693485236</v>
      </c>
      <c r="J5708" s="444">
        <f t="array" ref="J5708">IFERROR(INDEX('Retirement Calculator'!K:K,MATCH('Lorri 401b'!N5708,'Retirement Calculator'!A:A,0),0),0)</f>
        <v>0</v>
      </c>
      <c r="K5708" s="444">
        <f t="shared" ca="1" si="193"/>
        <v>-27773027889521.816</v>
      </c>
      <c r="L5708" s="444">
        <f t="shared" ca="1" si="194"/>
        <v>-6693299721374758</v>
      </c>
      <c r="M5708" s="460">
        <f t="shared" si="196"/>
        <v>0.05</v>
      </c>
      <c r="N5708" s="464">
        <f t="shared" si="197"/>
        <v>224777</v>
      </c>
    </row>
    <row r="5709" spans="7:14" ht="11.25" customHeight="1" x14ac:dyDescent="0.3">
      <c r="G5709" s="459"/>
      <c r="H5709" s="459">
        <v>5702</v>
      </c>
      <c r="I5709" s="444">
        <f t="shared" ca="1" si="195"/>
        <v>-6693299721374758</v>
      </c>
      <c r="J5709" s="444">
        <f t="array" ref="J5709">IFERROR(INDEX('Retirement Calculator'!K:K,MATCH('Lorri 401b'!N5709,'Retirement Calculator'!A:A,0),0),0)</f>
        <v>0</v>
      </c>
      <c r="K5709" s="444">
        <f t="shared" ca="1" si="193"/>
        <v>-27888748839061.492</v>
      </c>
      <c r="L5709" s="444">
        <f t="shared" ca="1" si="194"/>
        <v>-6721188470213819</v>
      </c>
      <c r="M5709" s="460">
        <f t="shared" si="196"/>
        <v>0.05</v>
      </c>
      <c r="N5709" s="464">
        <f t="shared" si="197"/>
        <v>224807</v>
      </c>
    </row>
    <row r="5710" spans="7:14" ht="11.25" customHeight="1" x14ac:dyDescent="0.3">
      <c r="G5710" s="459"/>
      <c r="H5710" s="459">
        <v>5703</v>
      </c>
      <c r="I5710" s="444">
        <f t="shared" ca="1" si="195"/>
        <v>-6721188470213819</v>
      </c>
      <c r="J5710" s="444">
        <f t="array" ref="J5710">IFERROR(INDEX('Retirement Calculator'!K:K,MATCH('Lorri 401b'!N5710,'Retirement Calculator'!A:A,0),0),0)</f>
        <v>0</v>
      </c>
      <c r="K5710" s="444">
        <f t="shared" ca="1" si="193"/>
        <v>-28004951959224.246</v>
      </c>
      <c r="L5710" s="444">
        <f t="shared" ca="1" si="194"/>
        <v>-6749193422173043</v>
      </c>
      <c r="M5710" s="460">
        <f t="shared" si="196"/>
        <v>0.05</v>
      </c>
      <c r="N5710" s="464">
        <f t="shared" si="197"/>
        <v>224838</v>
      </c>
    </row>
    <row r="5711" spans="7:14" ht="11.25" customHeight="1" x14ac:dyDescent="0.3">
      <c r="G5711" s="459"/>
      <c r="H5711" s="459">
        <v>5704</v>
      </c>
      <c r="I5711" s="444">
        <f t="shared" ca="1" si="195"/>
        <v>-6749193422173043</v>
      </c>
      <c r="J5711" s="444">
        <f t="array" ref="J5711">IFERROR(INDEX('Retirement Calculator'!K:K,MATCH('Lorri 401b'!N5711,'Retirement Calculator'!A:A,0),0),0)</f>
        <v>0</v>
      </c>
      <c r="K5711" s="444">
        <f t="shared" ca="1" si="193"/>
        <v>-28121639259054.344</v>
      </c>
      <c r="L5711" s="444">
        <f t="shared" ca="1" si="194"/>
        <v>-6777315061432097</v>
      </c>
      <c r="M5711" s="460">
        <f t="shared" si="196"/>
        <v>0.05</v>
      </c>
      <c r="N5711" s="464">
        <f t="shared" si="197"/>
        <v>224869</v>
      </c>
    </row>
    <row r="5712" spans="7:14" ht="11.25" customHeight="1" x14ac:dyDescent="0.3">
      <c r="G5712" s="459"/>
      <c r="H5712" s="459">
        <v>5705</v>
      </c>
      <c r="I5712" s="444">
        <f t="shared" ca="1" si="195"/>
        <v>-6777315061432097</v>
      </c>
      <c r="J5712" s="444">
        <f t="array" ref="J5712">IFERROR(INDEX('Retirement Calculator'!K:K,MATCH('Lorri 401b'!N5712,'Retirement Calculator'!A:A,0),0),0)</f>
        <v>0</v>
      </c>
      <c r="K5712" s="444">
        <f t="shared" ca="1" si="193"/>
        <v>-28238812755967.07</v>
      </c>
      <c r="L5712" s="444">
        <f t="shared" ca="1" si="194"/>
        <v>-6805553874188064</v>
      </c>
      <c r="M5712" s="460">
        <f t="shared" si="196"/>
        <v>0.05</v>
      </c>
      <c r="N5712" s="464">
        <f t="shared" si="197"/>
        <v>224899</v>
      </c>
    </row>
    <row r="5713" spans="7:14" ht="11.25" customHeight="1" x14ac:dyDescent="0.3">
      <c r="G5713" s="459"/>
      <c r="H5713" s="459">
        <v>5706</v>
      </c>
      <c r="I5713" s="444">
        <f t="shared" ca="1" si="195"/>
        <v>-6805553874188064</v>
      </c>
      <c r="J5713" s="444">
        <f t="array" ref="J5713">IFERROR(INDEX('Retirement Calculator'!K:K,MATCH('Lorri 401b'!N5713,'Retirement Calculator'!A:A,0),0),0)</f>
        <v>0</v>
      </c>
      <c r="K5713" s="444">
        <f t="shared" ca="1" si="193"/>
        <v>-28356474475783.598</v>
      </c>
      <c r="L5713" s="444">
        <f t="shared" ca="1" si="194"/>
        <v>-6833910348663848</v>
      </c>
      <c r="M5713" s="460">
        <f t="shared" si="196"/>
        <v>0.05</v>
      </c>
      <c r="N5713" s="464">
        <f t="shared" si="197"/>
        <v>224930</v>
      </c>
    </row>
    <row r="5714" spans="7:14" ht="11.25" customHeight="1" x14ac:dyDescent="0.3">
      <c r="G5714" s="459"/>
      <c r="H5714" s="459">
        <v>5707</v>
      </c>
      <c r="I5714" s="444">
        <f t="shared" ca="1" si="195"/>
        <v>-6833910348663848</v>
      </c>
      <c r="J5714" s="444">
        <f t="array" ref="J5714">IFERROR(INDEX('Retirement Calculator'!K:K,MATCH('Lorri 401b'!N5714,'Retirement Calculator'!A:A,0),0),0)</f>
        <v>0</v>
      </c>
      <c r="K5714" s="444">
        <f t="shared" ca="1" si="193"/>
        <v>-28474626452766.031</v>
      </c>
      <c r="L5714" s="444">
        <f t="shared" ca="1" si="194"/>
        <v>-6862384975116614</v>
      </c>
      <c r="M5714" s="460">
        <f t="shared" si="196"/>
        <v>0.05</v>
      </c>
      <c r="N5714" s="464">
        <f t="shared" si="197"/>
        <v>224960</v>
      </c>
    </row>
    <row r="5715" spans="7:14" ht="11.25" customHeight="1" x14ac:dyDescent="0.3">
      <c r="G5715" s="459"/>
      <c r="H5715" s="459">
        <v>5708</v>
      </c>
      <c r="I5715" s="444">
        <f t="shared" ca="1" si="195"/>
        <v>-6862384975116614</v>
      </c>
      <c r="J5715" s="444">
        <f t="array" ref="J5715">IFERROR(INDEX('Retirement Calculator'!K:K,MATCH('Lorri 401b'!N5715,'Retirement Calculator'!A:A,0),0),0)</f>
        <v>0</v>
      </c>
      <c r="K5715" s="444">
        <f t="shared" ca="1" si="193"/>
        <v>-28593270729652.559</v>
      </c>
      <c r="L5715" s="444">
        <f t="shared" ca="1" si="194"/>
        <v>-6890978245846267</v>
      </c>
      <c r="M5715" s="460">
        <f t="shared" si="196"/>
        <v>0.05</v>
      </c>
      <c r="N5715" s="464">
        <f t="shared" si="197"/>
        <v>224991</v>
      </c>
    </row>
    <row r="5716" spans="7:14" ht="11.25" customHeight="1" x14ac:dyDescent="0.3">
      <c r="G5716" s="459"/>
      <c r="H5716" s="459">
        <v>5709</v>
      </c>
      <c r="I5716" s="444">
        <f t="shared" ca="1" si="195"/>
        <v>-6890978245846267</v>
      </c>
      <c r="J5716" s="444">
        <f t="array" ref="J5716">IFERROR(INDEX('Retirement Calculator'!K:K,MATCH('Lorri 401b'!N5716,'Retirement Calculator'!A:A,0),0),0)</f>
        <v>0</v>
      </c>
      <c r="K5716" s="444">
        <f t="shared" ca="1" si="193"/>
        <v>-28712409357692.777</v>
      </c>
      <c r="L5716" s="444">
        <f t="shared" ca="1" si="194"/>
        <v>-6919690655203960</v>
      </c>
      <c r="M5716" s="460">
        <f t="shared" si="196"/>
        <v>0.05</v>
      </c>
      <c r="N5716" s="464">
        <f t="shared" si="197"/>
        <v>225022</v>
      </c>
    </row>
    <row r="5717" spans="7:14" ht="11.25" customHeight="1" x14ac:dyDescent="0.3">
      <c r="G5717" s="459"/>
      <c r="H5717" s="459">
        <v>5710</v>
      </c>
      <c r="I5717" s="444">
        <f t="shared" ca="1" si="195"/>
        <v>-6919690655203960</v>
      </c>
      <c r="J5717" s="444">
        <f t="array" ref="J5717">IFERROR(INDEX('Retirement Calculator'!K:K,MATCH('Lorri 401b'!N5717,'Retirement Calculator'!A:A,0),0),0)</f>
        <v>0</v>
      </c>
      <c r="K5717" s="444">
        <f t="shared" ca="1" si="193"/>
        <v>-28832044396683.168</v>
      </c>
      <c r="L5717" s="444">
        <f t="shared" ca="1" si="194"/>
        <v>-6948522699600643</v>
      </c>
      <c r="M5717" s="460">
        <f t="shared" si="196"/>
        <v>0.05</v>
      </c>
      <c r="N5717" s="464">
        <f t="shared" si="197"/>
        <v>225051</v>
      </c>
    </row>
    <row r="5718" spans="7:14" ht="11.25" customHeight="1" x14ac:dyDescent="0.3">
      <c r="G5718" s="459"/>
      <c r="H5718" s="459">
        <v>5711</v>
      </c>
      <c r="I5718" s="444">
        <f t="shared" ca="1" si="195"/>
        <v>-6948522699600643</v>
      </c>
      <c r="J5718" s="444">
        <f t="array" ref="J5718">IFERROR(INDEX('Retirement Calculator'!K:K,MATCH('Lorri 401b'!N5718,'Retirement Calculator'!A:A,0),0),0)</f>
        <v>0</v>
      </c>
      <c r="K5718" s="444">
        <f t="shared" ca="1" si="193"/>
        <v>-28952177915002.68</v>
      </c>
      <c r="L5718" s="444">
        <f t="shared" ca="1" si="194"/>
        <v>-6977474877515646</v>
      </c>
      <c r="M5718" s="460">
        <f t="shared" si="196"/>
        <v>0.05</v>
      </c>
      <c r="N5718" s="464">
        <f t="shared" si="197"/>
        <v>225082</v>
      </c>
    </row>
    <row r="5719" spans="7:14" ht="11.25" customHeight="1" x14ac:dyDescent="0.3">
      <c r="G5719" s="459"/>
      <c r="H5719" s="459">
        <v>5712</v>
      </c>
      <c r="I5719" s="444">
        <f t="shared" ca="1" si="195"/>
        <v>-6977474877515646</v>
      </c>
      <c r="J5719" s="444">
        <f t="array" ref="J5719">IFERROR(INDEX('Retirement Calculator'!K:K,MATCH('Lorri 401b'!N5719,'Retirement Calculator'!A:A,0),0),0)</f>
        <v>0</v>
      </c>
      <c r="K5719" s="444">
        <f t="shared" ca="1" si="193"/>
        <v>-29072811989648.523</v>
      </c>
      <c r="L5719" s="444">
        <f t="shared" ca="1" si="194"/>
        <v>-7006547689505295</v>
      </c>
      <c r="M5719" s="460">
        <f t="shared" si="196"/>
        <v>0.05</v>
      </c>
      <c r="N5719" s="464">
        <f t="shared" si="197"/>
        <v>225112</v>
      </c>
    </row>
    <row r="5720" spans="7:14" ht="11.25" customHeight="1" x14ac:dyDescent="0.3">
      <c r="G5720" s="459"/>
      <c r="H5720" s="459">
        <v>5713</v>
      </c>
      <c r="I5720" s="444">
        <f t="shared" ca="1" si="195"/>
        <v>-7006547689505295</v>
      </c>
      <c r="J5720" s="444">
        <f t="array" ref="J5720">IFERROR(INDEX('Retirement Calculator'!K:K,MATCH('Lorri 401b'!N5720,'Retirement Calculator'!A:A,0),0),0)</f>
        <v>0</v>
      </c>
      <c r="K5720" s="444">
        <f t="shared" ca="1" si="193"/>
        <v>-29193948706272.063</v>
      </c>
      <c r="L5720" s="444">
        <f t="shared" ca="1" si="194"/>
        <v>-7035741638211567</v>
      </c>
      <c r="M5720" s="460">
        <f t="shared" si="196"/>
        <v>0.05</v>
      </c>
      <c r="N5720" s="464">
        <f t="shared" si="197"/>
        <v>225143</v>
      </c>
    </row>
    <row r="5721" spans="7:14" ht="11.25" customHeight="1" x14ac:dyDescent="0.3">
      <c r="G5721" s="459"/>
      <c r="H5721" s="459">
        <v>5714</v>
      </c>
      <c r="I5721" s="444">
        <f t="shared" ca="1" si="195"/>
        <v>-7035741638211567</v>
      </c>
      <c r="J5721" s="444">
        <f t="array" ref="J5721">IFERROR(INDEX('Retirement Calculator'!K:K,MATCH('Lorri 401b'!N5721,'Retirement Calculator'!A:A,0),0),0)</f>
        <v>0</v>
      </c>
      <c r="K5721" s="444">
        <f t="shared" ca="1" si="193"/>
        <v>-29315590159214.867</v>
      </c>
      <c r="L5721" s="444">
        <f t="shared" ca="1" si="194"/>
        <v>-7065057228370782</v>
      </c>
      <c r="M5721" s="460">
        <f t="shared" si="196"/>
        <v>0.05</v>
      </c>
      <c r="N5721" s="464">
        <f t="shared" si="197"/>
        <v>225173</v>
      </c>
    </row>
    <row r="5722" spans="7:14" ht="11.25" customHeight="1" x14ac:dyDescent="0.3">
      <c r="G5722" s="459"/>
      <c r="H5722" s="459">
        <v>5715</v>
      </c>
      <c r="I5722" s="444">
        <f t="shared" ca="1" si="195"/>
        <v>-7065057228370782</v>
      </c>
      <c r="J5722" s="444">
        <f t="array" ref="J5722">IFERROR(INDEX('Retirement Calculator'!K:K,MATCH('Lorri 401b'!N5722,'Retirement Calculator'!A:A,0),0),0)</f>
        <v>0</v>
      </c>
      <c r="K5722" s="444">
        <f t="shared" ca="1" si="193"/>
        <v>-29437738451544.926</v>
      </c>
      <c r="L5722" s="444">
        <f t="shared" ca="1" si="194"/>
        <v>-7094494966822327</v>
      </c>
      <c r="M5722" s="460">
        <f t="shared" si="196"/>
        <v>0.05</v>
      </c>
      <c r="N5722" s="464">
        <f t="shared" si="197"/>
        <v>225204</v>
      </c>
    </row>
    <row r="5723" spans="7:14" ht="11.25" customHeight="1" x14ac:dyDescent="0.3">
      <c r="G5723" s="459"/>
      <c r="H5723" s="459">
        <v>5716</v>
      </c>
      <c r="I5723" s="444">
        <f t="shared" ca="1" si="195"/>
        <v>-7094494966822327</v>
      </c>
      <c r="J5723" s="444">
        <f t="array" ref="J5723">IFERROR(INDEX('Retirement Calculator'!K:K,MATCH('Lorri 401b'!N5723,'Retirement Calculator'!A:A,0),0),0)</f>
        <v>0</v>
      </c>
      <c r="K5723" s="444">
        <f t="shared" ca="1" si="193"/>
        <v>-29560395695093.031</v>
      </c>
      <c r="L5723" s="444">
        <f t="shared" ca="1" si="194"/>
        <v>-7124055362517420</v>
      </c>
      <c r="M5723" s="460">
        <f t="shared" si="196"/>
        <v>0.05</v>
      </c>
      <c r="N5723" s="464">
        <f t="shared" si="197"/>
        <v>225235</v>
      </c>
    </row>
    <row r="5724" spans="7:14" ht="11.25" customHeight="1" x14ac:dyDescent="0.3">
      <c r="G5724" s="459"/>
      <c r="H5724" s="459">
        <v>5717</v>
      </c>
      <c r="I5724" s="444">
        <f t="shared" ca="1" si="195"/>
        <v>-7124055362517420</v>
      </c>
      <c r="J5724" s="444">
        <f t="array" ref="J5724">IFERROR(INDEX('Retirement Calculator'!K:K,MATCH('Lorri 401b'!N5724,'Retirement Calculator'!A:A,0),0),0)</f>
        <v>0</v>
      </c>
      <c r="K5724" s="444">
        <f t="shared" ca="1" si="193"/>
        <v>-29683564010489.25</v>
      </c>
      <c r="L5724" s="444">
        <f t="shared" ca="1" si="194"/>
        <v>-7153738926527909</v>
      </c>
      <c r="M5724" s="460">
        <f t="shared" si="196"/>
        <v>0.05</v>
      </c>
      <c r="N5724" s="464">
        <f t="shared" si="197"/>
        <v>225265</v>
      </c>
    </row>
    <row r="5725" spans="7:14" ht="11.25" customHeight="1" x14ac:dyDescent="0.3">
      <c r="G5725" s="459"/>
      <c r="H5725" s="459">
        <v>5718</v>
      </c>
      <c r="I5725" s="444">
        <f t="shared" ca="1" si="195"/>
        <v>-7153738926527909</v>
      </c>
      <c r="J5725" s="444">
        <f t="array" ref="J5725">IFERROR(INDEX('Retirement Calculator'!K:K,MATCH('Lorri 401b'!N5725,'Retirement Calculator'!A:A,0),0),0)</f>
        <v>0</v>
      </c>
      <c r="K5725" s="444">
        <f t="shared" ca="1" si="193"/>
        <v>-29807245527199.621</v>
      </c>
      <c r="L5725" s="444">
        <f t="shared" ca="1" si="194"/>
        <v>-7183546172055109</v>
      </c>
      <c r="M5725" s="460">
        <f t="shared" si="196"/>
        <v>0.05</v>
      </c>
      <c r="N5725" s="464">
        <f t="shared" si="197"/>
        <v>225296</v>
      </c>
    </row>
    <row r="5726" spans="7:14" ht="11.25" customHeight="1" x14ac:dyDescent="0.3">
      <c r="G5726" s="459"/>
      <c r="H5726" s="459">
        <v>5719</v>
      </c>
      <c r="I5726" s="444">
        <f t="shared" ca="1" si="195"/>
        <v>-7183546172055109</v>
      </c>
      <c r="J5726" s="444">
        <f t="array" ref="J5726">IFERROR(INDEX('Retirement Calculator'!K:K,MATCH('Lorri 401b'!N5726,'Retirement Calculator'!A:A,0),0),0)</f>
        <v>0</v>
      </c>
      <c r="K5726" s="444">
        <f t="shared" ca="1" si="193"/>
        <v>-29931442383562.953</v>
      </c>
      <c r="L5726" s="444">
        <f t="shared" ca="1" si="194"/>
        <v>-7213477614438672</v>
      </c>
      <c r="M5726" s="460">
        <f t="shared" si="196"/>
        <v>0.05</v>
      </c>
      <c r="N5726" s="464">
        <f t="shared" si="197"/>
        <v>225326</v>
      </c>
    </row>
    <row r="5727" spans="7:14" ht="11.25" customHeight="1" x14ac:dyDescent="0.3">
      <c r="G5727" s="459"/>
      <c r="H5727" s="459">
        <v>5720</v>
      </c>
      <c r="I5727" s="444">
        <f t="shared" ca="1" si="195"/>
        <v>-7213477614438672</v>
      </c>
      <c r="J5727" s="444">
        <f t="array" ref="J5727">IFERROR(INDEX('Retirement Calculator'!K:K,MATCH('Lorri 401b'!N5727,'Retirement Calculator'!A:A,0),0),0)</f>
        <v>0</v>
      </c>
      <c r="K5727" s="444">
        <f t="shared" ca="1" si="193"/>
        <v>-30056156726827.797</v>
      </c>
      <c r="L5727" s="444">
        <f t="shared" ca="1" si="194"/>
        <v>-7243533771165500</v>
      </c>
      <c r="M5727" s="460">
        <f t="shared" si="196"/>
        <v>0.05</v>
      </c>
      <c r="N5727" s="464">
        <f t="shared" si="197"/>
        <v>225357</v>
      </c>
    </row>
    <row r="5728" spans="7:14" ht="11.25" customHeight="1" x14ac:dyDescent="0.3">
      <c r="G5728" s="459"/>
      <c r="H5728" s="459">
        <v>5721</v>
      </c>
      <c r="I5728" s="444">
        <f t="shared" ca="1" si="195"/>
        <v>-7243533771165500</v>
      </c>
      <c r="J5728" s="444">
        <f t="array" ref="J5728">IFERROR(INDEX('Retirement Calculator'!K:K,MATCH('Lorri 401b'!N5728,'Retirement Calculator'!A:A,0),0),0)</f>
        <v>0</v>
      </c>
      <c r="K5728" s="444">
        <f t="shared" ca="1" si="193"/>
        <v>-30181390713189.582</v>
      </c>
      <c r="L5728" s="444">
        <f t="shared" ca="1" si="194"/>
        <v>-7273715161878690</v>
      </c>
      <c r="M5728" s="460">
        <f t="shared" si="196"/>
        <v>0.05</v>
      </c>
      <c r="N5728" s="464">
        <f t="shared" si="197"/>
        <v>225388</v>
      </c>
    </row>
    <row r="5729" spans="7:14" ht="11.25" customHeight="1" x14ac:dyDescent="0.3">
      <c r="G5729" s="459"/>
      <c r="H5729" s="459">
        <v>5722</v>
      </c>
      <c r="I5729" s="444">
        <f t="shared" ca="1" si="195"/>
        <v>-7273715161878690</v>
      </c>
      <c r="J5729" s="444">
        <f t="array" ref="J5729">IFERROR(INDEX('Retirement Calculator'!K:K,MATCH('Lorri 401b'!N5729,'Retirement Calculator'!A:A,0),0),0)</f>
        <v>0</v>
      </c>
      <c r="K5729" s="444">
        <f t="shared" ca="1" si="193"/>
        <v>-30307146507827.875</v>
      </c>
      <c r="L5729" s="444">
        <f t="shared" ca="1" si="194"/>
        <v>-7304022308386518</v>
      </c>
      <c r="M5729" s="460">
        <f t="shared" si="196"/>
        <v>0.05</v>
      </c>
      <c r="N5729" s="464">
        <f t="shared" si="197"/>
        <v>225416</v>
      </c>
    </row>
    <row r="5730" spans="7:14" ht="11.25" customHeight="1" x14ac:dyDescent="0.3">
      <c r="G5730" s="459"/>
      <c r="H5730" s="459">
        <v>5723</v>
      </c>
      <c r="I5730" s="444">
        <f t="shared" ca="1" si="195"/>
        <v>-7304022308386518</v>
      </c>
      <c r="J5730" s="444">
        <f t="array" ref="J5730">IFERROR(INDEX('Retirement Calculator'!K:K,MATCH('Lorri 401b'!N5730,'Retirement Calculator'!A:A,0),0),0)</f>
        <v>0</v>
      </c>
      <c r="K5730" s="444">
        <f t="shared" ca="1" si="193"/>
        <v>-30433426284943.828</v>
      </c>
      <c r="L5730" s="444">
        <f t="shared" ca="1" si="194"/>
        <v>-7334455734671462</v>
      </c>
      <c r="M5730" s="460">
        <f t="shared" si="196"/>
        <v>0.05</v>
      </c>
      <c r="N5730" s="464">
        <f t="shared" si="197"/>
        <v>225447</v>
      </c>
    </row>
    <row r="5731" spans="7:14" ht="11.25" customHeight="1" x14ac:dyDescent="0.3">
      <c r="G5731" s="459"/>
      <c r="H5731" s="459">
        <v>5724</v>
      </c>
      <c r="I5731" s="444">
        <f t="shared" ca="1" si="195"/>
        <v>-7334455734671462</v>
      </c>
      <c r="J5731" s="444">
        <f t="array" ref="J5731">IFERROR(INDEX('Retirement Calculator'!K:K,MATCH('Lorri 401b'!N5731,'Retirement Calculator'!A:A,0),0),0)</f>
        <v>0</v>
      </c>
      <c r="K5731" s="444">
        <f t="shared" ca="1" si="193"/>
        <v>-30560232227797.758</v>
      </c>
      <c r="L5731" s="444">
        <f t="shared" ca="1" si="194"/>
        <v>-7365015966899260</v>
      </c>
      <c r="M5731" s="460">
        <f t="shared" si="196"/>
        <v>0.05</v>
      </c>
      <c r="N5731" s="464">
        <f t="shared" si="197"/>
        <v>225477</v>
      </c>
    </row>
    <row r="5732" spans="7:14" ht="11.25" customHeight="1" x14ac:dyDescent="0.3">
      <c r="G5732" s="459"/>
      <c r="H5732" s="459">
        <v>5725</v>
      </c>
      <c r="I5732" s="444">
        <f t="shared" ca="1" si="195"/>
        <v>-7365015966899260</v>
      </c>
      <c r="J5732" s="444">
        <f t="array" ref="J5732">IFERROR(INDEX('Retirement Calculator'!K:K,MATCH('Lorri 401b'!N5732,'Retirement Calculator'!A:A,0),0),0)</f>
        <v>0</v>
      </c>
      <c r="K5732" s="444">
        <f t="shared" ca="1" si="193"/>
        <v>-30687566528746.918</v>
      </c>
      <c r="L5732" s="444">
        <f t="shared" ca="1" si="194"/>
        <v>-7395703533428007</v>
      </c>
      <c r="M5732" s="460">
        <f t="shared" si="196"/>
        <v>0.05</v>
      </c>
      <c r="N5732" s="464">
        <f t="shared" si="197"/>
        <v>225508</v>
      </c>
    </row>
    <row r="5733" spans="7:14" ht="11.25" customHeight="1" x14ac:dyDescent="0.3">
      <c r="G5733" s="459"/>
      <c r="H5733" s="459">
        <v>5726</v>
      </c>
      <c r="I5733" s="444">
        <f t="shared" ca="1" si="195"/>
        <v>-7395703533428007</v>
      </c>
      <c r="J5733" s="444">
        <f t="array" ref="J5733">IFERROR(INDEX('Retirement Calculator'!K:K,MATCH('Lorri 401b'!N5733,'Retirement Calculator'!A:A,0),0),0)</f>
        <v>0</v>
      </c>
      <c r="K5733" s="444">
        <f t="shared" ca="1" si="193"/>
        <v>-30815431389283.363</v>
      </c>
      <c r="L5733" s="444">
        <f t="shared" ca="1" si="194"/>
        <v>-7426518964817290</v>
      </c>
      <c r="M5733" s="460">
        <f t="shared" si="196"/>
        <v>0.05</v>
      </c>
      <c r="N5733" s="464">
        <f t="shared" si="197"/>
        <v>225538</v>
      </c>
    </row>
    <row r="5734" spans="7:14" ht="11.25" customHeight="1" x14ac:dyDescent="0.3">
      <c r="G5734" s="459"/>
      <c r="H5734" s="459">
        <v>5727</v>
      </c>
      <c r="I5734" s="444">
        <f t="shared" ca="1" si="195"/>
        <v>-7426518964817290</v>
      </c>
      <c r="J5734" s="444">
        <f t="array" ref="J5734">IFERROR(INDEX('Retirement Calculator'!K:K,MATCH('Lorri 401b'!N5734,'Retirement Calculator'!A:A,0),0),0)</f>
        <v>0</v>
      </c>
      <c r="K5734" s="444">
        <f t="shared" ca="1" si="193"/>
        <v>-30943829020072.035</v>
      </c>
      <c r="L5734" s="444">
        <f t="shared" ca="1" si="194"/>
        <v>-7457462793837362</v>
      </c>
      <c r="M5734" s="460">
        <f t="shared" si="196"/>
        <v>0.05</v>
      </c>
      <c r="N5734" s="464">
        <f t="shared" si="197"/>
        <v>225569</v>
      </c>
    </row>
    <row r="5735" spans="7:14" ht="11.25" customHeight="1" x14ac:dyDescent="0.3">
      <c r="G5735" s="459"/>
      <c r="H5735" s="459">
        <v>5728</v>
      </c>
      <c r="I5735" s="444">
        <f t="shared" ca="1" si="195"/>
        <v>-7457462793837362</v>
      </c>
      <c r="J5735" s="444">
        <f t="array" ref="J5735">IFERROR(INDEX('Retirement Calculator'!K:K,MATCH('Lorri 401b'!N5735,'Retirement Calculator'!A:A,0),0),0)</f>
        <v>0</v>
      </c>
      <c r="K5735" s="444">
        <f t="shared" ca="1" si="193"/>
        <v>-31072761640989.008</v>
      </c>
      <c r="L5735" s="444">
        <f t="shared" ca="1" si="194"/>
        <v>-7488535555478351</v>
      </c>
      <c r="M5735" s="460">
        <f t="shared" si="196"/>
        <v>0.05</v>
      </c>
      <c r="N5735" s="464">
        <f t="shared" si="197"/>
        <v>225600</v>
      </c>
    </row>
    <row r="5736" spans="7:14" ht="11.25" customHeight="1" x14ac:dyDescent="0.3">
      <c r="G5736" s="459"/>
      <c r="H5736" s="459">
        <v>5729</v>
      </c>
      <c r="I5736" s="444">
        <f t="shared" ca="1" si="195"/>
        <v>-7488535555478351</v>
      </c>
      <c r="J5736" s="444">
        <f t="array" ref="J5736">IFERROR(INDEX('Retirement Calculator'!K:K,MATCH('Lorri 401b'!N5736,'Retirement Calculator'!A:A,0),0),0)</f>
        <v>0</v>
      </c>
      <c r="K5736" s="444">
        <f t="shared" ca="1" si="193"/>
        <v>-31202231481159.793</v>
      </c>
      <c r="L5736" s="444">
        <f t="shared" ca="1" si="194"/>
        <v>-7519737786959511</v>
      </c>
      <c r="M5736" s="460">
        <f t="shared" si="196"/>
        <v>0.05</v>
      </c>
      <c r="N5736" s="464">
        <f t="shared" si="197"/>
        <v>225630</v>
      </c>
    </row>
    <row r="5737" spans="7:14" ht="11.25" customHeight="1" x14ac:dyDescent="0.3">
      <c r="G5737" s="459"/>
      <c r="H5737" s="459">
        <v>5730</v>
      </c>
      <c r="I5737" s="444">
        <f t="shared" ca="1" si="195"/>
        <v>-7519737786959511</v>
      </c>
      <c r="J5737" s="444">
        <f t="array" ref="J5737">IFERROR(INDEX('Retirement Calculator'!K:K,MATCH('Lorri 401b'!N5737,'Retirement Calculator'!A:A,0),0),0)</f>
        <v>0</v>
      </c>
      <c r="K5737" s="444">
        <f t="shared" ca="1" si="193"/>
        <v>-31332240778997.957</v>
      </c>
      <c r="L5737" s="444">
        <f t="shared" ca="1" si="194"/>
        <v>-7551070027738509</v>
      </c>
      <c r="M5737" s="460">
        <f t="shared" si="196"/>
        <v>0.05</v>
      </c>
      <c r="N5737" s="464">
        <f t="shared" si="197"/>
        <v>225661</v>
      </c>
    </row>
    <row r="5738" spans="7:14" ht="11.25" customHeight="1" x14ac:dyDescent="0.3">
      <c r="G5738" s="459"/>
      <c r="H5738" s="459">
        <v>5731</v>
      </c>
      <c r="I5738" s="444">
        <f t="shared" ca="1" si="195"/>
        <v>-7551070027738509</v>
      </c>
      <c r="J5738" s="444">
        <f t="array" ref="J5738">IFERROR(INDEX('Retirement Calculator'!K:K,MATCH('Lorri 401b'!N5738,'Retirement Calculator'!A:A,0),0),0)</f>
        <v>0</v>
      </c>
      <c r="K5738" s="444">
        <f t="shared" ca="1" si="193"/>
        <v>-31462791782243.785</v>
      </c>
      <c r="L5738" s="444">
        <f t="shared" ca="1" si="194"/>
        <v>-7582532819520753</v>
      </c>
      <c r="M5738" s="460">
        <f t="shared" si="196"/>
        <v>0.05</v>
      </c>
      <c r="N5738" s="464">
        <f t="shared" si="197"/>
        <v>225691</v>
      </c>
    </row>
    <row r="5739" spans="7:14" ht="11.25" customHeight="1" x14ac:dyDescent="0.3">
      <c r="G5739" s="459"/>
      <c r="H5739" s="459">
        <v>5732</v>
      </c>
      <c r="I5739" s="444">
        <f t="shared" ca="1" si="195"/>
        <v>-7582532819520753</v>
      </c>
      <c r="J5739" s="444">
        <f t="array" ref="J5739">IFERROR(INDEX('Retirement Calculator'!K:K,MATCH('Lorri 401b'!N5739,'Retirement Calculator'!A:A,0),0),0)</f>
        <v>0</v>
      </c>
      <c r="K5739" s="444">
        <f t="shared" ca="1" si="193"/>
        <v>-31593886748003.137</v>
      </c>
      <c r="L5739" s="444">
        <f t="shared" ca="1" si="194"/>
        <v>-7614126706268756</v>
      </c>
      <c r="M5739" s="460">
        <f t="shared" si="196"/>
        <v>0.05</v>
      </c>
      <c r="N5739" s="464">
        <f t="shared" si="197"/>
        <v>225722</v>
      </c>
    </row>
    <row r="5740" spans="7:14" ht="11.25" customHeight="1" x14ac:dyDescent="0.3">
      <c r="G5740" s="459"/>
      <c r="H5740" s="459">
        <v>5733</v>
      </c>
      <c r="I5740" s="444">
        <f t="shared" ca="1" si="195"/>
        <v>-7614126706268756</v>
      </c>
      <c r="J5740" s="444">
        <f t="array" ref="J5740">IFERROR(INDEX('Retirement Calculator'!K:K,MATCH('Lorri 401b'!N5740,'Retirement Calculator'!A:A,0),0),0)</f>
        <v>0</v>
      </c>
      <c r="K5740" s="444">
        <f t="shared" ca="1" si="193"/>
        <v>-31725527942786.484</v>
      </c>
      <c r="L5740" s="444">
        <f t="shared" ca="1" si="194"/>
        <v>-7645852234211542</v>
      </c>
      <c r="M5740" s="460">
        <f t="shared" si="196"/>
        <v>0.05</v>
      </c>
      <c r="N5740" s="464">
        <f t="shared" si="197"/>
        <v>225753</v>
      </c>
    </row>
    <row r="5741" spans="7:14" ht="11.25" customHeight="1" x14ac:dyDescent="0.3">
      <c r="G5741" s="459"/>
      <c r="H5741" s="459">
        <v>5734</v>
      </c>
      <c r="I5741" s="444">
        <f t="shared" ca="1" si="195"/>
        <v>-7645852234211542</v>
      </c>
      <c r="J5741" s="444">
        <f t="array" ref="J5741">IFERROR(INDEX('Retirement Calculator'!K:K,MATCH('Lorri 401b'!N5741,'Retirement Calculator'!A:A,0),0),0)</f>
        <v>0</v>
      </c>
      <c r="K5741" s="444">
        <f t="shared" ca="1" si="193"/>
        <v>-31857717642548.09</v>
      </c>
      <c r="L5741" s="444">
        <f t="shared" ca="1" si="194"/>
        <v>-7677709951854090</v>
      </c>
      <c r="M5741" s="460">
        <f t="shared" si="196"/>
        <v>0.05</v>
      </c>
      <c r="N5741" s="464">
        <f t="shared" si="197"/>
        <v>225781</v>
      </c>
    </row>
    <row r="5742" spans="7:14" ht="11.25" customHeight="1" x14ac:dyDescent="0.3">
      <c r="G5742" s="459"/>
      <c r="H5742" s="459">
        <v>5735</v>
      </c>
      <c r="I5742" s="444">
        <f t="shared" ca="1" si="195"/>
        <v>-7677709951854090</v>
      </c>
      <c r="J5742" s="444">
        <f t="array" ref="J5742">IFERROR(INDEX('Retirement Calculator'!K:K,MATCH('Lorri 401b'!N5742,'Retirement Calculator'!A:A,0),0),0)</f>
        <v>0</v>
      </c>
      <c r="K5742" s="444">
        <f t="shared" ca="1" si="193"/>
        <v>-31990458132725.375</v>
      </c>
      <c r="L5742" s="444">
        <f t="shared" ca="1" si="194"/>
        <v>-7709700409986815</v>
      </c>
      <c r="M5742" s="460">
        <f t="shared" si="196"/>
        <v>0.05</v>
      </c>
      <c r="N5742" s="464">
        <f t="shared" si="197"/>
        <v>225812</v>
      </c>
    </row>
    <row r="5743" spans="7:14" ht="11.25" customHeight="1" x14ac:dyDescent="0.3">
      <c r="G5743" s="459"/>
      <c r="H5743" s="459">
        <v>5736</v>
      </c>
      <c r="I5743" s="444">
        <f t="shared" ca="1" si="195"/>
        <v>-7709700409986815</v>
      </c>
      <c r="J5743" s="444">
        <f t="array" ref="J5743">IFERROR(INDEX('Retirement Calculator'!K:K,MATCH('Lorri 401b'!N5743,'Retirement Calculator'!A:A,0),0),0)</f>
        <v>0</v>
      </c>
      <c r="K5743" s="444">
        <f t="shared" ca="1" si="193"/>
        <v>-32123751708278.395</v>
      </c>
      <c r="L5743" s="444">
        <f t="shared" ca="1" si="194"/>
        <v>-7741824161695093</v>
      </c>
      <c r="M5743" s="460">
        <f t="shared" si="196"/>
        <v>0.05</v>
      </c>
      <c r="N5743" s="464">
        <f t="shared" si="197"/>
        <v>225842</v>
      </c>
    </row>
    <row r="5744" spans="7:14" ht="11.25" customHeight="1" x14ac:dyDescent="0.3">
      <c r="G5744" s="459"/>
      <c r="H5744" s="459">
        <v>5737</v>
      </c>
      <c r="I5744" s="444">
        <f t="shared" ca="1" si="195"/>
        <v>-7741824161695093</v>
      </c>
      <c r="J5744" s="444">
        <f t="array" ref="J5744">IFERROR(INDEX('Retirement Calculator'!K:K,MATCH('Lorri 401b'!N5744,'Retirement Calculator'!A:A,0),0),0)</f>
        <v>0</v>
      </c>
      <c r="K5744" s="444">
        <f t="shared" ca="1" si="193"/>
        <v>-32257600673729.555</v>
      </c>
      <c r="L5744" s="444">
        <f t="shared" ca="1" si="194"/>
        <v>-7774081762368823</v>
      </c>
      <c r="M5744" s="460">
        <f t="shared" si="196"/>
        <v>0.05</v>
      </c>
      <c r="N5744" s="464">
        <f t="shared" si="197"/>
        <v>225873</v>
      </c>
    </row>
    <row r="5745" spans="7:14" ht="11.25" customHeight="1" x14ac:dyDescent="0.3">
      <c r="G5745" s="459"/>
      <c r="H5745" s="459">
        <v>5738</v>
      </c>
      <c r="I5745" s="444">
        <f t="shared" ca="1" si="195"/>
        <v>-7774081762368823</v>
      </c>
      <c r="J5745" s="444">
        <f t="array" ref="J5745">IFERROR(INDEX('Retirement Calculator'!K:K,MATCH('Lorri 401b'!N5745,'Retirement Calculator'!A:A,0),0),0)</f>
        <v>0</v>
      </c>
      <c r="K5745" s="444">
        <f t="shared" ca="1" si="193"/>
        <v>-32392007343203.43</v>
      </c>
      <c r="L5745" s="444">
        <f t="shared" ca="1" si="194"/>
        <v>-7806473769712026</v>
      </c>
      <c r="M5745" s="460">
        <f t="shared" si="196"/>
        <v>0.05</v>
      </c>
      <c r="N5745" s="464">
        <f t="shared" si="197"/>
        <v>225903</v>
      </c>
    </row>
    <row r="5746" spans="7:14" ht="11.25" customHeight="1" x14ac:dyDescent="0.3">
      <c r="G5746" s="459"/>
      <c r="H5746" s="459">
        <v>5739</v>
      </c>
      <c r="I5746" s="444">
        <f t="shared" ca="1" si="195"/>
        <v>-7806473769712026</v>
      </c>
      <c r="J5746" s="444">
        <f t="array" ref="J5746">IFERROR(INDEX('Retirement Calculator'!K:K,MATCH('Lorri 401b'!N5746,'Retirement Calculator'!A:A,0),0),0)</f>
        <v>0</v>
      </c>
      <c r="K5746" s="444">
        <f t="shared" ca="1" si="193"/>
        <v>-32526974040466.777</v>
      </c>
      <c r="L5746" s="444">
        <f t="shared" ca="1" si="194"/>
        <v>-7839000743752493</v>
      </c>
      <c r="M5746" s="460">
        <f t="shared" si="196"/>
        <v>0.05</v>
      </c>
      <c r="N5746" s="464">
        <f t="shared" si="197"/>
        <v>225934</v>
      </c>
    </row>
    <row r="5747" spans="7:14" ht="11.25" customHeight="1" x14ac:dyDescent="0.3">
      <c r="G5747" s="459"/>
      <c r="H5747" s="459">
        <v>5740</v>
      </c>
      <c r="I5747" s="444">
        <f t="shared" ca="1" si="195"/>
        <v>-7839000743752493</v>
      </c>
      <c r="J5747" s="444">
        <f t="array" ref="J5747">IFERROR(INDEX('Retirement Calculator'!K:K,MATCH('Lorri 401b'!N5747,'Retirement Calculator'!A:A,0),0),0)</f>
        <v>0</v>
      </c>
      <c r="K5747" s="444">
        <f t="shared" ca="1" si="193"/>
        <v>-32662503098968.719</v>
      </c>
      <c r="L5747" s="444">
        <f t="shared" ca="1" si="194"/>
        <v>-7871663246851462</v>
      </c>
      <c r="M5747" s="460">
        <f t="shared" si="196"/>
        <v>0.05</v>
      </c>
      <c r="N5747" s="464">
        <f t="shared" si="197"/>
        <v>225965</v>
      </c>
    </row>
    <row r="5748" spans="7:14" ht="11.25" customHeight="1" x14ac:dyDescent="0.3">
      <c r="G5748" s="459"/>
      <c r="H5748" s="459">
        <v>5741</v>
      </c>
      <c r="I5748" s="444">
        <f t="shared" ca="1" si="195"/>
        <v>-7871663246851462</v>
      </c>
      <c r="J5748" s="444">
        <f t="array" ref="J5748">IFERROR(INDEX('Retirement Calculator'!K:K,MATCH('Lorri 401b'!N5748,'Retirement Calculator'!A:A,0),0),0)</f>
        <v>0</v>
      </c>
      <c r="K5748" s="444">
        <f t="shared" ca="1" si="193"/>
        <v>-32798596861881.09</v>
      </c>
      <c r="L5748" s="444">
        <f t="shared" ca="1" si="194"/>
        <v>-7904461843713343</v>
      </c>
      <c r="M5748" s="460">
        <f t="shared" si="196"/>
        <v>0.05</v>
      </c>
      <c r="N5748" s="464">
        <f t="shared" si="197"/>
        <v>225995</v>
      </c>
    </row>
    <row r="5749" spans="7:14" ht="11.25" customHeight="1" x14ac:dyDescent="0.3">
      <c r="G5749" s="459"/>
      <c r="H5749" s="459">
        <v>5742</v>
      </c>
      <c r="I5749" s="444">
        <f t="shared" ca="1" si="195"/>
        <v>-7904461843713343</v>
      </c>
      <c r="J5749" s="444">
        <f t="array" ref="J5749">IFERROR(INDEX('Retirement Calculator'!K:K,MATCH('Lorri 401b'!N5749,'Retirement Calculator'!A:A,0),0),0)</f>
        <v>0</v>
      </c>
      <c r="K5749" s="444">
        <f t="shared" ca="1" si="193"/>
        <v>-32935257682138.93</v>
      </c>
      <c r="L5749" s="444">
        <f t="shared" ca="1" si="194"/>
        <v>-7937397101395482</v>
      </c>
      <c r="M5749" s="460">
        <f t="shared" si="196"/>
        <v>0.05</v>
      </c>
      <c r="N5749" s="464">
        <f t="shared" si="197"/>
        <v>226026</v>
      </c>
    </row>
    <row r="5750" spans="7:14" ht="11.25" customHeight="1" x14ac:dyDescent="0.3">
      <c r="G5750" s="459"/>
      <c r="H5750" s="459">
        <v>5743</v>
      </c>
      <c r="I5750" s="444">
        <f t="shared" ca="1" si="195"/>
        <v>-7937397101395482</v>
      </c>
      <c r="J5750" s="444">
        <f t="array" ref="J5750">IFERROR(INDEX('Retirement Calculator'!K:K,MATCH('Lorri 401b'!N5750,'Retirement Calculator'!A:A,0),0),0)</f>
        <v>0</v>
      </c>
      <c r="K5750" s="444">
        <f t="shared" ca="1" si="193"/>
        <v>-33072487922481.176</v>
      </c>
      <c r="L5750" s="444">
        <f t="shared" ca="1" si="194"/>
        <v>-7970469589317963</v>
      </c>
      <c r="M5750" s="460">
        <f t="shared" si="196"/>
        <v>0.05</v>
      </c>
      <c r="N5750" s="464">
        <f t="shared" si="197"/>
        <v>226056</v>
      </c>
    </row>
    <row r="5751" spans="7:14" ht="11.25" customHeight="1" x14ac:dyDescent="0.3">
      <c r="G5751" s="459"/>
      <c r="H5751" s="459">
        <v>5744</v>
      </c>
      <c r="I5751" s="444">
        <f t="shared" ca="1" si="195"/>
        <v>-7970469589317963</v>
      </c>
      <c r="J5751" s="444">
        <f t="array" ref="J5751">IFERROR(INDEX('Retirement Calculator'!K:K,MATCH('Lorri 401b'!N5751,'Retirement Calculator'!A:A,0),0),0)</f>
        <v>0</v>
      </c>
      <c r="K5751" s="444">
        <f t="shared" ca="1" si="193"/>
        <v>-33210289955491.508</v>
      </c>
      <c r="L5751" s="444">
        <f t="shared" ca="1" si="194"/>
        <v>-8003679879273455</v>
      </c>
      <c r="M5751" s="460">
        <f t="shared" si="196"/>
        <v>0.05</v>
      </c>
      <c r="N5751" s="464">
        <f t="shared" si="197"/>
        <v>226087</v>
      </c>
    </row>
    <row r="5752" spans="7:14" ht="11.25" customHeight="1" x14ac:dyDescent="0.3">
      <c r="G5752" s="459"/>
      <c r="H5752" s="459">
        <v>5745</v>
      </c>
      <c r="I5752" s="444">
        <f t="shared" ca="1" si="195"/>
        <v>-8003679879273455</v>
      </c>
      <c r="J5752" s="444">
        <f t="array" ref="J5752">IFERROR(INDEX('Retirement Calculator'!K:K,MATCH('Lorri 401b'!N5752,'Retirement Calculator'!A:A,0),0),0)</f>
        <v>0</v>
      </c>
      <c r="K5752" s="444">
        <f t="shared" ca="1" si="193"/>
        <v>-33348666163639.395</v>
      </c>
      <c r="L5752" s="444">
        <f t="shared" ca="1" si="194"/>
        <v>-8037028545437094</v>
      </c>
      <c r="M5752" s="460">
        <f t="shared" si="196"/>
        <v>0.05</v>
      </c>
      <c r="N5752" s="464">
        <f t="shared" si="197"/>
        <v>226118</v>
      </c>
    </row>
    <row r="5753" spans="7:14" ht="11.25" customHeight="1" x14ac:dyDescent="0.3">
      <c r="G5753" s="459"/>
      <c r="H5753" s="459">
        <v>5746</v>
      </c>
      <c r="I5753" s="444">
        <f t="shared" ca="1" si="195"/>
        <v>-8037028545437094</v>
      </c>
      <c r="J5753" s="444">
        <f t="array" ref="J5753">IFERROR(INDEX('Retirement Calculator'!K:K,MATCH('Lorri 401b'!N5753,'Retirement Calculator'!A:A,0),0),0)</f>
        <v>0</v>
      </c>
      <c r="K5753" s="444">
        <f t="shared" ca="1" si="193"/>
        <v>-33487618939321.23</v>
      </c>
      <c r="L5753" s="444">
        <f t="shared" ca="1" si="194"/>
        <v>-8070516164376415</v>
      </c>
      <c r="M5753" s="460">
        <f t="shared" si="196"/>
        <v>0.05</v>
      </c>
      <c r="N5753" s="464">
        <f t="shared" si="197"/>
        <v>226146</v>
      </c>
    </row>
    <row r="5754" spans="7:14" ht="11.25" customHeight="1" x14ac:dyDescent="0.3">
      <c r="G5754" s="459"/>
      <c r="H5754" s="459">
        <v>5747</v>
      </c>
      <c r="I5754" s="444">
        <f t="shared" ca="1" si="195"/>
        <v>-8070516164376415</v>
      </c>
      <c r="J5754" s="444">
        <f t="array" ref="J5754">IFERROR(INDEX('Retirement Calculator'!K:K,MATCH('Lorri 401b'!N5754,'Retirement Calculator'!A:A,0),0),0)</f>
        <v>0</v>
      </c>
      <c r="K5754" s="444">
        <f t="shared" ca="1" si="193"/>
        <v>-33627150684901.734</v>
      </c>
      <c r="L5754" s="444">
        <f t="shared" ca="1" si="194"/>
        <v>-8104143315061317</v>
      </c>
      <c r="M5754" s="460">
        <f t="shared" si="196"/>
        <v>0.05</v>
      </c>
      <c r="N5754" s="464">
        <f t="shared" si="197"/>
        <v>226177</v>
      </c>
    </row>
    <row r="5755" spans="7:14" ht="11.25" customHeight="1" x14ac:dyDescent="0.3">
      <c r="G5755" s="459"/>
      <c r="H5755" s="459">
        <v>5748</v>
      </c>
      <c r="I5755" s="444">
        <f t="shared" ca="1" si="195"/>
        <v>-8104143315061317</v>
      </c>
      <c r="J5755" s="444">
        <f t="array" ref="J5755">IFERROR(INDEX('Retirement Calculator'!K:K,MATCH('Lorri 401b'!N5755,'Retirement Calculator'!A:A,0),0),0)</f>
        <v>0</v>
      </c>
      <c r="K5755" s="444">
        <f t="shared" ca="1" si="193"/>
        <v>-33767263812755.488</v>
      </c>
      <c r="L5755" s="444">
        <f t="shared" ca="1" si="194"/>
        <v>-8137910578874072</v>
      </c>
      <c r="M5755" s="460">
        <f t="shared" si="196"/>
        <v>0.05</v>
      </c>
      <c r="N5755" s="464">
        <f t="shared" si="197"/>
        <v>226207</v>
      </c>
    </row>
    <row r="5756" spans="7:14" ht="11.25" customHeight="1" x14ac:dyDescent="0.3">
      <c r="G5756" s="459"/>
      <c r="H5756" s="459">
        <v>5749</v>
      </c>
      <c r="I5756" s="444">
        <f t="shared" ca="1" si="195"/>
        <v>-8137910578874072</v>
      </c>
      <c r="J5756" s="444">
        <f t="array" ref="J5756">IFERROR(INDEX('Retirement Calculator'!K:K,MATCH('Lorri 401b'!N5756,'Retirement Calculator'!A:A,0),0),0)</f>
        <v>0</v>
      </c>
      <c r="K5756" s="444">
        <f t="shared" ca="1" si="193"/>
        <v>-33907960745308.633</v>
      </c>
      <c r="L5756" s="444">
        <f t="shared" ca="1" si="194"/>
        <v>-8171818539619381</v>
      </c>
      <c r="M5756" s="460">
        <f t="shared" si="196"/>
        <v>0.05</v>
      </c>
      <c r="N5756" s="464">
        <f t="shared" si="197"/>
        <v>226238</v>
      </c>
    </row>
    <row r="5757" spans="7:14" ht="11.25" customHeight="1" x14ac:dyDescent="0.3">
      <c r="G5757" s="459"/>
      <c r="H5757" s="459">
        <v>5750</v>
      </c>
      <c r="I5757" s="444">
        <f t="shared" ca="1" si="195"/>
        <v>-8171818539619381</v>
      </c>
      <c r="J5757" s="444">
        <f t="array" ref="J5757">IFERROR(INDEX('Retirement Calculator'!K:K,MATCH('Lorri 401b'!N5757,'Retirement Calculator'!A:A,0),0),0)</f>
        <v>0</v>
      </c>
      <c r="K5757" s="444">
        <f t="shared" ca="1" si="193"/>
        <v>-34049243915080.758</v>
      </c>
      <c r="L5757" s="444">
        <f t="shared" ca="1" si="194"/>
        <v>-8205867783534462</v>
      </c>
      <c r="M5757" s="460">
        <f t="shared" si="196"/>
        <v>0.05</v>
      </c>
      <c r="N5757" s="464">
        <f t="shared" si="197"/>
        <v>226268</v>
      </c>
    </row>
    <row r="5758" spans="7:14" ht="11.25" customHeight="1" x14ac:dyDescent="0.3">
      <c r="G5758" s="459"/>
      <c r="H5758" s="459">
        <v>5751</v>
      </c>
      <c r="I5758" s="444">
        <f t="shared" ca="1" si="195"/>
        <v>-8205867783534462</v>
      </c>
      <c r="J5758" s="444">
        <f t="array" ref="J5758">IFERROR(INDEX('Retirement Calculator'!K:K,MATCH('Lorri 401b'!N5758,'Retirement Calculator'!A:A,0),0),0)</f>
        <v>0</v>
      </c>
      <c r="K5758" s="444">
        <f t="shared" ca="1" si="193"/>
        <v>-34191115764726.926</v>
      </c>
      <c r="L5758" s="444">
        <f t="shared" ca="1" si="194"/>
        <v>-8240058899299189</v>
      </c>
      <c r="M5758" s="460">
        <f t="shared" si="196"/>
        <v>0.05</v>
      </c>
      <c r="N5758" s="464">
        <f t="shared" si="197"/>
        <v>226299</v>
      </c>
    </row>
    <row r="5759" spans="7:14" ht="11.25" customHeight="1" x14ac:dyDescent="0.3">
      <c r="G5759" s="459"/>
      <c r="H5759" s="459">
        <v>5752</v>
      </c>
      <c r="I5759" s="444">
        <f t="shared" ca="1" si="195"/>
        <v>-8240058899299189</v>
      </c>
      <c r="J5759" s="444">
        <f t="array" ref="J5759">IFERROR(INDEX('Retirement Calculator'!K:K,MATCH('Lorri 401b'!N5759,'Retirement Calculator'!A:A,0),0),0)</f>
        <v>0</v>
      </c>
      <c r="K5759" s="444">
        <f t="shared" ca="1" si="193"/>
        <v>-34333578747079.957</v>
      </c>
      <c r="L5759" s="444">
        <f t="shared" ca="1" si="194"/>
        <v>-8274392478046269</v>
      </c>
      <c r="M5759" s="460">
        <f t="shared" si="196"/>
        <v>0.05</v>
      </c>
      <c r="N5759" s="464">
        <f t="shared" si="197"/>
        <v>226330</v>
      </c>
    </row>
    <row r="5760" spans="7:14" ht="11.25" customHeight="1" x14ac:dyDescent="0.3">
      <c r="G5760" s="459"/>
      <c r="H5760" s="459">
        <v>5753</v>
      </c>
      <c r="I5760" s="444">
        <f t="shared" ca="1" si="195"/>
        <v>-8274392478046269</v>
      </c>
      <c r="J5760" s="444">
        <f t="array" ref="J5760">IFERROR(INDEX('Retirement Calculator'!K:K,MATCH('Lorri 401b'!N5760,'Retirement Calculator'!A:A,0),0),0)</f>
        <v>0</v>
      </c>
      <c r="K5760" s="444">
        <f t="shared" ca="1" si="193"/>
        <v>-34476635325192.785</v>
      </c>
      <c r="L5760" s="444">
        <f t="shared" ca="1" si="194"/>
        <v>-8308869113371462</v>
      </c>
      <c r="M5760" s="460">
        <f t="shared" si="196"/>
        <v>0.05</v>
      </c>
      <c r="N5760" s="464">
        <f t="shared" si="197"/>
        <v>226360</v>
      </c>
    </row>
    <row r="5761" spans="7:14" ht="11.25" customHeight="1" x14ac:dyDescent="0.3">
      <c r="G5761" s="459"/>
      <c r="H5761" s="459">
        <v>5754</v>
      </c>
      <c r="I5761" s="444">
        <f t="shared" ca="1" si="195"/>
        <v>-8308869113371462</v>
      </c>
      <c r="J5761" s="444">
        <f t="array" ref="J5761">IFERROR(INDEX('Retirement Calculator'!K:K,MATCH('Lorri 401b'!N5761,'Retirement Calculator'!A:A,0),0),0)</f>
        <v>0</v>
      </c>
      <c r="K5761" s="444">
        <f t="shared" ca="1" si="193"/>
        <v>-34620287972381.086</v>
      </c>
      <c r="L5761" s="444">
        <f t="shared" ca="1" si="194"/>
        <v>-8343489401343843</v>
      </c>
      <c r="M5761" s="460">
        <f t="shared" si="196"/>
        <v>0.05</v>
      </c>
      <c r="N5761" s="464">
        <f t="shared" si="197"/>
        <v>226391</v>
      </c>
    </row>
    <row r="5762" spans="7:14" ht="11.25" customHeight="1" x14ac:dyDescent="0.3">
      <c r="G5762" s="459"/>
      <c r="H5762" s="459">
        <v>5755</v>
      </c>
      <c r="I5762" s="444">
        <f t="shared" ca="1" si="195"/>
        <v>-8343489401343843</v>
      </c>
      <c r="J5762" s="444">
        <f t="array" ref="J5762">IFERROR(INDEX('Retirement Calculator'!K:K,MATCH('Lorri 401b'!N5762,'Retirement Calculator'!A:A,0),0),0)</f>
        <v>0</v>
      </c>
      <c r="K5762" s="444">
        <f t="shared" ca="1" si="193"/>
        <v>-34764539172266.016</v>
      </c>
      <c r="L5762" s="444">
        <f t="shared" ca="1" si="194"/>
        <v>-8378253940516109</v>
      </c>
      <c r="M5762" s="460">
        <f t="shared" si="196"/>
        <v>0.05</v>
      </c>
      <c r="N5762" s="464">
        <f t="shared" si="197"/>
        <v>226421</v>
      </c>
    </row>
    <row r="5763" spans="7:14" ht="11.25" customHeight="1" x14ac:dyDescent="0.3">
      <c r="G5763" s="459"/>
      <c r="H5763" s="459">
        <v>5756</v>
      </c>
      <c r="I5763" s="444">
        <f t="shared" ca="1" si="195"/>
        <v>-8378253940516109</v>
      </c>
      <c r="J5763" s="444">
        <f t="array" ref="J5763">IFERROR(INDEX('Retirement Calculator'!K:K,MATCH('Lorri 401b'!N5763,'Retirement Calculator'!A:A,0),0),0)</f>
        <v>0</v>
      </c>
      <c r="K5763" s="444">
        <f t="shared" ca="1" si="193"/>
        <v>-34909391418817.121</v>
      </c>
      <c r="L5763" s="444">
        <f t="shared" ca="1" si="194"/>
        <v>-8413163331934926</v>
      </c>
      <c r="M5763" s="460">
        <f t="shared" si="196"/>
        <v>0.05</v>
      </c>
      <c r="N5763" s="464">
        <f t="shared" si="197"/>
        <v>226452</v>
      </c>
    </row>
    <row r="5764" spans="7:14" ht="11.25" customHeight="1" x14ac:dyDescent="0.3">
      <c r="G5764" s="459"/>
      <c r="H5764" s="459">
        <v>5757</v>
      </c>
      <c r="I5764" s="444">
        <f t="shared" ca="1" si="195"/>
        <v>-8413163331934926</v>
      </c>
      <c r="J5764" s="444">
        <f t="array" ref="J5764">IFERROR(INDEX('Retirement Calculator'!K:K,MATCH('Lorri 401b'!N5764,'Retirement Calculator'!A:A,0),0),0)</f>
        <v>0</v>
      </c>
      <c r="K5764" s="444">
        <f t="shared" ca="1" si="193"/>
        <v>-35054847216395.527</v>
      </c>
      <c r="L5764" s="444">
        <f t="shared" ca="1" si="194"/>
        <v>-8448218179151322</v>
      </c>
      <c r="M5764" s="460">
        <f t="shared" si="196"/>
        <v>0.05</v>
      </c>
      <c r="N5764" s="464">
        <f t="shared" si="197"/>
        <v>226483</v>
      </c>
    </row>
    <row r="5765" spans="7:14" ht="11.25" customHeight="1" x14ac:dyDescent="0.3">
      <c r="G5765" s="459"/>
      <c r="H5765" s="459">
        <v>5758</v>
      </c>
      <c r="I5765" s="444">
        <f t="shared" ca="1" si="195"/>
        <v>-8448218179151322</v>
      </c>
      <c r="J5765" s="444">
        <f t="array" ref="J5765">IFERROR(INDEX('Retirement Calculator'!K:K,MATCH('Lorri 401b'!N5765,'Retirement Calculator'!A:A,0),0),0)</f>
        <v>0</v>
      </c>
      <c r="K5765" s="444">
        <f t="shared" ca="1" si="193"/>
        <v>-35200909079797.172</v>
      </c>
      <c r="L5765" s="444">
        <f t="shared" ca="1" si="194"/>
        <v>-8483419088231119</v>
      </c>
      <c r="M5765" s="460">
        <f t="shared" si="196"/>
        <v>0.05</v>
      </c>
      <c r="N5765" s="464">
        <f t="shared" si="197"/>
        <v>226512</v>
      </c>
    </row>
    <row r="5766" spans="7:14" ht="11.25" customHeight="1" x14ac:dyDescent="0.3">
      <c r="G5766" s="459"/>
      <c r="H5766" s="459">
        <v>5759</v>
      </c>
      <c r="I5766" s="444">
        <f t="shared" ca="1" si="195"/>
        <v>-8483419088231119</v>
      </c>
      <c r="J5766" s="444">
        <f t="array" ref="J5766">IFERROR(INDEX('Retirement Calculator'!K:K,MATCH('Lorri 401b'!N5766,'Retirement Calculator'!A:A,0),0),0)</f>
        <v>0</v>
      </c>
      <c r="K5766" s="444">
        <f t="shared" ca="1" si="193"/>
        <v>-35347579534296.336</v>
      </c>
      <c r="L5766" s="444">
        <f t="shared" ca="1" si="194"/>
        <v>-8518766667765415</v>
      </c>
      <c r="M5766" s="460">
        <f t="shared" si="196"/>
        <v>0.05</v>
      </c>
      <c r="N5766" s="464">
        <f t="shared" si="197"/>
        <v>226543</v>
      </c>
    </row>
    <row r="5767" spans="7:14" ht="11.25" customHeight="1" x14ac:dyDescent="0.3">
      <c r="G5767" s="459"/>
      <c r="H5767" s="459">
        <v>5760</v>
      </c>
      <c r="I5767" s="444">
        <f t="shared" ca="1" si="195"/>
        <v>-8518766667765415</v>
      </c>
      <c r="J5767" s="444">
        <f t="array" ref="J5767">IFERROR(INDEX('Retirement Calculator'!K:K,MATCH('Lorri 401b'!N5767,'Retirement Calculator'!A:A,0),0),0)</f>
        <v>0</v>
      </c>
      <c r="K5767" s="444">
        <f t="shared" ca="1" si="193"/>
        <v>-35494861115689.227</v>
      </c>
      <c r="L5767" s="444">
        <f t="shared" ca="1" si="194"/>
        <v>-8554261528881104</v>
      </c>
      <c r="M5767" s="460">
        <f t="shared" si="196"/>
        <v>0.05</v>
      </c>
      <c r="N5767" s="464">
        <f t="shared" si="197"/>
        <v>226573</v>
      </c>
    </row>
    <row r="5768" spans="7:14" ht="11.25" customHeight="1" x14ac:dyDescent="0.3">
      <c r="G5768" s="459"/>
      <c r="H5768" s="459">
        <v>5761</v>
      </c>
      <c r="I5768" s="444">
        <f t="shared" ca="1" si="195"/>
        <v>-8554261528881104</v>
      </c>
      <c r="J5768" s="444">
        <f t="array" ref="J5768">IFERROR(INDEX('Retirement Calculator'!K:K,MATCH('Lorri 401b'!N5768,'Retirement Calculator'!A:A,0),0),0)</f>
        <v>0</v>
      </c>
      <c r="K5768" s="444">
        <f t="shared" ca="1" si="193"/>
        <v>-35642756370337.93</v>
      </c>
      <c r="L5768" s="444">
        <f t="shared" ca="1" si="194"/>
        <v>-8589904285251442</v>
      </c>
      <c r="M5768" s="460">
        <f t="shared" si="196"/>
        <v>0.05</v>
      </c>
      <c r="N5768" s="464">
        <f t="shared" si="197"/>
        <v>226604</v>
      </c>
    </row>
    <row r="5769" spans="7:14" ht="11.25" customHeight="1" x14ac:dyDescent="0.3">
      <c r="G5769" s="459"/>
      <c r="H5769" s="459">
        <v>5762</v>
      </c>
      <c r="I5769" s="444">
        <f t="shared" ca="1" si="195"/>
        <v>-8589904285251442</v>
      </c>
      <c r="J5769" s="444">
        <f t="array" ref="J5769">IFERROR(INDEX('Retirement Calculator'!K:K,MATCH('Lorri 401b'!N5769,'Retirement Calculator'!A:A,0),0),0)</f>
        <v>0</v>
      </c>
      <c r="K5769" s="444">
        <f t="shared" ca="1" si="193"/>
        <v>-35791267855214.344</v>
      </c>
      <c r="L5769" s="444">
        <f t="shared" ca="1" si="194"/>
        <v>-8625695553106656</v>
      </c>
      <c r="M5769" s="460">
        <f t="shared" si="196"/>
        <v>0.05</v>
      </c>
      <c r="N5769" s="464">
        <f t="shared" si="197"/>
        <v>226634</v>
      </c>
    </row>
    <row r="5770" spans="7:14" ht="11.25" customHeight="1" x14ac:dyDescent="0.3">
      <c r="G5770" s="459"/>
      <c r="H5770" s="459">
        <v>5763</v>
      </c>
      <c r="I5770" s="444">
        <f t="shared" ca="1" si="195"/>
        <v>-8625695553106656</v>
      </c>
      <c r="J5770" s="444">
        <f t="array" ref="J5770">IFERROR(INDEX('Retirement Calculator'!K:K,MATCH('Lorri 401b'!N5770,'Retirement Calculator'!A:A,0),0),0)</f>
        <v>0</v>
      </c>
      <c r="K5770" s="444">
        <f t="shared" ca="1" si="193"/>
        <v>-35940398137944.406</v>
      </c>
      <c r="L5770" s="444">
        <f t="shared" ca="1" si="194"/>
        <v>-8661635951244600</v>
      </c>
      <c r="M5770" s="460">
        <f t="shared" si="196"/>
        <v>0.05</v>
      </c>
      <c r="N5770" s="464">
        <f t="shared" si="197"/>
        <v>226665</v>
      </c>
    </row>
    <row r="5771" spans="7:14" ht="11.25" customHeight="1" x14ac:dyDescent="0.3">
      <c r="G5771" s="459"/>
      <c r="H5771" s="459">
        <v>5764</v>
      </c>
      <c r="I5771" s="444">
        <f t="shared" ca="1" si="195"/>
        <v>-8661635951244600</v>
      </c>
      <c r="J5771" s="444">
        <f t="array" ref="J5771">IFERROR(INDEX('Retirement Calculator'!K:K,MATCH('Lorri 401b'!N5771,'Retirement Calculator'!A:A,0),0),0)</f>
        <v>0</v>
      </c>
      <c r="K5771" s="444">
        <f t="shared" ca="1" si="193"/>
        <v>-36090149796852.5</v>
      </c>
      <c r="L5771" s="444">
        <f t="shared" ca="1" si="194"/>
        <v>-8697726101041452</v>
      </c>
      <c r="M5771" s="460">
        <f t="shared" si="196"/>
        <v>0.05</v>
      </c>
      <c r="N5771" s="464">
        <f t="shared" si="197"/>
        <v>226696</v>
      </c>
    </row>
    <row r="5772" spans="7:14" ht="11.25" customHeight="1" x14ac:dyDescent="0.3">
      <c r="G5772" s="459"/>
      <c r="H5772" s="459">
        <v>5765</v>
      </c>
      <c r="I5772" s="444">
        <f t="shared" ca="1" si="195"/>
        <v>-8697726101041452</v>
      </c>
      <c r="J5772" s="444">
        <f t="array" ref="J5772">IFERROR(INDEX('Retirement Calculator'!K:K,MATCH('Lorri 401b'!N5772,'Retirement Calculator'!A:A,0),0),0)</f>
        <v>0</v>
      </c>
      <c r="K5772" s="444">
        <f t="shared" ca="1" si="193"/>
        <v>-36240525421006.047</v>
      </c>
      <c r="L5772" s="444">
        <f t="shared" ca="1" si="194"/>
        <v>-8733966626462458</v>
      </c>
      <c r="M5772" s="460">
        <f t="shared" si="196"/>
        <v>0.05</v>
      </c>
      <c r="N5772" s="464">
        <f t="shared" si="197"/>
        <v>226726</v>
      </c>
    </row>
    <row r="5773" spans="7:14" ht="11.25" customHeight="1" x14ac:dyDescent="0.3">
      <c r="G5773" s="459"/>
      <c r="H5773" s="459">
        <v>5766</v>
      </c>
      <c r="I5773" s="444">
        <f t="shared" ca="1" si="195"/>
        <v>-8733966626462458</v>
      </c>
      <c r="J5773" s="444">
        <f t="array" ref="J5773">IFERROR(INDEX('Retirement Calculator'!K:K,MATCH('Lorri 401b'!N5773,'Retirement Calculator'!A:A,0),0),0)</f>
        <v>0</v>
      </c>
      <c r="K5773" s="444">
        <f t="shared" ca="1" si="193"/>
        <v>-36391527610260.242</v>
      </c>
      <c r="L5773" s="444">
        <f t="shared" ca="1" si="194"/>
        <v>-8770358154072718</v>
      </c>
      <c r="M5773" s="460">
        <f t="shared" si="196"/>
        <v>0.05</v>
      </c>
      <c r="N5773" s="464">
        <f t="shared" si="197"/>
        <v>226757</v>
      </c>
    </row>
    <row r="5774" spans="7:14" ht="11.25" customHeight="1" x14ac:dyDescent="0.3">
      <c r="G5774" s="459"/>
      <c r="H5774" s="459">
        <v>5767</v>
      </c>
      <c r="I5774" s="444">
        <f t="shared" ca="1" si="195"/>
        <v>-8770358154072718</v>
      </c>
      <c r="J5774" s="444">
        <f t="array" ref="J5774">IFERROR(INDEX('Retirement Calculator'!K:K,MATCH('Lorri 401b'!N5774,'Retirement Calculator'!A:A,0),0),0)</f>
        <v>0</v>
      </c>
      <c r="K5774" s="444">
        <f t="shared" ca="1" si="193"/>
        <v>-36543158975302.992</v>
      </c>
      <c r="L5774" s="444">
        <f t="shared" ca="1" si="194"/>
        <v>-8806901313048021</v>
      </c>
      <c r="M5774" s="460">
        <f t="shared" si="196"/>
        <v>0.05</v>
      </c>
      <c r="N5774" s="464">
        <f t="shared" si="197"/>
        <v>226787</v>
      </c>
    </row>
    <row r="5775" spans="7:14" ht="11.25" customHeight="1" x14ac:dyDescent="0.3">
      <c r="G5775" s="459"/>
      <c r="H5775" s="459">
        <v>5768</v>
      </c>
      <c r="I5775" s="444">
        <f t="shared" ca="1" si="195"/>
        <v>-8806901313048021</v>
      </c>
      <c r="J5775" s="444">
        <f t="array" ref="J5775">IFERROR(INDEX('Retirement Calculator'!K:K,MATCH('Lorri 401b'!N5775,'Retirement Calculator'!A:A,0),0),0)</f>
        <v>0</v>
      </c>
      <c r="K5775" s="444">
        <f t="shared" ca="1" si="193"/>
        <v>-36695422137700.086</v>
      </c>
      <c r="L5775" s="444">
        <f t="shared" ca="1" si="194"/>
        <v>-8843596735185721</v>
      </c>
      <c r="M5775" s="460">
        <f t="shared" si="196"/>
        <v>0.05</v>
      </c>
      <c r="N5775" s="464">
        <f t="shared" si="197"/>
        <v>226818</v>
      </c>
    </row>
    <row r="5776" spans="7:14" ht="11.25" customHeight="1" x14ac:dyDescent="0.3">
      <c r="G5776" s="459"/>
      <c r="H5776" s="459">
        <v>5769</v>
      </c>
      <c r="I5776" s="444">
        <f t="shared" ca="1" si="195"/>
        <v>-8843596735185721</v>
      </c>
      <c r="J5776" s="444">
        <f t="array" ref="J5776">IFERROR(INDEX('Retirement Calculator'!K:K,MATCH('Lorri 401b'!N5776,'Retirement Calculator'!A:A,0),0),0)</f>
        <v>0</v>
      </c>
      <c r="K5776" s="444">
        <f t="shared" ca="1" si="193"/>
        <v>-36848319729940.5</v>
      </c>
      <c r="L5776" s="444">
        <f t="shared" ca="1" si="194"/>
        <v>-8880445054915662</v>
      </c>
      <c r="M5776" s="460">
        <f t="shared" si="196"/>
        <v>0.05</v>
      </c>
      <c r="N5776" s="464">
        <f t="shared" si="197"/>
        <v>226849</v>
      </c>
    </row>
    <row r="5777" spans="7:14" ht="11.25" customHeight="1" x14ac:dyDescent="0.3">
      <c r="G5777" s="459"/>
      <c r="H5777" s="459">
        <v>5770</v>
      </c>
      <c r="I5777" s="444">
        <f t="shared" ca="1" si="195"/>
        <v>-8880445054915662</v>
      </c>
      <c r="J5777" s="444">
        <f t="array" ref="J5777">IFERROR(INDEX('Retirement Calculator'!K:K,MATCH('Lorri 401b'!N5777,'Retirement Calculator'!A:A,0),0),0)</f>
        <v>0</v>
      </c>
      <c r="K5777" s="444">
        <f t="shared" ca="1" si="193"/>
        <v>-37001854395481.922</v>
      </c>
      <c r="L5777" s="444">
        <f t="shared" ca="1" si="194"/>
        <v>-8917446909311144</v>
      </c>
      <c r="M5777" s="460">
        <f t="shared" si="196"/>
        <v>0.05</v>
      </c>
      <c r="N5777" s="464">
        <f t="shared" si="197"/>
        <v>226877</v>
      </c>
    </row>
    <row r="5778" spans="7:14" ht="11.25" customHeight="1" x14ac:dyDescent="0.3">
      <c r="G5778" s="459"/>
      <c r="H5778" s="459">
        <v>5771</v>
      </c>
      <c r="I5778" s="444">
        <f t="shared" ca="1" si="195"/>
        <v>-8917446909311144</v>
      </c>
      <c r="J5778" s="444">
        <f t="array" ref="J5778">IFERROR(INDEX('Retirement Calculator'!K:K,MATCH('Lorri 401b'!N5778,'Retirement Calculator'!A:A,0),0),0)</f>
        <v>0</v>
      </c>
      <c r="K5778" s="444">
        <f t="shared" ca="1" si="193"/>
        <v>-37156028788796.43</v>
      </c>
      <c r="L5778" s="444">
        <f t="shared" ca="1" si="194"/>
        <v>-8954602938099940</v>
      </c>
      <c r="M5778" s="460">
        <f t="shared" si="196"/>
        <v>0.05</v>
      </c>
      <c r="N5778" s="464">
        <f t="shared" si="197"/>
        <v>226908</v>
      </c>
    </row>
    <row r="5779" spans="7:14" ht="11.25" customHeight="1" x14ac:dyDescent="0.3">
      <c r="G5779" s="459"/>
      <c r="H5779" s="459">
        <v>5772</v>
      </c>
      <c r="I5779" s="444">
        <f t="shared" ca="1" si="195"/>
        <v>-8954602938099940</v>
      </c>
      <c r="J5779" s="444">
        <f t="array" ref="J5779">IFERROR(INDEX('Retirement Calculator'!K:K,MATCH('Lorri 401b'!N5779,'Retirement Calculator'!A:A,0),0),0)</f>
        <v>0</v>
      </c>
      <c r="K5779" s="444">
        <f t="shared" ca="1" si="193"/>
        <v>-37310845575416.414</v>
      </c>
      <c r="L5779" s="444">
        <f t="shared" ca="1" si="194"/>
        <v>-8991913783675356</v>
      </c>
      <c r="M5779" s="460">
        <f t="shared" si="196"/>
        <v>0.05</v>
      </c>
      <c r="N5779" s="464">
        <f t="shared" si="197"/>
        <v>226938</v>
      </c>
    </row>
    <row r="5780" spans="7:14" ht="11.25" customHeight="1" x14ac:dyDescent="0.3">
      <c r="G5780" s="459"/>
      <c r="H5780" s="459">
        <v>5773</v>
      </c>
      <c r="I5780" s="444">
        <f t="shared" ca="1" si="195"/>
        <v>-8991913783675356</v>
      </c>
      <c r="J5780" s="444">
        <f t="array" ref="J5780">IFERROR(INDEX('Retirement Calculator'!K:K,MATCH('Lorri 401b'!N5780,'Retirement Calculator'!A:A,0),0),0)</f>
        <v>0</v>
      </c>
      <c r="K5780" s="444">
        <f t="shared" ca="1" si="193"/>
        <v>-37466307431980.648</v>
      </c>
      <c r="L5780" s="444">
        <f t="shared" ca="1" si="194"/>
        <v>-9029380091107336</v>
      </c>
      <c r="M5780" s="460">
        <f t="shared" si="196"/>
        <v>0.05</v>
      </c>
      <c r="N5780" s="464">
        <f t="shared" si="197"/>
        <v>226969</v>
      </c>
    </row>
    <row r="5781" spans="7:14" ht="11.25" customHeight="1" x14ac:dyDescent="0.3">
      <c r="G5781" s="459"/>
      <c r="H5781" s="459">
        <v>5774</v>
      </c>
      <c r="I5781" s="444">
        <f t="shared" ca="1" si="195"/>
        <v>-9029380091107336</v>
      </c>
      <c r="J5781" s="444">
        <f t="array" ref="J5781">IFERROR(INDEX('Retirement Calculator'!K:K,MATCH('Lorri 401b'!N5781,'Retirement Calculator'!A:A,0),0),0)</f>
        <v>0</v>
      </c>
      <c r="K5781" s="444">
        <f t="shared" ca="1" si="193"/>
        <v>-37622417046280.563</v>
      </c>
      <c r="L5781" s="444">
        <f t="shared" ca="1" si="194"/>
        <v>-9067002508153616</v>
      </c>
      <c r="M5781" s="460">
        <f t="shared" si="196"/>
        <v>0.05</v>
      </c>
      <c r="N5781" s="464">
        <f t="shared" si="197"/>
        <v>226999</v>
      </c>
    </row>
    <row r="5782" spans="7:14" ht="11.25" customHeight="1" x14ac:dyDescent="0.3">
      <c r="G5782" s="459"/>
      <c r="H5782" s="459">
        <v>5775</v>
      </c>
      <c r="I5782" s="444">
        <f t="shared" ca="1" si="195"/>
        <v>-9067002508153616</v>
      </c>
      <c r="J5782" s="444">
        <f t="array" ref="J5782">IFERROR(INDEX('Retirement Calculator'!K:K,MATCH('Lorri 401b'!N5782,'Retirement Calculator'!A:A,0),0),0)</f>
        <v>0</v>
      </c>
      <c r="K5782" s="444">
        <f t="shared" ca="1" si="193"/>
        <v>-37779177117306.734</v>
      </c>
      <c r="L5782" s="444">
        <f t="shared" ca="1" si="194"/>
        <v>-9104781685270922</v>
      </c>
      <c r="M5782" s="460">
        <f t="shared" si="196"/>
        <v>0.05</v>
      </c>
      <c r="N5782" s="464">
        <f t="shared" si="197"/>
        <v>227030</v>
      </c>
    </row>
    <row r="5783" spans="7:14" ht="11.25" customHeight="1" x14ac:dyDescent="0.3">
      <c r="G5783" s="459"/>
      <c r="H5783" s="459">
        <v>5776</v>
      </c>
      <c r="I5783" s="444">
        <f t="shared" ca="1" si="195"/>
        <v>-9104781685270922</v>
      </c>
      <c r="J5783" s="444">
        <f t="array" ref="J5783">IFERROR(INDEX('Retirement Calculator'!K:K,MATCH('Lorri 401b'!N5783,'Retirement Calculator'!A:A,0),0),0)</f>
        <v>0</v>
      </c>
      <c r="K5783" s="444">
        <f t="shared" ca="1" si="193"/>
        <v>-37936590355295.508</v>
      </c>
      <c r="L5783" s="444">
        <f t="shared" ca="1" si="194"/>
        <v>-9142718275626218</v>
      </c>
      <c r="M5783" s="460">
        <f t="shared" si="196"/>
        <v>0.05</v>
      </c>
      <c r="N5783" s="464">
        <f t="shared" si="197"/>
        <v>227061</v>
      </c>
    </row>
    <row r="5784" spans="7:14" ht="11.25" customHeight="1" x14ac:dyDescent="0.3">
      <c r="G5784" s="459"/>
      <c r="H5784" s="459">
        <v>5777</v>
      </c>
      <c r="I5784" s="444">
        <f t="shared" ca="1" si="195"/>
        <v>-9142718275626218</v>
      </c>
      <c r="J5784" s="444">
        <f t="array" ref="J5784">IFERROR(INDEX('Retirement Calculator'!K:K,MATCH('Lorri 401b'!N5784,'Retirement Calculator'!A:A,0),0),0)</f>
        <v>0</v>
      </c>
      <c r="K5784" s="444">
        <f t="shared" ca="1" si="193"/>
        <v>-38094659481775.906</v>
      </c>
      <c r="L5784" s="444">
        <f t="shared" ca="1" si="194"/>
        <v>-9180812935107994</v>
      </c>
      <c r="M5784" s="460">
        <f t="shared" si="196"/>
        <v>0.05</v>
      </c>
      <c r="N5784" s="464">
        <f t="shared" si="197"/>
        <v>227091</v>
      </c>
    </row>
    <row r="5785" spans="7:14" ht="11.25" customHeight="1" x14ac:dyDescent="0.3">
      <c r="G5785" s="459"/>
      <c r="H5785" s="459">
        <v>5778</v>
      </c>
      <c r="I5785" s="444">
        <f t="shared" ca="1" si="195"/>
        <v>-9180812935107994</v>
      </c>
      <c r="J5785" s="444">
        <f t="array" ref="J5785">IFERROR(INDEX('Retirement Calculator'!K:K,MATCH('Lorri 401b'!N5785,'Retirement Calculator'!A:A,0),0),0)</f>
        <v>0</v>
      </c>
      <c r="K5785" s="444">
        <f t="shared" ca="1" si="193"/>
        <v>-38253387229616.641</v>
      </c>
      <c r="L5785" s="444">
        <f t="shared" ca="1" si="194"/>
        <v>-9219066322337610</v>
      </c>
      <c r="M5785" s="460">
        <f t="shared" si="196"/>
        <v>0.05</v>
      </c>
      <c r="N5785" s="464">
        <f t="shared" si="197"/>
        <v>227122</v>
      </c>
    </row>
    <row r="5786" spans="7:14" ht="11.25" customHeight="1" x14ac:dyDescent="0.3">
      <c r="G5786" s="459"/>
      <c r="H5786" s="459">
        <v>5779</v>
      </c>
      <c r="I5786" s="444">
        <f t="shared" ca="1" si="195"/>
        <v>-9219066322337610</v>
      </c>
      <c r="J5786" s="444">
        <f t="array" ref="J5786">IFERROR(INDEX('Retirement Calculator'!K:K,MATCH('Lorri 401b'!N5786,'Retirement Calculator'!A:A,0),0),0)</f>
        <v>0</v>
      </c>
      <c r="K5786" s="444">
        <f t="shared" ca="1" si="193"/>
        <v>-38412776343073.375</v>
      </c>
      <c r="L5786" s="444">
        <f t="shared" ca="1" si="194"/>
        <v>-9257479098680684</v>
      </c>
      <c r="M5786" s="460">
        <f t="shared" si="196"/>
        <v>0.05</v>
      </c>
      <c r="N5786" s="464">
        <f t="shared" si="197"/>
        <v>227152</v>
      </c>
    </row>
    <row r="5787" spans="7:14" ht="11.25" customHeight="1" x14ac:dyDescent="0.3">
      <c r="G5787" s="459"/>
      <c r="H5787" s="459">
        <v>5780</v>
      </c>
      <c r="I5787" s="444">
        <f t="shared" ca="1" si="195"/>
        <v>-9257479098680684</v>
      </c>
      <c r="J5787" s="444">
        <f t="array" ref="J5787">IFERROR(INDEX('Retirement Calculator'!K:K,MATCH('Lorri 401b'!N5787,'Retirement Calculator'!A:A,0),0),0)</f>
        <v>0</v>
      </c>
      <c r="K5787" s="444">
        <f t="shared" ca="1" si="193"/>
        <v>-38572829577836.18</v>
      </c>
      <c r="L5787" s="444">
        <f t="shared" ca="1" si="194"/>
        <v>-9296051928258520</v>
      </c>
      <c r="M5787" s="460">
        <f t="shared" si="196"/>
        <v>0.05</v>
      </c>
      <c r="N5787" s="464">
        <f t="shared" si="197"/>
        <v>227183</v>
      </c>
    </row>
    <row r="5788" spans="7:14" ht="11.25" customHeight="1" x14ac:dyDescent="0.3">
      <c r="G5788" s="459"/>
      <c r="H5788" s="459">
        <v>5781</v>
      </c>
      <c r="I5788" s="444">
        <f t="shared" ca="1" si="195"/>
        <v>-9296051928258520</v>
      </c>
      <c r="J5788" s="444">
        <f t="array" ref="J5788">IFERROR(INDEX('Retirement Calculator'!K:K,MATCH('Lorri 401b'!N5788,'Retirement Calculator'!A:A,0),0),0)</f>
        <v>0</v>
      </c>
      <c r="K5788" s="444">
        <f t="shared" ca="1" si="193"/>
        <v>-38733549701077.164</v>
      </c>
      <c r="L5788" s="444">
        <f t="shared" ca="1" si="194"/>
        <v>-9334785477959598</v>
      </c>
      <c r="M5788" s="460">
        <f t="shared" si="196"/>
        <v>0.05</v>
      </c>
      <c r="N5788" s="464">
        <f t="shared" si="197"/>
        <v>227214</v>
      </c>
    </row>
    <row r="5789" spans="7:14" ht="11.25" customHeight="1" x14ac:dyDescent="0.3">
      <c r="G5789" s="459"/>
      <c r="H5789" s="459">
        <v>5782</v>
      </c>
      <c r="I5789" s="444">
        <f t="shared" ca="1" si="195"/>
        <v>-9334785477959598</v>
      </c>
      <c r="J5789" s="444">
        <f t="array" ref="J5789">IFERROR(INDEX('Retirement Calculator'!K:K,MATCH('Lorri 401b'!N5789,'Retirement Calculator'!A:A,0),0),0)</f>
        <v>0</v>
      </c>
      <c r="K5789" s="444">
        <f t="shared" ca="1" si="193"/>
        <v>-38894939491498.328</v>
      </c>
      <c r="L5789" s="444">
        <f t="shared" ca="1" si="194"/>
        <v>-9373680417451096</v>
      </c>
      <c r="M5789" s="460">
        <f t="shared" si="196"/>
        <v>0.05</v>
      </c>
      <c r="N5789" s="464">
        <f t="shared" si="197"/>
        <v>227242</v>
      </c>
    </row>
    <row r="5790" spans="7:14" ht="11.25" customHeight="1" x14ac:dyDescent="0.3">
      <c r="G5790" s="459"/>
      <c r="H5790" s="459">
        <v>5783</v>
      </c>
      <c r="I5790" s="444">
        <f t="shared" ca="1" si="195"/>
        <v>-9373680417451096</v>
      </c>
      <c r="J5790" s="444">
        <f t="array" ref="J5790">IFERROR(INDEX('Retirement Calculator'!K:K,MATCH('Lorri 401b'!N5790,'Retirement Calculator'!A:A,0),0),0)</f>
        <v>0</v>
      </c>
      <c r="K5790" s="444">
        <f t="shared" ca="1" si="193"/>
        <v>-39057001739379.563</v>
      </c>
      <c r="L5790" s="444">
        <f t="shared" ca="1" si="194"/>
        <v>-9412737419190476</v>
      </c>
      <c r="M5790" s="460">
        <f t="shared" si="196"/>
        <v>0.05</v>
      </c>
      <c r="N5790" s="464">
        <f t="shared" si="197"/>
        <v>227273</v>
      </c>
    </row>
    <row r="5791" spans="7:14" ht="11.25" customHeight="1" x14ac:dyDescent="0.3">
      <c r="G5791" s="459"/>
      <c r="H5791" s="459">
        <v>5784</v>
      </c>
      <c r="I5791" s="444">
        <f t="shared" ca="1" si="195"/>
        <v>-9412737419190476</v>
      </c>
      <c r="J5791" s="444">
        <f t="array" ref="J5791">IFERROR(INDEX('Retirement Calculator'!K:K,MATCH('Lorri 401b'!N5791,'Retirement Calculator'!A:A,0),0),0)</f>
        <v>0</v>
      </c>
      <c r="K5791" s="444">
        <f t="shared" ca="1" si="193"/>
        <v>-39219739246626.984</v>
      </c>
      <c r="L5791" s="444">
        <f t="shared" ca="1" si="194"/>
        <v>-9451957158437102</v>
      </c>
      <c r="M5791" s="460">
        <f t="shared" si="196"/>
        <v>0.05</v>
      </c>
      <c r="N5791" s="464">
        <f t="shared" si="197"/>
        <v>227303</v>
      </c>
    </row>
    <row r="5792" spans="7:14" ht="11.25" customHeight="1" x14ac:dyDescent="0.3">
      <c r="G5792" s="459"/>
      <c r="H5792" s="459">
        <v>5785</v>
      </c>
      <c r="I5792" s="444">
        <f t="shared" ca="1" si="195"/>
        <v>-9451957158437102</v>
      </c>
      <c r="J5792" s="444">
        <f t="array" ref="J5792">IFERROR(INDEX('Retirement Calculator'!K:K,MATCH('Lorri 401b'!N5792,'Retirement Calculator'!A:A,0),0),0)</f>
        <v>0</v>
      </c>
      <c r="K5792" s="444">
        <f t="shared" ca="1" si="193"/>
        <v>-39383154826821.258</v>
      </c>
      <c r="L5792" s="444">
        <f t="shared" ca="1" si="194"/>
        <v>-9491340313263924</v>
      </c>
      <c r="M5792" s="460">
        <f t="shared" si="196"/>
        <v>0.05</v>
      </c>
      <c r="N5792" s="464">
        <f t="shared" si="197"/>
        <v>227334</v>
      </c>
    </row>
    <row r="5793" spans="7:14" ht="11.25" customHeight="1" x14ac:dyDescent="0.3">
      <c r="G5793" s="459"/>
      <c r="H5793" s="459">
        <v>5786</v>
      </c>
      <c r="I5793" s="444">
        <f t="shared" ca="1" si="195"/>
        <v>-9491340313263924</v>
      </c>
      <c r="J5793" s="444">
        <f t="array" ref="J5793">IFERROR(INDEX('Retirement Calculator'!K:K,MATCH('Lorri 401b'!N5793,'Retirement Calculator'!A:A,0),0),0)</f>
        <v>0</v>
      </c>
      <c r="K5793" s="444">
        <f t="shared" ca="1" si="193"/>
        <v>-39547251305266.352</v>
      </c>
      <c r="L5793" s="444">
        <f t="shared" ca="1" si="194"/>
        <v>-9530887564569190</v>
      </c>
      <c r="M5793" s="460">
        <f t="shared" si="196"/>
        <v>0.05</v>
      </c>
      <c r="N5793" s="464">
        <f t="shared" si="197"/>
        <v>227364</v>
      </c>
    </row>
    <row r="5794" spans="7:14" ht="11.25" customHeight="1" x14ac:dyDescent="0.3">
      <c r="G5794" s="459"/>
      <c r="H5794" s="459">
        <v>5787</v>
      </c>
      <c r="I5794" s="444">
        <f t="shared" ca="1" si="195"/>
        <v>-9530887564569190</v>
      </c>
      <c r="J5794" s="444">
        <f t="array" ref="J5794">IFERROR(INDEX('Retirement Calculator'!K:K,MATCH('Lorri 401b'!N5794,'Retirement Calculator'!A:A,0),0),0)</f>
        <v>0</v>
      </c>
      <c r="K5794" s="444">
        <f t="shared" ca="1" si="193"/>
        <v>-39712031519038.289</v>
      </c>
      <c r="L5794" s="444">
        <f t="shared" ca="1" si="194"/>
        <v>-9570599596088228</v>
      </c>
      <c r="M5794" s="460">
        <f t="shared" si="196"/>
        <v>0.05</v>
      </c>
      <c r="N5794" s="464">
        <f t="shared" si="197"/>
        <v>227395</v>
      </c>
    </row>
    <row r="5795" spans="7:14" ht="11.25" customHeight="1" x14ac:dyDescent="0.3">
      <c r="G5795" s="459"/>
      <c r="H5795" s="459">
        <v>5788</v>
      </c>
      <c r="I5795" s="444">
        <f t="shared" ca="1" si="195"/>
        <v>-9570599596088228</v>
      </c>
      <c r="J5795" s="444">
        <f t="array" ref="J5795">IFERROR(INDEX('Retirement Calculator'!K:K,MATCH('Lorri 401b'!N5795,'Retirement Calculator'!A:A,0),0),0)</f>
        <v>0</v>
      </c>
      <c r="K5795" s="444">
        <f t="shared" ca="1" si="193"/>
        <v>-39877498317034.281</v>
      </c>
      <c r="L5795" s="444">
        <f t="shared" ca="1" si="194"/>
        <v>-9610477094405262</v>
      </c>
      <c r="M5795" s="460">
        <f t="shared" si="196"/>
        <v>0.05</v>
      </c>
      <c r="N5795" s="464">
        <f t="shared" si="197"/>
        <v>227426</v>
      </c>
    </row>
    <row r="5796" spans="7:14" ht="11.25" customHeight="1" x14ac:dyDescent="0.3">
      <c r="G5796" s="459"/>
      <c r="H5796" s="459">
        <v>5789</v>
      </c>
      <c r="I5796" s="444">
        <f t="shared" ca="1" si="195"/>
        <v>-9610477094405262</v>
      </c>
      <c r="J5796" s="444">
        <f t="array" ref="J5796">IFERROR(INDEX('Retirement Calculator'!K:K,MATCH('Lorri 401b'!N5796,'Retirement Calculator'!A:A,0),0),0)</f>
        <v>0</v>
      </c>
      <c r="K5796" s="444">
        <f t="shared" ca="1" si="193"/>
        <v>-40043654560021.922</v>
      </c>
      <c r="L5796" s="444">
        <f t="shared" ca="1" si="194"/>
        <v>-9650520748965284</v>
      </c>
      <c r="M5796" s="460">
        <f t="shared" si="196"/>
        <v>0.05</v>
      </c>
      <c r="N5796" s="464">
        <f t="shared" si="197"/>
        <v>227456</v>
      </c>
    </row>
    <row r="5797" spans="7:14" ht="11.25" customHeight="1" x14ac:dyDescent="0.3">
      <c r="G5797" s="459"/>
      <c r="H5797" s="459">
        <v>5790</v>
      </c>
      <c r="I5797" s="444">
        <f t="shared" ca="1" si="195"/>
        <v>-9650520748965284</v>
      </c>
      <c r="J5797" s="444">
        <f t="array" ref="J5797">IFERROR(INDEX('Retirement Calculator'!K:K,MATCH('Lorri 401b'!N5797,'Retirement Calculator'!A:A,0),0),0)</f>
        <v>0</v>
      </c>
      <c r="K5797" s="444">
        <f t="shared" ca="1" si="193"/>
        <v>-40210503120688.68</v>
      </c>
      <c r="L5797" s="444">
        <f t="shared" ca="1" si="194"/>
        <v>-9690731252085972</v>
      </c>
      <c r="M5797" s="460">
        <f t="shared" si="196"/>
        <v>0.05</v>
      </c>
      <c r="N5797" s="464">
        <f t="shared" si="197"/>
        <v>227487</v>
      </c>
    </row>
    <row r="5798" spans="7:14" ht="11.25" customHeight="1" x14ac:dyDescent="0.3">
      <c r="G5798" s="459"/>
      <c r="H5798" s="459">
        <v>5791</v>
      </c>
      <c r="I5798" s="444">
        <f t="shared" ca="1" si="195"/>
        <v>-9690731252085972</v>
      </c>
      <c r="J5798" s="444">
        <f t="array" ref="J5798">IFERROR(INDEX('Retirement Calculator'!K:K,MATCH('Lorri 401b'!N5798,'Retirement Calculator'!A:A,0),0),0)</f>
        <v>0</v>
      </c>
      <c r="K5798" s="444">
        <f t="shared" ca="1" si="193"/>
        <v>-40378046883691.547</v>
      </c>
      <c r="L5798" s="444">
        <f t="shared" ca="1" si="194"/>
        <v>-9731109298969664</v>
      </c>
      <c r="M5798" s="460">
        <f t="shared" si="196"/>
        <v>0.05</v>
      </c>
      <c r="N5798" s="464">
        <f t="shared" si="197"/>
        <v>227517</v>
      </c>
    </row>
    <row r="5799" spans="7:14" ht="11.25" customHeight="1" x14ac:dyDescent="0.3">
      <c r="G5799" s="459"/>
      <c r="H5799" s="459">
        <v>5792</v>
      </c>
      <c r="I5799" s="444">
        <f t="shared" ca="1" si="195"/>
        <v>-9731109298969664</v>
      </c>
      <c r="J5799" s="444">
        <f t="array" ref="J5799">IFERROR(INDEX('Retirement Calculator'!K:K,MATCH('Lorri 401b'!N5799,'Retirement Calculator'!A:A,0),0),0)</f>
        <v>0</v>
      </c>
      <c r="K5799" s="444">
        <f t="shared" ca="1" si="193"/>
        <v>-40546288745706.93</v>
      </c>
      <c r="L5799" s="444">
        <f t="shared" ca="1" si="194"/>
        <v>-9771655587715370</v>
      </c>
      <c r="M5799" s="460">
        <f t="shared" si="196"/>
        <v>0.05</v>
      </c>
      <c r="N5799" s="464">
        <f t="shared" si="197"/>
        <v>227548</v>
      </c>
    </row>
    <row r="5800" spans="7:14" ht="11.25" customHeight="1" x14ac:dyDescent="0.3">
      <c r="G5800" s="459"/>
      <c r="H5800" s="459">
        <v>5793</v>
      </c>
      <c r="I5800" s="444">
        <f t="shared" ca="1" si="195"/>
        <v>-9771655587715370</v>
      </c>
      <c r="J5800" s="444">
        <f t="array" ref="J5800">IFERROR(INDEX('Retirement Calculator'!K:K,MATCH('Lorri 401b'!N5800,'Retirement Calculator'!A:A,0),0),0)</f>
        <v>0</v>
      </c>
      <c r="K5800" s="444">
        <f t="shared" ca="1" si="193"/>
        <v>-40715231615480.711</v>
      </c>
      <c r="L5800" s="444">
        <f t="shared" ca="1" si="194"/>
        <v>-9812370819330850</v>
      </c>
      <c r="M5800" s="460">
        <f t="shared" si="196"/>
        <v>0.05</v>
      </c>
      <c r="N5800" s="464">
        <f t="shared" si="197"/>
        <v>227579</v>
      </c>
    </row>
    <row r="5801" spans="7:14" ht="11.25" customHeight="1" x14ac:dyDescent="0.3">
      <c r="G5801" s="459"/>
      <c r="H5801" s="459">
        <v>5794</v>
      </c>
      <c r="I5801" s="444">
        <f t="shared" ca="1" si="195"/>
        <v>-9812370819330850</v>
      </c>
      <c r="J5801" s="444">
        <f t="array" ref="J5801">IFERROR(INDEX('Retirement Calculator'!K:K,MATCH('Lorri 401b'!N5801,'Retirement Calculator'!A:A,0),0),0)</f>
        <v>0</v>
      </c>
      <c r="K5801" s="444">
        <f t="shared" ca="1" si="193"/>
        <v>-40884878413878.539</v>
      </c>
      <c r="L5801" s="444">
        <f t="shared" ca="1" si="194"/>
        <v>-9853255697744728</v>
      </c>
      <c r="M5801" s="460">
        <f t="shared" si="196"/>
        <v>0.05</v>
      </c>
      <c r="N5801" s="464">
        <f t="shared" si="197"/>
        <v>227607</v>
      </c>
    </row>
    <row r="5802" spans="7:14" ht="11.25" customHeight="1" x14ac:dyDescent="0.3">
      <c r="G5802" s="459"/>
      <c r="H5802" s="459">
        <v>5795</v>
      </c>
      <c r="I5802" s="444">
        <f t="shared" ca="1" si="195"/>
        <v>-9853255697744728</v>
      </c>
      <c r="J5802" s="444">
        <f t="array" ref="J5802">IFERROR(INDEX('Retirement Calculator'!K:K,MATCH('Lorri 401b'!N5802,'Retirement Calculator'!A:A,0),0),0)</f>
        <v>0</v>
      </c>
      <c r="K5802" s="444">
        <f t="shared" ca="1" si="193"/>
        <v>-41055232073936.367</v>
      </c>
      <c r="L5802" s="444">
        <f t="shared" ca="1" si="194"/>
        <v>-9894310929818664</v>
      </c>
      <c r="M5802" s="460">
        <f t="shared" si="196"/>
        <v>0.05</v>
      </c>
      <c r="N5802" s="464">
        <f t="shared" si="197"/>
        <v>227638</v>
      </c>
    </row>
    <row r="5803" spans="7:14" ht="11.25" customHeight="1" x14ac:dyDescent="0.3">
      <c r="G5803" s="459"/>
      <c r="H5803" s="459">
        <v>5796</v>
      </c>
      <c r="I5803" s="444">
        <f t="shared" ca="1" si="195"/>
        <v>-9894310929818664</v>
      </c>
      <c r="J5803" s="444">
        <f t="array" ref="J5803">IFERROR(INDEX('Retirement Calculator'!K:K,MATCH('Lorri 401b'!N5803,'Retirement Calculator'!A:A,0),0),0)</f>
        <v>0</v>
      </c>
      <c r="K5803" s="444">
        <f t="shared" ca="1" si="193"/>
        <v>-41226295540911.102</v>
      </c>
      <c r="L5803" s="444">
        <f t="shared" ca="1" si="194"/>
        <v>-9935537225359576</v>
      </c>
      <c r="M5803" s="460">
        <f t="shared" si="196"/>
        <v>0.05</v>
      </c>
      <c r="N5803" s="464">
        <f t="shared" si="197"/>
        <v>227668</v>
      </c>
    </row>
    <row r="5804" spans="7:14" ht="11.25" customHeight="1" x14ac:dyDescent="0.3">
      <c r="G5804" s="459"/>
      <c r="H5804" s="459">
        <v>5797</v>
      </c>
      <c r="I5804" s="444">
        <f t="shared" ca="1" si="195"/>
        <v>-9935537225359576</v>
      </c>
      <c r="J5804" s="444">
        <f t="array" ref="J5804">IFERROR(INDEX('Retirement Calculator'!K:K,MATCH('Lorri 401b'!N5804,'Retirement Calculator'!A:A,0),0),0)</f>
        <v>0</v>
      </c>
      <c r="K5804" s="444">
        <f t="shared" ca="1" si="193"/>
        <v>-41398071772331.563</v>
      </c>
      <c r="L5804" s="444">
        <f t="shared" ca="1" si="194"/>
        <v>-9976935297131908</v>
      </c>
      <c r="M5804" s="460">
        <f t="shared" si="196"/>
        <v>0.05</v>
      </c>
      <c r="N5804" s="464">
        <f t="shared" si="197"/>
        <v>227699</v>
      </c>
    </row>
    <row r="5805" spans="7:14" ht="11.25" customHeight="1" x14ac:dyDescent="0.3">
      <c r="G5805" s="459"/>
      <c r="H5805" s="459">
        <v>5798</v>
      </c>
      <c r="I5805" s="444">
        <f t="shared" ca="1" si="195"/>
        <v>-9976935297131908</v>
      </c>
      <c r="J5805" s="444">
        <f t="array" ref="J5805">IFERROR(INDEX('Retirement Calculator'!K:K,MATCH('Lorri 401b'!N5805,'Retirement Calculator'!A:A,0),0),0)</f>
        <v>0</v>
      </c>
      <c r="K5805" s="444">
        <f t="shared" ca="1" si="193"/>
        <v>-41570563738049.617</v>
      </c>
      <c r="L5805" s="444">
        <f t="shared" ca="1" si="194"/>
        <v>-1.0018505860869958E+16</v>
      </c>
      <c r="M5805" s="460">
        <f t="shared" si="196"/>
        <v>0.05</v>
      </c>
      <c r="N5805" s="464">
        <f t="shared" si="197"/>
        <v>227729</v>
      </c>
    </row>
    <row r="5806" spans="7:14" ht="11.25" customHeight="1" x14ac:dyDescent="0.3">
      <c r="G5806" s="459"/>
      <c r="H5806" s="459">
        <v>5799</v>
      </c>
      <c r="I5806" s="444">
        <f t="shared" ca="1" si="195"/>
        <v>-1.0018505860869958E+16</v>
      </c>
      <c r="J5806" s="444">
        <f t="array" ref="J5806">IFERROR(INDEX('Retirement Calculator'!K:K,MATCH('Lorri 401b'!N5806,'Retirement Calculator'!A:A,0),0),0)</f>
        <v>0</v>
      </c>
      <c r="K5806" s="444">
        <f t="shared" ca="1" si="193"/>
        <v>-41743774420291.492</v>
      </c>
      <c r="L5806" s="444">
        <f t="shared" ca="1" si="194"/>
        <v>-1.006024963529025E+16</v>
      </c>
      <c r="M5806" s="460">
        <f t="shared" si="196"/>
        <v>0.05</v>
      </c>
      <c r="N5806" s="464">
        <f t="shared" si="197"/>
        <v>227760</v>
      </c>
    </row>
    <row r="5807" spans="7:14" ht="11.25" customHeight="1" x14ac:dyDescent="0.3">
      <c r="G5807" s="459"/>
      <c r="H5807" s="459">
        <v>5800</v>
      </c>
      <c r="I5807" s="444">
        <f t="shared" ca="1" si="195"/>
        <v>-1.006024963529025E+16</v>
      </c>
      <c r="J5807" s="444">
        <f t="array" ref="J5807">IFERROR(INDEX('Retirement Calculator'!K:K,MATCH('Lorri 401b'!N5807,'Retirement Calculator'!A:A,0),0),0)</f>
        <v>0</v>
      </c>
      <c r="K5807" s="444">
        <f t="shared" ca="1" si="193"/>
        <v>-41917706813709.375</v>
      </c>
      <c r="L5807" s="444">
        <f t="shared" ca="1" si="194"/>
        <v>-1.010216734210396E+16</v>
      </c>
      <c r="M5807" s="460">
        <f t="shared" si="196"/>
        <v>0.05</v>
      </c>
      <c r="N5807" s="464">
        <f t="shared" si="197"/>
        <v>227791</v>
      </c>
    </row>
    <row r="5808" spans="7:14" ht="11.25" customHeight="1" x14ac:dyDescent="0.3">
      <c r="G5808" s="459"/>
      <c r="H5808" s="459">
        <v>5801</v>
      </c>
      <c r="I5808" s="444">
        <f t="shared" ca="1" si="195"/>
        <v>-1.010216734210396E+16</v>
      </c>
      <c r="J5808" s="444">
        <f t="array" ref="J5808">IFERROR(INDEX('Retirement Calculator'!K:K,MATCH('Lorri 401b'!N5808,'Retirement Calculator'!A:A,0),0),0)</f>
        <v>0</v>
      </c>
      <c r="K5808" s="444">
        <f t="shared" ca="1" si="193"/>
        <v>-42092363925433.164</v>
      </c>
      <c r="L5808" s="444">
        <f t="shared" ca="1" si="194"/>
        <v>-1.0144259706029394E+16</v>
      </c>
      <c r="M5808" s="460">
        <f t="shared" si="196"/>
        <v>0.05</v>
      </c>
      <c r="N5808" s="464">
        <f t="shared" si="197"/>
        <v>227821</v>
      </c>
    </row>
    <row r="5809" spans="7:14" ht="11.25" customHeight="1" x14ac:dyDescent="0.3">
      <c r="G5809" s="459"/>
      <c r="H5809" s="459">
        <v>5802</v>
      </c>
      <c r="I5809" s="444">
        <f t="shared" ca="1" si="195"/>
        <v>-1.0144259706029394E+16</v>
      </c>
      <c r="J5809" s="444">
        <f t="array" ref="J5809">IFERROR(INDEX('Retirement Calculator'!K:K,MATCH('Lorri 401b'!N5809,'Retirement Calculator'!A:A,0),0),0)</f>
        <v>0</v>
      </c>
      <c r="K5809" s="444">
        <f t="shared" ca="1" si="193"/>
        <v>-42267748775122.477</v>
      </c>
      <c r="L5809" s="444">
        <f t="shared" ca="1" si="194"/>
        <v>-1.0186527454804516E+16</v>
      </c>
      <c r="M5809" s="460">
        <f t="shared" si="196"/>
        <v>0.05</v>
      </c>
      <c r="N5809" s="464">
        <f t="shared" si="197"/>
        <v>227852</v>
      </c>
    </row>
    <row r="5810" spans="7:14" ht="11.25" customHeight="1" x14ac:dyDescent="0.3">
      <c r="G5810" s="459"/>
      <c r="H5810" s="459">
        <v>5803</v>
      </c>
      <c r="I5810" s="444">
        <f t="shared" ca="1" si="195"/>
        <v>-1.0186527454804516E+16</v>
      </c>
      <c r="J5810" s="444">
        <f t="array" ref="J5810">IFERROR(INDEX('Retirement Calculator'!K:K,MATCH('Lorri 401b'!N5810,'Retirement Calculator'!A:A,0),0),0)</f>
        <v>0</v>
      </c>
      <c r="K5810" s="444">
        <f t="shared" ca="1" si="193"/>
        <v>-42443864395018.813</v>
      </c>
      <c r="L5810" s="444">
        <f t="shared" ca="1" si="194"/>
        <v>-1.0228971319199534E+16</v>
      </c>
      <c r="M5810" s="460">
        <f t="shared" si="196"/>
        <v>0.05</v>
      </c>
      <c r="N5810" s="464">
        <f t="shared" si="197"/>
        <v>227882</v>
      </c>
    </row>
    <row r="5811" spans="7:14" ht="11.25" customHeight="1" x14ac:dyDescent="0.3">
      <c r="G5811" s="459"/>
      <c r="H5811" s="459">
        <v>5804</v>
      </c>
      <c r="I5811" s="444">
        <f t="shared" ca="1" si="195"/>
        <v>-1.0228971319199534E+16</v>
      </c>
      <c r="J5811" s="444">
        <f t="array" ref="J5811">IFERROR(INDEX('Retirement Calculator'!K:K,MATCH('Lorri 401b'!N5811,'Retirement Calculator'!A:A,0),0),0)</f>
        <v>0</v>
      </c>
      <c r="K5811" s="444">
        <f t="shared" ca="1" si="193"/>
        <v>-42620713829998.055</v>
      </c>
      <c r="L5811" s="444">
        <f t="shared" ca="1" si="194"/>
        <v>-1.0271592033029532E+16</v>
      </c>
      <c r="M5811" s="460">
        <f t="shared" si="196"/>
        <v>0.05</v>
      </c>
      <c r="N5811" s="464">
        <f t="shared" si="197"/>
        <v>227913</v>
      </c>
    </row>
    <row r="5812" spans="7:14" ht="11.25" customHeight="1" x14ac:dyDescent="0.3">
      <c r="G5812" s="459"/>
      <c r="H5812" s="459">
        <v>5805</v>
      </c>
      <c r="I5812" s="444">
        <f t="shared" ca="1" si="195"/>
        <v>-1.0271592033029532E+16</v>
      </c>
      <c r="J5812" s="444">
        <f t="array" ref="J5812">IFERROR(INDEX('Retirement Calculator'!K:K,MATCH('Lorri 401b'!N5812,'Retirement Calculator'!A:A,0),0),0)</f>
        <v>0</v>
      </c>
      <c r="K5812" s="444">
        <f t="shared" ca="1" si="193"/>
        <v>-42798300137623.047</v>
      </c>
      <c r="L5812" s="444">
        <f t="shared" ca="1" si="194"/>
        <v>-1.0314390333167156E+16</v>
      </c>
      <c r="M5812" s="460">
        <f t="shared" si="196"/>
        <v>0.05</v>
      </c>
      <c r="N5812" s="464">
        <f t="shared" si="197"/>
        <v>227944</v>
      </c>
    </row>
    <row r="5813" spans="7:14" ht="11.25" customHeight="1" x14ac:dyDescent="0.3">
      <c r="G5813" s="459"/>
      <c r="H5813" s="459">
        <v>5806</v>
      </c>
      <c r="I5813" s="444">
        <f t="shared" ca="1" si="195"/>
        <v>-1.0314390333167156E+16</v>
      </c>
      <c r="J5813" s="444">
        <f t="array" ref="J5813">IFERROR(INDEX('Retirement Calculator'!K:K,MATCH('Lorri 401b'!N5813,'Retirement Calculator'!A:A,0),0),0)</f>
        <v>0</v>
      </c>
      <c r="K5813" s="444">
        <f t="shared" ca="1" si="193"/>
        <v>-42976626388196.484</v>
      </c>
      <c r="L5813" s="444">
        <f t="shared" ca="1" si="194"/>
        <v>-1.0357366959555352E+16</v>
      </c>
      <c r="M5813" s="460">
        <f t="shared" si="196"/>
        <v>0.05</v>
      </c>
      <c r="N5813" s="464">
        <f t="shared" si="197"/>
        <v>227973</v>
      </c>
    </row>
    <row r="5814" spans="7:14" ht="11.25" customHeight="1" x14ac:dyDescent="0.3">
      <c r="G5814" s="459"/>
      <c r="H5814" s="459">
        <v>5807</v>
      </c>
      <c r="I5814" s="444">
        <f t="shared" ca="1" si="195"/>
        <v>-1.0357366959555352E+16</v>
      </c>
      <c r="J5814" s="444">
        <f t="array" ref="J5814">IFERROR(INDEX('Retirement Calculator'!K:K,MATCH('Lorri 401b'!N5814,'Retirement Calculator'!A:A,0),0),0)</f>
        <v>0</v>
      </c>
      <c r="K5814" s="444">
        <f t="shared" ca="1" si="193"/>
        <v>-43155695664813.969</v>
      </c>
      <c r="L5814" s="444">
        <f t="shared" ca="1" si="194"/>
        <v>-1.0400522655220166E+16</v>
      </c>
      <c r="M5814" s="460">
        <f t="shared" si="196"/>
        <v>0.05</v>
      </c>
      <c r="N5814" s="464">
        <f t="shared" si="197"/>
        <v>228004</v>
      </c>
    </row>
    <row r="5815" spans="7:14" ht="11.25" customHeight="1" x14ac:dyDescent="0.3">
      <c r="G5815" s="459"/>
      <c r="H5815" s="459">
        <v>5808</v>
      </c>
      <c r="I5815" s="444">
        <f t="shared" ca="1" si="195"/>
        <v>-1.0400522655220166E+16</v>
      </c>
      <c r="J5815" s="444">
        <f t="array" ref="J5815">IFERROR(INDEX('Retirement Calculator'!K:K,MATCH('Lorri 401b'!N5815,'Retirement Calculator'!A:A,0),0),0)</f>
        <v>0</v>
      </c>
      <c r="K5815" s="444">
        <f t="shared" ca="1" si="193"/>
        <v>-43335511063417.359</v>
      </c>
      <c r="L5815" s="444">
        <f t="shared" ca="1" si="194"/>
        <v>-1.0443858166283584E+16</v>
      </c>
      <c r="M5815" s="460">
        <f t="shared" si="196"/>
        <v>0.05</v>
      </c>
      <c r="N5815" s="464">
        <f t="shared" si="197"/>
        <v>228034</v>
      </c>
    </row>
    <row r="5816" spans="7:14" ht="11.25" customHeight="1" x14ac:dyDescent="0.3">
      <c r="G5816" s="459"/>
      <c r="H5816" s="459">
        <v>5809</v>
      </c>
      <c r="I5816" s="444">
        <f t="shared" ca="1" si="195"/>
        <v>-1.0443858166283584E+16</v>
      </c>
      <c r="J5816" s="444">
        <f t="array" ref="J5816">IFERROR(INDEX('Retirement Calculator'!K:K,MATCH('Lorri 401b'!N5816,'Retirement Calculator'!A:A,0),0),0)</f>
        <v>0</v>
      </c>
      <c r="K5816" s="444">
        <f t="shared" ca="1" si="193"/>
        <v>-43516075692848.266</v>
      </c>
      <c r="L5816" s="444">
        <f t="shared" ca="1" si="194"/>
        <v>-1.0487374241976432E+16</v>
      </c>
      <c r="M5816" s="460">
        <f t="shared" si="196"/>
        <v>0.05</v>
      </c>
      <c r="N5816" s="464">
        <f t="shared" si="197"/>
        <v>228065</v>
      </c>
    </row>
    <row r="5817" spans="7:14" ht="11.25" customHeight="1" x14ac:dyDescent="0.3">
      <c r="G5817" s="459"/>
      <c r="H5817" s="459">
        <v>5810</v>
      </c>
      <c r="I5817" s="444">
        <f t="shared" ca="1" si="195"/>
        <v>-1.0487374241976432E+16</v>
      </c>
      <c r="J5817" s="444">
        <f t="array" ref="J5817">IFERROR(INDEX('Retirement Calculator'!K:K,MATCH('Lorri 401b'!N5817,'Retirement Calculator'!A:A,0),0),0)</f>
        <v>0</v>
      </c>
      <c r="K5817" s="444">
        <f t="shared" ca="1" si="193"/>
        <v>-43697392674901.797</v>
      </c>
      <c r="L5817" s="444">
        <f t="shared" ca="1" si="194"/>
        <v>-1.0531071634651334E+16</v>
      </c>
      <c r="M5817" s="460">
        <f t="shared" si="196"/>
        <v>0.05</v>
      </c>
      <c r="N5817" s="464">
        <f t="shared" si="197"/>
        <v>228095</v>
      </c>
    </row>
    <row r="5818" spans="7:14" ht="11.25" customHeight="1" x14ac:dyDescent="0.3">
      <c r="G5818" s="459"/>
      <c r="H5818" s="459">
        <v>5811</v>
      </c>
      <c r="I5818" s="444">
        <f t="shared" ca="1" si="195"/>
        <v>-1.0531071634651334E+16</v>
      </c>
      <c r="J5818" s="444">
        <f t="array" ref="J5818">IFERROR(INDEX('Retirement Calculator'!K:K,MATCH('Lorri 401b'!N5818,'Retirement Calculator'!A:A,0),0),0)</f>
        <v>0</v>
      </c>
      <c r="K5818" s="444">
        <f t="shared" ca="1" si="193"/>
        <v>-43879465144380.555</v>
      </c>
      <c r="L5818" s="444">
        <f t="shared" ca="1" si="194"/>
        <v>-1.0574951099795714E+16</v>
      </c>
      <c r="M5818" s="460">
        <f t="shared" si="196"/>
        <v>0.05</v>
      </c>
      <c r="N5818" s="464">
        <f t="shared" si="197"/>
        <v>228126</v>
      </c>
    </row>
    <row r="5819" spans="7:14" ht="11.25" customHeight="1" x14ac:dyDescent="0.3">
      <c r="G5819" s="459"/>
      <c r="H5819" s="459">
        <v>5812</v>
      </c>
      <c r="I5819" s="444">
        <f t="shared" ca="1" si="195"/>
        <v>-1.0574951099795714E+16</v>
      </c>
      <c r="J5819" s="444">
        <f t="array" ref="J5819">IFERROR(INDEX('Retirement Calculator'!K:K,MATCH('Lorri 401b'!N5819,'Retirement Calculator'!A:A,0),0),0)</f>
        <v>0</v>
      </c>
      <c r="K5819" s="444">
        <f t="shared" ca="1" si="193"/>
        <v>-44062296249148.805</v>
      </c>
      <c r="L5819" s="444">
        <f t="shared" ca="1" si="194"/>
        <v>-1.0619013396044862E+16</v>
      </c>
      <c r="M5819" s="460">
        <f t="shared" si="196"/>
        <v>0.05</v>
      </c>
      <c r="N5819" s="464">
        <f t="shared" si="197"/>
        <v>228157</v>
      </c>
    </row>
    <row r="5820" spans="7:14" ht="11.25" customHeight="1" x14ac:dyDescent="0.3">
      <c r="G5820" s="459"/>
      <c r="H5820" s="459">
        <v>5813</v>
      </c>
      <c r="I5820" s="444">
        <f t="shared" ca="1" si="195"/>
        <v>-1.0619013396044862E+16</v>
      </c>
      <c r="J5820" s="444">
        <f t="array" ref="J5820">IFERROR(INDEX('Retirement Calculator'!K:K,MATCH('Lorri 401b'!N5820,'Retirement Calculator'!A:A,0),0),0)</f>
        <v>0</v>
      </c>
      <c r="K5820" s="444">
        <f t="shared" ca="1" si="193"/>
        <v>-44245889150186.922</v>
      </c>
      <c r="L5820" s="444">
        <f t="shared" ca="1" si="194"/>
        <v>-1.0663259285195048E+16</v>
      </c>
      <c r="M5820" s="460">
        <f t="shared" si="196"/>
        <v>0.05</v>
      </c>
      <c r="N5820" s="464">
        <f t="shared" si="197"/>
        <v>228187</v>
      </c>
    </row>
    <row r="5821" spans="7:14" ht="11.25" customHeight="1" x14ac:dyDescent="0.3">
      <c r="G5821" s="459"/>
      <c r="H5821" s="459">
        <v>5814</v>
      </c>
      <c r="I5821" s="444">
        <f t="shared" ca="1" si="195"/>
        <v>-1.0663259285195048E+16</v>
      </c>
      <c r="J5821" s="444">
        <f t="array" ref="J5821">IFERROR(INDEX('Retirement Calculator'!K:K,MATCH('Lorri 401b'!N5821,'Retirement Calculator'!A:A,0),0),0)</f>
        <v>0</v>
      </c>
      <c r="K5821" s="444">
        <f t="shared" ca="1" si="193"/>
        <v>-44430247021646.031</v>
      </c>
      <c r="L5821" s="444">
        <f t="shared" ca="1" si="194"/>
        <v>-1.0707689532216694E+16</v>
      </c>
      <c r="M5821" s="460">
        <f t="shared" si="196"/>
        <v>0.05</v>
      </c>
      <c r="N5821" s="464">
        <f t="shared" si="197"/>
        <v>228218</v>
      </c>
    </row>
    <row r="5822" spans="7:14" ht="11.25" customHeight="1" x14ac:dyDescent="0.3">
      <c r="G5822" s="459"/>
      <c r="H5822" s="459">
        <v>5815</v>
      </c>
      <c r="I5822" s="444">
        <f t="shared" ca="1" si="195"/>
        <v>-1.0707689532216694E+16</v>
      </c>
      <c r="J5822" s="444">
        <f t="array" ref="J5822">IFERROR(INDEX('Retirement Calculator'!K:K,MATCH('Lorri 401b'!N5822,'Retirement Calculator'!A:A,0),0),0)</f>
        <v>0</v>
      </c>
      <c r="K5822" s="444">
        <f t="shared" ca="1" si="193"/>
        <v>-44615373050902.891</v>
      </c>
      <c r="L5822" s="444">
        <f t="shared" ca="1" si="194"/>
        <v>-1.0752304905267596E+16</v>
      </c>
      <c r="M5822" s="460">
        <f t="shared" si="196"/>
        <v>0.05</v>
      </c>
      <c r="N5822" s="464">
        <f t="shared" si="197"/>
        <v>228248</v>
      </c>
    </row>
    <row r="5823" spans="7:14" ht="11.25" customHeight="1" x14ac:dyDescent="0.3">
      <c r="G5823" s="459"/>
      <c r="H5823" s="459">
        <v>5816</v>
      </c>
      <c r="I5823" s="444">
        <f t="shared" ca="1" si="195"/>
        <v>-1.0752304905267596E+16</v>
      </c>
      <c r="J5823" s="444">
        <f t="array" ref="J5823">IFERROR(INDEX('Retirement Calculator'!K:K,MATCH('Lorri 401b'!N5823,'Retirement Calculator'!A:A,0),0),0)</f>
        <v>0</v>
      </c>
      <c r="K5823" s="444">
        <f t="shared" ca="1" si="193"/>
        <v>-44801270438614.984</v>
      </c>
      <c r="L5823" s="444">
        <f t="shared" ca="1" si="194"/>
        <v>-1.079710617570621E+16</v>
      </c>
      <c r="M5823" s="460">
        <f t="shared" si="196"/>
        <v>0.05</v>
      </c>
      <c r="N5823" s="464">
        <f t="shared" si="197"/>
        <v>228279</v>
      </c>
    </row>
    <row r="5824" spans="7:14" ht="11.25" customHeight="1" x14ac:dyDescent="0.3">
      <c r="G5824" s="459"/>
      <c r="H5824" s="459">
        <v>5817</v>
      </c>
      <c r="I5824" s="444">
        <f t="shared" ca="1" si="195"/>
        <v>-1.079710617570621E+16</v>
      </c>
      <c r="J5824" s="444">
        <f t="array" ref="J5824">IFERROR(INDEX('Retirement Calculator'!K:K,MATCH('Lorri 401b'!N5824,'Retirement Calculator'!A:A,0),0),0)</f>
        <v>0</v>
      </c>
      <c r="K5824" s="444">
        <f t="shared" ca="1" si="193"/>
        <v>-44987942398775.875</v>
      </c>
      <c r="L5824" s="444">
        <f t="shared" ca="1" si="194"/>
        <v>-1.0842094118104986E+16</v>
      </c>
      <c r="M5824" s="460">
        <f t="shared" si="196"/>
        <v>0.05</v>
      </c>
      <c r="N5824" s="464">
        <f t="shared" si="197"/>
        <v>228310</v>
      </c>
    </row>
    <row r="5825" spans="7:14" ht="11.25" customHeight="1" x14ac:dyDescent="0.3">
      <c r="G5825" s="459"/>
      <c r="H5825" s="459">
        <v>5818</v>
      </c>
      <c r="I5825" s="444">
        <f t="shared" ca="1" si="195"/>
        <v>-1.0842094118104986E+16</v>
      </c>
      <c r="J5825" s="444">
        <f t="array" ref="J5825">IFERROR(INDEX('Retirement Calculator'!K:K,MATCH('Lorri 401b'!N5825,'Retirement Calculator'!A:A,0),0),0)</f>
        <v>0</v>
      </c>
      <c r="K5825" s="444">
        <f t="shared" ca="1" si="193"/>
        <v>-45175392158770.773</v>
      </c>
      <c r="L5825" s="444">
        <f t="shared" ca="1" si="194"/>
        <v>-1.0887269510263756E+16</v>
      </c>
      <c r="M5825" s="460">
        <f t="shared" si="196"/>
        <v>0.05</v>
      </c>
      <c r="N5825" s="464">
        <f t="shared" si="197"/>
        <v>228338</v>
      </c>
    </row>
    <row r="5826" spans="7:14" ht="11.25" customHeight="1" x14ac:dyDescent="0.3">
      <c r="G5826" s="459"/>
      <c r="H5826" s="459">
        <v>5819</v>
      </c>
      <c r="I5826" s="444">
        <f t="shared" ca="1" si="195"/>
        <v>-1.0887269510263756E+16</v>
      </c>
      <c r="J5826" s="444">
        <f t="array" ref="J5826">IFERROR(INDEX('Retirement Calculator'!K:K,MATCH('Lorri 401b'!N5826,'Retirement Calculator'!A:A,0),0),0)</f>
        <v>0</v>
      </c>
      <c r="K5826" s="444">
        <f t="shared" ca="1" si="193"/>
        <v>-45363622959432.313</v>
      </c>
      <c r="L5826" s="444">
        <f t="shared" ca="1" si="194"/>
        <v>-1.0932633133223188E+16</v>
      </c>
      <c r="M5826" s="460">
        <f t="shared" si="196"/>
        <v>0.05</v>
      </c>
      <c r="N5826" s="464">
        <f t="shared" si="197"/>
        <v>228369</v>
      </c>
    </row>
    <row r="5827" spans="7:14" ht="11.25" customHeight="1" x14ac:dyDescent="0.3">
      <c r="G5827" s="459"/>
      <c r="H5827" s="459">
        <v>5820</v>
      </c>
      <c r="I5827" s="444">
        <f t="shared" ca="1" si="195"/>
        <v>-1.0932633133223188E+16</v>
      </c>
      <c r="J5827" s="444">
        <f t="array" ref="J5827">IFERROR(INDEX('Retirement Calculator'!K:K,MATCH('Lorri 401b'!N5827,'Retirement Calculator'!A:A,0),0),0)</f>
        <v>0</v>
      </c>
      <c r="K5827" s="444">
        <f t="shared" ca="1" si="193"/>
        <v>-45552638055096.617</v>
      </c>
      <c r="L5827" s="444">
        <f t="shared" ca="1" si="194"/>
        <v>-1.0978185771278284E+16</v>
      </c>
      <c r="M5827" s="460">
        <f t="shared" si="196"/>
        <v>0.05</v>
      </c>
      <c r="N5827" s="464">
        <f t="shared" si="197"/>
        <v>228399</v>
      </c>
    </row>
    <row r="5828" spans="7:14" ht="11.25" customHeight="1" x14ac:dyDescent="0.3">
      <c r="G5828" s="459"/>
      <c r="H5828" s="459">
        <v>5821</v>
      </c>
      <c r="I5828" s="444">
        <f t="shared" ca="1" si="195"/>
        <v>-1.0978185771278284E+16</v>
      </c>
      <c r="J5828" s="444">
        <f t="array" ref="J5828">IFERROR(INDEX('Retirement Calculator'!K:K,MATCH('Lorri 401b'!N5828,'Retirement Calculator'!A:A,0),0),0)</f>
        <v>0</v>
      </c>
      <c r="K5828" s="444">
        <f t="shared" ca="1" si="193"/>
        <v>-45742440713659.516</v>
      </c>
      <c r="L5828" s="444">
        <f t="shared" ca="1" si="194"/>
        <v>-1.1023928211991944E+16</v>
      </c>
      <c r="M5828" s="460">
        <f t="shared" si="196"/>
        <v>0.05</v>
      </c>
      <c r="N5828" s="464">
        <f t="shared" si="197"/>
        <v>228430</v>
      </c>
    </row>
    <row r="5829" spans="7:14" ht="11.25" customHeight="1" x14ac:dyDescent="0.3">
      <c r="G5829" s="459"/>
      <c r="H5829" s="459">
        <v>5822</v>
      </c>
      <c r="I5829" s="444">
        <f t="shared" ca="1" si="195"/>
        <v>-1.1023928211991944E+16</v>
      </c>
      <c r="J5829" s="444">
        <f t="array" ref="J5829">IFERROR(INDEX('Retirement Calculator'!K:K,MATCH('Lorri 401b'!N5829,'Retirement Calculator'!A:A,0),0),0)</f>
        <v>0</v>
      </c>
      <c r="K5829" s="444">
        <f t="shared" ca="1" si="193"/>
        <v>-45933034216633.102</v>
      </c>
      <c r="L5829" s="444">
        <f t="shared" ca="1" si="194"/>
        <v>-1.1069861246208578E+16</v>
      </c>
      <c r="M5829" s="460">
        <f t="shared" si="196"/>
        <v>0.05</v>
      </c>
      <c r="N5829" s="464">
        <f t="shared" si="197"/>
        <v>228460</v>
      </c>
    </row>
    <row r="5830" spans="7:14" ht="11.25" customHeight="1" x14ac:dyDescent="0.3">
      <c r="G5830" s="459"/>
      <c r="H5830" s="459">
        <v>5823</v>
      </c>
      <c r="I5830" s="444">
        <f t="shared" ca="1" si="195"/>
        <v>-1.1069861246208578E+16</v>
      </c>
      <c r="J5830" s="444">
        <f t="array" ref="J5830">IFERROR(INDEX('Retirement Calculator'!K:K,MATCH('Lorri 401b'!N5830,'Retirement Calculator'!A:A,0),0),0)</f>
        <v>0</v>
      </c>
      <c r="K5830" s="444">
        <f t="shared" ca="1" si="193"/>
        <v>-46124421859202.406</v>
      </c>
      <c r="L5830" s="444">
        <f t="shared" ca="1" si="194"/>
        <v>-1.111598566806778E+16</v>
      </c>
      <c r="M5830" s="460">
        <f t="shared" si="196"/>
        <v>0.05</v>
      </c>
      <c r="N5830" s="464">
        <f t="shared" si="197"/>
        <v>228491</v>
      </c>
    </row>
    <row r="5831" spans="7:14" ht="11.25" customHeight="1" x14ac:dyDescent="0.3">
      <c r="G5831" s="459"/>
      <c r="H5831" s="459">
        <v>5824</v>
      </c>
      <c r="I5831" s="444">
        <f t="shared" ca="1" si="195"/>
        <v>-1.111598566806778E+16</v>
      </c>
      <c r="J5831" s="444">
        <f t="array" ref="J5831">IFERROR(INDEX('Retirement Calculator'!K:K,MATCH('Lorri 401b'!N5831,'Retirement Calculator'!A:A,0),0),0)</f>
        <v>0</v>
      </c>
      <c r="K5831" s="444">
        <f t="shared" ca="1" si="193"/>
        <v>-46316606950282.414</v>
      </c>
      <c r="L5831" s="444">
        <f t="shared" ca="1" si="194"/>
        <v>-1.1162302275018062E+16</v>
      </c>
      <c r="M5831" s="460">
        <f t="shared" si="196"/>
        <v>0.05</v>
      </c>
      <c r="N5831" s="464">
        <f t="shared" si="197"/>
        <v>228522</v>
      </c>
    </row>
    <row r="5832" spans="7:14" ht="11.25" customHeight="1" x14ac:dyDescent="0.3">
      <c r="G5832" s="459"/>
      <c r="H5832" s="459">
        <v>5825</v>
      </c>
      <c r="I5832" s="444">
        <f t="shared" ca="1" si="195"/>
        <v>-1.1162302275018062E+16</v>
      </c>
      <c r="J5832" s="444">
        <f t="array" ref="J5832">IFERROR(INDEX('Retirement Calculator'!K:K,MATCH('Lorri 401b'!N5832,'Retirement Calculator'!A:A,0),0),0)</f>
        <v>0</v>
      </c>
      <c r="K5832" s="444">
        <f t="shared" ca="1" si="193"/>
        <v>-46509592812575.258</v>
      </c>
      <c r="L5832" s="444">
        <f t="shared" ca="1" si="194"/>
        <v>-1.1208811867830638E+16</v>
      </c>
      <c r="M5832" s="460">
        <f t="shared" si="196"/>
        <v>0.05</v>
      </c>
      <c r="N5832" s="464">
        <f t="shared" si="197"/>
        <v>228552</v>
      </c>
    </row>
    <row r="5833" spans="7:14" ht="11.25" customHeight="1" x14ac:dyDescent="0.3">
      <c r="G5833" s="459"/>
      <c r="H5833" s="459">
        <v>5826</v>
      </c>
      <c r="I5833" s="444">
        <f t="shared" ca="1" si="195"/>
        <v>-1.1208811867830638E+16</v>
      </c>
      <c r="J5833" s="444">
        <f t="array" ref="J5833">IFERROR(INDEX('Retirement Calculator'!K:K,MATCH('Lorri 401b'!N5833,'Retirement Calculator'!A:A,0),0),0)</f>
        <v>0</v>
      </c>
      <c r="K5833" s="444">
        <f t="shared" ca="1" si="193"/>
        <v>-46703382782627.656</v>
      </c>
      <c r="L5833" s="444">
        <f t="shared" ca="1" si="194"/>
        <v>-1.1255515250613266E+16</v>
      </c>
      <c r="M5833" s="460">
        <f t="shared" si="196"/>
        <v>0.05</v>
      </c>
      <c r="N5833" s="464">
        <f t="shared" si="197"/>
        <v>228583</v>
      </c>
    </row>
    <row r="5834" spans="7:14" ht="11.25" customHeight="1" x14ac:dyDescent="0.3">
      <c r="G5834" s="459"/>
      <c r="H5834" s="459">
        <v>5827</v>
      </c>
      <c r="I5834" s="444">
        <f t="shared" ca="1" si="195"/>
        <v>-1.1255515250613266E+16</v>
      </c>
      <c r="J5834" s="444">
        <f t="array" ref="J5834">IFERROR(INDEX('Retirement Calculator'!K:K,MATCH('Lorri 401b'!N5834,'Retirement Calculator'!A:A,0),0),0)</f>
        <v>0</v>
      </c>
      <c r="K5834" s="444">
        <f t="shared" ca="1" si="193"/>
        <v>-46897980210888.609</v>
      </c>
      <c r="L5834" s="444">
        <f t="shared" ca="1" si="194"/>
        <v>-1.1302413230824154E+16</v>
      </c>
      <c r="M5834" s="460">
        <f t="shared" si="196"/>
        <v>0.05</v>
      </c>
      <c r="N5834" s="464">
        <f t="shared" si="197"/>
        <v>228613</v>
      </c>
    </row>
    <row r="5835" spans="7:14" ht="11.25" customHeight="1" x14ac:dyDescent="0.3">
      <c r="G5835" s="459"/>
      <c r="H5835" s="459">
        <v>5828</v>
      </c>
      <c r="I5835" s="444">
        <f t="shared" ca="1" si="195"/>
        <v>-1.1302413230824154E+16</v>
      </c>
      <c r="J5835" s="444">
        <f t="array" ref="J5835">IFERROR(INDEX('Retirement Calculator'!K:K,MATCH('Lorri 401b'!N5835,'Retirement Calculator'!A:A,0),0),0)</f>
        <v>0</v>
      </c>
      <c r="K5835" s="444">
        <f t="shared" ca="1" si="193"/>
        <v>-47093388461767.305</v>
      </c>
      <c r="L5835" s="444">
        <f t="shared" ca="1" si="194"/>
        <v>-1.1349506619285922E+16</v>
      </c>
      <c r="M5835" s="460">
        <f t="shared" si="196"/>
        <v>0.05</v>
      </c>
      <c r="N5835" s="464">
        <f t="shared" si="197"/>
        <v>228644</v>
      </c>
    </row>
    <row r="5836" spans="7:14" ht="11.25" customHeight="1" x14ac:dyDescent="0.3">
      <c r="G5836" s="459"/>
      <c r="H5836" s="459">
        <v>5829</v>
      </c>
      <c r="I5836" s="444">
        <f t="shared" ca="1" si="195"/>
        <v>-1.1349506619285922E+16</v>
      </c>
      <c r="J5836" s="444">
        <f t="array" ref="J5836">IFERROR(INDEX('Retirement Calculator'!K:K,MATCH('Lorri 401b'!N5836,'Retirement Calculator'!A:A,0),0),0)</f>
        <v>0</v>
      </c>
      <c r="K5836" s="444">
        <f t="shared" ca="1" si="193"/>
        <v>-47289610913691.344</v>
      </c>
      <c r="L5836" s="444">
        <f t="shared" ca="1" si="194"/>
        <v>-1.1396796230199614E+16</v>
      </c>
      <c r="M5836" s="460">
        <f t="shared" si="196"/>
        <v>0.05</v>
      </c>
      <c r="N5836" s="464">
        <f t="shared" si="197"/>
        <v>228675</v>
      </c>
    </row>
    <row r="5837" spans="7:14" ht="11.25" customHeight="1" x14ac:dyDescent="0.3">
      <c r="G5837" s="459"/>
      <c r="H5837" s="459">
        <v>5830</v>
      </c>
      <c r="I5837" s="444">
        <f t="shared" ca="1" si="195"/>
        <v>-1.1396796230199614E+16</v>
      </c>
      <c r="J5837" s="444">
        <f t="array" ref="J5837">IFERROR(INDEX('Retirement Calculator'!K:K,MATCH('Lorri 401b'!N5837,'Retirement Calculator'!A:A,0),0),0)</f>
        <v>0</v>
      </c>
      <c r="K5837" s="444">
        <f t="shared" ca="1" si="193"/>
        <v>-47486650959165.055</v>
      </c>
      <c r="L5837" s="444">
        <f t="shared" ca="1" si="194"/>
        <v>-1.144428288115878E+16</v>
      </c>
      <c r="M5837" s="460">
        <f t="shared" si="196"/>
        <v>0.05</v>
      </c>
      <c r="N5837" s="464">
        <f t="shared" si="197"/>
        <v>228703</v>
      </c>
    </row>
    <row r="5838" spans="7:14" ht="11.25" customHeight="1" x14ac:dyDescent="0.3">
      <c r="G5838" s="459"/>
      <c r="H5838" s="459">
        <v>5831</v>
      </c>
      <c r="I5838" s="444">
        <f t="shared" ca="1" si="195"/>
        <v>-1.144428288115878E+16</v>
      </c>
      <c r="J5838" s="444">
        <f t="array" ref="J5838">IFERROR(INDEX('Retirement Calculator'!K:K,MATCH('Lorri 401b'!N5838,'Retirement Calculator'!A:A,0),0),0)</f>
        <v>0</v>
      </c>
      <c r="K5838" s="444">
        <f t="shared" ca="1" si="193"/>
        <v>-47684512004828.25</v>
      </c>
      <c r="L5838" s="444">
        <f t="shared" ca="1" si="194"/>
        <v>-1.1491967393163608E+16</v>
      </c>
      <c r="M5838" s="460">
        <f t="shared" si="196"/>
        <v>0.05</v>
      </c>
      <c r="N5838" s="464">
        <f t="shared" si="197"/>
        <v>228734</v>
      </c>
    </row>
    <row r="5839" spans="7:14" ht="11.25" customHeight="1" x14ac:dyDescent="0.3">
      <c r="G5839" s="459"/>
      <c r="H5839" s="459">
        <v>5832</v>
      </c>
      <c r="I5839" s="444">
        <f t="shared" ca="1" si="195"/>
        <v>-1.1491967393163608E+16</v>
      </c>
      <c r="J5839" s="444">
        <f t="array" ref="J5839">IFERROR(INDEX('Retirement Calculator'!K:K,MATCH('Lorri 401b'!N5839,'Retirement Calculator'!A:A,0),0),0)</f>
        <v>0</v>
      </c>
      <c r="K5839" s="444">
        <f t="shared" ca="1" si="193"/>
        <v>-47883197471515.031</v>
      </c>
      <c r="L5839" s="444">
        <f t="shared" ca="1" si="194"/>
        <v>-1.1539850590635124E+16</v>
      </c>
      <c r="M5839" s="460">
        <f t="shared" si="196"/>
        <v>0.05</v>
      </c>
      <c r="N5839" s="464">
        <f t="shared" si="197"/>
        <v>228764</v>
      </c>
    </row>
    <row r="5840" spans="7:14" ht="11.25" customHeight="1" x14ac:dyDescent="0.3">
      <c r="G5840" s="459"/>
      <c r="H5840" s="459">
        <v>5833</v>
      </c>
      <c r="I5840" s="444">
        <f t="shared" ca="1" si="195"/>
        <v>-1.1539850590635124E+16</v>
      </c>
      <c r="J5840" s="444">
        <f t="array" ref="J5840">IFERROR(INDEX('Retirement Calculator'!K:K,MATCH('Lorri 401b'!N5840,'Retirement Calculator'!A:A,0),0),0)</f>
        <v>0</v>
      </c>
      <c r="K5840" s="444">
        <f t="shared" ca="1" si="193"/>
        <v>-48082710794313.016</v>
      </c>
      <c r="L5840" s="444">
        <f t="shared" ca="1" si="194"/>
        <v>-1.1587933301429438E+16</v>
      </c>
      <c r="M5840" s="460">
        <f t="shared" si="196"/>
        <v>0.05</v>
      </c>
      <c r="N5840" s="464">
        <f t="shared" si="197"/>
        <v>228795</v>
      </c>
    </row>
    <row r="5841" spans="7:14" ht="11.25" customHeight="1" x14ac:dyDescent="0.3">
      <c r="G5841" s="459"/>
      <c r="H5841" s="459">
        <v>5834</v>
      </c>
      <c r="I5841" s="444">
        <f t="shared" ca="1" si="195"/>
        <v>-1.1587933301429438E+16</v>
      </c>
      <c r="J5841" s="444">
        <f t="array" ref="J5841">IFERROR(INDEX('Retirement Calculator'!K:K,MATCH('Lorri 401b'!N5841,'Retirement Calculator'!A:A,0),0),0)</f>
        <v>0</v>
      </c>
      <c r="K5841" s="444">
        <f t="shared" ca="1" si="193"/>
        <v>-48283055422622.656</v>
      </c>
      <c r="L5841" s="444">
        <f t="shared" ca="1" si="194"/>
        <v>-1.163621635685206E+16</v>
      </c>
      <c r="M5841" s="460">
        <f t="shared" si="196"/>
        <v>0.05</v>
      </c>
      <c r="N5841" s="464">
        <f t="shared" si="197"/>
        <v>228825</v>
      </c>
    </row>
    <row r="5842" spans="7:14" ht="11.25" customHeight="1" x14ac:dyDescent="0.3">
      <c r="G5842" s="459"/>
      <c r="H5842" s="459">
        <v>5835</v>
      </c>
      <c r="I5842" s="444">
        <f t="shared" ca="1" si="195"/>
        <v>-1.163621635685206E+16</v>
      </c>
      <c r="J5842" s="444">
        <f t="array" ref="J5842">IFERROR(INDEX('Retirement Calculator'!K:K,MATCH('Lorri 401b'!N5842,'Retirement Calculator'!A:A,0),0),0)</f>
        <v>0</v>
      </c>
      <c r="K5842" s="444">
        <f t="shared" ca="1" si="193"/>
        <v>-48484234820216.914</v>
      </c>
      <c r="L5842" s="444">
        <f t="shared" ca="1" si="194"/>
        <v>-1.1684700591672276E+16</v>
      </c>
      <c r="M5842" s="460">
        <f t="shared" si="196"/>
        <v>0.05</v>
      </c>
      <c r="N5842" s="464">
        <f t="shared" si="197"/>
        <v>228856</v>
      </c>
    </row>
    <row r="5843" spans="7:14" ht="11.25" customHeight="1" x14ac:dyDescent="0.3">
      <c r="G5843" s="459"/>
      <c r="H5843" s="459">
        <v>5836</v>
      </c>
      <c r="I5843" s="444">
        <f t="shared" ca="1" si="195"/>
        <v>-1.1684700591672276E+16</v>
      </c>
      <c r="J5843" s="444">
        <f t="array" ref="J5843">IFERROR(INDEX('Retirement Calculator'!K:K,MATCH('Lorri 401b'!N5843,'Retirement Calculator'!A:A,0),0),0)</f>
        <v>0</v>
      </c>
      <c r="K5843" s="444">
        <f t="shared" ca="1" si="193"/>
        <v>-48686252465301.148</v>
      </c>
      <c r="L5843" s="444">
        <f t="shared" ca="1" si="194"/>
        <v>-1.1733386844137578E+16</v>
      </c>
      <c r="M5843" s="460">
        <f t="shared" si="196"/>
        <v>0.05</v>
      </c>
      <c r="N5843" s="464">
        <f t="shared" si="197"/>
        <v>228887</v>
      </c>
    </row>
    <row r="5844" spans="7:14" ht="11.25" customHeight="1" x14ac:dyDescent="0.3">
      <c r="G5844" s="459"/>
      <c r="H5844" s="459">
        <v>5837</v>
      </c>
      <c r="I5844" s="444">
        <f t="shared" ca="1" si="195"/>
        <v>-1.1733386844137578E+16</v>
      </c>
      <c r="J5844" s="444">
        <f t="array" ref="J5844">IFERROR(INDEX('Retirement Calculator'!K:K,MATCH('Lorri 401b'!N5844,'Retirement Calculator'!A:A,0),0),0)</f>
        <v>0</v>
      </c>
      <c r="K5844" s="444">
        <f t="shared" ca="1" si="193"/>
        <v>-48889111850573.242</v>
      </c>
      <c r="L5844" s="444">
        <f t="shared" ca="1" si="194"/>
        <v>-1.1782275955988152E+16</v>
      </c>
      <c r="M5844" s="460">
        <f t="shared" si="196"/>
        <v>0.05</v>
      </c>
      <c r="N5844" s="464">
        <f t="shared" si="197"/>
        <v>228917</v>
      </c>
    </row>
    <row r="5845" spans="7:14" ht="11.25" customHeight="1" x14ac:dyDescent="0.3">
      <c r="G5845" s="459"/>
      <c r="H5845" s="459">
        <v>5838</v>
      </c>
      <c r="I5845" s="444">
        <f t="shared" ca="1" si="195"/>
        <v>-1.1782275955988152E+16</v>
      </c>
      <c r="J5845" s="444">
        <f t="array" ref="J5845">IFERROR(INDEX('Retirement Calculator'!K:K,MATCH('Lorri 401b'!N5845,'Retirement Calculator'!A:A,0),0),0)</f>
        <v>0</v>
      </c>
      <c r="K5845" s="444">
        <f t="shared" ca="1" si="193"/>
        <v>-49092816483283.969</v>
      </c>
      <c r="L5845" s="444">
        <f t="shared" ca="1" si="194"/>
        <v>-1.1831368772471436E+16</v>
      </c>
      <c r="M5845" s="460">
        <f t="shared" si="196"/>
        <v>0.05</v>
      </c>
      <c r="N5845" s="464">
        <f t="shared" si="197"/>
        <v>228948</v>
      </c>
    </row>
    <row r="5846" spans="7:14" ht="11.25" customHeight="1" x14ac:dyDescent="0.3">
      <c r="G5846" s="459"/>
      <c r="H5846" s="459">
        <v>5839</v>
      </c>
      <c r="I5846" s="444">
        <f t="shared" ca="1" si="195"/>
        <v>-1.1831368772471436E+16</v>
      </c>
      <c r="J5846" s="444">
        <f t="array" ref="J5846">IFERROR(INDEX('Retirement Calculator'!K:K,MATCH('Lorri 401b'!N5846,'Retirement Calculator'!A:A,0),0),0)</f>
        <v>0</v>
      </c>
      <c r="K5846" s="444">
        <f t="shared" ca="1" si="193"/>
        <v>-49297369885297.648</v>
      </c>
      <c r="L5846" s="444">
        <f t="shared" ca="1" si="194"/>
        <v>-1.1880666142356734E+16</v>
      </c>
      <c r="M5846" s="460">
        <f t="shared" si="196"/>
        <v>0.05</v>
      </c>
      <c r="N5846" s="464">
        <f t="shared" si="197"/>
        <v>228978</v>
      </c>
    </row>
    <row r="5847" spans="7:14" ht="11.25" customHeight="1" x14ac:dyDescent="0.3">
      <c r="G5847" s="459"/>
      <c r="H5847" s="459">
        <v>5840</v>
      </c>
      <c r="I5847" s="444">
        <f t="shared" ca="1" si="195"/>
        <v>-1.1880666142356734E+16</v>
      </c>
      <c r="J5847" s="444">
        <f t="array" ref="J5847">IFERROR(INDEX('Retirement Calculator'!K:K,MATCH('Lorri 401b'!N5847,'Retirement Calculator'!A:A,0),0),0)</f>
        <v>0</v>
      </c>
      <c r="K5847" s="444">
        <f t="shared" ca="1" si="193"/>
        <v>-49502775593153.055</v>
      </c>
      <c r="L5847" s="444">
        <f t="shared" ca="1" si="194"/>
        <v>-1.1930168917949888E+16</v>
      </c>
      <c r="M5847" s="460">
        <f t="shared" si="196"/>
        <v>0.05</v>
      </c>
      <c r="N5847" s="464">
        <f t="shared" si="197"/>
        <v>229009</v>
      </c>
    </row>
    <row r="5848" spans="7:14" ht="11.25" customHeight="1" x14ac:dyDescent="0.3">
      <c r="G5848" s="459"/>
      <c r="H5848" s="459">
        <v>5841</v>
      </c>
      <c r="I5848" s="444">
        <f t="shared" ca="1" si="195"/>
        <v>-1.1930168917949888E+16</v>
      </c>
      <c r="J5848" s="444">
        <f t="array" ref="J5848">IFERROR(INDEX('Retirement Calculator'!K:K,MATCH('Lorri 401b'!N5848,'Retirement Calculator'!A:A,0),0),0)</f>
        <v>0</v>
      </c>
      <c r="K5848" s="444">
        <f t="shared" ca="1" si="193"/>
        <v>-49709037158124.531</v>
      </c>
      <c r="L5848" s="444">
        <f t="shared" ca="1" si="194"/>
        <v>-1.1979877955108012E+16</v>
      </c>
      <c r="M5848" s="460">
        <f t="shared" si="196"/>
        <v>0.05</v>
      </c>
      <c r="N5848" s="464">
        <f t="shared" si="197"/>
        <v>229040</v>
      </c>
    </row>
    <row r="5849" spans="7:14" ht="11.25" customHeight="1" x14ac:dyDescent="0.3">
      <c r="G5849" s="459"/>
      <c r="H5849" s="459">
        <v>5842</v>
      </c>
      <c r="I5849" s="444">
        <f t="shared" ca="1" si="195"/>
        <v>-1.1979877955108012E+16</v>
      </c>
      <c r="J5849" s="444">
        <f t="array" ref="J5849">IFERROR(INDEX('Retirement Calculator'!K:K,MATCH('Lorri 401b'!N5849,'Retirement Calculator'!A:A,0),0),0)</f>
        <v>0</v>
      </c>
      <c r="K5849" s="444">
        <f t="shared" ca="1" si="193"/>
        <v>-49916158146283.383</v>
      </c>
      <c r="L5849" s="444">
        <f t="shared" ca="1" si="194"/>
        <v>-1.2029794113254296E+16</v>
      </c>
      <c r="M5849" s="460">
        <f t="shared" si="196"/>
        <v>0.05</v>
      </c>
      <c r="N5849" s="464">
        <f t="shared" si="197"/>
        <v>229068</v>
      </c>
    </row>
    <row r="5850" spans="7:14" ht="11.25" customHeight="1" x14ac:dyDescent="0.3">
      <c r="G5850" s="459"/>
      <c r="H5850" s="459">
        <v>5843</v>
      </c>
      <c r="I5850" s="444">
        <f t="shared" ca="1" si="195"/>
        <v>-1.2029794113254296E+16</v>
      </c>
      <c r="J5850" s="444">
        <f t="array" ref="J5850">IFERROR(INDEX('Retirement Calculator'!K:K,MATCH('Lorri 401b'!N5850,'Retirement Calculator'!A:A,0),0),0)</f>
        <v>0</v>
      </c>
      <c r="K5850" s="444">
        <f t="shared" ca="1" si="193"/>
        <v>-50124142138559.563</v>
      </c>
      <c r="L5850" s="444">
        <f t="shared" ca="1" si="194"/>
        <v>-1.2079918255392856E+16</v>
      </c>
      <c r="M5850" s="460">
        <f t="shared" si="196"/>
        <v>0.05</v>
      </c>
      <c r="N5850" s="464">
        <f t="shared" si="197"/>
        <v>229099</v>
      </c>
    </row>
    <row r="5851" spans="7:14" ht="11.25" customHeight="1" x14ac:dyDescent="0.3">
      <c r="G5851" s="459"/>
      <c r="H5851" s="459">
        <v>5844</v>
      </c>
      <c r="I5851" s="444">
        <f t="shared" ca="1" si="195"/>
        <v>-1.2079918255392856E+16</v>
      </c>
      <c r="J5851" s="444">
        <f t="array" ref="J5851">IFERROR(INDEX('Retirement Calculator'!K:K,MATCH('Lorri 401b'!N5851,'Retirement Calculator'!A:A,0),0),0)</f>
        <v>0</v>
      </c>
      <c r="K5851" s="444">
        <f t="shared" ca="1" si="193"/>
        <v>-50332992730803.563</v>
      </c>
      <c r="L5851" s="444">
        <f t="shared" ca="1" si="194"/>
        <v>-1.213025124812366E+16</v>
      </c>
      <c r="M5851" s="460">
        <f t="shared" si="196"/>
        <v>0.05</v>
      </c>
      <c r="N5851" s="464">
        <f t="shared" si="197"/>
        <v>229129</v>
      </c>
    </row>
    <row r="5852" spans="7:14" ht="11.25" customHeight="1" x14ac:dyDescent="0.3">
      <c r="G5852" s="459"/>
      <c r="H5852" s="459">
        <v>5845</v>
      </c>
      <c r="I5852" s="444">
        <f t="shared" ca="1" si="195"/>
        <v>-1.213025124812366E+16</v>
      </c>
      <c r="J5852" s="444">
        <f t="array" ref="J5852">IFERROR(INDEX('Retirement Calculator'!K:K,MATCH('Lorri 401b'!N5852,'Retirement Calculator'!A:A,0),0),0)</f>
        <v>0</v>
      </c>
      <c r="K5852" s="444">
        <f t="shared" ca="1" si="193"/>
        <v>-50542713533848.586</v>
      </c>
      <c r="L5852" s="444">
        <f t="shared" ca="1" si="194"/>
        <v>-1.2180793961657508E+16</v>
      </c>
      <c r="M5852" s="460">
        <f t="shared" si="196"/>
        <v>0.05</v>
      </c>
      <c r="N5852" s="464">
        <f t="shared" si="197"/>
        <v>229160</v>
      </c>
    </row>
    <row r="5853" spans="7:14" ht="11.25" customHeight="1" x14ac:dyDescent="0.3">
      <c r="G5853" s="459"/>
      <c r="H5853" s="459">
        <v>5846</v>
      </c>
      <c r="I5853" s="444">
        <f t="shared" ca="1" si="195"/>
        <v>-1.2180793961657508E+16</v>
      </c>
      <c r="J5853" s="444">
        <f t="array" ref="J5853">IFERROR(INDEX('Retirement Calculator'!K:K,MATCH('Lorri 401b'!N5853,'Retirement Calculator'!A:A,0),0),0)</f>
        <v>0</v>
      </c>
      <c r="K5853" s="444">
        <f t="shared" ca="1" si="193"/>
        <v>-50753308173572.953</v>
      </c>
      <c r="L5853" s="444">
        <f t="shared" ca="1" si="194"/>
        <v>-1.223154726983108E+16</v>
      </c>
      <c r="M5853" s="460">
        <f t="shared" si="196"/>
        <v>0.05</v>
      </c>
      <c r="N5853" s="464">
        <f t="shared" si="197"/>
        <v>229190</v>
      </c>
    </row>
    <row r="5854" spans="7:14" ht="11.25" customHeight="1" x14ac:dyDescent="0.3">
      <c r="G5854" s="459"/>
      <c r="H5854" s="459">
        <v>5847</v>
      </c>
      <c r="I5854" s="444">
        <f t="shared" ca="1" si="195"/>
        <v>-1.223154726983108E+16</v>
      </c>
      <c r="J5854" s="444">
        <f t="array" ref="J5854">IFERROR(INDEX('Retirement Calculator'!K:K,MATCH('Lorri 401b'!N5854,'Retirement Calculator'!A:A,0),0),0)</f>
        <v>0</v>
      </c>
      <c r="K5854" s="444">
        <f t="shared" ca="1" si="193"/>
        <v>-50964780290962.836</v>
      </c>
      <c r="L5854" s="444">
        <f t="shared" ca="1" si="194"/>
        <v>-1.2282512050122042E+16</v>
      </c>
      <c r="M5854" s="460">
        <f t="shared" si="196"/>
        <v>0.05</v>
      </c>
      <c r="N5854" s="464">
        <f t="shared" si="197"/>
        <v>229221</v>
      </c>
    </row>
    <row r="5855" spans="7:14" ht="11.25" customHeight="1" x14ac:dyDescent="0.3">
      <c r="G5855" s="459"/>
      <c r="H5855" s="459">
        <v>5848</v>
      </c>
      <c r="I5855" s="444">
        <f t="shared" ca="1" si="195"/>
        <v>-1.2282512050122042E+16</v>
      </c>
      <c r="J5855" s="444">
        <f t="array" ref="J5855">IFERROR(INDEX('Retirement Calculator'!K:K,MATCH('Lorri 401b'!N5855,'Retirement Calculator'!A:A,0),0),0)</f>
        <v>0</v>
      </c>
      <c r="K5855" s="444">
        <f t="shared" ca="1" si="193"/>
        <v>-51177133542175.172</v>
      </c>
      <c r="L5855" s="444">
        <f t="shared" ca="1" si="194"/>
        <v>-1.2333689183664218E+16</v>
      </c>
      <c r="M5855" s="460">
        <f t="shared" si="196"/>
        <v>0.05</v>
      </c>
      <c r="N5855" s="464">
        <f t="shared" si="197"/>
        <v>229252</v>
      </c>
    </row>
    <row r="5856" spans="7:14" ht="11.25" customHeight="1" x14ac:dyDescent="0.3">
      <c r="G5856" s="459"/>
      <c r="H5856" s="459">
        <v>5849</v>
      </c>
      <c r="I5856" s="444">
        <f t="shared" ca="1" si="195"/>
        <v>-1.2333689183664218E+16</v>
      </c>
      <c r="J5856" s="444">
        <f t="array" ref="J5856">IFERROR(INDEX('Retirement Calculator'!K:K,MATCH('Lorri 401b'!N5856,'Retirement Calculator'!A:A,0),0),0)</f>
        <v>0</v>
      </c>
      <c r="K5856" s="444">
        <f t="shared" ca="1" si="193"/>
        <v>-51390371598600.906</v>
      </c>
      <c r="L5856" s="444">
        <f t="shared" ca="1" si="194"/>
        <v>-1.2385079555262818E+16</v>
      </c>
      <c r="M5856" s="460">
        <f t="shared" si="196"/>
        <v>0.05</v>
      </c>
      <c r="N5856" s="464">
        <f t="shared" si="197"/>
        <v>229282</v>
      </c>
    </row>
    <row r="5857" spans="7:14" ht="11.25" customHeight="1" x14ac:dyDescent="0.3">
      <c r="G5857" s="459"/>
      <c r="H5857" s="459">
        <v>5850</v>
      </c>
      <c r="I5857" s="444">
        <f t="shared" ca="1" si="195"/>
        <v>-1.2385079555262818E+16</v>
      </c>
      <c r="J5857" s="444">
        <f t="array" ref="J5857">IFERROR(INDEX('Retirement Calculator'!K:K,MATCH('Lorri 401b'!N5857,'Retirement Calculator'!A:A,0),0),0)</f>
        <v>0</v>
      </c>
      <c r="K5857" s="444">
        <f t="shared" ca="1" si="193"/>
        <v>-51604498146928.406</v>
      </c>
      <c r="L5857" s="444">
        <f t="shared" ca="1" si="194"/>
        <v>-1.2436684053409746E+16</v>
      </c>
      <c r="M5857" s="460">
        <f t="shared" si="196"/>
        <v>0.05</v>
      </c>
      <c r="N5857" s="464">
        <f t="shared" si="197"/>
        <v>229313</v>
      </c>
    </row>
    <row r="5858" spans="7:14" ht="11.25" customHeight="1" x14ac:dyDescent="0.3">
      <c r="G5858" s="459"/>
      <c r="H5858" s="459">
        <v>5851</v>
      </c>
      <c r="I5858" s="444">
        <f t="shared" ca="1" si="195"/>
        <v>-1.2436684053409746E+16</v>
      </c>
      <c r="J5858" s="444">
        <f t="array" ref="J5858">IFERROR(INDEX('Retirement Calculator'!K:K,MATCH('Lorri 401b'!N5858,'Retirement Calculator'!A:A,0),0),0)</f>
        <v>0</v>
      </c>
      <c r="K5858" s="444">
        <f t="shared" ca="1" si="193"/>
        <v>-51819516889207.273</v>
      </c>
      <c r="L5858" s="444">
        <f t="shared" ca="1" si="194"/>
        <v>-1.2488503570298954E+16</v>
      </c>
      <c r="M5858" s="460">
        <f t="shared" si="196"/>
        <v>0.05</v>
      </c>
      <c r="N5858" s="464">
        <f t="shared" si="197"/>
        <v>229343</v>
      </c>
    </row>
    <row r="5859" spans="7:14" ht="11.25" customHeight="1" x14ac:dyDescent="0.3">
      <c r="G5859" s="459"/>
      <c r="H5859" s="459">
        <v>5852</v>
      </c>
      <c r="I5859" s="444">
        <f t="shared" ca="1" si="195"/>
        <v>-1.2488503570298954E+16</v>
      </c>
      <c r="J5859" s="444">
        <f t="array" ref="J5859">IFERROR(INDEX('Retirement Calculator'!K:K,MATCH('Lorri 401b'!N5859,'Retirement Calculator'!A:A,0),0),0)</f>
        <v>0</v>
      </c>
      <c r="K5859" s="444">
        <f t="shared" ca="1" si="193"/>
        <v>-52035431542912.305</v>
      </c>
      <c r="L5859" s="444">
        <f t="shared" ca="1" si="194"/>
        <v>-1.2540539001841866E+16</v>
      </c>
      <c r="M5859" s="460">
        <f t="shared" si="196"/>
        <v>0.05</v>
      </c>
      <c r="N5859" s="464">
        <f t="shared" si="197"/>
        <v>229374</v>
      </c>
    </row>
    <row r="5860" spans="7:14" ht="11.25" customHeight="1" x14ac:dyDescent="0.3">
      <c r="G5860" s="459"/>
      <c r="H5860" s="459">
        <v>5853</v>
      </c>
      <c r="I5860" s="444">
        <f t="shared" ca="1" si="195"/>
        <v>-1.2540539001841866E+16</v>
      </c>
      <c r="J5860" s="444">
        <f t="array" ref="J5860">IFERROR(INDEX('Retirement Calculator'!K:K,MATCH('Lorri 401b'!N5860,'Retirement Calculator'!A:A,0),0),0)</f>
        <v>0</v>
      </c>
      <c r="K5860" s="444">
        <f t="shared" ca="1" si="193"/>
        <v>-52252245841007.773</v>
      </c>
      <c r="L5860" s="444">
        <f t="shared" ca="1" si="194"/>
        <v>-1.2592791247682874E+16</v>
      </c>
      <c r="M5860" s="460">
        <f t="shared" si="196"/>
        <v>0.05</v>
      </c>
      <c r="N5860" s="464">
        <f t="shared" si="197"/>
        <v>229405</v>
      </c>
    </row>
    <row r="5861" spans="7:14" ht="11.25" customHeight="1" x14ac:dyDescent="0.3">
      <c r="G5861" s="459"/>
      <c r="H5861" s="459">
        <v>5854</v>
      </c>
      <c r="I5861" s="444">
        <f t="shared" ca="1" si="195"/>
        <v>-1.2592791247682874E+16</v>
      </c>
      <c r="J5861" s="444">
        <f t="array" ref="J5861">IFERROR(INDEX('Retirement Calculator'!K:K,MATCH('Lorri 401b'!N5861,'Retirement Calculator'!A:A,0),0),0)</f>
        <v>0</v>
      </c>
      <c r="K5861" s="444">
        <f t="shared" ca="1" si="193"/>
        <v>-52469963532011.977</v>
      </c>
      <c r="L5861" s="444">
        <f t="shared" ca="1" si="194"/>
        <v>-1.2645261211214886E+16</v>
      </c>
      <c r="M5861" s="460">
        <f t="shared" si="196"/>
        <v>0.05</v>
      </c>
      <c r="N5861" s="464">
        <f t="shared" si="197"/>
        <v>229434</v>
      </c>
    </row>
    <row r="5862" spans="7:14" ht="11.25" customHeight="1" x14ac:dyDescent="0.3">
      <c r="G5862" s="459"/>
      <c r="H5862" s="459">
        <v>5855</v>
      </c>
      <c r="I5862" s="444">
        <f t="shared" ca="1" si="195"/>
        <v>-1.2645261211214886E+16</v>
      </c>
      <c r="J5862" s="444">
        <f t="array" ref="J5862">IFERROR(INDEX('Retirement Calculator'!K:K,MATCH('Lorri 401b'!N5862,'Retirement Calculator'!A:A,0),0),0)</f>
        <v>0</v>
      </c>
      <c r="K5862" s="444">
        <f t="shared" ca="1" si="193"/>
        <v>-52688588380062.023</v>
      </c>
      <c r="L5862" s="444">
        <f t="shared" ca="1" si="194"/>
        <v>-1.2697949799594948E+16</v>
      </c>
      <c r="M5862" s="460">
        <f t="shared" si="196"/>
        <v>0.05</v>
      </c>
      <c r="N5862" s="464">
        <f t="shared" si="197"/>
        <v>229465</v>
      </c>
    </row>
    <row r="5863" spans="7:14" ht="11.25" customHeight="1" x14ac:dyDescent="0.3">
      <c r="G5863" s="459"/>
      <c r="H5863" s="459">
        <v>5856</v>
      </c>
      <c r="I5863" s="444">
        <f t="shared" ca="1" si="195"/>
        <v>-1.2697949799594948E+16</v>
      </c>
      <c r="J5863" s="444">
        <f t="array" ref="J5863">IFERROR(INDEX('Retirement Calculator'!K:K,MATCH('Lorri 401b'!N5863,'Retirement Calculator'!A:A,0),0),0)</f>
        <v>0</v>
      </c>
      <c r="K5863" s="444">
        <f t="shared" ca="1" si="193"/>
        <v>-52908124164978.953</v>
      </c>
      <c r="L5863" s="444">
        <f t="shared" ca="1" si="194"/>
        <v>-1.2750857923759926E+16</v>
      </c>
      <c r="M5863" s="460">
        <f t="shared" si="196"/>
        <v>0.05</v>
      </c>
      <c r="N5863" s="464">
        <f t="shared" si="197"/>
        <v>229495</v>
      </c>
    </row>
    <row r="5864" spans="7:14" ht="11.25" customHeight="1" x14ac:dyDescent="0.3">
      <c r="G5864" s="459"/>
      <c r="H5864" s="459">
        <v>5857</v>
      </c>
      <c r="I5864" s="444">
        <f t="shared" ca="1" si="195"/>
        <v>-1.2750857923759926E+16</v>
      </c>
      <c r="J5864" s="444">
        <f t="array" ref="J5864">IFERROR(INDEX('Retirement Calculator'!K:K,MATCH('Lorri 401b'!N5864,'Retirement Calculator'!A:A,0),0),0)</f>
        <v>0</v>
      </c>
      <c r="K5864" s="444">
        <f t="shared" ca="1" si="193"/>
        <v>-53128574682333.023</v>
      </c>
      <c r="L5864" s="444">
        <f t="shared" ca="1" si="194"/>
        <v>-1.280398649844226E+16</v>
      </c>
      <c r="M5864" s="460">
        <f t="shared" si="196"/>
        <v>0.05</v>
      </c>
      <c r="N5864" s="464">
        <f t="shared" si="197"/>
        <v>229526</v>
      </c>
    </row>
    <row r="5865" spans="7:14" ht="11.25" customHeight="1" x14ac:dyDescent="0.3">
      <c r="G5865" s="459"/>
      <c r="H5865" s="459">
        <v>5858</v>
      </c>
      <c r="I5865" s="444">
        <f t="shared" ca="1" si="195"/>
        <v>-1.280398649844226E+16</v>
      </c>
      <c r="J5865" s="444">
        <f t="array" ref="J5865">IFERROR(INDEX('Retirement Calculator'!K:K,MATCH('Lorri 401b'!N5865,'Retirement Calculator'!A:A,0),0),0)</f>
        <v>0</v>
      </c>
      <c r="K5865" s="444">
        <f t="shared" ca="1" si="193"/>
        <v>-53349943743509.414</v>
      </c>
      <c r="L5865" s="444">
        <f t="shared" ca="1" si="194"/>
        <v>-1.285733644218577E+16</v>
      </c>
      <c r="M5865" s="460">
        <f t="shared" si="196"/>
        <v>0.05</v>
      </c>
      <c r="N5865" s="464">
        <f t="shared" si="197"/>
        <v>229556</v>
      </c>
    </row>
    <row r="5866" spans="7:14" ht="11.25" customHeight="1" x14ac:dyDescent="0.3">
      <c r="G5866" s="459"/>
      <c r="H5866" s="459">
        <v>5859</v>
      </c>
      <c r="I5866" s="444">
        <f t="shared" ca="1" si="195"/>
        <v>-1.285733644218577E+16</v>
      </c>
      <c r="J5866" s="444">
        <f t="array" ref="J5866">IFERROR(INDEX('Retirement Calculator'!K:K,MATCH('Lorri 401b'!N5866,'Retirement Calculator'!A:A,0),0),0)</f>
        <v>0</v>
      </c>
      <c r="K5866" s="444">
        <f t="shared" ca="1" si="193"/>
        <v>-53572235175774.039</v>
      </c>
      <c r="L5866" s="444">
        <f t="shared" ca="1" si="194"/>
        <v>-1.2910908677361544E+16</v>
      </c>
      <c r="M5866" s="460">
        <f t="shared" si="196"/>
        <v>0.05</v>
      </c>
      <c r="N5866" s="464">
        <f t="shared" si="197"/>
        <v>229587</v>
      </c>
    </row>
    <row r="5867" spans="7:14" ht="11.25" customHeight="1" x14ac:dyDescent="0.3">
      <c r="G5867" s="459"/>
      <c r="H5867" s="459">
        <v>5860</v>
      </c>
      <c r="I5867" s="444">
        <f t="shared" ca="1" si="195"/>
        <v>-1.2910908677361544E+16</v>
      </c>
      <c r="J5867" s="444">
        <f t="array" ref="J5867">IFERROR(INDEX('Retirement Calculator'!K:K,MATCH('Lorri 401b'!N5867,'Retirement Calculator'!A:A,0),0),0)</f>
        <v>0</v>
      </c>
      <c r="K5867" s="444">
        <f t="shared" ca="1" si="193"/>
        <v>-53795452822339.766</v>
      </c>
      <c r="L5867" s="444">
        <f t="shared" ca="1" si="194"/>
        <v>-1.2964704130183884E+16</v>
      </c>
      <c r="M5867" s="460">
        <f t="shared" si="196"/>
        <v>0.05</v>
      </c>
      <c r="N5867" s="464">
        <f t="shared" si="197"/>
        <v>229618</v>
      </c>
    </row>
    <row r="5868" spans="7:14" ht="11.25" customHeight="1" x14ac:dyDescent="0.3">
      <c r="G5868" s="459"/>
      <c r="H5868" s="459">
        <v>5861</v>
      </c>
      <c r="I5868" s="444">
        <f t="shared" ca="1" si="195"/>
        <v>-1.2964704130183884E+16</v>
      </c>
      <c r="J5868" s="444">
        <f t="array" ref="J5868">IFERROR(INDEX('Retirement Calculator'!K:K,MATCH('Lorri 401b'!N5868,'Retirement Calculator'!A:A,0),0),0)</f>
        <v>0</v>
      </c>
      <c r="K5868" s="444">
        <f t="shared" ca="1" si="193"/>
        <v>-54019600542432.852</v>
      </c>
      <c r="L5868" s="444">
        <f t="shared" ca="1" si="194"/>
        <v>-1.3018723730726316E+16</v>
      </c>
      <c r="M5868" s="460">
        <f t="shared" si="196"/>
        <v>0.05</v>
      </c>
      <c r="N5868" s="464">
        <f t="shared" si="197"/>
        <v>229648</v>
      </c>
    </row>
    <row r="5869" spans="7:14" ht="11.25" customHeight="1" x14ac:dyDescent="0.3">
      <c r="G5869" s="459"/>
      <c r="H5869" s="459">
        <v>5862</v>
      </c>
      <c r="I5869" s="444">
        <f t="shared" ca="1" si="195"/>
        <v>-1.3018723730726316E+16</v>
      </c>
      <c r="J5869" s="444">
        <f t="array" ref="J5869">IFERROR(INDEX('Retirement Calculator'!K:K,MATCH('Lorri 401b'!N5869,'Retirement Calculator'!A:A,0),0),0)</f>
        <v>0</v>
      </c>
      <c r="K5869" s="444">
        <f t="shared" ca="1" si="193"/>
        <v>-54244682211359.648</v>
      </c>
      <c r="L5869" s="444">
        <f t="shared" ca="1" si="194"/>
        <v>-1.3072968412937676E+16</v>
      </c>
      <c r="M5869" s="460">
        <f t="shared" si="196"/>
        <v>0.05</v>
      </c>
      <c r="N5869" s="464">
        <f t="shared" si="197"/>
        <v>229679</v>
      </c>
    </row>
    <row r="5870" spans="7:14" ht="11.25" customHeight="1" x14ac:dyDescent="0.3">
      <c r="G5870" s="459"/>
      <c r="H5870" s="459">
        <v>5863</v>
      </c>
      <c r="I5870" s="444">
        <f t="shared" ca="1" si="195"/>
        <v>-1.3072968412937676E+16</v>
      </c>
      <c r="J5870" s="444">
        <f t="array" ref="J5870">IFERROR(INDEX('Retirement Calculator'!K:K,MATCH('Lorri 401b'!N5870,'Retirement Calculator'!A:A,0),0),0)</f>
        <v>0</v>
      </c>
      <c r="K5870" s="444">
        <f t="shared" ca="1" si="193"/>
        <v>-54470701720573.648</v>
      </c>
      <c r="L5870" s="444">
        <f t="shared" ca="1" si="194"/>
        <v>-1.312743911465825E+16</v>
      </c>
      <c r="M5870" s="460">
        <f t="shared" si="196"/>
        <v>0.05</v>
      </c>
      <c r="N5870" s="464">
        <f t="shared" si="197"/>
        <v>229709</v>
      </c>
    </row>
    <row r="5871" spans="7:14" ht="11.25" customHeight="1" x14ac:dyDescent="0.3">
      <c r="G5871" s="459"/>
      <c r="H5871" s="459">
        <v>5864</v>
      </c>
      <c r="I5871" s="444">
        <f t="shared" ca="1" si="195"/>
        <v>-1.312743911465825E+16</v>
      </c>
      <c r="J5871" s="444">
        <f t="array" ref="J5871">IFERROR(INDEX('Retirement Calculator'!K:K,MATCH('Lorri 401b'!N5871,'Retirement Calculator'!A:A,0),0),0)</f>
        <v>0</v>
      </c>
      <c r="K5871" s="444">
        <f t="shared" ca="1" si="193"/>
        <v>-54697662977742.711</v>
      </c>
      <c r="L5871" s="444">
        <f t="shared" ca="1" si="194"/>
        <v>-1.3182136777635992E+16</v>
      </c>
      <c r="M5871" s="460">
        <f t="shared" si="196"/>
        <v>0.05</v>
      </c>
      <c r="N5871" s="464">
        <f t="shared" si="197"/>
        <v>229740</v>
      </c>
    </row>
    <row r="5872" spans="7:14" ht="11.25" customHeight="1" x14ac:dyDescent="0.3">
      <c r="G5872" s="459"/>
      <c r="H5872" s="459">
        <v>5865</v>
      </c>
      <c r="I5872" s="444">
        <f t="shared" ca="1" si="195"/>
        <v>-1.3182136777635992E+16</v>
      </c>
      <c r="J5872" s="444">
        <f t="array" ref="J5872">IFERROR(INDEX('Retirement Calculator'!K:K,MATCH('Lorri 401b'!N5872,'Retirement Calculator'!A:A,0),0),0)</f>
        <v>0</v>
      </c>
      <c r="K5872" s="444">
        <f t="shared" ca="1" si="193"/>
        <v>-54925569906816.633</v>
      </c>
      <c r="L5872" s="444">
        <f t="shared" ca="1" si="194"/>
        <v>-1.3237062347542808E+16</v>
      </c>
      <c r="M5872" s="460">
        <f t="shared" si="196"/>
        <v>0.05</v>
      </c>
      <c r="N5872" s="464">
        <f t="shared" si="197"/>
        <v>229771</v>
      </c>
    </row>
    <row r="5873" spans="7:14" ht="11.25" customHeight="1" x14ac:dyDescent="0.3">
      <c r="G5873" s="459"/>
      <c r="H5873" s="459">
        <v>5866</v>
      </c>
      <c r="I5873" s="444">
        <f t="shared" ca="1" si="195"/>
        <v>-1.3237062347542808E+16</v>
      </c>
      <c r="J5873" s="444">
        <f t="array" ref="J5873">IFERROR(INDEX('Retirement Calculator'!K:K,MATCH('Lorri 401b'!N5873,'Retirement Calculator'!A:A,0),0),0)</f>
        <v>0</v>
      </c>
      <c r="K5873" s="444">
        <f t="shared" ref="K5873:K6127" ca="1" si="198">IPMT(M5873/12,1,12,-I5873+J5873,,0)</f>
        <v>-55154426448095.031</v>
      </c>
      <c r="L5873" s="444">
        <f t="shared" ref="L5873:L6127" ca="1" si="199">I5873-J5873+K5873</f>
        <v>-1.3292216773990904E+16</v>
      </c>
      <c r="M5873" s="460">
        <f t="shared" si="196"/>
        <v>0.05</v>
      </c>
      <c r="N5873" s="464">
        <f t="shared" si="197"/>
        <v>229799</v>
      </c>
    </row>
    <row r="5874" spans="7:14" ht="11.25" customHeight="1" x14ac:dyDescent="0.3">
      <c r="G5874" s="459"/>
      <c r="H5874" s="459">
        <v>5867</v>
      </c>
      <c r="I5874" s="444">
        <f t="shared" ref="I5874:I6128" ca="1" si="200">L5873</f>
        <v>-1.3292216773990904E+16</v>
      </c>
      <c r="J5874" s="444">
        <f t="array" ref="J5874">IFERROR(INDEX('Retirement Calculator'!K:K,MATCH('Lorri 401b'!N5874,'Retirement Calculator'!A:A,0),0),0)</f>
        <v>0</v>
      </c>
      <c r="K5874" s="444">
        <f t="shared" ca="1" si="198"/>
        <v>-55384236558295.43</v>
      </c>
      <c r="L5874" s="444">
        <f t="shared" ca="1" si="199"/>
        <v>-1.33476010105492E+16</v>
      </c>
      <c r="M5874" s="460">
        <f t="shared" ref="M5874:M6128" si="201">M5873</f>
        <v>0.05</v>
      </c>
      <c r="N5874" s="464">
        <f t="shared" ref="N5874:N6128" si="202">EDATE(N5873,1)</f>
        <v>229830</v>
      </c>
    </row>
    <row r="5875" spans="7:14" ht="11.25" customHeight="1" x14ac:dyDescent="0.3">
      <c r="G5875" s="459"/>
      <c r="H5875" s="459">
        <v>5868</v>
      </c>
      <c r="I5875" s="444">
        <f t="shared" ca="1" si="200"/>
        <v>-1.33476010105492E+16</v>
      </c>
      <c r="J5875" s="444">
        <f t="array" ref="J5875">IFERROR(INDEX('Retirement Calculator'!K:K,MATCH('Lorri 401b'!N5875,'Retirement Calculator'!A:A,0),0),0)</f>
        <v>0</v>
      </c>
      <c r="K5875" s="444">
        <f t="shared" ca="1" si="198"/>
        <v>-55615004210621.664</v>
      </c>
      <c r="L5875" s="444">
        <f t="shared" ca="1" si="199"/>
        <v>-1.3403216014759822E+16</v>
      </c>
      <c r="M5875" s="460">
        <f t="shared" si="201"/>
        <v>0.05</v>
      </c>
      <c r="N5875" s="464">
        <f t="shared" si="202"/>
        <v>229860</v>
      </c>
    </row>
    <row r="5876" spans="7:14" ht="11.25" customHeight="1" x14ac:dyDescent="0.3">
      <c r="G5876" s="459"/>
      <c r="H5876" s="459">
        <v>5869</v>
      </c>
      <c r="I5876" s="444">
        <f t="shared" ca="1" si="200"/>
        <v>-1.3403216014759822E+16</v>
      </c>
      <c r="J5876" s="444">
        <f t="array" ref="J5876">IFERROR(INDEX('Retirement Calculator'!K:K,MATCH('Lorri 401b'!N5876,'Retirement Calculator'!A:A,0),0),0)</f>
        <v>0</v>
      </c>
      <c r="K5876" s="444">
        <f t="shared" ca="1" si="198"/>
        <v>-55846733394832.594</v>
      </c>
      <c r="L5876" s="444">
        <f t="shared" ca="1" si="199"/>
        <v>-1.3459062748154654E+16</v>
      </c>
      <c r="M5876" s="460">
        <f t="shared" si="201"/>
        <v>0.05</v>
      </c>
      <c r="N5876" s="464">
        <f t="shared" si="202"/>
        <v>229891</v>
      </c>
    </row>
    <row r="5877" spans="7:14" ht="11.25" customHeight="1" x14ac:dyDescent="0.3">
      <c r="G5877" s="459"/>
      <c r="H5877" s="459">
        <v>5870</v>
      </c>
      <c r="I5877" s="444">
        <f t="shared" ca="1" si="200"/>
        <v>-1.3459062748154654E+16</v>
      </c>
      <c r="J5877" s="444">
        <f t="array" ref="J5877">IFERROR(INDEX('Retirement Calculator'!K:K,MATCH('Lorri 401b'!N5877,'Retirement Calculator'!A:A,0),0),0)</f>
        <v>0</v>
      </c>
      <c r="K5877" s="444">
        <f t="shared" ca="1" si="198"/>
        <v>-56079428117311.055</v>
      </c>
      <c r="L5877" s="444">
        <f t="shared" ca="1" si="199"/>
        <v>-1.3515142176271966E+16</v>
      </c>
      <c r="M5877" s="460">
        <f t="shared" si="201"/>
        <v>0.05</v>
      </c>
      <c r="N5877" s="464">
        <f t="shared" si="202"/>
        <v>229921</v>
      </c>
    </row>
    <row r="5878" spans="7:14" ht="11.25" customHeight="1" x14ac:dyDescent="0.3">
      <c r="G5878" s="459"/>
      <c r="H5878" s="459">
        <v>5871</v>
      </c>
      <c r="I5878" s="444">
        <f t="shared" ca="1" si="200"/>
        <v>-1.3515142176271966E+16</v>
      </c>
      <c r="J5878" s="444">
        <f t="array" ref="J5878">IFERROR(INDEX('Retirement Calculator'!K:K,MATCH('Lorri 401b'!N5878,'Retirement Calculator'!A:A,0),0),0)</f>
        <v>0</v>
      </c>
      <c r="K5878" s="444">
        <f t="shared" ca="1" si="198"/>
        <v>-56313092401133.188</v>
      </c>
      <c r="L5878" s="444">
        <f t="shared" ca="1" si="199"/>
        <v>-1.35714552686731E+16</v>
      </c>
      <c r="M5878" s="460">
        <f t="shared" si="201"/>
        <v>0.05</v>
      </c>
      <c r="N5878" s="464">
        <f t="shared" si="202"/>
        <v>229952</v>
      </c>
    </row>
    <row r="5879" spans="7:14" ht="11.25" customHeight="1" x14ac:dyDescent="0.3">
      <c r="G5879" s="459"/>
      <c r="H5879" s="459">
        <v>5872</v>
      </c>
      <c r="I5879" s="444">
        <f t="shared" ca="1" si="200"/>
        <v>-1.35714552686731E+16</v>
      </c>
      <c r="J5879" s="444">
        <f t="array" ref="J5879">IFERROR(INDEX('Retirement Calculator'!K:K,MATCH('Lorri 401b'!N5879,'Retirement Calculator'!A:A,0),0),0)</f>
        <v>0</v>
      </c>
      <c r="K5879" s="444">
        <f t="shared" ca="1" si="198"/>
        <v>-56547730286137.914</v>
      </c>
      <c r="L5879" s="444">
        <f t="shared" ca="1" si="199"/>
        <v>-1.3628002998959238E+16</v>
      </c>
      <c r="M5879" s="460">
        <f t="shared" si="201"/>
        <v>0.05</v>
      </c>
      <c r="N5879" s="464">
        <f t="shared" si="202"/>
        <v>229983</v>
      </c>
    </row>
    <row r="5880" spans="7:14" ht="11.25" customHeight="1" x14ac:dyDescent="0.3">
      <c r="G5880" s="459"/>
      <c r="H5880" s="459">
        <v>5873</v>
      </c>
      <c r="I5880" s="444">
        <f t="shared" ca="1" si="200"/>
        <v>-1.3628002998959238E+16</v>
      </c>
      <c r="J5880" s="444">
        <f t="array" ref="J5880">IFERROR(INDEX('Retirement Calculator'!K:K,MATCH('Lorri 401b'!N5880,'Retirement Calculator'!A:A,0),0),0)</f>
        <v>0</v>
      </c>
      <c r="K5880" s="444">
        <f t="shared" ca="1" si="198"/>
        <v>-56783345828996.82</v>
      </c>
      <c r="L5880" s="444">
        <f t="shared" ca="1" si="199"/>
        <v>-1.3684786344788234E+16</v>
      </c>
      <c r="M5880" s="460">
        <f t="shared" si="201"/>
        <v>0.05</v>
      </c>
      <c r="N5880" s="464">
        <f t="shared" si="202"/>
        <v>230013</v>
      </c>
    </row>
    <row r="5881" spans="7:14" ht="11.25" customHeight="1" x14ac:dyDescent="0.3">
      <c r="G5881" s="459"/>
      <c r="H5881" s="459">
        <v>5874</v>
      </c>
      <c r="I5881" s="444">
        <f t="shared" ca="1" si="200"/>
        <v>-1.3684786344788234E+16</v>
      </c>
      <c r="J5881" s="444">
        <f t="array" ref="J5881">IFERROR(INDEX('Retirement Calculator'!K:K,MATCH('Lorri 401b'!N5881,'Retirement Calculator'!A:A,0),0),0)</f>
        <v>0</v>
      </c>
      <c r="K5881" s="444">
        <f t="shared" ca="1" si="198"/>
        <v>-57019943103284.305</v>
      </c>
      <c r="L5881" s="444">
        <f t="shared" ca="1" si="199"/>
        <v>-1.3741806287891518E+16</v>
      </c>
      <c r="M5881" s="460">
        <f t="shared" si="201"/>
        <v>0.05</v>
      </c>
      <c r="N5881" s="464">
        <f t="shared" si="202"/>
        <v>230044</v>
      </c>
    </row>
    <row r="5882" spans="7:14" ht="11.25" customHeight="1" x14ac:dyDescent="0.3">
      <c r="G5882" s="459"/>
      <c r="H5882" s="459">
        <v>5875</v>
      </c>
      <c r="I5882" s="444">
        <f t="shared" ca="1" si="200"/>
        <v>-1.3741806287891518E+16</v>
      </c>
      <c r="J5882" s="444">
        <f t="array" ref="J5882">IFERROR(INDEX('Retirement Calculator'!K:K,MATCH('Lorri 401b'!N5882,'Retirement Calculator'!A:A,0),0),0)</f>
        <v>0</v>
      </c>
      <c r="K5882" s="444">
        <f t="shared" ca="1" si="198"/>
        <v>-57257526199547.992</v>
      </c>
      <c r="L5882" s="444">
        <f t="shared" ca="1" si="199"/>
        <v>-1.3799063814091066E+16</v>
      </c>
      <c r="M5882" s="460">
        <f t="shared" si="201"/>
        <v>0.05</v>
      </c>
      <c r="N5882" s="464">
        <f t="shared" si="202"/>
        <v>230074</v>
      </c>
    </row>
    <row r="5883" spans="7:14" ht="11.25" customHeight="1" x14ac:dyDescent="0.3">
      <c r="G5883" s="459"/>
      <c r="H5883" s="459">
        <v>5876</v>
      </c>
      <c r="I5883" s="444">
        <f t="shared" ca="1" si="200"/>
        <v>-1.3799063814091066E+16</v>
      </c>
      <c r="J5883" s="444">
        <f t="array" ref="J5883">IFERROR(INDEX('Retirement Calculator'!K:K,MATCH('Lorri 401b'!N5883,'Retirement Calculator'!A:A,0),0),0)</f>
        <v>0</v>
      </c>
      <c r="K5883" s="444">
        <f t="shared" ca="1" si="198"/>
        <v>-57496099225379.438</v>
      </c>
      <c r="L5883" s="444">
        <f t="shared" ca="1" si="199"/>
        <v>-1.3856559913316446E+16</v>
      </c>
      <c r="M5883" s="460">
        <f t="shared" si="201"/>
        <v>0.05</v>
      </c>
      <c r="N5883" s="464">
        <f t="shared" si="202"/>
        <v>230105</v>
      </c>
    </row>
    <row r="5884" spans="7:14" ht="11.25" customHeight="1" x14ac:dyDescent="0.3">
      <c r="G5884" s="459"/>
      <c r="H5884" s="459">
        <v>5877</v>
      </c>
      <c r="I5884" s="444">
        <f t="shared" ca="1" si="200"/>
        <v>-1.3856559913316446E+16</v>
      </c>
      <c r="J5884" s="444">
        <f t="array" ref="J5884">IFERROR(INDEX('Retirement Calculator'!K:K,MATCH('Lorri 401b'!N5884,'Retirement Calculator'!A:A,0),0),0)</f>
        <v>0</v>
      </c>
      <c r="K5884" s="444">
        <f t="shared" ca="1" si="198"/>
        <v>-57735666305485.188</v>
      </c>
      <c r="L5884" s="444">
        <f t="shared" ca="1" si="199"/>
        <v>-1.3914295579621932E+16</v>
      </c>
      <c r="M5884" s="460">
        <f t="shared" si="201"/>
        <v>0.05</v>
      </c>
      <c r="N5884" s="464">
        <f t="shared" si="202"/>
        <v>230136</v>
      </c>
    </row>
    <row r="5885" spans="7:14" ht="11.25" customHeight="1" x14ac:dyDescent="0.3">
      <c r="G5885" s="459"/>
      <c r="H5885" s="459">
        <v>5878</v>
      </c>
      <c r="I5885" s="444">
        <f t="shared" ca="1" si="200"/>
        <v>-1.3914295579621932E+16</v>
      </c>
      <c r="J5885" s="444">
        <f t="array" ref="J5885">IFERROR(INDEX('Retirement Calculator'!K:K,MATCH('Lorri 401b'!N5885,'Retirement Calculator'!A:A,0),0),0)</f>
        <v>0</v>
      </c>
      <c r="K5885" s="444">
        <f t="shared" ca="1" si="198"/>
        <v>-57976231581758.047</v>
      </c>
      <c r="L5885" s="444">
        <f t="shared" ca="1" si="199"/>
        <v>-1.397227181120369E+16</v>
      </c>
      <c r="M5885" s="460">
        <f t="shared" si="201"/>
        <v>0.05</v>
      </c>
      <c r="N5885" s="464">
        <f t="shared" si="202"/>
        <v>230164</v>
      </c>
    </row>
    <row r="5886" spans="7:14" ht="11.25" customHeight="1" x14ac:dyDescent="0.3">
      <c r="G5886" s="459"/>
      <c r="H5886" s="459">
        <v>5879</v>
      </c>
      <c r="I5886" s="444">
        <f t="shared" ca="1" si="200"/>
        <v>-1.397227181120369E+16</v>
      </c>
      <c r="J5886" s="444">
        <f t="array" ref="J5886">IFERROR(INDEX('Retirement Calculator'!K:K,MATCH('Lorri 401b'!N5886,'Retirement Calculator'!A:A,0),0),0)</f>
        <v>0</v>
      </c>
      <c r="K5886" s="444">
        <f t="shared" ca="1" si="198"/>
        <v>-58217799213348.711</v>
      </c>
      <c r="L5886" s="444">
        <f t="shared" ca="1" si="199"/>
        <v>-1.4030489610417038E+16</v>
      </c>
      <c r="M5886" s="460">
        <f t="shared" si="201"/>
        <v>0.05</v>
      </c>
      <c r="N5886" s="464">
        <f t="shared" si="202"/>
        <v>230195</v>
      </c>
    </row>
    <row r="5887" spans="7:14" ht="11.25" customHeight="1" x14ac:dyDescent="0.3">
      <c r="G5887" s="459"/>
      <c r="H5887" s="459">
        <v>5880</v>
      </c>
      <c r="I5887" s="444">
        <f t="shared" ca="1" si="200"/>
        <v>-1.4030489610417038E+16</v>
      </c>
      <c r="J5887" s="444">
        <f t="array" ref="J5887">IFERROR(INDEX('Retirement Calculator'!K:K,MATCH('Lorri 401b'!N5887,'Retirement Calculator'!A:A,0),0),0)</f>
        <v>0</v>
      </c>
      <c r="K5887" s="444">
        <f t="shared" ca="1" si="198"/>
        <v>-58460373376737.656</v>
      </c>
      <c r="L5887" s="444">
        <f t="shared" ca="1" si="199"/>
        <v>-1.4088949983793776E+16</v>
      </c>
      <c r="M5887" s="460">
        <f t="shared" si="201"/>
        <v>0.05</v>
      </c>
      <c r="N5887" s="464">
        <f t="shared" si="202"/>
        <v>230225</v>
      </c>
    </row>
    <row r="5888" spans="7:14" ht="11.25" customHeight="1" x14ac:dyDescent="0.3">
      <c r="G5888" s="459"/>
      <c r="H5888" s="459">
        <v>5881</v>
      </c>
      <c r="I5888" s="444">
        <f t="shared" ca="1" si="200"/>
        <v>-1.4088949983793776E+16</v>
      </c>
      <c r="J5888" s="444">
        <f t="array" ref="J5888">IFERROR(INDEX('Retirement Calculator'!K:K,MATCH('Lorri 401b'!N5888,'Retirement Calculator'!A:A,0),0),0)</f>
        <v>0</v>
      </c>
      <c r="K5888" s="444">
        <f t="shared" ca="1" si="198"/>
        <v>-58703958265807.398</v>
      </c>
      <c r="L5888" s="444">
        <f t="shared" ca="1" si="199"/>
        <v>-1.4147653942059584E+16</v>
      </c>
      <c r="M5888" s="460">
        <f t="shared" si="201"/>
        <v>0.05</v>
      </c>
      <c r="N5888" s="464">
        <f t="shared" si="202"/>
        <v>230256</v>
      </c>
    </row>
    <row r="5889" spans="7:14" ht="11.25" customHeight="1" x14ac:dyDescent="0.3">
      <c r="G5889" s="459"/>
      <c r="H5889" s="459">
        <v>5882</v>
      </c>
      <c r="I5889" s="444">
        <f t="shared" ca="1" si="200"/>
        <v>-1.4147653942059584E+16</v>
      </c>
      <c r="J5889" s="444">
        <f t="array" ref="J5889">IFERROR(INDEX('Retirement Calculator'!K:K,MATCH('Lorri 401b'!N5889,'Retirement Calculator'!A:A,0),0),0)</f>
        <v>0</v>
      </c>
      <c r="K5889" s="444">
        <f t="shared" ca="1" si="198"/>
        <v>-58948558091914.93</v>
      </c>
      <c r="L5889" s="444">
        <f t="shared" ca="1" si="199"/>
        <v>-1.4206602500151498E+16</v>
      </c>
      <c r="M5889" s="460">
        <f t="shared" si="201"/>
        <v>0.05</v>
      </c>
      <c r="N5889" s="464">
        <f t="shared" si="202"/>
        <v>230286</v>
      </c>
    </row>
    <row r="5890" spans="7:14" ht="11.25" customHeight="1" x14ac:dyDescent="0.3">
      <c r="G5890" s="459"/>
      <c r="H5890" s="459">
        <v>5883</v>
      </c>
      <c r="I5890" s="444">
        <f t="shared" ca="1" si="200"/>
        <v>-1.4206602500151498E+16</v>
      </c>
      <c r="J5890" s="444">
        <f t="array" ref="J5890">IFERROR(INDEX('Retirement Calculator'!K:K,MATCH('Lorri 401b'!N5890,'Retirement Calculator'!A:A,0),0),0)</f>
        <v>0</v>
      </c>
      <c r="K5890" s="444">
        <f t="shared" ca="1" si="198"/>
        <v>-59194177083964.57</v>
      </c>
      <c r="L5890" s="444">
        <f t="shared" ca="1" si="199"/>
        <v>-1.4265796677235462E+16</v>
      </c>
      <c r="M5890" s="460">
        <f t="shared" si="201"/>
        <v>0.05</v>
      </c>
      <c r="N5890" s="464">
        <f t="shared" si="202"/>
        <v>230317</v>
      </c>
    </row>
    <row r="5891" spans="7:14" ht="11.25" customHeight="1" x14ac:dyDescent="0.3">
      <c r="G5891" s="459"/>
      <c r="H5891" s="459">
        <v>5884</v>
      </c>
      <c r="I5891" s="444">
        <f t="shared" ca="1" si="200"/>
        <v>-1.4265796677235462E+16</v>
      </c>
      <c r="J5891" s="444">
        <f t="array" ref="J5891">IFERROR(INDEX('Retirement Calculator'!K:K,MATCH('Lorri 401b'!N5891,'Retirement Calculator'!A:A,0),0),0)</f>
        <v>0</v>
      </c>
      <c r="K5891" s="444">
        <f t="shared" ca="1" si="198"/>
        <v>-59440819488481.086</v>
      </c>
      <c r="L5891" s="444">
        <f t="shared" ca="1" si="199"/>
        <v>-1.4325237496723944E+16</v>
      </c>
      <c r="M5891" s="460">
        <f t="shared" si="201"/>
        <v>0.05</v>
      </c>
      <c r="N5891" s="464">
        <f t="shared" si="202"/>
        <v>230348</v>
      </c>
    </row>
    <row r="5892" spans="7:14" ht="11.25" customHeight="1" x14ac:dyDescent="0.3">
      <c r="G5892" s="459"/>
      <c r="H5892" s="459">
        <v>5885</v>
      </c>
      <c r="I5892" s="444">
        <f t="shared" ca="1" si="200"/>
        <v>-1.4325237496723944E+16</v>
      </c>
      <c r="J5892" s="444">
        <f t="array" ref="J5892">IFERROR(INDEX('Retirement Calculator'!K:K,MATCH('Lorri 401b'!N5892,'Retirement Calculator'!A:A,0),0),0)</f>
        <v>0</v>
      </c>
      <c r="K5892" s="444">
        <f t="shared" ca="1" si="198"/>
        <v>-59688489569683.109</v>
      </c>
      <c r="L5892" s="444">
        <f t="shared" ca="1" si="199"/>
        <v>-1.4384925986293628E+16</v>
      </c>
      <c r="M5892" s="460">
        <f t="shared" si="201"/>
        <v>0.05</v>
      </c>
      <c r="N5892" s="464">
        <f t="shared" si="202"/>
        <v>230378</v>
      </c>
    </row>
    <row r="5893" spans="7:14" ht="11.25" customHeight="1" x14ac:dyDescent="0.3">
      <c r="G5893" s="459"/>
      <c r="H5893" s="459">
        <v>5886</v>
      </c>
      <c r="I5893" s="444">
        <f t="shared" ca="1" si="200"/>
        <v>-1.4384925986293628E+16</v>
      </c>
      <c r="J5893" s="444">
        <f t="array" ref="J5893">IFERROR(INDEX('Retirement Calculator'!K:K,MATCH('Lorri 401b'!N5893,'Retirement Calculator'!A:A,0),0),0)</f>
        <v>0</v>
      </c>
      <c r="K5893" s="444">
        <f t="shared" ca="1" si="198"/>
        <v>-59937191609556.773</v>
      </c>
      <c r="L5893" s="444">
        <f t="shared" ca="1" si="199"/>
        <v>-1.4444863177903184E+16</v>
      </c>
      <c r="M5893" s="460">
        <f t="shared" si="201"/>
        <v>0.05</v>
      </c>
      <c r="N5893" s="464">
        <f t="shared" si="202"/>
        <v>230409</v>
      </c>
    </row>
    <row r="5894" spans="7:14" ht="11.25" customHeight="1" x14ac:dyDescent="0.3">
      <c r="G5894" s="459"/>
      <c r="H5894" s="459">
        <v>5887</v>
      </c>
      <c r="I5894" s="444">
        <f t="shared" ca="1" si="200"/>
        <v>-1.4444863177903184E+16</v>
      </c>
      <c r="J5894" s="444">
        <f t="array" ref="J5894">IFERROR(INDEX('Retirement Calculator'!K:K,MATCH('Lorri 401b'!N5894,'Retirement Calculator'!A:A,0),0),0)</f>
        <v>0</v>
      </c>
      <c r="K5894" s="444">
        <f t="shared" ca="1" si="198"/>
        <v>-60186929907929.922</v>
      </c>
      <c r="L5894" s="444">
        <f t="shared" ca="1" si="199"/>
        <v>-1.4505050107811114E+16</v>
      </c>
      <c r="M5894" s="460">
        <f t="shared" si="201"/>
        <v>0.05</v>
      </c>
      <c r="N5894" s="464">
        <f t="shared" si="202"/>
        <v>230439</v>
      </c>
    </row>
    <row r="5895" spans="7:14" ht="11.25" customHeight="1" x14ac:dyDescent="0.3">
      <c r="G5895" s="459"/>
      <c r="H5895" s="459">
        <v>5888</v>
      </c>
      <c r="I5895" s="444">
        <f t="shared" ca="1" si="200"/>
        <v>-1.4505050107811114E+16</v>
      </c>
      <c r="J5895" s="444">
        <f t="array" ref="J5895">IFERROR(INDEX('Retirement Calculator'!K:K,MATCH('Lorri 401b'!N5895,'Retirement Calculator'!A:A,0),0),0)</f>
        <v>0</v>
      </c>
      <c r="K5895" s="444">
        <f t="shared" ca="1" si="198"/>
        <v>-60437708782546.313</v>
      </c>
      <c r="L5895" s="444">
        <f t="shared" ca="1" si="199"/>
        <v>-1.456548781659366E+16</v>
      </c>
      <c r="M5895" s="460">
        <f t="shared" si="201"/>
        <v>0.05</v>
      </c>
      <c r="N5895" s="464">
        <f t="shared" si="202"/>
        <v>230470</v>
      </c>
    </row>
    <row r="5896" spans="7:14" ht="11.25" customHeight="1" x14ac:dyDescent="0.3">
      <c r="G5896" s="459"/>
      <c r="H5896" s="459">
        <v>5889</v>
      </c>
      <c r="I5896" s="444">
        <f t="shared" ca="1" si="200"/>
        <v>-1.456548781659366E+16</v>
      </c>
      <c r="J5896" s="444">
        <f t="array" ref="J5896">IFERROR(INDEX('Retirement Calculator'!K:K,MATCH('Lorri 401b'!N5896,'Retirement Calculator'!A:A,0),0),0)</f>
        <v>0</v>
      </c>
      <c r="K5896" s="444">
        <f t="shared" ca="1" si="198"/>
        <v>-60689532569140.25</v>
      </c>
      <c r="L5896" s="444">
        <f t="shared" ca="1" si="199"/>
        <v>-1.46261773491628E+16</v>
      </c>
      <c r="M5896" s="460">
        <f t="shared" si="201"/>
        <v>0.05</v>
      </c>
      <c r="N5896" s="464">
        <f t="shared" si="202"/>
        <v>230501</v>
      </c>
    </row>
    <row r="5897" spans="7:14" ht="11.25" customHeight="1" x14ac:dyDescent="0.3">
      <c r="G5897" s="459"/>
      <c r="H5897" s="459">
        <v>5890</v>
      </c>
      <c r="I5897" s="444">
        <f t="shared" ca="1" si="200"/>
        <v>-1.46261773491628E+16</v>
      </c>
      <c r="J5897" s="444">
        <f t="array" ref="J5897">IFERROR(INDEX('Retirement Calculator'!K:K,MATCH('Lorri 401b'!N5897,'Retirement Calculator'!A:A,0),0),0)</f>
        <v>0</v>
      </c>
      <c r="K5897" s="444">
        <f t="shared" ca="1" si="198"/>
        <v>-60942405621511.664</v>
      </c>
      <c r="L5897" s="444">
        <f t="shared" ca="1" si="199"/>
        <v>-1.4687119754784312E+16</v>
      </c>
      <c r="M5897" s="460">
        <f t="shared" si="201"/>
        <v>0.05</v>
      </c>
      <c r="N5897" s="464">
        <f t="shared" si="202"/>
        <v>230529</v>
      </c>
    </row>
    <row r="5898" spans="7:14" ht="11.25" customHeight="1" x14ac:dyDescent="0.3">
      <c r="G5898" s="459"/>
      <c r="H5898" s="459">
        <v>5891</v>
      </c>
      <c r="I5898" s="444">
        <f t="shared" ca="1" si="200"/>
        <v>-1.4687119754784312E+16</v>
      </c>
      <c r="J5898" s="444">
        <f t="array" ref="J5898">IFERROR(INDEX('Retirement Calculator'!K:K,MATCH('Lorri 401b'!N5898,'Retirement Calculator'!A:A,0),0),0)</f>
        <v>0</v>
      </c>
      <c r="K5898" s="444">
        <f t="shared" ca="1" si="198"/>
        <v>-61196332311601.297</v>
      </c>
      <c r="L5898" s="444">
        <f t="shared" ca="1" si="199"/>
        <v>-1.4748316087095914E+16</v>
      </c>
      <c r="M5898" s="460">
        <f t="shared" si="201"/>
        <v>0.05</v>
      </c>
      <c r="N5898" s="464">
        <f t="shared" si="202"/>
        <v>230560</v>
      </c>
    </row>
    <row r="5899" spans="7:14" ht="11.25" customHeight="1" x14ac:dyDescent="0.3">
      <c r="G5899" s="459"/>
      <c r="H5899" s="459">
        <v>5892</v>
      </c>
      <c r="I5899" s="444">
        <f t="shared" ca="1" si="200"/>
        <v>-1.4748316087095914E+16</v>
      </c>
      <c r="J5899" s="444">
        <f t="array" ref="J5899">IFERROR(INDEX('Retirement Calculator'!K:K,MATCH('Lorri 401b'!N5899,'Retirement Calculator'!A:A,0),0),0)</f>
        <v>0</v>
      </c>
      <c r="K5899" s="444">
        <f t="shared" ca="1" si="198"/>
        <v>-61451317029566.305</v>
      </c>
      <c r="L5899" s="444">
        <f t="shared" ca="1" si="199"/>
        <v>-1.480976740412548E+16</v>
      </c>
      <c r="M5899" s="460">
        <f t="shared" si="201"/>
        <v>0.05</v>
      </c>
      <c r="N5899" s="464">
        <f t="shared" si="202"/>
        <v>230590</v>
      </c>
    </row>
    <row r="5900" spans="7:14" ht="11.25" customHeight="1" x14ac:dyDescent="0.3">
      <c r="G5900" s="459"/>
      <c r="H5900" s="459">
        <v>5893</v>
      </c>
      <c r="I5900" s="444">
        <f t="shared" ca="1" si="200"/>
        <v>-1.480976740412548E+16</v>
      </c>
      <c r="J5900" s="444">
        <f t="array" ref="J5900">IFERROR(INDEX('Retirement Calculator'!K:K,MATCH('Lorri 401b'!N5900,'Retirement Calculator'!A:A,0),0),0)</f>
        <v>0</v>
      </c>
      <c r="K5900" s="444">
        <f t="shared" ca="1" si="198"/>
        <v>-61707364183856.164</v>
      </c>
      <c r="L5900" s="444">
        <f t="shared" ca="1" si="199"/>
        <v>-1.4871474768309336E+16</v>
      </c>
      <c r="M5900" s="460">
        <f t="shared" si="201"/>
        <v>0.05</v>
      </c>
      <c r="N5900" s="464">
        <f t="shared" si="202"/>
        <v>230621</v>
      </c>
    </row>
    <row r="5901" spans="7:14" ht="11.25" customHeight="1" x14ac:dyDescent="0.3">
      <c r="G5901" s="459"/>
      <c r="H5901" s="459">
        <v>5894</v>
      </c>
      <c r="I5901" s="444">
        <f t="shared" ca="1" si="200"/>
        <v>-1.4871474768309336E+16</v>
      </c>
      <c r="J5901" s="444">
        <f t="array" ref="J5901">IFERROR(INDEX('Retirement Calculator'!K:K,MATCH('Lorri 401b'!N5901,'Retirement Calculator'!A:A,0),0),0)</f>
        <v>0</v>
      </c>
      <c r="K5901" s="444">
        <f t="shared" ca="1" si="198"/>
        <v>-61964478201288.898</v>
      </c>
      <c r="L5901" s="444">
        <f t="shared" ca="1" si="199"/>
        <v>-1.4933439246510624E+16</v>
      </c>
      <c r="M5901" s="460">
        <f t="shared" si="201"/>
        <v>0.05</v>
      </c>
      <c r="N5901" s="464">
        <f t="shared" si="202"/>
        <v>230651</v>
      </c>
    </row>
    <row r="5902" spans="7:14" ht="11.25" customHeight="1" x14ac:dyDescent="0.3">
      <c r="G5902" s="459"/>
      <c r="H5902" s="459">
        <v>5895</v>
      </c>
      <c r="I5902" s="444">
        <f t="shared" ca="1" si="200"/>
        <v>-1.4933439246510624E+16</v>
      </c>
      <c r="J5902" s="444">
        <f t="array" ref="J5902">IFERROR(INDEX('Retirement Calculator'!K:K,MATCH('Lorri 401b'!N5902,'Retirement Calculator'!A:A,0),0),0)</f>
        <v>0</v>
      </c>
      <c r="K5902" s="444">
        <f t="shared" ca="1" si="198"/>
        <v>-62222663527127.609</v>
      </c>
      <c r="L5902" s="444">
        <f t="shared" ca="1" si="199"/>
        <v>-1.4995661910037752E+16</v>
      </c>
      <c r="M5902" s="460">
        <f t="shared" si="201"/>
        <v>0.05</v>
      </c>
      <c r="N5902" s="464">
        <f t="shared" si="202"/>
        <v>230682</v>
      </c>
    </row>
    <row r="5903" spans="7:14" ht="11.25" customHeight="1" x14ac:dyDescent="0.3">
      <c r="G5903" s="459"/>
      <c r="H5903" s="459">
        <v>5896</v>
      </c>
      <c r="I5903" s="444">
        <f t="shared" ca="1" si="200"/>
        <v>-1.4995661910037752E+16</v>
      </c>
      <c r="J5903" s="444">
        <f t="array" ref="J5903">IFERROR(INDEX('Retirement Calculator'!K:K,MATCH('Lorri 401b'!N5903,'Retirement Calculator'!A:A,0),0),0)</f>
        <v>0</v>
      </c>
      <c r="K5903" s="444">
        <f t="shared" ca="1" si="198"/>
        <v>-62481924625157.289</v>
      </c>
      <c r="L5903" s="444">
        <f t="shared" ca="1" si="199"/>
        <v>-1.505814383466291E+16</v>
      </c>
      <c r="M5903" s="460">
        <f t="shared" si="201"/>
        <v>0.05</v>
      </c>
      <c r="N5903" s="464">
        <f t="shared" si="202"/>
        <v>230713</v>
      </c>
    </row>
    <row r="5904" spans="7:14" ht="11.25" customHeight="1" x14ac:dyDescent="0.3">
      <c r="G5904" s="459"/>
      <c r="H5904" s="459">
        <v>5897</v>
      </c>
      <c r="I5904" s="444">
        <f t="shared" ca="1" si="200"/>
        <v>-1.505814383466291E+16</v>
      </c>
      <c r="J5904" s="444">
        <f t="array" ref="J5904">IFERROR(INDEX('Retirement Calculator'!K:K,MATCH('Lorri 401b'!N5904,'Retirement Calculator'!A:A,0),0),0)</f>
        <v>0</v>
      </c>
      <c r="K5904" s="444">
        <f t="shared" ca="1" si="198"/>
        <v>-62742265977762.125</v>
      </c>
      <c r="L5904" s="444">
        <f t="shared" ca="1" si="199"/>
        <v>-1.5120886100640672E+16</v>
      </c>
      <c r="M5904" s="460">
        <f t="shared" si="201"/>
        <v>0.05</v>
      </c>
      <c r="N5904" s="464">
        <f t="shared" si="202"/>
        <v>230743</v>
      </c>
    </row>
    <row r="5905" spans="7:14" ht="11.25" customHeight="1" x14ac:dyDescent="0.3">
      <c r="G5905" s="459"/>
      <c r="H5905" s="459">
        <v>5898</v>
      </c>
      <c r="I5905" s="444">
        <f t="shared" ca="1" si="200"/>
        <v>-1.5120886100640672E+16</v>
      </c>
      <c r="J5905" s="444">
        <f t="array" ref="J5905">IFERROR(INDEX('Retirement Calculator'!K:K,MATCH('Lorri 401b'!N5905,'Retirement Calculator'!A:A,0),0),0)</f>
        <v>0</v>
      </c>
      <c r="K5905" s="444">
        <f t="shared" ca="1" si="198"/>
        <v>-63003692086002.797</v>
      </c>
      <c r="L5905" s="444">
        <f t="shared" ca="1" si="199"/>
        <v>-1.5183889792726674E+16</v>
      </c>
      <c r="M5905" s="460">
        <f t="shared" si="201"/>
        <v>0.05</v>
      </c>
      <c r="N5905" s="464">
        <f t="shared" si="202"/>
        <v>230774</v>
      </c>
    </row>
    <row r="5906" spans="7:14" ht="11.25" customHeight="1" x14ac:dyDescent="0.3">
      <c r="G5906" s="459"/>
      <c r="H5906" s="459">
        <v>5899</v>
      </c>
      <c r="I5906" s="444">
        <f t="shared" ca="1" si="200"/>
        <v>-1.5183889792726674E+16</v>
      </c>
      <c r="J5906" s="444">
        <f t="array" ref="J5906">IFERROR(INDEX('Retirement Calculator'!K:K,MATCH('Lorri 401b'!N5906,'Retirement Calculator'!A:A,0),0),0)</f>
        <v>0</v>
      </c>
      <c r="K5906" s="444">
        <f t="shared" ca="1" si="198"/>
        <v>-63266207469694.484</v>
      </c>
      <c r="L5906" s="444">
        <f t="shared" ca="1" si="199"/>
        <v>-1.5247156000196368E+16</v>
      </c>
      <c r="M5906" s="460">
        <f t="shared" si="201"/>
        <v>0.05</v>
      </c>
      <c r="N5906" s="464">
        <f t="shared" si="202"/>
        <v>230804</v>
      </c>
    </row>
    <row r="5907" spans="7:14" ht="11.25" customHeight="1" x14ac:dyDescent="0.3">
      <c r="G5907" s="459"/>
      <c r="H5907" s="459">
        <v>5900</v>
      </c>
      <c r="I5907" s="444">
        <f t="shared" ca="1" si="200"/>
        <v>-1.5247156000196368E+16</v>
      </c>
      <c r="J5907" s="444">
        <f t="array" ref="J5907">IFERROR(INDEX('Retirement Calculator'!K:K,MATCH('Lorri 401b'!N5907,'Retirement Calculator'!A:A,0),0),0)</f>
        <v>0</v>
      </c>
      <c r="K5907" s="444">
        <f t="shared" ca="1" si="198"/>
        <v>-63529816667484.875</v>
      </c>
      <c r="L5907" s="444">
        <f t="shared" ca="1" si="199"/>
        <v>-1.5310685816863852E+16</v>
      </c>
      <c r="M5907" s="460">
        <f t="shared" si="201"/>
        <v>0.05</v>
      </c>
      <c r="N5907" s="464">
        <f t="shared" si="202"/>
        <v>230835</v>
      </c>
    </row>
    <row r="5908" spans="7:14" ht="11.25" customHeight="1" x14ac:dyDescent="0.3">
      <c r="G5908" s="459"/>
      <c r="H5908" s="459">
        <v>5901</v>
      </c>
      <c r="I5908" s="444">
        <f t="shared" ca="1" si="200"/>
        <v>-1.5310685816863852E+16</v>
      </c>
      <c r="J5908" s="444">
        <f t="array" ref="J5908">IFERROR(INDEX('Retirement Calculator'!K:K,MATCH('Lorri 401b'!N5908,'Retirement Calculator'!A:A,0),0),0)</f>
        <v>0</v>
      </c>
      <c r="K5908" s="444">
        <f t="shared" ca="1" si="198"/>
        <v>-63794524236932.719</v>
      </c>
      <c r="L5908" s="444">
        <f t="shared" ca="1" si="199"/>
        <v>-1.5374480341100784E+16</v>
      </c>
      <c r="M5908" s="460">
        <f t="shared" si="201"/>
        <v>0.05</v>
      </c>
      <c r="N5908" s="464">
        <f t="shared" si="202"/>
        <v>230866</v>
      </c>
    </row>
    <row r="5909" spans="7:14" ht="11.25" customHeight="1" x14ac:dyDescent="0.3">
      <c r="G5909" s="459"/>
      <c r="H5909" s="459">
        <v>5902</v>
      </c>
      <c r="I5909" s="444">
        <f t="shared" ca="1" si="200"/>
        <v>-1.5374480341100784E+16</v>
      </c>
      <c r="J5909" s="444">
        <f t="array" ref="J5909">IFERROR(INDEX('Retirement Calculator'!K:K,MATCH('Lorri 401b'!N5909,'Retirement Calculator'!A:A,0),0),0)</f>
        <v>0</v>
      </c>
      <c r="K5909" s="444">
        <f t="shared" ca="1" si="198"/>
        <v>-64060334754586.602</v>
      </c>
      <c r="L5909" s="444">
        <f t="shared" ca="1" si="199"/>
        <v>-1.543854067585537E+16</v>
      </c>
      <c r="M5909" s="460">
        <f t="shared" si="201"/>
        <v>0.05</v>
      </c>
      <c r="N5909" s="464">
        <f t="shared" si="202"/>
        <v>230895</v>
      </c>
    </row>
    <row r="5910" spans="7:14" ht="11.25" customHeight="1" x14ac:dyDescent="0.3">
      <c r="G5910" s="459"/>
      <c r="H5910" s="459">
        <v>5903</v>
      </c>
      <c r="I5910" s="444">
        <f t="shared" ca="1" si="200"/>
        <v>-1.543854067585537E+16</v>
      </c>
      <c r="J5910" s="444">
        <f t="array" ref="J5910">IFERROR(INDEX('Retirement Calculator'!K:K,MATCH('Lorri 401b'!N5910,'Retirement Calculator'!A:A,0),0),0)</f>
        <v>0</v>
      </c>
      <c r="K5910" s="444">
        <f t="shared" ca="1" si="198"/>
        <v>-64327252816064.039</v>
      </c>
      <c r="L5910" s="444">
        <f t="shared" ca="1" si="199"/>
        <v>-1.5502867928671434E+16</v>
      </c>
      <c r="M5910" s="460">
        <f t="shared" si="201"/>
        <v>0.05</v>
      </c>
      <c r="N5910" s="464">
        <f t="shared" si="202"/>
        <v>230926</v>
      </c>
    </row>
    <row r="5911" spans="7:14" ht="11.25" customHeight="1" x14ac:dyDescent="0.3">
      <c r="G5911" s="459"/>
      <c r="H5911" s="459">
        <v>5904</v>
      </c>
      <c r="I5911" s="444">
        <f t="shared" ca="1" si="200"/>
        <v>-1.5502867928671434E+16</v>
      </c>
      <c r="J5911" s="444">
        <f t="array" ref="J5911">IFERROR(INDEX('Retirement Calculator'!K:K,MATCH('Lorri 401b'!N5911,'Retirement Calculator'!A:A,0),0),0)</f>
        <v>0</v>
      </c>
      <c r="K5911" s="444">
        <f t="shared" ca="1" si="198"/>
        <v>-64595283036130.977</v>
      </c>
      <c r="L5911" s="444">
        <f t="shared" ca="1" si="199"/>
        <v>-1.5567463211707564E+16</v>
      </c>
      <c r="M5911" s="460">
        <f t="shared" si="201"/>
        <v>0.05</v>
      </c>
      <c r="N5911" s="464">
        <f t="shared" si="202"/>
        <v>230956</v>
      </c>
    </row>
    <row r="5912" spans="7:14" ht="11.25" customHeight="1" x14ac:dyDescent="0.3">
      <c r="G5912" s="459"/>
      <c r="H5912" s="459">
        <v>5905</v>
      </c>
      <c r="I5912" s="444">
        <f t="shared" ca="1" si="200"/>
        <v>-1.5567463211707564E+16</v>
      </c>
      <c r="J5912" s="444">
        <f t="array" ref="J5912">IFERROR(INDEX('Retirement Calculator'!K:K,MATCH('Lorri 401b'!N5912,'Retirement Calculator'!A:A,0),0),0)</f>
        <v>0</v>
      </c>
      <c r="K5912" s="444">
        <f t="shared" ca="1" si="198"/>
        <v>-64864430048781.508</v>
      </c>
      <c r="L5912" s="444">
        <f t="shared" ca="1" si="199"/>
        <v>-1.5632327641756346E+16</v>
      </c>
      <c r="M5912" s="460">
        <f t="shared" si="201"/>
        <v>0.05</v>
      </c>
      <c r="N5912" s="464">
        <f t="shared" si="202"/>
        <v>230987</v>
      </c>
    </row>
    <row r="5913" spans="7:14" ht="11.25" customHeight="1" x14ac:dyDescent="0.3">
      <c r="G5913" s="459"/>
      <c r="H5913" s="459">
        <v>5906</v>
      </c>
      <c r="I5913" s="444">
        <f t="shared" ca="1" si="200"/>
        <v>-1.5632327641756346E+16</v>
      </c>
      <c r="J5913" s="444">
        <f t="array" ref="J5913">IFERROR(INDEX('Retirement Calculator'!K:K,MATCH('Lorri 401b'!N5913,'Retirement Calculator'!A:A,0),0),0)</f>
        <v>0</v>
      </c>
      <c r="K5913" s="444">
        <f t="shared" ca="1" si="198"/>
        <v>-65134698507318.109</v>
      </c>
      <c r="L5913" s="444">
        <f t="shared" ca="1" si="199"/>
        <v>-1.5697462340263664E+16</v>
      </c>
      <c r="M5913" s="460">
        <f t="shared" si="201"/>
        <v>0.05</v>
      </c>
      <c r="N5913" s="464">
        <f t="shared" si="202"/>
        <v>231017</v>
      </c>
    </row>
    <row r="5914" spans="7:14" ht="11.25" customHeight="1" x14ac:dyDescent="0.3">
      <c r="G5914" s="459"/>
      <c r="H5914" s="459">
        <v>5907</v>
      </c>
      <c r="I5914" s="444">
        <f t="shared" ca="1" si="200"/>
        <v>-1.5697462340263664E+16</v>
      </c>
      <c r="J5914" s="444">
        <f t="array" ref="J5914">IFERROR(INDEX('Retirement Calculator'!K:K,MATCH('Lorri 401b'!N5914,'Retirement Calculator'!A:A,0),0),0)</f>
        <v>0</v>
      </c>
      <c r="K5914" s="444">
        <f t="shared" ca="1" si="198"/>
        <v>-65406093084431.922</v>
      </c>
      <c r="L5914" s="444">
        <f t="shared" ca="1" si="199"/>
        <v>-1.5762868433348096E+16</v>
      </c>
      <c r="M5914" s="460">
        <f t="shared" si="201"/>
        <v>0.05</v>
      </c>
      <c r="N5914" s="464">
        <f t="shared" si="202"/>
        <v>231048</v>
      </c>
    </row>
    <row r="5915" spans="7:14" ht="11.25" customHeight="1" x14ac:dyDescent="0.3">
      <c r="G5915" s="459"/>
      <c r="H5915" s="459">
        <v>5908</v>
      </c>
      <c r="I5915" s="444">
        <f t="shared" ca="1" si="200"/>
        <v>-1.5762868433348096E+16</v>
      </c>
      <c r="J5915" s="444">
        <f t="array" ref="J5915">IFERROR(INDEX('Retirement Calculator'!K:K,MATCH('Lorri 401b'!N5915,'Retirement Calculator'!A:A,0),0),0)</f>
        <v>0</v>
      </c>
      <c r="K5915" s="444">
        <f t="shared" ca="1" si="198"/>
        <v>-65678618472283.727</v>
      </c>
      <c r="L5915" s="444">
        <f t="shared" ca="1" si="199"/>
        <v>-1.582854705182038E+16</v>
      </c>
      <c r="M5915" s="460">
        <f t="shared" si="201"/>
        <v>0.05</v>
      </c>
      <c r="N5915" s="464">
        <f t="shared" si="202"/>
        <v>231079</v>
      </c>
    </row>
    <row r="5916" spans="7:14" ht="11.25" customHeight="1" x14ac:dyDescent="0.3">
      <c r="G5916" s="459"/>
      <c r="H5916" s="459">
        <v>5909</v>
      </c>
      <c r="I5916" s="444">
        <f t="shared" ca="1" si="200"/>
        <v>-1.582854705182038E+16</v>
      </c>
      <c r="J5916" s="444">
        <f t="array" ref="J5916">IFERROR(INDEX('Retirement Calculator'!K:K,MATCH('Lorri 401b'!N5916,'Retirement Calculator'!A:A,0),0),0)</f>
        <v>0</v>
      </c>
      <c r="K5916" s="444">
        <f t="shared" ca="1" si="198"/>
        <v>-65952279382584.914</v>
      </c>
      <c r="L5916" s="444">
        <f t="shared" ca="1" si="199"/>
        <v>-1.5894499331202964E+16</v>
      </c>
      <c r="M5916" s="460">
        <f t="shared" si="201"/>
        <v>0.05</v>
      </c>
      <c r="N5916" s="464">
        <f t="shared" si="202"/>
        <v>231109</v>
      </c>
    </row>
    <row r="5917" spans="7:14" ht="11.25" customHeight="1" x14ac:dyDescent="0.3">
      <c r="G5917" s="459"/>
      <c r="H5917" s="459">
        <v>5910</v>
      </c>
      <c r="I5917" s="444">
        <f t="shared" ca="1" si="200"/>
        <v>-1.5894499331202964E+16</v>
      </c>
      <c r="J5917" s="444">
        <f t="array" ref="J5917">IFERROR(INDEX('Retirement Calculator'!K:K,MATCH('Lorri 401b'!N5917,'Retirement Calculator'!A:A,0),0),0)</f>
        <v>0</v>
      </c>
      <c r="K5917" s="444">
        <f t="shared" ca="1" si="198"/>
        <v>-66227080546679.023</v>
      </c>
      <c r="L5917" s="444">
        <f t="shared" ca="1" si="199"/>
        <v>-1.5960726411749644E+16</v>
      </c>
      <c r="M5917" s="460">
        <f t="shared" si="201"/>
        <v>0.05</v>
      </c>
      <c r="N5917" s="464">
        <f t="shared" si="202"/>
        <v>231140</v>
      </c>
    </row>
    <row r="5918" spans="7:14" ht="11.25" customHeight="1" x14ac:dyDescent="0.3">
      <c r="G5918" s="459"/>
      <c r="H5918" s="459">
        <v>5911</v>
      </c>
      <c r="I5918" s="444">
        <f t="shared" ca="1" si="200"/>
        <v>-1.5960726411749644E+16</v>
      </c>
      <c r="J5918" s="444">
        <f t="array" ref="J5918">IFERROR(INDEX('Retirement Calculator'!K:K,MATCH('Lorri 401b'!N5918,'Retirement Calculator'!A:A,0),0),0)</f>
        <v>0</v>
      </c>
      <c r="K5918" s="444">
        <f t="shared" ca="1" si="198"/>
        <v>-66503026715623.516</v>
      </c>
      <c r="L5918" s="444">
        <f t="shared" ca="1" si="199"/>
        <v>-1.6027229438465268E+16</v>
      </c>
      <c r="M5918" s="460">
        <f t="shared" si="201"/>
        <v>0.05</v>
      </c>
      <c r="N5918" s="464">
        <f t="shared" si="202"/>
        <v>231170</v>
      </c>
    </row>
    <row r="5919" spans="7:14" ht="11.25" customHeight="1" x14ac:dyDescent="0.3">
      <c r="G5919" s="459"/>
      <c r="H5919" s="459">
        <v>5912</v>
      </c>
      <c r="I5919" s="444">
        <f t="shared" ca="1" si="200"/>
        <v>-1.6027229438465268E+16</v>
      </c>
      <c r="J5919" s="444">
        <f t="array" ref="J5919">IFERROR(INDEX('Retirement Calculator'!K:K,MATCH('Lorri 401b'!N5919,'Retirement Calculator'!A:A,0),0),0)</f>
        <v>0</v>
      </c>
      <c r="K5919" s="444">
        <f t="shared" ca="1" si="198"/>
        <v>-66780122660271.945</v>
      </c>
      <c r="L5919" s="444">
        <f t="shared" ca="1" si="199"/>
        <v>-1.609400956112554E+16</v>
      </c>
      <c r="M5919" s="460">
        <f t="shared" si="201"/>
        <v>0.05</v>
      </c>
      <c r="N5919" s="464">
        <f t="shared" si="202"/>
        <v>231201</v>
      </c>
    </row>
    <row r="5920" spans="7:14" ht="11.25" customHeight="1" x14ac:dyDescent="0.3">
      <c r="G5920" s="459"/>
      <c r="H5920" s="459">
        <v>5913</v>
      </c>
      <c r="I5920" s="444">
        <f t="shared" ca="1" si="200"/>
        <v>-1.609400956112554E+16</v>
      </c>
      <c r="J5920" s="444">
        <f t="array" ref="J5920">IFERROR(INDEX('Retirement Calculator'!K:K,MATCH('Lorri 401b'!N5920,'Retirement Calculator'!A:A,0),0),0)</f>
        <v>0</v>
      </c>
      <c r="K5920" s="444">
        <f t="shared" ca="1" si="198"/>
        <v>-67058373171356.406</v>
      </c>
      <c r="L5920" s="444">
        <f t="shared" ca="1" si="199"/>
        <v>-1.6161067934296896E+16</v>
      </c>
      <c r="M5920" s="460">
        <f t="shared" si="201"/>
        <v>0.05</v>
      </c>
      <c r="N5920" s="464">
        <f t="shared" si="202"/>
        <v>231232</v>
      </c>
    </row>
    <row r="5921" spans="7:14" ht="11.25" customHeight="1" x14ac:dyDescent="0.3">
      <c r="G5921" s="459"/>
      <c r="H5921" s="459">
        <v>5914</v>
      </c>
      <c r="I5921" s="444">
        <f t="shared" ca="1" si="200"/>
        <v>-1.6161067934296896E+16</v>
      </c>
      <c r="J5921" s="444">
        <f t="array" ref="J5921">IFERROR(INDEX('Retirement Calculator'!K:K,MATCH('Lorri 401b'!N5921,'Retirement Calculator'!A:A,0),0),0)</f>
        <v>0</v>
      </c>
      <c r="K5921" s="444">
        <f t="shared" ca="1" si="198"/>
        <v>-67337783059570.398</v>
      </c>
      <c r="L5921" s="444">
        <f t="shared" ca="1" si="199"/>
        <v>-1.6228405717356466E+16</v>
      </c>
      <c r="M5921" s="460">
        <f t="shared" si="201"/>
        <v>0.05</v>
      </c>
      <c r="N5921" s="464">
        <f t="shared" si="202"/>
        <v>231260</v>
      </c>
    </row>
    <row r="5922" spans="7:14" ht="11.25" customHeight="1" x14ac:dyDescent="0.3">
      <c r="G5922" s="459"/>
      <c r="H5922" s="459">
        <v>5915</v>
      </c>
      <c r="I5922" s="444">
        <f t="shared" ca="1" si="200"/>
        <v>-1.6228405717356466E+16</v>
      </c>
      <c r="J5922" s="444">
        <f t="array" ref="J5922">IFERROR(INDEX('Retirement Calculator'!K:K,MATCH('Lorri 401b'!N5922,'Retirement Calculator'!A:A,0),0),0)</f>
        <v>0</v>
      </c>
      <c r="K5922" s="444">
        <f t="shared" ca="1" si="198"/>
        <v>-67618357155651.945</v>
      </c>
      <c r="L5922" s="444">
        <f t="shared" ca="1" si="199"/>
        <v>-1.6296024074512118E+16</v>
      </c>
      <c r="M5922" s="460">
        <f t="shared" si="201"/>
        <v>0.05</v>
      </c>
      <c r="N5922" s="464">
        <f t="shared" si="202"/>
        <v>231291</v>
      </c>
    </row>
    <row r="5923" spans="7:14" ht="11.25" customHeight="1" x14ac:dyDescent="0.3">
      <c r="G5923" s="459"/>
      <c r="H5923" s="459">
        <v>5916</v>
      </c>
      <c r="I5923" s="444">
        <f t="shared" ca="1" si="200"/>
        <v>-1.6296024074512118E+16</v>
      </c>
      <c r="J5923" s="444">
        <f t="array" ref="J5923">IFERROR(INDEX('Retirement Calculator'!K:K,MATCH('Lorri 401b'!N5923,'Retirement Calculator'!A:A,0),0),0)</f>
        <v>0</v>
      </c>
      <c r="K5923" s="444">
        <f t="shared" ca="1" si="198"/>
        <v>-67900100310467.156</v>
      </c>
      <c r="L5923" s="444">
        <f t="shared" ca="1" si="199"/>
        <v>-1.6363924174822586E+16</v>
      </c>
      <c r="M5923" s="460">
        <f t="shared" si="201"/>
        <v>0.05</v>
      </c>
      <c r="N5923" s="464">
        <f t="shared" si="202"/>
        <v>231321</v>
      </c>
    </row>
    <row r="5924" spans="7:14" ht="11.25" customHeight="1" x14ac:dyDescent="0.3">
      <c r="G5924" s="459"/>
      <c r="H5924" s="459">
        <v>5917</v>
      </c>
      <c r="I5924" s="444">
        <f t="shared" ca="1" si="200"/>
        <v>-1.6363924174822586E+16</v>
      </c>
      <c r="J5924" s="444">
        <f t="array" ref="J5924">IFERROR(INDEX('Retirement Calculator'!K:K,MATCH('Lorri 401b'!N5924,'Retirement Calculator'!A:A,0),0),0)</f>
        <v>0</v>
      </c>
      <c r="K5924" s="444">
        <f t="shared" ca="1" si="198"/>
        <v>-68183017395094.109</v>
      </c>
      <c r="L5924" s="444">
        <f t="shared" ca="1" si="199"/>
        <v>-1.643210719221768E+16</v>
      </c>
      <c r="M5924" s="460">
        <f t="shared" si="201"/>
        <v>0.05</v>
      </c>
      <c r="N5924" s="464">
        <f t="shared" si="202"/>
        <v>231352</v>
      </c>
    </row>
    <row r="5925" spans="7:14" ht="11.25" customHeight="1" x14ac:dyDescent="0.3">
      <c r="G5925" s="459"/>
      <c r="H5925" s="459">
        <v>5918</v>
      </c>
      <c r="I5925" s="444">
        <f t="shared" ca="1" si="200"/>
        <v>-1.643210719221768E+16</v>
      </c>
      <c r="J5925" s="444">
        <f t="array" ref="J5925">IFERROR(INDEX('Retirement Calculator'!K:K,MATCH('Lorri 401b'!N5925,'Retirement Calculator'!A:A,0),0),0)</f>
        <v>0</v>
      </c>
      <c r="K5925" s="444">
        <f t="shared" ca="1" si="198"/>
        <v>-68467113300906.992</v>
      </c>
      <c r="L5925" s="444">
        <f t="shared" ca="1" si="199"/>
        <v>-1.6500574305518586E+16</v>
      </c>
      <c r="M5925" s="460">
        <f t="shared" si="201"/>
        <v>0.05</v>
      </c>
      <c r="N5925" s="464">
        <f t="shared" si="202"/>
        <v>231382</v>
      </c>
    </row>
    <row r="5926" spans="7:14" ht="11.25" customHeight="1" x14ac:dyDescent="0.3">
      <c r="G5926" s="459"/>
      <c r="H5926" s="459">
        <v>5919</v>
      </c>
      <c r="I5926" s="444">
        <f t="shared" ca="1" si="200"/>
        <v>-1.6500574305518586E+16</v>
      </c>
      <c r="J5926" s="444">
        <f t="array" ref="J5926">IFERROR(INDEX('Retirement Calculator'!K:K,MATCH('Lorri 401b'!N5926,'Retirement Calculator'!A:A,0),0),0)</f>
        <v>0</v>
      </c>
      <c r="K5926" s="444">
        <f t="shared" ca="1" si="198"/>
        <v>-68752392939660.773</v>
      </c>
      <c r="L5926" s="444">
        <f t="shared" ca="1" si="199"/>
        <v>-1.6569326698458246E+16</v>
      </c>
      <c r="M5926" s="460">
        <f t="shared" si="201"/>
        <v>0.05</v>
      </c>
      <c r="N5926" s="464">
        <f t="shared" si="202"/>
        <v>231413</v>
      </c>
    </row>
    <row r="5927" spans="7:14" ht="11.25" customHeight="1" x14ac:dyDescent="0.3">
      <c r="G5927" s="459"/>
      <c r="H5927" s="459">
        <v>5920</v>
      </c>
      <c r="I5927" s="444">
        <f t="shared" ca="1" si="200"/>
        <v>-1.6569326698458246E+16</v>
      </c>
      <c r="J5927" s="444">
        <f t="array" ref="J5927">IFERROR(INDEX('Retirement Calculator'!K:K,MATCH('Lorri 401b'!N5927,'Retirement Calculator'!A:A,0),0),0)</f>
        <v>0</v>
      </c>
      <c r="K5927" s="444">
        <f t="shared" ca="1" si="198"/>
        <v>-69038861243576.023</v>
      </c>
      <c r="L5927" s="444">
        <f t="shared" ca="1" si="199"/>
        <v>-1.6638365559701822E+16</v>
      </c>
      <c r="M5927" s="460">
        <f t="shared" si="201"/>
        <v>0.05</v>
      </c>
      <c r="N5927" s="464">
        <f t="shared" si="202"/>
        <v>231444</v>
      </c>
    </row>
    <row r="5928" spans="7:14" ht="11.25" customHeight="1" x14ac:dyDescent="0.3">
      <c r="G5928" s="459"/>
      <c r="H5928" s="459">
        <v>5921</v>
      </c>
      <c r="I5928" s="444">
        <f t="shared" ca="1" si="200"/>
        <v>-1.6638365559701822E+16</v>
      </c>
      <c r="J5928" s="444">
        <f t="array" ref="J5928">IFERROR(INDEX('Retirement Calculator'!K:K,MATCH('Lorri 401b'!N5928,'Retirement Calculator'!A:A,0),0),0)</f>
        <v>0</v>
      </c>
      <c r="K5928" s="444">
        <f t="shared" ca="1" si="198"/>
        <v>-69326523165424.266</v>
      </c>
      <c r="L5928" s="444">
        <f t="shared" ca="1" si="199"/>
        <v>-1.6707692082867246E+16</v>
      </c>
      <c r="M5928" s="460">
        <f t="shared" si="201"/>
        <v>0.05</v>
      </c>
      <c r="N5928" s="464">
        <f t="shared" si="202"/>
        <v>231474</v>
      </c>
    </row>
    <row r="5929" spans="7:14" ht="11.25" customHeight="1" x14ac:dyDescent="0.3">
      <c r="G5929" s="459"/>
      <c r="H5929" s="459">
        <v>5922</v>
      </c>
      <c r="I5929" s="444">
        <f t="shared" ca="1" si="200"/>
        <v>-1.6707692082867246E+16</v>
      </c>
      <c r="J5929" s="444">
        <f t="array" ref="J5929">IFERROR(INDEX('Retirement Calculator'!K:K,MATCH('Lorri 401b'!N5929,'Retirement Calculator'!A:A,0),0),0)</f>
        <v>0</v>
      </c>
      <c r="K5929" s="444">
        <f t="shared" ca="1" si="198"/>
        <v>-69615383678613.523</v>
      </c>
      <c r="L5929" s="444">
        <f t="shared" ca="1" si="199"/>
        <v>-1.677730746654586E+16</v>
      </c>
      <c r="M5929" s="460">
        <f t="shared" si="201"/>
        <v>0.05</v>
      </c>
      <c r="N5929" s="464">
        <f t="shared" si="202"/>
        <v>231505</v>
      </c>
    </row>
    <row r="5930" spans="7:14" ht="11.25" customHeight="1" x14ac:dyDescent="0.3">
      <c r="G5930" s="459"/>
      <c r="H5930" s="459">
        <v>5923</v>
      </c>
      <c r="I5930" s="444">
        <f t="shared" ca="1" si="200"/>
        <v>-1.677730746654586E+16</v>
      </c>
      <c r="J5930" s="444">
        <f t="array" ref="J5930">IFERROR(INDEX('Retirement Calculator'!K:K,MATCH('Lorri 401b'!N5930,'Retirement Calculator'!A:A,0),0),0)</f>
        <v>0</v>
      </c>
      <c r="K5930" s="444">
        <f t="shared" ca="1" si="198"/>
        <v>-69905447777274.422</v>
      </c>
      <c r="L5930" s="444">
        <f t="shared" ca="1" si="199"/>
        <v>-1.6847212914323134E+16</v>
      </c>
      <c r="M5930" s="460">
        <f t="shared" si="201"/>
        <v>0.05</v>
      </c>
      <c r="N5930" s="464">
        <f t="shared" si="202"/>
        <v>231535</v>
      </c>
    </row>
    <row r="5931" spans="7:14" ht="11.25" customHeight="1" x14ac:dyDescent="0.3">
      <c r="G5931" s="459"/>
      <c r="H5931" s="459">
        <v>5924</v>
      </c>
      <c r="I5931" s="444">
        <f t="shared" ca="1" si="200"/>
        <v>-1.6847212914323134E+16</v>
      </c>
      <c r="J5931" s="444">
        <f t="array" ref="J5931">IFERROR(INDEX('Retirement Calculator'!K:K,MATCH('Lorri 401b'!N5931,'Retirement Calculator'!A:A,0),0),0)</f>
        <v>0</v>
      </c>
      <c r="K5931" s="444">
        <f t="shared" ca="1" si="198"/>
        <v>-70196720476346.391</v>
      </c>
      <c r="L5931" s="444">
        <f t="shared" ca="1" si="199"/>
        <v>-1.691740963479948E+16</v>
      </c>
      <c r="M5931" s="460">
        <f t="shared" si="201"/>
        <v>0.05</v>
      </c>
      <c r="N5931" s="464">
        <f t="shared" si="202"/>
        <v>231566</v>
      </c>
    </row>
    <row r="5932" spans="7:14" ht="11.25" customHeight="1" x14ac:dyDescent="0.3">
      <c r="G5932" s="459"/>
      <c r="H5932" s="459">
        <v>5925</v>
      </c>
      <c r="I5932" s="444">
        <f t="shared" ca="1" si="200"/>
        <v>-1.691740963479948E+16</v>
      </c>
      <c r="J5932" s="444">
        <f t="array" ref="J5932">IFERROR(INDEX('Retirement Calculator'!K:K,MATCH('Lorri 401b'!N5932,'Retirement Calculator'!A:A,0),0),0)</f>
        <v>0</v>
      </c>
      <c r="K5932" s="444">
        <f t="shared" ca="1" si="198"/>
        <v>-70489206811664.5</v>
      </c>
      <c r="L5932" s="444">
        <f t="shared" ca="1" si="199"/>
        <v>-1.6987898841611144E+16</v>
      </c>
      <c r="M5932" s="460">
        <f t="shared" si="201"/>
        <v>0.05</v>
      </c>
      <c r="N5932" s="464">
        <f t="shared" si="202"/>
        <v>231597</v>
      </c>
    </row>
    <row r="5933" spans="7:14" ht="11.25" customHeight="1" x14ac:dyDescent="0.3">
      <c r="G5933" s="459"/>
      <c r="H5933" s="459">
        <v>5926</v>
      </c>
      <c r="I5933" s="444">
        <f t="shared" ca="1" si="200"/>
        <v>-1.6987898841611144E+16</v>
      </c>
      <c r="J5933" s="444">
        <f t="array" ref="J5933">IFERROR(INDEX('Retirement Calculator'!K:K,MATCH('Lorri 401b'!N5933,'Retirement Calculator'!A:A,0),0),0)</f>
        <v>0</v>
      </c>
      <c r="K5933" s="444">
        <f t="shared" ca="1" si="198"/>
        <v>-70782911840046.422</v>
      </c>
      <c r="L5933" s="444">
        <f t="shared" ca="1" si="199"/>
        <v>-1.705868175345119E+16</v>
      </c>
      <c r="M5933" s="460">
        <f t="shared" si="201"/>
        <v>0.05</v>
      </c>
      <c r="N5933" s="464">
        <f t="shared" si="202"/>
        <v>231625</v>
      </c>
    </row>
    <row r="5934" spans="7:14" ht="11.25" customHeight="1" x14ac:dyDescent="0.3">
      <c r="G5934" s="459"/>
      <c r="H5934" s="459">
        <v>5927</v>
      </c>
      <c r="I5934" s="444">
        <f t="shared" ca="1" si="200"/>
        <v>-1.705868175345119E+16</v>
      </c>
      <c r="J5934" s="444">
        <f t="array" ref="J5934">IFERROR(INDEX('Retirement Calculator'!K:K,MATCH('Lorri 401b'!N5934,'Retirement Calculator'!A:A,0),0),0)</f>
        <v>0</v>
      </c>
      <c r="K5934" s="444">
        <f t="shared" ca="1" si="198"/>
        <v>-71077840639379.953</v>
      </c>
      <c r="L5934" s="444">
        <f t="shared" ca="1" si="199"/>
        <v>-1.712975959409057E+16</v>
      </c>
      <c r="M5934" s="460">
        <f t="shared" si="201"/>
        <v>0.05</v>
      </c>
      <c r="N5934" s="464">
        <f t="shared" si="202"/>
        <v>231656</v>
      </c>
    </row>
    <row r="5935" spans="7:14" ht="11.25" customHeight="1" x14ac:dyDescent="0.3">
      <c r="G5935" s="459"/>
      <c r="H5935" s="459">
        <v>5928</v>
      </c>
      <c r="I5935" s="444">
        <f t="shared" ca="1" si="200"/>
        <v>-1.712975959409057E+16</v>
      </c>
      <c r="J5935" s="444">
        <f t="array" ref="J5935">IFERROR(INDEX('Retirement Calculator'!K:K,MATCH('Lorri 401b'!N5935,'Retirement Calculator'!A:A,0),0),0)</f>
        <v>0</v>
      </c>
      <c r="K5935" s="444">
        <f t="shared" ca="1" si="198"/>
        <v>-71373998308710.703</v>
      </c>
      <c r="L5935" s="444">
        <f t="shared" ca="1" si="199"/>
        <v>-1.720113359239928E+16</v>
      </c>
      <c r="M5935" s="460">
        <f t="shared" si="201"/>
        <v>0.05</v>
      </c>
      <c r="N5935" s="464">
        <f t="shared" si="202"/>
        <v>231686</v>
      </c>
    </row>
    <row r="5936" spans="7:14" ht="11.25" customHeight="1" x14ac:dyDescent="0.3">
      <c r="G5936" s="459"/>
      <c r="H5936" s="459">
        <v>5929</v>
      </c>
      <c r="I5936" s="444">
        <f t="shared" ca="1" si="200"/>
        <v>-1.720113359239928E+16</v>
      </c>
      <c r="J5936" s="444">
        <f t="array" ref="J5936">IFERROR(INDEX('Retirement Calculator'!K:K,MATCH('Lorri 401b'!N5936,'Retirement Calculator'!A:A,0),0),0)</f>
        <v>0</v>
      </c>
      <c r="K5936" s="444">
        <f t="shared" ca="1" si="198"/>
        <v>-71671389968330.328</v>
      </c>
      <c r="L5936" s="444">
        <f t="shared" ca="1" si="199"/>
        <v>-1.727280498236761E+16</v>
      </c>
      <c r="M5936" s="460">
        <f t="shared" si="201"/>
        <v>0.05</v>
      </c>
      <c r="N5936" s="464">
        <f t="shared" si="202"/>
        <v>231717</v>
      </c>
    </row>
    <row r="5937" spans="7:14" ht="11.25" customHeight="1" x14ac:dyDescent="0.3">
      <c r="G5937" s="459"/>
      <c r="H5937" s="459">
        <v>5930</v>
      </c>
      <c r="I5937" s="444">
        <f t="shared" ca="1" si="200"/>
        <v>-1.727280498236761E+16</v>
      </c>
      <c r="J5937" s="444">
        <f t="array" ref="J5937">IFERROR(INDEX('Retirement Calculator'!K:K,MATCH('Lorri 401b'!N5937,'Retirement Calculator'!A:A,0),0),0)</f>
        <v>0</v>
      </c>
      <c r="K5937" s="444">
        <f t="shared" ca="1" si="198"/>
        <v>-71970020759865.047</v>
      </c>
      <c r="L5937" s="444">
        <f t="shared" ca="1" si="199"/>
        <v>-1.7344775003127476E+16</v>
      </c>
      <c r="M5937" s="460">
        <f t="shared" si="201"/>
        <v>0.05</v>
      </c>
      <c r="N5937" s="464">
        <f t="shared" si="202"/>
        <v>231747</v>
      </c>
    </row>
    <row r="5938" spans="7:14" ht="11.25" customHeight="1" x14ac:dyDescent="0.3">
      <c r="G5938" s="459"/>
      <c r="H5938" s="459">
        <v>5931</v>
      </c>
      <c r="I5938" s="444">
        <f t="shared" ca="1" si="200"/>
        <v>-1.7344775003127476E+16</v>
      </c>
      <c r="J5938" s="444">
        <f t="array" ref="J5938">IFERROR(INDEX('Retirement Calculator'!K:K,MATCH('Lorri 401b'!N5938,'Retirement Calculator'!A:A,0),0),0)</f>
        <v>0</v>
      </c>
      <c r="K5938" s="444">
        <f t="shared" ca="1" si="198"/>
        <v>-72269895846364.469</v>
      </c>
      <c r="L5938" s="444">
        <f t="shared" ca="1" si="199"/>
        <v>-1.741704489897384E+16</v>
      </c>
      <c r="M5938" s="460">
        <f t="shared" si="201"/>
        <v>0.05</v>
      </c>
      <c r="N5938" s="464">
        <f t="shared" si="202"/>
        <v>231778</v>
      </c>
    </row>
    <row r="5939" spans="7:14" ht="11.25" customHeight="1" x14ac:dyDescent="0.3">
      <c r="G5939" s="459"/>
      <c r="H5939" s="459">
        <v>5932</v>
      </c>
      <c r="I5939" s="444">
        <f t="shared" ca="1" si="200"/>
        <v>-1.741704489897384E+16</v>
      </c>
      <c r="J5939" s="444">
        <f t="array" ref="J5939">IFERROR(INDEX('Retirement Calculator'!K:K,MATCH('Lorri 401b'!N5939,'Retirement Calculator'!A:A,0),0),0)</f>
        <v>0</v>
      </c>
      <c r="K5939" s="444">
        <f t="shared" ca="1" si="198"/>
        <v>-72571020412391</v>
      </c>
      <c r="L5939" s="444">
        <f t="shared" ca="1" si="199"/>
        <v>-1.7489615919386232E+16</v>
      </c>
      <c r="M5939" s="460">
        <f t="shared" si="201"/>
        <v>0.05</v>
      </c>
      <c r="N5939" s="464">
        <f t="shared" si="202"/>
        <v>231809</v>
      </c>
    </row>
    <row r="5940" spans="7:14" ht="11.25" customHeight="1" x14ac:dyDescent="0.3">
      <c r="G5940" s="459"/>
      <c r="H5940" s="459">
        <v>5933</v>
      </c>
      <c r="I5940" s="444">
        <f t="shared" ca="1" si="200"/>
        <v>-1.7489615919386232E+16</v>
      </c>
      <c r="J5940" s="444">
        <f t="array" ref="J5940">IFERROR(INDEX('Retirement Calculator'!K:K,MATCH('Lorri 401b'!N5940,'Retirement Calculator'!A:A,0),0),0)</f>
        <v>0</v>
      </c>
      <c r="K5940" s="444">
        <f t="shared" ca="1" si="198"/>
        <v>-72873399664109.297</v>
      </c>
      <c r="L5940" s="444">
        <f t="shared" ca="1" si="199"/>
        <v>-1.7562489319050342E+16</v>
      </c>
      <c r="M5940" s="460">
        <f t="shared" si="201"/>
        <v>0.05</v>
      </c>
      <c r="N5940" s="464">
        <f t="shared" si="202"/>
        <v>231839</v>
      </c>
    </row>
    <row r="5941" spans="7:14" ht="11.25" customHeight="1" x14ac:dyDescent="0.3">
      <c r="G5941" s="459"/>
      <c r="H5941" s="459">
        <v>5934</v>
      </c>
      <c r="I5941" s="444">
        <f t="shared" ca="1" si="200"/>
        <v>-1.7562489319050342E+16</v>
      </c>
      <c r="J5941" s="444">
        <f t="array" ref="J5941">IFERROR(INDEX('Retirement Calculator'!K:K,MATCH('Lorri 401b'!N5941,'Retirement Calculator'!A:A,0),0),0)</f>
        <v>0</v>
      </c>
      <c r="K5941" s="444">
        <f t="shared" ca="1" si="198"/>
        <v>-73177038829376.422</v>
      </c>
      <c r="L5941" s="444">
        <f t="shared" ca="1" si="199"/>
        <v>-1.7635666357879718E+16</v>
      </c>
      <c r="M5941" s="460">
        <f t="shared" si="201"/>
        <v>0.05</v>
      </c>
      <c r="N5941" s="464">
        <f t="shared" si="202"/>
        <v>231870</v>
      </c>
    </row>
    <row r="5942" spans="7:14" ht="11.25" customHeight="1" x14ac:dyDescent="0.3">
      <c r="G5942" s="459"/>
      <c r="H5942" s="459">
        <v>5935</v>
      </c>
      <c r="I5942" s="444">
        <f t="shared" ca="1" si="200"/>
        <v>-1.7635666357879718E+16</v>
      </c>
      <c r="J5942" s="444">
        <f t="array" ref="J5942">IFERROR(INDEX('Retirement Calculator'!K:K,MATCH('Lorri 401b'!N5942,'Retirement Calculator'!A:A,0),0),0)</f>
        <v>0</v>
      </c>
      <c r="K5942" s="444">
        <f t="shared" ca="1" si="198"/>
        <v>-73481943157832.156</v>
      </c>
      <c r="L5942" s="444">
        <f t="shared" ca="1" si="199"/>
        <v>-1.770914830103755E+16</v>
      </c>
      <c r="M5942" s="460">
        <f t="shared" si="201"/>
        <v>0.05</v>
      </c>
      <c r="N5942" s="464">
        <f t="shared" si="202"/>
        <v>231900</v>
      </c>
    </row>
    <row r="5943" spans="7:14" ht="11.25" customHeight="1" x14ac:dyDescent="0.3">
      <c r="G5943" s="459"/>
      <c r="H5943" s="459">
        <v>5936</v>
      </c>
      <c r="I5943" s="444">
        <f t="shared" ca="1" si="200"/>
        <v>-1.770914830103755E+16</v>
      </c>
      <c r="J5943" s="444">
        <f t="array" ref="J5943">IFERROR(INDEX('Retirement Calculator'!K:K,MATCH('Lorri 401b'!N5943,'Retirement Calculator'!A:A,0),0),0)</f>
        <v>0</v>
      </c>
      <c r="K5943" s="444">
        <f t="shared" ca="1" si="198"/>
        <v>-73788117920989.797</v>
      </c>
      <c r="L5943" s="444">
        <f t="shared" ca="1" si="199"/>
        <v>-1.778293641895854E+16</v>
      </c>
      <c r="M5943" s="460">
        <f t="shared" si="201"/>
        <v>0.05</v>
      </c>
      <c r="N5943" s="464">
        <f t="shared" si="202"/>
        <v>231931</v>
      </c>
    </row>
    <row r="5944" spans="7:14" ht="11.25" customHeight="1" x14ac:dyDescent="0.3">
      <c r="G5944" s="459"/>
      <c r="H5944" s="459">
        <v>5937</v>
      </c>
      <c r="I5944" s="444">
        <f t="shared" ca="1" si="200"/>
        <v>-1.778293641895854E+16</v>
      </c>
      <c r="J5944" s="444">
        <f t="array" ref="J5944">IFERROR(INDEX('Retirement Calculator'!K:K,MATCH('Lorri 401b'!N5944,'Retirement Calculator'!A:A,0),0),0)</f>
        <v>0</v>
      </c>
      <c r="K5944" s="444">
        <f t="shared" ca="1" si="198"/>
        <v>-74095568412327.25</v>
      </c>
      <c r="L5944" s="444">
        <f t="shared" ca="1" si="199"/>
        <v>-1.7857031987370868E+16</v>
      </c>
      <c r="M5944" s="460">
        <f t="shared" si="201"/>
        <v>0.05</v>
      </c>
      <c r="N5944" s="464">
        <f t="shared" si="202"/>
        <v>231962</v>
      </c>
    </row>
    <row r="5945" spans="7:14" ht="11.25" customHeight="1" x14ac:dyDescent="0.3">
      <c r="G5945" s="459"/>
      <c r="H5945" s="459">
        <v>5938</v>
      </c>
      <c r="I5945" s="444">
        <f t="shared" ca="1" si="200"/>
        <v>-1.7857031987370868E+16</v>
      </c>
      <c r="J5945" s="444">
        <f t="array" ref="J5945">IFERROR(INDEX('Retirement Calculator'!K:K,MATCH('Lorri 401b'!N5945,'Retirement Calculator'!A:A,0),0),0)</f>
        <v>0</v>
      </c>
      <c r="K5945" s="444">
        <f t="shared" ca="1" si="198"/>
        <v>-74404299947378.625</v>
      </c>
      <c r="L5945" s="444">
        <f t="shared" ca="1" si="199"/>
        <v>-1.7931436287318246E+16</v>
      </c>
      <c r="M5945" s="460">
        <f t="shared" si="201"/>
        <v>0.05</v>
      </c>
      <c r="N5945" s="464">
        <f t="shared" si="202"/>
        <v>231990</v>
      </c>
    </row>
    <row r="5946" spans="7:14" ht="11.25" customHeight="1" x14ac:dyDescent="0.3">
      <c r="G5946" s="459"/>
      <c r="H5946" s="459">
        <v>5939</v>
      </c>
      <c r="I5946" s="444">
        <f t="shared" ca="1" si="200"/>
        <v>-1.7931436287318246E+16</v>
      </c>
      <c r="J5946" s="444">
        <f t="array" ref="J5946">IFERROR(INDEX('Retirement Calculator'!K:K,MATCH('Lorri 401b'!N5946,'Retirement Calculator'!A:A,0),0),0)</f>
        <v>0</v>
      </c>
      <c r="K5946" s="444">
        <f t="shared" ca="1" si="198"/>
        <v>-74714317863826.031</v>
      </c>
      <c r="L5946" s="444">
        <f t="shared" ca="1" si="199"/>
        <v>-1.8006150605182072E+16</v>
      </c>
      <c r="M5946" s="460">
        <f t="shared" si="201"/>
        <v>0.05</v>
      </c>
      <c r="N5946" s="464">
        <f t="shared" si="202"/>
        <v>232021</v>
      </c>
    </row>
    <row r="5947" spans="7:14" ht="11.25" customHeight="1" x14ac:dyDescent="0.3">
      <c r="G5947" s="459"/>
      <c r="H5947" s="459">
        <v>5940</v>
      </c>
      <c r="I5947" s="444">
        <f t="shared" ca="1" si="200"/>
        <v>-1.8006150605182072E+16</v>
      </c>
      <c r="J5947" s="444">
        <f t="array" ref="J5947">IFERROR(INDEX('Retirement Calculator'!K:K,MATCH('Lorri 401b'!N5947,'Retirement Calculator'!A:A,0),0),0)</f>
        <v>0</v>
      </c>
      <c r="K5947" s="444">
        <f t="shared" ca="1" si="198"/>
        <v>-75025627521591.969</v>
      </c>
      <c r="L5947" s="444">
        <f t="shared" ca="1" si="199"/>
        <v>-1.8081176232703664E+16</v>
      </c>
      <c r="M5947" s="460">
        <f t="shared" si="201"/>
        <v>0.05</v>
      </c>
      <c r="N5947" s="464">
        <f t="shared" si="202"/>
        <v>232051</v>
      </c>
    </row>
    <row r="5948" spans="7:14" ht="11.25" customHeight="1" x14ac:dyDescent="0.3">
      <c r="G5948" s="459"/>
      <c r="H5948" s="459">
        <v>5941</v>
      </c>
      <c r="I5948" s="444">
        <f t="shared" ca="1" si="200"/>
        <v>-1.8081176232703664E+16</v>
      </c>
      <c r="J5948" s="444">
        <f t="array" ref="J5948">IFERROR(INDEX('Retirement Calculator'!K:K,MATCH('Lorri 401b'!N5948,'Retirement Calculator'!A:A,0),0),0)</f>
        <v>0</v>
      </c>
      <c r="K5948" s="444">
        <f t="shared" ca="1" si="198"/>
        <v>-75338234302931.938</v>
      </c>
      <c r="L5948" s="444">
        <f t="shared" ca="1" si="199"/>
        <v>-1.8156514467006596E+16</v>
      </c>
      <c r="M5948" s="460">
        <f t="shared" si="201"/>
        <v>0.05</v>
      </c>
      <c r="N5948" s="464">
        <f t="shared" si="202"/>
        <v>232082</v>
      </c>
    </row>
    <row r="5949" spans="7:14" ht="11.25" customHeight="1" x14ac:dyDescent="0.3">
      <c r="G5949" s="459"/>
      <c r="H5949" s="459">
        <v>5942</v>
      </c>
      <c r="I5949" s="444">
        <f t="shared" ca="1" si="200"/>
        <v>-1.8156514467006596E+16</v>
      </c>
      <c r="J5949" s="444">
        <f t="array" ref="J5949">IFERROR(INDEX('Retirement Calculator'!K:K,MATCH('Lorri 401b'!N5949,'Retirement Calculator'!A:A,0),0),0)</f>
        <v>0</v>
      </c>
      <c r="K5949" s="444">
        <f t="shared" ca="1" si="198"/>
        <v>-75652143612527.484</v>
      </c>
      <c r="L5949" s="444">
        <f t="shared" ca="1" si="199"/>
        <v>-1.8232166610619124E+16</v>
      </c>
      <c r="M5949" s="460">
        <f t="shared" si="201"/>
        <v>0.05</v>
      </c>
      <c r="N5949" s="464">
        <f t="shared" si="202"/>
        <v>232112</v>
      </c>
    </row>
    <row r="5950" spans="7:14" ht="11.25" customHeight="1" x14ac:dyDescent="0.3">
      <c r="G5950" s="459"/>
      <c r="H5950" s="459">
        <v>5943</v>
      </c>
      <c r="I5950" s="444">
        <f t="shared" ca="1" si="200"/>
        <v>-1.8232166610619124E+16</v>
      </c>
      <c r="J5950" s="444">
        <f t="array" ref="J5950">IFERROR(INDEX('Retirement Calculator'!K:K,MATCH('Lorri 401b'!N5950,'Retirement Calculator'!A:A,0),0),0)</f>
        <v>0</v>
      </c>
      <c r="K5950" s="444">
        <f t="shared" ca="1" si="198"/>
        <v>-75967360877579.688</v>
      </c>
      <c r="L5950" s="444">
        <f t="shared" ca="1" si="199"/>
        <v>-1.8308133971496704E+16</v>
      </c>
      <c r="M5950" s="460">
        <f t="shared" si="201"/>
        <v>0.05</v>
      </c>
      <c r="N5950" s="464">
        <f t="shared" si="202"/>
        <v>232143</v>
      </c>
    </row>
    <row r="5951" spans="7:14" ht="11.25" customHeight="1" x14ac:dyDescent="0.3">
      <c r="G5951" s="459"/>
      <c r="H5951" s="459">
        <v>5944</v>
      </c>
      <c r="I5951" s="444">
        <f t="shared" ca="1" si="200"/>
        <v>-1.8308133971496704E+16</v>
      </c>
      <c r="J5951" s="444">
        <f t="array" ref="J5951">IFERROR(INDEX('Retirement Calculator'!K:K,MATCH('Lorri 401b'!N5951,'Retirement Calculator'!A:A,0),0),0)</f>
        <v>0</v>
      </c>
      <c r="K5951" s="444">
        <f t="shared" ca="1" si="198"/>
        <v>-76283891547902.938</v>
      </c>
      <c r="L5951" s="444">
        <f t="shared" ca="1" si="199"/>
        <v>-1.8384417863044608E+16</v>
      </c>
      <c r="M5951" s="460">
        <f t="shared" si="201"/>
        <v>0.05</v>
      </c>
      <c r="N5951" s="464">
        <f t="shared" si="202"/>
        <v>232174</v>
      </c>
    </row>
    <row r="5952" spans="7:14" ht="11.25" customHeight="1" x14ac:dyDescent="0.3">
      <c r="G5952" s="459"/>
      <c r="H5952" s="459">
        <v>5945</v>
      </c>
      <c r="I5952" s="444">
        <f t="shared" ca="1" si="200"/>
        <v>-1.8384417863044608E+16</v>
      </c>
      <c r="J5952" s="444">
        <f t="array" ref="J5952">IFERROR(INDEX('Retirement Calculator'!K:K,MATCH('Lorri 401b'!N5952,'Retirement Calculator'!A:A,0),0),0)</f>
        <v>0</v>
      </c>
      <c r="K5952" s="444">
        <f t="shared" ca="1" si="198"/>
        <v>-76601741096019.203</v>
      </c>
      <c r="L5952" s="444">
        <f t="shared" ca="1" si="199"/>
        <v>-1.8461019604140628E+16</v>
      </c>
      <c r="M5952" s="460">
        <f t="shared" si="201"/>
        <v>0.05</v>
      </c>
      <c r="N5952" s="464">
        <f t="shared" si="202"/>
        <v>232204</v>
      </c>
    </row>
    <row r="5953" spans="7:14" ht="11.25" customHeight="1" x14ac:dyDescent="0.3">
      <c r="G5953" s="459"/>
      <c r="H5953" s="459">
        <v>5946</v>
      </c>
      <c r="I5953" s="444">
        <f t="shared" ca="1" si="200"/>
        <v>-1.8461019604140628E+16</v>
      </c>
      <c r="J5953" s="444">
        <f t="array" ref="J5953">IFERROR(INDEX('Retirement Calculator'!K:K,MATCH('Lorri 401b'!N5953,'Retirement Calculator'!A:A,0),0),0)</f>
        <v>0</v>
      </c>
      <c r="K5953" s="444">
        <f t="shared" ca="1" si="198"/>
        <v>-76920915017252.609</v>
      </c>
      <c r="L5953" s="444">
        <f t="shared" ca="1" si="199"/>
        <v>-1.853794051915788E+16</v>
      </c>
      <c r="M5953" s="460">
        <f t="shared" si="201"/>
        <v>0.05</v>
      </c>
      <c r="N5953" s="464">
        <f t="shared" si="202"/>
        <v>232235</v>
      </c>
    </row>
    <row r="5954" spans="7:14" ht="11.25" customHeight="1" x14ac:dyDescent="0.3">
      <c r="G5954" s="459"/>
      <c r="H5954" s="459">
        <v>5947</v>
      </c>
      <c r="I5954" s="444">
        <f t="shared" ca="1" si="200"/>
        <v>-1.853794051915788E+16</v>
      </c>
      <c r="J5954" s="444">
        <f t="array" ref="J5954">IFERROR(INDEX('Retirement Calculator'!K:K,MATCH('Lorri 401b'!N5954,'Retirement Calculator'!A:A,0),0),0)</f>
        <v>0</v>
      </c>
      <c r="K5954" s="444">
        <f t="shared" ca="1" si="198"/>
        <v>-77241418829824.5</v>
      </c>
      <c r="L5954" s="444">
        <f t="shared" ca="1" si="199"/>
        <v>-1.8615181937987704E+16</v>
      </c>
      <c r="M5954" s="460">
        <f t="shared" si="201"/>
        <v>0.05</v>
      </c>
      <c r="N5954" s="464">
        <f t="shared" si="202"/>
        <v>232265</v>
      </c>
    </row>
    <row r="5955" spans="7:14" ht="11.25" customHeight="1" x14ac:dyDescent="0.3">
      <c r="G5955" s="459"/>
      <c r="H5955" s="459">
        <v>5948</v>
      </c>
      <c r="I5955" s="444">
        <f t="shared" ca="1" si="200"/>
        <v>-1.8615181937987704E+16</v>
      </c>
      <c r="J5955" s="444">
        <f t="array" ref="J5955">IFERROR(INDEX('Retirement Calculator'!K:K,MATCH('Lorri 401b'!N5955,'Retirement Calculator'!A:A,0),0),0)</f>
        <v>0</v>
      </c>
      <c r="K5955" s="444">
        <f t="shared" ca="1" si="198"/>
        <v>-77563258074948.766</v>
      </c>
      <c r="L5955" s="444">
        <f t="shared" ca="1" si="199"/>
        <v>-1.8692745196062652E+16</v>
      </c>
      <c r="M5955" s="460">
        <f t="shared" si="201"/>
        <v>0.05</v>
      </c>
      <c r="N5955" s="464">
        <f t="shared" si="202"/>
        <v>232296</v>
      </c>
    </row>
    <row r="5956" spans="7:14" ht="11.25" customHeight="1" x14ac:dyDescent="0.3">
      <c r="G5956" s="459"/>
      <c r="H5956" s="459">
        <v>5949</v>
      </c>
      <c r="I5956" s="444">
        <f t="shared" ca="1" si="200"/>
        <v>-1.8692745196062652E+16</v>
      </c>
      <c r="J5956" s="444">
        <f t="array" ref="J5956">IFERROR(INDEX('Retirement Calculator'!K:K,MATCH('Lorri 401b'!N5956,'Retirement Calculator'!A:A,0),0),0)</f>
        <v>0</v>
      </c>
      <c r="K5956" s="444">
        <f t="shared" ca="1" si="198"/>
        <v>-77886438316927.719</v>
      </c>
      <c r="L5956" s="444">
        <f t="shared" ca="1" si="199"/>
        <v>-1.877063163437958E+16</v>
      </c>
      <c r="M5956" s="460">
        <f t="shared" si="201"/>
        <v>0.05</v>
      </c>
      <c r="N5956" s="464">
        <f t="shared" si="202"/>
        <v>232327</v>
      </c>
    </row>
    <row r="5957" spans="7:14" ht="11.25" customHeight="1" x14ac:dyDescent="0.3">
      <c r="G5957" s="459"/>
      <c r="H5957" s="459">
        <v>5950</v>
      </c>
      <c r="I5957" s="444">
        <f t="shared" ca="1" si="200"/>
        <v>-1.877063163437958E+16</v>
      </c>
      <c r="J5957" s="444">
        <f t="array" ref="J5957">IFERROR(INDEX('Retirement Calculator'!K:K,MATCH('Lorri 401b'!N5957,'Retirement Calculator'!A:A,0),0),0)</f>
        <v>0</v>
      </c>
      <c r="K5957" s="444">
        <f t="shared" ca="1" si="198"/>
        <v>-78210965143248.25</v>
      </c>
      <c r="L5957" s="444">
        <f t="shared" ca="1" si="199"/>
        <v>-1.8848842599522828E+16</v>
      </c>
      <c r="M5957" s="460">
        <f t="shared" si="201"/>
        <v>0.05</v>
      </c>
      <c r="N5957" s="464">
        <f t="shared" si="202"/>
        <v>232356</v>
      </c>
    </row>
    <row r="5958" spans="7:14" ht="11.25" customHeight="1" x14ac:dyDescent="0.3">
      <c r="G5958" s="459"/>
      <c r="H5958" s="459">
        <v>5951</v>
      </c>
      <c r="I5958" s="444">
        <f t="shared" ca="1" si="200"/>
        <v>-1.8848842599522828E+16</v>
      </c>
      <c r="J5958" s="444">
        <f t="array" ref="J5958">IFERROR(INDEX('Retirement Calculator'!K:K,MATCH('Lorri 401b'!N5958,'Retirement Calculator'!A:A,0),0),0)</f>
        <v>0</v>
      </c>
      <c r="K5958" s="444">
        <f t="shared" ca="1" si="198"/>
        <v>-78536844164678.453</v>
      </c>
      <c r="L5958" s="444">
        <f t="shared" ca="1" si="199"/>
        <v>-1.8927379443687508E+16</v>
      </c>
      <c r="M5958" s="460">
        <f t="shared" si="201"/>
        <v>0.05</v>
      </c>
      <c r="N5958" s="464">
        <f t="shared" si="202"/>
        <v>232387</v>
      </c>
    </row>
    <row r="5959" spans="7:14" ht="11.25" customHeight="1" x14ac:dyDescent="0.3">
      <c r="G5959" s="459"/>
      <c r="H5959" s="459">
        <v>5952</v>
      </c>
      <c r="I5959" s="444">
        <f t="shared" ca="1" si="200"/>
        <v>-1.8927379443687508E+16</v>
      </c>
      <c r="J5959" s="444">
        <f t="array" ref="J5959">IFERROR(INDEX('Retirement Calculator'!K:K,MATCH('Lorri 401b'!N5959,'Retirement Calculator'!A:A,0),0),0)</f>
        <v>0</v>
      </c>
      <c r="K5959" s="444">
        <f t="shared" ca="1" si="198"/>
        <v>-78864081015364.609</v>
      </c>
      <c r="L5959" s="444">
        <f t="shared" ca="1" si="199"/>
        <v>-1.9006243524702872E+16</v>
      </c>
      <c r="M5959" s="460">
        <f t="shared" si="201"/>
        <v>0.05</v>
      </c>
      <c r="N5959" s="464">
        <f t="shared" si="202"/>
        <v>232417</v>
      </c>
    </row>
    <row r="5960" spans="7:14" ht="11.25" customHeight="1" x14ac:dyDescent="0.3">
      <c r="G5960" s="459"/>
      <c r="H5960" s="459">
        <v>5953</v>
      </c>
      <c r="I5960" s="444">
        <f t="shared" ca="1" si="200"/>
        <v>-1.9006243524702872E+16</v>
      </c>
      <c r="J5960" s="444">
        <f t="array" ref="J5960">IFERROR(INDEX('Retirement Calculator'!K:K,MATCH('Lorri 401b'!N5960,'Retirement Calculator'!A:A,0),0),0)</f>
        <v>0</v>
      </c>
      <c r="K5960" s="444">
        <f t="shared" ca="1" si="198"/>
        <v>-79192681352928.625</v>
      </c>
      <c r="L5960" s="444">
        <f t="shared" ca="1" si="199"/>
        <v>-1.90854362060558E+16</v>
      </c>
      <c r="M5960" s="460">
        <f t="shared" si="201"/>
        <v>0.05</v>
      </c>
      <c r="N5960" s="464">
        <f t="shared" si="202"/>
        <v>232448</v>
      </c>
    </row>
    <row r="5961" spans="7:14" ht="11.25" customHeight="1" x14ac:dyDescent="0.3">
      <c r="G5961" s="459"/>
      <c r="H5961" s="459">
        <v>5954</v>
      </c>
      <c r="I5961" s="444">
        <f t="shared" ca="1" si="200"/>
        <v>-1.90854362060558E+16</v>
      </c>
      <c r="J5961" s="444">
        <f t="array" ref="J5961">IFERROR(INDEX('Retirement Calculator'!K:K,MATCH('Lorri 401b'!N5961,'Retirement Calculator'!A:A,0),0),0)</f>
        <v>0</v>
      </c>
      <c r="K5961" s="444">
        <f t="shared" ca="1" si="198"/>
        <v>-79522650858565.828</v>
      </c>
      <c r="L5961" s="444">
        <f t="shared" ca="1" si="199"/>
        <v>-1.9164958856914364E+16</v>
      </c>
      <c r="M5961" s="460">
        <f t="shared" si="201"/>
        <v>0.05</v>
      </c>
      <c r="N5961" s="464">
        <f t="shared" si="202"/>
        <v>232478</v>
      </c>
    </row>
    <row r="5962" spans="7:14" ht="11.25" customHeight="1" x14ac:dyDescent="0.3">
      <c r="G5962" s="459"/>
      <c r="H5962" s="459">
        <v>5955</v>
      </c>
      <c r="I5962" s="444">
        <f t="shared" ca="1" si="200"/>
        <v>-1.9164958856914364E+16</v>
      </c>
      <c r="J5962" s="444">
        <f t="array" ref="J5962">IFERROR(INDEX('Retirement Calculator'!K:K,MATCH('Lorri 401b'!N5962,'Retirement Calculator'!A:A,0),0),0)</f>
        <v>0</v>
      </c>
      <c r="K5962" s="444">
        <f t="shared" ca="1" si="198"/>
        <v>-79853995237143.188</v>
      </c>
      <c r="L5962" s="444">
        <f t="shared" ca="1" si="199"/>
        <v>-1.9244812852151508E+16</v>
      </c>
      <c r="M5962" s="460">
        <f t="shared" si="201"/>
        <v>0.05</v>
      </c>
      <c r="N5962" s="464">
        <f t="shared" si="202"/>
        <v>232509</v>
      </c>
    </row>
    <row r="5963" spans="7:14" ht="11.25" customHeight="1" x14ac:dyDescent="0.3">
      <c r="G5963" s="459"/>
      <c r="H5963" s="459">
        <v>5956</v>
      </c>
      <c r="I5963" s="444">
        <f t="shared" ca="1" si="200"/>
        <v>-1.9244812852151508E+16</v>
      </c>
      <c r="J5963" s="444">
        <f t="array" ref="J5963">IFERROR(INDEX('Retirement Calculator'!K:K,MATCH('Lorri 401b'!N5963,'Retirement Calculator'!A:A,0),0),0)</f>
        <v>0</v>
      </c>
      <c r="K5963" s="444">
        <f t="shared" ca="1" si="198"/>
        <v>-80186720217297.953</v>
      </c>
      <c r="L5963" s="444">
        <f t="shared" ca="1" si="199"/>
        <v>-1.9324999572368804E+16</v>
      </c>
      <c r="M5963" s="460">
        <f t="shared" si="201"/>
        <v>0.05</v>
      </c>
      <c r="N5963" s="464">
        <f t="shared" si="202"/>
        <v>232540</v>
      </c>
    </row>
    <row r="5964" spans="7:14" ht="11.25" customHeight="1" x14ac:dyDescent="0.3">
      <c r="G5964" s="459"/>
      <c r="H5964" s="459">
        <v>5957</v>
      </c>
      <c r="I5964" s="444">
        <f t="shared" ca="1" si="200"/>
        <v>-1.9324999572368804E+16</v>
      </c>
      <c r="J5964" s="444">
        <f t="array" ref="J5964">IFERROR(INDEX('Retirement Calculator'!K:K,MATCH('Lorri 401b'!N5964,'Retirement Calculator'!A:A,0),0),0)</f>
        <v>0</v>
      </c>
      <c r="K5964" s="444">
        <f t="shared" ca="1" si="198"/>
        <v>-80520831551536.688</v>
      </c>
      <c r="L5964" s="444">
        <f t="shared" ca="1" si="199"/>
        <v>-1.940552040392034E+16</v>
      </c>
      <c r="M5964" s="460">
        <f t="shared" si="201"/>
        <v>0.05</v>
      </c>
      <c r="N5964" s="464">
        <f t="shared" si="202"/>
        <v>232570</v>
      </c>
    </row>
    <row r="5965" spans="7:14" ht="11.25" customHeight="1" x14ac:dyDescent="0.3">
      <c r="G5965" s="459"/>
      <c r="H5965" s="459">
        <v>5958</v>
      </c>
      <c r="I5965" s="444">
        <f t="shared" ca="1" si="200"/>
        <v>-1.940552040392034E+16</v>
      </c>
      <c r="J5965" s="444">
        <f t="array" ref="J5965">IFERROR(INDEX('Retirement Calculator'!K:K,MATCH('Lorri 401b'!N5965,'Retirement Calculator'!A:A,0),0),0)</f>
        <v>0</v>
      </c>
      <c r="K5965" s="444">
        <f t="shared" ca="1" si="198"/>
        <v>-80856335016334.75</v>
      </c>
      <c r="L5965" s="444">
        <f t="shared" ca="1" si="199"/>
        <v>-1.9486376738936676E+16</v>
      </c>
      <c r="M5965" s="460">
        <f t="shared" si="201"/>
        <v>0.05</v>
      </c>
      <c r="N5965" s="464">
        <f t="shared" si="202"/>
        <v>232601</v>
      </c>
    </row>
    <row r="5966" spans="7:14" ht="11.25" customHeight="1" x14ac:dyDescent="0.3">
      <c r="G5966" s="459"/>
      <c r="H5966" s="459">
        <v>5959</v>
      </c>
      <c r="I5966" s="444">
        <f t="shared" ca="1" si="200"/>
        <v>-1.9486376738936676E+16</v>
      </c>
      <c r="J5966" s="444">
        <f t="array" ref="J5966">IFERROR(INDEX('Retirement Calculator'!K:K,MATCH('Lorri 401b'!N5966,'Retirement Calculator'!A:A,0),0),0)</f>
        <v>0</v>
      </c>
      <c r="K5966" s="444">
        <f t="shared" ca="1" si="198"/>
        <v>-81193236412236.156</v>
      </c>
      <c r="L5966" s="444">
        <f t="shared" ca="1" si="199"/>
        <v>-1.9567569975348912E+16</v>
      </c>
      <c r="M5966" s="460">
        <f t="shared" si="201"/>
        <v>0.05</v>
      </c>
      <c r="N5966" s="464">
        <f t="shared" si="202"/>
        <v>232631</v>
      </c>
    </row>
    <row r="5967" spans="7:14" ht="11.25" customHeight="1" x14ac:dyDescent="0.3">
      <c r="G5967" s="459"/>
      <c r="H5967" s="459">
        <v>5960</v>
      </c>
      <c r="I5967" s="444">
        <f t="shared" ca="1" si="200"/>
        <v>-1.9567569975348912E+16</v>
      </c>
      <c r="J5967" s="444">
        <f t="array" ref="J5967">IFERROR(INDEX('Retirement Calculator'!K:K,MATCH('Lorri 401b'!N5967,'Retirement Calculator'!A:A,0),0),0)</f>
        <v>0</v>
      </c>
      <c r="K5967" s="444">
        <f t="shared" ca="1" si="198"/>
        <v>-81531541563953.797</v>
      </c>
      <c r="L5967" s="444">
        <f t="shared" ca="1" si="199"/>
        <v>-1.9649101516912864E+16</v>
      </c>
      <c r="M5967" s="460">
        <f t="shared" si="201"/>
        <v>0.05</v>
      </c>
      <c r="N5967" s="464">
        <f t="shared" si="202"/>
        <v>232662</v>
      </c>
    </row>
    <row r="5968" spans="7:14" ht="11.25" customHeight="1" x14ac:dyDescent="0.3">
      <c r="G5968" s="459"/>
      <c r="H5968" s="459">
        <v>5961</v>
      </c>
      <c r="I5968" s="444">
        <f t="shared" ca="1" si="200"/>
        <v>-1.9649101516912864E+16</v>
      </c>
      <c r="J5968" s="444">
        <f t="array" ref="J5968">IFERROR(INDEX('Retirement Calculator'!K:K,MATCH('Lorri 401b'!N5968,'Retirement Calculator'!A:A,0),0),0)</f>
        <v>0</v>
      </c>
      <c r="K5968" s="444">
        <f t="shared" ca="1" si="198"/>
        <v>-81871256320470.266</v>
      </c>
      <c r="L5968" s="444">
        <f t="shared" ca="1" si="199"/>
        <v>-1.9730972773233336E+16</v>
      </c>
      <c r="M5968" s="460">
        <f t="shared" si="201"/>
        <v>0.05</v>
      </c>
      <c r="N5968" s="464">
        <f t="shared" si="202"/>
        <v>232693</v>
      </c>
    </row>
    <row r="5969" spans="7:14" ht="11.25" customHeight="1" x14ac:dyDescent="0.3">
      <c r="G5969" s="459"/>
      <c r="H5969" s="459">
        <v>5962</v>
      </c>
      <c r="I5969" s="444">
        <f t="shared" ca="1" si="200"/>
        <v>-1.9730972773233336E+16</v>
      </c>
      <c r="J5969" s="444">
        <f t="array" ref="J5969">IFERROR(INDEX('Retirement Calculator'!K:K,MATCH('Lorri 401b'!N5969,'Retirement Calculator'!A:A,0),0),0)</f>
        <v>0</v>
      </c>
      <c r="K5969" s="444">
        <f t="shared" ca="1" si="198"/>
        <v>-82212386555138.906</v>
      </c>
      <c r="L5969" s="444">
        <f t="shared" ca="1" si="199"/>
        <v>-1.9813185159788476E+16</v>
      </c>
      <c r="M5969" s="460">
        <f t="shared" si="201"/>
        <v>0.05</v>
      </c>
      <c r="N5969" s="464">
        <f t="shared" si="202"/>
        <v>232721</v>
      </c>
    </row>
    <row r="5970" spans="7:14" ht="11.25" customHeight="1" x14ac:dyDescent="0.3">
      <c r="G5970" s="459"/>
      <c r="H5970" s="459">
        <v>5963</v>
      </c>
      <c r="I5970" s="444">
        <f t="shared" ca="1" si="200"/>
        <v>-1.9813185159788476E+16</v>
      </c>
      <c r="J5970" s="444">
        <f t="array" ref="J5970">IFERROR(INDEX('Retirement Calculator'!K:K,MATCH('Lorri 401b'!N5970,'Retirement Calculator'!A:A,0),0),0)</f>
        <v>0</v>
      </c>
      <c r="K5970" s="444">
        <f t="shared" ca="1" si="198"/>
        <v>-82554938165785.313</v>
      </c>
      <c r="L5970" s="444">
        <f t="shared" ca="1" si="199"/>
        <v>-1.989574009795426E+16</v>
      </c>
      <c r="M5970" s="460">
        <f t="shared" si="201"/>
        <v>0.05</v>
      </c>
      <c r="N5970" s="464">
        <f t="shared" si="202"/>
        <v>232752</v>
      </c>
    </row>
    <row r="5971" spans="7:14" ht="11.25" customHeight="1" x14ac:dyDescent="0.3">
      <c r="G5971" s="459"/>
      <c r="H5971" s="459">
        <v>5964</v>
      </c>
      <c r="I5971" s="444">
        <f t="shared" ca="1" si="200"/>
        <v>-1.989574009795426E+16</v>
      </c>
      <c r="J5971" s="444">
        <f t="array" ref="J5971">IFERROR(INDEX('Retirement Calculator'!K:K,MATCH('Lorri 401b'!N5971,'Retirement Calculator'!A:A,0),0),0)</f>
        <v>0</v>
      </c>
      <c r="K5971" s="444">
        <f t="shared" ca="1" si="198"/>
        <v>-82898917074809.422</v>
      </c>
      <c r="L5971" s="444">
        <f t="shared" ca="1" si="199"/>
        <v>-1.9978639015029068E+16</v>
      </c>
      <c r="M5971" s="460">
        <f t="shared" si="201"/>
        <v>0.05</v>
      </c>
      <c r="N5971" s="464">
        <f t="shared" si="202"/>
        <v>232782</v>
      </c>
    </row>
    <row r="5972" spans="7:14" ht="11.25" customHeight="1" x14ac:dyDescent="0.3">
      <c r="G5972" s="459"/>
      <c r="H5972" s="459">
        <v>5965</v>
      </c>
      <c r="I5972" s="444">
        <f t="shared" ca="1" si="200"/>
        <v>-1.9978639015029068E+16</v>
      </c>
      <c r="J5972" s="444">
        <f t="array" ref="J5972">IFERROR(INDEX('Retirement Calculator'!K:K,MATCH('Lorri 401b'!N5972,'Retirement Calculator'!A:A,0),0),0)</f>
        <v>0</v>
      </c>
      <c r="K5972" s="444">
        <f t="shared" ca="1" si="198"/>
        <v>-83244329229287.781</v>
      </c>
      <c r="L5972" s="444">
        <f t="shared" ca="1" si="199"/>
        <v>-2.0061883344258356E+16</v>
      </c>
      <c r="M5972" s="460">
        <f t="shared" si="201"/>
        <v>0.05</v>
      </c>
      <c r="N5972" s="464">
        <f t="shared" si="202"/>
        <v>232813</v>
      </c>
    </row>
    <row r="5973" spans="7:14" ht="11.25" customHeight="1" x14ac:dyDescent="0.3">
      <c r="G5973" s="459"/>
      <c r="H5973" s="459">
        <v>5966</v>
      </c>
      <c r="I5973" s="444">
        <f t="shared" ca="1" si="200"/>
        <v>-2.0061883344258356E+16</v>
      </c>
      <c r="J5973" s="444">
        <f t="array" ref="J5973">IFERROR(INDEX('Retirement Calculator'!K:K,MATCH('Lorri 401b'!N5973,'Retirement Calculator'!A:A,0),0),0)</f>
        <v>0</v>
      </c>
      <c r="K5973" s="444">
        <f t="shared" ca="1" si="198"/>
        <v>-83591180601076.484</v>
      </c>
      <c r="L5973" s="444">
        <f t="shared" ca="1" si="199"/>
        <v>-2.0145474524859432E+16</v>
      </c>
      <c r="M5973" s="460">
        <f t="shared" si="201"/>
        <v>0.05</v>
      </c>
      <c r="N5973" s="464">
        <f t="shared" si="202"/>
        <v>232843</v>
      </c>
    </row>
    <row r="5974" spans="7:14" ht="11.25" customHeight="1" x14ac:dyDescent="0.3">
      <c r="G5974" s="459"/>
      <c r="H5974" s="459">
        <v>5967</v>
      </c>
      <c r="I5974" s="444">
        <f t="shared" ca="1" si="200"/>
        <v>-2.0145474524859432E+16</v>
      </c>
      <c r="J5974" s="444">
        <f t="array" ref="J5974">IFERROR(INDEX('Retirement Calculator'!K:K,MATCH('Lorri 401b'!N5974,'Retirement Calculator'!A:A,0),0),0)</f>
        <v>0</v>
      </c>
      <c r="K5974" s="444">
        <f t="shared" ca="1" si="198"/>
        <v>-83939477186914.297</v>
      </c>
      <c r="L5974" s="444">
        <f t="shared" ca="1" si="199"/>
        <v>-2.0229414002046348E+16</v>
      </c>
      <c r="M5974" s="460">
        <f t="shared" si="201"/>
        <v>0.05</v>
      </c>
      <c r="N5974" s="464">
        <f t="shared" si="202"/>
        <v>232874</v>
      </c>
    </row>
    <row r="5975" spans="7:14" ht="11.25" customHeight="1" x14ac:dyDescent="0.3">
      <c r="G5975" s="459"/>
      <c r="H5975" s="459">
        <v>5968</v>
      </c>
      <c r="I5975" s="444">
        <f t="shared" ca="1" si="200"/>
        <v>-2.0229414002046348E+16</v>
      </c>
      <c r="J5975" s="444">
        <f t="array" ref="J5975">IFERROR(INDEX('Retirement Calculator'!K:K,MATCH('Lorri 401b'!N5975,'Retirement Calculator'!A:A,0),0),0)</f>
        <v>0</v>
      </c>
      <c r="K5975" s="444">
        <f t="shared" ca="1" si="198"/>
        <v>-84289225008526.453</v>
      </c>
      <c r="L5975" s="444">
        <f t="shared" ca="1" si="199"/>
        <v>-2.0313703227054876E+16</v>
      </c>
      <c r="M5975" s="460">
        <f t="shared" si="201"/>
        <v>0.05</v>
      </c>
      <c r="N5975" s="464">
        <f t="shared" si="202"/>
        <v>232905</v>
      </c>
    </row>
    <row r="5976" spans="7:14" ht="11.25" customHeight="1" x14ac:dyDescent="0.3">
      <c r="G5976" s="459"/>
      <c r="H5976" s="459">
        <v>5969</v>
      </c>
      <c r="I5976" s="444">
        <f t="shared" ca="1" si="200"/>
        <v>-2.0313703227054876E+16</v>
      </c>
      <c r="J5976" s="444">
        <f t="array" ref="J5976">IFERROR(INDEX('Retirement Calculator'!K:K,MATCH('Lorri 401b'!N5976,'Retirement Calculator'!A:A,0),0),0)</f>
        <v>0</v>
      </c>
      <c r="K5976" s="444">
        <f t="shared" ca="1" si="198"/>
        <v>-84640430112728.656</v>
      </c>
      <c r="L5976" s="444">
        <f t="shared" ca="1" si="199"/>
        <v>-2.0398343657167604E+16</v>
      </c>
      <c r="M5976" s="460">
        <f t="shared" si="201"/>
        <v>0.05</v>
      </c>
      <c r="N5976" s="464">
        <f t="shared" si="202"/>
        <v>232935</v>
      </c>
    </row>
    <row r="5977" spans="7:14" ht="11.25" customHeight="1" x14ac:dyDescent="0.3">
      <c r="G5977" s="459"/>
      <c r="H5977" s="459">
        <v>5970</v>
      </c>
      <c r="I5977" s="444">
        <f t="shared" ca="1" si="200"/>
        <v>-2.0398343657167604E+16</v>
      </c>
      <c r="J5977" s="444">
        <f t="array" ref="J5977">IFERROR(INDEX('Retirement Calculator'!K:K,MATCH('Lorri 401b'!N5977,'Retirement Calculator'!A:A,0),0),0)</f>
        <v>0</v>
      </c>
      <c r="K5977" s="444">
        <f t="shared" ca="1" si="198"/>
        <v>-84993098571531.688</v>
      </c>
      <c r="L5977" s="444">
        <f t="shared" ca="1" si="199"/>
        <v>-2.0483336755739136E+16</v>
      </c>
      <c r="M5977" s="460">
        <f t="shared" si="201"/>
        <v>0.05</v>
      </c>
      <c r="N5977" s="464">
        <f t="shared" si="202"/>
        <v>232966</v>
      </c>
    </row>
    <row r="5978" spans="7:14" ht="11.25" customHeight="1" x14ac:dyDescent="0.3">
      <c r="G5978" s="459"/>
      <c r="H5978" s="459">
        <v>5971</v>
      </c>
      <c r="I5978" s="444">
        <f t="shared" ca="1" si="200"/>
        <v>-2.0483336755739136E+16</v>
      </c>
      <c r="J5978" s="444">
        <f t="array" ref="J5978">IFERROR(INDEX('Retirement Calculator'!K:K,MATCH('Lorri 401b'!N5978,'Retirement Calculator'!A:A,0),0),0)</f>
        <v>0</v>
      </c>
      <c r="K5978" s="444">
        <f t="shared" ca="1" si="198"/>
        <v>-85347236482246.406</v>
      </c>
      <c r="L5978" s="444">
        <f t="shared" ca="1" si="199"/>
        <v>-2.0568683992221384E+16</v>
      </c>
      <c r="M5978" s="460">
        <f t="shared" si="201"/>
        <v>0.05</v>
      </c>
      <c r="N5978" s="464">
        <f t="shared" si="202"/>
        <v>232996</v>
      </c>
    </row>
    <row r="5979" spans="7:14" ht="11.25" customHeight="1" x14ac:dyDescent="0.3">
      <c r="G5979" s="459"/>
      <c r="H5979" s="459">
        <v>5972</v>
      </c>
      <c r="I5979" s="444">
        <f t="shared" ca="1" si="200"/>
        <v>-2.0568683992221384E+16</v>
      </c>
      <c r="J5979" s="444">
        <f t="array" ref="J5979">IFERROR(INDEX('Retirement Calculator'!K:K,MATCH('Lorri 401b'!N5979,'Retirement Calculator'!A:A,0),0),0)</f>
        <v>0</v>
      </c>
      <c r="K5979" s="444">
        <f t="shared" ca="1" si="198"/>
        <v>-85702849967589.094</v>
      </c>
      <c r="L5979" s="444">
        <f t="shared" ca="1" si="199"/>
        <v>-2.0654386842188972E+16</v>
      </c>
      <c r="M5979" s="460">
        <f t="shared" si="201"/>
        <v>0.05</v>
      </c>
      <c r="N5979" s="464">
        <f t="shared" si="202"/>
        <v>233027</v>
      </c>
    </row>
    <row r="5980" spans="7:14" ht="11.25" customHeight="1" x14ac:dyDescent="0.3">
      <c r="G5980" s="459"/>
      <c r="H5980" s="459">
        <v>5973</v>
      </c>
      <c r="I5980" s="444">
        <f t="shared" ca="1" si="200"/>
        <v>-2.0654386842188972E+16</v>
      </c>
      <c r="J5980" s="444">
        <f t="array" ref="J5980">IFERROR(INDEX('Retirement Calculator'!K:K,MATCH('Lorri 401b'!N5980,'Retirement Calculator'!A:A,0),0),0)</f>
        <v>0</v>
      </c>
      <c r="K5980" s="444">
        <f t="shared" ca="1" si="198"/>
        <v>-86059945175787.375</v>
      </c>
      <c r="L5980" s="444">
        <f t="shared" ca="1" si="199"/>
        <v>-2.074044678736476E+16</v>
      </c>
      <c r="M5980" s="460">
        <f t="shared" si="201"/>
        <v>0.05</v>
      </c>
      <c r="N5980" s="464">
        <f t="shared" si="202"/>
        <v>233058</v>
      </c>
    </row>
    <row r="5981" spans="7:14" ht="11.25" customHeight="1" x14ac:dyDescent="0.3">
      <c r="G5981" s="459"/>
      <c r="H5981" s="459">
        <v>5974</v>
      </c>
      <c r="I5981" s="444">
        <f t="shared" ca="1" si="200"/>
        <v>-2.074044678736476E+16</v>
      </c>
      <c r="J5981" s="444">
        <f t="array" ref="J5981">IFERROR(INDEX('Retirement Calculator'!K:K,MATCH('Lorri 401b'!N5981,'Retirement Calculator'!A:A,0),0),0)</f>
        <v>0</v>
      </c>
      <c r="K5981" s="444">
        <f t="shared" ca="1" si="198"/>
        <v>-86418528280686.5</v>
      </c>
      <c r="L5981" s="444">
        <f t="shared" ca="1" si="199"/>
        <v>-2.0826865315645448E+16</v>
      </c>
      <c r="M5981" s="460">
        <f t="shared" si="201"/>
        <v>0.05</v>
      </c>
      <c r="N5981" s="464">
        <f t="shared" si="202"/>
        <v>233086</v>
      </c>
    </row>
    <row r="5982" spans="7:14" ht="11.25" customHeight="1" x14ac:dyDescent="0.3">
      <c r="G5982" s="459"/>
      <c r="H5982" s="459">
        <v>5975</v>
      </c>
      <c r="I5982" s="444">
        <f t="shared" ca="1" si="200"/>
        <v>-2.0826865315645448E+16</v>
      </c>
      <c r="J5982" s="444">
        <f t="array" ref="J5982">IFERROR(INDEX('Retirement Calculator'!K:K,MATCH('Lorri 401b'!N5982,'Retirement Calculator'!A:A,0),0),0)</f>
        <v>0</v>
      </c>
      <c r="K5982" s="444">
        <f t="shared" ca="1" si="198"/>
        <v>-86778605481856.031</v>
      </c>
      <c r="L5982" s="444">
        <f t="shared" ca="1" si="199"/>
        <v>-2.0913643921127304E+16</v>
      </c>
      <c r="M5982" s="460">
        <f t="shared" si="201"/>
        <v>0.05</v>
      </c>
      <c r="N5982" s="464">
        <f t="shared" si="202"/>
        <v>233117</v>
      </c>
    </row>
    <row r="5983" spans="7:14" ht="11.25" customHeight="1" x14ac:dyDescent="0.3">
      <c r="G5983" s="459"/>
      <c r="H5983" s="459">
        <v>5976</v>
      </c>
      <c r="I5983" s="444">
        <f t="shared" ca="1" si="200"/>
        <v>-2.0913643921127304E+16</v>
      </c>
      <c r="J5983" s="444">
        <f t="array" ref="J5983">IFERROR(INDEX('Retirement Calculator'!K:K,MATCH('Lorri 401b'!N5983,'Retirement Calculator'!A:A,0),0),0)</f>
        <v>0</v>
      </c>
      <c r="K5983" s="444">
        <f t="shared" ca="1" si="198"/>
        <v>-87140183004697.094</v>
      </c>
      <c r="L5983" s="444">
        <f t="shared" ca="1" si="199"/>
        <v>-2.1000784104132E+16</v>
      </c>
      <c r="M5983" s="460">
        <f t="shared" si="201"/>
        <v>0.05</v>
      </c>
      <c r="N5983" s="464">
        <f t="shared" si="202"/>
        <v>233147</v>
      </c>
    </row>
    <row r="5984" spans="7:14" ht="11.25" customHeight="1" x14ac:dyDescent="0.3">
      <c r="G5984" s="459"/>
      <c r="H5984" s="459">
        <v>5977</v>
      </c>
      <c r="I5984" s="444">
        <f t="shared" ca="1" si="200"/>
        <v>-2.1000784104132E+16</v>
      </c>
      <c r="J5984" s="444">
        <f t="array" ref="J5984">IFERROR(INDEX('Retirement Calculator'!K:K,MATCH('Lorri 401b'!N5984,'Retirement Calculator'!A:A,0),0),0)</f>
        <v>0</v>
      </c>
      <c r="K5984" s="444">
        <f t="shared" ca="1" si="198"/>
        <v>-87503267100550</v>
      </c>
      <c r="L5984" s="444">
        <f t="shared" ca="1" si="199"/>
        <v>-2.1088287371232552E+16</v>
      </c>
      <c r="M5984" s="460">
        <f t="shared" si="201"/>
        <v>0.05</v>
      </c>
      <c r="N5984" s="464">
        <f t="shared" si="202"/>
        <v>233178</v>
      </c>
    </row>
    <row r="5985" spans="7:14" ht="11.25" customHeight="1" x14ac:dyDescent="0.3">
      <c r="G5985" s="459"/>
      <c r="H5985" s="459">
        <v>5978</v>
      </c>
      <c r="I5985" s="444">
        <f t="shared" ca="1" si="200"/>
        <v>-2.1088287371232552E+16</v>
      </c>
      <c r="J5985" s="444">
        <f t="array" ref="J5985">IFERROR(INDEX('Retirement Calculator'!K:K,MATCH('Lorri 401b'!N5985,'Retirement Calculator'!A:A,0),0),0)</f>
        <v>0</v>
      </c>
      <c r="K5985" s="444">
        <f t="shared" ca="1" si="198"/>
        <v>-87867864046802.297</v>
      </c>
      <c r="L5985" s="444">
        <f t="shared" ca="1" si="199"/>
        <v>-2.1176155235279356E+16</v>
      </c>
      <c r="M5985" s="460">
        <f t="shared" si="201"/>
        <v>0.05</v>
      </c>
      <c r="N5985" s="464">
        <f t="shared" si="202"/>
        <v>233208</v>
      </c>
    </row>
    <row r="5986" spans="7:14" ht="11.25" customHeight="1" x14ac:dyDescent="0.3">
      <c r="G5986" s="459"/>
      <c r="H5986" s="459">
        <v>5979</v>
      </c>
      <c r="I5986" s="444">
        <f t="shared" ca="1" si="200"/>
        <v>-2.1176155235279356E+16</v>
      </c>
      <c r="J5986" s="444">
        <f t="array" ref="J5986">IFERROR(INDEX('Retirement Calculator'!K:K,MATCH('Lorri 401b'!N5986,'Retirement Calculator'!A:A,0),0),0)</f>
        <v>0</v>
      </c>
      <c r="K5986" s="444">
        <f t="shared" ca="1" si="198"/>
        <v>-88233980146997.313</v>
      </c>
      <c r="L5986" s="444">
        <f t="shared" ca="1" si="199"/>
        <v>-2.1264389215426352E+16</v>
      </c>
      <c r="M5986" s="460">
        <f t="shared" si="201"/>
        <v>0.05</v>
      </c>
      <c r="N5986" s="464">
        <f t="shared" si="202"/>
        <v>233239</v>
      </c>
    </row>
    <row r="5987" spans="7:14" ht="11.25" customHeight="1" x14ac:dyDescent="0.3">
      <c r="G5987" s="459"/>
      <c r="H5987" s="459">
        <v>5980</v>
      </c>
      <c r="I5987" s="444">
        <f t="shared" ca="1" si="200"/>
        <v>-2.1264389215426352E+16</v>
      </c>
      <c r="J5987" s="444">
        <f t="array" ref="J5987">IFERROR(INDEX('Retirement Calculator'!K:K,MATCH('Lorri 401b'!N5987,'Retirement Calculator'!A:A,0),0),0)</f>
        <v>0</v>
      </c>
      <c r="K5987" s="444">
        <f t="shared" ca="1" si="198"/>
        <v>-88601621730943.125</v>
      </c>
      <c r="L5987" s="444">
        <f t="shared" ca="1" si="199"/>
        <v>-2.1352990837157296E+16</v>
      </c>
      <c r="M5987" s="460">
        <f t="shared" si="201"/>
        <v>0.05</v>
      </c>
      <c r="N5987" s="464">
        <f t="shared" si="202"/>
        <v>233270</v>
      </c>
    </row>
    <row r="5988" spans="7:14" ht="11.25" customHeight="1" x14ac:dyDescent="0.3">
      <c r="G5988" s="459"/>
      <c r="H5988" s="459">
        <v>5981</v>
      </c>
      <c r="I5988" s="444">
        <f t="shared" ca="1" si="200"/>
        <v>-2.1352990837157296E+16</v>
      </c>
      <c r="J5988" s="444">
        <f t="array" ref="J5988">IFERROR(INDEX('Retirement Calculator'!K:K,MATCH('Lorri 401b'!N5988,'Retirement Calculator'!A:A,0),0),0)</f>
        <v>0</v>
      </c>
      <c r="K5988" s="444">
        <f t="shared" ca="1" si="198"/>
        <v>-88970795154822.063</v>
      </c>
      <c r="L5988" s="444">
        <f t="shared" ca="1" si="199"/>
        <v>-2.144196163231212E+16</v>
      </c>
      <c r="M5988" s="460">
        <f t="shared" si="201"/>
        <v>0.05</v>
      </c>
      <c r="N5988" s="464">
        <f t="shared" si="202"/>
        <v>233300</v>
      </c>
    </row>
    <row r="5989" spans="7:14" ht="11.25" customHeight="1" x14ac:dyDescent="0.3">
      <c r="G5989" s="459"/>
      <c r="H5989" s="459">
        <v>5982</v>
      </c>
      <c r="I5989" s="444">
        <f t="shared" ca="1" si="200"/>
        <v>-2.144196163231212E+16</v>
      </c>
      <c r="J5989" s="444">
        <f t="array" ref="J5989">IFERROR(INDEX('Retirement Calculator'!K:K,MATCH('Lorri 401b'!N5989,'Retirement Calculator'!A:A,0),0),0)</f>
        <v>0</v>
      </c>
      <c r="K5989" s="444">
        <f t="shared" ca="1" si="198"/>
        <v>-89341506801300.5</v>
      </c>
      <c r="L5989" s="444">
        <f t="shared" ca="1" si="199"/>
        <v>-2.153130313911342E+16</v>
      </c>
      <c r="M5989" s="460">
        <f t="shared" si="201"/>
        <v>0.05</v>
      </c>
      <c r="N5989" s="464">
        <f t="shared" si="202"/>
        <v>233331</v>
      </c>
    </row>
    <row r="5990" spans="7:14" ht="11.25" customHeight="1" x14ac:dyDescent="0.3">
      <c r="G5990" s="459"/>
      <c r="H5990" s="459">
        <v>5983</v>
      </c>
      <c r="I5990" s="444">
        <f t="shared" ca="1" si="200"/>
        <v>-2.153130313911342E+16</v>
      </c>
      <c r="J5990" s="444">
        <f t="array" ref="J5990">IFERROR(INDEX('Retirement Calculator'!K:K,MATCH('Lorri 401b'!N5990,'Retirement Calculator'!A:A,0),0),0)</f>
        <v>0</v>
      </c>
      <c r="K5990" s="444">
        <f t="shared" ca="1" si="198"/>
        <v>-89713763079639.25</v>
      </c>
      <c r="L5990" s="444">
        <f t="shared" ca="1" si="199"/>
        <v>-2.162101690219306E+16</v>
      </c>
      <c r="M5990" s="460">
        <f t="shared" si="201"/>
        <v>0.05</v>
      </c>
      <c r="N5990" s="464">
        <f t="shared" si="202"/>
        <v>233361</v>
      </c>
    </row>
    <row r="5991" spans="7:14" ht="11.25" customHeight="1" x14ac:dyDescent="0.3">
      <c r="G5991" s="459"/>
      <c r="H5991" s="459">
        <v>5984</v>
      </c>
      <c r="I5991" s="444">
        <f t="shared" ca="1" si="200"/>
        <v>-2.162101690219306E+16</v>
      </c>
      <c r="J5991" s="444">
        <f t="array" ref="J5991">IFERROR(INDEX('Retirement Calculator'!K:K,MATCH('Lorri 401b'!N5991,'Retirement Calculator'!A:A,0),0),0)</f>
        <v>0</v>
      </c>
      <c r="K5991" s="444">
        <f t="shared" ca="1" si="198"/>
        <v>-90087570425804.422</v>
      </c>
      <c r="L5991" s="444">
        <f t="shared" ca="1" si="199"/>
        <v>-2.1711104472618864E+16</v>
      </c>
      <c r="M5991" s="460">
        <f t="shared" si="201"/>
        <v>0.05</v>
      </c>
      <c r="N5991" s="464">
        <f t="shared" si="202"/>
        <v>233392</v>
      </c>
    </row>
    <row r="5992" spans="7:14" ht="11.25" customHeight="1" x14ac:dyDescent="0.3">
      <c r="G5992" s="459"/>
      <c r="H5992" s="459">
        <v>5985</v>
      </c>
      <c r="I5992" s="444">
        <f t="shared" ca="1" si="200"/>
        <v>-2.1711104472618864E+16</v>
      </c>
      <c r="J5992" s="444">
        <f t="array" ref="J5992">IFERROR(INDEX('Retirement Calculator'!K:K,MATCH('Lorri 401b'!N5992,'Retirement Calculator'!A:A,0),0),0)</f>
        <v>0</v>
      </c>
      <c r="K5992" s="444">
        <f t="shared" ca="1" si="198"/>
        <v>-90462935302578.594</v>
      </c>
      <c r="L5992" s="444">
        <f t="shared" ca="1" si="199"/>
        <v>-2.1801567407921444E+16</v>
      </c>
      <c r="M5992" s="460">
        <f t="shared" si="201"/>
        <v>0.05</v>
      </c>
      <c r="N5992" s="464">
        <f t="shared" si="202"/>
        <v>233423</v>
      </c>
    </row>
    <row r="5993" spans="7:14" ht="11.25" customHeight="1" x14ac:dyDescent="0.3">
      <c r="G5993" s="459"/>
      <c r="H5993" s="459">
        <v>5986</v>
      </c>
      <c r="I5993" s="444">
        <f t="shared" ca="1" si="200"/>
        <v>-2.1801567407921444E+16</v>
      </c>
      <c r="J5993" s="444">
        <f t="array" ref="J5993">IFERROR(INDEX('Retirement Calculator'!K:K,MATCH('Lorri 401b'!N5993,'Retirement Calculator'!A:A,0),0),0)</f>
        <v>0</v>
      </c>
      <c r="K5993" s="444">
        <f t="shared" ca="1" si="198"/>
        <v>-90839864199672.688</v>
      </c>
      <c r="L5993" s="444">
        <f t="shared" ca="1" si="199"/>
        <v>-2.1892407272121116E+16</v>
      </c>
      <c r="M5993" s="460">
        <f t="shared" si="201"/>
        <v>0.05</v>
      </c>
      <c r="N5993" s="464">
        <f t="shared" si="202"/>
        <v>233451</v>
      </c>
    </row>
    <row r="5994" spans="7:14" ht="11.25" customHeight="1" x14ac:dyDescent="0.3">
      <c r="G5994" s="459"/>
      <c r="H5994" s="459">
        <v>5987</v>
      </c>
      <c r="I5994" s="444">
        <f t="shared" ca="1" si="200"/>
        <v>-2.1892407272121116E+16</v>
      </c>
      <c r="J5994" s="444">
        <f t="array" ref="J5994">IFERROR(INDEX('Retirement Calculator'!K:K,MATCH('Lorri 401b'!N5994,'Retirement Calculator'!A:A,0),0),0)</f>
        <v>0</v>
      </c>
      <c r="K5994" s="444">
        <f t="shared" ca="1" si="198"/>
        <v>-91218363633837.984</v>
      </c>
      <c r="L5994" s="444">
        <f t="shared" ca="1" si="199"/>
        <v>-2.1983625635754952E+16</v>
      </c>
      <c r="M5994" s="460">
        <f t="shared" si="201"/>
        <v>0.05</v>
      </c>
      <c r="N5994" s="464">
        <f t="shared" si="202"/>
        <v>233482</v>
      </c>
    </row>
    <row r="5995" spans="7:14" ht="11.25" customHeight="1" x14ac:dyDescent="0.3">
      <c r="G5995" s="459"/>
      <c r="H5995" s="459">
        <v>5988</v>
      </c>
      <c r="I5995" s="444">
        <f t="shared" ca="1" si="200"/>
        <v>-2.1983625635754952E+16</v>
      </c>
      <c r="J5995" s="444">
        <f t="array" ref="J5995">IFERROR(INDEX('Retirement Calculator'!K:K,MATCH('Lorri 401b'!N5995,'Retirement Calculator'!A:A,0),0),0)</f>
        <v>0</v>
      </c>
      <c r="K5995" s="444">
        <f t="shared" ca="1" si="198"/>
        <v>-91598440148978.969</v>
      </c>
      <c r="L5995" s="444">
        <f t="shared" ca="1" si="199"/>
        <v>-2.2075224075903932E+16</v>
      </c>
      <c r="M5995" s="460">
        <f t="shared" si="201"/>
        <v>0.05</v>
      </c>
      <c r="N5995" s="464">
        <f t="shared" si="202"/>
        <v>233512</v>
      </c>
    </row>
    <row r="5996" spans="7:14" ht="11.25" customHeight="1" x14ac:dyDescent="0.3">
      <c r="G5996" s="459"/>
      <c r="H5996" s="459">
        <v>5989</v>
      </c>
      <c r="I5996" s="444">
        <f t="shared" ca="1" si="200"/>
        <v>-2.2075224075903932E+16</v>
      </c>
      <c r="J5996" s="444">
        <f t="array" ref="J5996">IFERROR(INDEX('Retirement Calculator'!K:K,MATCH('Lorri 401b'!N5996,'Retirement Calculator'!A:A,0),0),0)</f>
        <v>0</v>
      </c>
      <c r="K5996" s="444">
        <f t="shared" ca="1" si="198"/>
        <v>-91980100316266.375</v>
      </c>
      <c r="L5996" s="444">
        <f t="shared" ca="1" si="199"/>
        <v>-2.21672041762202E+16</v>
      </c>
      <c r="M5996" s="460">
        <f t="shared" si="201"/>
        <v>0.05</v>
      </c>
      <c r="N5996" s="464">
        <f t="shared" si="202"/>
        <v>233543</v>
      </c>
    </row>
    <row r="5997" spans="7:14" ht="11.25" customHeight="1" x14ac:dyDescent="0.3">
      <c r="G5997" s="459"/>
      <c r="H5997" s="459">
        <v>5990</v>
      </c>
      <c r="I5997" s="444">
        <f t="shared" ca="1" si="200"/>
        <v>-2.21672041762202E+16</v>
      </c>
      <c r="J5997" s="444">
        <f t="array" ref="J5997">IFERROR(INDEX('Retirement Calculator'!K:K,MATCH('Lorri 401b'!N5997,'Retirement Calculator'!A:A,0),0),0)</f>
        <v>0</v>
      </c>
      <c r="K5997" s="444">
        <f t="shared" ca="1" si="198"/>
        <v>-92363350734250.828</v>
      </c>
      <c r="L5997" s="444">
        <f t="shared" ca="1" si="199"/>
        <v>-2.2259567526954452E+16</v>
      </c>
      <c r="M5997" s="460">
        <f t="shared" si="201"/>
        <v>0.05</v>
      </c>
      <c r="N5997" s="464">
        <f t="shared" si="202"/>
        <v>233573</v>
      </c>
    </row>
    <row r="5998" spans="7:14" ht="11.25" customHeight="1" x14ac:dyDescent="0.3">
      <c r="G5998" s="459"/>
      <c r="H5998" s="459">
        <v>5991</v>
      </c>
      <c r="I5998" s="444">
        <f t="shared" ca="1" si="200"/>
        <v>-2.2259567526954452E+16</v>
      </c>
      <c r="J5998" s="444">
        <f t="array" ref="J5998">IFERROR(INDEX('Retirement Calculator'!K:K,MATCH('Lorri 401b'!N5998,'Retirement Calculator'!A:A,0),0),0)</f>
        <v>0</v>
      </c>
      <c r="K5998" s="444">
        <f t="shared" ca="1" si="198"/>
        <v>-92748198028976.875</v>
      </c>
      <c r="L5998" s="444">
        <f t="shared" ca="1" si="199"/>
        <v>-2.2352315724983428E+16</v>
      </c>
      <c r="M5998" s="460">
        <f t="shared" si="201"/>
        <v>0.05</v>
      </c>
      <c r="N5998" s="464">
        <f t="shared" si="202"/>
        <v>233604</v>
      </c>
    </row>
    <row r="5999" spans="7:14" ht="11.25" customHeight="1" x14ac:dyDescent="0.3">
      <c r="G5999" s="459"/>
      <c r="H5999" s="459">
        <v>5992</v>
      </c>
      <c r="I5999" s="444">
        <f t="shared" ca="1" si="200"/>
        <v>-2.2352315724983428E+16</v>
      </c>
      <c r="J5999" s="444">
        <f t="array" ref="J5999">IFERROR(INDEX('Retirement Calculator'!K:K,MATCH('Lorri 401b'!N5999,'Retirement Calculator'!A:A,0),0),0)</f>
        <v>0</v>
      </c>
      <c r="K5999" s="444">
        <f t="shared" ca="1" si="198"/>
        <v>-93134648854097.609</v>
      </c>
      <c r="L5999" s="444">
        <f t="shared" ca="1" si="199"/>
        <v>-2.2445450373837524E+16</v>
      </c>
      <c r="M5999" s="460">
        <f t="shared" si="201"/>
        <v>0.05</v>
      </c>
      <c r="N5999" s="464">
        <f t="shared" si="202"/>
        <v>233635</v>
      </c>
    </row>
    <row r="6000" spans="7:14" ht="11.25" customHeight="1" x14ac:dyDescent="0.3">
      <c r="G6000" s="459"/>
      <c r="H6000" s="459">
        <v>5993</v>
      </c>
      <c r="I6000" s="444">
        <f t="shared" ca="1" si="200"/>
        <v>-2.2445450373837524E+16</v>
      </c>
      <c r="J6000" s="444">
        <f t="array" ref="J6000">IFERROR(INDEX('Retirement Calculator'!K:K,MATCH('Lorri 401b'!N6000,'Retirement Calculator'!A:A,0),0),0)</f>
        <v>0</v>
      </c>
      <c r="K6000" s="444">
        <f t="shared" ca="1" si="198"/>
        <v>-93522709890989.688</v>
      </c>
      <c r="L6000" s="444">
        <f t="shared" ca="1" si="199"/>
        <v>-2.2538973083728512E+16</v>
      </c>
      <c r="M6000" s="460">
        <f t="shared" si="201"/>
        <v>0.05</v>
      </c>
      <c r="N6000" s="464">
        <f t="shared" si="202"/>
        <v>233665</v>
      </c>
    </row>
    <row r="6001" spans="7:14" ht="11.25" customHeight="1" x14ac:dyDescent="0.3">
      <c r="G6001" s="459"/>
      <c r="H6001" s="459">
        <v>5994</v>
      </c>
      <c r="I6001" s="444">
        <f t="shared" ca="1" si="200"/>
        <v>-2.2538973083728512E+16</v>
      </c>
      <c r="J6001" s="444">
        <f t="array" ref="J6001">IFERROR(INDEX('Retirement Calculator'!K:K,MATCH('Lorri 401b'!N6001,'Retirement Calculator'!A:A,0),0),0)</f>
        <v>0</v>
      </c>
      <c r="K6001" s="444">
        <f t="shared" ca="1" si="198"/>
        <v>-93912387848868.797</v>
      </c>
      <c r="L6001" s="444">
        <f t="shared" ca="1" si="199"/>
        <v>-2.263288547157738E+16</v>
      </c>
      <c r="M6001" s="460">
        <f t="shared" si="201"/>
        <v>0.05</v>
      </c>
      <c r="N6001" s="464">
        <f t="shared" si="202"/>
        <v>233696</v>
      </c>
    </row>
    <row r="6002" spans="7:14" ht="11.25" customHeight="1" x14ac:dyDescent="0.3">
      <c r="G6002" s="459"/>
      <c r="H6002" s="459">
        <v>5995</v>
      </c>
      <c r="I6002" s="444">
        <f t="shared" ca="1" si="200"/>
        <v>-2.263288547157738E+16</v>
      </c>
      <c r="J6002" s="444">
        <f t="array" ref="J6002">IFERROR(INDEX('Retirement Calculator'!K:K,MATCH('Lorri 401b'!N6002,'Retirement Calculator'!A:A,0),0),0)</f>
        <v>0</v>
      </c>
      <c r="K6002" s="444">
        <f t="shared" ca="1" si="198"/>
        <v>-94303689464905.75</v>
      </c>
      <c r="L6002" s="444">
        <f t="shared" ca="1" si="199"/>
        <v>-2.2727189161042284E+16</v>
      </c>
      <c r="M6002" s="460">
        <f t="shared" si="201"/>
        <v>0.05</v>
      </c>
      <c r="N6002" s="464">
        <f t="shared" si="202"/>
        <v>233726</v>
      </c>
    </row>
    <row r="6003" spans="7:14" ht="11.25" customHeight="1" x14ac:dyDescent="0.3">
      <c r="G6003" s="459"/>
      <c r="H6003" s="459">
        <v>5996</v>
      </c>
      <c r="I6003" s="444">
        <f t="shared" ca="1" si="200"/>
        <v>-2.2727189161042284E+16</v>
      </c>
      <c r="J6003" s="444">
        <f t="array" ref="J6003">IFERROR(INDEX('Retirement Calculator'!K:K,MATCH('Lorri 401b'!N6003,'Retirement Calculator'!A:A,0),0),0)</f>
        <v>0</v>
      </c>
      <c r="K6003" s="444">
        <f t="shared" ca="1" si="198"/>
        <v>-94696621504342.844</v>
      </c>
      <c r="L6003" s="444">
        <f t="shared" ca="1" si="199"/>
        <v>-2.2821885782546628E+16</v>
      </c>
      <c r="M6003" s="460">
        <f t="shared" si="201"/>
        <v>0.05</v>
      </c>
      <c r="N6003" s="464">
        <f t="shared" si="202"/>
        <v>233757</v>
      </c>
    </row>
    <row r="6004" spans="7:14" ht="11.25" customHeight="1" x14ac:dyDescent="0.3">
      <c r="G6004" s="459"/>
      <c r="H6004" s="459">
        <v>5997</v>
      </c>
      <c r="I6004" s="444">
        <f t="shared" ca="1" si="200"/>
        <v>-2.2821885782546628E+16</v>
      </c>
      <c r="J6004" s="444">
        <f t="array" ref="J6004">IFERROR(INDEX('Retirement Calculator'!K:K,MATCH('Lorri 401b'!N6004,'Retirement Calculator'!A:A,0),0),0)</f>
        <v>0</v>
      </c>
      <c r="K6004" s="444">
        <f t="shared" ca="1" si="198"/>
        <v>-95091190760610.953</v>
      </c>
      <c r="L6004" s="444">
        <f t="shared" ca="1" si="199"/>
        <v>-2.291697697330724E+16</v>
      </c>
      <c r="M6004" s="460">
        <f t="shared" si="201"/>
        <v>0.05</v>
      </c>
      <c r="N6004" s="464">
        <f t="shared" si="202"/>
        <v>233788</v>
      </c>
    </row>
    <row r="6005" spans="7:14" ht="11.25" customHeight="1" x14ac:dyDescent="0.3">
      <c r="G6005" s="459"/>
      <c r="H6005" s="459">
        <v>5998</v>
      </c>
      <c r="I6005" s="444">
        <f t="shared" ca="1" si="200"/>
        <v>-2.291697697330724E+16</v>
      </c>
      <c r="J6005" s="444">
        <f t="array" ref="J6005">IFERROR(INDEX('Retirement Calculator'!K:K,MATCH('Lorri 401b'!N6005,'Retirement Calculator'!A:A,0),0),0)</f>
        <v>0</v>
      </c>
      <c r="K6005" s="444">
        <f t="shared" ca="1" si="198"/>
        <v>-95487404055446.828</v>
      </c>
      <c r="L6005" s="444">
        <f t="shared" ca="1" si="199"/>
        <v>-2.3012464377362688E+16</v>
      </c>
      <c r="M6005" s="460">
        <f t="shared" si="201"/>
        <v>0.05</v>
      </c>
      <c r="N6005" s="464">
        <f t="shared" si="202"/>
        <v>233817</v>
      </c>
    </row>
    <row r="6006" spans="7:14" ht="11.25" customHeight="1" x14ac:dyDescent="0.3">
      <c r="G6006" s="459"/>
      <c r="H6006" s="459">
        <v>5999</v>
      </c>
      <c r="I6006" s="444">
        <f t="shared" ca="1" si="200"/>
        <v>-2.3012464377362688E+16</v>
      </c>
      <c r="J6006" s="444">
        <f t="array" ref="J6006">IFERROR(INDEX('Retirement Calculator'!K:K,MATCH('Lorri 401b'!N6006,'Retirement Calculator'!A:A,0),0),0)</f>
        <v>0</v>
      </c>
      <c r="K6006" s="444">
        <f t="shared" ca="1" si="198"/>
        <v>-95885268239011.203</v>
      </c>
      <c r="L6006" s="444">
        <f t="shared" ca="1" si="199"/>
        <v>-2.31083496456017E+16</v>
      </c>
      <c r="M6006" s="460">
        <f t="shared" si="201"/>
        <v>0.05</v>
      </c>
      <c r="N6006" s="464">
        <f t="shared" si="202"/>
        <v>233848</v>
      </c>
    </row>
    <row r="6007" spans="7:14" ht="11.25" customHeight="1" x14ac:dyDescent="0.3">
      <c r="G6007" s="459"/>
      <c r="H6007" s="459">
        <v>6000</v>
      </c>
      <c r="I6007" s="444">
        <f t="shared" ca="1" si="200"/>
        <v>-2.31083496456017E+16</v>
      </c>
      <c r="J6007" s="444">
        <f t="array" ref="J6007">IFERROR(INDEX('Retirement Calculator'!K:K,MATCH('Lorri 401b'!N6007,'Retirement Calculator'!A:A,0),0),0)</f>
        <v>0</v>
      </c>
      <c r="K6007" s="444">
        <f t="shared" ca="1" si="198"/>
        <v>-96284790190007.078</v>
      </c>
      <c r="L6007" s="444">
        <f t="shared" ca="1" si="199"/>
        <v>-2.3204634435791708E+16</v>
      </c>
      <c r="M6007" s="460">
        <f t="shared" si="201"/>
        <v>0.05</v>
      </c>
      <c r="N6007" s="464">
        <f t="shared" si="202"/>
        <v>233878</v>
      </c>
    </row>
    <row r="6008" spans="7:14" ht="11.25" customHeight="1" x14ac:dyDescent="0.3">
      <c r="G6008" s="459"/>
      <c r="H6008" s="459">
        <v>6001</v>
      </c>
      <c r="I6008" s="444">
        <f t="shared" ca="1" si="200"/>
        <v>-2.3204634435791708E+16</v>
      </c>
      <c r="J6008" s="444">
        <f t="array" ref="J6008">IFERROR(INDEX('Retirement Calculator'!K:K,MATCH('Lorri 401b'!N6008,'Retirement Calculator'!A:A,0),0),0)</f>
        <v>0</v>
      </c>
      <c r="K6008" s="444">
        <f t="shared" ca="1" si="198"/>
        <v>-96685976815798.781</v>
      </c>
      <c r="L6008" s="444">
        <f t="shared" ca="1" si="199"/>
        <v>-2.3301320412607508E+16</v>
      </c>
      <c r="M6008" s="460">
        <f t="shared" si="201"/>
        <v>0.05</v>
      </c>
      <c r="N6008" s="464">
        <f t="shared" si="202"/>
        <v>233909</v>
      </c>
    </row>
    <row r="6009" spans="7:14" ht="11.25" customHeight="1" x14ac:dyDescent="0.3">
      <c r="G6009" s="459"/>
      <c r="H6009" s="459">
        <v>6002</v>
      </c>
      <c r="I6009" s="444">
        <f t="shared" ca="1" si="200"/>
        <v>-2.3301320412607508E+16</v>
      </c>
      <c r="J6009" s="444">
        <f t="array" ref="J6009">IFERROR(INDEX('Retirement Calculator'!K:K,MATCH('Lorri 401b'!N6009,'Retirement Calculator'!A:A,0),0),0)</f>
        <v>0</v>
      </c>
      <c r="K6009" s="444">
        <f t="shared" ca="1" si="198"/>
        <v>-97088835052531.281</v>
      </c>
      <c r="L6009" s="444">
        <f t="shared" ca="1" si="199"/>
        <v>-2.339840924766004E+16</v>
      </c>
      <c r="M6009" s="460">
        <f t="shared" si="201"/>
        <v>0.05</v>
      </c>
      <c r="N6009" s="464">
        <f t="shared" si="202"/>
        <v>233939</v>
      </c>
    </row>
    <row r="6010" spans="7:14" ht="11.25" customHeight="1" x14ac:dyDescent="0.3">
      <c r="G6010" s="459"/>
      <c r="H6010" s="459">
        <v>6003</v>
      </c>
      <c r="I6010" s="444">
        <f t="shared" ca="1" si="200"/>
        <v>-2.339840924766004E+16</v>
      </c>
      <c r="J6010" s="444">
        <f t="array" ref="J6010">IFERROR(INDEX('Retirement Calculator'!K:K,MATCH('Lorri 401b'!N6010,'Retirement Calculator'!A:A,0),0),0)</f>
        <v>0</v>
      </c>
      <c r="K6010" s="444">
        <f t="shared" ca="1" si="198"/>
        <v>-97493371865250.172</v>
      </c>
      <c r="L6010" s="444">
        <f t="shared" ca="1" si="199"/>
        <v>-2.3495902619525292E+16</v>
      </c>
      <c r="M6010" s="460">
        <f t="shared" si="201"/>
        <v>0.05</v>
      </c>
      <c r="N6010" s="464">
        <f t="shared" si="202"/>
        <v>233970</v>
      </c>
    </row>
    <row r="6011" spans="7:14" ht="11.25" customHeight="1" x14ac:dyDescent="0.3">
      <c r="G6011" s="459"/>
      <c r="H6011" s="459">
        <v>6004</v>
      </c>
      <c r="I6011" s="444">
        <f t="shared" ca="1" si="200"/>
        <v>-2.3495902619525292E+16</v>
      </c>
      <c r="J6011" s="444">
        <f t="array" ref="J6011">IFERROR(INDEX('Retirement Calculator'!K:K,MATCH('Lorri 401b'!N6011,'Retirement Calculator'!A:A,0),0),0)</f>
        <v>0</v>
      </c>
      <c r="K6011" s="444">
        <f t="shared" ca="1" si="198"/>
        <v>-97899594248022.047</v>
      </c>
      <c r="L6011" s="444">
        <f t="shared" ca="1" si="199"/>
        <v>-2.3593802213773316E+16</v>
      </c>
      <c r="M6011" s="460">
        <f t="shared" si="201"/>
        <v>0.05</v>
      </c>
      <c r="N6011" s="464">
        <f t="shared" si="202"/>
        <v>234001</v>
      </c>
    </row>
    <row r="6012" spans="7:14" ht="11.25" customHeight="1" x14ac:dyDescent="0.3">
      <c r="G6012" s="459"/>
      <c r="H6012" s="459">
        <v>6005</v>
      </c>
      <c r="I6012" s="444">
        <f t="shared" ca="1" si="200"/>
        <v>-2.3593802213773316E+16</v>
      </c>
      <c r="J6012" s="444">
        <f t="array" ref="J6012">IFERROR(INDEX('Retirement Calculator'!K:K,MATCH('Lorri 401b'!N6012,'Retirement Calculator'!A:A,0),0),0)</f>
        <v>0</v>
      </c>
      <c r="K6012" s="444">
        <f t="shared" ca="1" si="198"/>
        <v>-98307509224055.484</v>
      </c>
      <c r="L6012" s="444">
        <f t="shared" ca="1" si="199"/>
        <v>-2.3692109722997372E+16</v>
      </c>
      <c r="M6012" s="460">
        <f t="shared" si="201"/>
        <v>0.05</v>
      </c>
      <c r="N6012" s="464">
        <f t="shared" si="202"/>
        <v>234031</v>
      </c>
    </row>
    <row r="6013" spans="7:14" ht="11.25" customHeight="1" x14ac:dyDescent="0.3">
      <c r="G6013" s="459"/>
      <c r="H6013" s="459">
        <v>6006</v>
      </c>
      <c r="I6013" s="444">
        <f t="shared" ca="1" si="200"/>
        <v>-2.3692109722997372E+16</v>
      </c>
      <c r="J6013" s="444">
        <f t="array" ref="J6013">IFERROR(INDEX('Retirement Calculator'!K:K,MATCH('Lorri 401b'!N6013,'Retirement Calculator'!A:A,0),0),0)</f>
        <v>0</v>
      </c>
      <c r="K6013" s="444">
        <f t="shared" ca="1" si="198"/>
        <v>-98717123845822.375</v>
      </c>
      <c r="L6013" s="444">
        <f t="shared" ca="1" si="199"/>
        <v>-2.3790826846843196E+16</v>
      </c>
      <c r="M6013" s="460">
        <f t="shared" si="201"/>
        <v>0.05</v>
      </c>
      <c r="N6013" s="464">
        <f t="shared" si="202"/>
        <v>234062</v>
      </c>
    </row>
    <row r="6014" spans="7:14" ht="11.25" customHeight="1" x14ac:dyDescent="0.3">
      <c r="G6014" s="459"/>
      <c r="H6014" s="459">
        <v>6007</v>
      </c>
      <c r="I6014" s="444">
        <f t="shared" ca="1" si="200"/>
        <v>-2.3790826846843196E+16</v>
      </c>
      <c r="J6014" s="444">
        <f t="array" ref="J6014">IFERROR(INDEX('Retirement Calculator'!K:K,MATCH('Lorri 401b'!N6014,'Retirement Calculator'!A:A,0),0),0)</f>
        <v>0</v>
      </c>
      <c r="K6014" s="444">
        <f t="shared" ca="1" si="198"/>
        <v>-99128445195179.984</v>
      </c>
      <c r="L6014" s="444">
        <f t="shared" ca="1" si="199"/>
        <v>-2.3889955292038376E+16</v>
      </c>
      <c r="M6014" s="460">
        <f t="shared" si="201"/>
        <v>0.05</v>
      </c>
      <c r="N6014" s="464">
        <f t="shared" si="202"/>
        <v>234092</v>
      </c>
    </row>
    <row r="6015" spans="7:14" ht="11.25" customHeight="1" x14ac:dyDescent="0.3">
      <c r="G6015" s="459"/>
      <c r="H6015" s="459">
        <v>6008</v>
      </c>
      <c r="I6015" s="444">
        <f t="shared" ca="1" si="200"/>
        <v>-2.3889955292038376E+16</v>
      </c>
      <c r="J6015" s="444">
        <f t="array" ref="J6015">IFERROR(INDEX('Retirement Calculator'!K:K,MATCH('Lorri 401b'!N6015,'Retirement Calculator'!A:A,0),0),0)</f>
        <v>0</v>
      </c>
      <c r="K6015" s="444">
        <f t="shared" ca="1" si="198"/>
        <v>-99541480383493.234</v>
      </c>
      <c r="L6015" s="444">
        <f t="shared" ca="1" si="199"/>
        <v>-2.3989496772421868E+16</v>
      </c>
      <c r="M6015" s="460">
        <f t="shared" si="201"/>
        <v>0.05</v>
      </c>
      <c r="N6015" s="464">
        <f t="shared" si="202"/>
        <v>234123</v>
      </c>
    </row>
    <row r="6016" spans="7:14" ht="11.25" customHeight="1" x14ac:dyDescent="0.3">
      <c r="G6016" s="459"/>
      <c r="H6016" s="459">
        <v>6009</v>
      </c>
      <c r="I6016" s="444">
        <f t="shared" ca="1" si="200"/>
        <v>-2.3989496772421868E+16</v>
      </c>
      <c r="J6016" s="444">
        <f t="array" ref="J6016">IFERROR(INDEX('Retirement Calculator'!K:K,MATCH('Lorri 401b'!N6016,'Retirement Calculator'!A:A,0),0),0)</f>
        <v>0</v>
      </c>
      <c r="K6016" s="444">
        <f t="shared" ca="1" si="198"/>
        <v>-99956236551757.781</v>
      </c>
      <c r="L6016" s="444">
        <f t="shared" ca="1" si="199"/>
        <v>-2.4089453008973624E+16</v>
      </c>
      <c r="M6016" s="460">
        <f t="shared" si="201"/>
        <v>0.05</v>
      </c>
      <c r="N6016" s="464">
        <f t="shared" si="202"/>
        <v>234154</v>
      </c>
    </row>
    <row r="6017" spans="7:14" ht="11.25" customHeight="1" x14ac:dyDescent="0.3">
      <c r="G6017" s="459"/>
      <c r="H6017" s="459">
        <v>6010</v>
      </c>
      <c r="I6017" s="444">
        <f t="shared" ca="1" si="200"/>
        <v>-2.4089453008973624E+16</v>
      </c>
      <c r="J6017" s="444">
        <f t="array" ref="J6017">IFERROR(INDEX('Retirement Calculator'!K:K,MATCH('Lorri 401b'!N6017,'Retirement Calculator'!A:A,0),0),0)</f>
        <v>0</v>
      </c>
      <c r="K6017" s="444">
        <f t="shared" ca="1" si="198"/>
        <v>-100372720870723.44</v>
      </c>
      <c r="L6017" s="444">
        <f t="shared" ca="1" si="199"/>
        <v>-2.4189825729844348E+16</v>
      </c>
      <c r="M6017" s="460">
        <f t="shared" si="201"/>
        <v>0.05</v>
      </c>
      <c r="N6017" s="464">
        <f t="shared" si="202"/>
        <v>234182</v>
      </c>
    </row>
    <row r="6018" spans="7:14" ht="11.25" customHeight="1" x14ac:dyDescent="0.3">
      <c r="G6018" s="459"/>
      <c r="H6018" s="459">
        <v>6011</v>
      </c>
      <c r="I6018" s="444">
        <f t="shared" ca="1" si="200"/>
        <v>-2.4189825729844348E+16</v>
      </c>
      <c r="J6018" s="444">
        <f t="array" ref="J6018">IFERROR(INDEX('Retirement Calculator'!K:K,MATCH('Lorri 401b'!N6018,'Retirement Calculator'!A:A,0),0),0)</f>
        <v>0</v>
      </c>
      <c r="K6018" s="444">
        <f t="shared" ca="1" si="198"/>
        <v>-100790940541018.11</v>
      </c>
      <c r="L6018" s="444">
        <f t="shared" ca="1" si="199"/>
        <v>-2.4290616670385368E+16</v>
      </c>
      <c r="M6018" s="460">
        <f t="shared" si="201"/>
        <v>0.05</v>
      </c>
      <c r="N6018" s="464">
        <f t="shared" si="202"/>
        <v>234213</v>
      </c>
    </row>
    <row r="6019" spans="7:14" ht="11.25" customHeight="1" x14ac:dyDescent="0.3">
      <c r="G6019" s="459"/>
      <c r="H6019" s="459">
        <v>6012</v>
      </c>
      <c r="I6019" s="444">
        <f t="shared" ca="1" si="200"/>
        <v>-2.4290616670385368E+16</v>
      </c>
      <c r="J6019" s="444">
        <f t="array" ref="J6019">IFERROR(INDEX('Retirement Calculator'!K:K,MATCH('Lorri 401b'!N6019,'Retirement Calculator'!A:A,0),0),0)</f>
        <v>0</v>
      </c>
      <c r="K6019" s="444">
        <f t="shared" ca="1" si="198"/>
        <v>-101210902793272.36</v>
      </c>
      <c r="L6019" s="444">
        <f t="shared" ca="1" si="199"/>
        <v>-2.439182757317864E+16</v>
      </c>
      <c r="M6019" s="460">
        <f t="shared" si="201"/>
        <v>0.05</v>
      </c>
      <c r="N6019" s="464">
        <f t="shared" si="202"/>
        <v>234243</v>
      </c>
    </row>
    <row r="6020" spans="7:14" ht="11.25" customHeight="1" x14ac:dyDescent="0.3">
      <c r="G6020" s="459"/>
      <c r="H6020" s="459">
        <v>6013</v>
      </c>
      <c r="I6020" s="444">
        <f t="shared" ca="1" si="200"/>
        <v>-2.439182757317864E+16</v>
      </c>
      <c r="J6020" s="444">
        <f t="array" ref="J6020">IFERROR(INDEX('Retirement Calculator'!K:K,MATCH('Lorri 401b'!N6020,'Retirement Calculator'!A:A,0),0),0)</f>
        <v>0</v>
      </c>
      <c r="K6020" s="444">
        <f t="shared" ca="1" si="198"/>
        <v>-101632614888244.33</v>
      </c>
      <c r="L6020" s="444">
        <f t="shared" ca="1" si="199"/>
        <v>-2.4493460188066884E+16</v>
      </c>
      <c r="M6020" s="460">
        <f t="shared" si="201"/>
        <v>0.05</v>
      </c>
      <c r="N6020" s="464">
        <f t="shared" si="202"/>
        <v>234274</v>
      </c>
    </row>
    <row r="6021" spans="7:14" ht="11.25" customHeight="1" x14ac:dyDescent="0.3">
      <c r="G6021" s="459"/>
      <c r="H6021" s="459">
        <v>6014</v>
      </c>
      <c r="I6021" s="444">
        <f t="shared" ca="1" si="200"/>
        <v>-2.4493460188066884E+16</v>
      </c>
      <c r="J6021" s="444">
        <f t="array" ref="J6021">IFERROR(INDEX('Retirement Calculator'!K:K,MATCH('Lorri 401b'!N6021,'Retirement Calculator'!A:A,0),0),0)</f>
        <v>0</v>
      </c>
      <c r="K6021" s="444">
        <f t="shared" ca="1" si="198"/>
        <v>-102056084116945.34</v>
      </c>
      <c r="L6021" s="444">
        <f t="shared" ca="1" si="199"/>
        <v>-2.4595516272183828E+16</v>
      </c>
      <c r="M6021" s="460">
        <f t="shared" si="201"/>
        <v>0.05</v>
      </c>
      <c r="N6021" s="464">
        <f t="shared" si="202"/>
        <v>234304</v>
      </c>
    </row>
    <row r="6022" spans="7:14" ht="11.25" customHeight="1" x14ac:dyDescent="0.3">
      <c r="G6022" s="459"/>
      <c r="H6022" s="459">
        <v>6015</v>
      </c>
      <c r="I6022" s="444">
        <f t="shared" ca="1" si="200"/>
        <v>-2.4595516272183828E+16</v>
      </c>
      <c r="J6022" s="444">
        <f t="array" ref="J6022">IFERROR(INDEX('Retirement Calculator'!K:K,MATCH('Lorri 401b'!N6022,'Retirement Calculator'!A:A,0),0),0)</f>
        <v>0</v>
      </c>
      <c r="K6022" s="444">
        <f t="shared" ca="1" si="198"/>
        <v>-102481317800765.95</v>
      </c>
      <c r="L6022" s="444">
        <f t="shared" ca="1" si="199"/>
        <v>-2.4697997589984592E+16</v>
      </c>
      <c r="M6022" s="460">
        <f t="shared" si="201"/>
        <v>0.05</v>
      </c>
      <c r="N6022" s="464">
        <f t="shared" si="202"/>
        <v>234335</v>
      </c>
    </row>
    <row r="6023" spans="7:14" ht="11.25" customHeight="1" x14ac:dyDescent="0.3">
      <c r="G6023" s="459"/>
      <c r="H6023" s="459">
        <v>6016</v>
      </c>
      <c r="I6023" s="444">
        <f t="shared" ca="1" si="200"/>
        <v>-2.4697997589984592E+16</v>
      </c>
      <c r="J6023" s="444">
        <f t="array" ref="J6023">IFERROR(INDEX('Retirement Calculator'!K:K,MATCH('Lorri 401b'!N6023,'Retirement Calculator'!A:A,0),0),0)</f>
        <v>0</v>
      </c>
      <c r="K6023" s="444">
        <f t="shared" ca="1" si="198"/>
        <v>-102908323291602.47</v>
      </c>
      <c r="L6023" s="444">
        <f t="shared" ca="1" si="199"/>
        <v>-2.4800905913276196E+16</v>
      </c>
      <c r="M6023" s="460">
        <f t="shared" si="201"/>
        <v>0.05</v>
      </c>
      <c r="N6023" s="464">
        <f t="shared" si="202"/>
        <v>234366</v>
      </c>
    </row>
    <row r="6024" spans="7:14" ht="11.25" customHeight="1" x14ac:dyDescent="0.3">
      <c r="G6024" s="459"/>
      <c r="H6024" s="459">
        <v>6017</v>
      </c>
      <c r="I6024" s="444">
        <f t="shared" ca="1" si="200"/>
        <v>-2.4800905913276196E+16</v>
      </c>
      <c r="J6024" s="444">
        <f t="array" ref="J6024">IFERROR(INDEX('Retirement Calculator'!K:K,MATCH('Lorri 401b'!N6024,'Retirement Calculator'!A:A,0),0),0)</f>
        <v>0</v>
      </c>
      <c r="K6024" s="444">
        <f t="shared" ca="1" si="198"/>
        <v>-103337107971984.16</v>
      </c>
      <c r="L6024" s="444">
        <f t="shared" ca="1" si="199"/>
        <v>-2.490424302124818E+16</v>
      </c>
      <c r="M6024" s="460">
        <f t="shared" si="201"/>
        <v>0.05</v>
      </c>
      <c r="N6024" s="464">
        <f t="shared" si="202"/>
        <v>234396</v>
      </c>
    </row>
    <row r="6025" spans="7:14" ht="11.25" customHeight="1" x14ac:dyDescent="0.3">
      <c r="G6025" s="459"/>
      <c r="H6025" s="459">
        <v>6018</v>
      </c>
      <c r="I6025" s="444">
        <f t="shared" ca="1" si="200"/>
        <v>-2.490424302124818E+16</v>
      </c>
      <c r="J6025" s="444">
        <f t="array" ref="J6025">IFERROR(INDEX('Retirement Calculator'!K:K,MATCH('Lorri 401b'!N6025,'Retirement Calculator'!A:A,0),0),0)</f>
        <v>0</v>
      </c>
      <c r="K6025" s="444">
        <f t="shared" ca="1" si="198"/>
        <v>-103767679255200.75</v>
      </c>
      <c r="L6025" s="444">
        <f t="shared" ca="1" si="199"/>
        <v>-2.500801070050338E+16</v>
      </c>
      <c r="M6025" s="460">
        <f t="shared" si="201"/>
        <v>0.05</v>
      </c>
      <c r="N6025" s="464">
        <f t="shared" si="202"/>
        <v>234427</v>
      </c>
    </row>
    <row r="6026" spans="7:14" ht="11.25" customHeight="1" x14ac:dyDescent="0.3">
      <c r="G6026" s="459"/>
      <c r="H6026" s="459">
        <v>6019</v>
      </c>
      <c r="I6026" s="444">
        <f t="shared" ca="1" si="200"/>
        <v>-2.500801070050338E+16</v>
      </c>
      <c r="J6026" s="444">
        <f t="array" ref="J6026">IFERROR(INDEX('Retirement Calculator'!K:K,MATCH('Lorri 401b'!N6026,'Retirement Calculator'!A:A,0),0),0)</f>
        <v>0</v>
      </c>
      <c r="K6026" s="444">
        <f t="shared" ca="1" si="198"/>
        <v>-104200044585430.75</v>
      </c>
      <c r="L6026" s="444">
        <f t="shared" ca="1" si="199"/>
        <v>-2.5112210745088812E+16</v>
      </c>
      <c r="M6026" s="460">
        <f t="shared" si="201"/>
        <v>0.05</v>
      </c>
      <c r="N6026" s="464">
        <f t="shared" si="202"/>
        <v>234457</v>
      </c>
    </row>
    <row r="6027" spans="7:14" ht="11.25" customHeight="1" x14ac:dyDescent="0.3">
      <c r="G6027" s="459"/>
      <c r="H6027" s="459">
        <v>6020</v>
      </c>
      <c r="I6027" s="444">
        <f t="shared" ca="1" si="200"/>
        <v>-2.5112210745088812E+16</v>
      </c>
      <c r="J6027" s="444">
        <f t="array" ref="J6027">IFERROR(INDEX('Retirement Calculator'!K:K,MATCH('Lorri 401b'!N6027,'Retirement Calculator'!A:A,0),0),0)</f>
        <v>0</v>
      </c>
      <c r="K6027" s="444">
        <f t="shared" ca="1" si="198"/>
        <v>-104634211437870.05</v>
      </c>
      <c r="L6027" s="444">
        <f t="shared" ca="1" si="199"/>
        <v>-2.5216844956526684E+16</v>
      </c>
      <c r="M6027" s="460">
        <f t="shared" si="201"/>
        <v>0.05</v>
      </c>
      <c r="N6027" s="464">
        <f t="shared" si="202"/>
        <v>234488</v>
      </c>
    </row>
    <row r="6028" spans="7:14" ht="11.25" customHeight="1" x14ac:dyDescent="0.3">
      <c r="G6028" s="459"/>
      <c r="H6028" s="459">
        <v>6021</v>
      </c>
      <c r="I6028" s="444">
        <f t="shared" ca="1" si="200"/>
        <v>-2.5216844956526684E+16</v>
      </c>
      <c r="J6028" s="444">
        <f t="array" ref="J6028">IFERROR(INDEX('Retirement Calculator'!K:K,MATCH('Lorri 401b'!N6028,'Retirement Calculator'!A:A,0),0),0)</f>
        <v>0</v>
      </c>
      <c r="K6028" s="444">
        <f t="shared" ca="1" si="198"/>
        <v>-105070187318861.19</v>
      </c>
      <c r="L6028" s="444">
        <f t="shared" ca="1" si="199"/>
        <v>-2.5321915143845544E+16</v>
      </c>
      <c r="M6028" s="460">
        <f t="shared" si="201"/>
        <v>0.05</v>
      </c>
      <c r="N6028" s="464">
        <f t="shared" si="202"/>
        <v>234519</v>
      </c>
    </row>
    <row r="6029" spans="7:14" ht="11.25" customHeight="1" x14ac:dyDescent="0.3">
      <c r="G6029" s="459"/>
      <c r="H6029" s="459">
        <v>6022</v>
      </c>
      <c r="I6029" s="444">
        <f t="shared" ca="1" si="200"/>
        <v>-2.5321915143845544E+16</v>
      </c>
      <c r="J6029" s="444">
        <f t="array" ref="J6029">IFERROR(INDEX('Retirement Calculator'!K:K,MATCH('Lorri 401b'!N6029,'Retirement Calculator'!A:A,0),0),0)</f>
        <v>0</v>
      </c>
      <c r="K6029" s="444">
        <f t="shared" ca="1" si="198"/>
        <v>-105507979766023.09</v>
      </c>
      <c r="L6029" s="444">
        <f t="shared" ca="1" si="199"/>
        <v>-2.5427423123611568E+16</v>
      </c>
      <c r="M6029" s="460">
        <f t="shared" si="201"/>
        <v>0.05</v>
      </c>
      <c r="N6029" s="464">
        <f t="shared" si="202"/>
        <v>234547</v>
      </c>
    </row>
    <row r="6030" spans="7:14" ht="11.25" customHeight="1" x14ac:dyDescent="0.3">
      <c r="G6030" s="459"/>
      <c r="H6030" s="459">
        <v>6023</v>
      </c>
      <c r="I6030" s="444">
        <f t="shared" ca="1" si="200"/>
        <v>-2.5427423123611568E+16</v>
      </c>
      <c r="J6030" s="444">
        <f t="array" ref="J6030">IFERROR(INDEX('Retirement Calculator'!K:K,MATCH('Lorri 401b'!N6030,'Retirement Calculator'!A:A,0),0),0)</f>
        <v>0</v>
      </c>
      <c r="K6030" s="444">
        <f t="shared" ca="1" si="198"/>
        <v>-105947596348381.53</v>
      </c>
      <c r="L6030" s="444">
        <f t="shared" ca="1" si="199"/>
        <v>-2.5533370719959948E+16</v>
      </c>
      <c r="M6030" s="460">
        <f t="shared" si="201"/>
        <v>0.05</v>
      </c>
      <c r="N6030" s="464">
        <f t="shared" si="202"/>
        <v>234578</v>
      </c>
    </row>
    <row r="6031" spans="7:14" ht="11.25" customHeight="1" x14ac:dyDescent="0.3">
      <c r="G6031" s="459"/>
      <c r="H6031" s="459">
        <v>6024</v>
      </c>
      <c r="I6031" s="444">
        <f t="shared" ca="1" si="200"/>
        <v>-2.5533370719959948E+16</v>
      </c>
      <c r="J6031" s="444">
        <f t="array" ref="J6031">IFERROR(INDEX('Retirement Calculator'!K:K,MATCH('Lorri 401b'!N6031,'Retirement Calculator'!A:A,0),0),0)</f>
        <v>0</v>
      </c>
      <c r="K6031" s="444">
        <f t="shared" ca="1" si="198"/>
        <v>-106389044666499.78</v>
      </c>
      <c r="L6031" s="444">
        <f t="shared" ca="1" si="199"/>
        <v>-2.5639759764626448E+16</v>
      </c>
      <c r="M6031" s="460">
        <f t="shared" si="201"/>
        <v>0.05</v>
      </c>
      <c r="N6031" s="464">
        <f t="shared" si="202"/>
        <v>234608</v>
      </c>
    </row>
    <row r="6032" spans="7:14" ht="11.25" customHeight="1" x14ac:dyDescent="0.3">
      <c r="G6032" s="459"/>
      <c r="H6032" s="459">
        <v>6025</v>
      </c>
      <c r="I6032" s="444">
        <f t="shared" ca="1" si="200"/>
        <v>-2.5639759764626448E+16</v>
      </c>
      <c r="J6032" s="444">
        <f t="array" ref="J6032">IFERROR(INDEX('Retirement Calculator'!K:K,MATCH('Lorri 401b'!N6032,'Retirement Calculator'!A:A,0),0),0)</f>
        <v>0</v>
      </c>
      <c r="K6032" s="444">
        <f t="shared" ca="1" si="198"/>
        <v>-106832332352610.2</v>
      </c>
      <c r="L6032" s="444">
        <f t="shared" ca="1" si="199"/>
        <v>-2.574659209697906E+16</v>
      </c>
      <c r="M6032" s="460">
        <f t="shared" si="201"/>
        <v>0.05</v>
      </c>
      <c r="N6032" s="464">
        <f t="shared" si="202"/>
        <v>234639</v>
      </c>
    </row>
    <row r="6033" spans="7:14" ht="11.25" customHeight="1" x14ac:dyDescent="0.3">
      <c r="G6033" s="459"/>
      <c r="H6033" s="459">
        <v>6026</v>
      </c>
      <c r="I6033" s="444">
        <f t="shared" ca="1" si="200"/>
        <v>-2.574659209697906E+16</v>
      </c>
      <c r="J6033" s="444">
        <f t="array" ref="J6033">IFERROR(INDEX('Retirement Calculator'!K:K,MATCH('Lorri 401b'!N6033,'Retirement Calculator'!A:A,0),0),0)</f>
        <v>0</v>
      </c>
      <c r="K6033" s="444">
        <f t="shared" ca="1" si="198"/>
        <v>-107277467070746.08</v>
      </c>
      <c r="L6033" s="444">
        <f t="shared" ca="1" si="199"/>
        <v>-2.5853869564049808E+16</v>
      </c>
      <c r="M6033" s="460">
        <f t="shared" si="201"/>
        <v>0.05</v>
      </c>
      <c r="N6033" s="464">
        <f t="shared" si="202"/>
        <v>234669</v>
      </c>
    </row>
    <row r="6034" spans="7:14" ht="11.25" customHeight="1" x14ac:dyDescent="0.3">
      <c r="G6034" s="459"/>
      <c r="H6034" s="459">
        <v>6027</v>
      </c>
      <c r="I6034" s="444">
        <f t="shared" ca="1" si="200"/>
        <v>-2.5853869564049808E+16</v>
      </c>
      <c r="J6034" s="444">
        <f t="array" ref="J6034">IFERROR(INDEX('Retirement Calculator'!K:K,MATCH('Lorri 401b'!N6034,'Retirement Calculator'!A:A,0),0),0)</f>
        <v>0</v>
      </c>
      <c r="K6034" s="444">
        <f t="shared" ca="1" si="198"/>
        <v>-107724456516874.2</v>
      </c>
      <c r="L6034" s="444">
        <f t="shared" ca="1" si="199"/>
        <v>-2.5961594020566684E+16</v>
      </c>
      <c r="M6034" s="460">
        <f t="shared" si="201"/>
        <v>0.05</v>
      </c>
      <c r="N6034" s="464">
        <f t="shared" si="202"/>
        <v>234700</v>
      </c>
    </row>
    <row r="6035" spans="7:14" ht="11.25" customHeight="1" x14ac:dyDescent="0.3">
      <c r="G6035" s="459"/>
      <c r="H6035" s="459">
        <v>6028</v>
      </c>
      <c r="I6035" s="444">
        <f t="shared" ca="1" si="200"/>
        <v>-2.5961594020566684E+16</v>
      </c>
      <c r="J6035" s="444">
        <f t="array" ref="J6035">IFERROR(INDEX('Retirement Calculator'!K:K,MATCH('Lorri 401b'!N6035,'Retirement Calculator'!A:A,0),0),0)</f>
        <v>0</v>
      </c>
      <c r="K6035" s="444">
        <f t="shared" ca="1" si="198"/>
        <v>-108173308419027.84</v>
      </c>
      <c r="L6035" s="444">
        <f t="shared" ca="1" si="199"/>
        <v>-2.6069767328985712E+16</v>
      </c>
      <c r="M6035" s="460">
        <f t="shared" si="201"/>
        <v>0.05</v>
      </c>
      <c r="N6035" s="464">
        <f t="shared" si="202"/>
        <v>234731</v>
      </c>
    </row>
    <row r="6036" spans="7:14" ht="11.25" customHeight="1" x14ac:dyDescent="0.3">
      <c r="G6036" s="459"/>
      <c r="H6036" s="459">
        <v>6029</v>
      </c>
      <c r="I6036" s="444">
        <f t="shared" ca="1" si="200"/>
        <v>-2.6069767328985712E+16</v>
      </c>
      <c r="J6036" s="444">
        <f t="array" ref="J6036">IFERROR(INDEX('Retirement Calculator'!K:K,MATCH('Lorri 401b'!N6036,'Retirement Calculator'!A:A,0),0),0)</f>
        <v>0</v>
      </c>
      <c r="K6036" s="444">
        <f t="shared" ca="1" si="198"/>
        <v>-108624030537440.47</v>
      </c>
      <c r="L6036" s="444">
        <f t="shared" ca="1" si="199"/>
        <v>-2.6178391359523152E+16</v>
      </c>
      <c r="M6036" s="460">
        <f t="shared" si="201"/>
        <v>0.05</v>
      </c>
      <c r="N6036" s="464">
        <f t="shared" si="202"/>
        <v>234761</v>
      </c>
    </row>
    <row r="6037" spans="7:14" ht="11.25" customHeight="1" x14ac:dyDescent="0.3">
      <c r="G6037" s="459"/>
      <c r="H6037" s="459">
        <v>6030</v>
      </c>
      <c r="I6037" s="444">
        <f t="shared" ca="1" si="200"/>
        <v>-2.6178391359523152E+16</v>
      </c>
      <c r="J6037" s="444">
        <f t="array" ref="J6037">IFERROR(INDEX('Retirement Calculator'!K:K,MATCH('Lorri 401b'!N6037,'Retirement Calculator'!A:A,0),0),0)</f>
        <v>0</v>
      </c>
      <c r="K6037" s="444">
        <f t="shared" ca="1" si="198"/>
        <v>-109076630664679.8</v>
      </c>
      <c r="L6037" s="444">
        <f t="shared" ca="1" si="199"/>
        <v>-2.6287467990187832E+16</v>
      </c>
      <c r="M6037" s="460">
        <f t="shared" si="201"/>
        <v>0.05</v>
      </c>
      <c r="N6037" s="464">
        <f t="shared" si="202"/>
        <v>234792</v>
      </c>
    </row>
    <row r="6038" spans="7:14" ht="11.25" customHeight="1" x14ac:dyDescent="0.3">
      <c r="G6038" s="459"/>
      <c r="H6038" s="459">
        <v>6031</v>
      </c>
      <c r="I6038" s="444">
        <f t="shared" ca="1" si="200"/>
        <v>-2.6287467990187832E+16</v>
      </c>
      <c r="J6038" s="444">
        <f t="array" ref="J6038">IFERROR(INDEX('Retirement Calculator'!K:K,MATCH('Lorri 401b'!N6038,'Retirement Calculator'!A:A,0),0),0)</f>
        <v>0</v>
      </c>
      <c r="K6038" s="444">
        <f t="shared" ca="1" si="198"/>
        <v>-109531116625782.63</v>
      </c>
      <c r="L6038" s="444">
        <f t="shared" ca="1" si="199"/>
        <v>-2.6396999106813616E+16</v>
      </c>
      <c r="M6038" s="460">
        <f t="shared" si="201"/>
        <v>0.05</v>
      </c>
      <c r="N6038" s="464">
        <f t="shared" si="202"/>
        <v>234822</v>
      </c>
    </row>
    <row r="6039" spans="7:14" ht="11.25" customHeight="1" x14ac:dyDescent="0.3">
      <c r="G6039" s="459"/>
      <c r="H6039" s="459">
        <v>6032</v>
      </c>
      <c r="I6039" s="444">
        <f t="shared" ca="1" si="200"/>
        <v>-2.6396999106813616E+16</v>
      </c>
      <c r="J6039" s="444">
        <f t="array" ref="J6039">IFERROR(INDEX('Retirement Calculator'!K:K,MATCH('Lorri 401b'!N6039,'Retirement Calculator'!A:A,0),0),0)</f>
        <v>0</v>
      </c>
      <c r="K6039" s="444">
        <f t="shared" ca="1" si="198"/>
        <v>-109987496278390.06</v>
      </c>
      <c r="L6039" s="444">
        <f t="shared" ca="1" si="199"/>
        <v>-2.6506986603092008E+16</v>
      </c>
      <c r="M6039" s="460">
        <f t="shared" si="201"/>
        <v>0.05</v>
      </c>
      <c r="N6039" s="464">
        <f t="shared" si="202"/>
        <v>234853</v>
      </c>
    </row>
    <row r="6040" spans="7:14" ht="11.25" customHeight="1" x14ac:dyDescent="0.3">
      <c r="G6040" s="459"/>
      <c r="H6040" s="459">
        <v>6033</v>
      </c>
      <c r="I6040" s="444">
        <f t="shared" ca="1" si="200"/>
        <v>-2.6506986603092008E+16</v>
      </c>
      <c r="J6040" s="444">
        <f t="array" ref="J6040">IFERROR(INDEX('Retirement Calculator'!K:K,MATCH('Lorri 401b'!N6040,'Retirement Calculator'!A:A,0),0),0)</f>
        <v>0</v>
      </c>
      <c r="K6040" s="444">
        <f t="shared" ca="1" si="198"/>
        <v>-110445777512883.36</v>
      </c>
      <c r="L6040" s="444">
        <f t="shared" ca="1" si="199"/>
        <v>-2.6617432380604892E+16</v>
      </c>
      <c r="M6040" s="460">
        <f t="shared" si="201"/>
        <v>0.05</v>
      </c>
      <c r="N6040" s="464">
        <f t="shared" si="202"/>
        <v>234884</v>
      </c>
    </row>
    <row r="6041" spans="7:14" ht="11.25" customHeight="1" x14ac:dyDescent="0.3">
      <c r="G6041" s="459"/>
      <c r="H6041" s="459">
        <v>6034</v>
      </c>
      <c r="I6041" s="444">
        <f t="shared" ca="1" si="200"/>
        <v>-2.6617432380604892E+16</v>
      </c>
      <c r="J6041" s="444">
        <f t="array" ref="J6041">IFERROR(INDEX('Retirement Calculator'!K:K,MATCH('Lorri 401b'!N6041,'Retirement Calculator'!A:A,0),0),0)</f>
        <v>0</v>
      </c>
      <c r="K6041" s="444">
        <f t="shared" ca="1" si="198"/>
        <v>-110905968252520.38</v>
      </c>
      <c r="L6041" s="444">
        <f t="shared" ca="1" si="199"/>
        <v>-2.6728338348857412E+16</v>
      </c>
      <c r="M6041" s="460">
        <f t="shared" si="201"/>
        <v>0.05</v>
      </c>
      <c r="N6041" s="464">
        <f t="shared" si="202"/>
        <v>234912</v>
      </c>
    </row>
    <row r="6042" spans="7:14" ht="11.25" customHeight="1" x14ac:dyDescent="0.3">
      <c r="G6042" s="459"/>
      <c r="H6042" s="459">
        <v>6035</v>
      </c>
      <c r="I6042" s="444">
        <f t="shared" ca="1" si="200"/>
        <v>-2.6728338348857412E+16</v>
      </c>
      <c r="J6042" s="444">
        <f t="array" ref="J6042">IFERROR(INDEX('Retirement Calculator'!K:K,MATCH('Lorri 401b'!N6042,'Retirement Calculator'!A:A,0),0),0)</f>
        <v>0</v>
      </c>
      <c r="K6042" s="444">
        <f t="shared" ca="1" si="198"/>
        <v>-111368076453572.55</v>
      </c>
      <c r="L6042" s="444">
        <f t="shared" ca="1" si="199"/>
        <v>-2.6839706425310984E+16</v>
      </c>
      <c r="M6042" s="460">
        <f t="shared" si="201"/>
        <v>0.05</v>
      </c>
      <c r="N6042" s="464">
        <f t="shared" si="202"/>
        <v>234943</v>
      </c>
    </row>
    <row r="6043" spans="7:14" ht="11.25" customHeight="1" x14ac:dyDescent="0.3">
      <c r="G6043" s="459"/>
      <c r="H6043" s="459">
        <v>6036</v>
      </c>
      <c r="I6043" s="444">
        <f t="shared" ca="1" si="200"/>
        <v>-2.6839706425310984E+16</v>
      </c>
      <c r="J6043" s="444">
        <f t="array" ref="J6043">IFERROR(INDEX('Retirement Calculator'!K:K,MATCH('Lorri 401b'!N6043,'Retirement Calculator'!A:A,0),0),0)</f>
        <v>0</v>
      </c>
      <c r="K6043" s="444">
        <f t="shared" ca="1" si="198"/>
        <v>-111832110105462.44</v>
      </c>
      <c r="L6043" s="444">
        <f t="shared" ca="1" si="199"/>
        <v>-2.6951538535416448E+16</v>
      </c>
      <c r="M6043" s="460">
        <f t="shared" si="201"/>
        <v>0.05</v>
      </c>
      <c r="N6043" s="464">
        <f t="shared" si="202"/>
        <v>234973</v>
      </c>
    </row>
    <row r="6044" spans="7:14" ht="11.25" customHeight="1" x14ac:dyDescent="0.3">
      <c r="G6044" s="459"/>
      <c r="H6044" s="459">
        <v>6037</v>
      </c>
      <c r="I6044" s="444">
        <f t="shared" ca="1" si="200"/>
        <v>-2.6951538535416448E+16</v>
      </c>
      <c r="J6044" s="444">
        <f t="array" ref="J6044">IFERROR(INDEX('Retirement Calculator'!K:K,MATCH('Lorri 401b'!N6044,'Retirement Calculator'!A:A,0),0),0)</f>
        <v>0</v>
      </c>
      <c r="K6044" s="444">
        <f t="shared" ca="1" si="198"/>
        <v>-112298077230901.86</v>
      </c>
      <c r="L6044" s="444">
        <f t="shared" ca="1" si="199"/>
        <v>-2.7063836612647348E+16</v>
      </c>
      <c r="M6044" s="460">
        <f t="shared" si="201"/>
        <v>0.05</v>
      </c>
      <c r="N6044" s="464">
        <f t="shared" si="202"/>
        <v>235004</v>
      </c>
    </row>
    <row r="6045" spans="7:14" ht="11.25" customHeight="1" x14ac:dyDescent="0.3">
      <c r="G6045" s="459"/>
      <c r="H6045" s="459">
        <v>6038</v>
      </c>
      <c r="I6045" s="444">
        <f t="shared" ca="1" si="200"/>
        <v>-2.7063836612647348E+16</v>
      </c>
      <c r="J6045" s="444">
        <f t="array" ref="J6045">IFERROR(INDEX('Retirement Calculator'!K:K,MATCH('Lorri 401b'!N6045,'Retirement Calculator'!A:A,0),0),0)</f>
        <v>0</v>
      </c>
      <c r="K6045" s="444">
        <f t="shared" ca="1" si="198"/>
        <v>-112765985886030.61</v>
      </c>
      <c r="L6045" s="444">
        <f t="shared" ca="1" si="199"/>
        <v>-2.717660259853338E+16</v>
      </c>
      <c r="M6045" s="460">
        <f t="shared" si="201"/>
        <v>0.05</v>
      </c>
      <c r="N6045" s="464">
        <f t="shared" si="202"/>
        <v>235034</v>
      </c>
    </row>
    <row r="6046" spans="7:14" ht="11.25" customHeight="1" x14ac:dyDescent="0.3">
      <c r="G6046" s="459"/>
      <c r="H6046" s="459">
        <v>6039</v>
      </c>
      <c r="I6046" s="444">
        <f t="shared" ca="1" si="200"/>
        <v>-2.717660259853338E+16</v>
      </c>
      <c r="J6046" s="444">
        <f t="array" ref="J6046">IFERROR(INDEX('Retirement Calculator'!K:K,MATCH('Lorri 401b'!N6046,'Retirement Calculator'!A:A,0),0),0)</f>
        <v>0</v>
      </c>
      <c r="K6046" s="444">
        <f t="shared" ca="1" si="198"/>
        <v>-113235844160555.75</v>
      </c>
      <c r="L6046" s="444">
        <f t="shared" ca="1" si="199"/>
        <v>-2.7289838442693936E+16</v>
      </c>
      <c r="M6046" s="460">
        <f t="shared" si="201"/>
        <v>0.05</v>
      </c>
      <c r="N6046" s="464">
        <f t="shared" si="202"/>
        <v>235065</v>
      </c>
    </row>
    <row r="6047" spans="7:14" ht="11.25" customHeight="1" x14ac:dyDescent="0.3">
      <c r="G6047" s="459"/>
      <c r="H6047" s="459">
        <v>6040</v>
      </c>
      <c r="I6047" s="444">
        <f t="shared" ca="1" si="200"/>
        <v>-2.7289838442693936E+16</v>
      </c>
      <c r="J6047" s="444">
        <f t="array" ref="J6047">IFERROR(INDEX('Retirement Calculator'!K:K,MATCH('Lorri 401b'!N6047,'Retirement Calculator'!A:A,0),0),0)</f>
        <v>0</v>
      </c>
      <c r="K6047" s="444">
        <f t="shared" ca="1" si="198"/>
        <v>-113707660177891.39</v>
      </c>
      <c r="L6047" s="444">
        <f t="shared" ca="1" si="199"/>
        <v>-2.7403546102871828E+16</v>
      </c>
      <c r="M6047" s="460">
        <f t="shared" si="201"/>
        <v>0.05</v>
      </c>
      <c r="N6047" s="464">
        <f t="shared" si="202"/>
        <v>235096</v>
      </c>
    </row>
    <row r="6048" spans="7:14" ht="11.25" customHeight="1" x14ac:dyDescent="0.3">
      <c r="G6048" s="459"/>
      <c r="H6048" s="459">
        <v>6041</v>
      </c>
      <c r="I6048" s="444">
        <f t="shared" ca="1" si="200"/>
        <v>-2.7403546102871828E+16</v>
      </c>
      <c r="J6048" s="444">
        <f t="array" ref="J6048">IFERROR(INDEX('Retirement Calculator'!K:K,MATCH('Lorri 401b'!N6048,'Retirement Calculator'!A:A,0),0),0)</f>
        <v>0</v>
      </c>
      <c r="K6048" s="444">
        <f t="shared" ca="1" si="198"/>
        <v>-114181442095299.28</v>
      </c>
      <c r="L6048" s="444">
        <f t="shared" ca="1" si="199"/>
        <v>-2.7517727544967128E+16</v>
      </c>
      <c r="M6048" s="460">
        <f t="shared" si="201"/>
        <v>0.05</v>
      </c>
      <c r="N6048" s="464">
        <f t="shared" si="202"/>
        <v>235126</v>
      </c>
    </row>
    <row r="6049" spans="7:14" ht="11.25" customHeight="1" x14ac:dyDescent="0.3">
      <c r="G6049" s="459"/>
      <c r="H6049" s="459">
        <v>6042</v>
      </c>
      <c r="I6049" s="444">
        <f t="shared" ca="1" si="200"/>
        <v>-2.7517727544967128E+16</v>
      </c>
      <c r="J6049" s="444">
        <f t="array" ref="J6049">IFERROR(INDEX('Retirement Calculator'!K:K,MATCH('Lorri 401b'!N6049,'Retirement Calculator'!A:A,0),0),0)</f>
        <v>0</v>
      </c>
      <c r="K6049" s="444">
        <f t="shared" ca="1" si="198"/>
        <v>-114657198104029.7</v>
      </c>
      <c r="L6049" s="444">
        <f t="shared" ca="1" si="199"/>
        <v>-2.7632384743071156E+16</v>
      </c>
      <c r="M6049" s="460">
        <f t="shared" si="201"/>
        <v>0.05</v>
      </c>
      <c r="N6049" s="464">
        <f t="shared" si="202"/>
        <v>235157</v>
      </c>
    </row>
    <row r="6050" spans="7:14" ht="11.25" customHeight="1" x14ac:dyDescent="0.3">
      <c r="G6050" s="459"/>
      <c r="H6050" s="459">
        <v>6043</v>
      </c>
      <c r="I6050" s="444">
        <f t="shared" ca="1" si="200"/>
        <v>-2.7632384743071156E+16</v>
      </c>
      <c r="J6050" s="444">
        <f t="array" ref="J6050">IFERROR(INDEX('Retirement Calculator'!K:K,MATCH('Lorri 401b'!N6050,'Retirement Calculator'!A:A,0),0),0)</f>
        <v>0</v>
      </c>
      <c r="K6050" s="444">
        <f t="shared" ca="1" si="198"/>
        <v>-115134936429463.14</v>
      </c>
      <c r="L6050" s="444">
        <f t="shared" ca="1" si="199"/>
        <v>-2.774751967950062E+16</v>
      </c>
      <c r="M6050" s="460">
        <f t="shared" si="201"/>
        <v>0.05</v>
      </c>
      <c r="N6050" s="464">
        <f t="shared" si="202"/>
        <v>235187</v>
      </c>
    </row>
    <row r="6051" spans="7:14" ht="11.25" customHeight="1" x14ac:dyDescent="0.3">
      <c r="G6051" s="459"/>
      <c r="H6051" s="459">
        <v>6044</v>
      </c>
      <c r="I6051" s="444">
        <f t="shared" ca="1" si="200"/>
        <v>-2.774751967950062E+16</v>
      </c>
      <c r="J6051" s="444">
        <f t="array" ref="J6051">IFERROR(INDEX('Retirement Calculator'!K:K,MATCH('Lorri 401b'!N6051,'Retirement Calculator'!A:A,0),0),0)</f>
        <v>0</v>
      </c>
      <c r="K6051" s="444">
        <f t="shared" ca="1" si="198"/>
        <v>-115614665331252.58</v>
      </c>
      <c r="L6051" s="444">
        <f t="shared" ca="1" si="199"/>
        <v>-2.7863134344831872E+16</v>
      </c>
      <c r="M6051" s="460">
        <f t="shared" si="201"/>
        <v>0.05</v>
      </c>
      <c r="N6051" s="464">
        <f t="shared" si="202"/>
        <v>235218</v>
      </c>
    </row>
    <row r="6052" spans="7:14" ht="11.25" customHeight="1" x14ac:dyDescent="0.3">
      <c r="G6052" s="459"/>
      <c r="H6052" s="459">
        <v>6045</v>
      </c>
      <c r="I6052" s="444">
        <f t="shared" ca="1" si="200"/>
        <v>-2.7863134344831872E+16</v>
      </c>
      <c r="J6052" s="444">
        <f t="array" ref="J6052">IFERROR(INDEX('Retirement Calculator'!K:K,MATCH('Lorri 401b'!N6052,'Retirement Calculator'!A:A,0),0),0)</f>
        <v>0</v>
      </c>
      <c r="K6052" s="444">
        <f t="shared" ca="1" si="198"/>
        <v>-116096393103466.13</v>
      </c>
      <c r="L6052" s="444">
        <f t="shared" ca="1" si="199"/>
        <v>-2.797923073793534E+16</v>
      </c>
      <c r="M6052" s="460">
        <f t="shared" si="201"/>
        <v>0.05</v>
      </c>
      <c r="N6052" s="464">
        <f t="shared" si="202"/>
        <v>235249</v>
      </c>
    </row>
    <row r="6053" spans="7:14" ht="11.25" customHeight="1" x14ac:dyDescent="0.3">
      <c r="G6053" s="459"/>
      <c r="H6053" s="459">
        <v>6046</v>
      </c>
      <c r="I6053" s="444">
        <f t="shared" ca="1" si="200"/>
        <v>-2.797923073793534E+16</v>
      </c>
      <c r="J6053" s="444">
        <f t="array" ref="J6053">IFERROR(INDEX('Retirement Calculator'!K:K,MATCH('Lorri 401b'!N6053,'Retirement Calculator'!A:A,0),0),0)</f>
        <v>0</v>
      </c>
      <c r="K6053" s="444">
        <f t="shared" ca="1" si="198"/>
        <v>-116580128074730.58</v>
      </c>
      <c r="L6053" s="444">
        <f t="shared" ca="1" si="199"/>
        <v>-2.8095810866010072E+16</v>
      </c>
      <c r="M6053" s="460">
        <f t="shared" si="201"/>
        <v>0.05</v>
      </c>
      <c r="N6053" s="464">
        <f t="shared" si="202"/>
        <v>235278</v>
      </c>
    </row>
    <row r="6054" spans="7:14" ht="11.25" customHeight="1" x14ac:dyDescent="0.3">
      <c r="G6054" s="459"/>
      <c r="H6054" s="459">
        <v>6047</v>
      </c>
      <c r="I6054" s="444">
        <f t="shared" ca="1" si="200"/>
        <v>-2.8095810866010072E+16</v>
      </c>
      <c r="J6054" s="444">
        <f t="array" ref="J6054">IFERROR(INDEX('Retirement Calculator'!K:K,MATCH('Lorri 401b'!N6054,'Retirement Calculator'!A:A,0),0),0)</f>
        <v>0</v>
      </c>
      <c r="K6054" s="444">
        <f t="shared" ca="1" si="198"/>
        <v>-117065878608375.28</v>
      </c>
      <c r="L6054" s="444">
        <f t="shared" ca="1" si="199"/>
        <v>-2.8212876744618448E+16</v>
      </c>
      <c r="M6054" s="460">
        <f t="shared" si="201"/>
        <v>0.05</v>
      </c>
      <c r="N6054" s="464">
        <f t="shared" si="202"/>
        <v>235309</v>
      </c>
    </row>
    <row r="6055" spans="7:14" ht="11.25" customHeight="1" x14ac:dyDescent="0.3">
      <c r="G6055" s="459"/>
      <c r="H6055" s="459">
        <v>6048</v>
      </c>
      <c r="I6055" s="444">
        <f t="shared" ca="1" si="200"/>
        <v>-2.8212876744618448E+16</v>
      </c>
      <c r="J6055" s="444">
        <f t="array" ref="J6055">IFERROR(INDEX('Retirement Calculator'!K:K,MATCH('Lorri 401b'!N6055,'Retirement Calculator'!A:A,0),0),0)</f>
        <v>0</v>
      </c>
      <c r="K6055" s="444">
        <f t="shared" ca="1" si="198"/>
        <v>-117553653102576.86</v>
      </c>
      <c r="L6055" s="444">
        <f t="shared" ca="1" si="199"/>
        <v>-2.8330430397721024E+16</v>
      </c>
      <c r="M6055" s="460">
        <f t="shared" si="201"/>
        <v>0.05</v>
      </c>
      <c r="N6055" s="464">
        <f t="shared" si="202"/>
        <v>235339</v>
      </c>
    </row>
    <row r="6056" spans="7:14" ht="11.25" customHeight="1" x14ac:dyDescent="0.3">
      <c r="G6056" s="459"/>
      <c r="H6056" s="459">
        <v>6049</v>
      </c>
      <c r="I6056" s="444">
        <f t="shared" ca="1" si="200"/>
        <v>-2.8330430397721024E+16</v>
      </c>
      <c r="J6056" s="444">
        <f t="array" ref="J6056">IFERROR(INDEX('Retirement Calculator'!K:K,MATCH('Lorri 401b'!N6056,'Retirement Calculator'!A:A,0),0),0)</f>
        <v>0</v>
      </c>
      <c r="K6056" s="444">
        <f t="shared" ca="1" si="198"/>
        <v>-118043459990504.27</v>
      </c>
      <c r="L6056" s="444">
        <f t="shared" ca="1" si="199"/>
        <v>-2.8448473857711528E+16</v>
      </c>
      <c r="M6056" s="460">
        <f t="shared" si="201"/>
        <v>0.05</v>
      </c>
      <c r="N6056" s="464">
        <f t="shared" si="202"/>
        <v>235370</v>
      </c>
    </row>
    <row r="6057" spans="7:14" ht="11.25" customHeight="1" x14ac:dyDescent="0.3">
      <c r="G6057" s="459"/>
      <c r="H6057" s="459">
        <v>6050</v>
      </c>
      <c r="I6057" s="444">
        <f t="shared" ca="1" si="200"/>
        <v>-2.8448473857711528E+16</v>
      </c>
      <c r="J6057" s="444">
        <f t="array" ref="J6057">IFERROR(INDEX('Retirement Calculator'!K:K,MATCH('Lorri 401b'!N6057,'Retirement Calculator'!A:A,0),0),0)</f>
        <v>0</v>
      </c>
      <c r="K6057" s="444">
        <f t="shared" ca="1" si="198"/>
        <v>-118535307740464.69</v>
      </c>
      <c r="L6057" s="444">
        <f t="shared" ca="1" si="199"/>
        <v>-2.8567009165451992E+16</v>
      </c>
      <c r="M6057" s="460">
        <f t="shared" si="201"/>
        <v>0.05</v>
      </c>
      <c r="N6057" s="464">
        <f t="shared" si="202"/>
        <v>235400</v>
      </c>
    </row>
    <row r="6058" spans="7:14" ht="11.25" customHeight="1" x14ac:dyDescent="0.3">
      <c r="G6058" s="459"/>
      <c r="H6058" s="459">
        <v>6051</v>
      </c>
      <c r="I6058" s="444">
        <f t="shared" ca="1" si="200"/>
        <v>-2.8567009165451992E+16</v>
      </c>
      <c r="J6058" s="444">
        <f t="array" ref="J6058">IFERROR(INDEX('Retirement Calculator'!K:K,MATCH('Lorri 401b'!N6058,'Retirement Calculator'!A:A,0),0),0)</f>
        <v>0</v>
      </c>
      <c r="K6058" s="444">
        <f t="shared" ca="1" si="198"/>
        <v>-119029204856049.95</v>
      </c>
      <c r="L6058" s="444">
        <f t="shared" ca="1" si="199"/>
        <v>-2.868603837030804E+16</v>
      </c>
      <c r="M6058" s="460">
        <f t="shared" si="201"/>
        <v>0.05</v>
      </c>
      <c r="N6058" s="464">
        <f t="shared" si="202"/>
        <v>235431</v>
      </c>
    </row>
    <row r="6059" spans="7:14" ht="11.25" customHeight="1" x14ac:dyDescent="0.3">
      <c r="G6059" s="459"/>
      <c r="H6059" s="459">
        <v>6052</v>
      </c>
      <c r="I6059" s="444">
        <f t="shared" ca="1" si="200"/>
        <v>-2.868603837030804E+16</v>
      </c>
      <c r="J6059" s="444">
        <f t="array" ref="J6059">IFERROR(INDEX('Retirement Calculator'!K:K,MATCH('Lorri 401b'!N6059,'Retirement Calculator'!A:A,0),0),0)</f>
        <v>0</v>
      </c>
      <c r="K6059" s="444">
        <f t="shared" ca="1" si="198"/>
        <v>-119525159876283.5</v>
      </c>
      <c r="L6059" s="444">
        <f t="shared" ca="1" si="199"/>
        <v>-2.8805563530184324E+16</v>
      </c>
      <c r="M6059" s="460">
        <f t="shared" si="201"/>
        <v>0.05</v>
      </c>
      <c r="N6059" s="464">
        <f t="shared" si="202"/>
        <v>235462</v>
      </c>
    </row>
    <row r="6060" spans="7:14" ht="11.25" customHeight="1" x14ac:dyDescent="0.3">
      <c r="G6060" s="459"/>
      <c r="H6060" s="459">
        <v>6053</v>
      </c>
      <c r="I6060" s="444">
        <f t="shared" ca="1" si="200"/>
        <v>-2.8805563530184324E+16</v>
      </c>
      <c r="J6060" s="444">
        <f t="array" ref="J6060">IFERROR(INDEX('Retirement Calculator'!K:K,MATCH('Lorri 401b'!N6060,'Retirement Calculator'!A:A,0),0),0)</f>
        <v>0</v>
      </c>
      <c r="K6060" s="444">
        <f t="shared" ca="1" si="198"/>
        <v>-120023181375768</v>
      </c>
      <c r="L6060" s="444">
        <f t="shared" ca="1" si="199"/>
        <v>-2.8925586711560092E+16</v>
      </c>
      <c r="M6060" s="460">
        <f t="shared" si="201"/>
        <v>0.05</v>
      </c>
      <c r="N6060" s="464">
        <f t="shared" si="202"/>
        <v>235492</v>
      </c>
    </row>
    <row r="6061" spans="7:14" ht="11.25" customHeight="1" x14ac:dyDescent="0.3">
      <c r="G6061" s="459"/>
      <c r="H6061" s="459">
        <v>6054</v>
      </c>
      <c r="I6061" s="444">
        <f t="shared" ca="1" si="200"/>
        <v>-2.8925586711560092E+16</v>
      </c>
      <c r="J6061" s="444">
        <f t="array" ref="J6061">IFERROR(INDEX('Retirement Calculator'!K:K,MATCH('Lorri 401b'!N6061,'Retirement Calculator'!A:A,0),0),0)</f>
        <v>0</v>
      </c>
      <c r="K6061" s="444">
        <f t="shared" ca="1" si="198"/>
        <v>-120523277964833.72</v>
      </c>
      <c r="L6061" s="444">
        <f t="shared" ca="1" si="199"/>
        <v>-2.9046109989524924E+16</v>
      </c>
      <c r="M6061" s="460">
        <f t="shared" si="201"/>
        <v>0.05</v>
      </c>
      <c r="N6061" s="464">
        <f t="shared" si="202"/>
        <v>235523</v>
      </c>
    </row>
    <row r="6062" spans="7:14" ht="11.25" customHeight="1" x14ac:dyDescent="0.3">
      <c r="G6062" s="459"/>
      <c r="H6062" s="459">
        <v>6055</v>
      </c>
      <c r="I6062" s="444">
        <f t="shared" ca="1" si="200"/>
        <v>-2.9046109989524924E+16</v>
      </c>
      <c r="J6062" s="444">
        <f t="array" ref="J6062">IFERROR(INDEX('Retirement Calculator'!K:K,MATCH('Lorri 401b'!N6062,'Retirement Calculator'!A:A,0),0),0)</f>
        <v>0</v>
      </c>
      <c r="K6062" s="444">
        <f t="shared" ca="1" si="198"/>
        <v>-121025458289687.2</v>
      </c>
      <c r="L6062" s="444">
        <f t="shared" ca="1" si="199"/>
        <v>-2.9167135447814612E+16</v>
      </c>
      <c r="M6062" s="460">
        <f t="shared" si="201"/>
        <v>0.05</v>
      </c>
      <c r="N6062" s="464">
        <f t="shared" si="202"/>
        <v>235553</v>
      </c>
    </row>
    <row r="6063" spans="7:14" ht="11.25" customHeight="1" x14ac:dyDescent="0.3">
      <c r="G6063" s="459"/>
      <c r="H6063" s="459">
        <v>6056</v>
      </c>
      <c r="I6063" s="444">
        <f t="shared" ca="1" si="200"/>
        <v>-2.9167135447814612E+16</v>
      </c>
      <c r="J6063" s="444">
        <f t="array" ref="J6063">IFERROR(INDEX('Retirement Calculator'!K:K,MATCH('Lorri 401b'!N6063,'Retirement Calculator'!A:A,0),0),0)</f>
        <v>0</v>
      </c>
      <c r="K6063" s="444">
        <f t="shared" ca="1" si="198"/>
        <v>-121529731032560.88</v>
      </c>
      <c r="L6063" s="444">
        <f t="shared" ca="1" si="199"/>
        <v>-2.9288665178847172E+16</v>
      </c>
      <c r="M6063" s="460">
        <f t="shared" si="201"/>
        <v>0.05</v>
      </c>
      <c r="N6063" s="464">
        <f t="shared" si="202"/>
        <v>235584</v>
      </c>
    </row>
    <row r="6064" spans="7:14" ht="11.25" customHeight="1" x14ac:dyDescent="0.3">
      <c r="G6064" s="459"/>
      <c r="H6064" s="459">
        <v>6057</v>
      </c>
      <c r="I6064" s="444">
        <f t="shared" ca="1" si="200"/>
        <v>-2.9288665178847172E+16</v>
      </c>
      <c r="J6064" s="444">
        <f t="array" ref="J6064">IFERROR(INDEX('Retirement Calculator'!K:K,MATCH('Lorri 401b'!N6064,'Retirement Calculator'!A:A,0),0),0)</f>
        <v>0</v>
      </c>
      <c r="K6064" s="444">
        <f t="shared" ca="1" si="198"/>
        <v>-122036104911863.2</v>
      </c>
      <c r="L6064" s="444">
        <f t="shared" ca="1" si="199"/>
        <v>-2.9410701283759036E+16</v>
      </c>
      <c r="M6064" s="460">
        <f t="shared" si="201"/>
        <v>0.05</v>
      </c>
      <c r="N6064" s="464">
        <f t="shared" si="202"/>
        <v>235615</v>
      </c>
    </row>
    <row r="6065" spans="7:14" ht="11.25" customHeight="1" x14ac:dyDescent="0.3">
      <c r="G6065" s="459"/>
      <c r="H6065" s="459">
        <v>6058</v>
      </c>
      <c r="I6065" s="444">
        <f t="shared" ca="1" si="200"/>
        <v>-2.9410701283759036E+16</v>
      </c>
      <c r="J6065" s="444">
        <f t="array" ref="J6065">IFERROR(INDEX('Retirement Calculator'!K:K,MATCH('Lorri 401b'!N6065,'Retirement Calculator'!A:A,0),0),0)</f>
        <v>0</v>
      </c>
      <c r="K6065" s="444">
        <f t="shared" ca="1" si="198"/>
        <v>-122544588682329.31</v>
      </c>
      <c r="L6065" s="444">
        <f t="shared" ca="1" si="199"/>
        <v>-2.9533245872441364E+16</v>
      </c>
      <c r="M6065" s="460">
        <f t="shared" si="201"/>
        <v>0.05</v>
      </c>
      <c r="N6065" s="464">
        <f t="shared" si="202"/>
        <v>235643</v>
      </c>
    </row>
    <row r="6066" spans="7:14" ht="11.25" customHeight="1" x14ac:dyDescent="0.3">
      <c r="G6066" s="459"/>
      <c r="H6066" s="459">
        <v>6059</v>
      </c>
      <c r="I6066" s="444">
        <f t="shared" ca="1" si="200"/>
        <v>-2.9533245872441364E+16</v>
      </c>
      <c r="J6066" s="444">
        <f t="array" ref="J6066">IFERROR(INDEX('Retirement Calculator'!K:K,MATCH('Lorri 401b'!N6066,'Retirement Calculator'!A:A,0),0),0)</f>
        <v>0</v>
      </c>
      <c r="K6066" s="444">
        <f t="shared" ca="1" si="198"/>
        <v>-123055191135172.34</v>
      </c>
      <c r="L6066" s="444">
        <f t="shared" ca="1" si="199"/>
        <v>-2.9656301063576536E+16</v>
      </c>
      <c r="M6066" s="460">
        <f t="shared" si="201"/>
        <v>0.05</v>
      </c>
      <c r="N6066" s="464">
        <f t="shared" si="202"/>
        <v>235674</v>
      </c>
    </row>
    <row r="6067" spans="7:14" ht="11.25" customHeight="1" x14ac:dyDescent="0.3">
      <c r="G6067" s="459"/>
      <c r="H6067" s="459">
        <v>6060</v>
      </c>
      <c r="I6067" s="444">
        <f t="shared" ca="1" si="200"/>
        <v>-2.9656301063576536E+16</v>
      </c>
      <c r="J6067" s="444">
        <f t="array" ref="J6067">IFERROR(INDEX('Retirement Calculator'!K:K,MATCH('Lorri 401b'!N6067,'Retirement Calculator'!A:A,0),0),0)</f>
        <v>0</v>
      </c>
      <c r="K6067" s="444">
        <f t="shared" ca="1" si="198"/>
        <v>-123567921098235.56</v>
      </c>
      <c r="L6067" s="444">
        <f t="shared" ca="1" si="199"/>
        <v>-2.9779868984674772E+16</v>
      </c>
      <c r="M6067" s="460">
        <f t="shared" si="201"/>
        <v>0.05</v>
      </c>
      <c r="N6067" s="464">
        <f t="shared" si="202"/>
        <v>235704</v>
      </c>
    </row>
    <row r="6068" spans="7:14" ht="11.25" customHeight="1" x14ac:dyDescent="0.3">
      <c r="G6068" s="459"/>
      <c r="H6068" s="459">
        <v>6061</v>
      </c>
      <c r="I6068" s="444">
        <f t="shared" ca="1" si="200"/>
        <v>-2.9779868984674772E+16</v>
      </c>
      <c r="J6068" s="444">
        <f t="array" ref="J6068">IFERROR(INDEX('Retirement Calculator'!K:K,MATCH('Lorri 401b'!N6068,'Retirement Calculator'!A:A,0),0),0)</f>
        <v>0</v>
      </c>
      <c r="K6068" s="444">
        <f t="shared" ca="1" si="198"/>
        <v>-124082787436144.88</v>
      </c>
      <c r="L6068" s="444">
        <f t="shared" ca="1" si="199"/>
        <v>-2.9903951772110916E+16</v>
      </c>
      <c r="M6068" s="460">
        <f t="shared" si="201"/>
        <v>0.05</v>
      </c>
      <c r="N6068" s="464">
        <f t="shared" si="202"/>
        <v>235735</v>
      </c>
    </row>
    <row r="6069" spans="7:14" ht="11.25" customHeight="1" x14ac:dyDescent="0.3">
      <c r="G6069" s="459"/>
      <c r="H6069" s="459">
        <v>6062</v>
      </c>
      <c r="I6069" s="444">
        <f t="shared" ca="1" si="200"/>
        <v>-2.9903951772110916E+16</v>
      </c>
      <c r="J6069" s="444">
        <f t="array" ref="J6069">IFERROR(INDEX('Retirement Calculator'!K:K,MATCH('Lorri 401b'!N6069,'Retirement Calculator'!A:A,0),0),0)</f>
        <v>0</v>
      </c>
      <c r="K6069" s="444">
        <f t="shared" ca="1" si="198"/>
        <v>-124599799050462.14</v>
      </c>
      <c r="L6069" s="444">
        <f t="shared" ca="1" si="199"/>
        <v>-3.002855157116138E+16</v>
      </c>
      <c r="M6069" s="460">
        <f t="shared" si="201"/>
        <v>0.05</v>
      </c>
      <c r="N6069" s="464">
        <f t="shared" si="202"/>
        <v>235765</v>
      </c>
    </row>
    <row r="6070" spans="7:14" ht="11.25" customHeight="1" x14ac:dyDescent="0.3">
      <c r="G6070" s="459"/>
      <c r="H6070" s="459">
        <v>6063</v>
      </c>
      <c r="I6070" s="444">
        <f t="shared" ca="1" si="200"/>
        <v>-3.002855157116138E+16</v>
      </c>
      <c r="J6070" s="444">
        <f t="array" ref="J6070">IFERROR(INDEX('Retirement Calculator'!K:K,MATCH('Lorri 401b'!N6070,'Retirement Calculator'!A:A,0),0),0)</f>
        <v>0</v>
      </c>
      <c r="K6070" s="444">
        <f t="shared" ca="1" si="198"/>
        <v>-125118964879839.08</v>
      </c>
      <c r="L6070" s="444">
        <f t="shared" ca="1" si="199"/>
        <v>-3.015367053604122E+16</v>
      </c>
      <c r="M6070" s="460">
        <f t="shared" si="201"/>
        <v>0.05</v>
      </c>
      <c r="N6070" s="464">
        <f t="shared" si="202"/>
        <v>235796</v>
      </c>
    </row>
    <row r="6071" spans="7:14" ht="11.25" customHeight="1" x14ac:dyDescent="0.3">
      <c r="G6071" s="459"/>
      <c r="H6071" s="459">
        <v>6064</v>
      </c>
      <c r="I6071" s="444">
        <f t="shared" ca="1" si="200"/>
        <v>-3.015367053604122E+16</v>
      </c>
      <c r="J6071" s="444">
        <f t="array" ref="J6071">IFERROR(INDEX('Retirement Calculator'!K:K,MATCH('Lorri 401b'!N6071,'Retirement Calculator'!A:A,0),0),0)</f>
        <v>0</v>
      </c>
      <c r="K6071" s="444">
        <f t="shared" ca="1" si="198"/>
        <v>-125640293900171.75</v>
      </c>
      <c r="L6071" s="444">
        <f t="shared" ca="1" si="199"/>
        <v>-3.0279310829941392E+16</v>
      </c>
      <c r="M6071" s="460">
        <f t="shared" si="201"/>
        <v>0.05</v>
      </c>
      <c r="N6071" s="464">
        <f t="shared" si="202"/>
        <v>235827</v>
      </c>
    </row>
    <row r="6072" spans="7:14" ht="11.25" customHeight="1" x14ac:dyDescent="0.3">
      <c r="G6072" s="459"/>
      <c r="H6072" s="459">
        <v>6065</v>
      </c>
      <c r="I6072" s="444">
        <f t="shared" ca="1" si="200"/>
        <v>-3.0279310829941392E+16</v>
      </c>
      <c r="J6072" s="444">
        <f t="array" ref="J6072">IFERROR(INDEX('Retirement Calculator'!K:K,MATCH('Lorri 401b'!N6072,'Retirement Calculator'!A:A,0),0),0)</f>
        <v>0</v>
      </c>
      <c r="K6072" s="444">
        <f t="shared" ca="1" si="198"/>
        <v>-126163795124755.81</v>
      </c>
      <c r="L6072" s="444">
        <f t="shared" ca="1" si="199"/>
        <v>-3.0405474625066148E+16</v>
      </c>
      <c r="M6072" s="460">
        <f t="shared" si="201"/>
        <v>0.05</v>
      </c>
      <c r="N6072" s="464">
        <f t="shared" si="202"/>
        <v>235857</v>
      </c>
    </row>
    <row r="6073" spans="7:14" ht="11.25" customHeight="1" x14ac:dyDescent="0.3">
      <c r="G6073" s="459"/>
      <c r="H6073" s="459">
        <v>6066</v>
      </c>
      <c r="I6073" s="444">
        <f t="shared" ca="1" si="200"/>
        <v>-3.0405474625066148E+16</v>
      </c>
      <c r="J6073" s="444">
        <f t="array" ref="J6073">IFERROR(INDEX('Retirement Calculator'!K:K,MATCH('Lorri 401b'!N6073,'Retirement Calculator'!A:A,0),0),0)</f>
        <v>0</v>
      </c>
      <c r="K6073" s="444">
        <f t="shared" ca="1" si="198"/>
        <v>-126689477604442.28</v>
      </c>
      <c r="L6073" s="444">
        <f t="shared" ca="1" si="199"/>
        <v>-3.0532164102670592E+16</v>
      </c>
      <c r="M6073" s="460">
        <f t="shared" si="201"/>
        <v>0.05</v>
      </c>
      <c r="N6073" s="464">
        <f t="shared" si="202"/>
        <v>235888</v>
      </c>
    </row>
    <row r="6074" spans="7:14" ht="11.25" customHeight="1" x14ac:dyDescent="0.3">
      <c r="G6074" s="459"/>
      <c r="H6074" s="459">
        <v>6067</v>
      </c>
      <c r="I6074" s="444">
        <f t="shared" ca="1" si="200"/>
        <v>-3.0532164102670592E+16</v>
      </c>
      <c r="J6074" s="444">
        <f t="array" ref="J6074">IFERROR(INDEX('Retirement Calculator'!K:K,MATCH('Lorri 401b'!N6074,'Retirement Calculator'!A:A,0),0),0)</f>
        <v>0</v>
      </c>
      <c r="K6074" s="444">
        <f t="shared" ca="1" si="198"/>
        <v>-127217350427794.13</v>
      </c>
      <c r="L6074" s="444">
        <f t="shared" ca="1" si="199"/>
        <v>-3.0659381453098388E+16</v>
      </c>
      <c r="M6074" s="460">
        <f t="shared" si="201"/>
        <v>0.05</v>
      </c>
      <c r="N6074" s="464">
        <f t="shared" si="202"/>
        <v>235918</v>
      </c>
    </row>
    <row r="6075" spans="7:14" ht="11.25" customHeight="1" x14ac:dyDescent="0.3">
      <c r="G6075" s="459"/>
      <c r="H6075" s="459">
        <v>6068</v>
      </c>
      <c r="I6075" s="444">
        <f t="shared" ca="1" si="200"/>
        <v>-3.0659381453098388E+16</v>
      </c>
      <c r="J6075" s="444">
        <f t="array" ref="J6075">IFERROR(INDEX('Retirement Calculator'!K:K,MATCH('Lorri 401b'!N6075,'Retirement Calculator'!A:A,0),0),0)</f>
        <v>0</v>
      </c>
      <c r="K6075" s="444">
        <f t="shared" ca="1" si="198"/>
        <v>-127747422721243.28</v>
      </c>
      <c r="L6075" s="444">
        <f t="shared" ca="1" si="199"/>
        <v>-3.0787128875819632E+16</v>
      </c>
      <c r="M6075" s="460">
        <f t="shared" si="201"/>
        <v>0.05</v>
      </c>
      <c r="N6075" s="464">
        <f t="shared" si="202"/>
        <v>235949</v>
      </c>
    </row>
    <row r="6076" spans="7:14" ht="11.25" customHeight="1" x14ac:dyDescent="0.3">
      <c r="G6076" s="459"/>
      <c r="H6076" s="459">
        <v>6069</v>
      </c>
      <c r="I6076" s="444">
        <f t="shared" ca="1" si="200"/>
        <v>-3.0787128875819632E+16</v>
      </c>
      <c r="J6076" s="444">
        <f t="array" ref="J6076">IFERROR(INDEX('Retirement Calculator'!K:K,MATCH('Lorri 401b'!N6076,'Retirement Calculator'!A:A,0),0),0)</f>
        <v>0</v>
      </c>
      <c r="K6076" s="444">
        <f t="shared" ca="1" si="198"/>
        <v>-128279703649248.47</v>
      </c>
      <c r="L6076" s="444">
        <f t="shared" ca="1" si="199"/>
        <v>-3.091540857946888E+16</v>
      </c>
      <c r="M6076" s="460">
        <f t="shared" si="201"/>
        <v>0.05</v>
      </c>
      <c r="N6076" s="464">
        <f t="shared" si="202"/>
        <v>235980</v>
      </c>
    </row>
    <row r="6077" spans="7:14" ht="11.25" customHeight="1" x14ac:dyDescent="0.3">
      <c r="G6077" s="459"/>
      <c r="H6077" s="459">
        <v>6070</v>
      </c>
      <c r="I6077" s="444">
        <f t="shared" ca="1" si="200"/>
        <v>-3.091540857946888E+16</v>
      </c>
      <c r="J6077" s="444">
        <f t="array" ref="J6077">IFERROR(INDEX('Retirement Calculator'!K:K,MATCH('Lorri 401b'!N6077,'Retirement Calculator'!A:A,0),0),0)</f>
        <v>0</v>
      </c>
      <c r="K6077" s="444">
        <f t="shared" ca="1" si="198"/>
        <v>-128814202414453.64</v>
      </c>
      <c r="L6077" s="444">
        <f t="shared" ca="1" si="199"/>
        <v>-3.1044222781883332E+16</v>
      </c>
      <c r="M6077" s="460">
        <f t="shared" si="201"/>
        <v>0.05</v>
      </c>
      <c r="N6077" s="464">
        <f t="shared" si="202"/>
        <v>236008</v>
      </c>
    </row>
    <row r="6078" spans="7:14" ht="11.25" customHeight="1" x14ac:dyDescent="0.3">
      <c r="G6078" s="459"/>
      <c r="H6078" s="459">
        <v>6071</v>
      </c>
      <c r="I6078" s="444">
        <f t="shared" ca="1" si="200"/>
        <v>-3.1044222781883332E+16</v>
      </c>
      <c r="J6078" s="444">
        <f t="array" ref="J6078">IFERROR(INDEX('Retirement Calculator'!K:K,MATCH('Lorri 401b'!N6078,'Retirement Calculator'!A:A,0),0),0)</f>
        <v>0</v>
      </c>
      <c r="K6078" s="444">
        <f t="shared" ca="1" si="198"/>
        <v>-129350928257847.22</v>
      </c>
      <c r="L6078" s="444">
        <f t="shared" ca="1" si="199"/>
        <v>-3.117357371014118E+16</v>
      </c>
      <c r="M6078" s="460">
        <f t="shared" si="201"/>
        <v>0.05</v>
      </c>
      <c r="N6078" s="464">
        <f t="shared" si="202"/>
        <v>236039</v>
      </c>
    </row>
    <row r="6079" spans="7:14" ht="11.25" customHeight="1" x14ac:dyDescent="0.3">
      <c r="G6079" s="459"/>
      <c r="H6079" s="459">
        <v>6072</v>
      </c>
      <c r="I6079" s="444">
        <f t="shared" ca="1" si="200"/>
        <v>-3.117357371014118E+16</v>
      </c>
      <c r="J6079" s="444">
        <f t="array" ref="J6079">IFERROR(INDEX('Retirement Calculator'!K:K,MATCH('Lorri 401b'!N6079,'Retirement Calculator'!A:A,0),0),0)</f>
        <v>0</v>
      </c>
      <c r="K6079" s="444">
        <f t="shared" ca="1" si="198"/>
        <v>-129889890458921.58</v>
      </c>
      <c r="L6079" s="444">
        <f t="shared" ca="1" si="199"/>
        <v>-3.13034636006001E+16</v>
      </c>
      <c r="M6079" s="460">
        <f t="shared" si="201"/>
        <v>0.05</v>
      </c>
      <c r="N6079" s="464">
        <f t="shared" si="202"/>
        <v>236069</v>
      </c>
    </row>
    <row r="6080" spans="7:14" ht="11.25" customHeight="1" x14ac:dyDescent="0.3">
      <c r="G6080" s="459"/>
      <c r="H6080" s="459">
        <v>6073</v>
      </c>
      <c r="I6080" s="444">
        <f t="shared" ca="1" si="200"/>
        <v>-3.13034636006001E+16</v>
      </c>
      <c r="J6080" s="444">
        <f t="array" ref="J6080">IFERROR(INDEX('Retirement Calculator'!K:K,MATCH('Lorri 401b'!N6080,'Retirement Calculator'!A:A,0),0),0)</f>
        <v>0</v>
      </c>
      <c r="K6080" s="444">
        <f t="shared" ca="1" si="198"/>
        <v>-130431098335833.75</v>
      </c>
      <c r="L6080" s="444">
        <f t="shared" ca="1" si="199"/>
        <v>-3.1433894698935932E+16</v>
      </c>
      <c r="M6080" s="460">
        <f t="shared" si="201"/>
        <v>0.05</v>
      </c>
      <c r="N6080" s="464">
        <f t="shared" si="202"/>
        <v>236100</v>
      </c>
    </row>
    <row r="6081" spans="7:14" ht="11.25" customHeight="1" x14ac:dyDescent="0.3">
      <c r="G6081" s="459"/>
      <c r="H6081" s="459">
        <v>6074</v>
      </c>
      <c r="I6081" s="444">
        <f t="shared" ca="1" si="200"/>
        <v>-3.1433894698935932E+16</v>
      </c>
      <c r="J6081" s="444">
        <f t="array" ref="J6081">IFERROR(INDEX('Retirement Calculator'!K:K,MATCH('Lorri 401b'!N6081,'Retirement Calculator'!A:A,0),0),0)</f>
        <v>0</v>
      </c>
      <c r="K6081" s="444">
        <f t="shared" ca="1" si="198"/>
        <v>-130974561245566.39</v>
      </c>
      <c r="L6081" s="444">
        <f t="shared" ca="1" si="199"/>
        <v>-3.15648692601815E+16</v>
      </c>
      <c r="M6081" s="460">
        <f t="shared" si="201"/>
        <v>0.05</v>
      </c>
      <c r="N6081" s="464">
        <f t="shared" si="202"/>
        <v>236130</v>
      </c>
    </row>
    <row r="6082" spans="7:14" ht="11.25" customHeight="1" x14ac:dyDescent="0.3">
      <c r="G6082" s="459"/>
      <c r="H6082" s="459">
        <v>6075</v>
      </c>
      <c r="I6082" s="444">
        <f t="shared" ca="1" si="200"/>
        <v>-3.15648692601815E+16</v>
      </c>
      <c r="J6082" s="444">
        <f t="array" ref="J6082">IFERROR(INDEX('Retirement Calculator'!K:K,MATCH('Lorri 401b'!N6082,'Retirement Calculator'!A:A,0),0),0)</f>
        <v>0</v>
      </c>
      <c r="K6082" s="444">
        <f t="shared" ca="1" si="198"/>
        <v>-131520288584089.59</v>
      </c>
      <c r="L6082" s="444">
        <f t="shared" ca="1" si="199"/>
        <v>-3.1696389548765588E+16</v>
      </c>
      <c r="M6082" s="460">
        <f t="shared" si="201"/>
        <v>0.05</v>
      </c>
      <c r="N6082" s="464">
        <f t="shared" si="202"/>
        <v>236161</v>
      </c>
    </row>
    <row r="6083" spans="7:14" ht="11.25" customHeight="1" x14ac:dyDescent="0.3">
      <c r="G6083" s="459"/>
      <c r="H6083" s="459">
        <v>6076</v>
      </c>
      <c r="I6083" s="444">
        <f t="shared" ca="1" si="200"/>
        <v>-3.1696389548765588E+16</v>
      </c>
      <c r="J6083" s="444">
        <f t="array" ref="J6083">IFERROR(INDEX('Retirement Calculator'!K:K,MATCH('Lorri 401b'!N6083,'Retirement Calculator'!A:A,0),0),0)</f>
        <v>0</v>
      </c>
      <c r="K6083" s="444">
        <f t="shared" ca="1" si="198"/>
        <v>-132068289786523.28</v>
      </c>
      <c r="L6083" s="444">
        <f t="shared" ca="1" si="199"/>
        <v>-3.1828457838552112E+16</v>
      </c>
      <c r="M6083" s="460">
        <f t="shared" si="201"/>
        <v>0.05</v>
      </c>
      <c r="N6083" s="464">
        <f t="shared" si="202"/>
        <v>236192</v>
      </c>
    </row>
    <row r="6084" spans="7:14" ht="11.25" customHeight="1" x14ac:dyDescent="0.3">
      <c r="G6084" s="459"/>
      <c r="H6084" s="459">
        <v>6077</v>
      </c>
      <c r="I6084" s="444">
        <f t="shared" ca="1" si="200"/>
        <v>-3.1828457838552112E+16</v>
      </c>
      <c r="J6084" s="444">
        <f t="array" ref="J6084">IFERROR(INDEX('Retirement Calculator'!K:K,MATCH('Lorri 401b'!N6084,'Retirement Calculator'!A:A,0),0),0)</f>
        <v>0</v>
      </c>
      <c r="K6084" s="444">
        <f t="shared" ca="1" si="198"/>
        <v>-132618574327300.47</v>
      </c>
      <c r="L6084" s="444">
        <f t="shared" ca="1" si="199"/>
        <v>-3.1961076412879412E+16</v>
      </c>
      <c r="M6084" s="460">
        <f t="shared" si="201"/>
        <v>0.05</v>
      </c>
      <c r="N6084" s="464">
        <f t="shared" si="202"/>
        <v>236222</v>
      </c>
    </row>
    <row r="6085" spans="7:14" ht="11.25" customHeight="1" x14ac:dyDescent="0.3">
      <c r="G6085" s="459"/>
      <c r="H6085" s="459">
        <v>6078</v>
      </c>
      <c r="I6085" s="444">
        <f t="shared" ca="1" si="200"/>
        <v>-3.1961076412879412E+16</v>
      </c>
      <c r="J6085" s="444">
        <f t="array" ref="J6085">IFERROR(INDEX('Retirement Calculator'!K:K,MATCH('Lorri 401b'!N6085,'Retirement Calculator'!A:A,0),0),0)</f>
        <v>0</v>
      </c>
      <c r="K6085" s="444">
        <f t="shared" ca="1" si="198"/>
        <v>-133171151720330.89</v>
      </c>
      <c r="L6085" s="444">
        <f t="shared" ca="1" si="199"/>
        <v>-3.2094247564599744E+16</v>
      </c>
      <c r="M6085" s="460">
        <f t="shared" si="201"/>
        <v>0.05</v>
      </c>
      <c r="N6085" s="464">
        <f t="shared" si="202"/>
        <v>236253</v>
      </c>
    </row>
    <row r="6086" spans="7:14" ht="11.25" customHeight="1" x14ac:dyDescent="0.3">
      <c r="G6086" s="459"/>
      <c r="H6086" s="459">
        <v>6079</v>
      </c>
      <c r="I6086" s="444">
        <f t="shared" ca="1" si="200"/>
        <v>-3.2094247564599744E+16</v>
      </c>
      <c r="J6086" s="444">
        <f t="array" ref="J6086">IFERROR(INDEX('Retirement Calculator'!K:K,MATCH('Lorri 401b'!N6086,'Retirement Calculator'!A:A,0),0),0)</f>
        <v>0</v>
      </c>
      <c r="K6086" s="444">
        <f t="shared" ca="1" si="198"/>
        <v>-133726031519165.59</v>
      </c>
      <c r="L6086" s="444">
        <f t="shared" ca="1" si="199"/>
        <v>-3.2227973596118908E+16</v>
      </c>
      <c r="M6086" s="460">
        <f t="shared" si="201"/>
        <v>0.05</v>
      </c>
      <c r="N6086" s="464">
        <f t="shared" si="202"/>
        <v>236283</v>
      </c>
    </row>
    <row r="6087" spans="7:14" ht="11.25" customHeight="1" x14ac:dyDescent="0.3">
      <c r="G6087" s="459"/>
      <c r="H6087" s="459">
        <v>6080</v>
      </c>
      <c r="I6087" s="444">
        <f t="shared" ca="1" si="200"/>
        <v>-3.2227973596118908E+16</v>
      </c>
      <c r="J6087" s="444">
        <f t="array" ref="J6087">IFERROR(INDEX('Retirement Calculator'!K:K,MATCH('Lorri 401b'!N6087,'Retirement Calculator'!A:A,0),0),0)</f>
        <v>0</v>
      </c>
      <c r="K6087" s="444">
        <f t="shared" ca="1" si="198"/>
        <v>-134283223317162.11</v>
      </c>
      <c r="L6087" s="444">
        <f t="shared" ca="1" si="199"/>
        <v>-3.2362256819436072E+16</v>
      </c>
      <c r="M6087" s="460">
        <f t="shared" si="201"/>
        <v>0.05</v>
      </c>
      <c r="N6087" s="464">
        <f t="shared" si="202"/>
        <v>236314</v>
      </c>
    </row>
    <row r="6088" spans="7:14" ht="11.25" customHeight="1" x14ac:dyDescent="0.3">
      <c r="G6088" s="459"/>
      <c r="H6088" s="459">
        <v>6081</v>
      </c>
      <c r="I6088" s="444">
        <f t="shared" ca="1" si="200"/>
        <v>-3.2362256819436072E+16</v>
      </c>
      <c r="J6088" s="444">
        <f t="array" ref="J6088">IFERROR(INDEX('Retirement Calculator'!K:K,MATCH('Lorri 401b'!N6088,'Retirement Calculator'!A:A,0),0),0)</f>
        <v>0</v>
      </c>
      <c r="K6088" s="444">
        <f t="shared" ca="1" si="198"/>
        <v>-134842736747650.3</v>
      </c>
      <c r="L6088" s="444">
        <f t="shared" ca="1" si="199"/>
        <v>-3.2497099556183724E+16</v>
      </c>
      <c r="M6088" s="460">
        <f t="shared" si="201"/>
        <v>0.05</v>
      </c>
      <c r="N6088" s="464">
        <f t="shared" si="202"/>
        <v>236345</v>
      </c>
    </row>
    <row r="6089" spans="7:14" ht="11.25" customHeight="1" x14ac:dyDescent="0.3">
      <c r="G6089" s="459"/>
      <c r="H6089" s="459">
        <v>6082</v>
      </c>
      <c r="I6089" s="444">
        <f t="shared" ca="1" si="200"/>
        <v>-3.2497099556183724E+16</v>
      </c>
      <c r="J6089" s="444">
        <f t="array" ref="J6089">IFERROR(INDEX('Retirement Calculator'!K:K,MATCH('Lorri 401b'!N6089,'Retirement Calculator'!A:A,0),0),0)</f>
        <v>0</v>
      </c>
      <c r="K6089" s="444">
        <f t="shared" ca="1" si="198"/>
        <v>-135404581484098.86</v>
      </c>
      <c r="L6089" s="444">
        <f t="shared" ca="1" si="199"/>
        <v>-3.2632504137667824E+16</v>
      </c>
      <c r="M6089" s="460">
        <f t="shared" si="201"/>
        <v>0.05</v>
      </c>
      <c r="N6089" s="464">
        <f t="shared" si="202"/>
        <v>236373</v>
      </c>
    </row>
    <row r="6090" spans="7:14" ht="11.25" customHeight="1" x14ac:dyDescent="0.3">
      <c r="G6090" s="459"/>
      <c r="H6090" s="459">
        <v>6083</v>
      </c>
      <c r="I6090" s="444">
        <f t="shared" ca="1" si="200"/>
        <v>-3.2632504137667824E+16</v>
      </c>
      <c r="J6090" s="444">
        <f t="array" ref="J6090">IFERROR(INDEX('Retirement Calculator'!K:K,MATCH('Lorri 401b'!N6090,'Retirement Calculator'!A:A,0),0),0)</f>
        <v>0</v>
      </c>
      <c r="K6090" s="444">
        <f t="shared" ca="1" si="198"/>
        <v>-135968767240282.58</v>
      </c>
      <c r="L6090" s="444">
        <f t="shared" ca="1" si="199"/>
        <v>-3.2768472904908108E+16</v>
      </c>
      <c r="M6090" s="460">
        <f t="shared" si="201"/>
        <v>0.05</v>
      </c>
      <c r="N6090" s="464">
        <f t="shared" si="202"/>
        <v>236404</v>
      </c>
    </row>
    <row r="6091" spans="7:14" ht="11.25" customHeight="1" x14ac:dyDescent="0.3">
      <c r="G6091" s="459"/>
      <c r="H6091" s="459">
        <v>6084</v>
      </c>
      <c r="I6091" s="444">
        <f t="shared" ca="1" si="200"/>
        <v>-3.2768472904908108E+16</v>
      </c>
      <c r="J6091" s="444">
        <f t="array" ref="J6091">IFERROR(INDEX('Retirement Calculator'!K:K,MATCH('Lorri 401b'!N6091,'Retirement Calculator'!A:A,0),0),0)</f>
        <v>0</v>
      </c>
      <c r="K6091" s="444">
        <f t="shared" ca="1" si="198"/>
        <v>-136535303770450.45</v>
      </c>
      <c r="L6091" s="444">
        <f t="shared" ca="1" si="199"/>
        <v>-3.290500820867856E+16</v>
      </c>
      <c r="M6091" s="460">
        <f t="shared" si="201"/>
        <v>0.05</v>
      </c>
      <c r="N6091" s="464">
        <f t="shared" si="202"/>
        <v>236434</v>
      </c>
    </row>
    <row r="6092" spans="7:14" ht="11.25" customHeight="1" x14ac:dyDescent="0.3">
      <c r="G6092" s="459"/>
      <c r="H6092" s="459">
        <v>6085</v>
      </c>
      <c r="I6092" s="444">
        <f t="shared" ca="1" si="200"/>
        <v>-3.290500820867856E+16</v>
      </c>
      <c r="J6092" s="444">
        <f t="array" ref="J6092">IFERROR(INDEX('Retirement Calculator'!K:K,MATCH('Lorri 401b'!N6092,'Retirement Calculator'!A:A,0),0),0)</f>
        <v>0</v>
      </c>
      <c r="K6092" s="444">
        <f t="shared" ca="1" si="198"/>
        <v>-137104200869494</v>
      </c>
      <c r="L6092" s="444">
        <f t="shared" ca="1" si="199"/>
        <v>-3.3042112409548056E+16</v>
      </c>
      <c r="M6092" s="460">
        <f t="shared" si="201"/>
        <v>0.05</v>
      </c>
      <c r="N6092" s="464">
        <f t="shared" si="202"/>
        <v>236465</v>
      </c>
    </row>
    <row r="6093" spans="7:14" ht="11.25" customHeight="1" x14ac:dyDescent="0.3">
      <c r="G6093" s="459"/>
      <c r="H6093" s="459">
        <v>6086</v>
      </c>
      <c r="I6093" s="444">
        <f t="shared" ca="1" si="200"/>
        <v>-3.3042112409548056E+16</v>
      </c>
      <c r="J6093" s="444">
        <f t="array" ref="J6093">IFERROR(INDEX('Retirement Calculator'!K:K,MATCH('Lorri 401b'!N6093,'Retirement Calculator'!A:A,0),0),0)</f>
        <v>0</v>
      </c>
      <c r="K6093" s="444">
        <f t="shared" ca="1" si="198"/>
        <v>-137675468373116.89</v>
      </c>
      <c r="L6093" s="444">
        <f t="shared" ca="1" si="199"/>
        <v>-3.3179787877921172E+16</v>
      </c>
      <c r="M6093" s="460">
        <f t="shared" si="201"/>
        <v>0.05</v>
      </c>
      <c r="N6093" s="464">
        <f t="shared" si="202"/>
        <v>236495</v>
      </c>
    </row>
    <row r="6094" spans="7:14" ht="11.25" customHeight="1" x14ac:dyDescent="0.3">
      <c r="G6094" s="459"/>
      <c r="H6094" s="459">
        <v>6087</v>
      </c>
      <c r="I6094" s="444">
        <f t="shared" ca="1" si="200"/>
        <v>-3.3179787877921172E+16</v>
      </c>
      <c r="J6094" s="444">
        <f t="array" ref="J6094">IFERROR(INDEX('Retirement Calculator'!K:K,MATCH('Lorri 401b'!N6094,'Retirement Calculator'!A:A,0),0),0)</f>
        <v>0</v>
      </c>
      <c r="K6094" s="444">
        <f t="shared" ca="1" si="198"/>
        <v>-138249116158004.88</v>
      </c>
      <c r="L6094" s="444">
        <f t="shared" ca="1" si="199"/>
        <v>-3.3318036994079176E+16</v>
      </c>
      <c r="M6094" s="460">
        <f t="shared" si="201"/>
        <v>0.05</v>
      </c>
      <c r="N6094" s="464">
        <f t="shared" si="202"/>
        <v>236526</v>
      </c>
    </row>
    <row r="6095" spans="7:14" ht="11.25" customHeight="1" x14ac:dyDescent="0.3">
      <c r="G6095" s="459"/>
      <c r="H6095" s="459">
        <v>6088</v>
      </c>
      <c r="I6095" s="444">
        <f t="shared" ca="1" si="200"/>
        <v>-3.3318036994079176E+16</v>
      </c>
      <c r="J6095" s="444">
        <f t="array" ref="J6095">IFERROR(INDEX('Retirement Calculator'!K:K,MATCH('Lorri 401b'!N6095,'Retirement Calculator'!A:A,0),0),0)</f>
        <v>0</v>
      </c>
      <c r="K6095" s="444">
        <f t="shared" ca="1" si="198"/>
        <v>-138825154141996.56</v>
      </c>
      <c r="L6095" s="444">
        <f t="shared" ca="1" si="199"/>
        <v>-3.3456862148221172E+16</v>
      </c>
      <c r="M6095" s="460">
        <f t="shared" si="201"/>
        <v>0.05</v>
      </c>
      <c r="N6095" s="464">
        <f t="shared" si="202"/>
        <v>236557</v>
      </c>
    </row>
    <row r="6096" spans="7:14" ht="11.25" customHeight="1" x14ac:dyDescent="0.3">
      <c r="G6096" s="459"/>
      <c r="H6096" s="459">
        <v>6089</v>
      </c>
      <c r="I6096" s="444">
        <f t="shared" ca="1" si="200"/>
        <v>-3.3456862148221172E+16</v>
      </c>
      <c r="J6096" s="444">
        <f t="array" ref="J6096">IFERROR(INDEX('Retirement Calculator'!K:K,MATCH('Lorri 401b'!N6096,'Retirement Calculator'!A:A,0),0),0)</f>
        <v>0</v>
      </c>
      <c r="K6096" s="444">
        <f t="shared" ca="1" si="198"/>
        <v>-139403592284254.88</v>
      </c>
      <c r="L6096" s="444">
        <f t="shared" ca="1" si="199"/>
        <v>-3.3596265740505428E+16</v>
      </c>
      <c r="M6096" s="460">
        <f t="shared" si="201"/>
        <v>0.05</v>
      </c>
      <c r="N6096" s="464">
        <f t="shared" si="202"/>
        <v>236587</v>
      </c>
    </row>
    <row r="6097" spans="7:14" ht="11.25" customHeight="1" x14ac:dyDescent="0.3">
      <c r="G6097" s="459"/>
      <c r="H6097" s="459">
        <v>6090</v>
      </c>
      <c r="I6097" s="444">
        <f t="shared" ca="1" si="200"/>
        <v>-3.3596265740505428E+16</v>
      </c>
      <c r="J6097" s="444">
        <f t="array" ref="J6097">IFERROR(INDEX('Retirement Calculator'!K:K,MATCH('Lorri 401b'!N6097,'Retirement Calculator'!A:A,0),0),0)</f>
        <v>0</v>
      </c>
      <c r="K6097" s="444">
        <f t="shared" ca="1" si="198"/>
        <v>-139984440585439.3</v>
      </c>
      <c r="L6097" s="444">
        <f t="shared" ca="1" si="199"/>
        <v>-3.3736250181090868E+16</v>
      </c>
      <c r="M6097" s="460">
        <f t="shared" si="201"/>
        <v>0.05</v>
      </c>
      <c r="N6097" s="464">
        <f t="shared" si="202"/>
        <v>236618</v>
      </c>
    </row>
    <row r="6098" spans="7:14" ht="11.25" customHeight="1" x14ac:dyDescent="0.3">
      <c r="G6098" s="459"/>
      <c r="H6098" s="459">
        <v>6091</v>
      </c>
      <c r="I6098" s="444">
        <f t="shared" ca="1" si="200"/>
        <v>-3.3736250181090868E+16</v>
      </c>
      <c r="J6098" s="444">
        <f t="array" ref="J6098">IFERROR(INDEX('Retirement Calculator'!K:K,MATCH('Lorri 401b'!N6098,'Retirement Calculator'!A:A,0),0),0)</f>
        <v>0</v>
      </c>
      <c r="K6098" s="444">
        <f t="shared" ca="1" si="198"/>
        <v>-140567709087878.59</v>
      </c>
      <c r="L6098" s="444">
        <f t="shared" ca="1" si="199"/>
        <v>-3.3876817890178748E+16</v>
      </c>
      <c r="M6098" s="460">
        <f t="shared" si="201"/>
        <v>0.05</v>
      </c>
      <c r="N6098" s="464">
        <f t="shared" si="202"/>
        <v>236648</v>
      </c>
    </row>
    <row r="6099" spans="7:14" ht="11.25" customHeight="1" x14ac:dyDescent="0.3">
      <c r="G6099" s="459"/>
      <c r="H6099" s="459">
        <v>6092</v>
      </c>
      <c r="I6099" s="444">
        <f t="shared" ca="1" si="200"/>
        <v>-3.3876817890178748E+16</v>
      </c>
      <c r="J6099" s="444">
        <f t="array" ref="J6099">IFERROR(INDEX('Retirement Calculator'!K:K,MATCH('Lorri 401b'!N6099,'Retirement Calculator'!A:A,0),0),0)</f>
        <v>0</v>
      </c>
      <c r="K6099" s="444">
        <f t="shared" ca="1" si="198"/>
        <v>-141153407875744.75</v>
      </c>
      <c r="L6099" s="444">
        <f t="shared" ca="1" si="199"/>
        <v>-3.4017971298054492E+16</v>
      </c>
      <c r="M6099" s="460">
        <f t="shared" si="201"/>
        <v>0.05</v>
      </c>
      <c r="N6099" s="464">
        <f t="shared" si="202"/>
        <v>236679</v>
      </c>
    </row>
    <row r="6100" spans="7:14" ht="11.25" customHeight="1" x14ac:dyDescent="0.3">
      <c r="G6100" s="459"/>
      <c r="H6100" s="459">
        <v>6093</v>
      </c>
      <c r="I6100" s="444">
        <f t="shared" ca="1" si="200"/>
        <v>-3.4017971298054492E+16</v>
      </c>
      <c r="J6100" s="444">
        <f t="array" ref="J6100">IFERROR(INDEX('Retirement Calculator'!K:K,MATCH('Lorri 401b'!N6100,'Retirement Calculator'!A:A,0),0),0)</f>
        <v>0</v>
      </c>
      <c r="K6100" s="444">
        <f t="shared" ca="1" si="198"/>
        <v>-141741547075227.06</v>
      </c>
      <c r="L6100" s="444">
        <f t="shared" ca="1" si="199"/>
        <v>-3.415971284512972E+16</v>
      </c>
      <c r="M6100" s="460">
        <f t="shared" si="201"/>
        <v>0.05</v>
      </c>
      <c r="N6100" s="464">
        <f t="shared" si="202"/>
        <v>236710</v>
      </c>
    </row>
    <row r="6101" spans="7:14" ht="11.25" customHeight="1" x14ac:dyDescent="0.3">
      <c r="G6101" s="459"/>
      <c r="H6101" s="459">
        <v>6094</v>
      </c>
      <c r="I6101" s="444">
        <f t="shared" ca="1" si="200"/>
        <v>-3.415971284512972E+16</v>
      </c>
      <c r="J6101" s="444">
        <f t="array" ref="J6101">IFERROR(INDEX('Retirement Calculator'!K:K,MATCH('Lorri 401b'!N6101,'Retirement Calculator'!A:A,0),0),0)</f>
        <v>0</v>
      </c>
      <c r="K6101" s="444">
        <f t="shared" ca="1" si="198"/>
        <v>-142332136854707.16</v>
      </c>
      <c r="L6101" s="444">
        <f t="shared" ca="1" si="199"/>
        <v>-3.4302044981984428E+16</v>
      </c>
      <c r="M6101" s="460">
        <f t="shared" si="201"/>
        <v>0.05</v>
      </c>
      <c r="N6101" s="464">
        <f t="shared" si="202"/>
        <v>236739</v>
      </c>
    </row>
    <row r="6102" spans="7:14" ht="11.25" customHeight="1" x14ac:dyDescent="0.3">
      <c r="G6102" s="459"/>
      <c r="H6102" s="459">
        <v>6095</v>
      </c>
      <c r="I6102" s="444">
        <f t="shared" ca="1" si="200"/>
        <v>-3.4302044981984428E+16</v>
      </c>
      <c r="J6102" s="444">
        <f t="array" ref="J6102">IFERROR(INDEX('Retirement Calculator'!K:K,MATCH('Lorri 401b'!N6102,'Retirement Calculator'!A:A,0),0),0)</f>
        <v>0</v>
      </c>
      <c r="K6102" s="444">
        <f t="shared" ca="1" si="198"/>
        <v>-142925187424935.13</v>
      </c>
      <c r="L6102" s="444">
        <f t="shared" ca="1" si="199"/>
        <v>-3.4444970169409364E+16</v>
      </c>
      <c r="M6102" s="460">
        <f t="shared" si="201"/>
        <v>0.05</v>
      </c>
      <c r="N6102" s="464">
        <f t="shared" si="202"/>
        <v>236770</v>
      </c>
    </row>
    <row r="6103" spans="7:14" ht="11.25" customHeight="1" x14ac:dyDescent="0.3">
      <c r="G6103" s="459"/>
      <c r="H6103" s="459">
        <v>6096</v>
      </c>
      <c r="I6103" s="444">
        <f t="shared" ca="1" si="200"/>
        <v>-3.4444970169409364E+16</v>
      </c>
      <c r="J6103" s="444">
        <f t="array" ref="J6103">IFERROR(INDEX('Retirement Calculator'!K:K,MATCH('Lorri 401b'!N6103,'Retirement Calculator'!A:A,0),0),0)</f>
        <v>0</v>
      </c>
      <c r="K6103" s="444">
        <f t="shared" ca="1" si="198"/>
        <v>-143520709039205.69</v>
      </c>
      <c r="L6103" s="444">
        <f t="shared" ca="1" si="199"/>
        <v>-3.4588490878448568E+16</v>
      </c>
      <c r="M6103" s="460">
        <f t="shared" si="201"/>
        <v>0.05</v>
      </c>
      <c r="N6103" s="464">
        <f t="shared" si="202"/>
        <v>236800</v>
      </c>
    </row>
    <row r="6104" spans="7:14" ht="11.25" customHeight="1" x14ac:dyDescent="0.3">
      <c r="G6104" s="459"/>
      <c r="H6104" s="459">
        <v>6097</v>
      </c>
      <c r="I6104" s="444">
        <f t="shared" ca="1" si="200"/>
        <v>-3.4588490878448568E+16</v>
      </c>
      <c r="J6104" s="444">
        <f t="array" ref="J6104">IFERROR(INDEX('Retirement Calculator'!K:K,MATCH('Lorri 401b'!N6104,'Retirement Calculator'!A:A,0),0),0)</f>
        <v>0</v>
      </c>
      <c r="K6104" s="444">
        <f t="shared" ca="1" si="198"/>
        <v>-144118711993535.69</v>
      </c>
      <c r="L6104" s="444">
        <f t="shared" ca="1" si="199"/>
        <v>-3.4732609590442104E+16</v>
      </c>
      <c r="M6104" s="460">
        <f t="shared" si="201"/>
        <v>0.05</v>
      </c>
      <c r="N6104" s="464">
        <f t="shared" si="202"/>
        <v>236831</v>
      </c>
    </row>
    <row r="6105" spans="7:14" ht="11.25" customHeight="1" x14ac:dyDescent="0.3">
      <c r="G6105" s="459"/>
      <c r="H6105" s="459">
        <v>6098</v>
      </c>
      <c r="I6105" s="444">
        <f t="shared" ca="1" si="200"/>
        <v>-3.4732609590442104E+16</v>
      </c>
      <c r="J6105" s="444">
        <f t="array" ref="J6105">IFERROR(INDEX('Retirement Calculator'!K:K,MATCH('Lorri 401b'!N6105,'Retirement Calculator'!A:A,0),0),0)</f>
        <v>0</v>
      </c>
      <c r="K6105" s="444">
        <f t="shared" ca="1" si="198"/>
        <v>-144719206626842.09</v>
      </c>
      <c r="L6105" s="444">
        <f t="shared" ca="1" si="199"/>
        <v>-3.4877328797068948E+16</v>
      </c>
      <c r="M6105" s="460">
        <f t="shared" si="201"/>
        <v>0.05</v>
      </c>
      <c r="N6105" s="464">
        <f t="shared" si="202"/>
        <v>236861</v>
      </c>
    </row>
    <row r="6106" spans="7:14" ht="11.25" customHeight="1" x14ac:dyDescent="0.3">
      <c r="G6106" s="459"/>
      <c r="H6106" s="459">
        <v>6099</v>
      </c>
      <c r="I6106" s="444">
        <f t="shared" ca="1" si="200"/>
        <v>-3.4877328797068948E+16</v>
      </c>
      <c r="J6106" s="444">
        <f t="array" ref="J6106">IFERROR(INDEX('Retirement Calculator'!K:K,MATCH('Lorri 401b'!N6106,'Retirement Calculator'!A:A,0),0),0)</f>
        <v>0</v>
      </c>
      <c r="K6106" s="444">
        <f t="shared" ca="1" si="198"/>
        <v>-145322203321120.63</v>
      </c>
      <c r="L6106" s="444">
        <f t="shared" ca="1" si="199"/>
        <v>-3.5022651000390068E+16</v>
      </c>
      <c r="M6106" s="460">
        <f t="shared" si="201"/>
        <v>0.05</v>
      </c>
      <c r="N6106" s="464">
        <f t="shared" si="202"/>
        <v>236892</v>
      </c>
    </row>
    <row r="6107" spans="7:14" ht="11.25" customHeight="1" x14ac:dyDescent="0.3">
      <c r="G6107" s="459"/>
      <c r="H6107" s="459">
        <v>6100</v>
      </c>
      <c r="I6107" s="444">
        <f t="shared" ca="1" si="200"/>
        <v>-3.5022651000390068E+16</v>
      </c>
      <c r="J6107" s="444">
        <f t="array" ref="J6107">IFERROR(INDEX('Retirement Calculator'!K:K,MATCH('Lorri 401b'!N6107,'Retirement Calculator'!A:A,0),0),0)</f>
        <v>0</v>
      </c>
      <c r="K6107" s="444">
        <f t="shared" ca="1" si="198"/>
        <v>-145927712501625.28</v>
      </c>
      <c r="L6107" s="444">
        <f t="shared" ca="1" si="199"/>
        <v>-3.5168578712891692E+16</v>
      </c>
      <c r="M6107" s="460">
        <f t="shared" si="201"/>
        <v>0.05</v>
      </c>
      <c r="N6107" s="464">
        <f t="shared" si="202"/>
        <v>236923</v>
      </c>
    </row>
    <row r="6108" spans="7:14" ht="11.25" customHeight="1" x14ac:dyDescent="0.3">
      <c r="G6108" s="459"/>
      <c r="H6108" s="459">
        <v>6101</v>
      </c>
      <c r="I6108" s="444">
        <f t="shared" ca="1" si="200"/>
        <v>-3.5168578712891692E+16</v>
      </c>
      <c r="J6108" s="444">
        <f t="array" ref="J6108">IFERROR(INDEX('Retirement Calculator'!K:K,MATCH('Lorri 401b'!N6108,'Retirement Calculator'!A:A,0),0),0)</f>
        <v>0</v>
      </c>
      <c r="K6108" s="444">
        <f t="shared" ca="1" si="198"/>
        <v>-146535744637048.72</v>
      </c>
      <c r="L6108" s="444">
        <f t="shared" ca="1" si="199"/>
        <v>-3.531511445752874E+16</v>
      </c>
      <c r="M6108" s="460">
        <f t="shared" si="201"/>
        <v>0.05</v>
      </c>
      <c r="N6108" s="464">
        <f t="shared" si="202"/>
        <v>236953</v>
      </c>
    </row>
    <row r="6109" spans="7:14" ht="11.25" customHeight="1" x14ac:dyDescent="0.3">
      <c r="G6109" s="459"/>
      <c r="H6109" s="459">
        <v>6102</v>
      </c>
      <c r="I6109" s="444">
        <f t="shared" ca="1" si="200"/>
        <v>-3.531511445752874E+16</v>
      </c>
      <c r="J6109" s="444">
        <f t="array" ref="J6109">IFERROR(INDEX('Retirement Calculator'!K:K,MATCH('Lorri 401b'!N6109,'Retirement Calculator'!A:A,0),0),0)</f>
        <v>0</v>
      </c>
      <c r="K6109" s="444">
        <f t="shared" ca="1" si="198"/>
        <v>-147146310239703.09</v>
      </c>
      <c r="L6109" s="444">
        <f t="shared" ca="1" si="199"/>
        <v>-3.5462260767768444E+16</v>
      </c>
      <c r="M6109" s="460">
        <f t="shared" si="201"/>
        <v>0.05</v>
      </c>
      <c r="N6109" s="464">
        <f t="shared" si="202"/>
        <v>236984</v>
      </c>
    </row>
    <row r="6110" spans="7:14" ht="11.25" customHeight="1" x14ac:dyDescent="0.3">
      <c r="G6110" s="459"/>
      <c r="H6110" s="459">
        <v>6103</v>
      </c>
      <c r="I6110" s="444">
        <f t="shared" ca="1" si="200"/>
        <v>-3.5462260767768444E+16</v>
      </c>
      <c r="J6110" s="444">
        <f t="array" ref="J6110">IFERROR(INDEX('Retirement Calculator'!K:K,MATCH('Lorri 401b'!N6110,'Retirement Calculator'!A:A,0),0),0)</f>
        <v>0</v>
      </c>
      <c r="K6110" s="444">
        <f t="shared" ca="1" si="198"/>
        <v>-147759419865701.84</v>
      </c>
      <c r="L6110" s="444">
        <f t="shared" ca="1" si="199"/>
        <v>-3.5610020187634144E+16</v>
      </c>
      <c r="M6110" s="460">
        <f t="shared" si="201"/>
        <v>0.05</v>
      </c>
      <c r="N6110" s="464">
        <f t="shared" si="202"/>
        <v>237014</v>
      </c>
    </row>
    <row r="6111" spans="7:14" ht="11.25" customHeight="1" x14ac:dyDescent="0.3">
      <c r="G6111" s="459"/>
      <c r="H6111" s="459">
        <v>6104</v>
      </c>
      <c r="I6111" s="444">
        <f t="shared" ca="1" si="200"/>
        <v>-3.5610020187634144E+16</v>
      </c>
      <c r="J6111" s="444">
        <f t="array" ref="J6111">IFERROR(INDEX('Retirement Calculator'!K:K,MATCH('Lorri 401b'!N6111,'Retirement Calculator'!A:A,0),0),0)</f>
        <v>0</v>
      </c>
      <c r="K6111" s="444">
        <f t="shared" ca="1" si="198"/>
        <v>-148375084115142.25</v>
      </c>
      <c r="L6111" s="444">
        <f t="shared" ca="1" si="199"/>
        <v>-3.5758395271749288E+16</v>
      </c>
      <c r="M6111" s="460">
        <f t="shared" si="201"/>
        <v>0.05</v>
      </c>
      <c r="N6111" s="464">
        <f t="shared" si="202"/>
        <v>237045</v>
      </c>
    </row>
    <row r="6112" spans="7:14" ht="11.25" customHeight="1" x14ac:dyDescent="0.3">
      <c r="G6112" s="459"/>
      <c r="H6112" s="459">
        <v>6105</v>
      </c>
      <c r="I6112" s="444">
        <f t="shared" ca="1" si="200"/>
        <v>-3.5758395271749288E+16</v>
      </c>
      <c r="J6112" s="444">
        <f t="array" ref="J6112">IFERROR(INDEX('Retirement Calculator'!K:K,MATCH('Lorri 401b'!N6112,'Retirement Calculator'!A:A,0),0),0)</f>
        <v>0</v>
      </c>
      <c r="K6112" s="444">
        <f t="shared" ca="1" si="198"/>
        <v>-148993313632288.69</v>
      </c>
      <c r="L6112" s="444">
        <f t="shared" ca="1" si="199"/>
        <v>-3.5907388585381576E+16</v>
      </c>
      <c r="M6112" s="460">
        <f t="shared" si="201"/>
        <v>0.05</v>
      </c>
      <c r="N6112" s="464">
        <f t="shared" si="202"/>
        <v>237076</v>
      </c>
    </row>
    <row r="6113" spans="7:14" ht="11.25" customHeight="1" x14ac:dyDescent="0.3">
      <c r="G6113" s="459"/>
      <c r="H6113" s="459">
        <v>6106</v>
      </c>
      <c r="I6113" s="444">
        <f t="shared" ca="1" si="200"/>
        <v>-3.5907388585381576E+16</v>
      </c>
      <c r="J6113" s="444">
        <f t="array" ref="J6113">IFERROR(INDEX('Retirement Calculator'!K:K,MATCH('Lorri 401b'!N6113,'Retirement Calculator'!A:A,0),0),0)</f>
        <v>0</v>
      </c>
      <c r="K6113" s="444">
        <f t="shared" ca="1" si="198"/>
        <v>-149614119105756.56</v>
      </c>
      <c r="L6113" s="444">
        <f t="shared" ca="1" si="199"/>
        <v>-3.6057002704487336E+16</v>
      </c>
      <c r="M6113" s="460">
        <f t="shared" si="201"/>
        <v>0.05</v>
      </c>
      <c r="N6113" s="464">
        <f t="shared" si="202"/>
        <v>237104</v>
      </c>
    </row>
    <row r="6114" spans="7:14" ht="11.25" customHeight="1" x14ac:dyDescent="0.3">
      <c r="G6114" s="459"/>
      <c r="H6114" s="459">
        <v>6107</v>
      </c>
      <c r="I6114" s="444">
        <f t="shared" ca="1" si="200"/>
        <v>-3.6057002704487336E+16</v>
      </c>
      <c r="J6114" s="444">
        <f t="array" ref="J6114">IFERROR(INDEX('Retirement Calculator'!K:K,MATCH('Lorri 401b'!N6114,'Retirement Calculator'!A:A,0),0),0)</f>
        <v>0</v>
      </c>
      <c r="K6114" s="444">
        <f t="shared" ca="1" si="198"/>
        <v>-150237511268697.22</v>
      </c>
      <c r="L6114" s="444">
        <f t="shared" ca="1" si="199"/>
        <v>-3.6207240215756032E+16</v>
      </c>
      <c r="M6114" s="460">
        <f t="shared" si="201"/>
        <v>0.05</v>
      </c>
      <c r="N6114" s="464">
        <f t="shared" si="202"/>
        <v>237135</v>
      </c>
    </row>
    <row r="6115" spans="7:14" ht="11.25" customHeight="1" x14ac:dyDescent="0.3">
      <c r="G6115" s="459"/>
      <c r="H6115" s="459">
        <v>6108</v>
      </c>
      <c r="I6115" s="444">
        <f t="shared" ca="1" si="200"/>
        <v>-3.6207240215756032E+16</v>
      </c>
      <c r="J6115" s="444">
        <f t="array" ref="J6115">IFERROR(INDEX('Retirement Calculator'!K:K,MATCH('Lorri 401b'!N6115,'Retirement Calculator'!A:A,0),0),0)</f>
        <v>0</v>
      </c>
      <c r="K6115" s="444">
        <f t="shared" ca="1" si="198"/>
        <v>-150863500898983.47</v>
      </c>
      <c r="L6115" s="444">
        <f t="shared" ca="1" si="199"/>
        <v>-3.6358103716655016E+16</v>
      </c>
      <c r="M6115" s="460">
        <f t="shared" si="201"/>
        <v>0.05</v>
      </c>
      <c r="N6115" s="464">
        <f t="shared" si="202"/>
        <v>237165</v>
      </c>
    </row>
    <row r="6116" spans="7:14" ht="11.25" customHeight="1" x14ac:dyDescent="0.3">
      <c r="G6116" s="459"/>
      <c r="H6116" s="459">
        <v>6109</v>
      </c>
      <c r="I6116" s="444">
        <f t="shared" ca="1" si="200"/>
        <v>-3.6358103716655016E+16</v>
      </c>
      <c r="J6116" s="444">
        <f t="array" ref="J6116">IFERROR(INDEX('Retirement Calculator'!K:K,MATCH('Lorri 401b'!N6116,'Retirement Calculator'!A:A,0),0),0)</f>
        <v>0</v>
      </c>
      <c r="K6116" s="444">
        <f t="shared" ca="1" si="198"/>
        <v>-151492098819395.91</v>
      </c>
      <c r="L6116" s="444">
        <f t="shared" ca="1" si="199"/>
        <v>-3.6509595815474408E+16</v>
      </c>
      <c r="M6116" s="460">
        <f t="shared" si="201"/>
        <v>0.05</v>
      </c>
      <c r="N6116" s="464">
        <f t="shared" si="202"/>
        <v>237196</v>
      </c>
    </row>
    <row r="6117" spans="7:14" ht="11.25" customHeight="1" x14ac:dyDescent="0.3">
      <c r="G6117" s="459"/>
      <c r="H6117" s="459">
        <v>6110</v>
      </c>
      <c r="I6117" s="444">
        <f t="shared" ca="1" si="200"/>
        <v>-3.6509595815474408E+16</v>
      </c>
      <c r="J6117" s="444">
        <f t="array" ref="J6117">IFERROR(INDEX('Retirement Calculator'!K:K,MATCH('Lorri 401b'!N6117,'Retirement Calculator'!A:A,0),0),0)</f>
        <v>0</v>
      </c>
      <c r="K6117" s="444">
        <f t="shared" ca="1" si="198"/>
        <v>-152123315897810.03</v>
      </c>
      <c r="L6117" s="444">
        <f t="shared" ca="1" si="199"/>
        <v>-3.6661719131372216E+16</v>
      </c>
      <c r="M6117" s="460">
        <f t="shared" si="201"/>
        <v>0.05</v>
      </c>
      <c r="N6117" s="464">
        <f t="shared" si="202"/>
        <v>237226</v>
      </c>
    </row>
    <row r="6118" spans="7:14" ht="11.25" customHeight="1" x14ac:dyDescent="0.3">
      <c r="G6118" s="459"/>
      <c r="H6118" s="459">
        <v>6111</v>
      </c>
      <c r="I6118" s="444">
        <f t="shared" ca="1" si="200"/>
        <v>-3.6661719131372216E+16</v>
      </c>
      <c r="J6118" s="444">
        <f t="array" ref="J6118">IFERROR(INDEX('Retirement Calculator'!K:K,MATCH('Lorri 401b'!N6118,'Retirement Calculator'!A:A,0),0),0)</f>
        <v>0</v>
      </c>
      <c r="K6118" s="444">
        <f t="shared" ca="1" si="198"/>
        <v>-152757163047384.22</v>
      </c>
      <c r="L6118" s="444">
        <f t="shared" ca="1" si="199"/>
        <v>-3.68144762944196E+16</v>
      </c>
      <c r="M6118" s="460">
        <f t="shared" si="201"/>
        <v>0.05</v>
      </c>
      <c r="N6118" s="464">
        <f t="shared" si="202"/>
        <v>237257</v>
      </c>
    </row>
    <row r="6119" spans="7:14" ht="11.25" customHeight="1" x14ac:dyDescent="0.3">
      <c r="G6119" s="459"/>
      <c r="H6119" s="459">
        <v>6112</v>
      </c>
      <c r="I6119" s="444">
        <f t="shared" ca="1" si="200"/>
        <v>-3.68144762944196E+16</v>
      </c>
      <c r="J6119" s="444">
        <f t="array" ref="J6119">IFERROR(INDEX('Retirement Calculator'!K:K,MATCH('Lorri 401b'!N6119,'Retirement Calculator'!A:A,0),0),0)</f>
        <v>0</v>
      </c>
      <c r="K6119" s="444">
        <f t="shared" ca="1" si="198"/>
        <v>-153393651226748.34</v>
      </c>
      <c r="L6119" s="444">
        <f t="shared" ca="1" si="199"/>
        <v>-3.6967869945646352E+16</v>
      </c>
      <c r="M6119" s="460">
        <f t="shared" si="201"/>
        <v>0.05</v>
      </c>
      <c r="N6119" s="464">
        <f t="shared" si="202"/>
        <v>237288</v>
      </c>
    </row>
    <row r="6120" spans="7:14" ht="11.25" customHeight="1" x14ac:dyDescent="0.3">
      <c r="G6120" s="459"/>
      <c r="H6120" s="459">
        <v>6113</v>
      </c>
      <c r="I6120" s="444">
        <f t="shared" ca="1" si="200"/>
        <v>-3.6967869945646352E+16</v>
      </c>
      <c r="J6120" s="444">
        <f t="array" ref="J6120">IFERROR(INDEX('Retirement Calculator'!K:K,MATCH('Lorri 401b'!N6120,'Retirement Calculator'!A:A,0),0),0)</f>
        <v>0</v>
      </c>
      <c r="K6120" s="444">
        <f t="shared" ca="1" si="198"/>
        <v>-154032791440193.13</v>
      </c>
      <c r="L6120" s="444">
        <f t="shared" ca="1" si="199"/>
        <v>-3.7121902737086544E+16</v>
      </c>
      <c r="M6120" s="460">
        <f t="shared" si="201"/>
        <v>0.05</v>
      </c>
      <c r="N6120" s="464">
        <f t="shared" si="202"/>
        <v>237318</v>
      </c>
    </row>
    <row r="6121" spans="7:14" ht="11.25" customHeight="1" x14ac:dyDescent="0.3">
      <c r="G6121" s="459"/>
      <c r="H6121" s="459">
        <v>6114</v>
      </c>
      <c r="I6121" s="444">
        <f t="shared" ca="1" si="200"/>
        <v>-3.7121902737086544E+16</v>
      </c>
      <c r="J6121" s="444">
        <f t="array" ref="J6121">IFERROR(INDEX('Retirement Calculator'!K:K,MATCH('Lorri 401b'!N6121,'Retirement Calculator'!A:A,0),0),0)</f>
        <v>0</v>
      </c>
      <c r="K6121" s="444">
        <f t="shared" ca="1" si="198"/>
        <v>-154674594737860.59</v>
      </c>
      <c r="L6121" s="444">
        <f t="shared" ca="1" si="199"/>
        <v>-3.7276577331824408E+16</v>
      </c>
      <c r="M6121" s="460">
        <f t="shared" si="201"/>
        <v>0.05</v>
      </c>
      <c r="N6121" s="464">
        <f t="shared" si="202"/>
        <v>237349</v>
      </c>
    </row>
    <row r="6122" spans="7:14" ht="11.25" customHeight="1" x14ac:dyDescent="0.3">
      <c r="G6122" s="459"/>
      <c r="H6122" s="459">
        <v>6115</v>
      </c>
      <c r="I6122" s="444">
        <f t="shared" ca="1" si="200"/>
        <v>-3.7276577331824408E+16</v>
      </c>
      <c r="J6122" s="444">
        <f t="array" ref="J6122">IFERROR(INDEX('Retirement Calculator'!K:K,MATCH('Lorri 401b'!N6122,'Retirement Calculator'!A:A,0),0),0)</f>
        <v>0</v>
      </c>
      <c r="K6122" s="444">
        <f t="shared" ca="1" si="198"/>
        <v>-155319072215935.03</v>
      </c>
      <c r="L6122" s="444">
        <f t="shared" ca="1" si="199"/>
        <v>-3.7431896404040344E+16</v>
      </c>
      <c r="M6122" s="460">
        <f t="shared" si="201"/>
        <v>0.05</v>
      </c>
      <c r="N6122" s="464">
        <f t="shared" si="202"/>
        <v>237379</v>
      </c>
    </row>
    <row r="6123" spans="7:14" ht="11.25" customHeight="1" x14ac:dyDescent="0.3">
      <c r="G6123" s="459"/>
      <c r="H6123" s="459">
        <v>6116</v>
      </c>
      <c r="I6123" s="444">
        <f t="shared" ca="1" si="200"/>
        <v>-3.7431896404040344E+16</v>
      </c>
      <c r="J6123" s="444">
        <f t="array" ref="J6123">IFERROR(INDEX('Retirement Calculator'!K:K,MATCH('Lorri 401b'!N6123,'Retirement Calculator'!A:A,0),0),0)</f>
        <v>0</v>
      </c>
      <c r="K6123" s="444">
        <f t="shared" ca="1" si="198"/>
        <v>-155966235016834.75</v>
      </c>
      <c r="L6123" s="444">
        <f t="shared" ca="1" si="199"/>
        <v>-3.7587862639057176E+16</v>
      </c>
      <c r="M6123" s="460">
        <f t="shared" si="201"/>
        <v>0.05</v>
      </c>
      <c r="N6123" s="464">
        <f t="shared" si="202"/>
        <v>237410</v>
      </c>
    </row>
    <row r="6124" spans="7:14" ht="11.25" customHeight="1" x14ac:dyDescent="0.3">
      <c r="G6124" s="459"/>
      <c r="H6124" s="459">
        <v>6117</v>
      </c>
      <c r="I6124" s="444">
        <f t="shared" ca="1" si="200"/>
        <v>-3.7587862639057176E+16</v>
      </c>
      <c r="J6124" s="444">
        <f t="array" ref="J6124">IFERROR(INDEX('Retirement Calculator'!K:K,MATCH('Lorri 401b'!N6124,'Retirement Calculator'!A:A,0),0),0)</f>
        <v>0</v>
      </c>
      <c r="K6124" s="444">
        <f t="shared" ca="1" si="198"/>
        <v>-156616094329404.91</v>
      </c>
      <c r="L6124" s="444">
        <f t="shared" ca="1" si="199"/>
        <v>-3.7744478733386584E+16</v>
      </c>
      <c r="M6124" s="460">
        <f t="shared" si="201"/>
        <v>0.05</v>
      </c>
      <c r="N6124" s="464">
        <f t="shared" si="202"/>
        <v>237441</v>
      </c>
    </row>
    <row r="6125" spans="7:14" ht="11.25" customHeight="1" x14ac:dyDescent="0.3">
      <c r="G6125" s="459"/>
      <c r="H6125" s="459">
        <v>6118</v>
      </c>
      <c r="I6125" s="444">
        <f t="shared" ca="1" si="200"/>
        <v>-3.7744478733386584E+16</v>
      </c>
      <c r="J6125" s="444">
        <f t="array" ref="J6125">IFERROR(INDEX('Retirement Calculator'!K:K,MATCH('Lorri 401b'!N6125,'Retirement Calculator'!A:A,0),0),0)</f>
        <v>0</v>
      </c>
      <c r="K6125" s="444">
        <f t="shared" ca="1" si="198"/>
        <v>-157268661389110.75</v>
      </c>
      <c r="L6125" s="444">
        <f t="shared" ca="1" si="199"/>
        <v>-3.7901747394775696E+16</v>
      </c>
      <c r="M6125" s="460">
        <f t="shared" si="201"/>
        <v>0.05</v>
      </c>
      <c r="N6125" s="464">
        <f t="shared" si="202"/>
        <v>237469</v>
      </c>
    </row>
    <row r="6126" spans="7:14" ht="11.25" customHeight="1" x14ac:dyDescent="0.3">
      <c r="G6126" s="459"/>
      <c r="H6126" s="459">
        <v>6119</v>
      </c>
      <c r="I6126" s="444">
        <f t="shared" ca="1" si="200"/>
        <v>-3.7901747394775696E+16</v>
      </c>
      <c r="J6126" s="444">
        <f t="array" ref="J6126">IFERROR(INDEX('Retirement Calculator'!K:K,MATCH('Lorri 401b'!N6126,'Retirement Calculator'!A:A,0),0),0)</f>
        <v>0</v>
      </c>
      <c r="K6126" s="444">
        <f t="shared" ca="1" si="198"/>
        <v>-157923947478232.06</v>
      </c>
      <c r="L6126" s="444">
        <f t="shared" ca="1" si="199"/>
        <v>-3.8059671342253928E+16</v>
      </c>
      <c r="M6126" s="460">
        <f t="shared" si="201"/>
        <v>0.05</v>
      </c>
      <c r="N6126" s="464">
        <f t="shared" si="202"/>
        <v>237500</v>
      </c>
    </row>
    <row r="6127" spans="7:14" ht="11.25" customHeight="1" x14ac:dyDescent="0.3">
      <c r="G6127" s="459"/>
      <c r="H6127" s="459">
        <v>6120</v>
      </c>
      <c r="I6127" s="444">
        <f t="shared" ca="1" si="200"/>
        <v>-3.8059671342253928E+16</v>
      </c>
      <c r="J6127" s="444">
        <f t="array" ref="J6127">IFERROR(INDEX('Retirement Calculator'!K:K,MATCH('Lorri 401b'!N6127,'Retirement Calculator'!A:A,0),0),0)</f>
        <v>0</v>
      </c>
      <c r="K6127" s="444">
        <f t="shared" ca="1" si="198"/>
        <v>-158581963926058.03</v>
      </c>
      <c r="L6127" s="444">
        <f t="shared" ca="1" si="199"/>
        <v>-3.8218253306179984E+16</v>
      </c>
      <c r="M6127" s="460">
        <f t="shared" si="201"/>
        <v>0.05</v>
      </c>
      <c r="N6127" s="464">
        <f t="shared" si="202"/>
        <v>237530</v>
      </c>
    </row>
    <row r="6128" spans="7:14" ht="11.25" customHeight="1" x14ac:dyDescent="0.3">
      <c r="G6128" s="459"/>
      <c r="H6128" s="459">
        <v>6121</v>
      </c>
      <c r="I6128" s="444">
        <f t="shared" ca="1" si="200"/>
        <v>-3.8218253306179984E+16</v>
      </c>
      <c r="J6128" s="444">
        <f t="array" ref="J6128">IFERROR(INDEX('Retirement Calculator'!K:K,MATCH('Lorri 401b'!N6128,'Retirement Calculator'!A:A,0),0),0)</f>
        <v>0</v>
      </c>
      <c r="K6128" s="444">
        <f t="shared" ref="K6128:K6250" ca="1" si="203">IPMT(M6128/12,1,12,-I6128+J6128,,0)</f>
        <v>-159242722109083.25</v>
      </c>
      <c r="L6128" s="444">
        <f t="shared" ref="L6128:L6250" ca="1" si="204">I6128-J6128+K6128</f>
        <v>-3.8377496028289064E+16</v>
      </c>
      <c r="M6128" s="460">
        <f t="shared" si="201"/>
        <v>0.05</v>
      </c>
      <c r="N6128" s="464">
        <f t="shared" si="202"/>
        <v>237561</v>
      </c>
    </row>
    <row r="6129" spans="7:14" ht="11.25" customHeight="1" x14ac:dyDescent="0.3">
      <c r="G6129" s="459"/>
      <c r="H6129" s="459">
        <v>6122</v>
      </c>
      <c r="I6129" s="444">
        <f t="shared" ref="I6129:I6250" ca="1" si="205">L6128</f>
        <v>-3.8377496028289064E+16</v>
      </c>
      <c r="J6129" s="444">
        <f t="array" ref="J6129">IFERROR(INDEX('Retirement Calculator'!K:K,MATCH('Lorri 401b'!N6129,'Retirement Calculator'!A:A,0),0),0)</f>
        <v>0</v>
      </c>
      <c r="K6129" s="444">
        <f t="shared" ca="1" si="203"/>
        <v>-159906233451204.44</v>
      </c>
      <c r="L6129" s="444">
        <f t="shared" ca="1" si="204"/>
        <v>-3.8537402261740272E+16</v>
      </c>
      <c r="M6129" s="460">
        <f t="shared" ref="M6129:M6250" si="206">M6128</f>
        <v>0.05</v>
      </c>
      <c r="N6129" s="464">
        <f t="shared" ref="N6129:N6250" si="207">EDATE(N6128,1)</f>
        <v>237591</v>
      </c>
    </row>
    <row r="6130" spans="7:14" ht="11.25" customHeight="1" x14ac:dyDescent="0.3">
      <c r="G6130" s="459"/>
      <c r="H6130" s="459">
        <v>6123</v>
      </c>
      <c r="I6130" s="444">
        <f t="shared" ca="1" si="205"/>
        <v>-3.8537402261740272E+16</v>
      </c>
      <c r="J6130" s="444">
        <f t="array" ref="J6130">IFERROR(INDEX('Retirement Calculator'!K:K,MATCH('Lorri 401b'!N6130,'Retirement Calculator'!A:A,0),0),0)</f>
        <v>0</v>
      </c>
      <c r="K6130" s="444">
        <f t="shared" ca="1" si="203"/>
        <v>-160572509423917.81</v>
      </c>
      <c r="L6130" s="444">
        <f t="shared" ca="1" si="204"/>
        <v>-3.8697974771164192E+16</v>
      </c>
      <c r="M6130" s="460">
        <f t="shared" si="206"/>
        <v>0.05</v>
      </c>
      <c r="N6130" s="464">
        <f t="shared" si="207"/>
        <v>237622</v>
      </c>
    </row>
    <row r="6131" spans="7:14" ht="11.25" customHeight="1" x14ac:dyDescent="0.3">
      <c r="G6131" s="459"/>
      <c r="H6131" s="459">
        <v>6124</v>
      </c>
      <c r="I6131" s="444">
        <f t="shared" ca="1" si="205"/>
        <v>-3.8697974771164192E+16</v>
      </c>
      <c r="J6131" s="444">
        <f t="array" ref="J6131">IFERROR(INDEX('Retirement Calculator'!K:K,MATCH('Lorri 401b'!N6131,'Retirement Calculator'!A:A,0),0),0)</f>
        <v>0</v>
      </c>
      <c r="K6131" s="444">
        <f t="shared" ca="1" si="203"/>
        <v>-161241561546517.47</v>
      </c>
      <c r="L6131" s="444">
        <f t="shared" ca="1" si="204"/>
        <v>-3.8859216332710712E+16</v>
      </c>
      <c r="M6131" s="460">
        <f t="shared" si="206"/>
        <v>0.05</v>
      </c>
      <c r="N6131" s="464">
        <f t="shared" si="207"/>
        <v>237653</v>
      </c>
    </row>
    <row r="6132" spans="7:14" ht="11.25" customHeight="1" x14ac:dyDescent="0.3">
      <c r="G6132" s="459"/>
      <c r="H6132" s="459">
        <v>6125</v>
      </c>
      <c r="I6132" s="444">
        <f t="shared" ca="1" si="205"/>
        <v>-3.8859216332710712E+16</v>
      </c>
      <c r="J6132" s="444">
        <f t="array" ref="J6132">IFERROR(INDEX('Retirement Calculator'!K:K,MATCH('Lorri 401b'!N6132,'Retirement Calculator'!A:A,0),0),0)</f>
        <v>0</v>
      </c>
      <c r="K6132" s="444">
        <f t="shared" ca="1" si="203"/>
        <v>-161913401386294.63</v>
      </c>
      <c r="L6132" s="444">
        <f t="shared" ca="1" si="204"/>
        <v>-3.9021129734097008E+16</v>
      </c>
      <c r="M6132" s="460">
        <f t="shared" si="206"/>
        <v>0.05</v>
      </c>
      <c r="N6132" s="464">
        <f t="shared" si="207"/>
        <v>237683</v>
      </c>
    </row>
    <row r="6133" spans="7:14" ht="11.25" customHeight="1" x14ac:dyDescent="0.3">
      <c r="G6133" s="459"/>
      <c r="H6133" s="459">
        <v>6126</v>
      </c>
      <c r="I6133" s="444">
        <f t="shared" ca="1" si="205"/>
        <v>-3.9021129734097008E+16</v>
      </c>
      <c r="J6133" s="444">
        <f t="array" ref="J6133">IFERROR(INDEX('Retirement Calculator'!K:K,MATCH('Lorri 401b'!N6133,'Retirement Calculator'!A:A,0),0),0)</f>
        <v>0</v>
      </c>
      <c r="K6133" s="444">
        <f t="shared" ca="1" si="203"/>
        <v>-162588040558737.53</v>
      </c>
      <c r="L6133" s="444">
        <f t="shared" ca="1" si="204"/>
        <v>-3.9183717774655744E+16</v>
      </c>
      <c r="M6133" s="460">
        <f t="shared" si="206"/>
        <v>0.05</v>
      </c>
      <c r="N6133" s="464">
        <f t="shared" si="207"/>
        <v>237714</v>
      </c>
    </row>
    <row r="6134" spans="7:14" ht="11.25" customHeight="1" x14ac:dyDescent="0.3">
      <c r="G6134" s="459"/>
      <c r="H6134" s="459">
        <v>6127</v>
      </c>
      <c r="I6134" s="444">
        <f t="shared" ca="1" si="205"/>
        <v>-3.9183717774655744E+16</v>
      </c>
      <c r="J6134" s="444">
        <f t="array" ref="J6134">IFERROR(INDEX('Retirement Calculator'!K:K,MATCH('Lorri 401b'!N6134,'Retirement Calculator'!A:A,0),0),0)</f>
        <v>0</v>
      </c>
      <c r="K6134" s="444">
        <f t="shared" ca="1" si="203"/>
        <v>-163265490727732.25</v>
      </c>
      <c r="L6134" s="444">
        <f t="shared" ca="1" si="204"/>
        <v>-3.934698326538348E+16</v>
      </c>
      <c r="M6134" s="460">
        <f t="shared" si="206"/>
        <v>0.05</v>
      </c>
      <c r="N6134" s="464">
        <f t="shared" si="207"/>
        <v>237744</v>
      </c>
    </row>
    <row r="6135" spans="7:14" ht="11.25" customHeight="1" x14ac:dyDescent="0.3">
      <c r="G6135" s="459"/>
      <c r="H6135" s="459">
        <v>6128</v>
      </c>
      <c r="I6135" s="444">
        <f t="shared" ca="1" si="205"/>
        <v>-3.934698326538348E+16</v>
      </c>
      <c r="J6135" s="444">
        <f t="array" ref="J6135">IFERROR(INDEX('Retirement Calculator'!K:K,MATCH('Lorri 401b'!N6135,'Retirement Calculator'!A:A,0),0),0)</f>
        <v>0</v>
      </c>
      <c r="K6135" s="444">
        <f t="shared" ca="1" si="203"/>
        <v>-163945763605764.5</v>
      </c>
      <c r="L6135" s="444">
        <f t="shared" ca="1" si="204"/>
        <v>-3.9510929028989248E+16</v>
      </c>
      <c r="M6135" s="460">
        <f t="shared" si="206"/>
        <v>0.05</v>
      </c>
      <c r="N6135" s="464">
        <f t="shared" si="207"/>
        <v>237775</v>
      </c>
    </row>
    <row r="6136" spans="7:14" ht="11.25" customHeight="1" x14ac:dyDescent="0.3">
      <c r="G6136" s="459"/>
      <c r="H6136" s="459">
        <v>6129</v>
      </c>
      <c r="I6136" s="444">
        <f t="shared" ca="1" si="205"/>
        <v>-3.9510929028989248E+16</v>
      </c>
      <c r="J6136" s="444">
        <f t="array" ref="J6136">IFERROR(INDEX('Retirement Calculator'!K:K,MATCH('Lorri 401b'!N6136,'Retirement Calculator'!A:A,0),0),0)</f>
        <v>0</v>
      </c>
      <c r="K6136" s="444">
        <f t="shared" ca="1" si="203"/>
        <v>-164628870954121.88</v>
      </c>
      <c r="L6136" s="444">
        <f t="shared" ca="1" si="204"/>
        <v>-3.9675557899943368E+16</v>
      </c>
      <c r="M6136" s="460">
        <f t="shared" si="206"/>
        <v>0.05</v>
      </c>
      <c r="N6136" s="464">
        <f t="shared" si="207"/>
        <v>237806</v>
      </c>
    </row>
    <row r="6137" spans="7:14" ht="11.25" customHeight="1" x14ac:dyDescent="0.3">
      <c r="G6137" s="459"/>
      <c r="H6137" s="459">
        <v>6130</v>
      </c>
      <c r="I6137" s="444">
        <f t="shared" ca="1" si="205"/>
        <v>-3.9675557899943368E+16</v>
      </c>
      <c r="J6137" s="444">
        <f t="array" ref="J6137">IFERROR(INDEX('Retirement Calculator'!K:K,MATCH('Lorri 401b'!N6137,'Retirement Calculator'!A:A,0),0),0)</f>
        <v>0</v>
      </c>
      <c r="K6137" s="444">
        <f t="shared" ca="1" si="203"/>
        <v>-165314824583097.38</v>
      </c>
      <c r="L6137" s="444">
        <f t="shared" ca="1" si="204"/>
        <v>-3.9840872724526464E+16</v>
      </c>
      <c r="M6137" s="460">
        <f t="shared" si="206"/>
        <v>0.05</v>
      </c>
      <c r="N6137" s="464">
        <f t="shared" si="207"/>
        <v>237834</v>
      </c>
    </row>
    <row r="6138" spans="7:14" ht="11.25" customHeight="1" x14ac:dyDescent="0.3">
      <c r="G6138" s="459"/>
      <c r="H6138" s="459">
        <v>6131</v>
      </c>
      <c r="I6138" s="444">
        <f t="shared" ca="1" si="205"/>
        <v>-3.9840872724526464E+16</v>
      </c>
      <c r="J6138" s="444">
        <f t="array" ref="J6138">IFERROR(INDEX('Retirement Calculator'!K:K,MATCH('Lorri 401b'!N6138,'Retirement Calculator'!A:A,0),0),0)</f>
        <v>0</v>
      </c>
      <c r="K6138" s="444">
        <f t="shared" ca="1" si="203"/>
        <v>-166003636352193.59</v>
      </c>
      <c r="L6138" s="444">
        <f t="shared" ca="1" si="204"/>
        <v>-4.0006876360878656E+16</v>
      </c>
      <c r="M6138" s="460">
        <f t="shared" si="206"/>
        <v>0.05</v>
      </c>
      <c r="N6138" s="464">
        <f t="shared" si="207"/>
        <v>237865</v>
      </c>
    </row>
    <row r="6139" spans="7:14" ht="11.25" customHeight="1" x14ac:dyDescent="0.3">
      <c r="G6139" s="459"/>
      <c r="H6139" s="459">
        <v>6132</v>
      </c>
      <c r="I6139" s="444">
        <f t="shared" ca="1" si="205"/>
        <v>-4.0006876360878656E+16</v>
      </c>
      <c r="J6139" s="444">
        <f t="array" ref="J6139">IFERROR(INDEX('Retirement Calculator'!K:K,MATCH('Lorri 401b'!N6139,'Retirement Calculator'!A:A,0),0),0)</f>
        <v>0</v>
      </c>
      <c r="K6139" s="444">
        <f t="shared" ca="1" si="203"/>
        <v>-166695318170327.72</v>
      </c>
      <c r="L6139" s="444">
        <f t="shared" ca="1" si="204"/>
        <v>-4.0173571679048984E+16</v>
      </c>
      <c r="M6139" s="460">
        <f t="shared" si="206"/>
        <v>0.05</v>
      </c>
      <c r="N6139" s="464">
        <f t="shared" si="207"/>
        <v>237895</v>
      </c>
    </row>
    <row r="6140" spans="7:14" ht="11.25" customHeight="1" x14ac:dyDescent="0.3">
      <c r="G6140" s="459"/>
      <c r="H6140" s="459">
        <v>6133</v>
      </c>
      <c r="I6140" s="444">
        <f t="shared" ca="1" si="205"/>
        <v>-4.0173571679048984E+16</v>
      </c>
      <c r="J6140" s="444">
        <f t="array" ref="J6140">IFERROR(INDEX('Retirement Calculator'!K:K,MATCH('Lorri 401b'!N6140,'Retirement Calculator'!A:A,0),0),0)</f>
        <v>0</v>
      </c>
      <c r="K6140" s="444">
        <f t="shared" ca="1" si="203"/>
        <v>-167389881996037.44</v>
      </c>
      <c r="L6140" s="444">
        <f t="shared" ca="1" si="204"/>
        <v>-4.0340961561045024E+16</v>
      </c>
      <c r="M6140" s="460">
        <f t="shared" si="206"/>
        <v>0.05</v>
      </c>
      <c r="N6140" s="464">
        <f t="shared" si="207"/>
        <v>237926</v>
      </c>
    </row>
    <row r="6141" spans="7:14" ht="11.25" customHeight="1" x14ac:dyDescent="0.3">
      <c r="G6141" s="459"/>
      <c r="H6141" s="459">
        <v>6134</v>
      </c>
      <c r="I6141" s="444">
        <f t="shared" ca="1" si="205"/>
        <v>-4.0340961561045024E+16</v>
      </c>
      <c r="J6141" s="444">
        <f t="array" ref="J6141">IFERROR(INDEX('Retirement Calculator'!K:K,MATCH('Lorri 401b'!N6141,'Retirement Calculator'!A:A,0),0),0)</f>
        <v>0</v>
      </c>
      <c r="K6141" s="444">
        <f t="shared" ca="1" si="203"/>
        <v>-168087339837687.59</v>
      </c>
      <c r="L6141" s="444">
        <f t="shared" ca="1" si="204"/>
        <v>-4.0509048900882712E+16</v>
      </c>
      <c r="M6141" s="460">
        <f t="shared" si="206"/>
        <v>0.05</v>
      </c>
      <c r="N6141" s="464">
        <f t="shared" si="207"/>
        <v>237956</v>
      </c>
    </row>
    <row r="6142" spans="7:14" ht="11.25" customHeight="1" x14ac:dyDescent="0.3">
      <c r="G6142" s="459"/>
      <c r="H6142" s="459">
        <v>6135</v>
      </c>
      <c r="I6142" s="444">
        <f t="shared" ca="1" si="205"/>
        <v>-4.0509048900882712E+16</v>
      </c>
      <c r="J6142" s="444">
        <f t="array" ref="J6142">IFERROR(INDEX('Retirement Calculator'!K:K,MATCH('Lorri 401b'!N6142,'Retirement Calculator'!A:A,0),0),0)</f>
        <v>0</v>
      </c>
      <c r="K6142" s="444">
        <f t="shared" ca="1" si="203"/>
        <v>-168787703753677.97</v>
      </c>
      <c r="L6142" s="444">
        <f t="shared" ca="1" si="204"/>
        <v>-4.0677836604636392E+16</v>
      </c>
      <c r="M6142" s="460">
        <f t="shared" si="206"/>
        <v>0.05</v>
      </c>
      <c r="N6142" s="464">
        <f t="shared" si="207"/>
        <v>237987</v>
      </c>
    </row>
    <row r="6143" spans="7:14" ht="11.25" customHeight="1" x14ac:dyDescent="0.3">
      <c r="G6143" s="459"/>
      <c r="H6143" s="459">
        <v>6136</v>
      </c>
      <c r="I6143" s="444">
        <f t="shared" ca="1" si="205"/>
        <v>-4.0677836604636392E+16</v>
      </c>
      <c r="J6143" s="444">
        <f t="array" ref="J6143">IFERROR(INDEX('Retirement Calculator'!K:K,MATCH('Lorri 401b'!N6143,'Retirement Calculator'!A:A,0),0),0)</f>
        <v>0</v>
      </c>
      <c r="K6143" s="444">
        <f t="shared" ca="1" si="203"/>
        <v>-169490985852651.63</v>
      </c>
      <c r="L6143" s="444">
        <f t="shared" ca="1" si="204"/>
        <v>-4.084732759048904E+16</v>
      </c>
      <c r="M6143" s="460">
        <f t="shared" si="206"/>
        <v>0.05</v>
      </c>
      <c r="N6143" s="464">
        <f t="shared" si="207"/>
        <v>238018</v>
      </c>
    </row>
    <row r="6144" spans="7:14" ht="11.25" customHeight="1" x14ac:dyDescent="0.3">
      <c r="G6144" s="459"/>
      <c r="H6144" s="459">
        <v>6137</v>
      </c>
      <c r="I6144" s="444">
        <f t="shared" ca="1" si="205"/>
        <v>-4.084732759048904E+16</v>
      </c>
      <c r="J6144" s="444">
        <f t="array" ref="J6144">IFERROR(INDEX('Retirement Calculator'!K:K,MATCH('Lorri 401b'!N6144,'Retirement Calculator'!A:A,0),0),0)</f>
        <v>0</v>
      </c>
      <c r="K6144" s="444">
        <f t="shared" ca="1" si="203"/>
        <v>-170197198293704.34</v>
      </c>
      <c r="L6144" s="444">
        <f t="shared" ca="1" si="204"/>
        <v>-4.1017524788782744E+16</v>
      </c>
      <c r="M6144" s="460">
        <f t="shared" si="206"/>
        <v>0.05</v>
      </c>
      <c r="N6144" s="464">
        <f t="shared" si="207"/>
        <v>238048</v>
      </c>
    </row>
    <row r="6145" spans="7:14" ht="11.25" customHeight="1" x14ac:dyDescent="0.3">
      <c r="G6145" s="459"/>
      <c r="H6145" s="459">
        <v>6138</v>
      </c>
      <c r="I6145" s="444">
        <f t="shared" ca="1" si="205"/>
        <v>-4.1017524788782744E+16</v>
      </c>
      <c r="J6145" s="444">
        <f t="array" ref="J6145">IFERROR(INDEX('Retirement Calculator'!K:K,MATCH('Lorri 401b'!N6145,'Retirement Calculator'!A:A,0),0),0)</f>
        <v>0</v>
      </c>
      <c r="K6145" s="444">
        <f t="shared" ca="1" si="203"/>
        <v>-170906353286594.75</v>
      </c>
      <c r="L6145" s="444">
        <f t="shared" ca="1" si="204"/>
        <v>-4.1188431142069336E+16</v>
      </c>
      <c r="M6145" s="460">
        <f t="shared" si="206"/>
        <v>0.05</v>
      </c>
      <c r="N6145" s="464">
        <f t="shared" si="207"/>
        <v>238079</v>
      </c>
    </row>
    <row r="6146" spans="7:14" ht="11.25" customHeight="1" x14ac:dyDescent="0.3">
      <c r="G6146" s="459"/>
      <c r="H6146" s="459">
        <v>6139</v>
      </c>
      <c r="I6146" s="444">
        <f t="shared" ca="1" si="205"/>
        <v>-4.1188431142069336E+16</v>
      </c>
      <c r="J6146" s="444">
        <f t="array" ref="J6146">IFERROR(INDEX('Retirement Calculator'!K:K,MATCH('Lorri 401b'!N6146,'Retirement Calculator'!A:A,0),0),0)</f>
        <v>0</v>
      </c>
      <c r="K6146" s="444">
        <f t="shared" ca="1" si="203"/>
        <v>-171618463091955.56</v>
      </c>
      <c r="L6146" s="444">
        <f t="shared" ca="1" si="204"/>
        <v>-4.1360049605161288E+16</v>
      </c>
      <c r="M6146" s="460">
        <f t="shared" si="206"/>
        <v>0.05</v>
      </c>
      <c r="N6146" s="464">
        <f t="shared" si="207"/>
        <v>238109</v>
      </c>
    </row>
    <row r="6147" spans="7:14" ht="11.25" customHeight="1" x14ac:dyDescent="0.3">
      <c r="G6147" s="459"/>
      <c r="H6147" s="459">
        <v>6140</v>
      </c>
      <c r="I6147" s="444">
        <f t="shared" ca="1" si="205"/>
        <v>-4.1360049605161288E+16</v>
      </c>
      <c r="J6147" s="444">
        <f t="array" ref="J6147">IFERROR(INDEX('Retirement Calculator'!K:K,MATCH('Lorri 401b'!N6147,'Retirement Calculator'!A:A,0),0),0)</f>
        <v>0</v>
      </c>
      <c r="K6147" s="444">
        <f t="shared" ca="1" si="203"/>
        <v>-172333540021505.38</v>
      </c>
      <c r="L6147" s="444">
        <f t="shared" ca="1" si="204"/>
        <v>-4.1532383145182792E+16</v>
      </c>
      <c r="M6147" s="460">
        <f t="shared" si="206"/>
        <v>0.05</v>
      </c>
      <c r="N6147" s="464">
        <f t="shared" si="207"/>
        <v>238140</v>
      </c>
    </row>
    <row r="6148" spans="7:14" ht="11.25" customHeight="1" x14ac:dyDescent="0.3">
      <c r="G6148" s="459"/>
      <c r="H6148" s="459">
        <v>6141</v>
      </c>
      <c r="I6148" s="444">
        <f t="shared" ca="1" si="205"/>
        <v>-4.1532383145182792E+16</v>
      </c>
      <c r="J6148" s="444">
        <f t="array" ref="J6148">IFERROR(INDEX('Retirement Calculator'!K:K,MATCH('Lorri 401b'!N6148,'Retirement Calculator'!A:A,0),0),0)</f>
        <v>0</v>
      </c>
      <c r="K6148" s="444">
        <f t="shared" ca="1" si="203"/>
        <v>-173051596438261.63</v>
      </c>
      <c r="L6148" s="444">
        <f t="shared" ca="1" si="204"/>
        <v>-4.1705434741621056E+16</v>
      </c>
      <c r="M6148" s="460">
        <f t="shared" si="206"/>
        <v>0.05</v>
      </c>
      <c r="N6148" s="464">
        <f t="shared" si="207"/>
        <v>238171</v>
      </c>
    </row>
    <row r="6149" spans="7:14" ht="11.25" customHeight="1" x14ac:dyDescent="0.3">
      <c r="G6149" s="459"/>
      <c r="H6149" s="459">
        <v>6142</v>
      </c>
      <c r="I6149" s="444">
        <f t="shared" ca="1" si="205"/>
        <v>-4.1705434741621056E+16</v>
      </c>
      <c r="J6149" s="444">
        <f t="array" ref="J6149">IFERROR(INDEX('Retirement Calculator'!K:K,MATCH('Lorri 401b'!N6149,'Retirement Calculator'!A:A,0),0),0)</f>
        <v>0</v>
      </c>
      <c r="K6149" s="444">
        <f t="shared" ca="1" si="203"/>
        <v>-173772644756754.41</v>
      </c>
      <c r="L6149" s="444">
        <f t="shared" ca="1" si="204"/>
        <v>-4.1879207386377808E+16</v>
      </c>
      <c r="M6149" s="460">
        <f t="shared" si="206"/>
        <v>0.05</v>
      </c>
      <c r="N6149" s="464">
        <f t="shared" si="207"/>
        <v>238200</v>
      </c>
    </row>
    <row r="6150" spans="7:14" ht="11.25" customHeight="1" x14ac:dyDescent="0.3">
      <c r="G6150" s="459"/>
      <c r="H6150" s="459">
        <v>6143</v>
      </c>
      <c r="I6150" s="444">
        <f t="shared" ca="1" si="205"/>
        <v>-4.1879207386377808E+16</v>
      </c>
      <c r="J6150" s="444">
        <f t="array" ref="J6150">IFERROR(INDEX('Retirement Calculator'!K:K,MATCH('Lorri 401b'!N6150,'Retirement Calculator'!A:A,0),0),0)</f>
        <v>0</v>
      </c>
      <c r="K6150" s="444">
        <f t="shared" ca="1" si="203"/>
        <v>-174496697443240.88</v>
      </c>
      <c r="L6150" s="444">
        <f t="shared" ca="1" si="204"/>
        <v>-4.2053704083821048E+16</v>
      </c>
      <c r="M6150" s="460">
        <f t="shared" si="206"/>
        <v>0.05</v>
      </c>
      <c r="N6150" s="464">
        <f t="shared" si="207"/>
        <v>238231</v>
      </c>
    </row>
    <row r="6151" spans="7:14" ht="11.25" customHeight="1" x14ac:dyDescent="0.3">
      <c r="G6151" s="459"/>
      <c r="H6151" s="459">
        <v>6144</v>
      </c>
      <c r="I6151" s="444">
        <f t="shared" ca="1" si="205"/>
        <v>-4.2053704083821048E+16</v>
      </c>
      <c r="J6151" s="444">
        <f t="array" ref="J6151">IFERROR(INDEX('Retirement Calculator'!K:K,MATCH('Lorri 401b'!N6151,'Retirement Calculator'!A:A,0),0),0)</f>
        <v>0</v>
      </c>
      <c r="K6151" s="444">
        <f t="shared" ca="1" si="203"/>
        <v>-175223767015921.03</v>
      </c>
      <c r="L6151" s="444">
        <f t="shared" ca="1" si="204"/>
        <v>-4.2228927850836968E+16</v>
      </c>
      <c r="M6151" s="460">
        <f t="shared" si="206"/>
        <v>0.05</v>
      </c>
      <c r="N6151" s="464">
        <f t="shared" si="207"/>
        <v>238261</v>
      </c>
    </row>
    <row r="6152" spans="7:14" ht="11.25" customHeight="1" x14ac:dyDescent="0.3">
      <c r="G6152" s="459"/>
      <c r="H6152" s="459">
        <v>6145</v>
      </c>
      <c r="I6152" s="444">
        <f t="shared" ca="1" si="205"/>
        <v>-4.2228927850836968E+16</v>
      </c>
      <c r="J6152" s="444">
        <f t="array" ref="J6152">IFERROR(INDEX('Retirement Calculator'!K:K,MATCH('Lorri 401b'!N6152,'Retirement Calculator'!A:A,0),0),0)</f>
        <v>0</v>
      </c>
      <c r="K6152" s="444">
        <f t="shared" ca="1" si="203"/>
        <v>-175953866045154.03</v>
      </c>
      <c r="L6152" s="444">
        <f t="shared" ca="1" si="204"/>
        <v>-4.240488171688212E+16</v>
      </c>
      <c r="M6152" s="460">
        <f t="shared" si="206"/>
        <v>0.05</v>
      </c>
      <c r="N6152" s="464">
        <f t="shared" si="207"/>
        <v>238292</v>
      </c>
    </row>
    <row r="6153" spans="7:14" ht="11.25" customHeight="1" x14ac:dyDescent="0.3">
      <c r="G6153" s="459"/>
      <c r="H6153" s="459">
        <v>6146</v>
      </c>
      <c r="I6153" s="444">
        <f t="shared" ca="1" si="205"/>
        <v>-4.240488171688212E+16</v>
      </c>
      <c r="J6153" s="444">
        <f t="array" ref="J6153">IFERROR(INDEX('Retirement Calculator'!K:K,MATCH('Lorri 401b'!N6153,'Retirement Calculator'!A:A,0),0),0)</f>
        <v>0</v>
      </c>
      <c r="K6153" s="444">
        <f t="shared" ca="1" si="203"/>
        <v>-176687007153675.5</v>
      </c>
      <c r="L6153" s="444">
        <f t="shared" ca="1" si="204"/>
        <v>-4.2581568724035792E+16</v>
      </c>
      <c r="M6153" s="460">
        <f t="shared" si="206"/>
        <v>0.05</v>
      </c>
      <c r="N6153" s="464">
        <f t="shared" si="207"/>
        <v>238322</v>
      </c>
    </row>
    <row r="6154" spans="7:14" ht="11.25" customHeight="1" x14ac:dyDescent="0.3">
      <c r="G6154" s="459"/>
      <c r="H6154" s="459">
        <v>6147</v>
      </c>
      <c r="I6154" s="444">
        <f t="shared" ca="1" si="205"/>
        <v>-4.2581568724035792E+16</v>
      </c>
      <c r="J6154" s="444">
        <f t="array" ref="J6154">IFERROR(INDEX('Retirement Calculator'!K:K,MATCH('Lorri 401b'!N6154,'Retirement Calculator'!A:A,0),0),0)</f>
        <v>0</v>
      </c>
      <c r="K6154" s="444">
        <f t="shared" ca="1" si="203"/>
        <v>-177423203016815.81</v>
      </c>
      <c r="L6154" s="444">
        <f t="shared" ca="1" si="204"/>
        <v>-4.2758991927052608E+16</v>
      </c>
      <c r="M6154" s="460">
        <f t="shared" si="206"/>
        <v>0.05</v>
      </c>
      <c r="N6154" s="464">
        <f t="shared" si="207"/>
        <v>238353</v>
      </c>
    </row>
    <row r="6155" spans="7:14" ht="11.25" customHeight="1" x14ac:dyDescent="0.3">
      <c r="G6155" s="459"/>
      <c r="H6155" s="459">
        <v>6148</v>
      </c>
      <c r="I6155" s="444">
        <f t="shared" ca="1" si="205"/>
        <v>-4.2758991927052608E+16</v>
      </c>
      <c r="J6155" s="444">
        <f t="array" ref="J6155">IFERROR(INDEX('Retirement Calculator'!K:K,MATCH('Lorri 401b'!N6155,'Retirement Calculator'!A:A,0),0),0)</f>
        <v>0</v>
      </c>
      <c r="K6155" s="444">
        <f t="shared" ca="1" si="203"/>
        <v>-178162466362719.19</v>
      </c>
      <c r="L6155" s="444">
        <f t="shared" ca="1" si="204"/>
        <v>-4.2937154393415328E+16</v>
      </c>
      <c r="M6155" s="460">
        <f t="shared" si="206"/>
        <v>0.05</v>
      </c>
      <c r="N6155" s="464">
        <f t="shared" si="207"/>
        <v>238384</v>
      </c>
    </row>
    <row r="6156" spans="7:14" ht="11.25" customHeight="1" x14ac:dyDescent="0.3">
      <c r="G6156" s="459"/>
      <c r="H6156" s="459">
        <v>6149</v>
      </c>
      <c r="I6156" s="444">
        <f t="shared" ca="1" si="205"/>
        <v>-4.2937154393415328E+16</v>
      </c>
      <c r="J6156" s="444">
        <f t="array" ref="J6156">IFERROR(INDEX('Retirement Calculator'!K:K,MATCH('Lorri 401b'!N6156,'Retirement Calculator'!A:A,0),0),0)</f>
        <v>0</v>
      </c>
      <c r="K6156" s="444">
        <f t="shared" ca="1" si="203"/>
        <v>-178904809972563.88</v>
      </c>
      <c r="L6156" s="444">
        <f t="shared" ca="1" si="204"/>
        <v>-4.3116059203387888E+16</v>
      </c>
      <c r="M6156" s="460">
        <f t="shared" si="206"/>
        <v>0.05</v>
      </c>
      <c r="N6156" s="464">
        <f t="shared" si="207"/>
        <v>238414</v>
      </c>
    </row>
    <row r="6157" spans="7:14" ht="11.25" customHeight="1" x14ac:dyDescent="0.3">
      <c r="G6157" s="459"/>
      <c r="H6157" s="459">
        <v>6150</v>
      </c>
      <c r="I6157" s="444">
        <f t="shared" ca="1" si="205"/>
        <v>-4.3116059203387888E+16</v>
      </c>
      <c r="J6157" s="444">
        <f t="array" ref="J6157">IFERROR(INDEX('Retirement Calculator'!K:K,MATCH('Lorri 401b'!N6157,'Retirement Calculator'!A:A,0),0),0)</f>
        <v>0</v>
      </c>
      <c r="K6157" s="444">
        <f t="shared" ca="1" si="203"/>
        <v>-179650246680782.88</v>
      </c>
      <c r="L6157" s="444">
        <f t="shared" ca="1" si="204"/>
        <v>-4.3295709450068672E+16</v>
      </c>
      <c r="M6157" s="460">
        <f t="shared" si="206"/>
        <v>0.05</v>
      </c>
      <c r="N6157" s="464">
        <f t="shared" si="207"/>
        <v>238445</v>
      </c>
    </row>
    <row r="6158" spans="7:14" ht="11.25" customHeight="1" x14ac:dyDescent="0.3">
      <c r="G6158" s="459"/>
      <c r="H6158" s="459">
        <v>6151</v>
      </c>
      <c r="I6158" s="444">
        <f t="shared" ca="1" si="205"/>
        <v>-4.3295709450068672E+16</v>
      </c>
      <c r="J6158" s="444">
        <f t="array" ref="J6158">IFERROR(INDEX('Retirement Calculator'!K:K,MATCH('Lorri 401b'!N6158,'Retirement Calculator'!A:A,0),0),0)</f>
        <v>0</v>
      </c>
      <c r="K6158" s="444">
        <f t="shared" ca="1" si="203"/>
        <v>-180398789375286.13</v>
      </c>
      <c r="L6158" s="444">
        <f t="shared" ca="1" si="204"/>
        <v>-4.347610823944396E+16</v>
      </c>
      <c r="M6158" s="460">
        <f t="shared" si="206"/>
        <v>0.05</v>
      </c>
      <c r="N6158" s="464">
        <f t="shared" si="207"/>
        <v>238475</v>
      </c>
    </row>
    <row r="6159" spans="7:14" ht="11.25" customHeight="1" x14ac:dyDescent="0.3">
      <c r="G6159" s="459"/>
      <c r="H6159" s="459">
        <v>6152</v>
      </c>
      <c r="I6159" s="444">
        <f t="shared" ca="1" si="205"/>
        <v>-4.347610823944396E+16</v>
      </c>
      <c r="J6159" s="444">
        <f t="array" ref="J6159">IFERROR(INDEX('Retirement Calculator'!K:K,MATCH('Lorri 401b'!N6159,'Retirement Calculator'!A:A,0),0),0)</f>
        <v>0</v>
      </c>
      <c r="K6159" s="444">
        <f t="shared" ca="1" si="203"/>
        <v>-181150450997683.16</v>
      </c>
      <c r="L6159" s="444">
        <f t="shared" ca="1" si="204"/>
        <v>-4.365725869044164E+16</v>
      </c>
      <c r="M6159" s="460">
        <f t="shared" si="206"/>
        <v>0.05</v>
      </c>
      <c r="N6159" s="464">
        <f t="shared" si="207"/>
        <v>238506</v>
      </c>
    </row>
    <row r="6160" spans="7:14" ht="11.25" customHeight="1" x14ac:dyDescent="0.3">
      <c r="G6160" s="459"/>
      <c r="H6160" s="459">
        <v>6153</v>
      </c>
      <c r="I6160" s="444">
        <f t="shared" ca="1" si="205"/>
        <v>-4.365725869044164E+16</v>
      </c>
      <c r="J6160" s="444">
        <f t="array" ref="J6160">IFERROR(INDEX('Retirement Calculator'!K:K,MATCH('Lorri 401b'!N6160,'Retirement Calculator'!A:A,0),0),0)</f>
        <v>0</v>
      </c>
      <c r="K6160" s="444">
        <f t="shared" ca="1" si="203"/>
        <v>-181905244543506.84</v>
      </c>
      <c r="L6160" s="444">
        <f t="shared" ca="1" si="204"/>
        <v>-4.3839163934985144E+16</v>
      </c>
      <c r="M6160" s="460">
        <f t="shared" si="206"/>
        <v>0.05</v>
      </c>
      <c r="N6160" s="464">
        <f t="shared" si="207"/>
        <v>238537</v>
      </c>
    </row>
    <row r="6161" spans="7:14" ht="11.25" customHeight="1" x14ac:dyDescent="0.3">
      <c r="G6161" s="459"/>
      <c r="H6161" s="459">
        <v>6154</v>
      </c>
      <c r="I6161" s="444">
        <f t="shared" ca="1" si="205"/>
        <v>-4.3839163934985144E+16</v>
      </c>
      <c r="J6161" s="444">
        <f t="array" ref="J6161">IFERROR(INDEX('Retirement Calculator'!K:K,MATCH('Lorri 401b'!N6161,'Retirement Calculator'!A:A,0),0),0)</f>
        <v>0</v>
      </c>
      <c r="K6161" s="444">
        <f t="shared" ca="1" si="203"/>
        <v>-182663183062438.09</v>
      </c>
      <c r="L6161" s="444">
        <f t="shared" ca="1" si="204"/>
        <v>-4.4021827118047584E+16</v>
      </c>
      <c r="M6161" s="460">
        <f t="shared" si="206"/>
        <v>0.05</v>
      </c>
      <c r="N6161" s="464">
        <f t="shared" si="207"/>
        <v>238565</v>
      </c>
    </row>
    <row r="6162" spans="7:14" ht="11.25" customHeight="1" x14ac:dyDescent="0.3">
      <c r="G6162" s="459"/>
      <c r="H6162" s="459">
        <v>6155</v>
      </c>
      <c r="I6162" s="444">
        <f t="shared" ca="1" si="205"/>
        <v>-4.4021827118047584E+16</v>
      </c>
      <c r="J6162" s="444">
        <f t="array" ref="J6162">IFERROR(INDEX('Retirement Calculator'!K:K,MATCH('Lorri 401b'!N6162,'Retirement Calculator'!A:A,0),0),0)</f>
        <v>0</v>
      </c>
      <c r="K6162" s="444">
        <f t="shared" ca="1" si="203"/>
        <v>-183424279658531.59</v>
      </c>
      <c r="L6162" s="444">
        <f t="shared" ca="1" si="204"/>
        <v>-4.4205251397706112E+16</v>
      </c>
      <c r="M6162" s="460">
        <f t="shared" si="206"/>
        <v>0.05</v>
      </c>
      <c r="N6162" s="464">
        <f t="shared" si="207"/>
        <v>238596</v>
      </c>
    </row>
    <row r="6163" spans="7:14" ht="11.25" customHeight="1" x14ac:dyDescent="0.3">
      <c r="G6163" s="459"/>
      <c r="H6163" s="459">
        <v>6156</v>
      </c>
      <c r="I6163" s="444">
        <f t="shared" ca="1" si="205"/>
        <v>-4.4205251397706112E+16</v>
      </c>
      <c r="J6163" s="444">
        <f t="array" ref="J6163">IFERROR(INDEX('Retirement Calculator'!K:K,MATCH('Lorri 401b'!N6163,'Retirement Calculator'!A:A,0),0),0)</f>
        <v>0</v>
      </c>
      <c r="K6163" s="444">
        <f t="shared" ca="1" si="203"/>
        <v>-184188547490442.13</v>
      </c>
      <c r="L6163" s="444">
        <f t="shared" ca="1" si="204"/>
        <v>-4.4389439945196552E+16</v>
      </c>
      <c r="M6163" s="460">
        <f t="shared" si="206"/>
        <v>0.05</v>
      </c>
      <c r="N6163" s="464">
        <f t="shared" si="207"/>
        <v>238626</v>
      </c>
    </row>
    <row r="6164" spans="7:14" ht="11.25" customHeight="1" x14ac:dyDescent="0.3">
      <c r="G6164" s="459"/>
      <c r="H6164" s="459">
        <v>6157</v>
      </c>
      <c r="I6164" s="444">
        <f t="shared" ca="1" si="205"/>
        <v>-4.4389439945196552E+16</v>
      </c>
      <c r="J6164" s="444">
        <f t="array" ref="J6164">IFERROR(INDEX('Retirement Calculator'!K:K,MATCH('Lorri 401b'!N6164,'Retirement Calculator'!A:A,0),0),0)</f>
        <v>0</v>
      </c>
      <c r="K6164" s="444">
        <f t="shared" ca="1" si="203"/>
        <v>-184955999771652.31</v>
      </c>
      <c r="L6164" s="444">
        <f t="shared" ca="1" si="204"/>
        <v>-4.4574395944968208E+16</v>
      </c>
      <c r="M6164" s="460">
        <f t="shared" si="206"/>
        <v>0.05</v>
      </c>
      <c r="N6164" s="464">
        <f t="shared" si="207"/>
        <v>238657</v>
      </c>
    </row>
    <row r="6165" spans="7:14" ht="11.25" customHeight="1" x14ac:dyDescent="0.3">
      <c r="G6165" s="459"/>
      <c r="H6165" s="459">
        <v>6158</v>
      </c>
      <c r="I6165" s="444">
        <f t="shared" ca="1" si="205"/>
        <v>-4.4574395944968208E+16</v>
      </c>
      <c r="J6165" s="444">
        <f t="array" ref="J6165">IFERROR(INDEX('Retirement Calculator'!K:K,MATCH('Lorri 401b'!N6165,'Retirement Calculator'!A:A,0),0),0)</f>
        <v>0</v>
      </c>
      <c r="K6165" s="444">
        <f t="shared" ca="1" si="203"/>
        <v>-185726649770700.88</v>
      </c>
      <c r="L6165" s="444">
        <f t="shared" ca="1" si="204"/>
        <v>-4.4760122594738912E+16</v>
      </c>
      <c r="M6165" s="460">
        <f t="shared" si="206"/>
        <v>0.05</v>
      </c>
      <c r="N6165" s="464">
        <f t="shared" si="207"/>
        <v>238687</v>
      </c>
    </row>
    <row r="6166" spans="7:14" ht="11.25" customHeight="1" x14ac:dyDescent="0.3">
      <c r="G6166" s="459"/>
      <c r="H6166" s="459">
        <v>6159</v>
      </c>
      <c r="I6166" s="444">
        <f t="shared" ca="1" si="205"/>
        <v>-4.4760122594738912E+16</v>
      </c>
      <c r="J6166" s="444">
        <f t="array" ref="J6166">IFERROR(INDEX('Retirement Calculator'!K:K,MATCH('Lorri 401b'!N6166,'Retirement Calculator'!A:A,0),0),0)</f>
        <v>0</v>
      </c>
      <c r="K6166" s="444">
        <f t="shared" ca="1" si="203"/>
        <v>-186500510811412.13</v>
      </c>
      <c r="L6166" s="444">
        <f t="shared" ca="1" si="204"/>
        <v>-4.4946623105550328E+16</v>
      </c>
      <c r="M6166" s="460">
        <f t="shared" si="206"/>
        <v>0.05</v>
      </c>
      <c r="N6166" s="464">
        <f t="shared" si="207"/>
        <v>238718</v>
      </c>
    </row>
    <row r="6167" spans="7:14" ht="11.25" customHeight="1" x14ac:dyDescent="0.3">
      <c r="G6167" s="459"/>
      <c r="H6167" s="459">
        <v>6160</v>
      </c>
      <c r="I6167" s="444">
        <f t="shared" ca="1" si="205"/>
        <v>-4.4946623105550328E+16</v>
      </c>
      <c r="J6167" s="444">
        <f t="array" ref="J6167">IFERROR(INDEX('Retirement Calculator'!K:K,MATCH('Lorri 401b'!N6167,'Retirement Calculator'!A:A,0),0),0)</f>
        <v>0</v>
      </c>
      <c r="K6167" s="444">
        <f t="shared" ca="1" si="203"/>
        <v>-187277596273126.38</v>
      </c>
      <c r="L6167" s="444">
        <f t="shared" ca="1" si="204"/>
        <v>-4.5133900701823456E+16</v>
      </c>
      <c r="M6167" s="460">
        <f t="shared" si="206"/>
        <v>0.05</v>
      </c>
      <c r="N6167" s="464">
        <f t="shared" si="207"/>
        <v>238749</v>
      </c>
    </row>
    <row r="6168" spans="7:14" ht="11.25" customHeight="1" x14ac:dyDescent="0.3">
      <c r="G6168" s="459"/>
      <c r="H6168" s="459">
        <v>6161</v>
      </c>
      <c r="I6168" s="444">
        <f t="shared" ca="1" si="205"/>
        <v>-4.5133900701823456E+16</v>
      </c>
      <c r="J6168" s="444">
        <f t="array" ref="J6168">IFERROR(INDEX('Retirement Calculator'!K:K,MATCH('Lorri 401b'!N6168,'Retirement Calculator'!A:A,0),0),0)</f>
        <v>0</v>
      </c>
      <c r="K6168" s="444">
        <f t="shared" ca="1" si="203"/>
        <v>-188057919590931.06</v>
      </c>
      <c r="L6168" s="444">
        <f t="shared" ca="1" si="204"/>
        <v>-4.5321958621414384E+16</v>
      </c>
      <c r="M6168" s="460">
        <f t="shared" si="206"/>
        <v>0.05</v>
      </c>
      <c r="N6168" s="464">
        <f t="shared" si="207"/>
        <v>238779</v>
      </c>
    </row>
    <row r="6169" spans="7:14" ht="11.25" customHeight="1" x14ac:dyDescent="0.3">
      <c r="G6169" s="459"/>
      <c r="H6169" s="459">
        <v>6162</v>
      </c>
      <c r="I6169" s="444">
        <f t="shared" ca="1" si="205"/>
        <v>-4.5321958621414384E+16</v>
      </c>
      <c r="J6169" s="444">
        <f t="array" ref="J6169">IFERROR(INDEX('Retirement Calculator'!K:K,MATCH('Lorri 401b'!N6169,'Retirement Calculator'!A:A,0),0),0)</f>
        <v>0</v>
      </c>
      <c r="K6169" s="444">
        <f t="shared" ca="1" si="203"/>
        <v>-188841494255893.25</v>
      </c>
      <c r="L6169" s="444">
        <f t="shared" ca="1" si="204"/>
        <v>-4.551080011567028E+16</v>
      </c>
      <c r="M6169" s="460">
        <f t="shared" si="206"/>
        <v>0.05</v>
      </c>
      <c r="N6169" s="464">
        <f t="shared" si="207"/>
        <v>238810</v>
      </c>
    </row>
    <row r="6170" spans="7:14" ht="11.25" customHeight="1" x14ac:dyDescent="0.3">
      <c r="G6170" s="459"/>
      <c r="H6170" s="459">
        <v>6163</v>
      </c>
      <c r="I6170" s="444">
        <f t="shared" ca="1" si="205"/>
        <v>-4.551080011567028E+16</v>
      </c>
      <c r="J6170" s="444">
        <f t="array" ref="J6170">IFERROR(INDEX('Retirement Calculator'!K:K,MATCH('Lorri 401b'!N6170,'Retirement Calculator'!A:A,0),0),0)</f>
        <v>0</v>
      </c>
      <c r="K6170" s="444">
        <f t="shared" ca="1" si="203"/>
        <v>-189628333815292.84</v>
      </c>
      <c r="L6170" s="444">
        <f t="shared" ca="1" si="204"/>
        <v>-4.5700428449485576E+16</v>
      </c>
      <c r="M6170" s="460">
        <f t="shared" si="206"/>
        <v>0.05</v>
      </c>
      <c r="N6170" s="464">
        <f t="shared" si="207"/>
        <v>238840</v>
      </c>
    </row>
    <row r="6171" spans="7:14" ht="11.25" customHeight="1" x14ac:dyDescent="0.3">
      <c r="G6171" s="459"/>
      <c r="H6171" s="459">
        <v>6164</v>
      </c>
      <c r="I6171" s="444">
        <f t="shared" ca="1" si="205"/>
        <v>-4.5700428449485576E+16</v>
      </c>
      <c r="J6171" s="444">
        <f t="array" ref="J6171">IFERROR(INDEX('Retirement Calculator'!K:K,MATCH('Lorri 401b'!N6171,'Retirement Calculator'!A:A,0),0),0)</f>
        <v>0</v>
      </c>
      <c r="K6171" s="444">
        <f t="shared" ca="1" si="203"/>
        <v>-190418451872856.56</v>
      </c>
      <c r="L6171" s="444">
        <f t="shared" ca="1" si="204"/>
        <v>-4.5890846901358432E+16</v>
      </c>
      <c r="M6171" s="460">
        <f t="shared" si="206"/>
        <v>0.05</v>
      </c>
      <c r="N6171" s="464">
        <f t="shared" si="207"/>
        <v>238871</v>
      </c>
    </row>
    <row r="6172" spans="7:14" ht="11.25" customHeight="1" x14ac:dyDescent="0.3">
      <c r="G6172" s="459"/>
      <c r="H6172" s="459">
        <v>6165</v>
      </c>
      <c r="I6172" s="444">
        <f t="shared" ca="1" si="205"/>
        <v>-4.5890846901358432E+16</v>
      </c>
      <c r="J6172" s="444">
        <f t="array" ref="J6172">IFERROR(INDEX('Retirement Calculator'!K:K,MATCH('Lorri 401b'!N6172,'Retirement Calculator'!A:A,0),0),0)</f>
        <v>0</v>
      </c>
      <c r="K6172" s="444">
        <f t="shared" ca="1" si="203"/>
        <v>-191211862088993.47</v>
      </c>
      <c r="L6172" s="444">
        <f t="shared" ca="1" si="204"/>
        <v>-4.6082058763447424E+16</v>
      </c>
      <c r="M6172" s="460">
        <f t="shared" si="206"/>
        <v>0.05</v>
      </c>
      <c r="N6172" s="464">
        <f t="shared" si="207"/>
        <v>238902</v>
      </c>
    </row>
    <row r="6173" spans="7:14" ht="11.25" customHeight="1" x14ac:dyDescent="0.3">
      <c r="G6173" s="459"/>
      <c r="H6173" s="459">
        <v>6166</v>
      </c>
      <c r="I6173" s="444">
        <f t="shared" ca="1" si="205"/>
        <v>-4.6082058763447424E+16</v>
      </c>
      <c r="J6173" s="444">
        <f t="array" ref="J6173">IFERROR(INDEX('Retirement Calculator'!K:K,MATCH('Lorri 401b'!N6173,'Retirement Calculator'!A:A,0),0),0)</f>
        <v>0</v>
      </c>
      <c r="K6173" s="444">
        <f t="shared" ca="1" si="203"/>
        <v>-192008578181030.94</v>
      </c>
      <c r="L6173" s="444">
        <f t="shared" ca="1" si="204"/>
        <v>-4.6274067341628456E+16</v>
      </c>
      <c r="M6173" s="460">
        <f t="shared" si="206"/>
        <v>0.05</v>
      </c>
      <c r="N6173" s="464">
        <f t="shared" si="207"/>
        <v>238930</v>
      </c>
    </row>
    <row r="6174" spans="7:14" ht="11.25" customHeight="1" x14ac:dyDescent="0.3">
      <c r="G6174" s="459"/>
      <c r="H6174" s="459">
        <v>6167</v>
      </c>
      <c r="I6174" s="444">
        <f t="shared" ca="1" si="205"/>
        <v>-4.6274067341628456E+16</v>
      </c>
      <c r="J6174" s="444">
        <f t="array" ref="J6174">IFERROR(INDEX('Retirement Calculator'!K:K,MATCH('Lorri 401b'!N6174,'Retirement Calculator'!A:A,0),0),0)</f>
        <v>0</v>
      </c>
      <c r="K6174" s="444">
        <f t="shared" ca="1" si="203"/>
        <v>-192808613923451.91</v>
      </c>
      <c r="L6174" s="444">
        <f t="shared" ca="1" si="204"/>
        <v>-4.6466875955551904E+16</v>
      </c>
      <c r="M6174" s="460">
        <f t="shared" si="206"/>
        <v>0.05</v>
      </c>
      <c r="N6174" s="464">
        <f t="shared" si="207"/>
        <v>238961</v>
      </c>
    </row>
    <row r="6175" spans="7:14" ht="11.25" customHeight="1" x14ac:dyDescent="0.3">
      <c r="G6175" s="459"/>
      <c r="H6175" s="459">
        <v>6168</v>
      </c>
      <c r="I6175" s="444">
        <f t="shared" ca="1" si="205"/>
        <v>-4.6466875955551904E+16</v>
      </c>
      <c r="J6175" s="444">
        <f t="array" ref="J6175">IFERROR(INDEX('Retirement Calculator'!K:K,MATCH('Lorri 401b'!N6175,'Retirement Calculator'!A:A,0),0),0)</f>
        <v>0</v>
      </c>
      <c r="K6175" s="444">
        <f t="shared" ca="1" si="203"/>
        <v>-193611983148132.94</v>
      </c>
      <c r="L6175" s="444">
        <f t="shared" ca="1" si="204"/>
        <v>-4.666048793870004E+16</v>
      </c>
      <c r="M6175" s="460">
        <f t="shared" si="206"/>
        <v>0.05</v>
      </c>
      <c r="N6175" s="464">
        <f t="shared" si="207"/>
        <v>238991</v>
      </c>
    </row>
    <row r="6176" spans="7:14" ht="11.25" customHeight="1" x14ac:dyDescent="0.3">
      <c r="G6176" s="459"/>
      <c r="H6176" s="459">
        <v>6169</v>
      </c>
      <c r="I6176" s="444">
        <f t="shared" ca="1" si="205"/>
        <v>-4.666048793870004E+16</v>
      </c>
      <c r="J6176" s="444">
        <f t="array" ref="J6176">IFERROR(INDEX('Retirement Calculator'!K:K,MATCH('Lorri 401b'!N6176,'Retirement Calculator'!A:A,0),0),0)</f>
        <v>0</v>
      </c>
      <c r="K6176" s="444">
        <f t="shared" ca="1" si="203"/>
        <v>-194418699744583.5</v>
      </c>
      <c r="L6176" s="444">
        <f t="shared" ca="1" si="204"/>
        <v>-4.6854906638444624E+16</v>
      </c>
      <c r="M6176" s="460">
        <f t="shared" si="206"/>
        <v>0.05</v>
      </c>
      <c r="N6176" s="464">
        <f t="shared" si="207"/>
        <v>239022</v>
      </c>
    </row>
    <row r="6177" spans="7:14" ht="11.25" customHeight="1" x14ac:dyDescent="0.3">
      <c r="G6177" s="459"/>
      <c r="H6177" s="459">
        <v>6170</v>
      </c>
      <c r="I6177" s="444">
        <f t="shared" ca="1" si="205"/>
        <v>-4.6854906638444624E+16</v>
      </c>
      <c r="J6177" s="444">
        <f t="array" ref="J6177">IFERROR(INDEX('Retirement Calculator'!K:K,MATCH('Lorri 401b'!N6177,'Retirement Calculator'!A:A,0),0),0)</f>
        <v>0</v>
      </c>
      <c r="K6177" s="444">
        <f t="shared" ca="1" si="203"/>
        <v>-195228777660185.94</v>
      </c>
      <c r="L6177" s="444">
        <f t="shared" ca="1" si="204"/>
        <v>-4.7050135416104808E+16</v>
      </c>
      <c r="M6177" s="460">
        <f t="shared" si="206"/>
        <v>0.05</v>
      </c>
      <c r="N6177" s="464">
        <f t="shared" si="207"/>
        <v>239052</v>
      </c>
    </row>
    <row r="6178" spans="7:14" ht="11.25" customHeight="1" x14ac:dyDescent="0.3">
      <c r="G6178" s="459"/>
      <c r="H6178" s="459">
        <v>6171</v>
      </c>
      <c r="I6178" s="444">
        <f t="shared" ca="1" si="205"/>
        <v>-4.7050135416104808E+16</v>
      </c>
      <c r="J6178" s="444">
        <f t="array" ref="J6178">IFERROR(INDEX('Retirement Calculator'!K:K,MATCH('Lorri 401b'!N6178,'Retirement Calculator'!A:A,0),0),0)</f>
        <v>0</v>
      </c>
      <c r="K6178" s="444">
        <f t="shared" ca="1" si="203"/>
        <v>-196042230900436.69</v>
      </c>
      <c r="L6178" s="444">
        <f t="shared" ca="1" si="204"/>
        <v>-4.7246177647005248E+16</v>
      </c>
      <c r="M6178" s="460">
        <f t="shared" si="206"/>
        <v>0.05</v>
      </c>
      <c r="N6178" s="464">
        <f t="shared" si="207"/>
        <v>239083</v>
      </c>
    </row>
    <row r="6179" spans="7:14" ht="11.25" customHeight="1" x14ac:dyDescent="0.3">
      <c r="G6179" s="459"/>
      <c r="H6179" s="459">
        <v>6172</v>
      </c>
      <c r="I6179" s="444">
        <f t="shared" ca="1" si="205"/>
        <v>-4.7246177647005248E+16</v>
      </c>
      <c r="J6179" s="444">
        <f t="array" ref="J6179">IFERROR(INDEX('Retirement Calculator'!K:K,MATCH('Lorri 401b'!N6179,'Retirement Calculator'!A:A,0),0),0)</f>
        <v>0</v>
      </c>
      <c r="K6179" s="444">
        <f t="shared" ca="1" si="203"/>
        <v>-196859073529188.53</v>
      </c>
      <c r="L6179" s="444">
        <f t="shared" ca="1" si="204"/>
        <v>-4.744303672053444E+16</v>
      </c>
      <c r="M6179" s="460">
        <f t="shared" si="206"/>
        <v>0.05</v>
      </c>
      <c r="N6179" s="464">
        <f t="shared" si="207"/>
        <v>239114</v>
      </c>
    </row>
    <row r="6180" spans="7:14" ht="11.25" customHeight="1" x14ac:dyDescent="0.3">
      <c r="G6180" s="459"/>
      <c r="H6180" s="459">
        <v>6173</v>
      </c>
      <c r="I6180" s="444">
        <f t="shared" ca="1" si="205"/>
        <v>-4.744303672053444E+16</v>
      </c>
      <c r="J6180" s="444">
        <f t="array" ref="J6180">IFERROR(INDEX('Retirement Calculator'!K:K,MATCH('Lorri 401b'!N6180,'Retirement Calculator'!A:A,0),0),0)</f>
        <v>0</v>
      </c>
      <c r="K6180" s="444">
        <f t="shared" ca="1" si="203"/>
        <v>-197679319668893.5</v>
      </c>
      <c r="L6180" s="444">
        <f t="shared" ca="1" si="204"/>
        <v>-4.7640716040203336E+16</v>
      </c>
      <c r="M6180" s="460">
        <f t="shared" si="206"/>
        <v>0.05</v>
      </c>
      <c r="N6180" s="464">
        <f t="shared" si="207"/>
        <v>239144</v>
      </c>
    </row>
    <row r="6181" spans="7:14" ht="11.25" customHeight="1" x14ac:dyDescent="0.3">
      <c r="G6181" s="459"/>
      <c r="H6181" s="459">
        <v>6174</v>
      </c>
      <c r="I6181" s="444">
        <f t="shared" ca="1" si="205"/>
        <v>-4.7640716040203336E+16</v>
      </c>
      <c r="J6181" s="444">
        <f t="array" ref="J6181">IFERROR(INDEX('Retirement Calculator'!K:K,MATCH('Lorri 401b'!N6181,'Retirement Calculator'!A:A,0),0),0)</f>
        <v>0</v>
      </c>
      <c r="K6181" s="444">
        <f t="shared" ca="1" si="203"/>
        <v>-198502983500847.22</v>
      </c>
      <c r="L6181" s="444">
        <f t="shared" ca="1" si="204"/>
        <v>-4.7839219023704184E+16</v>
      </c>
      <c r="M6181" s="460">
        <f t="shared" si="206"/>
        <v>0.05</v>
      </c>
      <c r="N6181" s="464">
        <f t="shared" si="207"/>
        <v>239175</v>
      </c>
    </row>
    <row r="6182" spans="7:14" ht="11.25" customHeight="1" x14ac:dyDescent="0.3">
      <c r="G6182" s="459"/>
      <c r="H6182" s="459">
        <v>6175</v>
      </c>
      <c r="I6182" s="444">
        <f t="shared" ca="1" si="205"/>
        <v>-4.7839219023704184E+16</v>
      </c>
      <c r="J6182" s="444">
        <f t="array" ref="J6182">IFERROR(INDEX('Retirement Calculator'!K:K,MATCH('Lorri 401b'!N6182,'Retirement Calculator'!A:A,0),0),0)</f>
        <v>0</v>
      </c>
      <c r="K6182" s="444">
        <f t="shared" ca="1" si="203"/>
        <v>-199330079265434.09</v>
      </c>
      <c r="L6182" s="444">
        <f t="shared" ca="1" si="204"/>
        <v>-4.8038549102969616E+16</v>
      </c>
      <c r="M6182" s="460">
        <f t="shared" si="206"/>
        <v>0.05</v>
      </c>
      <c r="N6182" s="464">
        <f t="shared" si="207"/>
        <v>239205</v>
      </c>
    </row>
    <row r="6183" spans="7:14" ht="11.25" customHeight="1" x14ac:dyDescent="0.3">
      <c r="G6183" s="459"/>
      <c r="H6183" s="459">
        <v>6176</v>
      </c>
      <c r="I6183" s="444">
        <f t="shared" ca="1" si="205"/>
        <v>-4.8038549102969616E+16</v>
      </c>
      <c r="J6183" s="444">
        <f t="array" ref="J6183">IFERROR(INDEX('Retirement Calculator'!K:K,MATCH('Lorri 401b'!N6183,'Retirement Calculator'!A:A,0),0),0)</f>
        <v>0</v>
      </c>
      <c r="K6183" s="444">
        <f t="shared" ca="1" si="203"/>
        <v>-200160621262373.41</v>
      </c>
      <c r="L6183" s="444">
        <f t="shared" ca="1" si="204"/>
        <v>-4.8238709724231992E+16</v>
      </c>
      <c r="M6183" s="460">
        <f t="shared" si="206"/>
        <v>0.05</v>
      </c>
      <c r="N6183" s="464">
        <f t="shared" si="207"/>
        <v>239236</v>
      </c>
    </row>
    <row r="6184" spans="7:14" ht="11.25" customHeight="1" x14ac:dyDescent="0.3">
      <c r="G6184" s="459"/>
      <c r="H6184" s="459">
        <v>6177</v>
      </c>
      <c r="I6184" s="444">
        <f t="shared" ca="1" si="205"/>
        <v>-4.8238709724231992E+16</v>
      </c>
      <c r="J6184" s="444">
        <f t="array" ref="J6184">IFERROR(INDEX('Retirement Calculator'!K:K,MATCH('Lorri 401b'!N6184,'Retirement Calculator'!A:A,0),0),0)</f>
        <v>0</v>
      </c>
      <c r="K6184" s="444">
        <f t="shared" ca="1" si="203"/>
        <v>-200994623850966.63</v>
      </c>
      <c r="L6184" s="444">
        <f t="shared" ca="1" si="204"/>
        <v>-4.843970434808296E+16</v>
      </c>
      <c r="M6184" s="460">
        <f t="shared" si="206"/>
        <v>0.05</v>
      </c>
      <c r="N6184" s="464">
        <f t="shared" si="207"/>
        <v>239267</v>
      </c>
    </row>
    <row r="6185" spans="7:14" ht="11.25" customHeight="1" x14ac:dyDescent="0.3">
      <c r="G6185" s="459"/>
      <c r="H6185" s="459">
        <v>6178</v>
      </c>
      <c r="I6185" s="444">
        <f t="shared" ca="1" si="205"/>
        <v>-4.843970434808296E+16</v>
      </c>
      <c r="J6185" s="444">
        <f t="array" ref="J6185">IFERROR(INDEX('Retirement Calculator'!K:K,MATCH('Lorri 401b'!N6185,'Retirement Calculator'!A:A,0),0),0)</f>
        <v>0</v>
      </c>
      <c r="K6185" s="444">
        <f t="shared" ca="1" si="203"/>
        <v>-201832101450345.66</v>
      </c>
      <c r="L6185" s="444">
        <f t="shared" ca="1" si="204"/>
        <v>-4.8641536449533304E+16</v>
      </c>
      <c r="M6185" s="460">
        <f t="shared" si="206"/>
        <v>0.05</v>
      </c>
      <c r="N6185" s="464">
        <f t="shared" si="207"/>
        <v>239295</v>
      </c>
    </row>
    <row r="6186" spans="7:14" ht="11.25" customHeight="1" x14ac:dyDescent="0.3">
      <c r="G6186" s="459"/>
      <c r="H6186" s="459">
        <v>6179</v>
      </c>
      <c r="I6186" s="444">
        <f t="shared" ca="1" si="205"/>
        <v>-4.8641536449533304E+16</v>
      </c>
      <c r="J6186" s="444">
        <f t="array" ref="J6186">IFERROR(INDEX('Retirement Calculator'!K:K,MATCH('Lorri 401b'!N6186,'Retirement Calculator'!A:A,0),0),0)</f>
        <v>0</v>
      </c>
      <c r="K6186" s="444">
        <f t="shared" ca="1" si="203"/>
        <v>-202673068539722.09</v>
      </c>
      <c r="L6186" s="444">
        <f t="shared" ca="1" si="204"/>
        <v>-4.8844209518073024E+16</v>
      </c>
      <c r="M6186" s="460">
        <f t="shared" si="206"/>
        <v>0.05</v>
      </c>
      <c r="N6186" s="464">
        <f t="shared" si="207"/>
        <v>239326</v>
      </c>
    </row>
    <row r="6187" spans="7:14" ht="11.25" customHeight="1" x14ac:dyDescent="0.3">
      <c r="G6187" s="459"/>
      <c r="H6187" s="459">
        <v>6180</v>
      </c>
      <c r="I6187" s="444">
        <f t="shared" ca="1" si="205"/>
        <v>-4.8844209518073024E+16</v>
      </c>
      <c r="J6187" s="444">
        <f t="array" ref="J6187">IFERROR(INDEX('Retirement Calculator'!K:K,MATCH('Lorri 401b'!N6187,'Retirement Calculator'!A:A,0),0),0)</f>
        <v>0</v>
      </c>
      <c r="K6187" s="444">
        <f t="shared" ca="1" si="203"/>
        <v>-203517539658637.59</v>
      </c>
      <c r="L6187" s="444">
        <f t="shared" ca="1" si="204"/>
        <v>-4.9047727057731664E+16</v>
      </c>
      <c r="M6187" s="460">
        <f t="shared" si="206"/>
        <v>0.05</v>
      </c>
      <c r="N6187" s="464">
        <f t="shared" si="207"/>
        <v>239356</v>
      </c>
    </row>
    <row r="6188" spans="7:14" ht="11.25" customHeight="1" x14ac:dyDescent="0.3">
      <c r="G6188" s="459"/>
      <c r="H6188" s="459">
        <v>6181</v>
      </c>
      <c r="I6188" s="444">
        <f t="shared" ca="1" si="205"/>
        <v>-4.9047727057731664E+16</v>
      </c>
      <c r="J6188" s="444">
        <f t="array" ref="J6188">IFERROR(INDEX('Retirement Calculator'!K:K,MATCH('Lorri 401b'!N6188,'Retirement Calculator'!A:A,0),0),0)</f>
        <v>0</v>
      </c>
      <c r="K6188" s="444">
        <f t="shared" ca="1" si="203"/>
        <v>-204365529407215.25</v>
      </c>
      <c r="L6188" s="444">
        <f t="shared" ca="1" si="204"/>
        <v>-4.925209258713888E+16</v>
      </c>
      <c r="M6188" s="460">
        <f t="shared" si="206"/>
        <v>0.05</v>
      </c>
      <c r="N6188" s="464">
        <f t="shared" si="207"/>
        <v>239387</v>
      </c>
    </row>
    <row r="6189" spans="7:14" ht="11.25" customHeight="1" x14ac:dyDescent="0.3">
      <c r="G6189" s="459"/>
      <c r="H6189" s="459">
        <v>6182</v>
      </c>
      <c r="I6189" s="444">
        <f t="shared" ca="1" si="205"/>
        <v>-4.925209258713888E+16</v>
      </c>
      <c r="J6189" s="444">
        <f t="array" ref="J6189">IFERROR(INDEX('Retirement Calculator'!K:K,MATCH('Lorri 401b'!N6189,'Retirement Calculator'!A:A,0),0),0)</f>
        <v>0</v>
      </c>
      <c r="K6189" s="444">
        <f t="shared" ca="1" si="203"/>
        <v>-205217052446412</v>
      </c>
      <c r="L6189" s="444">
        <f t="shared" ca="1" si="204"/>
        <v>-4.9457309639585296E+16</v>
      </c>
      <c r="M6189" s="460">
        <f t="shared" si="206"/>
        <v>0.05</v>
      </c>
      <c r="N6189" s="464">
        <f t="shared" si="207"/>
        <v>239417</v>
      </c>
    </row>
    <row r="6190" spans="7:14" ht="11.25" customHeight="1" x14ac:dyDescent="0.3">
      <c r="G6190" s="459"/>
      <c r="H6190" s="459">
        <v>6183</v>
      </c>
      <c r="I6190" s="444">
        <f t="shared" ca="1" si="205"/>
        <v>-4.9457309639585296E+16</v>
      </c>
      <c r="J6190" s="444">
        <f t="array" ref="J6190">IFERROR(INDEX('Retirement Calculator'!K:K,MATCH('Lorri 401b'!N6190,'Retirement Calculator'!A:A,0),0),0)</f>
        <v>0</v>
      </c>
      <c r="K6190" s="444">
        <f t="shared" ca="1" si="203"/>
        <v>-206072123498272.06</v>
      </c>
      <c r="L6190" s="444">
        <f t="shared" ca="1" si="204"/>
        <v>-4.9663381763083568E+16</v>
      </c>
      <c r="M6190" s="460">
        <f t="shared" si="206"/>
        <v>0.05</v>
      </c>
      <c r="N6190" s="464">
        <f t="shared" si="207"/>
        <v>239448</v>
      </c>
    </row>
    <row r="6191" spans="7:14" ht="11.25" customHeight="1" x14ac:dyDescent="0.3">
      <c r="G6191" s="459"/>
      <c r="H6191" s="459">
        <v>6184</v>
      </c>
      <c r="I6191" s="444">
        <f t="shared" ca="1" si="205"/>
        <v>-4.9663381763083568E+16</v>
      </c>
      <c r="J6191" s="444">
        <f t="array" ref="J6191">IFERROR(INDEX('Retirement Calculator'!K:K,MATCH('Lorri 401b'!N6191,'Retirement Calculator'!A:A,0),0),0)</f>
        <v>0</v>
      </c>
      <c r="K6191" s="444">
        <f t="shared" ca="1" si="203"/>
        <v>-206930757346181.53</v>
      </c>
      <c r="L6191" s="444">
        <f t="shared" ca="1" si="204"/>
        <v>-4.9870312520429752E+16</v>
      </c>
      <c r="M6191" s="460">
        <f t="shared" si="206"/>
        <v>0.05</v>
      </c>
      <c r="N6191" s="464">
        <f t="shared" si="207"/>
        <v>239479</v>
      </c>
    </row>
    <row r="6192" spans="7:14" ht="11.25" customHeight="1" x14ac:dyDescent="0.3">
      <c r="G6192" s="459"/>
      <c r="H6192" s="459">
        <v>6185</v>
      </c>
      <c r="I6192" s="444">
        <f t="shared" ca="1" si="205"/>
        <v>-4.9870312520429752E+16</v>
      </c>
      <c r="J6192" s="444">
        <f t="array" ref="J6192">IFERROR(INDEX('Retirement Calculator'!K:K,MATCH('Lorri 401b'!N6192,'Retirement Calculator'!A:A,0),0),0)</f>
        <v>0</v>
      </c>
      <c r="K6192" s="444">
        <f t="shared" ca="1" si="203"/>
        <v>-207792968835123.97</v>
      </c>
      <c r="L6192" s="444">
        <f t="shared" ca="1" si="204"/>
        <v>-5.0078105489264872E+16</v>
      </c>
      <c r="M6192" s="460">
        <f t="shared" si="206"/>
        <v>0.05</v>
      </c>
      <c r="N6192" s="464">
        <f t="shared" si="207"/>
        <v>239509</v>
      </c>
    </row>
    <row r="6193" spans="7:14" ht="11.25" customHeight="1" x14ac:dyDescent="0.3">
      <c r="G6193" s="459"/>
      <c r="H6193" s="459">
        <v>6186</v>
      </c>
      <c r="I6193" s="444">
        <f t="shared" ca="1" si="205"/>
        <v>-5.0078105489264872E+16</v>
      </c>
      <c r="J6193" s="444">
        <f t="array" ref="J6193">IFERROR(INDEX('Retirement Calculator'!K:K,MATCH('Lorri 401b'!N6193,'Retirement Calculator'!A:A,0),0),0)</f>
        <v>0</v>
      </c>
      <c r="K6193" s="444">
        <f t="shared" ca="1" si="203"/>
        <v>-208658772871936.97</v>
      </c>
      <c r="L6193" s="444">
        <f t="shared" ca="1" si="204"/>
        <v>-5.0286764262136808E+16</v>
      </c>
      <c r="M6193" s="460">
        <f t="shared" si="206"/>
        <v>0.05</v>
      </c>
      <c r="N6193" s="464">
        <f t="shared" si="207"/>
        <v>239540</v>
      </c>
    </row>
    <row r="6194" spans="7:14" ht="11.25" customHeight="1" x14ac:dyDescent="0.3">
      <c r="G6194" s="459"/>
      <c r="H6194" s="459">
        <v>6187</v>
      </c>
      <c r="I6194" s="444">
        <f t="shared" ca="1" si="205"/>
        <v>-5.0286764262136808E+16</v>
      </c>
      <c r="J6194" s="444">
        <f t="array" ref="J6194">IFERROR(INDEX('Retirement Calculator'!K:K,MATCH('Lorri 401b'!N6194,'Retirement Calculator'!A:A,0),0),0)</f>
        <v>0</v>
      </c>
      <c r="K6194" s="444">
        <f t="shared" ca="1" si="203"/>
        <v>-209528184425570.03</v>
      </c>
      <c r="L6194" s="444">
        <f t="shared" ca="1" si="204"/>
        <v>-5.0496292446562376E+16</v>
      </c>
      <c r="M6194" s="460">
        <f t="shared" si="206"/>
        <v>0.05</v>
      </c>
      <c r="N6194" s="464">
        <f t="shared" si="207"/>
        <v>239570</v>
      </c>
    </row>
    <row r="6195" spans="7:14" ht="11.25" customHeight="1" x14ac:dyDescent="0.3">
      <c r="G6195" s="459"/>
      <c r="H6195" s="459">
        <v>6188</v>
      </c>
      <c r="I6195" s="444">
        <f t="shared" ca="1" si="205"/>
        <v>-5.0496292446562376E+16</v>
      </c>
      <c r="J6195" s="444">
        <f t="array" ref="J6195">IFERROR(INDEX('Retirement Calculator'!K:K,MATCH('Lorri 401b'!N6195,'Retirement Calculator'!A:A,0),0),0)</f>
        <v>0</v>
      </c>
      <c r="K6195" s="444">
        <f t="shared" ca="1" si="203"/>
        <v>-210401218527343.22</v>
      </c>
      <c r="L6195" s="444">
        <f t="shared" ca="1" si="204"/>
        <v>-5.070669366508972E+16</v>
      </c>
      <c r="M6195" s="460">
        <f t="shared" si="206"/>
        <v>0.05</v>
      </c>
      <c r="N6195" s="464">
        <f t="shared" si="207"/>
        <v>239601</v>
      </c>
    </row>
    <row r="6196" spans="7:14" ht="11.25" customHeight="1" x14ac:dyDescent="0.3">
      <c r="G6196" s="459"/>
      <c r="H6196" s="459">
        <v>6189</v>
      </c>
      <c r="I6196" s="444">
        <f t="shared" ca="1" si="205"/>
        <v>-5.070669366508972E+16</v>
      </c>
      <c r="J6196" s="444">
        <f t="array" ref="J6196">IFERROR(INDEX('Retirement Calculator'!K:K,MATCH('Lorri 401b'!N6196,'Retirement Calculator'!A:A,0),0),0)</f>
        <v>0</v>
      </c>
      <c r="K6196" s="444">
        <f t="shared" ca="1" si="203"/>
        <v>-211277890271207.16</v>
      </c>
      <c r="L6196" s="444">
        <f t="shared" ca="1" si="204"/>
        <v>-5.0917971555360928E+16</v>
      </c>
      <c r="M6196" s="460">
        <f t="shared" si="206"/>
        <v>0.05</v>
      </c>
      <c r="N6196" s="464">
        <f t="shared" si="207"/>
        <v>239632</v>
      </c>
    </row>
    <row r="6197" spans="7:14" ht="11.25" customHeight="1" x14ac:dyDescent="0.3">
      <c r="G6197" s="459"/>
      <c r="H6197" s="459">
        <v>6190</v>
      </c>
      <c r="I6197" s="444">
        <f t="shared" ca="1" si="205"/>
        <v>-5.0917971555360928E+16</v>
      </c>
      <c r="J6197" s="444">
        <f t="array" ref="J6197">IFERROR(INDEX('Retirement Calculator'!K:K,MATCH('Lorri 401b'!N6197,'Retirement Calculator'!A:A,0),0),0)</f>
        <v>0</v>
      </c>
      <c r="K6197" s="444">
        <f t="shared" ca="1" si="203"/>
        <v>-212158214814003.88</v>
      </c>
      <c r="L6197" s="444">
        <f t="shared" ca="1" si="204"/>
        <v>-5.1130129770174928E+16</v>
      </c>
      <c r="M6197" s="460">
        <f t="shared" si="206"/>
        <v>0.05</v>
      </c>
      <c r="N6197" s="464">
        <f t="shared" si="207"/>
        <v>239661</v>
      </c>
    </row>
    <row r="6198" spans="7:14" ht="11.25" customHeight="1" x14ac:dyDescent="0.3">
      <c r="G6198" s="459"/>
      <c r="H6198" s="459">
        <v>6191</v>
      </c>
      <c r="I6198" s="444">
        <f t="shared" ca="1" si="205"/>
        <v>-5.1130129770174928E+16</v>
      </c>
      <c r="J6198" s="444">
        <f t="array" ref="J6198">IFERROR(INDEX('Retirement Calculator'!K:K,MATCH('Lorri 401b'!N6198,'Retirement Calculator'!A:A,0),0),0)</f>
        <v>0</v>
      </c>
      <c r="K6198" s="444">
        <f t="shared" ca="1" si="203"/>
        <v>-213042207375728.88</v>
      </c>
      <c r="L6198" s="444">
        <f t="shared" ca="1" si="204"/>
        <v>-5.1343171977550656E+16</v>
      </c>
      <c r="M6198" s="460">
        <f t="shared" si="206"/>
        <v>0.05</v>
      </c>
      <c r="N6198" s="464">
        <f t="shared" si="207"/>
        <v>239692</v>
      </c>
    </row>
    <row r="6199" spans="7:14" ht="11.25" customHeight="1" x14ac:dyDescent="0.3">
      <c r="G6199" s="459"/>
      <c r="H6199" s="459">
        <v>6192</v>
      </c>
      <c r="I6199" s="444">
        <f t="shared" ca="1" si="205"/>
        <v>-5.1343171977550656E+16</v>
      </c>
      <c r="J6199" s="444">
        <f t="array" ref="J6199">IFERROR(INDEX('Retirement Calculator'!K:K,MATCH('Lorri 401b'!N6199,'Retirement Calculator'!A:A,0),0),0)</f>
        <v>0</v>
      </c>
      <c r="K6199" s="444">
        <f t="shared" ca="1" si="203"/>
        <v>-213929883239794.41</v>
      </c>
      <c r="L6199" s="444">
        <f t="shared" ca="1" si="204"/>
        <v>-5.1557101860790448E+16</v>
      </c>
      <c r="M6199" s="460">
        <f t="shared" si="206"/>
        <v>0.05</v>
      </c>
      <c r="N6199" s="464">
        <f t="shared" si="207"/>
        <v>239722</v>
      </c>
    </row>
    <row r="6200" spans="7:14" ht="11.25" customHeight="1" x14ac:dyDescent="0.3">
      <c r="G6200" s="459"/>
      <c r="H6200" s="459">
        <v>6193</v>
      </c>
      <c r="I6200" s="444">
        <f t="shared" ca="1" si="205"/>
        <v>-5.1557101860790448E+16</v>
      </c>
      <c r="J6200" s="444">
        <f t="array" ref="J6200">IFERROR(INDEX('Retirement Calculator'!K:K,MATCH('Lorri 401b'!N6200,'Retirement Calculator'!A:A,0),0),0)</f>
        <v>0</v>
      </c>
      <c r="K6200" s="444">
        <f t="shared" ca="1" si="203"/>
        <v>-214821257753293.53</v>
      </c>
      <c r="L6200" s="444">
        <f t="shared" ca="1" si="204"/>
        <v>-5.1771923118543744E+16</v>
      </c>
      <c r="M6200" s="460">
        <f t="shared" si="206"/>
        <v>0.05</v>
      </c>
      <c r="N6200" s="464">
        <f t="shared" si="207"/>
        <v>239753</v>
      </c>
    </row>
    <row r="6201" spans="7:14" ht="11.25" customHeight="1" x14ac:dyDescent="0.3">
      <c r="G6201" s="459"/>
      <c r="H6201" s="459">
        <v>6194</v>
      </c>
      <c r="I6201" s="444">
        <f t="shared" ca="1" si="205"/>
        <v>-5.1771923118543744E+16</v>
      </c>
      <c r="J6201" s="444">
        <f t="array" ref="J6201">IFERROR(INDEX('Retirement Calculator'!K:K,MATCH('Lorri 401b'!N6201,'Retirement Calculator'!A:A,0),0),0)</f>
        <v>0</v>
      </c>
      <c r="K6201" s="444">
        <f t="shared" ca="1" si="203"/>
        <v>-215716346327265.59</v>
      </c>
      <c r="L6201" s="444">
        <f t="shared" ca="1" si="204"/>
        <v>-5.1987639464871008E+16</v>
      </c>
      <c r="M6201" s="460">
        <f t="shared" si="206"/>
        <v>0.05</v>
      </c>
      <c r="N6201" s="464">
        <f t="shared" si="207"/>
        <v>239783</v>
      </c>
    </row>
    <row r="6202" spans="7:14" ht="11.25" customHeight="1" x14ac:dyDescent="0.3">
      <c r="G6202" s="459"/>
      <c r="H6202" s="459">
        <v>6195</v>
      </c>
      <c r="I6202" s="444">
        <f t="shared" ca="1" si="205"/>
        <v>-5.1987639464871008E+16</v>
      </c>
      <c r="J6202" s="444">
        <f t="array" ref="J6202">IFERROR(INDEX('Retirement Calculator'!K:K,MATCH('Lorri 401b'!N6202,'Retirement Calculator'!A:A,0),0),0)</f>
        <v>0</v>
      </c>
      <c r="K6202" s="444">
        <f t="shared" ca="1" si="203"/>
        <v>-216615164436962.53</v>
      </c>
      <c r="L6202" s="444">
        <f t="shared" ca="1" si="204"/>
        <v>-5.2204254629307968E+16</v>
      </c>
      <c r="M6202" s="460">
        <f t="shared" si="206"/>
        <v>0.05</v>
      </c>
      <c r="N6202" s="464">
        <f t="shared" si="207"/>
        <v>239814</v>
      </c>
    </row>
    <row r="6203" spans="7:14" ht="11.25" customHeight="1" x14ac:dyDescent="0.3">
      <c r="G6203" s="459"/>
      <c r="H6203" s="459">
        <v>6196</v>
      </c>
      <c r="I6203" s="444">
        <f t="shared" ca="1" si="205"/>
        <v>-5.2204254629307968E+16</v>
      </c>
      <c r="J6203" s="444">
        <f t="array" ref="J6203">IFERROR(INDEX('Retirement Calculator'!K:K,MATCH('Lorri 401b'!N6203,'Retirement Calculator'!A:A,0),0),0)</f>
        <v>0</v>
      </c>
      <c r="K6203" s="444">
        <f t="shared" ca="1" si="203"/>
        <v>-217517727622116.53</v>
      </c>
      <c r="L6203" s="444">
        <f t="shared" ca="1" si="204"/>
        <v>-5.2421772356930088E+16</v>
      </c>
      <c r="M6203" s="460">
        <f t="shared" si="206"/>
        <v>0.05</v>
      </c>
      <c r="N6203" s="464">
        <f t="shared" si="207"/>
        <v>239845</v>
      </c>
    </row>
    <row r="6204" spans="7:14" ht="11.25" customHeight="1" x14ac:dyDescent="0.3">
      <c r="G6204" s="459"/>
      <c r="H6204" s="459">
        <v>6197</v>
      </c>
      <c r="I6204" s="444">
        <f t="shared" ca="1" si="205"/>
        <v>-5.2421772356930088E+16</v>
      </c>
      <c r="J6204" s="444">
        <f t="array" ref="J6204">IFERROR(INDEX('Retirement Calculator'!K:K,MATCH('Lorri 401b'!N6204,'Retirement Calculator'!A:A,0),0),0)</f>
        <v>0</v>
      </c>
      <c r="K6204" s="444">
        <f t="shared" ca="1" si="203"/>
        <v>-218424051487208.69</v>
      </c>
      <c r="L6204" s="444">
        <f t="shared" ca="1" si="204"/>
        <v>-5.2640196408417296E+16</v>
      </c>
      <c r="M6204" s="460">
        <f t="shared" si="206"/>
        <v>0.05</v>
      </c>
      <c r="N6204" s="464">
        <f t="shared" si="207"/>
        <v>239875</v>
      </c>
    </row>
    <row r="6205" spans="7:14" ht="11.25" customHeight="1" x14ac:dyDescent="0.3">
      <c r="G6205" s="459"/>
      <c r="H6205" s="459">
        <v>6198</v>
      </c>
      <c r="I6205" s="444">
        <f t="shared" ca="1" si="205"/>
        <v>-5.2640196408417296E+16</v>
      </c>
      <c r="J6205" s="444">
        <f t="array" ref="J6205">IFERROR(INDEX('Retirement Calculator'!K:K,MATCH('Lorri 401b'!N6205,'Retirement Calculator'!A:A,0),0),0)</f>
        <v>0</v>
      </c>
      <c r="K6205" s="444">
        <f t="shared" ca="1" si="203"/>
        <v>-219334151701738.72</v>
      </c>
      <c r="L6205" s="444">
        <f t="shared" ca="1" si="204"/>
        <v>-5.2859530560119032E+16</v>
      </c>
      <c r="M6205" s="460">
        <f t="shared" si="206"/>
        <v>0.05</v>
      </c>
      <c r="N6205" s="464">
        <f t="shared" si="207"/>
        <v>239906</v>
      </c>
    </row>
    <row r="6206" spans="7:14" ht="11.25" customHeight="1" x14ac:dyDescent="0.3">
      <c r="G6206" s="459"/>
      <c r="H6206" s="459">
        <v>6199</v>
      </c>
      <c r="I6206" s="444">
        <f t="shared" ca="1" si="205"/>
        <v>-5.2859530560119032E+16</v>
      </c>
      <c r="J6206" s="444">
        <f t="array" ref="J6206">IFERROR(INDEX('Retirement Calculator'!K:K,MATCH('Lorri 401b'!N6206,'Retirement Calculator'!A:A,0),0),0)</f>
        <v>0</v>
      </c>
      <c r="K6206" s="444">
        <f t="shared" ca="1" si="203"/>
        <v>-220248044000495.97</v>
      </c>
      <c r="L6206" s="444">
        <f t="shared" ca="1" si="204"/>
        <v>-5.3079778604119528E+16</v>
      </c>
      <c r="M6206" s="460">
        <f t="shared" si="206"/>
        <v>0.05</v>
      </c>
      <c r="N6206" s="464">
        <f t="shared" si="207"/>
        <v>239936</v>
      </c>
    </row>
    <row r="6207" spans="7:14" ht="11.25" customHeight="1" x14ac:dyDescent="0.3">
      <c r="G6207" s="459"/>
      <c r="H6207" s="459">
        <v>6200</v>
      </c>
      <c r="I6207" s="444">
        <f t="shared" ca="1" si="205"/>
        <v>-5.3079778604119528E+16</v>
      </c>
      <c r="J6207" s="444">
        <f t="array" ref="J6207">IFERROR(INDEX('Retirement Calculator'!K:K,MATCH('Lorri 401b'!N6207,'Retirement Calculator'!A:A,0),0),0)</f>
        <v>0</v>
      </c>
      <c r="K6207" s="444">
        <f t="shared" ca="1" si="203"/>
        <v>-221165744183831.38</v>
      </c>
      <c r="L6207" s="444">
        <f t="shared" ca="1" si="204"/>
        <v>-5.330094434830336E+16</v>
      </c>
      <c r="M6207" s="460">
        <f t="shared" si="206"/>
        <v>0.05</v>
      </c>
      <c r="N6207" s="464">
        <f t="shared" si="207"/>
        <v>239967</v>
      </c>
    </row>
    <row r="6208" spans="7:14" ht="11.25" customHeight="1" x14ac:dyDescent="0.3">
      <c r="G6208" s="459"/>
      <c r="H6208" s="459">
        <v>6201</v>
      </c>
      <c r="I6208" s="444">
        <f t="shared" ca="1" si="205"/>
        <v>-5.330094434830336E+16</v>
      </c>
      <c r="J6208" s="444">
        <f t="array" ref="J6208">IFERROR(INDEX('Retirement Calculator'!K:K,MATCH('Lorri 401b'!N6208,'Retirement Calculator'!A:A,0),0),0)</f>
        <v>0</v>
      </c>
      <c r="K6208" s="444">
        <f t="shared" ca="1" si="203"/>
        <v>-222087268117930.66</v>
      </c>
      <c r="L6208" s="444">
        <f t="shared" ca="1" si="204"/>
        <v>-5.3523031616421288E+16</v>
      </c>
      <c r="M6208" s="460">
        <f t="shared" si="206"/>
        <v>0.05</v>
      </c>
      <c r="N6208" s="464">
        <f t="shared" si="207"/>
        <v>239998</v>
      </c>
    </row>
    <row r="6209" spans="7:14" ht="11.25" customHeight="1" x14ac:dyDescent="0.3">
      <c r="G6209" s="459"/>
      <c r="H6209" s="459">
        <v>6202</v>
      </c>
      <c r="I6209" s="444">
        <f t="shared" ca="1" si="205"/>
        <v>-5.3523031616421288E+16</v>
      </c>
      <c r="J6209" s="444">
        <f t="array" ref="J6209">IFERROR(INDEX('Retirement Calculator'!K:K,MATCH('Lorri 401b'!N6209,'Retirement Calculator'!A:A,0),0),0)</f>
        <v>0</v>
      </c>
      <c r="K6209" s="444">
        <f t="shared" ca="1" si="203"/>
        <v>-223012631735088.69</v>
      </c>
      <c r="L6209" s="444">
        <f t="shared" ca="1" si="204"/>
        <v>-5.3746044248156376E+16</v>
      </c>
      <c r="M6209" s="460">
        <f t="shared" si="206"/>
        <v>0.05</v>
      </c>
      <c r="N6209" s="464">
        <f t="shared" si="207"/>
        <v>240026</v>
      </c>
    </row>
    <row r="6210" spans="7:14" ht="11.25" customHeight="1" x14ac:dyDescent="0.3">
      <c r="G6210" s="459"/>
      <c r="H6210" s="459">
        <v>6203</v>
      </c>
      <c r="I6210" s="444">
        <f t="shared" ca="1" si="205"/>
        <v>-5.3746044248156376E+16</v>
      </c>
      <c r="J6210" s="444">
        <f t="array" ref="J6210">IFERROR(INDEX('Retirement Calculator'!K:K,MATCH('Lorri 401b'!N6210,'Retirement Calculator'!A:A,0),0),0)</f>
        <v>0</v>
      </c>
      <c r="K6210" s="444">
        <f t="shared" ca="1" si="203"/>
        <v>-223941851033984.91</v>
      </c>
      <c r="L6210" s="444">
        <f t="shared" ca="1" si="204"/>
        <v>-5.396998609919036E+16</v>
      </c>
      <c r="M6210" s="460">
        <f t="shared" si="206"/>
        <v>0.05</v>
      </c>
      <c r="N6210" s="464">
        <f t="shared" si="207"/>
        <v>240057</v>
      </c>
    </row>
    <row r="6211" spans="7:14" ht="11.25" customHeight="1" x14ac:dyDescent="0.3">
      <c r="G6211" s="459"/>
      <c r="H6211" s="459">
        <v>6204</v>
      </c>
      <c r="I6211" s="444">
        <f t="shared" ca="1" si="205"/>
        <v>-5.396998609919036E+16</v>
      </c>
      <c r="J6211" s="444">
        <f t="array" ref="J6211">IFERROR(INDEX('Retirement Calculator'!K:K,MATCH('Lorri 401b'!N6211,'Retirement Calculator'!A:A,0),0),0)</f>
        <v>0</v>
      </c>
      <c r="K6211" s="444">
        <f t="shared" ca="1" si="203"/>
        <v>-224874942079959.84</v>
      </c>
      <c r="L6211" s="444">
        <f t="shared" ca="1" si="204"/>
        <v>-5.419486104127032E+16</v>
      </c>
      <c r="M6211" s="460">
        <f t="shared" si="206"/>
        <v>0.05</v>
      </c>
      <c r="N6211" s="464">
        <f t="shared" si="207"/>
        <v>240087</v>
      </c>
    </row>
    <row r="6212" spans="7:14" ht="11.25" customHeight="1" x14ac:dyDescent="0.3">
      <c r="G6212" s="459"/>
      <c r="H6212" s="459">
        <v>6205</v>
      </c>
      <c r="I6212" s="444">
        <f t="shared" ca="1" si="205"/>
        <v>-5.419486104127032E+16</v>
      </c>
      <c r="J6212" s="444">
        <f t="array" ref="J6212">IFERROR(INDEX('Retirement Calculator'!K:K,MATCH('Lorri 401b'!N6212,'Retirement Calculator'!A:A,0),0),0)</f>
        <v>0</v>
      </c>
      <c r="K6212" s="444">
        <f t="shared" ca="1" si="203"/>
        <v>-225811921005293</v>
      </c>
      <c r="L6212" s="444">
        <f t="shared" ca="1" si="204"/>
        <v>-5.4420672962275616E+16</v>
      </c>
      <c r="M6212" s="460">
        <f t="shared" si="206"/>
        <v>0.05</v>
      </c>
      <c r="N6212" s="464">
        <f t="shared" si="207"/>
        <v>240118</v>
      </c>
    </row>
    <row r="6213" spans="7:14" ht="11.25" customHeight="1" x14ac:dyDescent="0.3">
      <c r="G6213" s="459"/>
      <c r="H6213" s="459">
        <v>6206</v>
      </c>
      <c r="I6213" s="444">
        <f t="shared" ca="1" si="205"/>
        <v>-5.4420672962275616E+16</v>
      </c>
      <c r="J6213" s="444">
        <f t="array" ref="J6213">IFERROR(INDEX('Retirement Calculator'!K:K,MATCH('Lorri 401b'!N6213,'Retirement Calculator'!A:A,0),0),0)</f>
        <v>0</v>
      </c>
      <c r="K6213" s="444">
        <f t="shared" ca="1" si="203"/>
        <v>-226752804009481.72</v>
      </c>
      <c r="L6213" s="444">
        <f t="shared" ca="1" si="204"/>
        <v>-5.4647425766285096E+16</v>
      </c>
      <c r="M6213" s="460">
        <f t="shared" si="206"/>
        <v>0.05</v>
      </c>
      <c r="N6213" s="464">
        <f t="shared" si="207"/>
        <v>240148</v>
      </c>
    </row>
    <row r="6214" spans="7:14" ht="11.25" customHeight="1" x14ac:dyDescent="0.3">
      <c r="G6214" s="459"/>
      <c r="H6214" s="459">
        <v>6207</v>
      </c>
      <c r="I6214" s="444">
        <f t="shared" ca="1" si="205"/>
        <v>-5.4647425766285096E+16</v>
      </c>
      <c r="J6214" s="444">
        <f t="array" ref="J6214">IFERROR(INDEX('Retirement Calculator'!K:K,MATCH('Lorri 401b'!N6214,'Retirement Calculator'!A:A,0),0),0)</f>
        <v>0</v>
      </c>
      <c r="K6214" s="444">
        <f t="shared" ca="1" si="203"/>
        <v>-227697607359521.22</v>
      </c>
      <c r="L6214" s="444">
        <f t="shared" ca="1" si="204"/>
        <v>-5.4875123373644616E+16</v>
      </c>
      <c r="M6214" s="460">
        <f t="shared" si="206"/>
        <v>0.05</v>
      </c>
      <c r="N6214" s="464">
        <f t="shared" si="207"/>
        <v>240179</v>
      </c>
    </row>
    <row r="6215" spans="7:14" ht="11.25" customHeight="1" x14ac:dyDescent="0.3">
      <c r="G6215" s="459"/>
      <c r="H6215" s="459">
        <v>6208</v>
      </c>
      <c r="I6215" s="444">
        <f t="shared" ca="1" si="205"/>
        <v>-5.4875123373644616E+16</v>
      </c>
      <c r="J6215" s="444">
        <f t="array" ref="J6215">IFERROR(INDEX('Retirement Calculator'!K:K,MATCH('Lorri 401b'!N6215,'Retirement Calculator'!A:A,0),0),0)</f>
        <v>0</v>
      </c>
      <c r="K6215" s="444">
        <f t="shared" ca="1" si="203"/>
        <v>-228646347390185.91</v>
      </c>
      <c r="L6215" s="444">
        <f t="shared" ca="1" si="204"/>
        <v>-5.51037697210348E+16</v>
      </c>
      <c r="M6215" s="460">
        <f t="shared" si="206"/>
        <v>0.05</v>
      </c>
      <c r="N6215" s="464">
        <f t="shared" si="207"/>
        <v>240210</v>
      </c>
    </row>
    <row r="6216" spans="7:14" ht="11.25" customHeight="1" x14ac:dyDescent="0.3">
      <c r="G6216" s="459"/>
      <c r="H6216" s="459">
        <v>6209</v>
      </c>
      <c r="I6216" s="444">
        <f t="shared" ca="1" si="205"/>
        <v>-5.51037697210348E+16</v>
      </c>
      <c r="J6216" s="444">
        <f t="array" ref="J6216">IFERROR(INDEX('Retirement Calculator'!K:K,MATCH('Lorri 401b'!N6216,'Retirement Calculator'!A:A,0),0),0)</f>
        <v>0</v>
      </c>
      <c r="K6216" s="444">
        <f t="shared" ca="1" si="203"/>
        <v>-229599040504311.66</v>
      </c>
      <c r="L6216" s="444">
        <f t="shared" ca="1" si="204"/>
        <v>-5.5333368761539112E+16</v>
      </c>
      <c r="M6216" s="460">
        <f t="shared" si="206"/>
        <v>0.05</v>
      </c>
      <c r="N6216" s="464">
        <f t="shared" si="207"/>
        <v>240240</v>
      </c>
    </row>
    <row r="6217" spans="7:14" ht="11.25" customHeight="1" x14ac:dyDescent="0.3">
      <c r="G6217" s="459"/>
      <c r="H6217" s="459">
        <v>6210</v>
      </c>
      <c r="I6217" s="444">
        <f t="shared" ca="1" si="205"/>
        <v>-5.5333368761539112E+16</v>
      </c>
      <c r="J6217" s="444">
        <f t="array" ref="J6217">IFERROR(INDEX('Retirement Calculator'!K:K,MATCH('Lorri 401b'!N6217,'Retirement Calculator'!A:A,0),0),0)</f>
        <v>0</v>
      </c>
      <c r="K6217" s="444">
        <f t="shared" ca="1" si="203"/>
        <v>-230555703173079.63</v>
      </c>
      <c r="L6217" s="444">
        <f t="shared" ca="1" si="204"/>
        <v>-5.5563924464712192E+16</v>
      </c>
      <c r="M6217" s="460">
        <f t="shared" si="206"/>
        <v>0.05</v>
      </c>
      <c r="N6217" s="464">
        <f t="shared" si="207"/>
        <v>240271</v>
      </c>
    </row>
    <row r="6218" spans="7:14" ht="11.25" customHeight="1" x14ac:dyDescent="0.3">
      <c r="G6218" s="459"/>
      <c r="H6218" s="459">
        <v>6211</v>
      </c>
      <c r="I6218" s="444">
        <f t="shared" ca="1" si="205"/>
        <v>-5.5563924464712192E+16</v>
      </c>
      <c r="J6218" s="444">
        <f t="array" ref="J6218">IFERROR(INDEX('Retirement Calculator'!K:K,MATCH('Lorri 401b'!N6218,'Retirement Calculator'!A:A,0),0),0)</f>
        <v>0</v>
      </c>
      <c r="K6218" s="444">
        <f t="shared" ca="1" si="203"/>
        <v>-231516351936300.78</v>
      </c>
      <c r="L6218" s="444">
        <f t="shared" ca="1" si="204"/>
        <v>-5.5795440816648496E+16</v>
      </c>
      <c r="M6218" s="460">
        <f t="shared" si="206"/>
        <v>0.05</v>
      </c>
      <c r="N6218" s="464">
        <f t="shared" si="207"/>
        <v>240301</v>
      </c>
    </row>
    <row r="6219" spans="7:14" ht="11.25" customHeight="1" x14ac:dyDescent="0.3">
      <c r="G6219" s="459"/>
      <c r="H6219" s="459">
        <v>6212</v>
      </c>
      <c r="I6219" s="444">
        <f t="shared" ca="1" si="205"/>
        <v>-5.5795440816648496E+16</v>
      </c>
      <c r="J6219" s="444">
        <f t="array" ref="J6219">IFERROR(INDEX('Retirement Calculator'!K:K,MATCH('Lorri 401b'!N6219,'Retirement Calculator'!A:A,0),0),0)</f>
        <v>0</v>
      </c>
      <c r="K6219" s="444">
        <f t="shared" ca="1" si="203"/>
        <v>-232481003402702.06</v>
      </c>
      <c r="L6219" s="444">
        <f t="shared" ca="1" si="204"/>
        <v>-5.60279218200512E+16</v>
      </c>
      <c r="M6219" s="460">
        <f t="shared" si="206"/>
        <v>0.05</v>
      </c>
      <c r="N6219" s="464">
        <f t="shared" si="207"/>
        <v>240332</v>
      </c>
    </row>
    <row r="6220" spans="7:14" ht="11.25" customHeight="1" x14ac:dyDescent="0.3">
      <c r="G6220" s="459"/>
      <c r="H6220" s="459">
        <v>6213</v>
      </c>
      <c r="I6220" s="444">
        <f t="shared" ca="1" si="205"/>
        <v>-5.60279218200512E+16</v>
      </c>
      <c r="J6220" s="444">
        <f t="array" ref="J6220">IFERROR(INDEX('Retirement Calculator'!K:K,MATCH('Lorri 401b'!N6220,'Retirement Calculator'!A:A,0),0),0)</f>
        <v>0</v>
      </c>
      <c r="K6220" s="444">
        <f t="shared" ca="1" si="203"/>
        <v>-233449674250213.34</v>
      </c>
      <c r="L6220" s="444">
        <f t="shared" ca="1" si="204"/>
        <v>-5.6261371494301416E+16</v>
      </c>
      <c r="M6220" s="460">
        <f t="shared" si="206"/>
        <v>0.05</v>
      </c>
      <c r="N6220" s="464">
        <f t="shared" si="207"/>
        <v>240363</v>
      </c>
    </row>
    <row r="6221" spans="7:14" ht="11.25" customHeight="1" x14ac:dyDescent="0.3">
      <c r="G6221" s="459"/>
      <c r="H6221" s="459">
        <v>6214</v>
      </c>
      <c r="I6221" s="444">
        <f t="shared" ca="1" si="205"/>
        <v>-5.6261371494301416E+16</v>
      </c>
      <c r="J6221" s="444">
        <f t="array" ref="J6221">IFERROR(INDEX('Retirement Calculator'!K:K,MATCH('Lorri 401b'!N6221,'Retirement Calculator'!A:A,0),0),0)</f>
        <v>0</v>
      </c>
      <c r="K6221" s="444">
        <f t="shared" ca="1" si="203"/>
        <v>-234422381226255.91</v>
      </c>
      <c r="L6221" s="444">
        <f t="shared" ca="1" si="204"/>
        <v>-5.6495793875527672E+16</v>
      </c>
      <c r="M6221" s="460">
        <f t="shared" si="206"/>
        <v>0.05</v>
      </c>
      <c r="N6221" s="464">
        <f t="shared" si="207"/>
        <v>240391</v>
      </c>
    </row>
    <row r="6222" spans="7:14" ht="11.25" customHeight="1" x14ac:dyDescent="0.3">
      <c r="G6222" s="459"/>
      <c r="H6222" s="459">
        <v>6215</v>
      </c>
      <c r="I6222" s="444">
        <f t="shared" ca="1" si="205"/>
        <v>-5.6495793875527672E+16</v>
      </c>
      <c r="J6222" s="444">
        <f t="array" ref="J6222">IFERROR(INDEX('Retirement Calculator'!K:K,MATCH('Lorri 401b'!N6222,'Retirement Calculator'!A:A,0),0),0)</f>
        <v>0</v>
      </c>
      <c r="K6222" s="444">
        <f t="shared" ca="1" si="203"/>
        <v>-235399141148031.97</v>
      </c>
      <c r="L6222" s="444">
        <f t="shared" ca="1" si="204"/>
        <v>-5.6731193016675704E+16</v>
      </c>
      <c r="M6222" s="460">
        <f t="shared" si="206"/>
        <v>0.05</v>
      </c>
      <c r="N6222" s="464">
        <f t="shared" si="207"/>
        <v>240422</v>
      </c>
    </row>
    <row r="6223" spans="7:14" ht="11.25" customHeight="1" x14ac:dyDescent="0.3">
      <c r="G6223" s="459"/>
      <c r="H6223" s="459">
        <v>6216</v>
      </c>
      <c r="I6223" s="444">
        <f t="shared" ca="1" si="205"/>
        <v>-5.6731193016675704E+16</v>
      </c>
      <c r="J6223" s="444">
        <f t="array" ref="J6223">IFERROR(INDEX('Retirement Calculator'!K:K,MATCH('Lorri 401b'!N6223,'Retirement Calculator'!A:A,0),0),0)</f>
        <v>0</v>
      </c>
      <c r="K6223" s="444">
        <f t="shared" ca="1" si="203"/>
        <v>-236379970902815.41</v>
      </c>
      <c r="L6223" s="444">
        <f t="shared" ca="1" si="204"/>
        <v>-5.696757298757852E+16</v>
      </c>
      <c r="M6223" s="460">
        <f t="shared" si="206"/>
        <v>0.05</v>
      </c>
      <c r="N6223" s="464">
        <f t="shared" si="207"/>
        <v>240452</v>
      </c>
    </row>
    <row r="6224" spans="7:14" ht="11.25" customHeight="1" x14ac:dyDescent="0.3">
      <c r="G6224" s="459"/>
      <c r="H6224" s="459">
        <v>6217</v>
      </c>
      <c r="I6224" s="444">
        <f t="shared" ca="1" si="205"/>
        <v>-5.696757298757852E+16</v>
      </c>
      <c r="J6224" s="444">
        <f t="array" ref="J6224">IFERROR(INDEX('Retirement Calculator'!K:K,MATCH('Lorri 401b'!N6224,'Retirement Calculator'!A:A,0),0),0)</f>
        <v>0</v>
      </c>
      <c r="K6224" s="444">
        <f t="shared" ca="1" si="203"/>
        <v>-237364887448243.84</v>
      </c>
      <c r="L6224" s="444">
        <f t="shared" ca="1" si="204"/>
        <v>-5.720493787502676E+16</v>
      </c>
      <c r="M6224" s="460">
        <f t="shared" si="206"/>
        <v>0.05</v>
      </c>
      <c r="N6224" s="464">
        <f t="shared" si="207"/>
        <v>240483</v>
      </c>
    </row>
    <row r="6225" spans="7:14" ht="11.25" customHeight="1" x14ac:dyDescent="0.3">
      <c r="G6225" s="459"/>
      <c r="H6225" s="459">
        <v>6218</v>
      </c>
      <c r="I6225" s="444">
        <f t="shared" ca="1" si="205"/>
        <v>-5.720493787502676E+16</v>
      </c>
      <c r="J6225" s="444">
        <f t="array" ref="J6225">IFERROR(INDEX('Retirement Calculator'!K:K,MATCH('Lorri 401b'!N6225,'Retirement Calculator'!A:A,0),0),0)</f>
        <v>0</v>
      </c>
      <c r="K6225" s="444">
        <f t="shared" ca="1" si="203"/>
        <v>-238353907812611.5</v>
      </c>
      <c r="L6225" s="444">
        <f t="shared" ca="1" si="204"/>
        <v>-5.7443291782839368E+16</v>
      </c>
      <c r="M6225" s="460">
        <f t="shared" si="206"/>
        <v>0.05</v>
      </c>
      <c r="N6225" s="464">
        <f t="shared" si="207"/>
        <v>240513</v>
      </c>
    </row>
    <row r="6226" spans="7:14" ht="11.25" customHeight="1" x14ac:dyDescent="0.3">
      <c r="G6226" s="459"/>
      <c r="H6226" s="459">
        <v>6219</v>
      </c>
      <c r="I6226" s="444">
        <f t="shared" ca="1" si="205"/>
        <v>-5.7443291782839368E+16</v>
      </c>
      <c r="J6226" s="444">
        <f t="array" ref="J6226">IFERROR(INDEX('Retirement Calculator'!K:K,MATCH('Lorri 401b'!N6226,'Retirement Calculator'!A:A,0),0),0)</f>
        <v>0</v>
      </c>
      <c r="K6226" s="444">
        <f t="shared" ca="1" si="203"/>
        <v>-239347049095164.06</v>
      </c>
      <c r="L6226" s="444">
        <f t="shared" ca="1" si="204"/>
        <v>-5.7682638831934536E+16</v>
      </c>
      <c r="M6226" s="460">
        <f t="shared" si="206"/>
        <v>0.05</v>
      </c>
      <c r="N6226" s="464">
        <f t="shared" si="207"/>
        <v>240544</v>
      </c>
    </row>
    <row r="6227" spans="7:14" ht="11.25" customHeight="1" x14ac:dyDescent="0.3">
      <c r="G6227" s="459"/>
      <c r="H6227" s="459">
        <v>6220</v>
      </c>
      <c r="I6227" s="444">
        <f t="shared" ca="1" si="205"/>
        <v>-5.7682638831934536E+16</v>
      </c>
      <c r="J6227" s="444">
        <f t="array" ref="J6227">IFERROR(INDEX('Retirement Calculator'!K:K,MATCH('Lorri 401b'!N6227,'Retirement Calculator'!A:A,0),0),0)</f>
        <v>0</v>
      </c>
      <c r="K6227" s="444">
        <f t="shared" ca="1" si="203"/>
        <v>-240344328466393.91</v>
      </c>
      <c r="L6227" s="444">
        <f t="shared" ca="1" si="204"/>
        <v>-5.7922983160400928E+16</v>
      </c>
      <c r="M6227" s="460">
        <f t="shared" si="206"/>
        <v>0.05</v>
      </c>
      <c r="N6227" s="464">
        <f t="shared" si="207"/>
        <v>240575</v>
      </c>
    </row>
    <row r="6228" spans="7:14" ht="11.25" customHeight="1" x14ac:dyDescent="0.3">
      <c r="G6228" s="459"/>
      <c r="H6228" s="459">
        <v>6221</v>
      </c>
      <c r="I6228" s="444">
        <f t="shared" ca="1" si="205"/>
        <v>-5.7922983160400928E+16</v>
      </c>
      <c r="J6228" s="444">
        <f t="array" ref="J6228">IFERROR(INDEX('Retirement Calculator'!K:K,MATCH('Lorri 401b'!N6228,'Retirement Calculator'!A:A,0),0),0)</f>
        <v>0</v>
      </c>
      <c r="K6228" s="444">
        <f t="shared" ca="1" si="203"/>
        <v>-241345763168337.19</v>
      </c>
      <c r="L6228" s="444">
        <f t="shared" ca="1" si="204"/>
        <v>-5.8164328923569264E+16</v>
      </c>
      <c r="M6228" s="460">
        <f t="shared" si="206"/>
        <v>0.05</v>
      </c>
      <c r="N6228" s="464">
        <f t="shared" si="207"/>
        <v>240605</v>
      </c>
    </row>
    <row r="6229" spans="7:14" ht="11.25" customHeight="1" x14ac:dyDescent="0.3">
      <c r="G6229" s="459"/>
      <c r="H6229" s="459">
        <v>6222</v>
      </c>
      <c r="I6229" s="444">
        <f t="shared" ca="1" si="205"/>
        <v>-5.8164328923569264E+16</v>
      </c>
      <c r="J6229" s="444">
        <f t="array" ref="J6229">IFERROR(INDEX('Retirement Calculator'!K:K,MATCH('Lorri 401b'!N6229,'Retirement Calculator'!A:A,0),0),0)</f>
        <v>0</v>
      </c>
      <c r="K6229" s="444">
        <f t="shared" ca="1" si="203"/>
        <v>-242351370514871.91</v>
      </c>
      <c r="L6229" s="444">
        <f t="shared" ca="1" si="204"/>
        <v>-5.8406680294084136E+16</v>
      </c>
      <c r="M6229" s="460">
        <f t="shared" si="206"/>
        <v>0.05</v>
      </c>
      <c r="N6229" s="464">
        <f t="shared" si="207"/>
        <v>240636</v>
      </c>
    </row>
    <row r="6230" spans="7:14" ht="11.25" customHeight="1" x14ac:dyDescent="0.3">
      <c r="G6230" s="459"/>
      <c r="H6230" s="459">
        <v>6223</v>
      </c>
      <c r="I6230" s="444">
        <f t="shared" ca="1" si="205"/>
        <v>-5.8406680294084136E+16</v>
      </c>
      <c r="J6230" s="444">
        <f t="array" ref="J6230">IFERROR(INDEX('Retirement Calculator'!K:K,MATCH('Lorri 401b'!N6230,'Retirement Calculator'!A:A,0),0),0)</f>
        <v>0</v>
      </c>
      <c r="K6230" s="444">
        <f t="shared" ca="1" si="203"/>
        <v>-243361167892017.22</v>
      </c>
      <c r="L6230" s="444">
        <f t="shared" ca="1" si="204"/>
        <v>-5.8650041461976152E+16</v>
      </c>
      <c r="M6230" s="460">
        <f t="shared" si="206"/>
        <v>0.05</v>
      </c>
      <c r="N6230" s="464">
        <f t="shared" si="207"/>
        <v>240666</v>
      </c>
    </row>
    <row r="6231" spans="7:14" ht="11.25" customHeight="1" x14ac:dyDescent="0.3">
      <c r="G6231" s="459"/>
      <c r="H6231" s="459">
        <v>6224</v>
      </c>
      <c r="I6231" s="444">
        <f t="shared" ca="1" si="205"/>
        <v>-5.8650041461976152E+16</v>
      </c>
      <c r="J6231" s="444">
        <f t="array" ref="J6231">IFERROR(INDEX('Retirement Calculator'!K:K,MATCH('Lorri 401b'!N6231,'Retirement Calculator'!A:A,0),0),0)</f>
        <v>0</v>
      </c>
      <c r="K6231" s="444">
        <f t="shared" ca="1" si="203"/>
        <v>-244375172758233.97</v>
      </c>
      <c r="L6231" s="444">
        <f t="shared" ca="1" si="204"/>
        <v>-5.8894416634734384E+16</v>
      </c>
      <c r="M6231" s="460">
        <f t="shared" si="206"/>
        <v>0.05</v>
      </c>
      <c r="N6231" s="464">
        <f t="shared" si="207"/>
        <v>240697</v>
      </c>
    </row>
    <row r="6232" spans="7:14" ht="11.25" customHeight="1" x14ac:dyDescent="0.3">
      <c r="G6232" s="459"/>
      <c r="H6232" s="459">
        <v>6225</v>
      </c>
      <c r="I6232" s="444">
        <f t="shared" ca="1" si="205"/>
        <v>-5.8894416634734384E+16</v>
      </c>
      <c r="J6232" s="444">
        <f t="array" ref="J6232">IFERROR(INDEX('Retirement Calculator'!K:K,MATCH('Lorri 401b'!N6232,'Retirement Calculator'!A:A,0),0),0)</f>
        <v>0</v>
      </c>
      <c r="K6232" s="444">
        <f t="shared" ca="1" si="203"/>
        <v>-245393402644726.59</v>
      </c>
      <c r="L6232" s="444">
        <f t="shared" ca="1" si="204"/>
        <v>-5.9139810037379112E+16</v>
      </c>
      <c r="M6232" s="460">
        <f t="shared" si="206"/>
        <v>0.05</v>
      </c>
      <c r="N6232" s="464">
        <f t="shared" si="207"/>
        <v>240728</v>
      </c>
    </row>
    <row r="6233" spans="7:14" ht="11.25" customHeight="1" x14ac:dyDescent="0.3">
      <c r="G6233" s="459"/>
      <c r="H6233" s="459">
        <v>6226</v>
      </c>
      <c r="I6233" s="444">
        <f t="shared" ca="1" si="205"/>
        <v>-5.9139810037379112E+16</v>
      </c>
      <c r="J6233" s="444">
        <f t="array" ref="J6233">IFERROR(INDEX('Retirement Calculator'!K:K,MATCH('Lorri 401b'!N6233,'Retirement Calculator'!A:A,0),0),0)</f>
        <v>0</v>
      </c>
      <c r="K6233" s="444">
        <f t="shared" ca="1" si="203"/>
        <v>-246415875155746.28</v>
      </c>
      <c r="L6233" s="444">
        <f t="shared" ca="1" si="204"/>
        <v>-5.9386225912534856E+16</v>
      </c>
      <c r="M6233" s="460">
        <f t="shared" si="206"/>
        <v>0.05</v>
      </c>
      <c r="N6233" s="464">
        <f t="shared" si="207"/>
        <v>240756</v>
      </c>
    </row>
    <row r="6234" spans="7:14" ht="11.25" customHeight="1" x14ac:dyDescent="0.3">
      <c r="G6234" s="459"/>
      <c r="H6234" s="459">
        <v>6227</v>
      </c>
      <c r="I6234" s="444">
        <f t="shared" ca="1" si="205"/>
        <v>-5.9386225912534856E+16</v>
      </c>
      <c r="J6234" s="444">
        <f t="array" ref="J6234">IFERROR(INDEX('Retirement Calculator'!K:K,MATCH('Lorri 401b'!N6234,'Retirement Calculator'!A:A,0),0),0)</f>
        <v>0</v>
      </c>
      <c r="K6234" s="444">
        <f t="shared" ca="1" si="203"/>
        <v>-247442607968895.22</v>
      </c>
      <c r="L6234" s="444">
        <f t="shared" ca="1" si="204"/>
        <v>-5.9633668520503752E+16</v>
      </c>
      <c r="M6234" s="460">
        <f t="shared" si="206"/>
        <v>0.05</v>
      </c>
      <c r="N6234" s="464">
        <f t="shared" si="207"/>
        <v>240787</v>
      </c>
    </row>
    <row r="6235" spans="7:14" ht="11.25" customHeight="1" x14ac:dyDescent="0.3">
      <c r="G6235" s="459"/>
      <c r="H6235" s="459">
        <v>6228</v>
      </c>
      <c r="I6235" s="444">
        <f t="shared" ca="1" si="205"/>
        <v>-5.9633668520503752E+16</v>
      </c>
      <c r="J6235" s="444">
        <f t="array" ref="J6235">IFERROR(INDEX('Retirement Calculator'!K:K,MATCH('Lorri 401b'!N6235,'Retirement Calculator'!A:A,0),0),0)</f>
        <v>0</v>
      </c>
      <c r="K6235" s="444">
        <f t="shared" ca="1" si="203"/>
        <v>-248473618835432.34</v>
      </c>
      <c r="L6235" s="444">
        <f t="shared" ca="1" si="204"/>
        <v>-5.9882142139339184E+16</v>
      </c>
      <c r="M6235" s="460">
        <f t="shared" si="206"/>
        <v>0.05</v>
      </c>
      <c r="N6235" s="464">
        <f t="shared" si="207"/>
        <v>240817</v>
      </c>
    </row>
    <row r="6236" spans="7:14" ht="11.25" customHeight="1" x14ac:dyDescent="0.3">
      <c r="G6236" s="459"/>
      <c r="H6236" s="459">
        <v>6229</v>
      </c>
      <c r="I6236" s="444">
        <f t="shared" ca="1" si="205"/>
        <v>-5.9882142139339184E+16</v>
      </c>
      <c r="J6236" s="444">
        <f t="array" ref="J6236">IFERROR(INDEX('Retirement Calculator'!K:K,MATCH('Lorri 401b'!N6236,'Retirement Calculator'!A:A,0),0),0)</f>
        <v>0</v>
      </c>
      <c r="K6236" s="444">
        <f t="shared" ca="1" si="203"/>
        <v>-249508925580579.94</v>
      </c>
      <c r="L6236" s="444">
        <f t="shared" ca="1" si="204"/>
        <v>-6.013165106491976E+16</v>
      </c>
      <c r="M6236" s="460">
        <f t="shared" si="206"/>
        <v>0.05</v>
      </c>
      <c r="N6236" s="464">
        <f t="shared" si="207"/>
        <v>240848</v>
      </c>
    </row>
    <row r="6237" spans="7:14" ht="11.25" customHeight="1" x14ac:dyDescent="0.3">
      <c r="G6237" s="459"/>
      <c r="H6237" s="459">
        <v>6230</v>
      </c>
      <c r="I6237" s="444">
        <f t="shared" ca="1" si="205"/>
        <v>-6.013165106491976E+16</v>
      </c>
      <c r="J6237" s="444">
        <f t="array" ref="J6237">IFERROR(INDEX('Retirement Calculator'!K:K,MATCH('Lorri 401b'!N6237,'Retirement Calculator'!A:A,0),0),0)</f>
        <v>0</v>
      </c>
      <c r="K6237" s="444">
        <f t="shared" ca="1" si="203"/>
        <v>-250548546103832.34</v>
      </c>
      <c r="L6237" s="444">
        <f t="shared" ca="1" si="204"/>
        <v>-6.0382199611023592E+16</v>
      </c>
      <c r="M6237" s="460">
        <f t="shared" si="206"/>
        <v>0.05</v>
      </c>
      <c r="N6237" s="464">
        <f t="shared" si="207"/>
        <v>240878</v>
      </c>
    </row>
    <row r="6238" spans="7:14" ht="11.25" customHeight="1" x14ac:dyDescent="0.3">
      <c r="G6238" s="459"/>
      <c r="H6238" s="459">
        <v>6231</v>
      </c>
      <c r="I6238" s="444">
        <f t="shared" ca="1" si="205"/>
        <v>-6.0382199611023592E+16</v>
      </c>
      <c r="J6238" s="444">
        <f t="array" ref="J6238">IFERROR(INDEX('Retirement Calculator'!K:K,MATCH('Lorri 401b'!N6238,'Retirement Calculator'!A:A,0),0),0)</f>
        <v>0</v>
      </c>
      <c r="K6238" s="444">
        <f t="shared" ca="1" si="203"/>
        <v>-251592498379264.97</v>
      </c>
      <c r="L6238" s="444">
        <f t="shared" ca="1" si="204"/>
        <v>-6.0633792109402856E+16</v>
      </c>
      <c r="M6238" s="460">
        <f t="shared" si="206"/>
        <v>0.05</v>
      </c>
      <c r="N6238" s="464">
        <f t="shared" si="207"/>
        <v>240909</v>
      </c>
    </row>
    <row r="6239" spans="7:14" ht="11.25" customHeight="1" x14ac:dyDescent="0.3">
      <c r="G6239" s="459"/>
      <c r="H6239" s="459">
        <v>6232</v>
      </c>
      <c r="I6239" s="444">
        <f t="shared" ca="1" si="205"/>
        <v>-6.0633792109402856E+16</v>
      </c>
      <c r="J6239" s="444">
        <f t="array" ref="J6239">IFERROR(INDEX('Retirement Calculator'!K:K,MATCH('Lorri 401b'!N6239,'Retirement Calculator'!A:A,0),0),0)</f>
        <v>0</v>
      </c>
      <c r="K6239" s="444">
        <f t="shared" ca="1" si="203"/>
        <v>-252640800455845.22</v>
      </c>
      <c r="L6239" s="444">
        <f t="shared" ca="1" si="204"/>
        <v>-6.0886432909858704E+16</v>
      </c>
      <c r="M6239" s="460">
        <f t="shared" si="206"/>
        <v>0.05</v>
      </c>
      <c r="N6239" s="464">
        <f t="shared" si="207"/>
        <v>240940</v>
      </c>
    </row>
    <row r="6240" spans="7:14" ht="11.25" customHeight="1" x14ac:dyDescent="0.3">
      <c r="G6240" s="459"/>
      <c r="H6240" s="459">
        <v>6233</v>
      </c>
      <c r="I6240" s="444">
        <f t="shared" ca="1" si="205"/>
        <v>-6.0886432909858704E+16</v>
      </c>
      <c r="J6240" s="444">
        <f t="array" ref="J6240">IFERROR(INDEX('Retirement Calculator'!K:K,MATCH('Lorri 401b'!N6240,'Retirement Calculator'!A:A,0),0),0)</f>
        <v>0</v>
      </c>
      <c r="K6240" s="444">
        <f t="shared" ca="1" si="203"/>
        <v>-253693470457744.59</v>
      </c>
      <c r="L6240" s="444">
        <f t="shared" ca="1" si="204"/>
        <v>-6.1140126380316448E+16</v>
      </c>
      <c r="M6240" s="460">
        <f t="shared" si="206"/>
        <v>0.05</v>
      </c>
      <c r="N6240" s="464">
        <f t="shared" si="207"/>
        <v>240970</v>
      </c>
    </row>
    <row r="6241" spans="7:14" ht="11.25" customHeight="1" x14ac:dyDescent="0.3">
      <c r="G6241" s="459"/>
      <c r="H6241" s="459">
        <v>6234</v>
      </c>
      <c r="I6241" s="444">
        <f t="shared" ca="1" si="205"/>
        <v>-6.1140126380316448E+16</v>
      </c>
      <c r="J6241" s="444">
        <f t="array" ref="J6241">IFERROR(INDEX('Retirement Calculator'!K:K,MATCH('Lorri 401b'!N6241,'Retirement Calculator'!A:A,0),0),0)</f>
        <v>0</v>
      </c>
      <c r="K6241" s="444">
        <f t="shared" ca="1" si="203"/>
        <v>-254750526584651.88</v>
      </c>
      <c r="L6241" s="444">
        <f t="shared" ca="1" si="204"/>
        <v>-6.1394876906901096E+16</v>
      </c>
      <c r="M6241" s="460">
        <f t="shared" si="206"/>
        <v>0.05</v>
      </c>
      <c r="N6241" s="464">
        <f t="shared" si="207"/>
        <v>241001</v>
      </c>
    </row>
    <row r="6242" spans="7:14" ht="11.25" customHeight="1" x14ac:dyDescent="0.3">
      <c r="G6242" s="459"/>
      <c r="H6242" s="459">
        <v>6235</v>
      </c>
      <c r="I6242" s="444">
        <f t="shared" ca="1" si="205"/>
        <v>-6.1394876906901096E+16</v>
      </c>
      <c r="J6242" s="444">
        <f t="array" ref="J6242">IFERROR(INDEX('Retirement Calculator'!K:K,MATCH('Lorri 401b'!N6242,'Retirement Calculator'!A:A,0),0),0)</f>
        <v>0</v>
      </c>
      <c r="K6242" s="444">
        <f t="shared" ca="1" si="203"/>
        <v>-255811987112087.91</v>
      </c>
      <c r="L6242" s="444">
        <f t="shared" ca="1" si="204"/>
        <v>-6.1650688894013184E+16</v>
      </c>
      <c r="M6242" s="460">
        <f t="shared" si="206"/>
        <v>0.05</v>
      </c>
      <c r="N6242" s="464">
        <f t="shared" si="207"/>
        <v>241031</v>
      </c>
    </row>
    <row r="6243" spans="7:14" ht="11.25" customHeight="1" x14ac:dyDescent="0.3">
      <c r="G6243" s="459"/>
      <c r="H6243" s="459">
        <v>6236</v>
      </c>
      <c r="I6243" s="444">
        <f t="shared" ca="1" si="205"/>
        <v>-6.1650688894013184E+16</v>
      </c>
      <c r="J6243" s="444">
        <f t="array" ref="J6243">IFERROR(INDEX('Retirement Calculator'!K:K,MATCH('Lorri 401b'!N6243,'Retirement Calculator'!A:A,0),0),0)</f>
        <v>0</v>
      </c>
      <c r="K6243" s="444">
        <f t="shared" ca="1" si="203"/>
        <v>-256877870391721.56</v>
      </c>
      <c r="L6243" s="444">
        <f t="shared" ca="1" si="204"/>
        <v>-6.1907566764404904E+16</v>
      </c>
      <c r="M6243" s="460">
        <f t="shared" si="206"/>
        <v>0.05</v>
      </c>
      <c r="N6243" s="464">
        <f t="shared" si="207"/>
        <v>241062</v>
      </c>
    </row>
    <row r="6244" spans="7:14" ht="11.25" customHeight="1" x14ac:dyDescent="0.3">
      <c r="G6244" s="459"/>
      <c r="H6244" s="459">
        <v>6237</v>
      </c>
      <c r="I6244" s="444">
        <f t="shared" ca="1" si="205"/>
        <v>-6.1907566764404904E+16</v>
      </c>
      <c r="J6244" s="444">
        <f t="array" ref="J6244">IFERROR(INDEX('Retirement Calculator'!K:K,MATCH('Lorri 401b'!N6244,'Retirement Calculator'!A:A,0),0),0)</f>
        <v>0</v>
      </c>
      <c r="K6244" s="444">
        <f t="shared" ca="1" si="203"/>
        <v>-257948194851687.09</v>
      </c>
      <c r="L6244" s="444">
        <f t="shared" ca="1" si="204"/>
        <v>-6.2165514959256592E+16</v>
      </c>
      <c r="M6244" s="460">
        <f t="shared" si="206"/>
        <v>0.05</v>
      </c>
      <c r="N6244" s="464">
        <f t="shared" si="207"/>
        <v>241093</v>
      </c>
    </row>
    <row r="6245" spans="7:14" ht="11.25" customHeight="1" x14ac:dyDescent="0.3">
      <c r="G6245" s="459"/>
      <c r="H6245" s="459">
        <v>6238</v>
      </c>
      <c r="I6245" s="444">
        <f t="shared" ca="1" si="205"/>
        <v>-6.2165514959256592E+16</v>
      </c>
      <c r="J6245" s="444">
        <f t="array" ref="J6245">IFERROR(INDEX('Retirement Calculator'!K:K,MATCH('Lorri 401b'!N6245,'Retirement Calculator'!A:A,0),0),0)</f>
        <v>0</v>
      </c>
      <c r="K6245" s="444">
        <f t="shared" ca="1" si="203"/>
        <v>-259022978996902.47</v>
      </c>
      <c r="L6245" s="444">
        <f t="shared" ca="1" si="204"/>
        <v>-6.2424537938253496E+16</v>
      </c>
      <c r="M6245" s="460">
        <f t="shared" si="206"/>
        <v>0.05</v>
      </c>
      <c r="N6245" s="464">
        <f t="shared" si="207"/>
        <v>241122</v>
      </c>
    </row>
    <row r="6246" spans="7:14" ht="11.25" customHeight="1" x14ac:dyDescent="0.3">
      <c r="G6246" s="459"/>
      <c r="H6246" s="459">
        <v>6239</v>
      </c>
      <c r="I6246" s="444">
        <f t="shared" ca="1" si="205"/>
        <v>-6.2424537938253496E+16</v>
      </c>
      <c r="J6246" s="444">
        <f t="array" ref="J6246">IFERROR(INDEX('Retirement Calculator'!K:K,MATCH('Lorri 401b'!N6246,'Retirement Calculator'!A:A,0),0),0)</f>
        <v>0</v>
      </c>
      <c r="K6246" s="444">
        <f t="shared" ca="1" si="203"/>
        <v>-260102241409389.59</v>
      </c>
      <c r="L6246" s="444">
        <f t="shared" ca="1" si="204"/>
        <v>-6.2684640179662888E+16</v>
      </c>
      <c r="M6246" s="460">
        <f t="shared" si="206"/>
        <v>0.05</v>
      </c>
      <c r="N6246" s="464">
        <f t="shared" si="207"/>
        <v>241153</v>
      </c>
    </row>
    <row r="6247" spans="7:14" ht="11.25" customHeight="1" x14ac:dyDescent="0.3">
      <c r="G6247" s="459"/>
      <c r="H6247" s="459">
        <v>6240</v>
      </c>
      <c r="I6247" s="444">
        <f t="shared" ca="1" si="205"/>
        <v>-6.2684640179662888E+16</v>
      </c>
      <c r="J6247" s="444">
        <f t="array" ref="J6247">IFERROR(INDEX('Retirement Calculator'!K:K,MATCH('Lorri 401b'!N6247,'Retirement Calculator'!A:A,0),0),0)</f>
        <v>0</v>
      </c>
      <c r="K6247" s="444">
        <f t="shared" ca="1" si="203"/>
        <v>-261186000748595.34</v>
      </c>
      <c r="L6247" s="444">
        <f t="shared" ca="1" si="204"/>
        <v>-6.294582618041148E+16</v>
      </c>
      <c r="M6247" s="460">
        <f t="shared" si="206"/>
        <v>0.05</v>
      </c>
      <c r="N6247" s="464">
        <f t="shared" si="207"/>
        <v>241183</v>
      </c>
    </row>
    <row r="6248" spans="7:14" ht="11.25" customHeight="1" x14ac:dyDescent="0.3">
      <c r="G6248" s="459"/>
      <c r="H6248" s="459">
        <v>6241</v>
      </c>
      <c r="I6248" s="444">
        <f t="shared" ca="1" si="205"/>
        <v>-6.294582618041148E+16</v>
      </c>
      <c r="J6248" s="444">
        <f t="array" ref="J6248">IFERROR(INDEX('Retirement Calculator'!K:K,MATCH('Lorri 401b'!N6248,'Retirement Calculator'!A:A,0),0),0)</f>
        <v>0</v>
      </c>
      <c r="K6248" s="444">
        <f t="shared" ca="1" si="203"/>
        <v>-262274275751714.53</v>
      </c>
      <c r="L6248" s="444">
        <f t="shared" ca="1" si="204"/>
        <v>-6.3208100456163192E+16</v>
      </c>
      <c r="M6248" s="460">
        <f t="shared" si="206"/>
        <v>0.05</v>
      </c>
      <c r="N6248" s="464">
        <f t="shared" si="207"/>
        <v>241214</v>
      </c>
    </row>
    <row r="6249" spans="7:14" ht="11.25" customHeight="1" x14ac:dyDescent="0.3">
      <c r="G6249" s="459"/>
      <c r="H6249" s="459">
        <v>6242</v>
      </c>
      <c r="I6249" s="444">
        <f t="shared" ca="1" si="205"/>
        <v>-6.3208100456163192E+16</v>
      </c>
      <c r="J6249" s="444">
        <f t="array" ref="J6249">IFERROR(INDEX('Retirement Calculator'!K:K,MATCH('Lorri 401b'!N6249,'Retirement Calculator'!A:A,0),0),0)</f>
        <v>0</v>
      </c>
      <c r="K6249" s="444">
        <f t="shared" ca="1" si="203"/>
        <v>-263367085234013.25</v>
      </c>
      <c r="L6249" s="444">
        <f t="shared" ca="1" si="204"/>
        <v>-6.3471467541397208E+16</v>
      </c>
      <c r="M6249" s="460">
        <f t="shared" si="206"/>
        <v>0.05</v>
      </c>
      <c r="N6249" s="464">
        <f t="shared" si="207"/>
        <v>241244</v>
      </c>
    </row>
    <row r="6250" spans="7:14" ht="11.25" customHeight="1" x14ac:dyDescent="0.3">
      <c r="G6250" s="459"/>
      <c r="H6250" s="459">
        <v>6243</v>
      </c>
      <c r="I6250" s="444">
        <f t="shared" ca="1" si="205"/>
        <v>-6.3471467541397208E+16</v>
      </c>
      <c r="J6250" s="444">
        <f t="array" ref="J6250">IFERROR(INDEX('Retirement Calculator'!K:K,MATCH('Lorri 401b'!N6250,'Retirement Calculator'!A:A,0),0),0)</f>
        <v>0</v>
      </c>
      <c r="K6250" s="444">
        <f t="shared" ca="1" si="203"/>
        <v>-264464448089155.03</v>
      </c>
      <c r="L6250" s="444">
        <f t="shared" ca="1" si="204"/>
        <v>-6.373593198948636E+16</v>
      </c>
      <c r="M6250" s="460">
        <f t="shared" si="206"/>
        <v>0.05</v>
      </c>
      <c r="N6250" s="464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>
      <selection activeCell="D3" sqref="D3"/>
    </sheetView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65"/>
      <c r="B1" s="465"/>
      <c r="C1" s="466" t="s">
        <v>668</v>
      </c>
      <c r="D1" s="466">
        <v>3063</v>
      </c>
      <c r="E1" s="295"/>
      <c r="F1" s="295"/>
      <c r="G1" s="295"/>
      <c r="H1" s="295"/>
      <c r="I1" s="295"/>
      <c r="J1" s="295"/>
      <c r="K1" s="295"/>
      <c r="L1" s="295"/>
      <c r="M1" s="295" t="s">
        <v>669</v>
      </c>
    </row>
    <row r="2" spans="1:13" ht="11.25" customHeight="1" x14ac:dyDescent="0.3">
      <c r="A2" s="465"/>
      <c r="B2" s="465"/>
      <c r="C2" s="466" t="s">
        <v>670</v>
      </c>
      <c r="D2" s="466">
        <v>26</v>
      </c>
      <c r="E2" s="295"/>
      <c r="F2" s="295"/>
      <c r="G2" s="295"/>
      <c r="H2" s="295"/>
      <c r="I2" s="295"/>
      <c r="J2" s="295"/>
      <c r="K2" s="295"/>
      <c r="L2" s="295"/>
      <c r="M2" s="405">
        <v>45442</v>
      </c>
    </row>
    <row r="3" spans="1:13" ht="11.25" customHeight="1" x14ac:dyDescent="0.3">
      <c r="A3" s="465"/>
      <c r="B3" s="465"/>
      <c r="C3" s="466" t="s">
        <v>671</v>
      </c>
      <c r="D3" s="401">
        <f>D1/D2</f>
        <v>117.80769230769231</v>
      </c>
      <c r="E3" s="295"/>
      <c r="F3" s="295"/>
      <c r="G3" s="295"/>
      <c r="H3" s="295"/>
      <c r="I3" s="295"/>
      <c r="J3" s="295"/>
      <c r="K3" s="295"/>
      <c r="L3" s="295"/>
      <c r="M3" s="405"/>
    </row>
    <row r="4" spans="1:13" ht="11.25" customHeight="1" x14ac:dyDescent="0.3">
      <c r="A4" s="465"/>
      <c r="B4" s="465"/>
      <c r="C4" s="466"/>
      <c r="D4" s="295"/>
      <c r="E4" s="295"/>
      <c r="F4" s="295"/>
      <c r="G4" s="295"/>
      <c r="H4" s="295"/>
      <c r="I4" s="295"/>
      <c r="J4" s="295"/>
      <c r="K4" s="295"/>
      <c r="L4" s="295"/>
      <c r="M4" s="295"/>
    </row>
    <row r="5" spans="1:13" ht="11.25" customHeight="1" x14ac:dyDescent="0.3">
      <c r="A5" s="465" t="s">
        <v>647</v>
      </c>
      <c r="B5" s="465" t="s">
        <v>661</v>
      </c>
      <c r="C5" s="466" t="s">
        <v>672</v>
      </c>
      <c r="D5" s="571" t="s">
        <v>673</v>
      </c>
      <c r="E5" s="560"/>
      <c r="F5" s="571" t="s">
        <v>674</v>
      </c>
      <c r="G5" s="560"/>
      <c r="H5" s="571" t="s">
        <v>675</v>
      </c>
      <c r="I5" s="560"/>
      <c r="J5" s="571" t="s">
        <v>676</v>
      </c>
      <c r="K5" s="560"/>
      <c r="L5" s="295"/>
      <c r="M5" s="295"/>
    </row>
    <row r="6" spans="1:13" ht="11.25" customHeight="1" x14ac:dyDescent="0.3">
      <c r="A6" s="465"/>
      <c r="B6" s="465"/>
      <c r="C6" s="466"/>
      <c r="D6" s="188" t="s">
        <v>677</v>
      </c>
      <c r="E6" s="188" t="s">
        <v>162</v>
      </c>
      <c r="F6" s="188" t="s">
        <v>677</v>
      </c>
      <c r="G6" s="188" t="s">
        <v>162</v>
      </c>
      <c r="H6" s="188" t="s">
        <v>677</v>
      </c>
      <c r="I6" s="188" t="s">
        <v>162</v>
      </c>
      <c r="J6" s="188" t="s">
        <v>677</v>
      </c>
      <c r="K6" s="188" t="s">
        <v>162</v>
      </c>
      <c r="L6" s="295"/>
      <c r="M6" s="295"/>
    </row>
    <row r="7" spans="1:13" ht="11.25" customHeight="1" x14ac:dyDescent="0.3">
      <c r="A7" s="465">
        <v>42</v>
      </c>
      <c r="B7" s="465">
        <v>2023</v>
      </c>
      <c r="C7" s="466">
        <v>24</v>
      </c>
      <c r="D7" s="467">
        <v>7111.8</v>
      </c>
      <c r="E7" s="468">
        <f>((((D1/D2)*C7)/360)*0.025)*D7</f>
        <v>1396.3745769230768</v>
      </c>
      <c r="F7" s="467">
        <v>8186.1</v>
      </c>
      <c r="G7" s="468">
        <f>((((D1/D2)*C7)/360)*0.025)*F7</f>
        <v>1607.30925</v>
      </c>
      <c r="H7" s="467">
        <v>9248.7000000000007</v>
      </c>
      <c r="I7" s="468">
        <f>((((D1/D2)*C7)/360)*0.025)*H7</f>
        <v>1815.9466730769232</v>
      </c>
      <c r="J7" s="469">
        <v>10205.700000000001</v>
      </c>
      <c r="K7" s="470">
        <f>((((D1/D2)*C7)/360)*0.025)*J7</f>
        <v>2003.8499423076923</v>
      </c>
      <c r="L7" s="295"/>
      <c r="M7" s="295"/>
    </row>
    <row r="8" spans="1:13" ht="11.25" customHeight="1" x14ac:dyDescent="0.3">
      <c r="A8" s="465">
        <v>43</v>
      </c>
      <c r="B8" s="465">
        <v>2024</v>
      </c>
      <c r="C8" s="466">
        <v>25</v>
      </c>
      <c r="D8" s="467">
        <v>7111.8</v>
      </c>
      <c r="E8" s="468">
        <f>((((D1/D2)*C8)/360)*0.025)*D8</f>
        <v>1454.5568509615384</v>
      </c>
      <c r="F8" s="467">
        <v>8186.1</v>
      </c>
      <c r="G8" s="468">
        <f>((((D1/D2)*C8)/360)*0.025)*F8</f>
        <v>1674.28046875</v>
      </c>
      <c r="H8" s="467">
        <v>9248.7000000000007</v>
      </c>
      <c r="I8" s="468">
        <f>((((D1/D2)*C8)/360)*0.025)*H8</f>
        <v>1891.6111177884616</v>
      </c>
      <c r="J8" s="469">
        <v>10205.700000000001</v>
      </c>
      <c r="K8" s="470">
        <f>((((D1/D2)*C8)/360)*0.025)*J8</f>
        <v>2087.3436899038461</v>
      </c>
      <c r="L8" s="295"/>
      <c r="M8" s="295"/>
    </row>
    <row r="9" spans="1:13" ht="11.25" customHeight="1" x14ac:dyDescent="0.3">
      <c r="A9" s="465">
        <v>44</v>
      </c>
      <c r="B9" s="465">
        <v>2025</v>
      </c>
      <c r="C9" s="466">
        <v>26</v>
      </c>
      <c r="D9" s="467">
        <v>7111.8</v>
      </c>
      <c r="E9" s="468">
        <f>((((D1/D2)*C9)/360)*0.025)*D9</f>
        <v>1512.7391250000001</v>
      </c>
      <c r="F9" s="467">
        <v>8447.1</v>
      </c>
      <c r="G9" s="468">
        <f>((((D1/D2)*C9)/360)*0.025)*F9</f>
        <v>1796.7685625000001</v>
      </c>
      <c r="H9" s="467">
        <v>9629.7000000000007</v>
      </c>
      <c r="I9" s="468">
        <f>((((D1/D2)*C9)/360)*0.025)*H9</f>
        <v>2048.3174375000003</v>
      </c>
      <c r="J9" s="469">
        <v>10597.2</v>
      </c>
      <c r="K9" s="470">
        <f>((((D1/D2)*C9)/360)*0.025)*J9</f>
        <v>2254.1127500000002</v>
      </c>
      <c r="L9" s="295"/>
      <c r="M9" s="295"/>
    </row>
    <row r="10" spans="1:13" ht="11.25" customHeight="1" x14ac:dyDescent="0.3">
      <c r="A10" s="465">
        <v>45</v>
      </c>
      <c r="B10" s="465">
        <v>2026</v>
      </c>
      <c r="C10" s="466">
        <v>27</v>
      </c>
      <c r="D10" s="467">
        <v>7111.8</v>
      </c>
      <c r="E10" s="468">
        <f>((((D1/D2)*C10)/360)*0.025)*D10</f>
        <v>1570.9213990384617</v>
      </c>
      <c r="F10" s="467">
        <v>8447.1</v>
      </c>
      <c r="G10" s="468">
        <f>((((D1/D2)*C10)/360)*0.025)*F10</f>
        <v>1865.875045673077</v>
      </c>
      <c r="H10" s="467">
        <v>9629.7000000000007</v>
      </c>
      <c r="I10" s="468">
        <f>((((D1/D2)*C10)/360)*0.025)*H10</f>
        <v>2127.0988774038465</v>
      </c>
      <c r="J10" s="469">
        <v>10597.2</v>
      </c>
      <c r="K10" s="470">
        <f>((((D1/D2)*C10)/360)*0.025)*J10</f>
        <v>2340.8093942307696</v>
      </c>
      <c r="L10" s="295"/>
      <c r="M10" s="295"/>
    </row>
    <row r="11" spans="1:13" ht="11.25" customHeight="1" x14ac:dyDescent="0.3">
      <c r="A11" s="465">
        <v>46</v>
      </c>
      <c r="B11" s="465">
        <v>2027</v>
      </c>
      <c r="C11" s="466">
        <v>28</v>
      </c>
      <c r="D11" s="467">
        <v>7111.8</v>
      </c>
      <c r="E11" s="468">
        <f>((((D1/D2)*C11)/360)*0.025)*D11</f>
        <v>1629.1036730769231</v>
      </c>
      <c r="F11" s="467">
        <v>8447.1</v>
      </c>
      <c r="G11" s="468">
        <f>((((D1/D2)*C11)/360)*0.025)*F11</f>
        <v>1934.9815288461541</v>
      </c>
      <c r="H11" s="467">
        <v>9629.7000000000007</v>
      </c>
      <c r="I11" s="468">
        <f>((((D1/D2)*C11)/360)*0.025)*H11</f>
        <v>2205.8803173076926</v>
      </c>
      <c r="J11" s="469">
        <v>10597.2</v>
      </c>
      <c r="K11" s="470">
        <f>((((D1/D2)*C11)/360)*0.025)*J11</f>
        <v>2427.5060384615385</v>
      </c>
      <c r="L11" s="295"/>
      <c r="M11" s="295"/>
    </row>
    <row r="12" spans="1:13" ht="11.25" customHeight="1" x14ac:dyDescent="0.3">
      <c r="A12" s="465">
        <v>47</v>
      </c>
      <c r="B12" s="465">
        <v>2028</v>
      </c>
      <c r="C12" s="466">
        <v>29</v>
      </c>
      <c r="D12" s="467">
        <v>7111.8</v>
      </c>
      <c r="E12" s="468">
        <f>((((D1/D2)*C12)/360)*0.025)*D12</f>
        <v>1687.2859471153845</v>
      </c>
      <c r="F12" s="467">
        <v>8447.1</v>
      </c>
      <c r="G12" s="468">
        <f>((((D1/D2)*C12)/360)*0.025)*F12</f>
        <v>2004.0880120192307</v>
      </c>
      <c r="H12" s="467">
        <v>9629.7000000000007</v>
      </c>
      <c r="I12" s="468">
        <f>((((D1/D2)*C12)/360)*0.025)*H12</f>
        <v>2284.6617572115383</v>
      </c>
      <c r="J12" s="469">
        <v>10597.2</v>
      </c>
      <c r="K12" s="470">
        <f>((((D1/D2)*C12)/360)*0.025)*J12</f>
        <v>2514.2026826923079</v>
      </c>
      <c r="L12" s="295"/>
      <c r="M12" s="295"/>
    </row>
    <row r="13" spans="1:13" ht="11.25" customHeight="1" x14ac:dyDescent="0.3">
      <c r="A13" s="465">
        <v>48</v>
      </c>
      <c r="B13" s="465">
        <v>2029</v>
      </c>
      <c r="C13" s="466">
        <v>30</v>
      </c>
      <c r="D13" s="467">
        <v>7111.8</v>
      </c>
      <c r="E13" s="468">
        <f>((((D1/D2)*C13)/360)*0.025)*D13</f>
        <v>1745.4682211538461</v>
      </c>
      <c r="F13" s="467">
        <v>8447.1</v>
      </c>
      <c r="G13" s="468">
        <f>((((D1/D2)*C13)/360)*0.025)*F13</f>
        <v>2073.1944951923078</v>
      </c>
      <c r="H13" s="467">
        <v>9821.7000000000007</v>
      </c>
      <c r="I13" s="468">
        <f>((((D1/D2)*C13)/360)*0.025)*H13</f>
        <v>2410.5662740384614</v>
      </c>
      <c r="J13" s="469">
        <v>11128.2</v>
      </c>
      <c r="K13" s="470">
        <f>((((D1/D2)*C13)/360)*0.025)*J13</f>
        <v>2731.2240865384615</v>
      </c>
      <c r="L13" s="295"/>
      <c r="M13" s="295"/>
    </row>
    <row r="14" spans="1:13" ht="11.25" customHeight="1" x14ac:dyDescent="0.3">
      <c r="A14" s="465">
        <v>49</v>
      </c>
      <c r="B14" s="465">
        <v>2030</v>
      </c>
      <c r="C14" s="466">
        <v>31</v>
      </c>
      <c r="D14" s="467">
        <v>7111.8</v>
      </c>
      <c r="E14" s="468">
        <f>((((D1/D2)*C14)/360)*0.025)*D14</f>
        <v>1803.6504951923077</v>
      </c>
      <c r="F14" s="467">
        <v>8447.1</v>
      </c>
      <c r="G14" s="468">
        <f>((((D1/D2)*C14)/360)*0.025)*F14</f>
        <v>2142.3009783653847</v>
      </c>
      <c r="H14" s="467">
        <v>9821.7000000000007</v>
      </c>
      <c r="I14" s="468">
        <f>((((D1/D2)*C14)/360)*0.025)*H14</f>
        <v>2490.9184831730772</v>
      </c>
      <c r="J14" s="469">
        <v>11128.2</v>
      </c>
      <c r="K14" s="470">
        <f>((((D1/D2)*C14)/360)*0.025)*J14</f>
        <v>2822.264889423077</v>
      </c>
      <c r="L14" s="295"/>
      <c r="M14" s="295"/>
    </row>
    <row r="15" spans="1:13" ht="11.25" customHeight="1" x14ac:dyDescent="0.3">
      <c r="A15" s="465">
        <v>50</v>
      </c>
      <c r="B15" s="465">
        <v>2031</v>
      </c>
      <c r="C15" s="466">
        <v>32</v>
      </c>
      <c r="D15" s="467">
        <v>7111.8</v>
      </c>
      <c r="E15" s="468">
        <f>((((D1/D2)*C15)/360)*0.025)*D15</f>
        <v>1861.8327692307694</v>
      </c>
      <c r="F15" s="467">
        <v>8447.1</v>
      </c>
      <c r="G15" s="468">
        <f>((((D1/D2)*C15)/360)*0.025)*F15</f>
        <v>2211.407461538462</v>
      </c>
      <c r="H15" s="467">
        <v>9821.7000000000007</v>
      </c>
      <c r="I15" s="468">
        <f>((((D1/D2)*C15)/360)*0.025)*H15</f>
        <v>2571.2706923076926</v>
      </c>
      <c r="J15" s="469">
        <v>11128.2</v>
      </c>
      <c r="K15" s="470">
        <f>((((D1/D2)*C15)/360)*0.025)*J15</f>
        <v>2913.3056923076929</v>
      </c>
      <c r="L15" s="295"/>
      <c r="M15" s="295"/>
    </row>
    <row r="16" spans="1:13" ht="11.25" customHeight="1" x14ac:dyDescent="0.3">
      <c r="A16" s="465">
        <v>51</v>
      </c>
      <c r="B16" s="465">
        <v>2032</v>
      </c>
      <c r="C16" s="466">
        <v>33</v>
      </c>
      <c r="D16" s="467">
        <v>7111.8</v>
      </c>
      <c r="E16" s="468">
        <f>((((D1/D2)*C16)/360)*0.025)*D16</f>
        <v>1920.0150432692308</v>
      </c>
      <c r="F16" s="467">
        <v>8447.1</v>
      </c>
      <c r="G16" s="468">
        <f>((((D1/D2)*C16)/360)*0.025)*F16</f>
        <v>2280.5139447115384</v>
      </c>
      <c r="H16" s="467">
        <v>9821.7000000000007</v>
      </c>
      <c r="I16" s="468">
        <f>((((D1/D2)*C16)/360)*0.025)*H16</f>
        <v>2651.6229014423079</v>
      </c>
      <c r="J16" s="469">
        <v>11128.2</v>
      </c>
      <c r="K16" s="470">
        <f>((((D1/D2)*C16)/360)*0.025)*J16</f>
        <v>3004.3464951923079</v>
      </c>
      <c r="L16" s="295"/>
      <c r="M16" s="295"/>
    </row>
    <row r="17" spans="1:11" ht="11.25" customHeight="1" x14ac:dyDescent="0.3">
      <c r="A17" s="465">
        <v>52</v>
      </c>
      <c r="B17" s="465">
        <v>2033</v>
      </c>
      <c r="C17" s="466">
        <v>34</v>
      </c>
      <c r="D17" s="467">
        <v>7111.8</v>
      </c>
      <c r="E17" s="468">
        <f>((((D1/D2)*C17)/360)*0.025)*D17</f>
        <v>1978.1973173076926</v>
      </c>
      <c r="F17" s="467">
        <v>8447.1</v>
      </c>
      <c r="G17" s="468">
        <f>((((D1/D2)*C17)/360)*0.025)*F17</f>
        <v>2349.6204278846158</v>
      </c>
      <c r="H17" s="467">
        <v>9821.7000000000007</v>
      </c>
      <c r="I17" s="468">
        <f>((((D1/D2)*C17)/360)*0.025)*H17</f>
        <v>2731.9751105769237</v>
      </c>
      <c r="J17" s="469">
        <v>11683.5</v>
      </c>
      <c r="K17" s="470">
        <f>((((D1/D2)*C17)/360)*0.025)*J17</f>
        <v>3249.8479086538464</v>
      </c>
    </row>
    <row r="18" spans="1:11" ht="11.25" customHeight="1" x14ac:dyDescent="0.3">
      <c r="A18" s="465">
        <v>53</v>
      </c>
      <c r="B18" s="465">
        <v>2034</v>
      </c>
      <c r="C18" s="466">
        <v>35</v>
      </c>
      <c r="D18" s="467">
        <v>7111.8</v>
      </c>
      <c r="E18" s="468">
        <f>((((D1/D2)*C18)/360)*0.025)*D18</f>
        <v>2036.379591346154</v>
      </c>
      <c r="F18" s="467">
        <v>8447.1</v>
      </c>
      <c r="G18" s="468">
        <f>((((D1/D2)*C18)/360)*0.025)*F18</f>
        <v>2418.7269110576926</v>
      </c>
      <c r="H18" s="467">
        <v>9821.7000000000007</v>
      </c>
      <c r="I18" s="468">
        <f>((((D1/D2)*C18)/360)*0.025)*H18</f>
        <v>2812.3273197115386</v>
      </c>
      <c r="J18" s="469">
        <v>11683.5</v>
      </c>
      <c r="K18" s="470">
        <f>((((D1/D2)*C18)/360)*0.025)*J18</f>
        <v>3345.431670673077</v>
      </c>
    </row>
    <row r="19" spans="1:11" ht="11.25" customHeight="1" x14ac:dyDescent="0.3">
      <c r="A19" s="465">
        <v>54</v>
      </c>
      <c r="B19" s="465">
        <v>2035</v>
      </c>
      <c r="C19" s="466">
        <v>36</v>
      </c>
      <c r="D19" s="467">
        <v>7111.8</v>
      </c>
      <c r="E19" s="468">
        <f>((((D1/D2)*C19)/360)*0.025)*D19</f>
        <v>2094.5618653846154</v>
      </c>
      <c r="F19" s="467">
        <v>8447.1</v>
      </c>
      <c r="G19" s="468">
        <f>((((D1/D2)*C19)/360)*0.025)*F19</f>
        <v>2487.833394230769</v>
      </c>
      <c r="H19" s="467">
        <v>9821.7000000000007</v>
      </c>
      <c r="I19" s="468">
        <f>((((D1/D2)*C19)/360)*0.025)*H19</f>
        <v>2892.679528846154</v>
      </c>
      <c r="J19" s="469">
        <v>11683.5</v>
      </c>
      <c r="K19" s="470">
        <f>((((D1/D2)*C19)/360)*0.025)*J19</f>
        <v>3441.0154326923075</v>
      </c>
    </row>
    <row r="20" spans="1:11" ht="11.25" customHeight="1" x14ac:dyDescent="0.3">
      <c r="A20" s="465">
        <v>55</v>
      </c>
      <c r="B20" s="465">
        <v>2036</v>
      </c>
      <c r="C20" s="466">
        <v>37</v>
      </c>
      <c r="D20" s="467">
        <v>7111.8</v>
      </c>
      <c r="E20" s="468">
        <f>((((D1/D2)*C20)/360)*0.025)*D20</f>
        <v>2152.7441394230773</v>
      </c>
      <c r="F20" s="467">
        <v>8447.1</v>
      </c>
      <c r="G20" s="468">
        <f>((((D1/D2)*C20)/360)*0.025)*F20</f>
        <v>2556.9398774038464</v>
      </c>
      <c r="H20" s="467">
        <v>9821.7000000000007</v>
      </c>
      <c r="I20" s="468">
        <f>((((D1/D2)*C20)/360)*0.025)*H20</f>
        <v>2973.0317379807698</v>
      </c>
      <c r="J20" s="469">
        <v>11683.5</v>
      </c>
      <c r="K20" s="470">
        <f>((((D1/D2)*C20)/360)*0.025)*J20</f>
        <v>3536.5991947115385</v>
      </c>
    </row>
    <row r="21" spans="1:11" ht="11.25" customHeight="1" x14ac:dyDescent="0.3">
      <c r="A21" s="465">
        <v>56</v>
      </c>
      <c r="B21" s="465">
        <v>2037</v>
      </c>
      <c r="C21" s="466">
        <v>38</v>
      </c>
      <c r="D21" s="467">
        <v>7111.8</v>
      </c>
      <c r="E21" s="468">
        <f>((((D1/D2)*C21)/360)*0.025)*D21</f>
        <v>2210.9264134615387</v>
      </c>
      <c r="F21" s="467">
        <v>8447.1</v>
      </c>
      <c r="G21" s="468">
        <f>((((D1/D2)*C21)/360)*0.025)*F21</f>
        <v>2626.0463605769237</v>
      </c>
      <c r="H21" s="467">
        <v>9821.7000000000007</v>
      </c>
      <c r="I21" s="468">
        <f>((((D1/D2)*C21)/360)*0.025)*H21</f>
        <v>3053.3839471153851</v>
      </c>
      <c r="J21" s="469">
        <v>12269.1</v>
      </c>
      <c r="K21" s="470">
        <f>((((D1/D2)*C21)/360)*0.025)*J21</f>
        <v>3814.2351105769239</v>
      </c>
    </row>
    <row r="22" spans="1:11" ht="11.25" customHeight="1" x14ac:dyDescent="0.3">
      <c r="A22" s="465">
        <v>57</v>
      </c>
      <c r="B22" s="465">
        <v>2038</v>
      </c>
      <c r="C22" s="466">
        <v>39</v>
      </c>
      <c r="D22" s="467">
        <v>7111.8</v>
      </c>
      <c r="E22" s="468">
        <f>((((D1/D2)*C22)/360)*0.025)*D22</f>
        <v>2269.1086875000001</v>
      </c>
      <c r="F22" s="467">
        <v>8447.1</v>
      </c>
      <c r="G22" s="468">
        <f>((((D1/D2)*C22)/360)*0.025)*F22</f>
        <v>2695.1528437500006</v>
      </c>
      <c r="H22" s="467">
        <v>9821.7000000000007</v>
      </c>
      <c r="I22" s="468">
        <f>((((D1/D2)*C22)/360)*0.025)*H22</f>
        <v>3133.7361562500005</v>
      </c>
      <c r="J22" s="469">
        <v>12269.1</v>
      </c>
      <c r="K22" s="470">
        <f>((((D1/D2)*C22)/360)*0.025)*J22</f>
        <v>3914.6097187500004</v>
      </c>
    </row>
    <row r="23" spans="1:11" ht="11.25" customHeight="1" x14ac:dyDescent="0.3">
      <c r="A23" s="465">
        <v>58</v>
      </c>
      <c r="B23" s="465">
        <v>2039</v>
      </c>
      <c r="C23" s="466">
        <v>40</v>
      </c>
      <c r="D23" s="467">
        <v>7111.8</v>
      </c>
      <c r="E23" s="471">
        <f>((((D1/D2)*C23)/360)*0.025)*D23</f>
        <v>2327.2909615384615</v>
      </c>
      <c r="F23" s="467">
        <v>8447.1</v>
      </c>
      <c r="G23" s="471">
        <f>((((D1/D2)*C23)/360)*0.025)*F23</f>
        <v>2764.259326923077</v>
      </c>
      <c r="H23" s="467">
        <v>9821.7000000000007</v>
      </c>
      <c r="I23" s="471">
        <f>((((D1/D2)*C23)/360)*0.025)*H23</f>
        <v>3214.0883653846158</v>
      </c>
      <c r="J23" s="469">
        <v>12269.1</v>
      </c>
      <c r="K23" s="472">
        <f>((((D1/D2)*C23)/360)*0.025)*J23</f>
        <v>4014.9843269230769</v>
      </c>
    </row>
    <row r="24" spans="1:11" ht="11.25" customHeight="1" x14ac:dyDescent="0.3">
      <c r="A24" s="465">
        <v>59</v>
      </c>
      <c r="B24" s="465">
        <v>2040</v>
      </c>
      <c r="C24" s="466">
        <v>41</v>
      </c>
      <c r="D24" s="467">
        <v>7111.8</v>
      </c>
      <c r="E24" s="471">
        <f>((((D1/D2)*C24)/360)*0.025)*D24</f>
        <v>2385.4732355769233</v>
      </c>
      <c r="F24" s="467">
        <v>8447.1</v>
      </c>
      <c r="G24" s="471">
        <f>((((D1/D2)*C24)/360)*0.025)*F24</f>
        <v>2833.3658100961543</v>
      </c>
      <c r="H24" s="467">
        <v>9821.7000000000007</v>
      </c>
      <c r="I24" s="471">
        <f>((((D1/D2)*C24)/360)*0.025)*H24</f>
        <v>3294.4405745192312</v>
      </c>
      <c r="J24" s="469">
        <v>12269.1</v>
      </c>
      <c r="K24" s="472">
        <f>((((D1/D2)*C24)/360)*0.025)*J24</f>
        <v>4115.3589350961547</v>
      </c>
    </row>
    <row r="25" spans="1:11" ht="11.25" customHeight="1" x14ac:dyDescent="0.3">
      <c r="A25" s="465">
        <v>60</v>
      </c>
      <c r="B25" s="465">
        <v>2041</v>
      </c>
      <c r="C25" s="466">
        <v>42</v>
      </c>
      <c r="D25" s="467">
        <v>7111.8</v>
      </c>
      <c r="E25" s="468">
        <f>((((D1/D2)*C25)/360)*0.025)*D25</f>
        <v>2443.6555096153847</v>
      </c>
      <c r="F25" s="467">
        <v>8447.1</v>
      </c>
      <c r="G25" s="468">
        <f>((((D1/D2)*C25)/360)*0.025)*F25</f>
        <v>2902.4722932692312</v>
      </c>
      <c r="H25" s="467">
        <v>9821.7000000000007</v>
      </c>
      <c r="I25" s="468">
        <f>((((D1/D2)*C25)/360)*0.025)*H25</f>
        <v>3374.7927836538465</v>
      </c>
      <c r="J25" s="469">
        <v>12269.1</v>
      </c>
      <c r="K25" s="470">
        <f>((((D1/D2)*C25)/360)*0.025)*J25</f>
        <v>4215.7335432692307</v>
      </c>
    </row>
    <row r="26" spans="1:11" ht="11.25" customHeight="1" x14ac:dyDescent="0.3">
      <c r="A26" s="465">
        <v>61</v>
      </c>
      <c r="B26" s="465">
        <v>2042</v>
      </c>
      <c r="C26" s="466">
        <v>43</v>
      </c>
      <c r="D26" s="467">
        <v>7111.8</v>
      </c>
      <c r="E26" s="468">
        <f>((((D1/D2)*C26)/360)*0.025)*D26</f>
        <v>2501.8377836538466</v>
      </c>
      <c r="F26" s="467">
        <v>8447.1</v>
      </c>
      <c r="G26" s="468">
        <f>((((D1/D2)*C26)/360)*0.025)*F26</f>
        <v>2971.578776442308</v>
      </c>
      <c r="H26" s="467">
        <v>9821.7000000000007</v>
      </c>
      <c r="I26" s="468">
        <f>((((D1/D2)*C26)/360)*0.025)*H26</f>
        <v>3455.1449927884623</v>
      </c>
      <c r="J26" s="469">
        <v>12269.1</v>
      </c>
      <c r="K26" s="470">
        <f>((((D1/D2)*C26)/360)*0.025)*J26</f>
        <v>4316.1081514423086</v>
      </c>
    </row>
    <row r="27" spans="1:11" ht="11.25" customHeight="1" x14ac:dyDescent="0.3">
      <c r="A27" s="465">
        <v>62</v>
      </c>
      <c r="B27" s="465">
        <v>2043</v>
      </c>
      <c r="C27" s="466">
        <v>44</v>
      </c>
      <c r="D27" s="467">
        <v>7111.8</v>
      </c>
      <c r="E27" s="468">
        <f>((((D1/D2)*C27)/360)*0.025)*D27</f>
        <v>2560.0200576923085</v>
      </c>
      <c r="F27" s="467">
        <v>8447.1</v>
      </c>
      <c r="G27" s="468">
        <f>((((D1/D2)*C27)/360)*0.025)*F27</f>
        <v>3040.6852596153853</v>
      </c>
      <c r="H27" s="467">
        <v>9821.7000000000007</v>
      </c>
      <c r="I27" s="468">
        <f>((((D1/D2)*C27)/360)*0.025)*H27</f>
        <v>3535.4972019230781</v>
      </c>
      <c r="J27" s="469">
        <v>12269.1</v>
      </c>
      <c r="K27" s="470">
        <f>((((D1/D2)*C27)/360)*0.025)*J27</f>
        <v>4416.4827596153855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>
      <selection activeCell="H21" sqref="H21"/>
    </sheetView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73"/>
      <c r="B1" s="473" t="s">
        <v>678</v>
      </c>
      <c r="C1" s="473" t="s">
        <v>679</v>
      </c>
      <c r="D1" s="473" t="s">
        <v>680</v>
      </c>
      <c r="E1" s="473" t="s">
        <v>681</v>
      </c>
      <c r="F1" s="473" t="s">
        <v>682</v>
      </c>
      <c r="G1" s="473"/>
      <c r="H1" s="473"/>
    </row>
    <row r="2" spans="1:8" ht="11.25" customHeight="1" x14ac:dyDescent="0.3">
      <c r="A2" s="473" t="s">
        <v>683</v>
      </c>
      <c r="B2" s="295" t="s">
        <v>684</v>
      </c>
      <c r="C2" s="473" t="s">
        <v>685</v>
      </c>
      <c r="D2" s="473"/>
      <c r="E2" s="473" t="s">
        <v>686</v>
      </c>
      <c r="F2" s="473"/>
      <c r="G2" s="473"/>
      <c r="H2" s="473"/>
    </row>
    <row r="3" spans="1:8" ht="11.25" customHeight="1" x14ac:dyDescent="0.3">
      <c r="A3" s="473" t="s">
        <v>687</v>
      </c>
      <c r="B3" s="473" t="s">
        <v>688</v>
      </c>
      <c r="C3" s="473" t="s">
        <v>689</v>
      </c>
      <c r="D3" s="473"/>
      <c r="E3" s="473"/>
      <c r="F3" s="473"/>
      <c r="G3" s="473"/>
      <c r="H3" s="473"/>
    </row>
    <row r="4" spans="1:8" ht="11.25" customHeight="1" x14ac:dyDescent="0.3">
      <c r="A4" s="473" t="s">
        <v>690</v>
      </c>
      <c r="B4" s="474" t="s">
        <v>691</v>
      </c>
      <c r="C4" s="473" t="s">
        <v>692</v>
      </c>
      <c r="D4" s="473"/>
      <c r="E4" s="473" t="s">
        <v>693</v>
      </c>
      <c r="F4" s="473"/>
      <c r="G4" s="473"/>
      <c r="H4" s="473"/>
    </row>
    <row r="5" spans="1:8" ht="11.25" customHeight="1" x14ac:dyDescent="0.3">
      <c r="A5" s="473" t="s">
        <v>690</v>
      </c>
      <c r="B5" s="473" t="s">
        <v>694</v>
      </c>
      <c r="C5" s="473" t="s">
        <v>695</v>
      </c>
      <c r="D5" s="473"/>
      <c r="E5" s="473" t="s">
        <v>693</v>
      </c>
      <c r="F5" s="473"/>
      <c r="G5" s="473"/>
      <c r="H5" s="473"/>
    </row>
    <row r="6" spans="1:8" ht="11.25" customHeight="1" x14ac:dyDescent="0.3">
      <c r="A6" s="473" t="s">
        <v>624</v>
      </c>
      <c r="B6" s="473" t="s">
        <v>696</v>
      </c>
      <c r="C6" s="473" t="s">
        <v>697</v>
      </c>
      <c r="D6" s="473"/>
      <c r="E6" s="295" t="s">
        <v>698</v>
      </c>
      <c r="F6" s="473"/>
      <c r="G6" s="473"/>
      <c r="H6" s="473"/>
    </row>
    <row r="7" spans="1:8" ht="11.25" customHeight="1" x14ac:dyDescent="0.3">
      <c r="A7" s="473" t="s">
        <v>185</v>
      </c>
      <c r="B7" s="473" t="s">
        <v>699</v>
      </c>
      <c r="C7" s="473" t="s">
        <v>700</v>
      </c>
      <c r="D7" s="473"/>
      <c r="E7" s="473" t="s">
        <v>701</v>
      </c>
      <c r="F7" s="473"/>
      <c r="G7" s="473"/>
      <c r="H7" s="473"/>
    </row>
    <row r="8" spans="1:8" ht="11.25" customHeight="1" x14ac:dyDescent="0.3">
      <c r="A8" s="473" t="s">
        <v>185</v>
      </c>
      <c r="B8" s="473" t="s">
        <v>691</v>
      </c>
      <c r="C8" s="473" t="s">
        <v>702</v>
      </c>
      <c r="D8" s="473"/>
      <c r="E8" s="473"/>
      <c r="F8" s="473"/>
      <c r="G8" s="473"/>
      <c r="H8" s="473"/>
    </row>
    <row r="9" spans="1:8" ht="11.25" customHeight="1" x14ac:dyDescent="0.3">
      <c r="A9" s="473" t="s">
        <v>703</v>
      </c>
      <c r="B9" s="295" t="s">
        <v>704</v>
      </c>
      <c r="C9" s="473" t="s">
        <v>702</v>
      </c>
      <c r="D9" s="473"/>
      <c r="E9" s="473" t="s">
        <v>705</v>
      </c>
      <c r="F9" s="473"/>
      <c r="G9" s="473"/>
      <c r="H9" s="473"/>
    </row>
    <row r="10" spans="1:8" ht="11.25" customHeight="1" x14ac:dyDescent="0.3">
      <c r="A10" s="473" t="s">
        <v>706</v>
      </c>
      <c r="B10" s="473" t="s">
        <v>695</v>
      </c>
      <c r="C10" s="475" t="s">
        <v>707</v>
      </c>
      <c r="D10" s="475"/>
      <c r="E10" s="295" t="s">
        <v>708</v>
      </c>
      <c r="F10" s="473"/>
      <c r="G10" s="473"/>
      <c r="H10" s="473"/>
    </row>
    <row r="11" spans="1:8" ht="11.25" customHeight="1" x14ac:dyDescent="0.3">
      <c r="A11" s="473" t="s">
        <v>709</v>
      </c>
      <c r="B11" s="474" t="s">
        <v>710</v>
      </c>
      <c r="C11" s="473" t="s">
        <v>711</v>
      </c>
      <c r="D11" s="473"/>
      <c r="E11" s="476" t="s">
        <v>712</v>
      </c>
      <c r="F11" s="473"/>
      <c r="G11" s="473" t="s">
        <v>713</v>
      </c>
      <c r="H11" s="473" t="s">
        <v>714</v>
      </c>
    </row>
    <row r="12" spans="1:8" ht="11.25" customHeight="1" x14ac:dyDescent="0.3">
      <c r="A12" s="473" t="s">
        <v>715</v>
      </c>
      <c r="B12" s="473" t="s">
        <v>716</v>
      </c>
      <c r="C12" s="473" t="s">
        <v>717</v>
      </c>
      <c r="D12" s="473"/>
      <c r="E12" s="473" t="s">
        <v>718</v>
      </c>
      <c r="F12" s="473"/>
      <c r="G12" s="473"/>
      <c r="H12" s="473"/>
    </row>
    <row r="13" spans="1:8" ht="11.25" customHeight="1" x14ac:dyDescent="0.3">
      <c r="A13" s="473" t="s">
        <v>352</v>
      </c>
      <c r="B13" s="295" t="s">
        <v>684</v>
      </c>
      <c r="C13" s="473" t="s">
        <v>714</v>
      </c>
      <c r="D13" s="473"/>
      <c r="E13" s="474" t="s">
        <v>719</v>
      </c>
      <c r="F13" s="473"/>
      <c r="G13" s="473"/>
      <c r="H13" s="473"/>
    </row>
    <row r="14" spans="1:8" ht="11.25" customHeight="1" x14ac:dyDescent="0.3">
      <c r="A14" s="473" t="s">
        <v>720</v>
      </c>
      <c r="B14" s="473" t="s">
        <v>691</v>
      </c>
      <c r="C14" s="473" t="s">
        <v>692</v>
      </c>
      <c r="D14" s="473"/>
      <c r="E14" s="477" t="s">
        <v>721</v>
      </c>
      <c r="F14" s="473"/>
      <c r="G14" s="473"/>
      <c r="H14" s="473"/>
    </row>
    <row r="15" spans="1:8" ht="11.25" customHeight="1" x14ac:dyDescent="0.3">
      <c r="A15" s="473" t="s">
        <v>722</v>
      </c>
      <c r="B15" s="473" t="s">
        <v>723</v>
      </c>
      <c r="C15" s="473" t="s">
        <v>724</v>
      </c>
      <c r="D15" s="473"/>
      <c r="E15" s="295" t="s">
        <v>725</v>
      </c>
      <c r="F15" s="473"/>
      <c r="G15" s="473"/>
      <c r="H15" s="473"/>
    </row>
    <row r="16" spans="1:8" ht="11.25" customHeight="1" x14ac:dyDescent="0.3">
      <c r="A16" s="473" t="s">
        <v>726</v>
      </c>
      <c r="B16" s="295" t="s">
        <v>684</v>
      </c>
      <c r="C16" s="473" t="s">
        <v>700</v>
      </c>
      <c r="D16" s="473"/>
      <c r="E16" s="473"/>
      <c r="F16" s="473"/>
      <c r="G16" s="473"/>
      <c r="H16" s="473"/>
    </row>
    <row r="17" spans="1:8" ht="11.25" customHeight="1" x14ac:dyDescent="0.3">
      <c r="A17" s="473" t="s">
        <v>727</v>
      </c>
      <c r="B17" s="474" t="s">
        <v>728</v>
      </c>
      <c r="C17" s="473" t="s">
        <v>700</v>
      </c>
      <c r="D17" s="473"/>
      <c r="E17" s="473"/>
      <c r="F17" s="473"/>
      <c r="G17" s="473"/>
      <c r="H17" s="473"/>
    </row>
    <row r="18" spans="1:8" ht="11.25" customHeight="1" x14ac:dyDescent="0.3">
      <c r="A18" s="473" t="s">
        <v>729</v>
      </c>
      <c r="B18" s="473" t="s">
        <v>691</v>
      </c>
      <c r="C18" s="473" t="s">
        <v>730</v>
      </c>
      <c r="D18" s="473"/>
      <c r="E18" s="473" t="s">
        <v>731</v>
      </c>
      <c r="F18" s="473"/>
      <c r="G18" s="473"/>
      <c r="H18" s="473"/>
    </row>
    <row r="19" spans="1:8" ht="11.25" customHeight="1" x14ac:dyDescent="0.3">
      <c r="A19" s="473" t="s">
        <v>732</v>
      </c>
      <c r="B19" s="474" t="s">
        <v>688</v>
      </c>
      <c r="C19" s="473" t="s">
        <v>733</v>
      </c>
      <c r="D19" s="473"/>
      <c r="E19" s="476" t="s">
        <v>734</v>
      </c>
      <c r="F19" s="473"/>
      <c r="G19" s="473"/>
      <c r="H19" s="473"/>
    </row>
    <row r="20" spans="1:8" ht="11.25" customHeight="1" x14ac:dyDescent="0.3">
      <c r="A20" s="473" t="s">
        <v>735</v>
      </c>
      <c r="B20" s="473" t="s">
        <v>691</v>
      </c>
      <c r="C20" s="473" t="s">
        <v>733</v>
      </c>
      <c r="D20" s="473"/>
      <c r="E20" s="473" t="s">
        <v>734</v>
      </c>
      <c r="F20" s="473"/>
      <c r="G20" s="473"/>
      <c r="H20" s="473"/>
    </row>
    <row r="21" spans="1:8" ht="11.25" customHeight="1" x14ac:dyDescent="0.3">
      <c r="A21" s="473" t="s">
        <v>736</v>
      </c>
      <c r="B21" s="474" t="s">
        <v>688</v>
      </c>
      <c r="C21" s="473" t="s">
        <v>737</v>
      </c>
      <c r="D21" s="473" t="s">
        <v>738</v>
      </c>
      <c r="E21" s="473"/>
      <c r="F21" s="473"/>
      <c r="G21" s="473"/>
      <c r="H21" s="473"/>
    </row>
    <row r="22" spans="1:8" ht="11.25" customHeight="1" x14ac:dyDescent="0.3">
      <c r="A22" s="473" t="s">
        <v>736</v>
      </c>
      <c r="B22" s="473" t="s">
        <v>739</v>
      </c>
      <c r="C22" s="473" t="s">
        <v>740</v>
      </c>
      <c r="D22" s="473" t="s">
        <v>741</v>
      </c>
      <c r="E22" s="473"/>
      <c r="F22" s="473"/>
      <c r="G22" s="473"/>
      <c r="H22" s="473"/>
    </row>
    <row r="23" spans="1:8" ht="11.25" customHeight="1" x14ac:dyDescent="0.3">
      <c r="A23" s="473" t="s">
        <v>742</v>
      </c>
      <c r="B23" s="473" t="s">
        <v>688</v>
      </c>
      <c r="C23" s="473" t="s">
        <v>700</v>
      </c>
      <c r="D23" s="473"/>
      <c r="E23" s="473"/>
      <c r="F23" s="473"/>
      <c r="G23" s="473"/>
      <c r="H23" s="473"/>
    </row>
    <row r="24" spans="1:8" ht="11.25" customHeight="1" x14ac:dyDescent="0.3">
      <c r="A24" s="473" t="s">
        <v>743</v>
      </c>
      <c r="B24" s="473" t="s">
        <v>744</v>
      </c>
      <c r="C24" s="473" t="s">
        <v>692</v>
      </c>
      <c r="D24" s="473"/>
      <c r="E24" s="295" t="s">
        <v>745</v>
      </c>
      <c r="F24" s="473"/>
      <c r="G24" s="473"/>
      <c r="H24" s="473"/>
    </row>
    <row r="25" spans="1:8" ht="11.25" customHeight="1" x14ac:dyDescent="0.3">
      <c r="A25" s="473" t="s">
        <v>97</v>
      </c>
      <c r="B25" s="473" t="s">
        <v>716</v>
      </c>
      <c r="C25" s="473" t="s">
        <v>746</v>
      </c>
      <c r="D25" s="473"/>
      <c r="E25" s="473" t="s">
        <v>747</v>
      </c>
      <c r="F25" s="473"/>
      <c r="G25" s="473"/>
      <c r="H25" s="473"/>
    </row>
    <row r="26" spans="1:8" ht="11.25" customHeight="1" x14ac:dyDescent="0.3">
      <c r="A26" s="473" t="s">
        <v>748</v>
      </c>
      <c r="B26" s="473" t="s">
        <v>691</v>
      </c>
      <c r="C26" s="473" t="s">
        <v>714</v>
      </c>
      <c r="D26" s="473"/>
      <c r="E26" s="473"/>
      <c r="F26" s="473" t="s">
        <v>749</v>
      </c>
      <c r="G26" s="473" t="s">
        <v>750</v>
      </c>
      <c r="H26" s="473"/>
    </row>
    <row r="27" spans="1:8" ht="11.25" customHeight="1" x14ac:dyDescent="0.3">
      <c r="A27" s="473" t="s">
        <v>751</v>
      </c>
      <c r="B27" s="473" t="s">
        <v>691</v>
      </c>
      <c r="C27" s="473" t="s">
        <v>692</v>
      </c>
      <c r="D27" s="475">
        <v>1116</v>
      </c>
      <c r="E27" s="295" t="s">
        <v>752</v>
      </c>
      <c r="F27" s="473"/>
      <c r="G27" s="473"/>
      <c r="H27" s="473"/>
    </row>
    <row r="28" spans="1:8" ht="11.25" customHeight="1" x14ac:dyDescent="0.3">
      <c r="A28" s="473" t="s">
        <v>753</v>
      </c>
      <c r="B28" s="475">
        <v>4403872289</v>
      </c>
      <c r="C28" s="473" t="s">
        <v>692</v>
      </c>
      <c r="D28" s="473"/>
      <c r="E28" s="473" t="s">
        <v>754</v>
      </c>
      <c r="F28" s="473"/>
      <c r="G28" s="473"/>
      <c r="H28" s="473"/>
    </row>
    <row r="29" spans="1:8" ht="11.25" customHeight="1" x14ac:dyDescent="0.3">
      <c r="A29" s="473" t="s">
        <v>755</v>
      </c>
      <c r="B29" s="295" t="s">
        <v>684</v>
      </c>
      <c r="C29" s="473" t="s">
        <v>700</v>
      </c>
      <c r="D29" s="473"/>
      <c r="E29" s="295" t="s">
        <v>756</v>
      </c>
      <c r="F29" s="473" t="s">
        <v>757</v>
      </c>
      <c r="G29" s="473" t="s">
        <v>758</v>
      </c>
      <c r="H29" s="473"/>
    </row>
    <row r="30" spans="1:8" ht="11.25" customHeight="1" x14ac:dyDescent="0.3">
      <c r="A30" s="473" t="s">
        <v>759</v>
      </c>
      <c r="B30" s="473" t="s">
        <v>716</v>
      </c>
      <c r="C30" s="473" t="s">
        <v>760</v>
      </c>
      <c r="D30" s="473"/>
      <c r="E30" s="473"/>
      <c r="F30" s="473"/>
      <c r="G30" s="473"/>
      <c r="H30" s="473"/>
    </row>
    <row r="31" spans="1:8" ht="11.25" customHeight="1" x14ac:dyDescent="0.3">
      <c r="A31" s="473" t="s">
        <v>761</v>
      </c>
      <c r="B31" s="473" t="s">
        <v>691</v>
      </c>
      <c r="C31" s="473" t="s">
        <v>692</v>
      </c>
      <c r="D31" s="473"/>
      <c r="E31" s="473"/>
      <c r="F31" s="473"/>
      <c r="G31" s="473"/>
      <c r="H31" s="473"/>
    </row>
    <row r="32" spans="1:8" ht="11.25" customHeight="1" x14ac:dyDescent="0.3">
      <c r="A32" s="473" t="s">
        <v>762</v>
      </c>
      <c r="B32" s="473" t="s">
        <v>691</v>
      </c>
      <c r="C32" s="473" t="s">
        <v>714</v>
      </c>
      <c r="D32" s="473"/>
      <c r="E32" s="473"/>
      <c r="F32" s="473"/>
      <c r="G32" s="473"/>
      <c r="H32" s="473"/>
    </row>
    <row r="33" spans="1:8" ht="11.25" customHeight="1" x14ac:dyDescent="0.3">
      <c r="A33" s="473" t="s">
        <v>763</v>
      </c>
      <c r="B33" s="476" t="s">
        <v>764</v>
      </c>
      <c r="C33" s="473" t="s">
        <v>714</v>
      </c>
      <c r="D33" s="473"/>
      <c r="E33" s="473"/>
      <c r="F33" s="473"/>
      <c r="G33" s="473"/>
      <c r="H33" s="473"/>
    </row>
    <row r="34" spans="1:8" ht="11.25" customHeight="1" x14ac:dyDescent="0.3">
      <c r="A34" s="473" t="s">
        <v>765</v>
      </c>
      <c r="B34" s="473" t="s">
        <v>766</v>
      </c>
      <c r="C34" s="473"/>
      <c r="D34" s="473"/>
      <c r="E34" s="473"/>
      <c r="F34" s="473"/>
      <c r="G34" s="473"/>
      <c r="H34" s="473"/>
    </row>
    <row r="35" spans="1:8" ht="11.25" customHeight="1" x14ac:dyDescent="0.3">
      <c r="A35" s="473"/>
      <c r="B35" s="473"/>
      <c r="C35" s="473"/>
      <c r="D35" s="473"/>
      <c r="E35" s="473"/>
      <c r="F35" s="473"/>
      <c r="G35" s="473"/>
      <c r="H35" s="473"/>
    </row>
    <row r="36" spans="1:8" ht="11.25" customHeight="1" x14ac:dyDescent="0.3">
      <c r="A36" s="473"/>
      <c r="B36" s="473"/>
      <c r="C36" s="473"/>
      <c r="D36" s="473"/>
      <c r="E36" s="473"/>
      <c r="F36" s="473" t="s">
        <v>767</v>
      </c>
      <c r="G36" s="473"/>
      <c r="H36" s="473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>
      <selection activeCell="H25" sqref="H25"/>
    </sheetView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78"/>
      <c r="C1" s="479"/>
      <c r="E1" s="480"/>
      <c r="G1" s="65"/>
    </row>
    <row r="2" spans="1:10" ht="14.25" customHeight="1" x14ac:dyDescent="0.3">
      <c r="B2" s="478"/>
      <c r="C2" s="479"/>
      <c r="E2" s="480" t="s">
        <v>768</v>
      </c>
      <c r="G2" s="65"/>
      <c r="I2" s="92" t="s">
        <v>769</v>
      </c>
    </row>
    <row r="3" spans="1:10" ht="14.25" customHeight="1" x14ac:dyDescent="0.3">
      <c r="A3" s="92" t="s">
        <v>770</v>
      </c>
      <c r="B3" s="478"/>
      <c r="C3" s="479"/>
      <c r="E3" s="480" t="s">
        <v>771</v>
      </c>
      <c r="F3" s="92" t="s">
        <v>772</v>
      </c>
      <c r="G3" s="65"/>
      <c r="I3" s="481">
        <v>0.46899999999999997</v>
      </c>
      <c r="J3" s="92" t="s">
        <v>773</v>
      </c>
    </row>
    <row r="4" spans="1:10" ht="14.25" customHeight="1" x14ac:dyDescent="0.3">
      <c r="B4" s="478"/>
      <c r="C4" s="479"/>
      <c r="E4" s="480"/>
      <c r="G4" s="65"/>
    </row>
    <row r="5" spans="1:10" ht="14.25" customHeight="1" x14ac:dyDescent="0.3">
      <c r="B5" s="478"/>
      <c r="C5" s="479"/>
      <c r="E5" s="480"/>
      <c r="G5" s="65"/>
    </row>
    <row r="6" spans="1:10" ht="14.25" customHeight="1" x14ac:dyDescent="0.3">
      <c r="A6" s="92" t="s">
        <v>774</v>
      </c>
      <c r="B6" s="478"/>
      <c r="C6" s="479"/>
      <c r="E6" s="480" t="s">
        <v>775</v>
      </c>
      <c r="F6" s="92" t="s">
        <v>720</v>
      </c>
      <c r="G6" s="65"/>
      <c r="I6" s="482">
        <v>0.46899999999999997</v>
      </c>
      <c r="J6" s="92" t="s">
        <v>773</v>
      </c>
    </row>
    <row r="7" spans="1:10" ht="14.25" customHeight="1" x14ac:dyDescent="0.3">
      <c r="B7" s="478"/>
      <c r="C7" s="479"/>
      <c r="E7" s="480"/>
      <c r="G7" s="65"/>
    </row>
    <row r="8" spans="1:10" ht="14.25" customHeight="1" x14ac:dyDescent="0.3">
      <c r="B8" s="478"/>
      <c r="C8" s="479"/>
      <c r="E8" s="480"/>
      <c r="G8" s="65"/>
    </row>
    <row r="9" spans="1:10" ht="14.25" customHeight="1" x14ac:dyDescent="0.3">
      <c r="B9" s="478"/>
      <c r="C9" s="479"/>
      <c r="E9" s="480"/>
      <c r="G9" s="65"/>
    </row>
    <row r="10" spans="1:10" ht="14.25" customHeight="1" x14ac:dyDescent="0.3">
      <c r="B10" s="478"/>
      <c r="C10" s="479"/>
      <c r="E10" s="480"/>
      <c r="G10" s="65"/>
    </row>
    <row r="11" spans="1:10" ht="14.25" customHeight="1" x14ac:dyDescent="0.3">
      <c r="B11" s="478" t="s">
        <v>776</v>
      </c>
      <c r="C11" s="479" t="s">
        <v>777</v>
      </c>
      <c r="D11" s="86" t="s">
        <v>778</v>
      </c>
      <c r="E11" s="480" t="s">
        <v>779</v>
      </c>
      <c r="F11" s="86" t="s">
        <v>780</v>
      </c>
      <c r="G11" s="65" t="s">
        <v>781</v>
      </c>
      <c r="H11" s="86" t="s">
        <v>782</v>
      </c>
    </row>
    <row r="12" spans="1:10" ht="14.25" customHeight="1" x14ac:dyDescent="0.3">
      <c r="A12" s="86" t="s">
        <v>783</v>
      </c>
      <c r="B12" s="478">
        <v>110059119914</v>
      </c>
      <c r="C12" s="483" t="s">
        <v>784</v>
      </c>
      <c r="D12" s="86" t="s">
        <v>772</v>
      </c>
      <c r="E12" s="480">
        <v>8.2900000000000001E-2</v>
      </c>
      <c r="F12" s="86" t="s">
        <v>785</v>
      </c>
      <c r="G12" s="65">
        <v>45878</v>
      </c>
    </row>
    <row r="13" spans="1:10" ht="14.25" customHeight="1" x14ac:dyDescent="0.3">
      <c r="A13" s="86" t="s">
        <v>149</v>
      </c>
      <c r="B13" s="478">
        <v>110154325473</v>
      </c>
      <c r="C13" s="479" t="s">
        <v>786</v>
      </c>
      <c r="D13" s="86" t="s">
        <v>772</v>
      </c>
      <c r="E13" s="480">
        <v>8.2900000000000001E-2</v>
      </c>
      <c r="F13" s="86" t="s">
        <v>785</v>
      </c>
      <c r="G13" s="65">
        <v>45878</v>
      </c>
    </row>
    <row r="14" spans="1:10" ht="14.25" customHeight="1" x14ac:dyDescent="0.3">
      <c r="B14" s="478"/>
      <c r="C14" s="479"/>
      <c r="E14" s="480"/>
      <c r="G14" s="65"/>
    </row>
    <row r="15" spans="1:10" ht="14.25" customHeight="1" x14ac:dyDescent="0.3">
      <c r="B15" s="478"/>
      <c r="C15" s="479"/>
      <c r="E15" s="480"/>
      <c r="G15" s="65"/>
    </row>
    <row r="16" spans="1:10" ht="14.25" customHeight="1" x14ac:dyDescent="0.3">
      <c r="B16" s="478"/>
      <c r="C16" s="479"/>
      <c r="E16" s="480"/>
      <c r="G16" s="65"/>
    </row>
    <row r="17" spans="2:7" ht="14.25" customHeight="1" x14ac:dyDescent="0.3">
      <c r="B17" s="478"/>
      <c r="C17" s="479"/>
      <c r="E17" s="480"/>
      <c r="G17" s="65"/>
    </row>
    <row r="18" spans="2:7" ht="14.25" customHeight="1" x14ac:dyDescent="0.3">
      <c r="B18" s="478"/>
      <c r="C18" s="479"/>
      <c r="E18" s="480"/>
      <c r="G18" s="65"/>
    </row>
    <row r="19" spans="2:7" ht="14.25" customHeight="1" x14ac:dyDescent="0.3">
      <c r="B19" s="478"/>
      <c r="C19" s="479"/>
      <c r="E19" s="480"/>
      <c r="G19" s="65"/>
    </row>
    <row r="20" spans="2:7" ht="14.25" customHeight="1" x14ac:dyDescent="0.3">
      <c r="B20" s="478"/>
      <c r="C20" s="479"/>
      <c r="E20" s="480"/>
      <c r="G20" s="65"/>
    </row>
    <row r="21" spans="2:7" ht="14.25" customHeight="1" x14ac:dyDescent="0.3">
      <c r="B21" s="478"/>
      <c r="C21" s="479"/>
      <c r="E21" s="480"/>
      <c r="G21" s="65"/>
    </row>
    <row r="22" spans="2:7" ht="14.25" customHeight="1" x14ac:dyDescent="0.3">
      <c r="B22" s="478"/>
      <c r="C22" s="479"/>
      <c r="E22" s="480"/>
      <c r="G22" s="65"/>
    </row>
    <row r="23" spans="2:7" ht="14.25" customHeight="1" x14ac:dyDescent="0.3">
      <c r="B23" s="478"/>
      <c r="C23" s="479"/>
      <c r="E23" s="480"/>
      <c r="G23" s="65"/>
    </row>
    <row r="24" spans="2:7" ht="14.25" customHeight="1" x14ac:dyDescent="0.3">
      <c r="B24" s="478"/>
      <c r="C24" s="479"/>
      <c r="E24" s="480"/>
      <c r="G24" s="65"/>
    </row>
    <row r="25" spans="2:7" ht="14.25" customHeight="1" x14ac:dyDescent="0.3">
      <c r="B25" s="478"/>
      <c r="C25" s="479"/>
      <c r="E25" s="480"/>
      <c r="G25" s="65"/>
    </row>
    <row r="26" spans="2:7" ht="14.25" customHeight="1" x14ac:dyDescent="0.3">
      <c r="B26" s="478"/>
      <c r="C26" s="479"/>
      <c r="E26" s="480"/>
      <c r="G26" s="65"/>
    </row>
    <row r="27" spans="2:7" ht="14.25" customHeight="1" x14ac:dyDescent="0.3">
      <c r="B27" s="478"/>
      <c r="C27" s="479"/>
      <c r="E27" s="480"/>
      <c r="G27" s="65"/>
    </row>
    <row r="28" spans="2:7" ht="14.25" customHeight="1" x14ac:dyDescent="0.3">
      <c r="B28" s="478"/>
      <c r="C28" s="479"/>
      <c r="E28" s="480"/>
      <c r="G28" s="65"/>
    </row>
    <row r="29" spans="2:7" ht="14.25" customHeight="1" x14ac:dyDescent="0.3">
      <c r="B29" s="478"/>
      <c r="C29" s="479"/>
      <c r="E29" s="480"/>
      <c r="G29" s="65"/>
    </row>
    <row r="30" spans="2:7" ht="14.25" customHeight="1" x14ac:dyDescent="0.3">
      <c r="B30" s="478"/>
      <c r="C30" s="479"/>
      <c r="E30" s="480"/>
      <c r="G30" s="65"/>
    </row>
    <row r="31" spans="2:7" ht="14.25" customHeight="1" x14ac:dyDescent="0.3">
      <c r="B31" s="478"/>
      <c r="C31" s="479"/>
      <c r="E31" s="480"/>
      <c r="G31" s="65"/>
    </row>
    <row r="32" spans="2:7" ht="14.25" customHeight="1" x14ac:dyDescent="0.3">
      <c r="B32" s="478"/>
      <c r="C32" s="479"/>
      <c r="E32" s="480"/>
      <c r="G32" s="65"/>
    </row>
    <row r="33" spans="2:7" ht="14.25" customHeight="1" x14ac:dyDescent="0.3">
      <c r="B33" s="478"/>
      <c r="C33" s="479"/>
      <c r="E33" s="480"/>
      <c r="G33" s="65"/>
    </row>
    <row r="34" spans="2:7" ht="14.25" customHeight="1" x14ac:dyDescent="0.3">
      <c r="B34" s="478"/>
      <c r="C34" s="479"/>
      <c r="E34" s="480"/>
      <c r="G34" s="65"/>
    </row>
    <row r="35" spans="2:7" ht="14.25" customHeight="1" x14ac:dyDescent="0.3">
      <c r="B35" s="478"/>
      <c r="C35" s="479"/>
      <c r="E35" s="480"/>
      <c r="G35" s="65"/>
    </row>
    <row r="36" spans="2:7" ht="14.25" customHeight="1" x14ac:dyDescent="0.3">
      <c r="B36" s="478"/>
      <c r="C36" s="479"/>
      <c r="E36" s="480"/>
      <c r="G36" s="65"/>
    </row>
    <row r="37" spans="2:7" ht="14.25" customHeight="1" x14ac:dyDescent="0.3">
      <c r="B37" s="478"/>
      <c r="C37" s="479"/>
      <c r="E37" s="480"/>
      <c r="G37" s="65"/>
    </row>
    <row r="38" spans="2:7" ht="14.25" customHeight="1" x14ac:dyDescent="0.3">
      <c r="B38" s="478"/>
      <c r="C38" s="479"/>
      <c r="E38" s="480"/>
      <c r="G38" s="65"/>
    </row>
    <row r="39" spans="2:7" ht="14.25" customHeight="1" x14ac:dyDescent="0.3">
      <c r="B39" s="478"/>
      <c r="C39" s="479"/>
      <c r="E39" s="480"/>
      <c r="G39" s="65"/>
    </row>
    <row r="40" spans="2:7" ht="14.25" customHeight="1" x14ac:dyDescent="0.3">
      <c r="B40" s="478"/>
      <c r="C40" s="479"/>
      <c r="E40" s="480"/>
      <c r="G40" s="65"/>
    </row>
    <row r="41" spans="2:7" ht="14.25" customHeight="1" x14ac:dyDescent="0.3">
      <c r="B41" s="478"/>
      <c r="C41" s="479"/>
      <c r="E41" s="480"/>
      <c r="G41" s="65"/>
    </row>
    <row r="42" spans="2:7" ht="14.25" customHeight="1" x14ac:dyDescent="0.3">
      <c r="B42" s="478"/>
      <c r="C42" s="479"/>
      <c r="E42" s="480"/>
      <c r="G42" s="65"/>
    </row>
    <row r="43" spans="2:7" ht="14.25" customHeight="1" x14ac:dyDescent="0.3">
      <c r="B43" s="478"/>
      <c r="C43" s="479"/>
      <c r="E43" s="480"/>
      <c r="G43" s="65"/>
    </row>
    <row r="44" spans="2:7" ht="14.25" customHeight="1" x14ac:dyDescent="0.3">
      <c r="B44" s="478"/>
      <c r="C44" s="479"/>
      <c r="E44" s="480"/>
      <c r="G44" s="65"/>
    </row>
    <row r="45" spans="2:7" ht="14.25" customHeight="1" x14ac:dyDescent="0.3">
      <c r="B45" s="478"/>
      <c r="C45" s="479"/>
      <c r="E45" s="480"/>
      <c r="G45" s="65"/>
    </row>
    <row r="46" spans="2:7" ht="14.25" customHeight="1" x14ac:dyDescent="0.3">
      <c r="B46" s="478"/>
      <c r="C46" s="479"/>
      <c r="E46" s="480"/>
      <c r="G46" s="65"/>
    </row>
    <row r="47" spans="2:7" ht="14.25" customHeight="1" x14ac:dyDescent="0.3">
      <c r="B47" s="478"/>
      <c r="C47" s="479"/>
      <c r="E47" s="480"/>
      <c r="G47" s="65"/>
    </row>
    <row r="48" spans="2:7" ht="14.25" customHeight="1" x14ac:dyDescent="0.3">
      <c r="B48" s="478"/>
      <c r="C48" s="479"/>
      <c r="E48" s="480"/>
      <c r="G48" s="65"/>
    </row>
    <row r="49" spans="2:7" ht="14.25" customHeight="1" x14ac:dyDescent="0.3">
      <c r="B49" s="478"/>
      <c r="C49" s="479"/>
      <c r="E49" s="480"/>
      <c r="G49" s="65"/>
    </row>
    <row r="50" spans="2:7" ht="14.25" customHeight="1" x14ac:dyDescent="0.3">
      <c r="B50" s="478"/>
      <c r="C50" s="479"/>
      <c r="E50" s="480"/>
      <c r="G50" s="65"/>
    </row>
    <row r="51" spans="2:7" ht="14.25" customHeight="1" x14ac:dyDescent="0.3">
      <c r="B51" s="478"/>
      <c r="C51" s="479"/>
      <c r="E51" s="480"/>
      <c r="G51" s="65"/>
    </row>
    <row r="52" spans="2:7" ht="14.25" customHeight="1" x14ac:dyDescent="0.3">
      <c r="B52" s="478"/>
      <c r="C52" s="479"/>
      <c r="E52" s="480"/>
      <c r="G52" s="65"/>
    </row>
    <row r="53" spans="2:7" ht="14.25" customHeight="1" x14ac:dyDescent="0.3">
      <c r="B53" s="478"/>
      <c r="C53" s="479"/>
      <c r="E53" s="480"/>
      <c r="G53" s="65"/>
    </row>
    <row r="54" spans="2:7" ht="14.25" customHeight="1" x14ac:dyDescent="0.3">
      <c r="B54" s="478"/>
      <c r="C54" s="479"/>
      <c r="E54" s="480"/>
      <c r="G54" s="65"/>
    </row>
    <row r="55" spans="2:7" ht="14.25" customHeight="1" x14ac:dyDescent="0.3">
      <c r="B55" s="478"/>
      <c r="C55" s="479"/>
      <c r="E55" s="480"/>
      <c r="G55" s="65"/>
    </row>
    <row r="56" spans="2:7" ht="14.25" customHeight="1" x14ac:dyDescent="0.3">
      <c r="B56" s="478"/>
      <c r="C56" s="479"/>
      <c r="E56" s="480"/>
      <c r="G56" s="65"/>
    </row>
    <row r="57" spans="2:7" ht="14.25" customHeight="1" x14ac:dyDescent="0.3">
      <c r="B57" s="478"/>
      <c r="C57" s="479"/>
      <c r="E57" s="480"/>
      <c r="G57" s="65"/>
    </row>
    <row r="58" spans="2:7" ht="14.25" customHeight="1" x14ac:dyDescent="0.3">
      <c r="B58" s="478"/>
      <c r="C58" s="479"/>
      <c r="E58" s="480"/>
      <c r="G58" s="65"/>
    </row>
    <row r="59" spans="2:7" ht="14.25" customHeight="1" x14ac:dyDescent="0.3">
      <c r="B59" s="478"/>
      <c r="C59" s="479"/>
      <c r="E59" s="480"/>
      <c r="G59" s="65"/>
    </row>
    <row r="60" spans="2:7" ht="14.25" customHeight="1" x14ac:dyDescent="0.3">
      <c r="B60" s="478"/>
      <c r="C60" s="479"/>
      <c r="E60" s="480"/>
      <c r="G60" s="65"/>
    </row>
    <row r="61" spans="2:7" ht="14.25" customHeight="1" x14ac:dyDescent="0.3">
      <c r="B61" s="478"/>
      <c r="C61" s="479"/>
      <c r="E61" s="480"/>
      <c r="G61" s="65"/>
    </row>
    <row r="62" spans="2:7" ht="14.25" customHeight="1" x14ac:dyDescent="0.3">
      <c r="B62" s="478"/>
      <c r="C62" s="479"/>
      <c r="E62" s="480"/>
      <c r="G62" s="65"/>
    </row>
    <row r="63" spans="2:7" ht="14.25" customHeight="1" x14ac:dyDescent="0.3">
      <c r="B63" s="478"/>
      <c r="C63" s="479"/>
      <c r="E63" s="480"/>
      <c r="G63" s="65"/>
    </row>
    <row r="64" spans="2:7" ht="14.25" customHeight="1" x14ac:dyDescent="0.3">
      <c r="B64" s="478"/>
      <c r="C64" s="479"/>
      <c r="E64" s="480"/>
      <c r="G64" s="65"/>
    </row>
    <row r="65" spans="2:7" ht="14.25" customHeight="1" x14ac:dyDescent="0.3">
      <c r="B65" s="478"/>
      <c r="C65" s="479"/>
      <c r="E65" s="480"/>
      <c r="G65" s="65"/>
    </row>
    <row r="66" spans="2:7" ht="14.25" customHeight="1" x14ac:dyDescent="0.3">
      <c r="B66" s="478"/>
      <c r="C66" s="479"/>
      <c r="E66" s="480"/>
      <c r="G66" s="65"/>
    </row>
    <row r="67" spans="2:7" ht="14.25" customHeight="1" x14ac:dyDescent="0.3">
      <c r="B67" s="478"/>
      <c r="C67" s="479"/>
      <c r="E67" s="480"/>
      <c r="G67" s="65"/>
    </row>
    <row r="68" spans="2:7" ht="14.25" customHeight="1" x14ac:dyDescent="0.3">
      <c r="B68" s="478"/>
      <c r="C68" s="479"/>
      <c r="E68" s="480"/>
      <c r="G68" s="65"/>
    </row>
    <row r="69" spans="2:7" ht="14.25" customHeight="1" x14ac:dyDescent="0.3">
      <c r="B69" s="478"/>
      <c r="C69" s="479"/>
      <c r="E69" s="480"/>
      <c r="G69" s="65"/>
    </row>
    <row r="70" spans="2:7" ht="14.25" customHeight="1" x14ac:dyDescent="0.3">
      <c r="B70" s="478"/>
      <c r="C70" s="479"/>
      <c r="E70" s="480"/>
      <c r="G70" s="65"/>
    </row>
    <row r="71" spans="2:7" ht="14.25" customHeight="1" x14ac:dyDescent="0.3">
      <c r="B71" s="478"/>
      <c r="C71" s="479"/>
      <c r="E71" s="480"/>
      <c r="G71" s="65"/>
    </row>
    <row r="72" spans="2:7" ht="14.25" customHeight="1" x14ac:dyDescent="0.3">
      <c r="B72" s="478"/>
      <c r="C72" s="479"/>
      <c r="E72" s="480"/>
      <c r="G72" s="65"/>
    </row>
    <row r="73" spans="2:7" ht="14.25" customHeight="1" x14ac:dyDescent="0.3">
      <c r="B73" s="478"/>
      <c r="C73" s="479"/>
      <c r="E73" s="480"/>
      <c r="G73" s="65"/>
    </row>
    <row r="74" spans="2:7" ht="14.25" customHeight="1" x14ac:dyDescent="0.3">
      <c r="B74" s="478"/>
      <c r="C74" s="479"/>
      <c r="E74" s="480"/>
      <c r="G74" s="65"/>
    </row>
    <row r="75" spans="2:7" ht="14.25" customHeight="1" x14ac:dyDescent="0.3">
      <c r="B75" s="478"/>
      <c r="C75" s="479"/>
      <c r="E75" s="480"/>
      <c r="G75" s="65"/>
    </row>
    <row r="76" spans="2:7" ht="14.25" customHeight="1" x14ac:dyDescent="0.3">
      <c r="B76" s="478"/>
      <c r="C76" s="479"/>
      <c r="E76" s="480"/>
      <c r="G76" s="65"/>
    </row>
    <row r="77" spans="2:7" ht="14.25" customHeight="1" x14ac:dyDescent="0.3">
      <c r="B77" s="478"/>
      <c r="C77" s="479"/>
      <c r="E77" s="480"/>
      <c r="G77" s="65"/>
    </row>
    <row r="78" spans="2:7" ht="14.25" customHeight="1" x14ac:dyDescent="0.3">
      <c r="B78" s="478"/>
      <c r="C78" s="479"/>
      <c r="E78" s="480"/>
      <c r="G78" s="65"/>
    </row>
    <row r="79" spans="2:7" ht="14.25" customHeight="1" x14ac:dyDescent="0.3">
      <c r="B79" s="478"/>
      <c r="C79" s="479"/>
      <c r="E79" s="480"/>
      <c r="G79" s="65"/>
    </row>
    <row r="80" spans="2:7" ht="14.25" customHeight="1" x14ac:dyDescent="0.3">
      <c r="B80" s="478"/>
      <c r="C80" s="479"/>
      <c r="E80" s="480"/>
      <c r="G80" s="65"/>
    </row>
    <row r="81" spans="2:7" ht="14.25" customHeight="1" x14ac:dyDescent="0.3">
      <c r="B81" s="478"/>
      <c r="C81" s="479"/>
      <c r="E81" s="480"/>
      <c r="G81" s="65"/>
    </row>
    <row r="82" spans="2:7" ht="14.25" customHeight="1" x14ac:dyDescent="0.3">
      <c r="B82" s="478"/>
      <c r="C82" s="479"/>
      <c r="E82" s="480"/>
      <c r="G82" s="65"/>
    </row>
    <row r="83" spans="2:7" ht="14.25" customHeight="1" x14ac:dyDescent="0.3">
      <c r="B83" s="478"/>
      <c r="C83" s="479"/>
      <c r="E83" s="480"/>
      <c r="G83" s="65"/>
    </row>
    <row r="84" spans="2:7" ht="14.25" customHeight="1" x14ac:dyDescent="0.3">
      <c r="B84" s="478"/>
      <c r="C84" s="479"/>
      <c r="E84" s="480"/>
      <c r="G84" s="65"/>
    </row>
    <row r="85" spans="2:7" ht="14.25" customHeight="1" x14ac:dyDescent="0.3">
      <c r="B85" s="478"/>
      <c r="C85" s="479"/>
      <c r="E85" s="480"/>
      <c r="G85" s="65"/>
    </row>
    <row r="86" spans="2:7" ht="14.25" customHeight="1" x14ac:dyDescent="0.3">
      <c r="B86" s="478"/>
      <c r="C86" s="479"/>
      <c r="E86" s="480"/>
      <c r="G86" s="65"/>
    </row>
    <row r="87" spans="2:7" ht="14.25" customHeight="1" x14ac:dyDescent="0.3">
      <c r="B87" s="478"/>
      <c r="C87" s="479"/>
      <c r="E87" s="480"/>
      <c r="G87" s="65"/>
    </row>
    <row r="88" spans="2:7" ht="14.25" customHeight="1" x14ac:dyDescent="0.3">
      <c r="B88" s="478"/>
      <c r="C88" s="479"/>
      <c r="E88" s="480"/>
      <c r="G88" s="65"/>
    </row>
    <row r="89" spans="2:7" ht="14.25" customHeight="1" x14ac:dyDescent="0.3">
      <c r="B89" s="478"/>
      <c r="C89" s="479"/>
      <c r="E89" s="480"/>
      <c r="G89" s="65"/>
    </row>
    <row r="90" spans="2:7" ht="14.25" customHeight="1" x14ac:dyDescent="0.3">
      <c r="B90" s="478"/>
      <c r="C90" s="479"/>
      <c r="E90" s="480"/>
      <c r="G90" s="65"/>
    </row>
    <row r="91" spans="2:7" ht="14.25" customHeight="1" x14ac:dyDescent="0.3">
      <c r="B91" s="478"/>
      <c r="C91" s="479"/>
      <c r="E91" s="480"/>
      <c r="G91" s="65"/>
    </row>
    <row r="92" spans="2:7" ht="14.25" customHeight="1" x14ac:dyDescent="0.3">
      <c r="B92" s="478"/>
      <c r="C92" s="479"/>
      <c r="E92" s="480"/>
      <c r="G92" s="65"/>
    </row>
    <row r="93" spans="2:7" ht="14.25" customHeight="1" x14ac:dyDescent="0.3">
      <c r="B93" s="478"/>
      <c r="C93" s="479"/>
      <c r="E93" s="480"/>
      <c r="G93" s="65"/>
    </row>
    <row r="94" spans="2:7" ht="14.25" customHeight="1" x14ac:dyDescent="0.3">
      <c r="B94" s="478"/>
      <c r="C94" s="479"/>
      <c r="E94" s="480"/>
      <c r="G94" s="65"/>
    </row>
    <row r="95" spans="2:7" ht="14.25" customHeight="1" x14ac:dyDescent="0.3">
      <c r="B95" s="478"/>
      <c r="C95" s="479"/>
      <c r="E95" s="480"/>
      <c r="G95" s="65"/>
    </row>
    <row r="96" spans="2:7" ht="14.25" customHeight="1" x14ac:dyDescent="0.3">
      <c r="B96" s="478"/>
      <c r="C96" s="479"/>
      <c r="E96" s="480"/>
      <c r="G96" s="65"/>
    </row>
    <row r="97" spans="2:7" ht="14.25" customHeight="1" x14ac:dyDescent="0.3">
      <c r="B97" s="478"/>
      <c r="C97" s="479"/>
      <c r="E97" s="480"/>
      <c r="G97" s="65"/>
    </row>
    <row r="98" spans="2:7" ht="14.25" customHeight="1" x14ac:dyDescent="0.3">
      <c r="B98" s="478"/>
      <c r="C98" s="479"/>
      <c r="E98" s="480"/>
      <c r="G98" s="65"/>
    </row>
    <row r="99" spans="2:7" ht="14.25" customHeight="1" x14ac:dyDescent="0.3">
      <c r="B99" s="478"/>
      <c r="C99" s="479"/>
      <c r="E99" s="480"/>
      <c r="G99" s="65"/>
    </row>
    <row r="100" spans="2:7" ht="14.25" customHeight="1" x14ac:dyDescent="0.3">
      <c r="B100" s="478"/>
      <c r="C100" s="479"/>
      <c r="E100" s="480"/>
      <c r="G100" s="65"/>
    </row>
    <row r="101" spans="2:7" ht="14.25" customHeight="1" x14ac:dyDescent="0.3">
      <c r="B101" s="478"/>
      <c r="C101" s="479"/>
      <c r="E101" s="480"/>
      <c r="G101" s="65"/>
    </row>
    <row r="102" spans="2:7" ht="14.25" customHeight="1" x14ac:dyDescent="0.3">
      <c r="B102" s="478"/>
      <c r="C102" s="479"/>
      <c r="E102" s="480"/>
      <c r="G102" s="65"/>
    </row>
    <row r="103" spans="2:7" ht="14.25" customHeight="1" x14ac:dyDescent="0.3">
      <c r="B103" s="478"/>
      <c r="C103" s="479"/>
      <c r="E103" s="480"/>
      <c r="G103" s="65"/>
    </row>
    <row r="104" spans="2:7" ht="14.25" customHeight="1" x14ac:dyDescent="0.3">
      <c r="B104" s="478"/>
      <c r="C104" s="479"/>
      <c r="E104" s="480"/>
      <c r="G104" s="65"/>
    </row>
    <row r="105" spans="2:7" ht="14.25" customHeight="1" x14ac:dyDescent="0.3">
      <c r="B105" s="478"/>
      <c r="C105" s="479"/>
      <c r="E105" s="480"/>
      <c r="G105" s="65"/>
    </row>
    <row r="106" spans="2:7" ht="14.25" customHeight="1" x14ac:dyDescent="0.3">
      <c r="B106" s="478"/>
      <c r="C106" s="479"/>
      <c r="E106" s="480"/>
      <c r="G106" s="65"/>
    </row>
    <row r="107" spans="2:7" ht="14.25" customHeight="1" x14ac:dyDescent="0.3">
      <c r="B107" s="478"/>
      <c r="C107" s="479"/>
      <c r="E107" s="480"/>
      <c r="G107" s="65"/>
    </row>
    <row r="108" spans="2:7" ht="14.25" customHeight="1" x14ac:dyDescent="0.3">
      <c r="B108" s="478"/>
      <c r="C108" s="479"/>
      <c r="E108" s="480"/>
      <c r="G108" s="65"/>
    </row>
    <row r="109" spans="2:7" ht="14.25" customHeight="1" x14ac:dyDescent="0.3">
      <c r="B109" s="478"/>
      <c r="C109" s="479"/>
      <c r="E109" s="480"/>
      <c r="G109" s="65"/>
    </row>
    <row r="110" spans="2:7" ht="14.25" customHeight="1" x14ac:dyDescent="0.3">
      <c r="B110" s="478"/>
      <c r="C110" s="479"/>
      <c r="E110" s="480"/>
      <c r="G110" s="65"/>
    </row>
    <row r="111" spans="2:7" ht="14.25" customHeight="1" x14ac:dyDescent="0.3">
      <c r="B111" s="478"/>
      <c r="C111" s="479"/>
      <c r="E111" s="480"/>
      <c r="G111" s="65"/>
    </row>
    <row r="112" spans="2:7" ht="14.25" customHeight="1" x14ac:dyDescent="0.3">
      <c r="B112" s="478"/>
      <c r="C112" s="479"/>
      <c r="E112" s="480"/>
      <c r="G112" s="65"/>
    </row>
    <row r="113" spans="2:7" ht="14.25" customHeight="1" x14ac:dyDescent="0.3">
      <c r="B113" s="478"/>
      <c r="C113" s="479"/>
      <c r="E113" s="480"/>
      <c r="G113" s="65"/>
    </row>
    <row r="114" spans="2:7" ht="14.25" customHeight="1" x14ac:dyDescent="0.3">
      <c r="B114" s="478"/>
      <c r="C114" s="479"/>
      <c r="E114" s="480"/>
      <c r="G114" s="65"/>
    </row>
    <row r="115" spans="2:7" ht="14.25" customHeight="1" x14ac:dyDescent="0.3">
      <c r="B115" s="478"/>
      <c r="C115" s="479"/>
      <c r="E115" s="480"/>
      <c r="G115" s="65"/>
    </row>
    <row r="116" spans="2:7" ht="14.25" customHeight="1" x14ac:dyDescent="0.3">
      <c r="B116" s="478"/>
      <c r="C116" s="479"/>
      <c r="E116" s="480"/>
      <c r="G116" s="65"/>
    </row>
    <row r="117" spans="2:7" ht="14.25" customHeight="1" x14ac:dyDescent="0.3">
      <c r="B117" s="478"/>
      <c r="C117" s="479"/>
      <c r="E117" s="480"/>
      <c r="G117" s="65"/>
    </row>
    <row r="118" spans="2:7" ht="14.25" customHeight="1" x14ac:dyDescent="0.3">
      <c r="B118" s="478"/>
      <c r="C118" s="479"/>
      <c r="E118" s="480"/>
      <c r="G118" s="65"/>
    </row>
    <row r="119" spans="2:7" ht="14.25" customHeight="1" x14ac:dyDescent="0.3">
      <c r="B119" s="478"/>
      <c r="C119" s="479"/>
      <c r="E119" s="480"/>
      <c r="G119" s="65"/>
    </row>
    <row r="120" spans="2:7" ht="14.25" customHeight="1" x14ac:dyDescent="0.3">
      <c r="B120" s="478"/>
      <c r="C120" s="479"/>
      <c r="E120" s="480"/>
      <c r="G120" s="65"/>
    </row>
    <row r="121" spans="2:7" ht="14.25" customHeight="1" x14ac:dyDescent="0.3">
      <c r="B121" s="478"/>
      <c r="C121" s="479"/>
      <c r="E121" s="480"/>
      <c r="G121" s="65"/>
    </row>
    <row r="122" spans="2:7" ht="14.25" customHeight="1" x14ac:dyDescent="0.3">
      <c r="B122" s="478"/>
      <c r="C122" s="479"/>
      <c r="E122" s="480"/>
      <c r="G122" s="65"/>
    </row>
    <row r="123" spans="2:7" ht="14.25" customHeight="1" x14ac:dyDescent="0.3">
      <c r="B123" s="478"/>
      <c r="C123" s="479"/>
      <c r="E123" s="480"/>
      <c r="G123" s="65"/>
    </row>
    <row r="124" spans="2:7" ht="14.25" customHeight="1" x14ac:dyDescent="0.3">
      <c r="B124" s="478"/>
      <c r="C124" s="479"/>
      <c r="E124" s="480"/>
      <c r="G124" s="65"/>
    </row>
    <row r="125" spans="2:7" ht="14.25" customHeight="1" x14ac:dyDescent="0.3">
      <c r="B125" s="478"/>
      <c r="C125" s="479"/>
      <c r="E125" s="480"/>
      <c r="G125" s="65"/>
    </row>
    <row r="126" spans="2:7" ht="14.25" customHeight="1" x14ac:dyDescent="0.3">
      <c r="B126" s="478"/>
      <c r="C126" s="479"/>
      <c r="E126" s="480"/>
      <c r="G126" s="65"/>
    </row>
    <row r="127" spans="2:7" ht="14.25" customHeight="1" x14ac:dyDescent="0.3">
      <c r="B127" s="478"/>
      <c r="C127" s="479"/>
      <c r="E127" s="480"/>
      <c r="G127" s="65"/>
    </row>
    <row r="128" spans="2:7" ht="14.25" customHeight="1" x14ac:dyDescent="0.3">
      <c r="B128" s="478"/>
      <c r="C128" s="479"/>
      <c r="E128" s="480"/>
      <c r="G128" s="65"/>
    </row>
    <row r="129" spans="2:7" ht="14.25" customHeight="1" x14ac:dyDescent="0.3">
      <c r="B129" s="478"/>
      <c r="C129" s="479"/>
      <c r="E129" s="480"/>
      <c r="G129" s="65"/>
    </row>
    <row r="130" spans="2:7" ht="14.25" customHeight="1" x14ac:dyDescent="0.3">
      <c r="B130" s="478"/>
      <c r="C130" s="479"/>
      <c r="E130" s="480"/>
      <c r="G130" s="65"/>
    </row>
    <row r="131" spans="2:7" ht="14.25" customHeight="1" x14ac:dyDescent="0.3">
      <c r="B131" s="478"/>
      <c r="C131" s="479"/>
      <c r="E131" s="480"/>
      <c r="G131" s="65"/>
    </row>
    <row r="132" spans="2:7" ht="14.25" customHeight="1" x14ac:dyDescent="0.3">
      <c r="B132" s="478"/>
      <c r="C132" s="479"/>
      <c r="E132" s="480"/>
      <c r="G132" s="65"/>
    </row>
    <row r="133" spans="2:7" ht="14.25" customHeight="1" x14ac:dyDescent="0.3">
      <c r="B133" s="478"/>
      <c r="C133" s="479"/>
      <c r="E133" s="480"/>
      <c r="G133" s="65"/>
    </row>
    <row r="134" spans="2:7" ht="14.25" customHeight="1" x14ac:dyDescent="0.3">
      <c r="B134" s="478"/>
      <c r="C134" s="479"/>
      <c r="E134" s="480"/>
      <c r="G134" s="65"/>
    </row>
    <row r="135" spans="2:7" ht="14.25" customHeight="1" x14ac:dyDescent="0.3">
      <c r="B135" s="478"/>
      <c r="C135" s="479"/>
      <c r="E135" s="480"/>
      <c r="G135" s="65"/>
    </row>
    <row r="136" spans="2:7" ht="14.25" customHeight="1" x14ac:dyDescent="0.3">
      <c r="B136" s="478"/>
      <c r="C136" s="479"/>
      <c r="E136" s="480"/>
      <c r="G136" s="65"/>
    </row>
    <row r="137" spans="2:7" ht="14.25" customHeight="1" x14ac:dyDescent="0.3">
      <c r="B137" s="478"/>
      <c r="C137" s="479"/>
      <c r="E137" s="480"/>
      <c r="G137" s="65"/>
    </row>
    <row r="138" spans="2:7" ht="14.25" customHeight="1" x14ac:dyDescent="0.3">
      <c r="B138" s="478"/>
      <c r="C138" s="479"/>
      <c r="E138" s="480"/>
      <c r="G138" s="65"/>
    </row>
    <row r="139" spans="2:7" ht="14.25" customHeight="1" x14ac:dyDescent="0.3">
      <c r="B139" s="478"/>
      <c r="C139" s="479"/>
      <c r="E139" s="480"/>
      <c r="G139" s="65"/>
    </row>
    <row r="140" spans="2:7" ht="14.25" customHeight="1" x14ac:dyDescent="0.3">
      <c r="B140" s="478"/>
      <c r="C140" s="479"/>
      <c r="E140" s="480"/>
      <c r="G140" s="65"/>
    </row>
    <row r="141" spans="2:7" ht="14.25" customHeight="1" x14ac:dyDescent="0.3">
      <c r="B141" s="478"/>
      <c r="C141" s="479"/>
      <c r="E141" s="480"/>
      <c r="G141" s="65"/>
    </row>
    <row r="142" spans="2:7" ht="14.25" customHeight="1" x14ac:dyDescent="0.3">
      <c r="B142" s="478"/>
      <c r="C142" s="479"/>
      <c r="E142" s="480"/>
      <c r="G142" s="65"/>
    </row>
    <row r="143" spans="2:7" ht="14.25" customHeight="1" x14ac:dyDescent="0.3">
      <c r="B143" s="478"/>
      <c r="C143" s="479"/>
      <c r="E143" s="480"/>
      <c r="G143" s="65"/>
    </row>
    <row r="144" spans="2:7" ht="14.25" customHeight="1" x14ac:dyDescent="0.3">
      <c r="B144" s="478"/>
      <c r="C144" s="479"/>
      <c r="E144" s="480"/>
      <c r="G144" s="65"/>
    </row>
    <row r="145" spans="2:7" ht="14.25" customHeight="1" x14ac:dyDescent="0.3">
      <c r="B145" s="478"/>
      <c r="C145" s="479"/>
      <c r="E145" s="480"/>
      <c r="G145" s="65"/>
    </row>
    <row r="146" spans="2:7" ht="14.25" customHeight="1" x14ac:dyDescent="0.3">
      <c r="B146" s="478"/>
      <c r="C146" s="479"/>
      <c r="E146" s="480"/>
      <c r="G146" s="65"/>
    </row>
    <row r="147" spans="2:7" ht="14.25" customHeight="1" x14ac:dyDescent="0.3">
      <c r="B147" s="478"/>
      <c r="C147" s="479"/>
      <c r="E147" s="480"/>
      <c r="G147" s="65"/>
    </row>
    <row r="148" spans="2:7" ht="14.25" customHeight="1" x14ac:dyDescent="0.3">
      <c r="B148" s="478"/>
      <c r="C148" s="479"/>
      <c r="E148" s="480"/>
      <c r="G148" s="65"/>
    </row>
    <row r="149" spans="2:7" ht="14.25" customHeight="1" x14ac:dyDescent="0.3">
      <c r="B149" s="478"/>
      <c r="C149" s="479"/>
      <c r="E149" s="480"/>
      <c r="G149" s="65"/>
    </row>
    <row r="150" spans="2:7" ht="14.25" customHeight="1" x14ac:dyDescent="0.3">
      <c r="B150" s="478"/>
      <c r="C150" s="479"/>
      <c r="E150" s="480"/>
      <c r="G150" s="65"/>
    </row>
    <row r="151" spans="2:7" ht="14.25" customHeight="1" x14ac:dyDescent="0.3">
      <c r="B151" s="478"/>
      <c r="C151" s="479"/>
      <c r="E151" s="480"/>
      <c r="G151" s="65"/>
    </row>
    <row r="152" spans="2:7" ht="14.25" customHeight="1" x14ac:dyDescent="0.3">
      <c r="B152" s="478"/>
      <c r="C152" s="479"/>
      <c r="E152" s="480"/>
      <c r="G152" s="65"/>
    </row>
    <row r="153" spans="2:7" ht="14.25" customHeight="1" x14ac:dyDescent="0.3">
      <c r="B153" s="478"/>
      <c r="C153" s="479"/>
      <c r="E153" s="480"/>
      <c r="G153" s="65"/>
    </row>
    <row r="154" spans="2:7" ht="14.25" customHeight="1" x14ac:dyDescent="0.3">
      <c r="B154" s="478"/>
      <c r="C154" s="479"/>
      <c r="E154" s="480"/>
      <c r="G154" s="65"/>
    </row>
    <row r="155" spans="2:7" ht="14.25" customHeight="1" x14ac:dyDescent="0.3">
      <c r="B155" s="478"/>
      <c r="C155" s="479"/>
      <c r="E155" s="480"/>
      <c r="G155" s="65"/>
    </row>
    <row r="156" spans="2:7" ht="14.25" customHeight="1" x14ac:dyDescent="0.3">
      <c r="B156" s="478"/>
      <c r="C156" s="479"/>
      <c r="E156" s="480"/>
      <c r="G156" s="65"/>
    </row>
    <row r="157" spans="2:7" ht="14.25" customHeight="1" x14ac:dyDescent="0.3">
      <c r="B157" s="478"/>
      <c r="C157" s="479"/>
      <c r="E157" s="480"/>
      <c r="G157" s="65"/>
    </row>
    <row r="158" spans="2:7" ht="14.25" customHeight="1" x14ac:dyDescent="0.3">
      <c r="B158" s="478"/>
      <c r="C158" s="479"/>
      <c r="E158" s="480"/>
      <c r="G158" s="65"/>
    </row>
    <row r="159" spans="2:7" ht="14.25" customHeight="1" x14ac:dyDescent="0.3">
      <c r="B159" s="478"/>
      <c r="C159" s="479"/>
      <c r="E159" s="480"/>
      <c r="G159" s="65"/>
    </row>
    <row r="160" spans="2:7" ht="14.25" customHeight="1" x14ac:dyDescent="0.3">
      <c r="B160" s="478"/>
      <c r="C160" s="479"/>
      <c r="E160" s="480"/>
      <c r="G160" s="65"/>
    </row>
    <row r="161" spans="2:7" ht="14.25" customHeight="1" x14ac:dyDescent="0.3">
      <c r="B161" s="478"/>
      <c r="C161" s="479"/>
      <c r="E161" s="480"/>
      <c r="G161" s="65"/>
    </row>
    <row r="162" spans="2:7" ht="14.25" customHeight="1" x14ac:dyDescent="0.3">
      <c r="B162" s="478"/>
      <c r="C162" s="479"/>
      <c r="E162" s="480"/>
      <c r="G162" s="65"/>
    </row>
    <row r="163" spans="2:7" ht="14.25" customHeight="1" x14ac:dyDescent="0.3">
      <c r="B163" s="478"/>
      <c r="C163" s="479"/>
      <c r="E163" s="480"/>
      <c r="G163" s="65"/>
    </row>
    <row r="164" spans="2:7" ht="14.25" customHeight="1" x14ac:dyDescent="0.3">
      <c r="B164" s="478"/>
      <c r="C164" s="479"/>
      <c r="E164" s="480"/>
      <c r="G164" s="65"/>
    </row>
    <row r="165" spans="2:7" ht="14.25" customHeight="1" x14ac:dyDescent="0.3">
      <c r="B165" s="478"/>
      <c r="C165" s="479"/>
      <c r="E165" s="480"/>
      <c r="G165" s="65"/>
    </row>
    <row r="166" spans="2:7" ht="14.25" customHeight="1" x14ac:dyDescent="0.3">
      <c r="B166" s="478"/>
      <c r="C166" s="479"/>
      <c r="E166" s="480"/>
      <c r="G166" s="65"/>
    </row>
    <row r="167" spans="2:7" ht="14.25" customHeight="1" x14ac:dyDescent="0.3">
      <c r="B167" s="478"/>
      <c r="C167" s="479"/>
      <c r="E167" s="480"/>
      <c r="G167" s="65"/>
    </row>
    <row r="168" spans="2:7" ht="14.25" customHeight="1" x14ac:dyDescent="0.3">
      <c r="B168" s="478"/>
      <c r="C168" s="479"/>
      <c r="E168" s="480"/>
      <c r="G168" s="65"/>
    </row>
    <row r="169" spans="2:7" ht="14.25" customHeight="1" x14ac:dyDescent="0.3">
      <c r="B169" s="478"/>
      <c r="C169" s="479"/>
      <c r="E169" s="480"/>
      <c r="G169" s="65"/>
    </row>
    <row r="170" spans="2:7" ht="14.25" customHeight="1" x14ac:dyDescent="0.3">
      <c r="B170" s="478"/>
      <c r="C170" s="479"/>
      <c r="E170" s="480"/>
      <c r="G170" s="65"/>
    </row>
    <row r="171" spans="2:7" ht="14.25" customHeight="1" x14ac:dyDescent="0.3">
      <c r="B171" s="478"/>
      <c r="C171" s="479"/>
      <c r="E171" s="480"/>
      <c r="G171" s="65"/>
    </row>
    <row r="172" spans="2:7" ht="14.25" customHeight="1" x14ac:dyDescent="0.3">
      <c r="B172" s="478"/>
      <c r="C172" s="479"/>
      <c r="E172" s="480"/>
      <c r="G172" s="65"/>
    </row>
    <row r="173" spans="2:7" ht="14.25" customHeight="1" x14ac:dyDescent="0.3">
      <c r="B173" s="478"/>
      <c r="C173" s="479"/>
      <c r="E173" s="480"/>
      <c r="G173" s="65"/>
    </row>
    <row r="174" spans="2:7" ht="14.25" customHeight="1" x14ac:dyDescent="0.3">
      <c r="B174" s="478"/>
      <c r="C174" s="479"/>
      <c r="E174" s="480"/>
      <c r="G174" s="65"/>
    </row>
    <row r="175" spans="2:7" ht="14.25" customHeight="1" x14ac:dyDescent="0.3">
      <c r="B175" s="478"/>
      <c r="C175" s="479"/>
      <c r="E175" s="480"/>
      <c r="G175" s="65"/>
    </row>
    <row r="176" spans="2:7" ht="14.25" customHeight="1" x14ac:dyDescent="0.3">
      <c r="B176" s="478"/>
      <c r="C176" s="479"/>
      <c r="E176" s="480"/>
      <c r="G176" s="65"/>
    </row>
    <row r="177" spans="2:7" ht="14.25" customHeight="1" x14ac:dyDescent="0.3">
      <c r="B177" s="478"/>
      <c r="C177" s="479"/>
      <c r="E177" s="480"/>
      <c r="G177" s="65"/>
    </row>
    <row r="178" spans="2:7" ht="14.25" customHeight="1" x14ac:dyDescent="0.3">
      <c r="B178" s="478"/>
      <c r="C178" s="479"/>
      <c r="E178" s="480"/>
      <c r="G178" s="65"/>
    </row>
    <row r="179" spans="2:7" ht="14.25" customHeight="1" x14ac:dyDescent="0.3">
      <c r="B179" s="478"/>
      <c r="C179" s="479"/>
      <c r="E179" s="480"/>
      <c r="G179" s="65"/>
    </row>
    <row r="180" spans="2:7" ht="14.25" customHeight="1" x14ac:dyDescent="0.3">
      <c r="B180" s="478"/>
      <c r="C180" s="479"/>
      <c r="E180" s="480"/>
      <c r="G180" s="65"/>
    </row>
    <row r="181" spans="2:7" ht="14.25" customHeight="1" x14ac:dyDescent="0.3">
      <c r="B181" s="478"/>
      <c r="C181" s="479"/>
      <c r="E181" s="480"/>
      <c r="G181" s="65"/>
    </row>
    <row r="182" spans="2:7" ht="14.25" customHeight="1" x14ac:dyDescent="0.3">
      <c r="B182" s="478"/>
      <c r="C182" s="479"/>
      <c r="E182" s="480"/>
      <c r="G182" s="65"/>
    </row>
    <row r="183" spans="2:7" ht="14.25" customHeight="1" x14ac:dyDescent="0.3">
      <c r="B183" s="478"/>
      <c r="C183" s="479"/>
      <c r="E183" s="480"/>
      <c r="G183" s="65"/>
    </row>
    <row r="184" spans="2:7" ht="14.25" customHeight="1" x14ac:dyDescent="0.3">
      <c r="B184" s="478"/>
      <c r="C184" s="479"/>
      <c r="E184" s="480"/>
      <c r="G184" s="65"/>
    </row>
    <row r="185" spans="2:7" ht="14.25" customHeight="1" x14ac:dyDescent="0.3">
      <c r="B185" s="478"/>
      <c r="C185" s="479"/>
      <c r="E185" s="480"/>
      <c r="G185" s="65"/>
    </row>
    <row r="186" spans="2:7" ht="14.25" customHeight="1" x14ac:dyDescent="0.3">
      <c r="B186" s="478"/>
      <c r="C186" s="479"/>
      <c r="E186" s="480"/>
      <c r="G186" s="65"/>
    </row>
    <row r="187" spans="2:7" ht="14.25" customHeight="1" x14ac:dyDescent="0.3">
      <c r="B187" s="478"/>
      <c r="C187" s="479"/>
      <c r="E187" s="480"/>
      <c r="G187" s="65"/>
    </row>
    <row r="188" spans="2:7" ht="14.25" customHeight="1" x14ac:dyDescent="0.3">
      <c r="B188" s="478"/>
      <c r="C188" s="479"/>
      <c r="E188" s="480"/>
      <c r="G188" s="65"/>
    </row>
    <row r="189" spans="2:7" ht="14.25" customHeight="1" x14ac:dyDescent="0.3">
      <c r="B189" s="478"/>
      <c r="C189" s="479"/>
      <c r="E189" s="480"/>
      <c r="G189" s="65"/>
    </row>
    <row r="190" spans="2:7" ht="14.25" customHeight="1" x14ac:dyDescent="0.3">
      <c r="B190" s="478"/>
      <c r="C190" s="479"/>
      <c r="E190" s="480"/>
      <c r="G190" s="65"/>
    </row>
    <row r="191" spans="2:7" ht="14.25" customHeight="1" x14ac:dyDescent="0.3">
      <c r="B191" s="478"/>
      <c r="C191" s="479"/>
      <c r="E191" s="480"/>
      <c r="G191" s="65"/>
    </row>
    <row r="192" spans="2:7" ht="14.25" customHeight="1" x14ac:dyDescent="0.3">
      <c r="B192" s="478"/>
      <c r="C192" s="479"/>
      <c r="E192" s="480"/>
      <c r="G192" s="65"/>
    </row>
    <row r="193" spans="2:7" ht="14.25" customHeight="1" x14ac:dyDescent="0.3">
      <c r="B193" s="478"/>
      <c r="C193" s="479"/>
      <c r="E193" s="480"/>
      <c r="G193" s="65"/>
    </row>
    <row r="194" spans="2:7" ht="14.25" customHeight="1" x14ac:dyDescent="0.3">
      <c r="B194" s="478"/>
      <c r="C194" s="479"/>
      <c r="E194" s="480"/>
      <c r="G194" s="65"/>
    </row>
    <row r="195" spans="2:7" ht="14.25" customHeight="1" x14ac:dyDescent="0.3">
      <c r="B195" s="478"/>
      <c r="C195" s="479"/>
      <c r="E195" s="480"/>
      <c r="G195" s="65"/>
    </row>
    <row r="196" spans="2:7" ht="14.25" customHeight="1" x14ac:dyDescent="0.3">
      <c r="B196" s="478"/>
      <c r="C196" s="479"/>
      <c r="E196" s="480"/>
      <c r="G196" s="65"/>
    </row>
    <row r="197" spans="2:7" ht="14.25" customHeight="1" x14ac:dyDescent="0.3">
      <c r="B197" s="478"/>
      <c r="C197" s="479"/>
      <c r="E197" s="480"/>
      <c r="G197" s="65"/>
    </row>
    <row r="198" spans="2:7" ht="14.25" customHeight="1" x14ac:dyDescent="0.3">
      <c r="B198" s="478"/>
      <c r="C198" s="479"/>
      <c r="E198" s="480"/>
      <c r="G198" s="65"/>
    </row>
    <row r="199" spans="2:7" ht="14.25" customHeight="1" x14ac:dyDescent="0.3">
      <c r="B199" s="478"/>
      <c r="C199" s="479"/>
      <c r="E199" s="480"/>
      <c r="G199" s="65"/>
    </row>
    <row r="200" spans="2:7" ht="14.25" customHeight="1" x14ac:dyDescent="0.3">
      <c r="B200" s="478"/>
      <c r="C200" s="479"/>
      <c r="E200" s="480"/>
      <c r="G200" s="65"/>
    </row>
    <row r="201" spans="2:7" ht="14.25" customHeight="1" x14ac:dyDescent="0.3">
      <c r="B201" s="478"/>
      <c r="C201" s="479"/>
      <c r="E201" s="480"/>
      <c r="G201" s="65"/>
    </row>
    <row r="202" spans="2:7" ht="14.25" customHeight="1" x14ac:dyDescent="0.3">
      <c r="B202" s="478"/>
      <c r="C202" s="479"/>
      <c r="E202" s="480"/>
      <c r="G202" s="65"/>
    </row>
    <row r="203" spans="2:7" ht="14.25" customHeight="1" x14ac:dyDescent="0.3">
      <c r="B203" s="478"/>
      <c r="C203" s="479"/>
      <c r="E203" s="480"/>
      <c r="G203" s="65"/>
    </row>
    <row r="204" spans="2:7" ht="14.25" customHeight="1" x14ac:dyDescent="0.3">
      <c r="B204" s="478"/>
      <c r="C204" s="479"/>
      <c r="E204" s="480"/>
      <c r="G204" s="65"/>
    </row>
    <row r="205" spans="2:7" ht="14.25" customHeight="1" x14ac:dyDescent="0.3">
      <c r="B205" s="478"/>
      <c r="C205" s="479"/>
      <c r="E205" s="480"/>
      <c r="G205" s="65"/>
    </row>
    <row r="206" spans="2:7" ht="14.25" customHeight="1" x14ac:dyDescent="0.3">
      <c r="B206" s="478"/>
      <c r="C206" s="479"/>
      <c r="E206" s="480"/>
      <c r="G206" s="65"/>
    </row>
    <row r="207" spans="2:7" ht="14.25" customHeight="1" x14ac:dyDescent="0.3">
      <c r="B207" s="478"/>
      <c r="C207" s="479"/>
      <c r="E207" s="480"/>
      <c r="G207" s="65"/>
    </row>
    <row r="208" spans="2:7" ht="14.25" customHeight="1" x14ac:dyDescent="0.3">
      <c r="B208" s="478"/>
      <c r="C208" s="479"/>
      <c r="E208" s="480"/>
      <c r="G208" s="65"/>
    </row>
    <row r="209" spans="2:7" ht="14.25" customHeight="1" x14ac:dyDescent="0.3">
      <c r="B209" s="478"/>
      <c r="C209" s="479"/>
      <c r="E209" s="480"/>
      <c r="G209" s="65"/>
    </row>
    <row r="210" spans="2:7" ht="14.25" customHeight="1" x14ac:dyDescent="0.3">
      <c r="B210" s="478"/>
      <c r="C210" s="479"/>
      <c r="E210" s="480"/>
      <c r="G210" s="65"/>
    </row>
    <row r="211" spans="2:7" ht="14.25" customHeight="1" x14ac:dyDescent="0.3">
      <c r="B211" s="478"/>
      <c r="C211" s="479"/>
      <c r="E211" s="480"/>
      <c r="G211" s="65"/>
    </row>
    <row r="212" spans="2:7" ht="14.25" customHeight="1" x14ac:dyDescent="0.3">
      <c r="B212" s="478"/>
      <c r="C212" s="479"/>
      <c r="E212" s="480"/>
      <c r="G212" s="65"/>
    </row>
    <row r="213" spans="2:7" ht="14.25" customHeight="1" x14ac:dyDescent="0.3">
      <c r="B213" s="478"/>
      <c r="C213" s="479"/>
      <c r="E213" s="480"/>
      <c r="G213" s="65"/>
    </row>
    <row r="214" spans="2:7" ht="14.25" customHeight="1" x14ac:dyDescent="0.3">
      <c r="B214" s="478"/>
      <c r="C214" s="479"/>
      <c r="E214" s="480"/>
      <c r="G214" s="65"/>
    </row>
    <row r="215" spans="2:7" ht="14.25" customHeight="1" x14ac:dyDescent="0.3">
      <c r="B215" s="478"/>
      <c r="C215" s="479"/>
      <c r="E215" s="480"/>
      <c r="G215" s="65"/>
    </row>
    <row r="216" spans="2:7" ht="14.25" customHeight="1" x14ac:dyDescent="0.3">
      <c r="B216" s="478"/>
      <c r="C216" s="479"/>
      <c r="E216" s="480"/>
      <c r="G216" s="65"/>
    </row>
    <row r="217" spans="2:7" ht="14.25" customHeight="1" x14ac:dyDescent="0.3">
      <c r="B217" s="478"/>
      <c r="C217" s="479"/>
      <c r="E217" s="480"/>
      <c r="G217" s="65"/>
    </row>
    <row r="218" spans="2:7" ht="14.25" customHeight="1" x14ac:dyDescent="0.3">
      <c r="B218" s="478"/>
      <c r="C218" s="479"/>
      <c r="E218" s="480"/>
      <c r="G218" s="65"/>
    </row>
    <row r="219" spans="2:7" ht="14.25" customHeight="1" x14ac:dyDescent="0.3">
      <c r="B219" s="478"/>
      <c r="C219" s="479"/>
      <c r="E219" s="480"/>
      <c r="G219" s="65"/>
    </row>
    <row r="220" spans="2:7" ht="14.25" customHeight="1" x14ac:dyDescent="0.3">
      <c r="B220" s="478"/>
      <c r="C220" s="479"/>
      <c r="E220" s="480"/>
      <c r="G220" s="65"/>
    </row>
    <row r="221" spans="2:7" ht="14.25" customHeight="1" x14ac:dyDescent="0.3">
      <c r="B221" s="478"/>
      <c r="C221" s="479"/>
      <c r="E221" s="480"/>
      <c r="G221" s="65"/>
    </row>
    <row r="222" spans="2:7" ht="14.25" customHeight="1" x14ac:dyDescent="0.3">
      <c r="B222" s="478"/>
      <c r="C222" s="479"/>
      <c r="E222" s="480"/>
      <c r="G222" s="65"/>
    </row>
    <row r="223" spans="2:7" ht="14.25" customHeight="1" x14ac:dyDescent="0.3">
      <c r="B223" s="478"/>
      <c r="C223" s="479"/>
      <c r="E223" s="480"/>
      <c r="G223" s="65"/>
    </row>
    <row r="224" spans="2:7" ht="14.25" customHeight="1" x14ac:dyDescent="0.3">
      <c r="B224" s="478"/>
      <c r="C224" s="479"/>
      <c r="E224" s="480"/>
      <c r="G224" s="65"/>
    </row>
    <row r="225" spans="2:7" ht="14.25" customHeight="1" x14ac:dyDescent="0.3">
      <c r="B225" s="478"/>
      <c r="C225" s="479"/>
      <c r="E225" s="480"/>
      <c r="G225" s="65"/>
    </row>
    <row r="226" spans="2:7" ht="14.25" customHeight="1" x14ac:dyDescent="0.3">
      <c r="B226" s="478"/>
      <c r="C226" s="479"/>
      <c r="E226" s="480"/>
      <c r="G226" s="65"/>
    </row>
    <row r="227" spans="2:7" ht="14.25" customHeight="1" x14ac:dyDescent="0.3">
      <c r="B227" s="478"/>
      <c r="C227" s="479"/>
      <c r="E227" s="480"/>
      <c r="G227" s="65"/>
    </row>
    <row r="228" spans="2:7" ht="14.25" customHeight="1" x14ac:dyDescent="0.3">
      <c r="B228" s="478"/>
      <c r="C228" s="479"/>
      <c r="E228" s="480"/>
      <c r="G228" s="65"/>
    </row>
    <row r="229" spans="2:7" ht="14.25" customHeight="1" x14ac:dyDescent="0.3">
      <c r="B229" s="478"/>
      <c r="C229" s="479"/>
      <c r="E229" s="480"/>
      <c r="G229" s="65"/>
    </row>
    <row r="230" spans="2:7" ht="14.25" customHeight="1" x14ac:dyDescent="0.3">
      <c r="B230" s="478"/>
      <c r="C230" s="479"/>
      <c r="E230" s="480"/>
      <c r="G230" s="65"/>
    </row>
    <row r="231" spans="2:7" ht="14.25" customHeight="1" x14ac:dyDescent="0.3">
      <c r="B231" s="478"/>
      <c r="C231" s="479"/>
      <c r="E231" s="480"/>
      <c r="G231" s="65"/>
    </row>
    <row r="232" spans="2:7" ht="14.25" customHeight="1" x14ac:dyDescent="0.3">
      <c r="B232" s="478"/>
      <c r="C232" s="479"/>
      <c r="E232" s="480"/>
      <c r="G232" s="65"/>
    </row>
    <row r="233" spans="2:7" ht="14.25" customHeight="1" x14ac:dyDescent="0.3">
      <c r="B233" s="478"/>
      <c r="C233" s="479"/>
      <c r="E233" s="480"/>
      <c r="G233" s="65"/>
    </row>
    <row r="234" spans="2:7" ht="14.25" customHeight="1" x14ac:dyDescent="0.3">
      <c r="B234" s="478"/>
      <c r="C234" s="479"/>
      <c r="E234" s="480"/>
      <c r="G234" s="65"/>
    </row>
    <row r="235" spans="2:7" ht="14.25" customHeight="1" x14ac:dyDescent="0.3">
      <c r="B235" s="478"/>
      <c r="C235" s="479"/>
      <c r="E235" s="480"/>
      <c r="G235" s="65"/>
    </row>
    <row r="236" spans="2:7" ht="14.25" customHeight="1" x14ac:dyDescent="0.3">
      <c r="B236" s="478"/>
      <c r="C236" s="479"/>
      <c r="E236" s="480"/>
      <c r="G236" s="65"/>
    </row>
    <row r="237" spans="2:7" ht="14.25" customHeight="1" x14ac:dyDescent="0.3">
      <c r="B237" s="478"/>
      <c r="C237" s="479"/>
      <c r="E237" s="480"/>
      <c r="G237" s="65"/>
    </row>
    <row r="238" spans="2:7" ht="14.25" customHeight="1" x14ac:dyDescent="0.3">
      <c r="B238" s="478"/>
      <c r="C238" s="479"/>
      <c r="E238" s="480"/>
      <c r="G238" s="65"/>
    </row>
    <row r="239" spans="2:7" ht="14.25" customHeight="1" x14ac:dyDescent="0.3">
      <c r="B239" s="478"/>
      <c r="C239" s="479"/>
      <c r="E239" s="480"/>
      <c r="G239" s="65"/>
    </row>
    <row r="240" spans="2:7" ht="14.25" customHeight="1" x14ac:dyDescent="0.3">
      <c r="B240" s="478"/>
      <c r="C240" s="479"/>
      <c r="E240" s="480"/>
      <c r="G240" s="65"/>
    </row>
    <row r="241" spans="2:7" ht="14.25" customHeight="1" x14ac:dyDescent="0.3">
      <c r="B241" s="478"/>
      <c r="C241" s="479"/>
      <c r="E241" s="480"/>
      <c r="G241" s="65"/>
    </row>
    <row r="242" spans="2:7" ht="14.25" customHeight="1" x14ac:dyDescent="0.3">
      <c r="B242" s="478"/>
      <c r="C242" s="479"/>
      <c r="E242" s="480"/>
      <c r="G242" s="65"/>
    </row>
    <row r="243" spans="2:7" ht="14.25" customHeight="1" x14ac:dyDescent="0.3">
      <c r="B243" s="478"/>
      <c r="C243" s="479"/>
      <c r="E243" s="480"/>
      <c r="G243" s="65"/>
    </row>
    <row r="244" spans="2:7" ht="14.25" customHeight="1" x14ac:dyDescent="0.3">
      <c r="B244" s="478"/>
      <c r="C244" s="479"/>
      <c r="E244" s="480"/>
      <c r="G244" s="65"/>
    </row>
    <row r="245" spans="2:7" ht="14.25" customHeight="1" x14ac:dyDescent="0.3">
      <c r="B245" s="478"/>
      <c r="C245" s="479"/>
      <c r="E245" s="480"/>
      <c r="G245" s="65"/>
    </row>
    <row r="246" spans="2:7" ht="14.25" customHeight="1" x14ac:dyDescent="0.3">
      <c r="B246" s="478"/>
      <c r="C246" s="479"/>
      <c r="E246" s="480"/>
      <c r="G246" s="65"/>
    </row>
    <row r="247" spans="2:7" ht="14.25" customHeight="1" x14ac:dyDescent="0.3">
      <c r="B247" s="478"/>
      <c r="C247" s="479"/>
      <c r="E247" s="480"/>
      <c r="G247" s="65"/>
    </row>
    <row r="248" spans="2:7" ht="14.25" customHeight="1" x14ac:dyDescent="0.3">
      <c r="B248" s="478"/>
      <c r="C248" s="479"/>
      <c r="E248" s="480"/>
      <c r="G248" s="65"/>
    </row>
    <row r="249" spans="2:7" ht="14.25" customHeight="1" x14ac:dyDescent="0.3">
      <c r="B249" s="478"/>
      <c r="C249" s="479"/>
      <c r="E249" s="480"/>
      <c r="G249" s="65"/>
    </row>
    <row r="250" spans="2:7" ht="14.25" customHeight="1" x14ac:dyDescent="0.3">
      <c r="B250" s="478"/>
      <c r="C250" s="479"/>
      <c r="E250" s="480"/>
      <c r="G250" s="65"/>
    </row>
    <row r="251" spans="2:7" ht="14.25" customHeight="1" x14ac:dyDescent="0.3">
      <c r="B251" s="478"/>
      <c r="C251" s="479"/>
      <c r="E251" s="480"/>
      <c r="G251" s="65"/>
    </row>
    <row r="252" spans="2:7" ht="14.25" customHeight="1" x14ac:dyDescent="0.3">
      <c r="B252" s="478"/>
      <c r="C252" s="479"/>
      <c r="E252" s="480"/>
      <c r="G252" s="65"/>
    </row>
    <row r="253" spans="2:7" ht="14.25" customHeight="1" x14ac:dyDescent="0.3">
      <c r="B253" s="478"/>
      <c r="C253" s="479"/>
      <c r="E253" s="480"/>
      <c r="G253" s="65"/>
    </row>
    <row r="254" spans="2:7" ht="14.25" customHeight="1" x14ac:dyDescent="0.3">
      <c r="B254" s="478"/>
      <c r="C254" s="479"/>
      <c r="E254" s="480"/>
      <c r="G254" s="65"/>
    </row>
    <row r="255" spans="2:7" ht="14.25" customHeight="1" x14ac:dyDescent="0.3">
      <c r="B255" s="478"/>
      <c r="C255" s="479"/>
      <c r="E255" s="480"/>
      <c r="G255" s="65"/>
    </row>
    <row r="256" spans="2:7" ht="14.25" customHeight="1" x14ac:dyDescent="0.3">
      <c r="B256" s="478"/>
      <c r="C256" s="479"/>
      <c r="E256" s="480"/>
      <c r="G256" s="65"/>
    </row>
    <row r="257" spans="2:7" ht="14.25" customHeight="1" x14ac:dyDescent="0.3">
      <c r="B257" s="478"/>
      <c r="C257" s="479"/>
      <c r="E257" s="480"/>
      <c r="G257" s="65"/>
    </row>
    <row r="258" spans="2:7" ht="14.25" customHeight="1" x14ac:dyDescent="0.3">
      <c r="B258" s="478"/>
      <c r="C258" s="479"/>
      <c r="E258" s="480"/>
      <c r="G258" s="65"/>
    </row>
    <row r="259" spans="2:7" ht="14.25" customHeight="1" x14ac:dyDescent="0.3">
      <c r="B259" s="478"/>
      <c r="C259" s="479"/>
      <c r="E259" s="480"/>
      <c r="G259" s="65"/>
    </row>
    <row r="260" spans="2:7" ht="14.25" customHeight="1" x14ac:dyDescent="0.3">
      <c r="B260" s="478"/>
      <c r="C260" s="479"/>
      <c r="E260" s="480"/>
      <c r="G260" s="65"/>
    </row>
    <row r="261" spans="2:7" ht="14.25" customHeight="1" x14ac:dyDescent="0.3">
      <c r="B261" s="478"/>
      <c r="C261" s="479"/>
      <c r="E261" s="480"/>
      <c r="G261" s="65"/>
    </row>
    <row r="262" spans="2:7" ht="14.25" customHeight="1" x14ac:dyDescent="0.3">
      <c r="B262" s="478"/>
      <c r="C262" s="479"/>
      <c r="E262" s="480"/>
      <c r="G262" s="65"/>
    </row>
    <row r="263" spans="2:7" ht="14.25" customHeight="1" x14ac:dyDescent="0.3">
      <c r="B263" s="478"/>
      <c r="C263" s="479"/>
      <c r="E263" s="480"/>
      <c r="G263" s="65"/>
    </row>
    <row r="264" spans="2:7" ht="14.25" customHeight="1" x14ac:dyDescent="0.3">
      <c r="B264" s="478"/>
      <c r="C264" s="479"/>
      <c r="E264" s="480"/>
      <c r="G264" s="65"/>
    </row>
    <row r="265" spans="2:7" ht="14.25" customHeight="1" x14ac:dyDescent="0.3">
      <c r="B265" s="478"/>
      <c r="C265" s="479"/>
      <c r="E265" s="480"/>
      <c r="G265" s="65"/>
    </row>
    <row r="266" spans="2:7" ht="14.25" customHeight="1" x14ac:dyDescent="0.3">
      <c r="B266" s="478"/>
      <c r="C266" s="479"/>
      <c r="E266" s="480"/>
      <c r="G266" s="65"/>
    </row>
    <row r="267" spans="2:7" ht="14.25" customHeight="1" x14ac:dyDescent="0.3">
      <c r="B267" s="478"/>
      <c r="C267" s="479"/>
      <c r="E267" s="480"/>
      <c r="G267" s="65"/>
    </row>
    <row r="268" spans="2:7" ht="14.25" customHeight="1" x14ac:dyDescent="0.3">
      <c r="B268" s="478"/>
      <c r="C268" s="479"/>
      <c r="E268" s="480"/>
      <c r="G268" s="65"/>
    </row>
    <row r="269" spans="2:7" ht="14.25" customHeight="1" x14ac:dyDescent="0.3">
      <c r="B269" s="478"/>
      <c r="C269" s="479"/>
      <c r="E269" s="480"/>
      <c r="G269" s="65"/>
    </row>
    <row r="270" spans="2:7" ht="14.25" customHeight="1" x14ac:dyDescent="0.3">
      <c r="B270" s="478"/>
      <c r="C270" s="479"/>
      <c r="E270" s="480"/>
      <c r="G270" s="65"/>
    </row>
    <row r="271" spans="2:7" ht="14.25" customHeight="1" x14ac:dyDescent="0.3">
      <c r="B271" s="478"/>
      <c r="C271" s="479"/>
      <c r="E271" s="480"/>
      <c r="G271" s="65"/>
    </row>
    <row r="272" spans="2:7" ht="14.25" customHeight="1" x14ac:dyDescent="0.3">
      <c r="B272" s="478"/>
      <c r="C272" s="479"/>
      <c r="E272" s="480"/>
      <c r="G272" s="65"/>
    </row>
    <row r="273" spans="2:7" ht="14.25" customHeight="1" x14ac:dyDescent="0.3">
      <c r="B273" s="478"/>
      <c r="C273" s="479"/>
      <c r="E273" s="480"/>
      <c r="G273" s="65"/>
    </row>
    <row r="274" spans="2:7" ht="14.25" customHeight="1" x14ac:dyDescent="0.3">
      <c r="B274" s="478"/>
      <c r="C274" s="479"/>
      <c r="E274" s="480"/>
      <c r="G274" s="65"/>
    </row>
    <row r="275" spans="2:7" ht="14.25" customHeight="1" x14ac:dyDescent="0.3">
      <c r="B275" s="478"/>
      <c r="C275" s="479"/>
      <c r="E275" s="480"/>
      <c r="G275" s="65"/>
    </row>
    <row r="276" spans="2:7" ht="14.25" customHeight="1" x14ac:dyDescent="0.3">
      <c r="B276" s="478"/>
      <c r="C276" s="479"/>
      <c r="E276" s="480"/>
      <c r="G276" s="65"/>
    </row>
    <row r="277" spans="2:7" ht="14.25" customHeight="1" x14ac:dyDescent="0.3">
      <c r="B277" s="478"/>
      <c r="C277" s="479"/>
      <c r="E277" s="480"/>
      <c r="G277" s="65"/>
    </row>
    <row r="278" spans="2:7" ht="14.25" customHeight="1" x14ac:dyDescent="0.3">
      <c r="B278" s="478"/>
      <c r="C278" s="479"/>
      <c r="E278" s="480"/>
      <c r="G278" s="65"/>
    </row>
    <row r="279" spans="2:7" ht="14.25" customHeight="1" x14ac:dyDescent="0.3">
      <c r="B279" s="478"/>
      <c r="C279" s="479"/>
      <c r="E279" s="480"/>
      <c r="G279" s="65"/>
    </row>
    <row r="280" spans="2:7" ht="14.25" customHeight="1" x14ac:dyDescent="0.3">
      <c r="B280" s="478"/>
      <c r="C280" s="479"/>
      <c r="E280" s="480"/>
      <c r="G280" s="65"/>
    </row>
    <row r="281" spans="2:7" ht="14.25" customHeight="1" x14ac:dyDescent="0.3">
      <c r="B281" s="478"/>
      <c r="C281" s="479"/>
      <c r="E281" s="480"/>
      <c r="G281" s="65"/>
    </row>
    <row r="282" spans="2:7" ht="14.25" customHeight="1" x14ac:dyDescent="0.3">
      <c r="B282" s="478"/>
      <c r="C282" s="479"/>
      <c r="E282" s="480"/>
      <c r="G282" s="65"/>
    </row>
    <row r="283" spans="2:7" ht="14.25" customHeight="1" x14ac:dyDescent="0.3">
      <c r="B283" s="478"/>
      <c r="C283" s="479"/>
      <c r="E283" s="480"/>
      <c r="G283" s="65"/>
    </row>
    <row r="284" spans="2:7" ht="14.25" customHeight="1" x14ac:dyDescent="0.3">
      <c r="B284" s="478"/>
      <c r="C284" s="479"/>
      <c r="E284" s="480"/>
      <c r="G284" s="65"/>
    </row>
    <row r="285" spans="2:7" ht="14.25" customHeight="1" x14ac:dyDescent="0.3">
      <c r="B285" s="478"/>
      <c r="C285" s="479"/>
      <c r="E285" s="480"/>
      <c r="G285" s="65"/>
    </row>
    <row r="286" spans="2:7" ht="14.25" customHeight="1" x14ac:dyDescent="0.3">
      <c r="B286" s="478"/>
      <c r="C286" s="479"/>
      <c r="E286" s="480"/>
      <c r="G286" s="65"/>
    </row>
    <row r="287" spans="2:7" ht="14.25" customHeight="1" x14ac:dyDescent="0.3">
      <c r="B287" s="478"/>
      <c r="C287" s="479"/>
      <c r="E287" s="480"/>
      <c r="G287" s="65"/>
    </row>
    <row r="288" spans="2:7" ht="14.25" customHeight="1" x14ac:dyDescent="0.3">
      <c r="B288" s="478"/>
      <c r="C288" s="479"/>
      <c r="E288" s="480"/>
      <c r="G288" s="65"/>
    </row>
    <row r="289" spans="2:7" ht="14.25" customHeight="1" x14ac:dyDescent="0.3">
      <c r="B289" s="478"/>
      <c r="C289" s="479"/>
      <c r="E289" s="480"/>
      <c r="G289" s="65"/>
    </row>
    <row r="290" spans="2:7" ht="14.25" customHeight="1" x14ac:dyDescent="0.3">
      <c r="B290" s="478"/>
      <c r="C290" s="479"/>
      <c r="E290" s="480"/>
      <c r="G290" s="65"/>
    </row>
    <row r="291" spans="2:7" ht="14.25" customHeight="1" x14ac:dyDescent="0.3">
      <c r="B291" s="478"/>
      <c r="C291" s="479"/>
      <c r="E291" s="480"/>
      <c r="G291" s="65"/>
    </row>
    <row r="292" spans="2:7" ht="14.25" customHeight="1" x14ac:dyDescent="0.3">
      <c r="B292" s="478"/>
      <c r="C292" s="479"/>
      <c r="E292" s="480"/>
      <c r="G292" s="65"/>
    </row>
    <row r="293" spans="2:7" ht="14.25" customHeight="1" x14ac:dyDescent="0.3">
      <c r="B293" s="478"/>
      <c r="C293" s="479"/>
      <c r="E293" s="480"/>
      <c r="G293" s="65"/>
    </row>
    <row r="294" spans="2:7" ht="14.25" customHeight="1" x14ac:dyDescent="0.3">
      <c r="B294" s="478"/>
      <c r="C294" s="479"/>
      <c r="E294" s="480"/>
      <c r="G294" s="65"/>
    </row>
    <row r="295" spans="2:7" ht="14.25" customHeight="1" x14ac:dyDescent="0.3">
      <c r="B295" s="478"/>
      <c r="C295" s="479"/>
      <c r="E295" s="480"/>
      <c r="G295" s="65"/>
    </row>
    <row r="296" spans="2:7" ht="14.25" customHeight="1" x14ac:dyDescent="0.3">
      <c r="B296" s="478"/>
      <c r="C296" s="479"/>
      <c r="E296" s="480"/>
      <c r="G296" s="65"/>
    </row>
    <row r="297" spans="2:7" ht="14.25" customHeight="1" x14ac:dyDescent="0.3">
      <c r="B297" s="478"/>
      <c r="C297" s="479"/>
      <c r="E297" s="480"/>
      <c r="G297" s="65"/>
    </row>
    <row r="298" spans="2:7" ht="14.25" customHeight="1" x14ac:dyDescent="0.3">
      <c r="B298" s="478"/>
      <c r="C298" s="479"/>
      <c r="E298" s="480"/>
      <c r="G298" s="65"/>
    </row>
    <row r="299" spans="2:7" ht="14.25" customHeight="1" x14ac:dyDescent="0.3">
      <c r="B299" s="478"/>
      <c r="C299" s="479"/>
      <c r="E299" s="480"/>
      <c r="G299" s="65"/>
    </row>
    <row r="300" spans="2:7" ht="14.25" customHeight="1" x14ac:dyDescent="0.3">
      <c r="B300" s="478"/>
      <c r="C300" s="479"/>
      <c r="E300" s="480"/>
      <c r="G300" s="65"/>
    </row>
    <row r="301" spans="2:7" ht="14.25" customHeight="1" x14ac:dyDescent="0.3">
      <c r="B301" s="478"/>
      <c r="C301" s="479"/>
      <c r="E301" s="480"/>
      <c r="G301" s="65"/>
    </row>
    <row r="302" spans="2:7" ht="14.25" customHeight="1" x14ac:dyDescent="0.3">
      <c r="B302" s="478"/>
      <c r="C302" s="479"/>
      <c r="E302" s="480"/>
      <c r="G302" s="65"/>
    </row>
    <row r="303" spans="2:7" ht="14.25" customHeight="1" x14ac:dyDescent="0.3">
      <c r="B303" s="478"/>
      <c r="C303" s="479"/>
      <c r="E303" s="480"/>
      <c r="G303" s="65"/>
    </row>
    <row r="304" spans="2:7" ht="14.25" customHeight="1" x14ac:dyDescent="0.3">
      <c r="B304" s="478"/>
      <c r="C304" s="479"/>
      <c r="E304" s="480"/>
      <c r="G304" s="65"/>
    </row>
    <row r="305" spans="2:7" ht="14.25" customHeight="1" x14ac:dyDescent="0.3">
      <c r="B305" s="478"/>
      <c r="C305" s="479"/>
      <c r="E305" s="480"/>
      <c r="G305" s="65"/>
    </row>
    <row r="306" spans="2:7" ht="14.25" customHeight="1" x14ac:dyDescent="0.3">
      <c r="B306" s="478"/>
      <c r="C306" s="479"/>
      <c r="E306" s="480"/>
      <c r="G306" s="65"/>
    </row>
    <row r="307" spans="2:7" ht="14.25" customHeight="1" x14ac:dyDescent="0.3">
      <c r="B307" s="478"/>
      <c r="C307" s="479"/>
      <c r="E307" s="480"/>
      <c r="G307" s="65"/>
    </row>
    <row r="308" spans="2:7" ht="14.25" customHeight="1" x14ac:dyDescent="0.3">
      <c r="B308" s="478"/>
      <c r="C308" s="479"/>
      <c r="E308" s="480"/>
      <c r="G308" s="65"/>
    </row>
    <row r="309" spans="2:7" ht="14.25" customHeight="1" x14ac:dyDescent="0.3">
      <c r="B309" s="478"/>
      <c r="C309" s="479"/>
      <c r="E309" s="480"/>
      <c r="G309" s="65"/>
    </row>
    <row r="310" spans="2:7" ht="14.25" customHeight="1" x14ac:dyDescent="0.3">
      <c r="B310" s="478"/>
      <c r="C310" s="479"/>
      <c r="E310" s="480"/>
      <c r="G310" s="65"/>
    </row>
    <row r="311" spans="2:7" ht="14.25" customHeight="1" x14ac:dyDescent="0.3">
      <c r="B311" s="478"/>
      <c r="C311" s="479"/>
      <c r="E311" s="480"/>
      <c r="G311" s="65"/>
    </row>
    <row r="312" spans="2:7" ht="14.25" customHeight="1" x14ac:dyDescent="0.3">
      <c r="B312" s="478"/>
      <c r="C312" s="479"/>
      <c r="E312" s="480"/>
      <c r="G312" s="65"/>
    </row>
    <row r="313" spans="2:7" ht="14.25" customHeight="1" x14ac:dyDescent="0.3">
      <c r="B313" s="478"/>
      <c r="C313" s="479"/>
      <c r="E313" s="480"/>
      <c r="G313" s="65"/>
    </row>
    <row r="314" spans="2:7" ht="14.25" customHeight="1" x14ac:dyDescent="0.3">
      <c r="B314" s="478"/>
      <c r="C314" s="479"/>
      <c r="E314" s="480"/>
      <c r="G314" s="65"/>
    </row>
    <row r="315" spans="2:7" ht="14.25" customHeight="1" x14ac:dyDescent="0.3">
      <c r="B315" s="478"/>
      <c r="C315" s="479"/>
      <c r="E315" s="480"/>
      <c r="G315" s="65"/>
    </row>
    <row r="316" spans="2:7" ht="14.25" customHeight="1" x14ac:dyDescent="0.3">
      <c r="B316" s="478"/>
      <c r="C316" s="479"/>
      <c r="E316" s="480"/>
      <c r="G316" s="65"/>
    </row>
    <row r="317" spans="2:7" ht="14.25" customHeight="1" x14ac:dyDescent="0.3">
      <c r="B317" s="478"/>
      <c r="C317" s="479"/>
      <c r="E317" s="480"/>
      <c r="G317" s="65"/>
    </row>
    <row r="318" spans="2:7" ht="14.25" customHeight="1" x14ac:dyDescent="0.3">
      <c r="B318" s="478"/>
      <c r="C318" s="479"/>
      <c r="E318" s="480"/>
      <c r="G318" s="65"/>
    </row>
    <row r="319" spans="2:7" ht="14.25" customHeight="1" x14ac:dyDescent="0.3">
      <c r="B319" s="478"/>
      <c r="C319" s="479"/>
      <c r="E319" s="480"/>
      <c r="G319" s="65"/>
    </row>
    <row r="320" spans="2:7" ht="14.25" customHeight="1" x14ac:dyDescent="0.3">
      <c r="B320" s="478"/>
      <c r="C320" s="479"/>
      <c r="E320" s="480"/>
      <c r="G320" s="65"/>
    </row>
    <row r="321" spans="2:7" ht="14.25" customHeight="1" x14ac:dyDescent="0.3">
      <c r="B321" s="478"/>
      <c r="C321" s="479"/>
      <c r="E321" s="480"/>
      <c r="G321" s="65"/>
    </row>
    <row r="322" spans="2:7" ht="14.25" customHeight="1" x14ac:dyDescent="0.3">
      <c r="B322" s="478"/>
      <c r="C322" s="479"/>
      <c r="E322" s="480"/>
      <c r="G322" s="65"/>
    </row>
    <row r="323" spans="2:7" ht="14.25" customHeight="1" x14ac:dyDescent="0.3">
      <c r="B323" s="478"/>
      <c r="C323" s="479"/>
      <c r="E323" s="480"/>
      <c r="G323" s="65"/>
    </row>
    <row r="324" spans="2:7" ht="14.25" customHeight="1" x14ac:dyDescent="0.3">
      <c r="B324" s="478"/>
      <c r="C324" s="479"/>
      <c r="E324" s="480"/>
      <c r="G324" s="65"/>
    </row>
    <row r="325" spans="2:7" ht="14.25" customHeight="1" x14ac:dyDescent="0.3">
      <c r="B325" s="478"/>
      <c r="C325" s="479"/>
      <c r="E325" s="480"/>
      <c r="G325" s="65"/>
    </row>
    <row r="326" spans="2:7" ht="14.25" customHeight="1" x14ac:dyDescent="0.3">
      <c r="B326" s="478"/>
      <c r="C326" s="479"/>
      <c r="E326" s="480"/>
      <c r="G326" s="65"/>
    </row>
    <row r="327" spans="2:7" ht="14.25" customHeight="1" x14ac:dyDescent="0.3">
      <c r="B327" s="478"/>
      <c r="C327" s="479"/>
      <c r="E327" s="480"/>
      <c r="G327" s="65"/>
    </row>
    <row r="328" spans="2:7" ht="14.25" customHeight="1" x14ac:dyDescent="0.3">
      <c r="B328" s="478"/>
      <c r="C328" s="479"/>
      <c r="E328" s="480"/>
      <c r="G328" s="65"/>
    </row>
    <row r="329" spans="2:7" ht="14.25" customHeight="1" x14ac:dyDescent="0.3">
      <c r="B329" s="478"/>
      <c r="C329" s="479"/>
      <c r="E329" s="480"/>
      <c r="G329" s="65"/>
    </row>
    <row r="330" spans="2:7" ht="14.25" customHeight="1" x14ac:dyDescent="0.3">
      <c r="B330" s="478"/>
      <c r="C330" s="479"/>
      <c r="E330" s="480"/>
      <c r="G330" s="65"/>
    </row>
    <row r="331" spans="2:7" ht="14.25" customHeight="1" x14ac:dyDescent="0.3">
      <c r="B331" s="478"/>
      <c r="C331" s="479"/>
      <c r="E331" s="480"/>
      <c r="G331" s="65"/>
    </row>
    <row r="332" spans="2:7" ht="14.25" customHeight="1" x14ac:dyDescent="0.3">
      <c r="B332" s="478"/>
      <c r="C332" s="479"/>
      <c r="E332" s="480"/>
      <c r="G332" s="65"/>
    </row>
    <row r="333" spans="2:7" ht="14.25" customHeight="1" x14ac:dyDescent="0.3">
      <c r="B333" s="478"/>
      <c r="C333" s="479"/>
      <c r="E333" s="480"/>
      <c r="G333" s="65"/>
    </row>
    <row r="334" spans="2:7" ht="14.25" customHeight="1" x14ac:dyDescent="0.3">
      <c r="B334" s="478"/>
      <c r="C334" s="479"/>
      <c r="E334" s="480"/>
      <c r="G334" s="65"/>
    </row>
    <row r="335" spans="2:7" ht="14.25" customHeight="1" x14ac:dyDescent="0.3">
      <c r="B335" s="478"/>
      <c r="C335" s="479"/>
      <c r="E335" s="480"/>
      <c r="G335" s="65"/>
    </row>
    <row r="336" spans="2:7" ht="14.25" customHeight="1" x14ac:dyDescent="0.3">
      <c r="B336" s="478"/>
      <c r="C336" s="479"/>
      <c r="E336" s="480"/>
      <c r="G336" s="65"/>
    </row>
    <row r="337" spans="2:7" ht="14.25" customHeight="1" x14ac:dyDescent="0.3">
      <c r="B337" s="478"/>
      <c r="C337" s="479"/>
      <c r="E337" s="480"/>
      <c r="G337" s="65"/>
    </row>
    <row r="338" spans="2:7" ht="14.25" customHeight="1" x14ac:dyDescent="0.3">
      <c r="B338" s="478"/>
      <c r="C338" s="479"/>
      <c r="E338" s="480"/>
      <c r="G338" s="65"/>
    </row>
    <row r="339" spans="2:7" ht="14.25" customHeight="1" x14ac:dyDescent="0.3">
      <c r="B339" s="478"/>
      <c r="C339" s="479"/>
      <c r="E339" s="480"/>
      <c r="G339" s="65"/>
    </row>
    <row r="340" spans="2:7" ht="14.25" customHeight="1" x14ac:dyDescent="0.3">
      <c r="B340" s="478"/>
      <c r="C340" s="479"/>
      <c r="E340" s="480"/>
      <c r="G340" s="65"/>
    </row>
    <row r="341" spans="2:7" ht="14.25" customHeight="1" x14ac:dyDescent="0.3">
      <c r="B341" s="478"/>
      <c r="C341" s="479"/>
      <c r="E341" s="480"/>
      <c r="G341" s="65"/>
    </row>
    <row r="342" spans="2:7" ht="14.25" customHeight="1" x14ac:dyDescent="0.3">
      <c r="B342" s="478"/>
      <c r="C342" s="479"/>
      <c r="E342" s="480"/>
      <c r="G342" s="65"/>
    </row>
    <row r="343" spans="2:7" ht="14.25" customHeight="1" x14ac:dyDescent="0.3">
      <c r="B343" s="478"/>
      <c r="C343" s="479"/>
      <c r="E343" s="480"/>
      <c r="G343" s="65"/>
    </row>
    <row r="344" spans="2:7" ht="14.25" customHeight="1" x14ac:dyDescent="0.3">
      <c r="B344" s="478"/>
      <c r="C344" s="479"/>
      <c r="E344" s="480"/>
      <c r="G344" s="65"/>
    </row>
    <row r="345" spans="2:7" ht="14.25" customHeight="1" x14ac:dyDescent="0.3">
      <c r="B345" s="478"/>
      <c r="C345" s="479"/>
      <c r="E345" s="480"/>
      <c r="G345" s="65"/>
    </row>
    <row r="346" spans="2:7" ht="14.25" customHeight="1" x14ac:dyDescent="0.3">
      <c r="B346" s="478"/>
      <c r="C346" s="479"/>
      <c r="E346" s="480"/>
      <c r="G346" s="65"/>
    </row>
    <row r="347" spans="2:7" ht="14.25" customHeight="1" x14ac:dyDescent="0.3">
      <c r="B347" s="478"/>
      <c r="C347" s="479"/>
      <c r="E347" s="480"/>
      <c r="G347" s="65"/>
    </row>
    <row r="348" spans="2:7" ht="14.25" customHeight="1" x14ac:dyDescent="0.3">
      <c r="B348" s="478"/>
      <c r="C348" s="479"/>
      <c r="E348" s="480"/>
      <c r="G348" s="65"/>
    </row>
    <row r="349" spans="2:7" ht="14.25" customHeight="1" x14ac:dyDescent="0.3">
      <c r="B349" s="478"/>
      <c r="C349" s="479"/>
      <c r="E349" s="480"/>
      <c r="G349" s="65"/>
    </row>
    <row r="350" spans="2:7" ht="14.25" customHeight="1" x14ac:dyDescent="0.3">
      <c r="B350" s="478"/>
      <c r="C350" s="479"/>
      <c r="E350" s="480"/>
      <c r="G350" s="65"/>
    </row>
    <row r="351" spans="2:7" ht="14.25" customHeight="1" x14ac:dyDescent="0.3">
      <c r="B351" s="478"/>
      <c r="C351" s="479"/>
      <c r="E351" s="480"/>
      <c r="G351" s="65"/>
    </row>
    <row r="352" spans="2:7" ht="14.25" customHeight="1" x14ac:dyDescent="0.3">
      <c r="B352" s="478"/>
      <c r="C352" s="479"/>
      <c r="E352" s="480"/>
      <c r="G352" s="65"/>
    </row>
    <row r="353" spans="2:7" ht="14.25" customHeight="1" x14ac:dyDescent="0.3">
      <c r="B353" s="478"/>
      <c r="C353" s="479"/>
      <c r="E353" s="480"/>
      <c r="G353" s="65"/>
    </row>
    <row r="354" spans="2:7" ht="14.25" customHeight="1" x14ac:dyDescent="0.3">
      <c r="B354" s="478"/>
      <c r="C354" s="479"/>
      <c r="E354" s="480"/>
      <c r="G354" s="65"/>
    </row>
    <row r="355" spans="2:7" ht="14.25" customHeight="1" x14ac:dyDescent="0.3">
      <c r="B355" s="478"/>
      <c r="C355" s="479"/>
      <c r="E355" s="480"/>
      <c r="G355" s="65"/>
    </row>
    <row r="356" spans="2:7" ht="14.25" customHeight="1" x14ac:dyDescent="0.3">
      <c r="B356" s="478"/>
      <c r="C356" s="479"/>
      <c r="E356" s="480"/>
      <c r="G356" s="65"/>
    </row>
    <row r="357" spans="2:7" ht="14.25" customHeight="1" x14ac:dyDescent="0.3">
      <c r="B357" s="478"/>
      <c r="C357" s="479"/>
      <c r="E357" s="480"/>
      <c r="G357" s="65"/>
    </row>
    <row r="358" spans="2:7" ht="14.25" customHeight="1" x14ac:dyDescent="0.3">
      <c r="B358" s="478"/>
      <c r="C358" s="479"/>
      <c r="E358" s="480"/>
      <c r="G358" s="65"/>
    </row>
    <row r="359" spans="2:7" ht="14.25" customHeight="1" x14ac:dyDescent="0.3">
      <c r="B359" s="478"/>
      <c r="C359" s="479"/>
      <c r="E359" s="480"/>
      <c r="G359" s="65"/>
    </row>
    <row r="360" spans="2:7" ht="14.25" customHeight="1" x14ac:dyDescent="0.3">
      <c r="B360" s="478"/>
      <c r="C360" s="479"/>
      <c r="E360" s="480"/>
      <c r="G360" s="65"/>
    </row>
    <row r="361" spans="2:7" ht="14.25" customHeight="1" x14ac:dyDescent="0.3">
      <c r="B361" s="478"/>
      <c r="C361" s="479"/>
      <c r="E361" s="480"/>
      <c r="G361" s="65"/>
    </row>
    <row r="362" spans="2:7" ht="14.25" customHeight="1" x14ac:dyDescent="0.3">
      <c r="B362" s="478"/>
      <c r="C362" s="479"/>
      <c r="E362" s="480"/>
      <c r="G362" s="65"/>
    </row>
    <row r="363" spans="2:7" ht="14.25" customHeight="1" x14ac:dyDescent="0.3">
      <c r="B363" s="478"/>
      <c r="C363" s="479"/>
      <c r="E363" s="480"/>
      <c r="G363" s="65"/>
    </row>
    <row r="364" spans="2:7" ht="14.25" customHeight="1" x14ac:dyDescent="0.3">
      <c r="B364" s="478"/>
      <c r="C364" s="479"/>
      <c r="E364" s="480"/>
      <c r="G364" s="65"/>
    </row>
    <row r="365" spans="2:7" ht="14.25" customHeight="1" x14ac:dyDescent="0.3">
      <c r="B365" s="478"/>
      <c r="C365" s="479"/>
      <c r="E365" s="480"/>
      <c r="G365" s="65"/>
    </row>
    <row r="366" spans="2:7" ht="14.25" customHeight="1" x14ac:dyDescent="0.3">
      <c r="B366" s="478"/>
      <c r="C366" s="479"/>
      <c r="E366" s="480"/>
      <c r="G366" s="65"/>
    </row>
    <row r="367" spans="2:7" ht="14.25" customHeight="1" x14ac:dyDescent="0.3">
      <c r="B367" s="478"/>
      <c r="C367" s="479"/>
      <c r="E367" s="480"/>
      <c r="G367" s="65"/>
    </row>
    <row r="368" spans="2:7" ht="14.25" customHeight="1" x14ac:dyDescent="0.3">
      <c r="B368" s="478"/>
      <c r="C368" s="479"/>
      <c r="E368" s="480"/>
      <c r="G368" s="65"/>
    </row>
    <row r="369" spans="2:7" ht="14.25" customHeight="1" x14ac:dyDescent="0.3">
      <c r="B369" s="478"/>
      <c r="C369" s="479"/>
      <c r="E369" s="480"/>
      <c r="G369" s="65"/>
    </row>
    <row r="370" spans="2:7" ht="14.25" customHeight="1" x14ac:dyDescent="0.3">
      <c r="B370" s="478"/>
      <c r="C370" s="479"/>
      <c r="E370" s="480"/>
      <c r="G370" s="65"/>
    </row>
    <row r="371" spans="2:7" ht="14.25" customHeight="1" x14ac:dyDescent="0.3">
      <c r="B371" s="478"/>
      <c r="C371" s="479"/>
      <c r="E371" s="480"/>
      <c r="G371" s="65"/>
    </row>
    <row r="372" spans="2:7" ht="14.25" customHeight="1" x14ac:dyDescent="0.3">
      <c r="B372" s="478"/>
      <c r="C372" s="479"/>
      <c r="E372" s="480"/>
      <c r="G372" s="65"/>
    </row>
    <row r="373" spans="2:7" ht="14.25" customHeight="1" x14ac:dyDescent="0.3">
      <c r="B373" s="478"/>
      <c r="C373" s="479"/>
      <c r="E373" s="480"/>
      <c r="G373" s="65"/>
    </row>
    <row r="374" spans="2:7" ht="14.25" customHeight="1" x14ac:dyDescent="0.3">
      <c r="B374" s="478"/>
      <c r="C374" s="479"/>
      <c r="E374" s="480"/>
      <c r="G374" s="65"/>
    </row>
    <row r="375" spans="2:7" ht="14.25" customHeight="1" x14ac:dyDescent="0.3">
      <c r="B375" s="478"/>
      <c r="C375" s="479"/>
      <c r="E375" s="480"/>
      <c r="G375" s="65"/>
    </row>
    <row r="376" spans="2:7" ht="14.25" customHeight="1" x14ac:dyDescent="0.3">
      <c r="B376" s="478"/>
      <c r="C376" s="479"/>
      <c r="E376" s="480"/>
      <c r="G376" s="65"/>
    </row>
    <row r="377" spans="2:7" ht="14.25" customHeight="1" x14ac:dyDescent="0.3">
      <c r="B377" s="478"/>
      <c r="C377" s="479"/>
      <c r="E377" s="480"/>
      <c r="G377" s="65"/>
    </row>
    <row r="378" spans="2:7" ht="14.25" customHeight="1" x14ac:dyDescent="0.3">
      <c r="B378" s="478"/>
      <c r="C378" s="479"/>
      <c r="E378" s="480"/>
      <c r="G378" s="65"/>
    </row>
    <row r="379" spans="2:7" ht="14.25" customHeight="1" x14ac:dyDescent="0.3">
      <c r="B379" s="478"/>
      <c r="C379" s="479"/>
      <c r="E379" s="480"/>
      <c r="G379" s="65"/>
    </row>
    <row r="380" spans="2:7" ht="14.25" customHeight="1" x14ac:dyDescent="0.3">
      <c r="B380" s="478"/>
      <c r="C380" s="479"/>
      <c r="E380" s="480"/>
      <c r="G380" s="65"/>
    </row>
    <row r="381" spans="2:7" ht="14.25" customHeight="1" x14ac:dyDescent="0.3">
      <c r="B381" s="478"/>
      <c r="C381" s="479"/>
      <c r="E381" s="480"/>
      <c r="G381" s="65"/>
    </row>
    <row r="382" spans="2:7" ht="14.25" customHeight="1" x14ac:dyDescent="0.3">
      <c r="B382" s="478"/>
      <c r="C382" s="479"/>
      <c r="E382" s="480"/>
      <c r="G382" s="65"/>
    </row>
    <row r="383" spans="2:7" ht="14.25" customHeight="1" x14ac:dyDescent="0.3">
      <c r="B383" s="478"/>
      <c r="C383" s="479"/>
      <c r="E383" s="480"/>
      <c r="G383" s="65"/>
    </row>
    <row r="384" spans="2:7" ht="14.25" customHeight="1" x14ac:dyDescent="0.3">
      <c r="B384" s="478"/>
      <c r="C384" s="479"/>
      <c r="E384" s="480"/>
      <c r="G384" s="65"/>
    </row>
    <row r="385" spans="2:7" ht="14.25" customHeight="1" x14ac:dyDescent="0.3">
      <c r="B385" s="478"/>
      <c r="C385" s="479"/>
      <c r="E385" s="480"/>
      <c r="G385" s="65"/>
    </row>
    <row r="386" spans="2:7" ht="14.25" customHeight="1" x14ac:dyDescent="0.3">
      <c r="B386" s="478"/>
      <c r="C386" s="479"/>
      <c r="E386" s="480"/>
      <c r="G386" s="65"/>
    </row>
    <row r="387" spans="2:7" ht="14.25" customHeight="1" x14ac:dyDescent="0.3">
      <c r="B387" s="478"/>
      <c r="C387" s="479"/>
      <c r="E387" s="480"/>
      <c r="G387" s="65"/>
    </row>
    <row r="388" spans="2:7" ht="14.25" customHeight="1" x14ac:dyDescent="0.3">
      <c r="B388" s="478"/>
      <c r="C388" s="479"/>
      <c r="E388" s="480"/>
      <c r="G388" s="65"/>
    </row>
    <row r="389" spans="2:7" ht="14.25" customHeight="1" x14ac:dyDescent="0.3">
      <c r="B389" s="478"/>
      <c r="C389" s="479"/>
      <c r="E389" s="480"/>
      <c r="G389" s="65"/>
    </row>
    <row r="390" spans="2:7" ht="14.25" customHeight="1" x14ac:dyDescent="0.3">
      <c r="B390" s="478"/>
      <c r="C390" s="479"/>
      <c r="E390" s="480"/>
      <c r="G390" s="65"/>
    </row>
    <row r="391" spans="2:7" ht="14.25" customHeight="1" x14ac:dyDescent="0.3">
      <c r="B391" s="478"/>
      <c r="C391" s="479"/>
      <c r="E391" s="480"/>
      <c r="G391" s="65"/>
    </row>
    <row r="392" spans="2:7" ht="14.25" customHeight="1" x14ac:dyDescent="0.3">
      <c r="B392" s="478"/>
      <c r="C392" s="479"/>
      <c r="E392" s="480"/>
      <c r="G392" s="65"/>
    </row>
    <row r="393" spans="2:7" ht="14.25" customHeight="1" x14ac:dyDescent="0.3">
      <c r="B393" s="478"/>
      <c r="C393" s="479"/>
      <c r="E393" s="480"/>
      <c r="G393" s="65"/>
    </row>
    <row r="394" spans="2:7" ht="14.25" customHeight="1" x14ac:dyDescent="0.3">
      <c r="B394" s="478"/>
      <c r="C394" s="479"/>
      <c r="E394" s="480"/>
      <c r="G394" s="65"/>
    </row>
    <row r="395" spans="2:7" ht="14.25" customHeight="1" x14ac:dyDescent="0.3">
      <c r="B395" s="478"/>
      <c r="C395" s="479"/>
      <c r="E395" s="480"/>
      <c r="G395" s="65"/>
    </row>
    <row r="396" spans="2:7" ht="14.25" customHeight="1" x14ac:dyDescent="0.3">
      <c r="B396" s="478"/>
      <c r="C396" s="479"/>
      <c r="E396" s="480"/>
      <c r="G396" s="65"/>
    </row>
    <row r="397" spans="2:7" ht="14.25" customHeight="1" x14ac:dyDescent="0.3">
      <c r="B397" s="478"/>
      <c r="C397" s="479"/>
      <c r="E397" s="480"/>
      <c r="G397" s="65"/>
    </row>
    <row r="398" spans="2:7" ht="14.25" customHeight="1" x14ac:dyDescent="0.3">
      <c r="B398" s="478"/>
      <c r="C398" s="479"/>
      <c r="E398" s="480"/>
      <c r="G398" s="65"/>
    </row>
    <row r="399" spans="2:7" ht="14.25" customHeight="1" x14ac:dyDescent="0.3">
      <c r="B399" s="478"/>
      <c r="C399" s="479"/>
      <c r="E399" s="480"/>
      <c r="G399" s="65"/>
    </row>
    <row r="400" spans="2:7" ht="14.25" customHeight="1" x14ac:dyDescent="0.3">
      <c r="B400" s="478"/>
      <c r="C400" s="479"/>
      <c r="E400" s="480"/>
      <c r="G400" s="65"/>
    </row>
    <row r="401" spans="2:7" ht="14.25" customHeight="1" x14ac:dyDescent="0.3">
      <c r="B401" s="478"/>
      <c r="C401" s="479"/>
      <c r="E401" s="480"/>
      <c r="G401" s="65"/>
    </row>
    <row r="402" spans="2:7" ht="14.25" customHeight="1" x14ac:dyDescent="0.3">
      <c r="B402" s="478"/>
      <c r="C402" s="479"/>
      <c r="E402" s="480"/>
      <c r="G402" s="65"/>
    </row>
    <row r="403" spans="2:7" ht="14.25" customHeight="1" x14ac:dyDescent="0.3">
      <c r="B403" s="478"/>
      <c r="C403" s="479"/>
      <c r="E403" s="480"/>
      <c r="G403" s="65"/>
    </row>
    <row r="404" spans="2:7" ht="14.25" customHeight="1" x14ac:dyDescent="0.3">
      <c r="B404" s="478"/>
      <c r="C404" s="479"/>
      <c r="E404" s="480"/>
      <c r="G404" s="65"/>
    </row>
    <row r="405" spans="2:7" ht="14.25" customHeight="1" x14ac:dyDescent="0.3">
      <c r="B405" s="478"/>
      <c r="C405" s="479"/>
      <c r="E405" s="480"/>
      <c r="G405" s="65"/>
    </row>
    <row r="406" spans="2:7" ht="14.25" customHeight="1" x14ac:dyDescent="0.3">
      <c r="B406" s="478"/>
      <c r="C406" s="479"/>
      <c r="E406" s="480"/>
      <c r="G406" s="65"/>
    </row>
    <row r="407" spans="2:7" ht="14.25" customHeight="1" x14ac:dyDescent="0.3">
      <c r="B407" s="478"/>
      <c r="C407" s="479"/>
      <c r="E407" s="480"/>
      <c r="G407" s="65"/>
    </row>
    <row r="408" spans="2:7" ht="14.25" customHeight="1" x14ac:dyDescent="0.3">
      <c r="B408" s="478"/>
      <c r="C408" s="479"/>
      <c r="E408" s="480"/>
      <c r="G408" s="65"/>
    </row>
    <row r="409" spans="2:7" ht="14.25" customHeight="1" x14ac:dyDescent="0.3">
      <c r="B409" s="478"/>
      <c r="C409" s="479"/>
      <c r="E409" s="480"/>
      <c r="G409" s="65"/>
    </row>
    <row r="410" spans="2:7" ht="14.25" customHeight="1" x14ac:dyDescent="0.3">
      <c r="B410" s="478"/>
      <c r="C410" s="479"/>
      <c r="E410" s="480"/>
      <c r="G410" s="65"/>
    </row>
    <row r="411" spans="2:7" ht="14.25" customHeight="1" x14ac:dyDescent="0.3">
      <c r="B411" s="478"/>
      <c r="C411" s="479"/>
      <c r="E411" s="480"/>
      <c r="G411" s="65"/>
    </row>
    <row r="412" spans="2:7" ht="14.25" customHeight="1" x14ac:dyDescent="0.3">
      <c r="B412" s="478"/>
      <c r="C412" s="479"/>
      <c r="E412" s="480"/>
      <c r="G412" s="65"/>
    </row>
    <row r="413" spans="2:7" ht="14.25" customHeight="1" x14ac:dyDescent="0.3">
      <c r="B413" s="478"/>
      <c r="C413" s="479"/>
      <c r="E413" s="480"/>
      <c r="G413" s="65"/>
    </row>
    <row r="414" spans="2:7" ht="14.25" customHeight="1" x14ac:dyDescent="0.3">
      <c r="B414" s="478"/>
      <c r="C414" s="479"/>
      <c r="E414" s="480"/>
      <c r="G414" s="65"/>
    </row>
    <row r="415" spans="2:7" ht="14.25" customHeight="1" x14ac:dyDescent="0.3">
      <c r="B415" s="478"/>
      <c r="C415" s="479"/>
      <c r="E415" s="480"/>
      <c r="G415" s="65"/>
    </row>
    <row r="416" spans="2:7" ht="14.25" customHeight="1" x14ac:dyDescent="0.3">
      <c r="B416" s="478"/>
      <c r="C416" s="479"/>
      <c r="E416" s="480"/>
      <c r="G416" s="65"/>
    </row>
    <row r="417" spans="2:7" ht="14.25" customHeight="1" x14ac:dyDescent="0.3">
      <c r="B417" s="478"/>
      <c r="C417" s="479"/>
      <c r="E417" s="480"/>
      <c r="G417" s="65"/>
    </row>
    <row r="418" spans="2:7" ht="14.25" customHeight="1" x14ac:dyDescent="0.3">
      <c r="B418" s="478"/>
      <c r="C418" s="479"/>
      <c r="E418" s="480"/>
      <c r="G418" s="65"/>
    </row>
    <row r="419" spans="2:7" ht="14.25" customHeight="1" x14ac:dyDescent="0.3">
      <c r="B419" s="478"/>
      <c r="C419" s="479"/>
      <c r="E419" s="480"/>
      <c r="G419" s="65"/>
    </row>
    <row r="420" spans="2:7" ht="14.25" customHeight="1" x14ac:dyDescent="0.3">
      <c r="B420" s="478"/>
      <c r="C420" s="479"/>
      <c r="E420" s="480"/>
      <c r="G420" s="65"/>
    </row>
    <row r="421" spans="2:7" ht="14.25" customHeight="1" x14ac:dyDescent="0.3">
      <c r="B421" s="478"/>
      <c r="C421" s="479"/>
      <c r="E421" s="480"/>
      <c r="G421" s="65"/>
    </row>
    <row r="422" spans="2:7" ht="14.25" customHeight="1" x14ac:dyDescent="0.3">
      <c r="B422" s="478"/>
      <c r="C422" s="479"/>
      <c r="E422" s="480"/>
      <c r="G422" s="65"/>
    </row>
    <row r="423" spans="2:7" ht="14.25" customHeight="1" x14ac:dyDescent="0.3">
      <c r="B423" s="478"/>
      <c r="C423" s="479"/>
      <c r="E423" s="480"/>
      <c r="G423" s="65"/>
    </row>
    <row r="424" spans="2:7" ht="14.25" customHeight="1" x14ac:dyDescent="0.3">
      <c r="B424" s="478"/>
      <c r="C424" s="479"/>
      <c r="E424" s="480"/>
      <c r="G424" s="65"/>
    </row>
    <row r="425" spans="2:7" ht="14.25" customHeight="1" x14ac:dyDescent="0.3">
      <c r="B425" s="478"/>
      <c r="C425" s="479"/>
      <c r="E425" s="480"/>
      <c r="G425" s="65"/>
    </row>
    <row r="426" spans="2:7" ht="14.25" customHeight="1" x14ac:dyDescent="0.3">
      <c r="B426" s="478"/>
      <c r="C426" s="479"/>
      <c r="E426" s="480"/>
      <c r="G426" s="65"/>
    </row>
    <row r="427" spans="2:7" ht="14.25" customHeight="1" x14ac:dyDescent="0.3">
      <c r="B427" s="478"/>
      <c r="C427" s="479"/>
      <c r="E427" s="480"/>
      <c r="G427" s="65"/>
    </row>
    <row r="428" spans="2:7" ht="14.25" customHeight="1" x14ac:dyDescent="0.3">
      <c r="B428" s="478"/>
      <c r="C428" s="479"/>
      <c r="E428" s="480"/>
      <c r="G428" s="65"/>
    </row>
    <row r="429" spans="2:7" ht="14.25" customHeight="1" x14ac:dyDescent="0.3">
      <c r="B429" s="478"/>
      <c r="C429" s="479"/>
      <c r="E429" s="480"/>
      <c r="G429" s="65"/>
    </row>
    <row r="430" spans="2:7" ht="14.25" customHeight="1" x14ac:dyDescent="0.3">
      <c r="B430" s="478"/>
      <c r="C430" s="479"/>
      <c r="E430" s="480"/>
      <c r="G430" s="65"/>
    </row>
    <row r="431" spans="2:7" ht="14.25" customHeight="1" x14ac:dyDescent="0.3">
      <c r="B431" s="478"/>
      <c r="C431" s="479"/>
      <c r="E431" s="480"/>
      <c r="G431" s="65"/>
    </row>
    <row r="432" spans="2:7" ht="14.25" customHeight="1" x14ac:dyDescent="0.3">
      <c r="B432" s="478"/>
      <c r="C432" s="479"/>
      <c r="E432" s="480"/>
      <c r="G432" s="65"/>
    </row>
    <row r="433" spans="2:7" ht="14.25" customHeight="1" x14ac:dyDescent="0.3">
      <c r="B433" s="478"/>
      <c r="C433" s="479"/>
      <c r="E433" s="480"/>
      <c r="G433" s="65"/>
    </row>
    <row r="434" spans="2:7" ht="14.25" customHeight="1" x14ac:dyDescent="0.3">
      <c r="B434" s="478"/>
      <c r="C434" s="479"/>
      <c r="E434" s="480"/>
      <c r="G434" s="65"/>
    </row>
    <row r="435" spans="2:7" ht="14.25" customHeight="1" x14ac:dyDescent="0.3">
      <c r="B435" s="478"/>
      <c r="C435" s="479"/>
      <c r="E435" s="480"/>
      <c r="G435" s="65"/>
    </row>
    <row r="436" spans="2:7" ht="14.25" customHeight="1" x14ac:dyDescent="0.3">
      <c r="B436" s="478"/>
      <c r="C436" s="479"/>
      <c r="E436" s="480"/>
      <c r="G436" s="65"/>
    </row>
    <row r="437" spans="2:7" ht="14.25" customHeight="1" x14ac:dyDescent="0.3">
      <c r="B437" s="478"/>
      <c r="C437" s="479"/>
      <c r="E437" s="480"/>
      <c r="G437" s="65"/>
    </row>
    <row r="438" spans="2:7" ht="14.25" customHeight="1" x14ac:dyDescent="0.3">
      <c r="B438" s="478"/>
      <c r="C438" s="479"/>
      <c r="E438" s="480"/>
      <c r="G438" s="65"/>
    </row>
    <row r="439" spans="2:7" ht="14.25" customHeight="1" x14ac:dyDescent="0.3">
      <c r="B439" s="478"/>
      <c r="C439" s="479"/>
      <c r="E439" s="480"/>
      <c r="G439" s="65"/>
    </row>
    <row r="440" spans="2:7" ht="14.25" customHeight="1" x14ac:dyDescent="0.3">
      <c r="B440" s="478"/>
      <c r="C440" s="479"/>
      <c r="E440" s="480"/>
      <c r="G440" s="65"/>
    </row>
    <row r="441" spans="2:7" ht="14.25" customHeight="1" x14ac:dyDescent="0.3">
      <c r="B441" s="478"/>
      <c r="C441" s="479"/>
      <c r="E441" s="480"/>
      <c r="G441" s="65"/>
    </row>
    <row r="442" spans="2:7" ht="14.25" customHeight="1" x14ac:dyDescent="0.3">
      <c r="B442" s="478"/>
      <c r="C442" s="479"/>
      <c r="E442" s="480"/>
      <c r="G442" s="65"/>
    </row>
    <row r="443" spans="2:7" ht="14.25" customHeight="1" x14ac:dyDescent="0.3">
      <c r="B443" s="478"/>
      <c r="C443" s="479"/>
      <c r="E443" s="480"/>
      <c r="G443" s="65"/>
    </row>
    <row r="444" spans="2:7" ht="14.25" customHeight="1" x14ac:dyDescent="0.3">
      <c r="B444" s="478"/>
      <c r="C444" s="479"/>
      <c r="E444" s="480"/>
      <c r="G444" s="65"/>
    </row>
    <row r="445" spans="2:7" ht="14.25" customHeight="1" x14ac:dyDescent="0.3">
      <c r="B445" s="478"/>
      <c r="C445" s="479"/>
      <c r="E445" s="480"/>
      <c r="G445" s="65"/>
    </row>
    <row r="446" spans="2:7" ht="14.25" customHeight="1" x14ac:dyDescent="0.3">
      <c r="B446" s="478"/>
      <c r="C446" s="479"/>
      <c r="E446" s="480"/>
      <c r="G446" s="65"/>
    </row>
    <row r="447" spans="2:7" ht="14.25" customHeight="1" x14ac:dyDescent="0.3">
      <c r="B447" s="478"/>
      <c r="C447" s="479"/>
      <c r="E447" s="480"/>
      <c r="G447" s="65"/>
    </row>
    <row r="448" spans="2:7" ht="14.25" customHeight="1" x14ac:dyDescent="0.3">
      <c r="B448" s="478"/>
      <c r="C448" s="479"/>
      <c r="E448" s="480"/>
      <c r="G448" s="65"/>
    </row>
    <row r="449" spans="2:7" ht="14.25" customHeight="1" x14ac:dyDescent="0.3">
      <c r="B449" s="478"/>
      <c r="C449" s="479"/>
      <c r="E449" s="480"/>
      <c r="G449" s="65"/>
    </row>
    <row r="450" spans="2:7" ht="14.25" customHeight="1" x14ac:dyDescent="0.3">
      <c r="B450" s="478"/>
      <c r="C450" s="479"/>
      <c r="E450" s="480"/>
      <c r="G450" s="65"/>
    </row>
    <row r="451" spans="2:7" ht="14.25" customHeight="1" x14ac:dyDescent="0.3">
      <c r="B451" s="478"/>
      <c r="C451" s="479"/>
      <c r="E451" s="480"/>
      <c r="G451" s="65"/>
    </row>
    <row r="452" spans="2:7" ht="14.25" customHeight="1" x14ac:dyDescent="0.3">
      <c r="B452" s="478"/>
      <c r="C452" s="479"/>
      <c r="E452" s="480"/>
      <c r="G452" s="65"/>
    </row>
    <row r="453" spans="2:7" ht="14.25" customHeight="1" x14ac:dyDescent="0.3">
      <c r="B453" s="478"/>
      <c r="C453" s="479"/>
      <c r="E453" s="480"/>
      <c r="G453" s="65"/>
    </row>
    <row r="454" spans="2:7" ht="14.25" customHeight="1" x14ac:dyDescent="0.3">
      <c r="B454" s="478"/>
      <c r="C454" s="479"/>
      <c r="E454" s="480"/>
      <c r="G454" s="65"/>
    </row>
    <row r="455" spans="2:7" ht="14.25" customHeight="1" x14ac:dyDescent="0.3">
      <c r="B455" s="478"/>
      <c r="C455" s="479"/>
      <c r="E455" s="480"/>
      <c r="G455" s="65"/>
    </row>
    <row r="456" spans="2:7" ht="14.25" customHeight="1" x14ac:dyDescent="0.3">
      <c r="B456" s="478"/>
      <c r="C456" s="479"/>
      <c r="E456" s="480"/>
      <c r="G456" s="65"/>
    </row>
    <row r="457" spans="2:7" ht="14.25" customHeight="1" x14ac:dyDescent="0.3">
      <c r="B457" s="478"/>
      <c r="C457" s="479"/>
      <c r="E457" s="480"/>
      <c r="G457" s="65"/>
    </row>
    <row r="458" spans="2:7" ht="14.25" customHeight="1" x14ac:dyDescent="0.3">
      <c r="B458" s="478"/>
      <c r="C458" s="479"/>
      <c r="E458" s="480"/>
      <c r="G458" s="65"/>
    </row>
    <row r="459" spans="2:7" ht="14.25" customHeight="1" x14ac:dyDescent="0.3">
      <c r="B459" s="478"/>
      <c r="C459" s="479"/>
      <c r="E459" s="480"/>
      <c r="G459" s="65"/>
    </row>
    <row r="460" spans="2:7" ht="14.25" customHeight="1" x14ac:dyDescent="0.3">
      <c r="B460" s="478"/>
      <c r="C460" s="479"/>
      <c r="E460" s="480"/>
      <c r="G460" s="65"/>
    </row>
    <row r="461" spans="2:7" ht="14.25" customHeight="1" x14ac:dyDescent="0.3">
      <c r="B461" s="478"/>
      <c r="C461" s="479"/>
      <c r="E461" s="480"/>
      <c r="G461" s="65"/>
    </row>
    <row r="462" spans="2:7" ht="14.25" customHeight="1" x14ac:dyDescent="0.3">
      <c r="B462" s="478"/>
      <c r="C462" s="479"/>
      <c r="E462" s="480"/>
      <c r="G462" s="65"/>
    </row>
    <row r="463" spans="2:7" ht="14.25" customHeight="1" x14ac:dyDescent="0.3">
      <c r="B463" s="478"/>
      <c r="C463" s="479"/>
      <c r="E463" s="480"/>
      <c r="G463" s="65"/>
    </row>
    <row r="464" spans="2:7" ht="14.25" customHeight="1" x14ac:dyDescent="0.3">
      <c r="B464" s="478"/>
      <c r="C464" s="479"/>
      <c r="E464" s="480"/>
      <c r="G464" s="65"/>
    </row>
    <row r="465" spans="2:7" ht="14.25" customHeight="1" x14ac:dyDescent="0.3">
      <c r="B465" s="478"/>
      <c r="C465" s="479"/>
      <c r="E465" s="480"/>
      <c r="G465" s="65"/>
    </row>
    <row r="466" spans="2:7" ht="14.25" customHeight="1" x14ac:dyDescent="0.3">
      <c r="B466" s="478"/>
      <c r="C466" s="479"/>
      <c r="E466" s="480"/>
      <c r="G466" s="65"/>
    </row>
    <row r="467" spans="2:7" ht="14.25" customHeight="1" x14ac:dyDescent="0.3">
      <c r="B467" s="478"/>
      <c r="C467" s="479"/>
      <c r="E467" s="480"/>
      <c r="G467" s="65"/>
    </row>
    <row r="468" spans="2:7" ht="14.25" customHeight="1" x14ac:dyDescent="0.3">
      <c r="B468" s="478"/>
      <c r="C468" s="479"/>
      <c r="E468" s="480"/>
      <c r="G468" s="65"/>
    </row>
    <row r="469" spans="2:7" ht="14.25" customHeight="1" x14ac:dyDescent="0.3">
      <c r="B469" s="478"/>
      <c r="C469" s="479"/>
      <c r="E469" s="480"/>
      <c r="G469" s="65"/>
    </row>
    <row r="470" spans="2:7" ht="14.25" customHeight="1" x14ac:dyDescent="0.3">
      <c r="B470" s="478"/>
      <c r="C470" s="479"/>
      <c r="E470" s="480"/>
      <c r="G470" s="65"/>
    </row>
    <row r="471" spans="2:7" ht="14.25" customHeight="1" x14ac:dyDescent="0.3">
      <c r="B471" s="478"/>
      <c r="C471" s="479"/>
      <c r="E471" s="480"/>
      <c r="G471" s="65"/>
    </row>
    <row r="472" spans="2:7" ht="14.25" customHeight="1" x14ac:dyDescent="0.3">
      <c r="B472" s="478"/>
      <c r="C472" s="479"/>
      <c r="E472" s="480"/>
      <c r="G472" s="65"/>
    </row>
    <row r="473" spans="2:7" ht="14.25" customHeight="1" x14ac:dyDescent="0.3">
      <c r="B473" s="478"/>
      <c r="C473" s="479"/>
      <c r="E473" s="480"/>
      <c r="G473" s="65"/>
    </row>
    <row r="474" spans="2:7" ht="14.25" customHeight="1" x14ac:dyDescent="0.3">
      <c r="B474" s="478"/>
      <c r="C474" s="479"/>
      <c r="E474" s="480"/>
      <c r="G474" s="65"/>
    </row>
    <row r="475" spans="2:7" ht="14.25" customHeight="1" x14ac:dyDescent="0.3">
      <c r="B475" s="478"/>
      <c r="C475" s="479"/>
      <c r="E475" s="480"/>
      <c r="G475" s="65"/>
    </row>
    <row r="476" spans="2:7" ht="14.25" customHeight="1" x14ac:dyDescent="0.3">
      <c r="B476" s="478"/>
      <c r="C476" s="479"/>
      <c r="E476" s="480"/>
      <c r="G476" s="65"/>
    </row>
    <row r="477" spans="2:7" ht="14.25" customHeight="1" x14ac:dyDescent="0.3">
      <c r="B477" s="478"/>
      <c r="C477" s="479"/>
      <c r="E477" s="480"/>
      <c r="G477" s="65"/>
    </row>
    <row r="478" spans="2:7" ht="14.25" customHeight="1" x14ac:dyDescent="0.3">
      <c r="B478" s="478"/>
      <c r="C478" s="479"/>
      <c r="E478" s="480"/>
      <c r="G478" s="65"/>
    </row>
    <row r="479" spans="2:7" ht="14.25" customHeight="1" x14ac:dyDescent="0.3">
      <c r="B479" s="478"/>
      <c r="C479" s="479"/>
      <c r="E479" s="480"/>
      <c r="G479" s="65"/>
    </row>
    <row r="480" spans="2:7" ht="14.25" customHeight="1" x14ac:dyDescent="0.3">
      <c r="B480" s="478"/>
      <c r="C480" s="479"/>
      <c r="E480" s="480"/>
      <c r="G480" s="65"/>
    </row>
    <row r="481" spans="2:7" ht="14.25" customHeight="1" x14ac:dyDescent="0.3">
      <c r="B481" s="478"/>
      <c r="C481" s="479"/>
      <c r="E481" s="480"/>
      <c r="G481" s="65"/>
    </row>
    <row r="482" spans="2:7" ht="14.25" customHeight="1" x14ac:dyDescent="0.3">
      <c r="B482" s="478"/>
      <c r="C482" s="479"/>
      <c r="E482" s="480"/>
      <c r="G482" s="65"/>
    </row>
    <row r="483" spans="2:7" ht="14.25" customHeight="1" x14ac:dyDescent="0.3">
      <c r="B483" s="478"/>
      <c r="C483" s="479"/>
      <c r="E483" s="480"/>
      <c r="G483" s="65"/>
    </row>
    <row r="484" spans="2:7" ht="14.25" customHeight="1" x14ac:dyDescent="0.3">
      <c r="B484" s="478"/>
      <c r="C484" s="479"/>
      <c r="E484" s="480"/>
      <c r="G484" s="65"/>
    </row>
    <row r="485" spans="2:7" ht="14.25" customHeight="1" x14ac:dyDescent="0.3">
      <c r="B485" s="478"/>
      <c r="C485" s="479"/>
      <c r="E485" s="480"/>
      <c r="G485" s="65"/>
    </row>
    <row r="486" spans="2:7" ht="14.25" customHeight="1" x14ac:dyDescent="0.3">
      <c r="B486" s="478"/>
      <c r="C486" s="479"/>
      <c r="E486" s="480"/>
      <c r="G486" s="65"/>
    </row>
    <row r="487" spans="2:7" ht="14.25" customHeight="1" x14ac:dyDescent="0.3">
      <c r="B487" s="478"/>
      <c r="C487" s="479"/>
      <c r="E487" s="480"/>
      <c r="G487" s="65"/>
    </row>
    <row r="488" spans="2:7" ht="14.25" customHeight="1" x14ac:dyDescent="0.3">
      <c r="B488" s="478"/>
      <c r="C488" s="479"/>
      <c r="E488" s="480"/>
      <c r="G488" s="65"/>
    </row>
    <row r="489" spans="2:7" ht="14.25" customHeight="1" x14ac:dyDescent="0.3">
      <c r="B489" s="478"/>
      <c r="C489" s="479"/>
      <c r="E489" s="480"/>
      <c r="G489" s="65"/>
    </row>
    <row r="490" spans="2:7" ht="14.25" customHeight="1" x14ac:dyDescent="0.3">
      <c r="B490" s="478"/>
      <c r="C490" s="479"/>
      <c r="E490" s="480"/>
      <c r="G490" s="65"/>
    </row>
    <row r="491" spans="2:7" ht="14.25" customHeight="1" x14ac:dyDescent="0.3">
      <c r="B491" s="478"/>
      <c r="C491" s="479"/>
      <c r="E491" s="480"/>
      <c r="G491" s="65"/>
    </row>
    <row r="492" spans="2:7" ht="14.25" customHeight="1" x14ac:dyDescent="0.3">
      <c r="B492" s="478"/>
      <c r="C492" s="479"/>
      <c r="E492" s="480"/>
      <c r="G492" s="65"/>
    </row>
    <row r="493" spans="2:7" ht="14.25" customHeight="1" x14ac:dyDescent="0.3">
      <c r="B493" s="478"/>
      <c r="C493" s="479"/>
      <c r="E493" s="480"/>
      <c r="G493" s="65"/>
    </row>
    <row r="494" spans="2:7" ht="14.25" customHeight="1" x14ac:dyDescent="0.3">
      <c r="B494" s="478"/>
      <c r="C494" s="479"/>
      <c r="E494" s="480"/>
      <c r="G494" s="65"/>
    </row>
    <row r="495" spans="2:7" ht="14.25" customHeight="1" x14ac:dyDescent="0.3">
      <c r="B495" s="478"/>
      <c r="C495" s="479"/>
      <c r="E495" s="480"/>
      <c r="G495" s="65"/>
    </row>
    <row r="496" spans="2:7" ht="14.25" customHeight="1" x14ac:dyDescent="0.3">
      <c r="B496" s="478"/>
      <c r="C496" s="479"/>
      <c r="E496" s="480"/>
      <c r="G496" s="65"/>
    </row>
    <row r="497" spans="2:7" ht="14.25" customHeight="1" x14ac:dyDescent="0.3">
      <c r="B497" s="478"/>
      <c r="C497" s="479"/>
      <c r="E497" s="480"/>
      <c r="G497" s="65"/>
    </row>
    <row r="498" spans="2:7" ht="14.25" customHeight="1" x14ac:dyDescent="0.3">
      <c r="B498" s="478"/>
      <c r="C498" s="479"/>
      <c r="E498" s="480"/>
      <c r="G498" s="65"/>
    </row>
    <row r="499" spans="2:7" ht="14.25" customHeight="1" x14ac:dyDescent="0.3">
      <c r="B499" s="478"/>
      <c r="C499" s="479"/>
      <c r="E499" s="480"/>
      <c r="G499" s="65"/>
    </row>
    <row r="500" spans="2:7" ht="14.25" customHeight="1" x14ac:dyDescent="0.3">
      <c r="B500" s="478"/>
      <c r="C500" s="479"/>
      <c r="E500" s="480"/>
      <c r="G500" s="65"/>
    </row>
    <row r="501" spans="2:7" ht="14.25" customHeight="1" x14ac:dyDescent="0.3">
      <c r="B501" s="478"/>
      <c r="C501" s="479"/>
      <c r="E501" s="480"/>
      <c r="G501" s="65"/>
    </row>
    <row r="502" spans="2:7" ht="14.25" customHeight="1" x14ac:dyDescent="0.3">
      <c r="B502" s="478"/>
      <c r="C502" s="479"/>
      <c r="E502" s="480"/>
      <c r="G502" s="65"/>
    </row>
    <row r="503" spans="2:7" ht="14.25" customHeight="1" x14ac:dyDescent="0.3">
      <c r="B503" s="478"/>
      <c r="C503" s="479"/>
      <c r="E503" s="480"/>
      <c r="G503" s="65"/>
    </row>
    <row r="504" spans="2:7" ht="14.25" customHeight="1" x14ac:dyDescent="0.3">
      <c r="B504" s="478"/>
      <c r="C504" s="479"/>
      <c r="E504" s="480"/>
      <c r="G504" s="65"/>
    </row>
    <row r="505" spans="2:7" ht="14.25" customHeight="1" x14ac:dyDescent="0.3">
      <c r="B505" s="478"/>
      <c r="C505" s="479"/>
      <c r="E505" s="480"/>
      <c r="G505" s="65"/>
    </row>
    <row r="506" spans="2:7" ht="14.25" customHeight="1" x14ac:dyDescent="0.3">
      <c r="B506" s="478"/>
      <c r="C506" s="479"/>
      <c r="E506" s="480"/>
      <c r="G506" s="65"/>
    </row>
    <row r="507" spans="2:7" ht="14.25" customHeight="1" x14ac:dyDescent="0.3">
      <c r="B507" s="478"/>
      <c r="C507" s="479"/>
      <c r="E507" s="480"/>
      <c r="G507" s="65"/>
    </row>
    <row r="508" spans="2:7" ht="14.25" customHeight="1" x14ac:dyDescent="0.3">
      <c r="B508" s="478"/>
      <c r="C508" s="479"/>
      <c r="E508" s="480"/>
      <c r="G508" s="65"/>
    </row>
    <row r="509" spans="2:7" ht="14.25" customHeight="1" x14ac:dyDescent="0.3">
      <c r="B509" s="478"/>
      <c r="C509" s="479"/>
      <c r="E509" s="480"/>
      <c r="G509" s="65"/>
    </row>
    <row r="510" spans="2:7" ht="14.25" customHeight="1" x14ac:dyDescent="0.3">
      <c r="B510" s="478"/>
      <c r="C510" s="479"/>
      <c r="E510" s="480"/>
      <c r="G510" s="65"/>
    </row>
    <row r="511" spans="2:7" ht="14.25" customHeight="1" x14ac:dyDescent="0.3">
      <c r="B511" s="478"/>
      <c r="C511" s="479"/>
      <c r="E511" s="480"/>
      <c r="G511" s="65"/>
    </row>
    <row r="512" spans="2:7" ht="14.25" customHeight="1" x14ac:dyDescent="0.3">
      <c r="B512" s="478"/>
      <c r="C512" s="479"/>
      <c r="E512" s="480"/>
      <c r="G512" s="65"/>
    </row>
    <row r="513" spans="2:7" ht="14.25" customHeight="1" x14ac:dyDescent="0.3">
      <c r="B513" s="478"/>
      <c r="C513" s="479"/>
      <c r="E513" s="480"/>
      <c r="G513" s="65"/>
    </row>
    <row r="514" spans="2:7" ht="14.25" customHeight="1" x14ac:dyDescent="0.3">
      <c r="B514" s="478"/>
      <c r="C514" s="479"/>
      <c r="E514" s="480"/>
      <c r="G514" s="65"/>
    </row>
    <row r="515" spans="2:7" ht="14.25" customHeight="1" x14ac:dyDescent="0.3">
      <c r="B515" s="478"/>
      <c r="C515" s="479"/>
      <c r="E515" s="480"/>
      <c r="G515" s="65"/>
    </row>
    <row r="516" spans="2:7" ht="14.25" customHeight="1" x14ac:dyDescent="0.3">
      <c r="B516" s="478"/>
      <c r="C516" s="479"/>
      <c r="E516" s="480"/>
      <c r="G516" s="65"/>
    </row>
    <row r="517" spans="2:7" ht="14.25" customHeight="1" x14ac:dyDescent="0.3">
      <c r="B517" s="478"/>
      <c r="C517" s="479"/>
      <c r="E517" s="480"/>
      <c r="G517" s="65"/>
    </row>
    <row r="518" spans="2:7" ht="14.25" customHeight="1" x14ac:dyDescent="0.3">
      <c r="B518" s="478"/>
      <c r="C518" s="479"/>
      <c r="E518" s="480"/>
      <c r="G518" s="65"/>
    </row>
    <row r="519" spans="2:7" ht="14.25" customHeight="1" x14ac:dyDescent="0.3">
      <c r="B519" s="478"/>
      <c r="C519" s="479"/>
      <c r="E519" s="480"/>
      <c r="G519" s="65"/>
    </row>
    <row r="520" spans="2:7" ht="14.25" customHeight="1" x14ac:dyDescent="0.3">
      <c r="B520" s="478"/>
      <c r="C520" s="479"/>
      <c r="E520" s="480"/>
      <c r="G520" s="65"/>
    </row>
    <row r="521" spans="2:7" ht="14.25" customHeight="1" x14ac:dyDescent="0.3">
      <c r="B521" s="478"/>
      <c r="C521" s="479"/>
      <c r="E521" s="480"/>
      <c r="G521" s="65"/>
    </row>
    <row r="522" spans="2:7" ht="14.25" customHeight="1" x14ac:dyDescent="0.3">
      <c r="B522" s="478"/>
      <c r="C522" s="479"/>
      <c r="E522" s="480"/>
      <c r="G522" s="65"/>
    </row>
    <row r="523" spans="2:7" ht="14.25" customHeight="1" x14ac:dyDescent="0.3">
      <c r="B523" s="478"/>
      <c r="C523" s="479"/>
      <c r="E523" s="480"/>
      <c r="G523" s="65"/>
    </row>
    <row r="524" spans="2:7" ht="14.25" customHeight="1" x14ac:dyDescent="0.3">
      <c r="B524" s="478"/>
      <c r="C524" s="479"/>
      <c r="E524" s="480"/>
      <c r="G524" s="65"/>
    </row>
    <row r="525" spans="2:7" ht="14.25" customHeight="1" x14ac:dyDescent="0.3">
      <c r="B525" s="478"/>
      <c r="C525" s="479"/>
      <c r="E525" s="480"/>
      <c r="G525" s="65"/>
    </row>
    <row r="526" spans="2:7" ht="14.25" customHeight="1" x14ac:dyDescent="0.3">
      <c r="B526" s="478"/>
      <c r="C526" s="479"/>
      <c r="E526" s="480"/>
      <c r="G526" s="65"/>
    </row>
    <row r="527" spans="2:7" ht="14.25" customHeight="1" x14ac:dyDescent="0.3">
      <c r="B527" s="478"/>
      <c r="C527" s="479"/>
      <c r="E527" s="480"/>
      <c r="G527" s="65"/>
    </row>
    <row r="528" spans="2:7" ht="14.25" customHeight="1" x14ac:dyDescent="0.3">
      <c r="B528" s="478"/>
      <c r="C528" s="479"/>
      <c r="E528" s="480"/>
      <c r="G528" s="65"/>
    </row>
    <row r="529" spans="2:7" ht="14.25" customHeight="1" x14ac:dyDescent="0.3">
      <c r="B529" s="478"/>
      <c r="C529" s="479"/>
      <c r="E529" s="480"/>
      <c r="G529" s="65"/>
    </row>
    <row r="530" spans="2:7" ht="14.25" customHeight="1" x14ac:dyDescent="0.3">
      <c r="B530" s="478"/>
      <c r="C530" s="479"/>
      <c r="E530" s="480"/>
      <c r="G530" s="65"/>
    </row>
    <row r="531" spans="2:7" ht="14.25" customHeight="1" x14ac:dyDescent="0.3">
      <c r="B531" s="478"/>
      <c r="C531" s="479"/>
      <c r="E531" s="480"/>
      <c r="G531" s="65"/>
    </row>
    <row r="532" spans="2:7" ht="14.25" customHeight="1" x14ac:dyDescent="0.3">
      <c r="B532" s="478"/>
      <c r="C532" s="479"/>
      <c r="E532" s="480"/>
      <c r="G532" s="65"/>
    </row>
    <row r="533" spans="2:7" ht="14.25" customHeight="1" x14ac:dyDescent="0.3">
      <c r="B533" s="478"/>
      <c r="C533" s="479"/>
      <c r="E533" s="480"/>
      <c r="G533" s="65"/>
    </row>
    <row r="534" spans="2:7" ht="14.25" customHeight="1" x14ac:dyDescent="0.3">
      <c r="B534" s="478"/>
      <c r="C534" s="479"/>
      <c r="E534" s="480"/>
      <c r="G534" s="65"/>
    </row>
    <row r="535" spans="2:7" ht="14.25" customHeight="1" x14ac:dyDescent="0.3">
      <c r="B535" s="478"/>
      <c r="C535" s="479"/>
      <c r="E535" s="480"/>
      <c r="G535" s="65"/>
    </row>
    <row r="536" spans="2:7" ht="14.25" customHeight="1" x14ac:dyDescent="0.3">
      <c r="B536" s="478"/>
      <c r="C536" s="479"/>
      <c r="E536" s="480"/>
      <c r="G536" s="65"/>
    </row>
    <row r="537" spans="2:7" ht="14.25" customHeight="1" x14ac:dyDescent="0.3">
      <c r="B537" s="478"/>
      <c r="C537" s="479"/>
      <c r="E537" s="480"/>
      <c r="G537" s="65"/>
    </row>
    <row r="538" spans="2:7" ht="14.25" customHeight="1" x14ac:dyDescent="0.3">
      <c r="B538" s="478"/>
      <c r="C538" s="479"/>
      <c r="E538" s="480"/>
      <c r="G538" s="65"/>
    </row>
    <row r="539" spans="2:7" ht="14.25" customHeight="1" x14ac:dyDescent="0.3">
      <c r="B539" s="478"/>
      <c r="C539" s="479"/>
      <c r="E539" s="480"/>
      <c r="G539" s="65"/>
    </row>
    <row r="540" spans="2:7" ht="14.25" customHeight="1" x14ac:dyDescent="0.3">
      <c r="B540" s="478"/>
      <c r="C540" s="479"/>
      <c r="E540" s="480"/>
      <c r="G540" s="65"/>
    </row>
    <row r="541" spans="2:7" ht="14.25" customHeight="1" x14ac:dyDescent="0.3">
      <c r="B541" s="478"/>
      <c r="C541" s="479"/>
      <c r="E541" s="480"/>
      <c r="G541" s="65"/>
    </row>
    <row r="542" spans="2:7" ht="14.25" customHeight="1" x14ac:dyDescent="0.3">
      <c r="B542" s="478"/>
      <c r="C542" s="479"/>
      <c r="E542" s="480"/>
      <c r="G542" s="65"/>
    </row>
    <row r="543" spans="2:7" ht="14.25" customHeight="1" x14ac:dyDescent="0.3">
      <c r="B543" s="478"/>
      <c r="C543" s="479"/>
      <c r="E543" s="480"/>
      <c r="G543" s="65"/>
    </row>
    <row r="544" spans="2:7" ht="14.25" customHeight="1" x14ac:dyDescent="0.3">
      <c r="B544" s="478"/>
      <c r="C544" s="479"/>
      <c r="E544" s="480"/>
      <c r="G544" s="65"/>
    </row>
    <row r="545" spans="2:7" ht="14.25" customHeight="1" x14ac:dyDescent="0.3">
      <c r="B545" s="478"/>
      <c r="C545" s="479"/>
      <c r="E545" s="480"/>
      <c r="G545" s="65"/>
    </row>
    <row r="546" spans="2:7" ht="14.25" customHeight="1" x14ac:dyDescent="0.3">
      <c r="B546" s="478"/>
      <c r="C546" s="479"/>
      <c r="E546" s="480"/>
      <c r="G546" s="65"/>
    </row>
    <row r="547" spans="2:7" ht="14.25" customHeight="1" x14ac:dyDescent="0.3">
      <c r="B547" s="478"/>
      <c r="C547" s="479"/>
      <c r="E547" s="480"/>
      <c r="G547" s="65"/>
    </row>
    <row r="548" spans="2:7" ht="14.25" customHeight="1" x14ac:dyDescent="0.3">
      <c r="B548" s="478"/>
      <c r="C548" s="479"/>
      <c r="E548" s="480"/>
      <c r="G548" s="65"/>
    </row>
    <row r="549" spans="2:7" ht="14.25" customHeight="1" x14ac:dyDescent="0.3">
      <c r="B549" s="478"/>
      <c r="C549" s="479"/>
      <c r="E549" s="480"/>
      <c r="G549" s="65"/>
    </row>
    <row r="550" spans="2:7" ht="14.25" customHeight="1" x14ac:dyDescent="0.3">
      <c r="B550" s="478"/>
      <c r="C550" s="479"/>
      <c r="E550" s="480"/>
      <c r="G550" s="65"/>
    </row>
    <row r="551" spans="2:7" ht="14.25" customHeight="1" x14ac:dyDescent="0.3">
      <c r="B551" s="478"/>
      <c r="C551" s="479"/>
      <c r="E551" s="480"/>
      <c r="G551" s="65"/>
    </row>
    <row r="552" spans="2:7" ht="14.25" customHeight="1" x14ac:dyDescent="0.3">
      <c r="B552" s="478"/>
      <c r="C552" s="479"/>
      <c r="E552" s="480"/>
      <c r="G552" s="65"/>
    </row>
    <row r="553" spans="2:7" ht="14.25" customHeight="1" x14ac:dyDescent="0.3">
      <c r="B553" s="478"/>
      <c r="C553" s="479"/>
      <c r="E553" s="480"/>
      <c r="G553" s="65"/>
    </row>
    <row r="554" spans="2:7" ht="14.25" customHeight="1" x14ac:dyDescent="0.3">
      <c r="B554" s="478"/>
      <c r="C554" s="479"/>
      <c r="E554" s="480"/>
      <c r="G554" s="65"/>
    </row>
    <row r="555" spans="2:7" ht="14.25" customHeight="1" x14ac:dyDescent="0.3">
      <c r="B555" s="478"/>
      <c r="C555" s="479"/>
      <c r="E555" s="480"/>
      <c r="G555" s="65"/>
    </row>
    <row r="556" spans="2:7" ht="14.25" customHeight="1" x14ac:dyDescent="0.3">
      <c r="B556" s="478"/>
      <c r="C556" s="479"/>
      <c r="E556" s="480"/>
      <c r="G556" s="65"/>
    </row>
    <row r="557" spans="2:7" ht="14.25" customHeight="1" x14ac:dyDescent="0.3">
      <c r="B557" s="478"/>
      <c r="C557" s="479"/>
      <c r="E557" s="480"/>
      <c r="G557" s="65"/>
    </row>
    <row r="558" spans="2:7" ht="14.25" customHeight="1" x14ac:dyDescent="0.3">
      <c r="B558" s="478"/>
      <c r="C558" s="479"/>
      <c r="E558" s="480"/>
      <c r="G558" s="65"/>
    </row>
    <row r="559" spans="2:7" ht="14.25" customHeight="1" x14ac:dyDescent="0.3">
      <c r="B559" s="478"/>
      <c r="C559" s="479"/>
      <c r="E559" s="480"/>
      <c r="G559" s="65"/>
    </row>
    <row r="560" spans="2:7" ht="14.25" customHeight="1" x14ac:dyDescent="0.3">
      <c r="B560" s="478"/>
      <c r="C560" s="479"/>
      <c r="E560" s="480"/>
      <c r="G560" s="65"/>
    </row>
    <row r="561" spans="2:7" ht="14.25" customHeight="1" x14ac:dyDescent="0.3">
      <c r="B561" s="478"/>
      <c r="C561" s="479"/>
      <c r="E561" s="480"/>
      <c r="G561" s="65"/>
    </row>
    <row r="562" spans="2:7" ht="14.25" customHeight="1" x14ac:dyDescent="0.3">
      <c r="B562" s="478"/>
      <c r="C562" s="479"/>
      <c r="E562" s="480"/>
      <c r="G562" s="65"/>
    </row>
    <row r="563" spans="2:7" ht="14.25" customHeight="1" x14ac:dyDescent="0.3">
      <c r="B563" s="478"/>
      <c r="C563" s="479"/>
      <c r="E563" s="480"/>
      <c r="G563" s="65"/>
    </row>
    <row r="564" spans="2:7" ht="14.25" customHeight="1" x14ac:dyDescent="0.3">
      <c r="B564" s="478"/>
      <c r="C564" s="479"/>
      <c r="E564" s="480"/>
      <c r="G564" s="65"/>
    </row>
    <row r="565" spans="2:7" ht="14.25" customHeight="1" x14ac:dyDescent="0.3">
      <c r="B565" s="478"/>
      <c r="C565" s="479"/>
      <c r="E565" s="480"/>
      <c r="G565" s="65"/>
    </row>
    <row r="566" spans="2:7" ht="14.25" customHeight="1" x14ac:dyDescent="0.3">
      <c r="B566" s="478"/>
      <c r="C566" s="479"/>
      <c r="E566" s="480"/>
      <c r="G566" s="65"/>
    </row>
    <row r="567" spans="2:7" ht="14.25" customHeight="1" x14ac:dyDescent="0.3">
      <c r="B567" s="478"/>
      <c r="C567" s="479"/>
      <c r="E567" s="480"/>
      <c r="G567" s="65"/>
    </row>
    <row r="568" spans="2:7" ht="14.25" customHeight="1" x14ac:dyDescent="0.3">
      <c r="B568" s="478"/>
      <c r="C568" s="479"/>
      <c r="E568" s="480"/>
      <c r="G568" s="65"/>
    </row>
    <row r="569" spans="2:7" ht="14.25" customHeight="1" x14ac:dyDescent="0.3">
      <c r="B569" s="478"/>
      <c r="C569" s="479"/>
      <c r="E569" s="480"/>
      <c r="G569" s="65"/>
    </row>
    <row r="570" spans="2:7" ht="14.25" customHeight="1" x14ac:dyDescent="0.3">
      <c r="B570" s="478"/>
      <c r="C570" s="479"/>
      <c r="E570" s="480"/>
      <c r="G570" s="65"/>
    </row>
    <row r="571" spans="2:7" ht="14.25" customHeight="1" x14ac:dyDescent="0.3">
      <c r="B571" s="478"/>
      <c r="C571" s="479"/>
      <c r="E571" s="480"/>
      <c r="G571" s="65"/>
    </row>
    <row r="572" spans="2:7" ht="14.25" customHeight="1" x14ac:dyDescent="0.3">
      <c r="B572" s="478"/>
      <c r="C572" s="479"/>
      <c r="E572" s="480"/>
      <c r="G572" s="65"/>
    </row>
    <row r="573" spans="2:7" ht="14.25" customHeight="1" x14ac:dyDescent="0.3">
      <c r="B573" s="478"/>
      <c r="C573" s="479"/>
      <c r="E573" s="480"/>
      <c r="G573" s="65"/>
    </row>
    <row r="574" spans="2:7" ht="14.25" customHeight="1" x14ac:dyDescent="0.3">
      <c r="B574" s="478"/>
      <c r="C574" s="479"/>
      <c r="E574" s="480"/>
      <c r="G574" s="65"/>
    </row>
    <row r="575" spans="2:7" ht="14.25" customHeight="1" x14ac:dyDescent="0.3">
      <c r="B575" s="478"/>
      <c r="C575" s="479"/>
      <c r="E575" s="480"/>
      <c r="G575" s="65"/>
    </row>
    <row r="576" spans="2:7" ht="14.25" customHeight="1" x14ac:dyDescent="0.3">
      <c r="B576" s="478"/>
      <c r="C576" s="479"/>
      <c r="E576" s="480"/>
      <c r="G576" s="65"/>
    </row>
    <row r="577" spans="2:7" ht="14.25" customHeight="1" x14ac:dyDescent="0.3">
      <c r="B577" s="478"/>
      <c r="C577" s="479"/>
      <c r="E577" s="480"/>
      <c r="G577" s="65"/>
    </row>
    <row r="578" spans="2:7" ht="14.25" customHeight="1" x14ac:dyDescent="0.3">
      <c r="B578" s="478"/>
      <c r="C578" s="479"/>
      <c r="E578" s="480"/>
      <c r="G578" s="65"/>
    </row>
    <row r="579" spans="2:7" ht="14.25" customHeight="1" x14ac:dyDescent="0.3">
      <c r="B579" s="478"/>
      <c r="C579" s="479"/>
      <c r="E579" s="480"/>
      <c r="G579" s="65"/>
    </row>
    <row r="580" spans="2:7" ht="14.25" customHeight="1" x14ac:dyDescent="0.3">
      <c r="B580" s="478"/>
      <c r="C580" s="479"/>
      <c r="E580" s="480"/>
      <c r="G580" s="65"/>
    </row>
    <row r="581" spans="2:7" ht="14.25" customHeight="1" x14ac:dyDescent="0.3">
      <c r="B581" s="478"/>
      <c r="C581" s="479"/>
      <c r="E581" s="480"/>
      <c r="G581" s="65"/>
    </row>
    <row r="582" spans="2:7" ht="14.25" customHeight="1" x14ac:dyDescent="0.3">
      <c r="B582" s="478"/>
      <c r="C582" s="479"/>
      <c r="E582" s="480"/>
      <c r="G582" s="65"/>
    </row>
    <row r="583" spans="2:7" ht="14.25" customHeight="1" x14ac:dyDescent="0.3">
      <c r="B583" s="478"/>
      <c r="C583" s="479"/>
      <c r="E583" s="480"/>
      <c r="G583" s="65"/>
    </row>
    <row r="584" spans="2:7" ht="14.25" customHeight="1" x14ac:dyDescent="0.3">
      <c r="B584" s="478"/>
      <c r="C584" s="479"/>
      <c r="E584" s="480"/>
      <c r="G584" s="65"/>
    </row>
    <row r="585" spans="2:7" ht="14.25" customHeight="1" x14ac:dyDescent="0.3">
      <c r="B585" s="478"/>
      <c r="C585" s="479"/>
      <c r="E585" s="480"/>
      <c r="G585" s="65"/>
    </row>
    <row r="586" spans="2:7" ht="14.25" customHeight="1" x14ac:dyDescent="0.3">
      <c r="B586" s="478"/>
      <c r="C586" s="479"/>
      <c r="E586" s="480"/>
      <c r="G586" s="65"/>
    </row>
    <row r="587" spans="2:7" ht="14.25" customHeight="1" x14ac:dyDescent="0.3">
      <c r="B587" s="478"/>
      <c r="C587" s="479"/>
      <c r="E587" s="480"/>
      <c r="G587" s="65"/>
    </row>
    <row r="588" spans="2:7" ht="14.25" customHeight="1" x14ac:dyDescent="0.3">
      <c r="B588" s="478"/>
      <c r="C588" s="479"/>
      <c r="E588" s="480"/>
      <c r="G588" s="65"/>
    </row>
    <row r="589" spans="2:7" ht="14.25" customHeight="1" x14ac:dyDescent="0.3">
      <c r="B589" s="478"/>
      <c r="C589" s="479"/>
      <c r="E589" s="480"/>
      <c r="G589" s="65"/>
    </row>
    <row r="590" spans="2:7" ht="14.25" customHeight="1" x14ac:dyDescent="0.3">
      <c r="B590" s="478"/>
      <c r="C590" s="479"/>
      <c r="E590" s="480"/>
      <c r="G590" s="65"/>
    </row>
    <row r="591" spans="2:7" ht="14.25" customHeight="1" x14ac:dyDescent="0.3">
      <c r="B591" s="478"/>
      <c r="C591" s="479"/>
      <c r="E591" s="480"/>
      <c r="G591" s="65"/>
    </row>
    <row r="592" spans="2:7" ht="14.25" customHeight="1" x14ac:dyDescent="0.3">
      <c r="B592" s="478"/>
      <c r="C592" s="479"/>
      <c r="E592" s="480"/>
      <c r="G592" s="65"/>
    </row>
    <row r="593" spans="2:7" ht="14.25" customHeight="1" x14ac:dyDescent="0.3">
      <c r="B593" s="478"/>
      <c r="C593" s="479"/>
      <c r="E593" s="480"/>
      <c r="G593" s="65"/>
    </row>
    <row r="594" spans="2:7" ht="14.25" customHeight="1" x14ac:dyDescent="0.3">
      <c r="B594" s="478"/>
      <c r="C594" s="479"/>
      <c r="E594" s="480"/>
      <c r="G594" s="65"/>
    </row>
    <row r="595" spans="2:7" ht="14.25" customHeight="1" x14ac:dyDescent="0.3">
      <c r="B595" s="478"/>
      <c r="C595" s="479"/>
      <c r="E595" s="480"/>
      <c r="G595" s="65"/>
    </row>
    <row r="596" spans="2:7" ht="14.25" customHeight="1" x14ac:dyDescent="0.3">
      <c r="B596" s="478"/>
      <c r="C596" s="479"/>
      <c r="E596" s="480"/>
      <c r="G596" s="65"/>
    </row>
    <row r="597" spans="2:7" ht="14.25" customHeight="1" x14ac:dyDescent="0.3">
      <c r="B597" s="478"/>
      <c r="C597" s="479"/>
      <c r="E597" s="480"/>
      <c r="G597" s="65"/>
    </row>
    <row r="598" spans="2:7" ht="14.25" customHeight="1" x14ac:dyDescent="0.3">
      <c r="B598" s="478"/>
      <c r="C598" s="479"/>
      <c r="E598" s="480"/>
      <c r="G598" s="65"/>
    </row>
    <row r="599" spans="2:7" ht="14.25" customHeight="1" x14ac:dyDescent="0.3">
      <c r="B599" s="478"/>
      <c r="C599" s="479"/>
      <c r="E599" s="480"/>
      <c r="G599" s="65"/>
    </row>
    <row r="600" spans="2:7" ht="14.25" customHeight="1" x14ac:dyDescent="0.3">
      <c r="B600" s="478"/>
      <c r="C600" s="479"/>
      <c r="E600" s="480"/>
      <c r="G600" s="65"/>
    </row>
    <row r="601" spans="2:7" ht="14.25" customHeight="1" x14ac:dyDescent="0.3">
      <c r="B601" s="478"/>
      <c r="C601" s="479"/>
      <c r="E601" s="480"/>
      <c r="G601" s="65"/>
    </row>
    <row r="602" spans="2:7" ht="14.25" customHeight="1" x14ac:dyDescent="0.3">
      <c r="B602" s="478"/>
      <c r="C602" s="479"/>
      <c r="E602" s="480"/>
      <c r="G602" s="65"/>
    </row>
    <row r="603" spans="2:7" ht="14.25" customHeight="1" x14ac:dyDescent="0.3">
      <c r="B603" s="478"/>
      <c r="C603" s="479"/>
      <c r="E603" s="480"/>
      <c r="G603" s="65"/>
    </row>
    <row r="604" spans="2:7" ht="14.25" customHeight="1" x14ac:dyDescent="0.3">
      <c r="B604" s="478"/>
      <c r="C604" s="479"/>
      <c r="E604" s="480"/>
      <c r="G604" s="65"/>
    </row>
    <row r="605" spans="2:7" ht="14.25" customHeight="1" x14ac:dyDescent="0.3">
      <c r="B605" s="478"/>
      <c r="C605" s="479"/>
      <c r="E605" s="480"/>
      <c r="G605" s="65"/>
    </row>
    <row r="606" spans="2:7" ht="14.25" customHeight="1" x14ac:dyDescent="0.3">
      <c r="B606" s="478"/>
      <c r="C606" s="479"/>
      <c r="E606" s="480"/>
      <c r="G606" s="65"/>
    </row>
    <row r="607" spans="2:7" ht="14.25" customHeight="1" x14ac:dyDescent="0.3">
      <c r="B607" s="478"/>
      <c r="C607" s="479"/>
      <c r="E607" s="480"/>
      <c r="G607" s="65"/>
    </row>
    <row r="608" spans="2:7" ht="14.25" customHeight="1" x14ac:dyDescent="0.3">
      <c r="B608" s="478"/>
      <c r="C608" s="479"/>
      <c r="E608" s="480"/>
      <c r="G608" s="65"/>
    </row>
    <row r="609" spans="2:7" ht="14.25" customHeight="1" x14ac:dyDescent="0.3">
      <c r="B609" s="478"/>
      <c r="C609" s="479"/>
      <c r="E609" s="480"/>
      <c r="G609" s="65"/>
    </row>
    <row r="610" spans="2:7" ht="14.25" customHeight="1" x14ac:dyDescent="0.3">
      <c r="B610" s="478"/>
      <c r="C610" s="479"/>
      <c r="E610" s="480"/>
      <c r="G610" s="65"/>
    </row>
    <row r="611" spans="2:7" ht="14.25" customHeight="1" x14ac:dyDescent="0.3">
      <c r="B611" s="478"/>
      <c r="C611" s="479"/>
      <c r="E611" s="480"/>
      <c r="G611" s="65"/>
    </row>
    <row r="612" spans="2:7" ht="14.25" customHeight="1" x14ac:dyDescent="0.3">
      <c r="B612" s="478"/>
      <c r="C612" s="479"/>
      <c r="E612" s="480"/>
      <c r="G612" s="65"/>
    </row>
    <row r="613" spans="2:7" ht="14.25" customHeight="1" x14ac:dyDescent="0.3">
      <c r="B613" s="478"/>
      <c r="C613" s="479"/>
      <c r="E613" s="480"/>
      <c r="G613" s="65"/>
    </row>
    <row r="614" spans="2:7" ht="14.25" customHeight="1" x14ac:dyDescent="0.3">
      <c r="B614" s="478"/>
      <c r="C614" s="479"/>
      <c r="E614" s="480"/>
      <c r="G614" s="65"/>
    </row>
    <row r="615" spans="2:7" ht="14.25" customHeight="1" x14ac:dyDescent="0.3">
      <c r="B615" s="478"/>
      <c r="C615" s="479"/>
      <c r="E615" s="480"/>
      <c r="G615" s="65"/>
    </row>
    <row r="616" spans="2:7" ht="14.25" customHeight="1" x14ac:dyDescent="0.3">
      <c r="B616" s="478"/>
      <c r="C616" s="479"/>
      <c r="E616" s="480"/>
      <c r="G616" s="65"/>
    </row>
    <row r="617" spans="2:7" ht="14.25" customHeight="1" x14ac:dyDescent="0.3">
      <c r="B617" s="478"/>
      <c r="C617" s="479"/>
      <c r="E617" s="480"/>
      <c r="G617" s="65"/>
    </row>
    <row r="618" spans="2:7" ht="14.25" customHeight="1" x14ac:dyDescent="0.3">
      <c r="B618" s="478"/>
      <c r="C618" s="479"/>
      <c r="E618" s="480"/>
      <c r="G618" s="65"/>
    </row>
    <row r="619" spans="2:7" ht="14.25" customHeight="1" x14ac:dyDescent="0.3">
      <c r="B619" s="478"/>
      <c r="C619" s="479"/>
      <c r="E619" s="480"/>
      <c r="G619" s="65"/>
    </row>
    <row r="620" spans="2:7" ht="14.25" customHeight="1" x14ac:dyDescent="0.3">
      <c r="B620" s="478"/>
      <c r="C620" s="479"/>
      <c r="E620" s="480"/>
      <c r="G620" s="65"/>
    </row>
    <row r="621" spans="2:7" ht="14.25" customHeight="1" x14ac:dyDescent="0.3">
      <c r="B621" s="478"/>
      <c r="C621" s="479"/>
      <c r="E621" s="480"/>
      <c r="G621" s="65"/>
    </row>
    <row r="622" spans="2:7" ht="14.25" customHeight="1" x14ac:dyDescent="0.3">
      <c r="B622" s="478"/>
      <c r="C622" s="479"/>
      <c r="E622" s="480"/>
      <c r="G622" s="65"/>
    </row>
    <row r="623" spans="2:7" ht="14.25" customHeight="1" x14ac:dyDescent="0.3">
      <c r="B623" s="478"/>
      <c r="C623" s="479"/>
      <c r="E623" s="480"/>
      <c r="G623" s="65"/>
    </row>
    <row r="624" spans="2:7" ht="14.25" customHeight="1" x14ac:dyDescent="0.3">
      <c r="B624" s="478"/>
      <c r="C624" s="479"/>
      <c r="E624" s="480"/>
      <c r="G624" s="65"/>
    </row>
    <row r="625" spans="2:7" ht="14.25" customHeight="1" x14ac:dyDescent="0.3">
      <c r="B625" s="478"/>
      <c r="C625" s="479"/>
      <c r="E625" s="480"/>
      <c r="G625" s="65"/>
    </row>
    <row r="626" spans="2:7" ht="14.25" customHeight="1" x14ac:dyDescent="0.3">
      <c r="B626" s="478"/>
      <c r="C626" s="479"/>
      <c r="E626" s="480"/>
      <c r="G626" s="65"/>
    </row>
    <row r="627" spans="2:7" ht="14.25" customHeight="1" x14ac:dyDescent="0.3">
      <c r="B627" s="478"/>
      <c r="C627" s="479"/>
      <c r="E627" s="480"/>
      <c r="G627" s="65"/>
    </row>
    <row r="628" spans="2:7" ht="14.25" customHeight="1" x14ac:dyDescent="0.3">
      <c r="B628" s="478"/>
      <c r="C628" s="479"/>
      <c r="E628" s="480"/>
      <c r="G628" s="65"/>
    </row>
    <row r="629" spans="2:7" ht="14.25" customHeight="1" x14ac:dyDescent="0.3">
      <c r="B629" s="478"/>
      <c r="C629" s="479"/>
      <c r="E629" s="480"/>
      <c r="G629" s="65"/>
    </row>
    <row r="630" spans="2:7" ht="14.25" customHeight="1" x14ac:dyDescent="0.3">
      <c r="B630" s="478"/>
      <c r="C630" s="479"/>
      <c r="E630" s="480"/>
      <c r="G630" s="65"/>
    </row>
    <row r="631" spans="2:7" ht="14.25" customHeight="1" x14ac:dyDescent="0.3">
      <c r="B631" s="478"/>
      <c r="C631" s="479"/>
      <c r="E631" s="480"/>
      <c r="G631" s="65"/>
    </row>
    <row r="632" spans="2:7" ht="14.25" customHeight="1" x14ac:dyDescent="0.3">
      <c r="B632" s="478"/>
      <c r="C632" s="479"/>
      <c r="E632" s="480"/>
      <c r="G632" s="65"/>
    </row>
    <row r="633" spans="2:7" ht="14.25" customHeight="1" x14ac:dyDescent="0.3">
      <c r="B633" s="478"/>
      <c r="C633" s="479"/>
      <c r="E633" s="480"/>
      <c r="G633" s="65"/>
    </row>
    <row r="634" spans="2:7" ht="14.25" customHeight="1" x14ac:dyDescent="0.3">
      <c r="B634" s="478"/>
      <c r="C634" s="479"/>
      <c r="E634" s="480"/>
      <c r="G634" s="65"/>
    </row>
    <row r="635" spans="2:7" ht="14.25" customHeight="1" x14ac:dyDescent="0.3">
      <c r="B635" s="478"/>
      <c r="C635" s="479"/>
      <c r="E635" s="480"/>
      <c r="G635" s="65"/>
    </row>
    <row r="636" spans="2:7" ht="14.25" customHeight="1" x14ac:dyDescent="0.3">
      <c r="B636" s="478"/>
      <c r="C636" s="479"/>
      <c r="E636" s="480"/>
      <c r="G636" s="65"/>
    </row>
    <row r="637" spans="2:7" ht="14.25" customHeight="1" x14ac:dyDescent="0.3">
      <c r="B637" s="478"/>
      <c r="C637" s="479"/>
      <c r="E637" s="480"/>
      <c r="G637" s="65"/>
    </row>
    <row r="638" spans="2:7" ht="14.25" customHeight="1" x14ac:dyDescent="0.3">
      <c r="B638" s="478"/>
      <c r="C638" s="479"/>
      <c r="E638" s="480"/>
      <c r="G638" s="65"/>
    </row>
    <row r="639" spans="2:7" ht="14.25" customHeight="1" x14ac:dyDescent="0.3">
      <c r="B639" s="478"/>
      <c r="C639" s="479"/>
      <c r="E639" s="480"/>
      <c r="G639" s="65"/>
    </row>
    <row r="640" spans="2:7" ht="14.25" customHeight="1" x14ac:dyDescent="0.3">
      <c r="B640" s="478"/>
      <c r="C640" s="479"/>
      <c r="E640" s="480"/>
      <c r="G640" s="65"/>
    </row>
    <row r="641" spans="2:7" ht="14.25" customHeight="1" x14ac:dyDescent="0.3">
      <c r="B641" s="478"/>
      <c r="C641" s="479"/>
      <c r="E641" s="480"/>
      <c r="G641" s="65"/>
    </row>
    <row r="642" spans="2:7" ht="14.25" customHeight="1" x14ac:dyDescent="0.3">
      <c r="B642" s="478"/>
      <c r="C642" s="479"/>
      <c r="E642" s="480"/>
      <c r="G642" s="65"/>
    </row>
    <row r="643" spans="2:7" ht="14.25" customHeight="1" x14ac:dyDescent="0.3">
      <c r="B643" s="478"/>
      <c r="C643" s="479"/>
      <c r="E643" s="480"/>
      <c r="G643" s="65"/>
    </row>
    <row r="644" spans="2:7" ht="14.25" customHeight="1" x14ac:dyDescent="0.3">
      <c r="B644" s="478"/>
      <c r="C644" s="479"/>
      <c r="E644" s="480"/>
      <c r="G644" s="65"/>
    </row>
    <row r="645" spans="2:7" ht="14.25" customHeight="1" x14ac:dyDescent="0.3">
      <c r="B645" s="478"/>
      <c r="C645" s="479"/>
      <c r="E645" s="480"/>
      <c r="G645" s="65"/>
    </row>
    <row r="646" spans="2:7" ht="14.25" customHeight="1" x14ac:dyDescent="0.3">
      <c r="B646" s="478"/>
      <c r="C646" s="479"/>
      <c r="E646" s="480"/>
      <c r="G646" s="65"/>
    </row>
    <row r="647" spans="2:7" ht="14.25" customHeight="1" x14ac:dyDescent="0.3">
      <c r="B647" s="478"/>
      <c r="C647" s="479"/>
      <c r="E647" s="480"/>
      <c r="G647" s="65"/>
    </row>
    <row r="648" spans="2:7" ht="14.25" customHeight="1" x14ac:dyDescent="0.3">
      <c r="B648" s="478"/>
      <c r="C648" s="479"/>
      <c r="E648" s="480"/>
      <c r="G648" s="65"/>
    </row>
    <row r="649" spans="2:7" ht="14.25" customHeight="1" x14ac:dyDescent="0.3">
      <c r="B649" s="478"/>
      <c r="C649" s="479"/>
      <c r="E649" s="480"/>
      <c r="G649" s="65"/>
    </row>
    <row r="650" spans="2:7" ht="14.25" customHeight="1" x14ac:dyDescent="0.3">
      <c r="B650" s="478"/>
      <c r="C650" s="479"/>
      <c r="E650" s="480"/>
      <c r="G650" s="65"/>
    </row>
    <row r="651" spans="2:7" ht="14.25" customHeight="1" x14ac:dyDescent="0.3">
      <c r="B651" s="478"/>
      <c r="C651" s="479"/>
      <c r="E651" s="480"/>
      <c r="G651" s="65"/>
    </row>
    <row r="652" spans="2:7" ht="14.25" customHeight="1" x14ac:dyDescent="0.3">
      <c r="B652" s="478"/>
      <c r="C652" s="479"/>
      <c r="E652" s="480"/>
      <c r="G652" s="65"/>
    </row>
    <row r="653" spans="2:7" ht="14.25" customHeight="1" x14ac:dyDescent="0.3">
      <c r="B653" s="478"/>
      <c r="C653" s="479"/>
      <c r="E653" s="480"/>
      <c r="G653" s="65"/>
    </row>
    <row r="654" spans="2:7" ht="14.25" customHeight="1" x14ac:dyDescent="0.3">
      <c r="B654" s="478"/>
      <c r="C654" s="479"/>
      <c r="E654" s="480"/>
      <c r="G654" s="65"/>
    </row>
    <row r="655" spans="2:7" ht="14.25" customHeight="1" x14ac:dyDescent="0.3">
      <c r="B655" s="478"/>
      <c r="C655" s="479"/>
      <c r="E655" s="480"/>
      <c r="G655" s="65"/>
    </row>
    <row r="656" spans="2:7" ht="14.25" customHeight="1" x14ac:dyDescent="0.3">
      <c r="B656" s="478"/>
      <c r="C656" s="479"/>
      <c r="E656" s="480"/>
      <c r="G656" s="65"/>
    </row>
    <row r="657" spans="2:7" ht="14.25" customHeight="1" x14ac:dyDescent="0.3">
      <c r="B657" s="478"/>
      <c r="C657" s="479"/>
      <c r="E657" s="480"/>
      <c r="G657" s="65"/>
    </row>
    <row r="658" spans="2:7" ht="14.25" customHeight="1" x14ac:dyDescent="0.3">
      <c r="B658" s="478"/>
      <c r="C658" s="479"/>
      <c r="E658" s="480"/>
      <c r="G658" s="65"/>
    </row>
    <row r="659" spans="2:7" ht="14.25" customHeight="1" x14ac:dyDescent="0.3">
      <c r="B659" s="478"/>
      <c r="C659" s="479"/>
      <c r="E659" s="480"/>
      <c r="G659" s="65"/>
    </row>
    <row r="660" spans="2:7" ht="14.25" customHeight="1" x14ac:dyDescent="0.3">
      <c r="B660" s="478"/>
      <c r="C660" s="479"/>
      <c r="E660" s="480"/>
      <c r="G660" s="65"/>
    </row>
    <row r="661" spans="2:7" ht="14.25" customHeight="1" x14ac:dyDescent="0.3">
      <c r="B661" s="478"/>
      <c r="C661" s="479"/>
      <c r="E661" s="480"/>
      <c r="G661" s="65"/>
    </row>
    <row r="662" spans="2:7" ht="14.25" customHeight="1" x14ac:dyDescent="0.3">
      <c r="B662" s="478"/>
      <c r="C662" s="479"/>
      <c r="E662" s="480"/>
      <c r="G662" s="65"/>
    </row>
    <row r="663" spans="2:7" ht="14.25" customHeight="1" x14ac:dyDescent="0.3">
      <c r="B663" s="478"/>
      <c r="C663" s="479"/>
      <c r="E663" s="480"/>
      <c r="G663" s="65"/>
    </row>
    <row r="664" spans="2:7" ht="14.25" customHeight="1" x14ac:dyDescent="0.3">
      <c r="B664" s="478"/>
      <c r="C664" s="479"/>
      <c r="E664" s="480"/>
      <c r="G664" s="65"/>
    </row>
    <row r="665" spans="2:7" ht="14.25" customHeight="1" x14ac:dyDescent="0.3">
      <c r="B665" s="478"/>
      <c r="C665" s="479"/>
      <c r="E665" s="480"/>
      <c r="G665" s="65"/>
    </row>
    <row r="666" spans="2:7" ht="14.25" customHeight="1" x14ac:dyDescent="0.3">
      <c r="B666" s="478"/>
      <c r="C666" s="479"/>
      <c r="E666" s="480"/>
      <c r="G666" s="65"/>
    </row>
    <row r="667" spans="2:7" ht="14.25" customHeight="1" x14ac:dyDescent="0.3">
      <c r="B667" s="478"/>
      <c r="C667" s="479"/>
      <c r="E667" s="480"/>
      <c r="G667" s="65"/>
    </row>
    <row r="668" spans="2:7" ht="14.25" customHeight="1" x14ac:dyDescent="0.3">
      <c r="B668" s="478"/>
      <c r="C668" s="479"/>
      <c r="E668" s="480"/>
      <c r="G668" s="65"/>
    </row>
    <row r="669" spans="2:7" ht="14.25" customHeight="1" x14ac:dyDescent="0.3">
      <c r="B669" s="478"/>
      <c r="C669" s="479"/>
      <c r="E669" s="480"/>
      <c r="G669" s="65"/>
    </row>
    <row r="670" spans="2:7" ht="14.25" customHeight="1" x14ac:dyDescent="0.3">
      <c r="B670" s="478"/>
      <c r="C670" s="479"/>
      <c r="E670" s="480"/>
      <c r="G670" s="65"/>
    </row>
    <row r="671" spans="2:7" ht="14.25" customHeight="1" x14ac:dyDescent="0.3">
      <c r="B671" s="478"/>
      <c r="C671" s="479"/>
      <c r="E671" s="480"/>
      <c r="G671" s="65"/>
    </row>
    <row r="672" spans="2:7" ht="14.25" customHeight="1" x14ac:dyDescent="0.3">
      <c r="B672" s="478"/>
      <c r="C672" s="479"/>
      <c r="E672" s="480"/>
      <c r="G672" s="65"/>
    </row>
    <row r="673" spans="2:7" ht="14.25" customHeight="1" x14ac:dyDescent="0.3">
      <c r="B673" s="478"/>
      <c r="C673" s="479"/>
      <c r="E673" s="480"/>
      <c r="G673" s="65"/>
    </row>
    <row r="674" spans="2:7" ht="14.25" customHeight="1" x14ac:dyDescent="0.3">
      <c r="B674" s="478"/>
      <c r="C674" s="479"/>
      <c r="E674" s="480"/>
      <c r="G674" s="65"/>
    </row>
    <row r="675" spans="2:7" ht="14.25" customHeight="1" x14ac:dyDescent="0.3">
      <c r="B675" s="478"/>
      <c r="C675" s="479"/>
      <c r="E675" s="480"/>
      <c r="G675" s="65"/>
    </row>
    <row r="676" spans="2:7" ht="14.25" customHeight="1" x14ac:dyDescent="0.3">
      <c r="B676" s="478"/>
      <c r="C676" s="479"/>
      <c r="E676" s="480"/>
      <c r="G676" s="65"/>
    </row>
    <row r="677" spans="2:7" ht="14.25" customHeight="1" x14ac:dyDescent="0.3">
      <c r="B677" s="478"/>
      <c r="C677" s="479"/>
      <c r="E677" s="480"/>
      <c r="G677" s="65"/>
    </row>
    <row r="678" spans="2:7" ht="14.25" customHeight="1" x14ac:dyDescent="0.3">
      <c r="B678" s="478"/>
      <c r="C678" s="479"/>
      <c r="E678" s="480"/>
      <c r="G678" s="65"/>
    </row>
    <row r="679" spans="2:7" ht="14.25" customHeight="1" x14ac:dyDescent="0.3">
      <c r="B679" s="478"/>
      <c r="C679" s="479"/>
      <c r="E679" s="480"/>
      <c r="G679" s="65"/>
    </row>
    <row r="680" spans="2:7" ht="14.25" customHeight="1" x14ac:dyDescent="0.3">
      <c r="B680" s="478"/>
      <c r="C680" s="479"/>
      <c r="E680" s="480"/>
      <c r="G680" s="65"/>
    </row>
    <row r="681" spans="2:7" ht="14.25" customHeight="1" x14ac:dyDescent="0.3">
      <c r="B681" s="478"/>
      <c r="C681" s="479"/>
      <c r="E681" s="480"/>
      <c r="G681" s="65"/>
    </row>
    <row r="682" spans="2:7" ht="14.25" customHeight="1" x14ac:dyDescent="0.3">
      <c r="B682" s="478"/>
      <c r="C682" s="479"/>
      <c r="E682" s="480"/>
      <c r="G682" s="65"/>
    </row>
    <row r="683" spans="2:7" ht="14.25" customHeight="1" x14ac:dyDescent="0.3">
      <c r="B683" s="478"/>
      <c r="C683" s="479"/>
      <c r="E683" s="480"/>
      <c r="G683" s="65"/>
    </row>
    <row r="684" spans="2:7" ht="14.25" customHeight="1" x14ac:dyDescent="0.3">
      <c r="B684" s="478"/>
      <c r="C684" s="479"/>
      <c r="E684" s="480"/>
      <c r="G684" s="65"/>
    </row>
    <row r="685" spans="2:7" ht="14.25" customHeight="1" x14ac:dyDescent="0.3">
      <c r="B685" s="478"/>
      <c r="C685" s="479"/>
      <c r="E685" s="480"/>
      <c r="G685" s="65"/>
    </row>
    <row r="686" spans="2:7" ht="14.25" customHeight="1" x14ac:dyDescent="0.3">
      <c r="B686" s="478"/>
      <c r="C686" s="479"/>
      <c r="E686" s="480"/>
      <c r="G686" s="65"/>
    </row>
    <row r="687" spans="2:7" ht="14.25" customHeight="1" x14ac:dyDescent="0.3">
      <c r="B687" s="478"/>
      <c r="C687" s="479"/>
      <c r="E687" s="480"/>
      <c r="G687" s="65"/>
    </row>
    <row r="688" spans="2:7" ht="14.25" customHeight="1" x14ac:dyDescent="0.3">
      <c r="B688" s="478"/>
      <c r="C688" s="479"/>
      <c r="E688" s="480"/>
      <c r="G688" s="65"/>
    </row>
    <row r="689" spans="2:7" ht="14.25" customHeight="1" x14ac:dyDescent="0.3">
      <c r="B689" s="478"/>
      <c r="C689" s="479"/>
      <c r="E689" s="480"/>
      <c r="G689" s="65"/>
    </row>
    <row r="690" spans="2:7" ht="14.25" customHeight="1" x14ac:dyDescent="0.3">
      <c r="B690" s="478"/>
      <c r="C690" s="479"/>
      <c r="E690" s="480"/>
      <c r="G690" s="65"/>
    </row>
    <row r="691" spans="2:7" ht="14.25" customHeight="1" x14ac:dyDescent="0.3">
      <c r="B691" s="478"/>
      <c r="C691" s="479"/>
      <c r="E691" s="480"/>
      <c r="G691" s="65"/>
    </row>
    <row r="692" spans="2:7" ht="14.25" customHeight="1" x14ac:dyDescent="0.3">
      <c r="B692" s="478"/>
      <c r="C692" s="479"/>
      <c r="E692" s="480"/>
      <c r="G692" s="65"/>
    </row>
    <row r="693" spans="2:7" ht="14.25" customHeight="1" x14ac:dyDescent="0.3">
      <c r="B693" s="478"/>
      <c r="C693" s="479"/>
      <c r="E693" s="480"/>
      <c r="G693" s="65"/>
    </row>
    <row r="694" spans="2:7" ht="14.25" customHeight="1" x14ac:dyDescent="0.3">
      <c r="B694" s="478"/>
      <c r="C694" s="479"/>
      <c r="E694" s="480"/>
      <c r="G694" s="65"/>
    </row>
    <row r="695" spans="2:7" ht="14.25" customHeight="1" x14ac:dyDescent="0.3">
      <c r="B695" s="478"/>
      <c r="C695" s="479"/>
      <c r="E695" s="480"/>
      <c r="G695" s="65"/>
    </row>
    <row r="696" spans="2:7" ht="14.25" customHeight="1" x14ac:dyDescent="0.3">
      <c r="B696" s="478"/>
      <c r="C696" s="479"/>
      <c r="E696" s="480"/>
      <c r="G696" s="65"/>
    </row>
    <row r="697" spans="2:7" ht="14.25" customHeight="1" x14ac:dyDescent="0.3">
      <c r="B697" s="478"/>
      <c r="C697" s="479"/>
      <c r="E697" s="480"/>
      <c r="G697" s="65"/>
    </row>
    <row r="698" spans="2:7" ht="14.25" customHeight="1" x14ac:dyDescent="0.3">
      <c r="B698" s="478"/>
      <c r="C698" s="479"/>
      <c r="E698" s="480"/>
      <c r="G698" s="65"/>
    </row>
    <row r="699" spans="2:7" ht="14.25" customHeight="1" x14ac:dyDescent="0.3">
      <c r="B699" s="478"/>
      <c r="C699" s="479"/>
      <c r="E699" s="480"/>
      <c r="G699" s="65"/>
    </row>
    <row r="700" spans="2:7" ht="14.25" customHeight="1" x14ac:dyDescent="0.3">
      <c r="B700" s="478"/>
      <c r="C700" s="479"/>
      <c r="E700" s="480"/>
      <c r="G700" s="65"/>
    </row>
    <row r="701" spans="2:7" ht="14.25" customHeight="1" x14ac:dyDescent="0.3">
      <c r="B701" s="478"/>
      <c r="C701" s="479"/>
      <c r="E701" s="480"/>
      <c r="G701" s="65"/>
    </row>
    <row r="702" spans="2:7" ht="14.25" customHeight="1" x14ac:dyDescent="0.3">
      <c r="B702" s="478"/>
      <c r="C702" s="479"/>
      <c r="E702" s="480"/>
      <c r="G702" s="65"/>
    </row>
    <row r="703" spans="2:7" ht="14.25" customHeight="1" x14ac:dyDescent="0.3">
      <c r="B703" s="478"/>
      <c r="C703" s="479"/>
      <c r="E703" s="480"/>
      <c r="G703" s="65"/>
    </row>
    <row r="704" spans="2:7" ht="14.25" customHeight="1" x14ac:dyDescent="0.3">
      <c r="B704" s="478"/>
      <c r="C704" s="479"/>
      <c r="E704" s="480"/>
      <c r="G704" s="65"/>
    </row>
    <row r="705" spans="2:7" ht="14.25" customHeight="1" x14ac:dyDescent="0.3">
      <c r="B705" s="478"/>
      <c r="C705" s="479"/>
      <c r="E705" s="480"/>
      <c r="G705" s="65"/>
    </row>
    <row r="706" spans="2:7" ht="14.25" customHeight="1" x14ac:dyDescent="0.3">
      <c r="B706" s="478"/>
      <c r="C706" s="479"/>
      <c r="E706" s="480"/>
      <c r="G706" s="65"/>
    </row>
    <row r="707" spans="2:7" ht="14.25" customHeight="1" x14ac:dyDescent="0.3">
      <c r="B707" s="478"/>
      <c r="C707" s="479"/>
      <c r="E707" s="480"/>
      <c r="G707" s="65"/>
    </row>
    <row r="708" spans="2:7" ht="14.25" customHeight="1" x14ac:dyDescent="0.3">
      <c r="B708" s="478"/>
      <c r="C708" s="479"/>
      <c r="E708" s="480"/>
      <c r="G708" s="65"/>
    </row>
    <row r="709" spans="2:7" ht="14.25" customHeight="1" x14ac:dyDescent="0.3">
      <c r="B709" s="478"/>
      <c r="C709" s="479"/>
      <c r="E709" s="480"/>
      <c r="G709" s="65"/>
    </row>
    <row r="710" spans="2:7" ht="14.25" customHeight="1" x14ac:dyDescent="0.3">
      <c r="B710" s="478"/>
      <c r="C710" s="479"/>
      <c r="E710" s="480"/>
      <c r="G710" s="65"/>
    </row>
    <row r="711" spans="2:7" ht="14.25" customHeight="1" x14ac:dyDescent="0.3">
      <c r="B711" s="478"/>
      <c r="C711" s="479"/>
      <c r="E711" s="480"/>
      <c r="G711" s="65"/>
    </row>
    <row r="712" spans="2:7" ht="14.25" customHeight="1" x14ac:dyDescent="0.3">
      <c r="B712" s="478"/>
      <c r="C712" s="479"/>
      <c r="E712" s="480"/>
      <c r="G712" s="65"/>
    </row>
    <row r="713" spans="2:7" ht="14.25" customHeight="1" x14ac:dyDescent="0.3">
      <c r="B713" s="478"/>
      <c r="C713" s="479"/>
      <c r="E713" s="480"/>
      <c r="G713" s="65"/>
    </row>
    <row r="714" spans="2:7" ht="14.25" customHeight="1" x14ac:dyDescent="0.3">
      <c r="B714" s="478"/>
      <c r="C714" s="479"/>
      <c r="E714" s="480"/>
      <c r="G714" s="65"/>
    </row>
    <row r="715" spans="2:7" ht="14.25" customHeight="1" x14ac:dyDescent="0.3">
      <c r="B715" s="478"/>
      <c r="C715" s="479"/>
      <c r="E715" s="480"/>
      <c r="G715" s="65"/>
    </row>
    <row r="716" spans="2:7" ht="14.25" customHeight="1" x14ac:dyDescent="0.3">
      <c r="B716" s="478"/>
      <c r="C716" s="479"/>
      <c r="E716" s="480"/>
      <c r="G716" s="65"/>
    </row>
    <row r="717" spans="2:7" ht="14.25" customHeight="1" x14ac:dyDescent="0.3">
      <c r="B717" s="478"/>
      <c r="C717" s="479"/>
      <c r="E717" s="480"/>
      <c r="G717" s="65"/>
    </row>
    <row r="718" spans="2:7" ht="14.25" customHeight="1" x14ac:dyDescent="0.3">
      <c r="B718" s="478"/>
      <c r="C718" s="479"/>
      <c r="E718" s="480"/>
      <c r="G718" s="65"/>
    </row>
    <row r="719" spans="2:7" ht="14.25" customHeight="1" x14ac:dyDescent="0.3">
      <c r="B719" s="478"/>
      <c r="C719" s="479"/>
      <c r="E719" s="480"/>
      <c r="G719" s="65"/>
    </row>
    <row r="720" spans="2:7" ht="14.25" customHeight="1" x14ac:dyDescent="0.3">
      <c r="B720" s="478"/>
      <c r="C720" s="479"/>
      <c r="E720" s="480"/>
      <c r="G720" s="65"/>
    </row>
    <row r="721" spans="2:7" ht="14.25" customHeight="1" x14ac:dyDescent="0.3">
      <c r="B721" s="478"/>
      <c r="C721" s="479"/>
      <c r="E721" s="480"/>
      <c r="G721" s="65"/>
    </row>
    <row r="722" spans="2:7" ht="14.25" customHeight="1" x14ac:dyDescent="0.3">
      <c r="B722" s="478"/>
      <c r="C722" s="479"/>
      <c r="E722" s="480"/>
      <c r="G722" s="65"/>
    </row>
    <row r="723" spans="2:7" ht="14.25" customHeight="1" x14ac:dyDescent="0.3">
      <c r="B723" s="478"/>
      <c r="C723" s="479"/>
      <c r="E723" s="480"/>
      <c r="G723" s="65"/>
    </row>
    <row r="724" spans="2:7" ht="14.25" customHeight="1" x14ac:dyDescent="0.3">
      <c r="B724" s="478"/>
      <c r="C724" s="479"/>
      <c r="E724" s="480"/>
      <c r="G724" s="65"/>
    </row>
    <row r="725" spans="2:7" ht="14.25" customHeight="1" x14ac:dyDescent="0.3">
      <c r="B725" s="478"/>
      <c r="C725" s="479"/>
      <c r="E725" s="480"/>
      <c r="G725" s="65"/>
    </row>
    <row r="726" spans="2:7" ht="14.25" customHeight="1" x14ac:dyDescent="0.3">
      <c r="B726" s="478"/>
      <c r="C726" s="479"/>
      <c r="E726" s="480"/>
      <c r="G726" s="65"/>
    </row>
    <row r="727" spans="2:7" ht="14.25" customHeight="1" x14ac:dyDescent="0.3">
      <c r="B727" s="478"/>
      <c r="C727" s="479"/>
      <c r="E727" s="480"/>
      <c r="G727" s="65"/>
    </row>
    <row r="728" spans="2:7" ht="14.25" customHeight="1" x14ac:dyDescent="0.3">
      <c r="B728" s="478"/>
      <c r="C728" s="479"/>
      <c r="E728" s="480"/>
      <c r="G728" s="65"/>
    </row>
    <row r="729" spans="2:7" ht="14.25" customHeight="1" x14ac:dyDescent="0.3">
      <c r="B729" s="478"/>
      <c r="C729" s="479"/>
      <c r="E729" s="480"/>
      <c r="G729" s="65"/>
    </row>
    <row r="730" spans="2:7" ht="14.25" customHeight="1" x14ac:dyDescent="0.3">
      <c r="B730" s="478"/>
      <c r="C730" s="479"/>
      <c r="E730" s="480"/>
      <c r="G730" s="65"/>
    </row>
    <row r="731" spans="2:7" ht="14.25" customHeight="1" x14ac:dyDescent="0.3">
      <c r="B731" s="478"/>
      <c r="C731" s="479"/>
      <c r="E731" s="480"/>
      <c r="G731" s="65"/>
    </row>
    <row r="732" spans="2:7" ht="14.25" customHeight="1" x14ac:dyDescent="0.3">
      <c r="B732" s="478"/>
      <c r="C732" s="479"/>
      <c r="E732" s="480"/>
      <c r="G732" s="65"/>
    </row>
    <row r="733" spans="2:7" ht="14.25" customHeight="1" x14ac:dyDescent="0.3">
      <c r="B733" s="478"/>
      <c r="C733" s="479"/>
      <c r="E733" s="480"/>
      <c r="G733" s="65"/>
    </row>
    <row r="734" spans="2:7" ht="14.25" customHeight="1" x14ac:dyDescent="0.3">
      <c r="B734" s="478"/>
      <c r="C734" s="479"/>
      <c r="E734" s="480"/>
      <c r="G734" s="65"/>
    </row>
    <row r="735" spans="2:7" ht="14.25" customHeight="1" x14ac:dyDescent="0.3">
      <c r="B735" s="478"/>
      <c r="C735" s="479"/>
      <c r="E735" s="480"/>
      <c r="G735" s="65"/>
    </row>
    <row r="736" spans="2:7" ht="14.25" customHeight="1" x14ac:dyDescent="0.3">
      <c r="B736" s="478"/>
      <c r="C736" s="479"/>
      <c r="E736" s="480"/>
      <c r="G736" s="65"/>
    </row>
    <row r="737" spans="2:7" ht="14.25" customHeight="1" x14ac:dyDescent="0.3">
      <c r="B737" s="478"/>
      <c r="C737" s="479"/>
      <c r="E737" s="480"/>
      <c r="G737" s="65"/>
    </row>
    <row r="738" spans="2:7" ht="14.25" customHeight="1" x14ac:dyDescent="0.3">
      <c r="B738" s="478"/>
      <c r="C738" s="479"/>
      <c r="E738" s="480"/>
      <c r="G738" s="65"/>
    </row>
    <row r="739" spans="2:7" ht="14.25" customHeight="1" x14ac:dyDescent="0.3">
      <c r="B739" s="478"/>
      <c r="C739" s="479"/>
      <c r="E739" s="480"/>
      <c r="G739" s="65"/>
    </row>
    <row r="740" spans="2:7" ht="14.25" customHeight="1" x14ac:dyDescent="0.3">
      <c r="B740" s="478"/>
      <c r="C740" s="479"/>
      <c r="E740" s="480"/>
      <c r="G740" s="65"/>
    </row>
    <row r="741" spans="2:7" ht="14.25" customHeight="1" x14ac:dyDescent="0.3">
      <c r="B741" s="478"/>
      <c r="C741" s="479"/>
      <c r="E741" s="480"/>
      <c r="G741" s="65"/>
    </row>
    <row r="742" spans="2:7" ht="14.25" customHeight="1" x14ac:dyDescent="0.3">
      <c r="B742" s="478"/>
      <c r="C742" s="479"/>
      <c r="E742" s="480"/>
      <c r="G742" s="65"/>
    </row>
    <row r="743" spans="2:7" ht="14.25" customHeight="1" x14ac:dyDescent="0.3">
      <c r="B743" s="478"/>
      <c r="C743" s="479"/>
      <c r="E743" s="480"/>
      <c r="G743" s="65"/>
    </row>
    <row r="744" spans="2:7" ht="14.25" customHeight="1" x14ac:dyDescent="0.3">
      <c r="B744" s="478"/>
      <c r="C744" s="479"/>
      <c r="E744" s="480"/>
      <c r="G744" s="65"/>
    </row>
    <row r="745" spans="2:7" ht="14.25" customHeight="1" x14ac:dyDescent="0.3">
      <c r="B745" s="478"/>
      <c r="C745" s="479"/>
      <c r="E745" s="480"/>
      <c r="G745" s="65"/>
    </row>
    <row r="746" spans="2:7" ht="14.25" customHeight="1" x14ac:dyDescent="0.3">
      <c r="B746" s="478"/>
      <c r="C746" s="479"/>
      <c r="E746" s="480"/>
      <c r="G746" s="65"/>
    </row>
    <row r="747" spans="2:7" ht="14.25" customHeight="1" x14ac:dyDescent="0.3">
      <c r="B747" s="478"/>
      <c r="C747" s="479"/>
      <c r="E747" s="480"/>
      <c r="G747" s="65"/>
    </row>
    <row r="748" spans="2:7" ht="14.25" customHeight="1" x14ac:dyDescent="0.3">
      <c r="B748" s="478"/>
      <c r="C748" s="479"/>
      <c r="E748" s="480"/>
      <c r="G748" s="65"/>
    </row>
    <row r="749" spans="2:7" ht="14.25" customHeight="1" x14ac:dyDescent="0.3">
      <c r="B749" s="478"/>
      <c r="C749" s="479"/>
      <c r="E749" s="480"/>
      <c r="G749" s="65"/>
    </row>
    <row r="750" spans="2:7" ht="14.25" customHeight="1" x14ac:dyDescent="0.3">
      <c r="B750" s="478"/>
      <c r="C750" s="479"/>
      <c r="E750" s="480"/>
      <c r="G750" s="65"/>
    </row>
    <row r="751" spans="2:7" ht="14.25" customHeight="1" x14ac:dyDescent="0.3">
      <c r="B751" s="478"/>
      <c r="C751" s="479"/>
      <c r="E751" s="480"/>
      <c r="G751" s="65"/>
    </row>
    <row r="752" spans="2:7" ht="14.25" customHeight="1" x14ac:dyDescent="0.3">
      <c r="B752" s="478"/>
      <c r="C752" s="479"/>
      <c r="E752" s="480"/>
      <c r="G752" s="65"/>
    </row>
    <row r="753" spans="2:7" ht="14.25" customHeight="1" x14ac:dyDescent="0.3">
      <c r="B753" s="478"/>
      <c r="C753" s="479"/>
      <c r="E753" s="480"/>
      <c r="G753" s="65"/>
    </row>
    <row r="754" spans="2:7" ht="14.25" customHeight="1" x14ac:dyDescent="0.3">
      <c r="B754" s="478"/>
      <c r="C754" s="479"/>
      <c r="E754" s="480"/>
      <c r="G754" s="65"/>
    </row>
    <row r="755" spans="2:7" ht="14.25" customHeight="1" x14ac:dyDescent="0.3">
      <c r="B755" s="478"/>
      <c r="C755" s="479"/>
      <c r="E755" s="480"/>
      <c r="G755" s="65"/>
    </row>
    <row r="756" spans="2:7" ht="14.25" customHeight="1" x14ac:dyDescent="0.3">
      <c r="B756" s="478"/>
      <c r="C756" s="479"/>
      <c r="E756" s="480"/>
      <c r="G756" s="65"/>
    </row>
    <row r="757" spans="2:7" ht="14.25" customHeight="1" x14ac:dyDescent="0.3">
      <c r="B757" s="478"/>
      <c r="C757" s="479"/>
      <c r="E757" s="480"/>
      <c r="G757" s="65"/>
    </row>
    <row r="758" spans="2:7" ht="14.25" customHeight="1" x14ac:dyDescent="0.3">
      <c r="B758" s="478"/>
      <c r="C758" s="479"/>
      <c r="E758" s="480"/>
      <c r="G758" s="65"/>
    </row>
    <row r="759" spans="2:7" ht="14.25" customHeight="1" x14ac:dyDescent="0.3">
      <c r="B759" s="478"/>
      <c r="C759" s="479"/>
      <c r="E759" s="480"/>
      <c r="G759" s="65"/>
    </row>
    <row r="760" spans="2:7" ht="14.25" customHeight="1" x14ac:dyDescent="0.3">
      <c r="B760" s="478"/>
      <c r="C760" s="479"/>
      <c r="E760" s="480"/>
      <c r="G760" s="65"/>
    </row>
    <row r="761" spans="2:7" ht="14.25" customHeight="1" x14ac:dyDescent="0.3">
      <c r="B761" s="478"/>
      <c r="C761" s="479"/>
      <c r="E761" s="480"/>
      <c r="G761" s="65"/>
    </row>
    <row r="762" spans="2:7" ht="14.25" customHeight="1" x14ac:dyDescent="0.3">
      <c r="B762" s="478"/>
      <c r="C762" s="479"/>
      <c r="E762" s="480"/>
      <c r="G762" s="65"/>
    </row>
    <row r="763" spans="2:7" ht="14.25" customHeight="1" x14ac:dyDescent="0.3">
      <c r="B763" s="478"/>
      <c r="C763" s="479"/>
      <c r="E763" s="480"/>
      <c r="G763" s="65"/>
    </row>
    <row r="764" spans="2:7" ht="14.25" customHeight="1" x14ac:dyDescent="0.3">
      <c r="B764" s="478"/>
      <c r="C764" s="479"/>
      <c r="E764" s="480"/>
      <c r="G764" s="65"/>
    </row>
    <row r="765" spans="2:7" ht="14.25" customHeight="1" x14ac:dyDescent="0.3">
      <c r="B765" s="478"/>
      <c r="C765" s="479"/>
      <c r="E765" s="480"/>
      <c r="G765" s="65"/>
    </row>
    <row r="766" spans="2:7" ht="14.25" customHeight="1" x14ac:dyDescent="0.3">
      <c r="B766" s="478"/>
      <c r="C766" s="479"/>
      <c r="E766" s="480"/>
      <c r="G766" s="65"/>
    </row>
    <row r="767" spans="2:7" ht="14.25" customHeight="1" x14ac:dyDescent="0.3">
      <c r="B767" s="478"/>
      <c r="C767" s="479"/>
      <c r="E767" s="480"/>
      <c r="G767" s="65"/>
    </row>
    <row r="768" spans="2:7" ht="14.25" customHeight="1" x14ac:dyDescent="0.3">
      <c r="B768" s="478"/>
      <c r="C768" s="479"/>
      <c r="E768" s="480"/>
      <c r="G768" s="65"/>
    </row>
    <row r="769" spans="2:7" ht="14.25" customHeight="1" x14ac:dyDescent="0.3">
      <c r="B769" s="478"/>
      <c r="C769" s="479"/>
      <c r="E769" s="480"/>
      <c r="G769" s="65"/>
    </row>
    <row r="770" spans="2:7" ht="14.25" customHeight="1" x14ac:dyDescent="0.3">
      <c r="B770" s="478"/>
      <c r="C770" s="479"/>
      <c r="E770" s="480"/>
      <c r="G770" s="65"/>
    </row>
    <row r="771" spans="2:7" ht="14.25" customHeight="1" x14ac:dyDescent="0.3">
      <c r="B771" s="478"/>
      <c r="C771" s="479"/>
      <c r="E771" s="480"/>
      <c r="G771" s="65"/>
    </row>
    <row r="772" spans="2:7" ht="14.25" customHeight="1" x14ac:dyDescent="0.3">
      <c r="B772" s="478"/>
      <c r="C772" s="479"/>
      <c r="E772" s="480"/>
      <c r="G772" s="65"/>
    </row>
    <row r="773" spans="2:7" ht="14.25" customHeight="1" x14ac:dyDescent="0.3">
      <c r="B773" s="478"/>
      <c r="C773" s="479"/>
      <c r="E773" s="480"/>
      <c r="G773" s="65"/>
    </row>
    <row r="774" spans="2:7" ht="14.25" customHeight="1" x14ac:dyDescent="0.3">
      <c r="B774" s="478"/>
      <c r="C774" s="479"/>
      <c r="E774" s="480"/>
      <c r="G774" s="65"/>
    </row>
    <row r="775" spans="2:7" ht="14.25" customHeight="1" x14ac:dyDescent="0.3">
      <c r="B775" s="478"/>
      <c r="C775" s="479"/>
      <c r="E775" s="480"/>
      <c r="G775" s="65"/>
    </row>
    <row r="776" spans="2:7" ht="14.25" customHeight="1" x14ac:dyDescent="0.3">
      <c r="B776" s="478"/>
      <c r="C776" s="479"/>
      <c r="E776" s="480"/>
      <c r="G776" s="65"/>
    </row>
    <row r="777" spans="2:7" ht="14.25" customHeight="1" x14ac:dyDescent="0.3">
      <c r="B777" s="478"/>
      <c r="C777" s="479"/>
      <c r="E777" s="480"/>
      <c r="G777" s="65"/>
    </row>
    <row r="778" spans="2:7" ht="14.25" customHeight="1" x14ac:dyDescent="0.3">
      <c r="B778" s="478"/>
      <c r="C778" s="479"/>
      <c r="E778" s="480"/>
      <c r="G778" s="65"/>
    </row>
    <row r="779" spans="2:7" ht="14.25" customHeight="1" x14ac:dyDescent="0.3">
      <c r="B779" s="478"/>
      <c r="C779" s="479"/>
      <c r="E779" s="480"/>
      <c r="G779" s="65"/>
    </row>
    <row r="780" spans="2:7" ht="14.25" customHeight="1" x14ac:dyDescent="0.3">
      <c r="B780" s="478"/>
      <c r="C780" s="479"/>
      <c r="E780" s="480"/>
      <c r="G780" s="65"/>
    </row>
    <row r="781" spans="2:7" ht="14.25" customHeight="1" x14ac:dyDescent="0.3">
      <c r="B781" s="478"/>
      <c r="C781" s="479"/>
      <c r="E781" s="480"/>
      <c r="G781" s="65"/>
    </row>
    <row r="782" spans="2:7" ht="14.25" customHeight="1" x14ac:dyDescent="0.3">
      <c r="B782" s="478"/>
      <c r="C782" s="479"/>
      <c r="E782" s="480"/>
      <c r="G782" s="65"/>
    </row>
    <row r="783" spans="2:7" ht="14.25" customHeight="1" x14ac:dyDescent="0.3">
      <c r="B783" s="478"/>
      <c r="C783" s="479"/>
      <c r="E783" s="480"/>
      <c r="G783" s="65"/>
    </row>
    <row r="784" spans="2:7" ht="14.25" customHeight="1" x14ac:dyDescent="0.3">
      <c r="B784" s="478"/>
      <c r="C784" s="479"/>
      <c r="E784" s="480"/>
      <c r="G784" s="65"/>
    </row>
    <row r="785" spans="2:7" ht="14.25" customHeight="1" x14ac:dyDescent="0.3">
      <c r="B785" s="478"/>
      <c r="C785" s="479"/>
      <c r="E785" s="480"/>
      <c r="G785" s="65"/>
    </row>
    <row r="786" spans="2:7" ht="14.25" customHeight="1" x14ac:dyDescent="0.3">
      <c r="B786" s="478"/>
      <c r="C786" s="479"/>
      <c r="E786" s="480"/>
      <c r="G786" s="65"/>
    </row>
    <row r="787" spans="2:7" ht="14.25" customHeight="1" x14ac:dyDescent="0.3">
      <c r="B787" s="478"/>
      <c r="C787" s="479"/>
      <c r="E787" s="480"/>
      <c r="G787" s="65"/>
    </row>
    <row r="788" spans="2:7" ht="14.25" customHeight="1" x14ac:dyDescent="0.3">
      <c r="B788" s="478"/>
      <c r="C788" s="479"/>
      <c r="E788" s="480"/>
      <c r="G788" s="65"/>
    </row>
    <row r="789" spans="2:7" ht="14.25" customHeight="1" x14ac:dyDescent="0.3">
      <c r="B789" s="478"/>
      <c r="C789" s="479"/>
      <c r="E789" s="480"/>
      <c r="G789" s="65"/>
    </row>
    <row r="790" spans="2:7" ht="14.25" customHeight="1" x14ac:dyDescent="0.3">
      <c r="B790" s="478"/>
      <c r="C790" s="479"/>
      <c r="E790" s="480"/>
      <c r="G790" s="65"/>
    </row>
    <row r="791" spans="2:7" ht="14.25" customHeight="1" x14ac:dyDescent="0.3">
      <c r="B791" s="478"/>
      <c r="C791" s="479"/>
      <c r="E791" s="480"/>
      <c r="G791" s="65"/>
    </row>
    <row r="792" spans="2:7" ht="14.25" customHeight="1" x14ac:dyDescent="0.3">
      <c r="B792" s="478"/>
      <c r="C792" s="479"/>
      <c r="E792" s="480"/>
      <c r="G792" s="65"/>
    </row>
    <row r="793" spans="2:7" ht="14.25" customHeight="1" x14ac:dyDescent="0.3">
      <c r="B793" s="478"/>
      <c r="C793" s="479"/>
      <c r="E793" s="480"/>
      <c r="G793" s="65"/>
    </row>
    <row r="794" spans="2:7" ht="14.25" customHeight="1" x14ac:dyDescent="0.3">
      <c r="B794" s="478"/>
      <c r="C794" s="479"/>
      <c r="E794" s="480"/>
      <c r="G794" s="65"/>
    </row>
    <row r="795" spans="2:7" ht="14.25" customHeight="1" x14ac:dyDescent="0.3">
      <c r="B795" s="478"/>
      <c r="C795" s="479"/>
      <c r="E795" s="480"/>
      <c r="G795" s="65"/>
    </row>
    <row r="796" spans="2:7" ht="14.25" customHeight="1" x14ac:dyDescent="0.3">
      <c r="B796" s="478"/>
      <c r="C796" s="479"/>
      <c r="E796" s="480"/>
      <c r="G796" s="65"/>
    </row>
    <row r="797" spans="2:7" ht="14.25" customHeight="1" x14ac:dyDescent="0.3">
      <c r="B797" s="478"/>
      <c r="C797" s="479"/>
      <c r="E797" s="480"/>
      <c r="G797" s="65"/>
    </row>
    <row r="798" spans="2:7" ht="14.25" customHeight="1" x14ac:dyDescent="0.3">
      <c r="B798" s="478"/>
      <c r="C798" s="479"/>
      <c r="E798" s="480"/>
      <c r="G798" s="65"/>
    </row>
    <row r="799" spans="2:7" ht="14.25" customHeight="1" x14ac:dyDescent="0.3">
      <c r="B799" s="478"/>
      <c r="C799" s="479"/>
      <c r="E799" s="480"/>
      <c r="G799" s="65"/>
    </row>
    <row r="800" spans="2:7" ht="14.25" customHeight="1" x14ac:dyDescent="0.3">
      <c r="B800" s="478"/>
      <c r="C800" s="479"/>
      <c r="E800" s="480"/>
      <c r="G800" s="65"/>
    </row>
    <row r="801" spans="2:7" ht="14.25" customHeight="1" x14ac:dyDescent="0.3">
      <c r="B801" s="478"/>
      <c r="C801" s="479"/>
      <c r="E801" s="480"/>
      <c r="G801" s="65"/>
    </row>
    <row r="802" spans="2:7" ht="14.25" customHeight="1" x14ac:dyDescent="0.3">
      <c r="B802" s="478"/>
      <c r="C802" s="479"/>
      <c r="E802" s="480"/>
      <c r="G802" s="65"/>
    </row>
    <row r="803" spans="2:7" ht="14.25" customHeight="1" x14ac:dyDescent="0.3">
      <c r="B803" s="478"/>
      <c r="C803" s="479"/>
      <c r="E803" s="480"/>
      <c r="G803" s="65"/>
    </row>
    <row r="804" spans="2:7" ht="14.25" customHeight="1" x14ac:dyDescent="0.3">
      <c r="B804" s="478"/>
      <c r="C804" s="479"/>
      <c r="E804" s="480"/>
      <c r="G804" s="65"/>
    </row>
    <row r="805" spans="2:7" ht="14.25" customHeight="1" x14ac:dyDescent="0.3">
      <c r="B805" s="478"/>
      <c r="C805" s="479"/>
      <c r="E805" s="480"/>
      <c r="G805" s="65"/>
    </row>
    <row r="806" spans="2:7" ht="14.25" customHeight="1" x14ac:dyDescent="0.3">
      <c r="B806" s="478"/>
      <c r="C806" s="479"/>
      <c r="E806" s="480"/>
      <c r="G806" s="65"/>
    </row>
    <row r="807" spans="2:7" ht="14.25" customHeight="1" x14ac:dyDescent="0.3">
      <c r="B807" s="478"/>
      <c r="C807" s="479"/>
      <c r="E807" s="480"/>
      <c r="G807" s="65"/>
    </row>
    <row r="808" spans="2:7" ht="14.25" customHeight="1" x14ac:dyDescent="0.3">
      <c r="B808" s="478"/>
      <c r="C808" s="479"/>
      <c r="E808" s="480"/>
      <c r="G808" s="65"/>
    </row>
    <row r="809" spans="2:7" ht="14.25" customHeight="1" x14ac:dyDescent="0.3">
      <c r="B809" s="478"/>
      <c r="C809" s="479"/>
      <c r="E809" s="480"/>
      <c r="G809" s="65"/>
    </row>
    <row r="810" spans="2:7" ht="14.25" customHeight="1" x14ac:dyDescent="0.3">
      <c r="B810" s="478"/>
      <c r="C810" s="479"/>
      <c r="E810" s="480"/>
      <c r="G810" s="65"/>
    </row>
    <row r="811" spans="2:7" ht="14.25" customHeight="1" x14ac:dyDescent="0.3">
      <c r="B811" s="478"/>
      <c r="C811" s="479"/>
      <c r="E811" s="480"/>
      <c r="G811" s="65"/>
    </row>
    <row r="812" spans="2:7" ht="14.25" customHeight="1" x14ac:dyDescent="0.3">
      <c r="B812" s="478"/>
      <c r="C812" s="479"/>
      <c r="E812" s="480"/>
      <c r="G812" s="65"/>
    </row>
    <row r="813" spans="2:7" ht="14.25" customHeight="1" x14ac:dyDescent="0.3">
      <c r="B813" s="478"/>
      <c r="C813" s="479"/>
      <c r="E813" s="480"/>
      <c r="G813" s="65"/>
    </row>
    <row r="814" spans="2:7" ht="14.25" customHeight="1" x14ac:dyDescent="0.3">
      <c r="B814" s="478"/>
      <c r="C814" s="479"/>
      <c r="E814" s="480"/>
      <c r="G814" s="65"/>
    </row>
    <row r="815" spans="2:7" ht="14.25" customHeight="1" x14ac:dyDescent="0.3">
      <c r="B815" s="478"/>
      <c r="C815" s="479"/>
      <c r="E815" s="480"/>
      <c r="G815" s="65"/>
    </row>
    <row r="816" spans="2:7" ht="14.25" customHeight="1" x14ac:dyDescent="0.3">
      <c r="B816" s="478"/>
      <c r="C816" s="479"/>
      <c r="E816" s="480"/>
      <c r="G816" s="65"/>
    </row>
    <row r="817" spans="2:7" ht="14.25" customHeight="1" x14ac:dyDescent="0.3">
      <c r="B817" s="478"/>
      <c r="C817" s="479"/>
      <c r="E817" s="480"/>
      <c r="G817" s="65"/>
    </row>
    <row r="818" spans="2:7" ht="14.25" customHeight="1" x14ac:dyDescent="0.3">
      <c r="B818" s="478"/>
      <c r="C818" s="479"/>
      <c r="E818" s="480"/>
      <c r="G818" s="65"/>
    </row>
    <row r="819" spans="2:7" ht="14.25" customHeight="1" x14ac:dyDescent="0.3">
      <c r="B819" s="478"/>
      <c r="C819" s="479"/>
      <c r="E819" s="480"/>
      <c r="G819" s="65"/>
    </row>
    <row r="820" spans="2:7" ht="14.25" customHeight="1" x14ac:dyDescent="0.3">
      <c r="B820" s="478"/>
      <c r="C820" s="479"/>
      <c r="E820" s="480"/>
      <c r="G820" s="65"/>
    </row>
    <row r="821" spans="2:7" ht="14.25" customHeight="1" x14ac:dyDescent="0.3">
      <c r="B821" s="478"/>
      <c r="C821" s="479"/>
      <c r="E821" s="480"/>
      <c r="G821" s="65"/>
    </row>
    <row r="822" spans="2:7" ht="14.25" customHeight="1" x14ac:dyDescent="0.3">
      <c r="B822" s="478"/>
      <c r="C822" s="479"/>
      <c r="E822" s="480"/>
      <c r="G822" s="65"/>
    </row>
    <row r="823" spans="2:7" ht="14.25" customHeight="1" x14ac:dyDescent="0.3">
      <c r="B823" s="478"/>
      <c r="C823" s="479"/>
      <c r="E823" s="480"/>
      <c r="G823" s="65"/>
    </row>
    <row r="824" spans="2:7" ht="14.25" customHeight="1" x14ac:dyDescent="0.3">
      <c r="B824" s="478"/>
      <c r="C824" s="479"/>
      <c r="E824" s="480"/>
      <c r="G824" s="65"/>
    </row>
    <row r="825" spans="2:7" ht="14.25" customHeight="1" x14ac:dyDescent="0.3">
      <c r="B825" s="478"/>
      <c r="C825" s="479"/>
      <c r="E825" s="480"/>
      <c r="G825" s="65"/>
    </row>
    <row r="826" spans="2:7" ht="14.25" customHeight="1" x14ac:dyDescent="0.3">
      <c r="B826" s="478"/>
      <c r="C826" s="479"/>
      <c r="E826" s="480"/>
      <c r="G826" s="65"/>
    </row>
    <row r="827" spans="2:7" ht="14.25" customHeight="1" x14ac:dyDescent="0.3">
      <c r="B827" s="478"/>
      <c r="C827" s="479"/>
      <c r="E827" s="480"/>
      <c r="G827" s="65"/>
    </row>
    <row r="828" spans="2:7" ht="14.25" customHeight="1" x14ac:dyDescent="0.3">
      <c r="B828" s="478"/>
      <c r="C828" s="479"/>
      <c r="E828" s="480"/>
      <c r="G828" s="65"/>
    </row>
    <row r="829" spans="2:7" ht="14.25" customHeight="1" x14ac:dyDescent="0.3">
      <c r="B829" s="478"/>
      <c r="C829" s="479"/>
      <c r="E829" s="480"/>
      <c r="G829" s="65"/>
    </row>
    <row r="830" spans="2:7" ht="14.25" customHeight="1" x14ac:dyDescent="0.3">
      <c r="B830" s="478"/>
      <c r="C830" s="479"/>
      <c r="E830" s="480"/>
      <c r="G830" s="65"/>
    </row>
    <row r="831" spans="2:7" ht="14.25" customHeight="1" x14ac:dyDescent="0.3">
      <c r="B831" s="478"/>
      <c r="C831" s="479"/>
      <c r="E831" s="480"/>
      <c r="G831" s="65"/>
    </row>
    <row r="832" spans="2:7" ht="14.25" customHeight="1" x14ac:dyDescent="0.3">
      <c r="B832" s="478"/>
      <c r="C832" s="479"/>
      <c r="E832" s="480"/>
      <c r="G832" s="65"/>
    </row>
    <row r="833" spans="2:7" ht="14.25" customHeight="1" x14ac:dyDescent="0.3">
      <c r="B833" s="478"/>
      <c r="C833" s="479"/>
      <c r="E833" s="480"/>
      <c r="G833" s="65"/>
    </row>
    <row r="834" spans="2:7" ht="14.25" customHeight="1" x14ac:dyDescent="0.3">
      <c r="B834" s="478"/>
      <c r="C834" s="479"/>
      <c r="E834" s="480"/>
      <c r="G834" s="65"/>
    </row>
    <row r="835" spans="2:7" ht="14.25" customHeight="1" x14ac:dyDescent="0.3">
      <c r="B835" s="478"/>
      <c r="C835" s="479"/>
      <c r="E835" s="480"/>
      <c r="G835" s="65"/>
    </row>
    <row r="836" spans="2:7" ht="14.25" customHeight="1" x14ac:dyDescent="0.3">
      <c r="B836" s="478"/>
      <c r="C836" s="479"/>
      <c r="E836" s="480"/>
      <c r="G836" s="65"/>
    </row>
    <row r="837" spans="2:7" ht="14.25" customHeight="1" x14ac:dyDescent="0.3">
      <c r="B837" s="478"/>
      <c r="C837" s="479"/>
      <c r="E837" s="480"/>
      <c r="G837" s="65"/>
    </row>
    <row r="838" spans="2:7" ht="14.25" customHeight="1" x14ac:dyDescent="0.3">
      <c r="B838" s="478"/>
      <c r="C838" s="479"/>
      <c r="E838" s="480"/>
      <c r="G838" s="65"/>
    </row>
    <row r="839" spans="2:7" ht="14.25" customHeight="1" x14ac:dyDescent="0.3">
      <c r="B839" s="478"/>
      <c r="C839" s="479"/>
      <c r="E839" s="480"/>
      <c r="G839" s="65"/>
    </row>
    <row r="840" spans="2:7" ht="14.25" customHeight="1" x14ac:dyDescent="0.3">
      <c r="B840" s="478"/>
      <c r="C840" s="479"/>
      <c r="E840" s="480"/>
      <c r="G840" s="65"/>
    </row>
    <row r="841" spans="2:7" ht="14.25" customHeight="1" x14ac:dyDescent="0.3">
      <c r="B841" s="478"/>
      <c r="C841" s="479"/>
      <c r="E841" s="480"/>
      <c r="G841" s="65"/>
    </row>
    <row r="842" spans="2:7" ht="14.25" customHeight="1" x14ac:dyDescent="0.3">
      <c r="B842" s="478"/>
      <c r="C842" s="479"/>
      <c r="E842" s="480"/>
      <c r="G842" s="65"/>
    </row>
    <row r="843" spans="2:7" ht="14.25" customHeight="1" x14ac:dyDescent="0.3">
      <c r="B843" s="478"/>
      <c r="C843" s="479"/>
      <c r="E843" s="480"/>
      <c r="G843" s="65"/>
    </row>
    <row r="844" spans="2:7" ht="14.25" customHeight="1" x14ac:dyDescent="0.3">
      <c r="B844" s="478"/>
      <c r="C844" s="479"/>
      <c r="E844" s="480"/>
      <c r="G844" s="65"/>
    </row>
    <row r="845" spans="2:7" ht="14.25" customHeight="1" x14ac:dyDescent="0.3">
      <c r="B845" s="478"/>
      <c r="C845" s="479"/>
      <c r="E845" s="480"/>
      <c r="G845" s="65"/>
    </row>
    <row r="846" spans="2:7" ht="14.25" customHeight="1" x14ac:dyDescent="0.3">
      <c r="B846" s="478"/>
      <c r="C846" s="479"/>
      <c r="E846" s="480"/>
      <c r="G846" s="65"/>
    </row>
    <row r="847" spans="2:7" ht="14.25" customHeight="1" x14ac:dyDescent="0.3">
      <c r="B847" s="478"/>
      <c r="C847" s="479"/>
      <c r="E847" s="480"/>
      <c r="G847" s="65"/>
    </row>
    <row r="848" spans="2:7" ht="14.25" customHeight="1" x14ac:dyDescent="0.3">
      <c r="B848" s="478"/>
      <c r="C848" s="479"/>
      <c r="E848" s="480"/>
      <c r="G848" s="65"/>
    </row>
    <row r="849" spans="2:7" ht="14.25" customHeight="1" x14ac:dyDescent="0.3">
      <c r="B849" s="478"/>
      <c r="C849" s="479"/>
      <c r="E849" s="480"/>
      <c r="G849" s="65"/>
    </row>
    <row r="850" spans="2:7" ht="14.25" customHeight="1" x14ac:dyDescent="0.3">
      <c r="B850" s="478"/>
      <c r="C850" s="479"/>
      <c r="E850" s="480"/>
      <c r="G850" s="65"/>
    </row>
    <row r="851" spans="2:7" ht="14.25" customHeight="1" x14ac:dyDescent="0.3">
      <c r="B851" s="478"/>
      <c r="C851" s="479"/>
      <c r="E851" s="480"/>
      <c r="G851" s="65"/>
    </row>
    <row r="852" spans="2:7" ht="14.25" customHeight="1" x14ac:dyDescent="0.3">
      <c r="B852" s="478"/>
      <c r="C852" s="479"/>
      <c r="E852" s="480"/>
      <c r="G852" s="65"/>
    </row>
    <row r="853" spans="2:7" ht="14.25" customHeight="1" x14ac:dyDescent="0.3">
      <c r="B853" s="478"/>
      <c r="C853" s="479"/>
      <c r="E853" s="480"/>
      <c r="G853" s="65"/>
    </row>
    <row r="854" spans="2:7" ht="14.25" customHeight="1" x14ac:dyDescent="0.3">
      <c r="B854" s="478"/>
      <c r="C854" s="479"/>
      <c r="E854" s="480"/>
      <c r="G854" s="65"/>
    </row>
    <row r="855" spans="2:7" ht="14.25" customHeight="1" x14ac:dyDescent="0.3">
      <c r="B855" s="478"/>
      <c r="C855" s="479"/>
      <c r="E855" s="480"/>
      <c r="G855" s="65"/>
    </row>
    <row r="856" spans="2:7" ht="14.25" customHeight="1" x14ac:dyDescent="0.3">
      <c r="B856" s="478"/>
      <c r="C856" s="479"/>
      <c r="E856" s="480"/>
      <c r="G856" s="65"/>
    </row>
    <row r="857" spans="2:7" ht="14.25" customHeight="1" x14ac:dyDescent="0.3">
      <c r="B857" s="478"/>
      <c r="C857" s="479"/>
      <c r="E857" s="480"/>
      <c r="G857" s="65"/>
    </row>
    <row r="858" spans="2:7" ht="14.25" customHeight="1" x14ac:dyDescent="0.3">
      <c r="B858" s="478"/>
      <c r="C858" s="479"/>
      <c r="E858" s="480"/>
      <c r="G858" s="65"/>
    </row>
    <row r="859" spans="2:7" ht="14.25" customHeight="1" x14ac:dyDescent="0.3">
      <c r="B859" s="478"/>
      <c r="C859" s="479"/>
      <c r="E859" s="480"/>
      <c r="G859" s="65"/>
    </row>
    <row r="860" spans="2:7" ht="14.25" customHeight="1" x14ac:dyDescent="0.3">
      <c r="B860" s="478"/>
      <c r="C860" s="479"/>
      <c r="E860" s="480"/>
      <c r="G860" s="65"/>
    </row>
    <row r="861" spans="2:7" ht="14.25" customHeight="1" x14ac:dyDescent="0.3">
      <c r="B861" s="478"/>
      <c r="C861" s="479"/>
      <c r="E861" s="480"/>
      <c r="G861" s="65"/>
    </row>
    <row r="862" spans="2:7" ht="14.25" customHeight="1" x14ac:dyDescent="0.3">
      <c r="B862" s="478"/>
      <c r="C862" s="479"/>
      <c r="E862" s="480"/>
      <c r="G862" s="65"/>
    </row>
    <row r="863" spans="2:7" ht="14.25" customHeight="1" x14ac:dyDescent="0.3">
      <c r="B863" s="478"/>
      <c r="C863" s="479"/>
      <c r="E863" s="480"/>
      <c r="G863" s="65"/>
    </row>
    <row r="864" spans="2:7" ht="14.25" customHeight="1" x14ac:dyDescent="0.3">
      <c r="B864" s="478"/>
      <c r="C864" s="479"/>
      <c r="E864" s="480"/>
      <c r="G864" s="65"/>
    </row>
    <row r="865" spans="2:7" ht="14.25" customHeight="1" x14ac:dyDescent="0.3">
      <c r="B865" s="478"/>
      <c r="C865" s="479"/>
      <c r="E865" s="480"/>
      <c r="G865" s="65"/>
    </row>
    <row r="866" spans="2:7" ht="14.25" customHeight="1" x14ac:dyDescent="0.3">
      <c r="B866" s="478"/>
      <c r="C866" s="479"/>
      <c r="E866" s="480"/>
      <c r="G866" s="65"/>
    </row>
    <row r="867" spans="2:7" ht="14.25" customHeight="1" x14ac:dyDescent="0.3">
      <c r="B867" s="478"/>
      <c r="C867" s="479"/>
      <c r="E867" s="480"/>
      <c r="G867" s="65"/>
    </row>
    <row r="868" spans="2:7" ht="14.25" customHeight="1" x14ac:dyDescent="0.3">
      <c r="B868" s="478"/>
      <c r="C868" s="479"/>
      <c r="E868" s="480"/>
      <c r="G868" s="65"/>
    </row>
    <row r="869" spans="2:7" ht="14.25" customHeight="1" x14ac:dyDescent="0.3">
      <c r="B869" s="478"/>
      <c r="C869" s="479"/>
      <c r="E869" s="480"/>
      <c r="G869" s="65"/>
    </row>
    <row r="870" spans="2:7" ht="14.25" customHeight="1" x14ac:dyDescent="0.3">
      <c r="B870" s="478"/>
      <c r="C870" s="479"/>
      <c r="E870" s="480"/>
      <c r="G870" s="65"/>
    </row>
    <row r="871" spans="2:7" ht="14.25" customHeight="1" x14ac:dyDescent="0.3">
      <c r="B871" s="478"/>
      <c r="C871" s="479"/>
      <c r="E871" s="480"/>
      <c r="G871" s="65"/>
    </row>
    <row r="872" spans="2:7" ht="14.25" customHeight="1" x14ac:dyDescent="0.3">
      <c r="B872" s="478"/>
      <c r="C872" s="479"/>
      <c r="E872" s="480"/>
      <c r="G872" s="65"/>
    </row>
    <row r="873" spans="2:7" ht="14.25" customHeight="1" x14ac:dyDescent="0.3">
      <c r="B873" s="478"/>
      <c r="C873" s="479"/>
      <c r="E873" s="480"/>
      <c r="G873" s="65"/>
    </row>
    <row r="874" spans="2:7" ht="14.25" customHeight="1" x14ac:dyDescent="0.3">
      <c r="B874" s="478"/>
      <c r="C874" s="479"/>
      <c r="E874" s="480"/>
      <c r="G874" s="65"/>
    </row>
    <row r="875" spans="2:7" ht="14.25" customHeight="1" x14ac:dyDescent="0.3">
      <c r="B875" s="478"/>
      <c r="C875" s="479"/>
      <c r="E875" s="480"/>
      <c r="G875" s="65"/>
    </row>
    <row r="876" spans="2:7" ht="14.25" customHeight="1" x14ac:dyDescent="0.3">
      <c r="B876" s="478"/>
      <c r="C876" s="479"/>
      <c r="E876" s="480"/>
      <c r="G876" s="65"/>
    </row>
    <row r="877" spans="2:7" ht="14.25" customHeight="1" x14ac:dyDescent="0.3">
      <c r="B877" s="478"/>
      <c r="C877" s="479"/>
      <c r="E877" s="480"/>
      <c r="G877" s="65"/>
    </row>
    <row r="878" spans="2:7" ht="14.25" customHeight="1" x14ac:dyDescent="0.3">
      <c r="B878" s="478"/>
      <c r="C878" s="479"/>
      <c r="E878" s="480"/>
      <c r="G878" s="65"/>
    </row>
    <row r="879" spans="2:7" ht="14.25" customHeight="1" x14ac:dyDescent="0.3">
      <c r="B879" s="478"/>
      <c r="C879" s="479"/>
      <c r="E879" s="480"/>
      <c r="G879" s="65"/>
    </row>
    <row r="880" spans="2:7" ht="14.25" customHeight="1" x14ac:dyDescent="0.3">
      <c r="B880" s="478"/>
      <c r="C880" s="479"/>
      <c r="E880" s="480"/>
      <c r="G880" s="65"/>
    </row>
    <row r="881" spans="2:7" ht="14.25" customHeight="1" x14ac:dyDescent="0.3">
      <c r="B881" s="478"/>
      <c r="C881" s="479"/>
      <c r="E881" s="480"/>
      <c r="G881" s="65"/>
    </row>
    <row r="882" spans="2:7" ht="14.25" customHeight="1" x14ac:dyDescent="0.3">
      <c r="B882" s="478"/>
      <c r="C882" s="479"/>
      <c r="E882" s="480"/>
      <c r="G882" s="65"/>
    </row>
    <row r="883" spans="2:7" ht="14.25" customHeight="1" x14ac:dyDescent="0.3">
      <c r="B883" s="478"/>
      <c r="C883" s="479"/>
      <c r="E883" s="480"/>
      <c r="G883" s="65"/>
    </row>
    <row r="884" spans="2:7" ht="14.25" customHeight="1" x14ac:dyDescent="0.3">
      <c r="B884" s="478"/>
      <c r="C884" s="479"/>
      <c r="E884" s="480"/>
      <c r="G884" s="65"/>
    </row>
    <row r="885" spans="2:7" ht="14.25" customHeight="1" x14ac:dyDescent="0.3">
      <c r="B885" s="478"/>
      <c r="C885" s="479"/>
      <c r="E885" s="480"/>
      <c r="G885" s="65"/>
    </row>
    <row r="886" spans="2:7" ht="14.25" customHeight="1" x14ac:dyDescent="0.3">
      <c r="B886" s="478"/>
      <c r="C886" s="479"/>
      <c r="E886" s="480"/>
      <c r="G886" s="65"/>
    </row>
    <row r="887" spans="2:7" ht="14.25" customHeight="1" x14ac:dyDescent="0.3">
      <c r="B887" s="478"/>
      <c r="C887" s="479"/>
      <c r="E887" s="480"/>
      <c r="G887" s="65"/>
    </row>
    <row r="888" spans="2:7" ht="14.25" customHeight="1" x14ac:dyDescent="0.3">
      <c r="B888" s="478"/>
      <c r="C888" s="479"/>
      <c r="E888" s="480"/>
      <c r="G888" s="65"/>
    </row>
    <row r="889" spans="2:7" ht="14.25" customHeight="1" x14ac:dyDescent="0.3">
      <c r="B889" s="478"/>
      <c r="C889" s="479"/>
      <c r="E889" s="480"/>
      <c r="G889" s="65"/>
    </row>
    <row r="890" spans="2:7" ht="14.25" customHeight="1" x14ac:dyDescent="0.3">
      <c r="B890" s="478"/>
      <c r="C890" s="479"/>
      <c r="E890" s="480"/>
      <c r="G890" s="65"/>
    </row>
    <row r="891" spans="2:7" ht="14.25" customHeight="1" x14ac:dyDescent="0.3">
      <c r="B891" s="478"/>
      <c r="C891" s="479"/>
      <c r="E891" s="480"/>
      <c r="G891" s="65"/>
    </row>
    <row r="892" spans="2:7" ht="14.25" customHeight="1" x14ac:dyDescent="0.3">
      <c r="B892" s="478"/>
      <c r="C892" s="479"/>
      <c r="E892" s="480"/>
      <c r="G892" s="65"/>
    </row>
    <row r="893" spans="2:7" ht="14.25" customHeight="1" x14ac:dyDescent="0.3">
      <c r="B893" s="478"/>
      <c r="C893" s="479"/>
      <c r="E893" s="480"/>
      <c r="G893" s="65"/>
    </row>
    <row r="894" spans="2:7" ht="14.25" customHeight="1" x14ac:dyDescent="0.3">
      <c r="B894" s="478"/>
      <c r="C894" s="479"/>
      <c r="E894" s="480"/>
      <c r="G894" s="65"/>
    </row>
    <row r="895" spans="2:7" ht="14.25" customHeight="1" x14ac:dyDescent="0.3">
      <c r="B895" s="478"/>
      <c r="C895" s="479"/>
      <c r="E895" s="480"/>
      <c r="G895" s="65"/>
    </row>
    <row r="896" spans="2:7" ht="14.25" customHeight="1" x14ac:dyDescent="0.3">
      <c r="B896" s="478"/>
      <c r="C896" s="479"/>
      <c r="E896" s="480"/>
      <c r="G896" s="65"/>
    </row>
    <row r="897" spans="2:7" ht="14.25" customHeight="1" x14ac:dyDescent="0.3">
      <c r="B897" s="478"/>
      <c r="C897" s="479"/>
      <c r="E897" s="480"/>
      <c r="G897" s="65"/>
    </row>
    <row r="898" spans="2:7" ht="14.25" customHeight="1" x14ac:dyDescent="0.3">
      <c r="B898" s="478"/>
      <c r="C898" s="479"/>
      <c r="E898" s="480"/>
      <c r="G898" s="65"/>
    </row>
    <row r="899" spans="2:7" ht="14.25" customHeight="1" x14ac:dyDescent="0.3">
      <c r="B899" s="478"/>
      <c r="C899" s="479"/>
      <c r="E899" s="480"/>
      <c r="G899" s="65"/>
    </row>
    <row r="900" spans="2:7" ht="14.25" customHeight="1" x14ac:dyDescent="0.3">
      <c r="B900" s="478"/>
      <c r="C900" s="479"/>
      <c r="E900" s="480"/>
      <c r="G900" s="65"/>
    </row>
    <row r="901" spans="2:7" ht="14.25" customHeight="1" x14ac:dyDescent="0.3">
      <c r="B901" s="478"/>
      <c r="C901" s="479"/>
      <c r="E901" s="480"/>
      <c r="G901" s="65"/>
    </row>
    <row r="902" spans="2:7" ht="14.25" customHeight="1" x14ac:dyDescent="0.3">
      <c r="B902" s="478"/>
      <c r="C902" s="479"/>
      <c r="E902" s="480"/>
      <c r="G902" s="65"/>
    </row>
    <row r="903" spans="2:7" ht="14.25" customHeight="1" x14ac:dyDescent="0.3">
      <c r="B903" s="478"/>
      <c r="C903" s="479"/>
      <c r="E903" s="480"/>
      <c r="G903" s="65"/>
    </row>
    <row r="904" spans="2:7" ht="14.25" customHeight="1" x14ac:dyDescent="0.3">
      <c r="B904" s="478"/>
      <c r="C904" s="479"/>
      <c r="E904" s="480"/>
      <c r="G904" s="65"/>
    </row>
    <row r="905" spans="2:7" ht="14.25" customHeight="1" x14ac:dyDescent="0.3">
      <c r="B905" s="478"/>
      <c r="C905" s="479"/>
      <c r="E905" s="480"/>
      <c r="G905" s="65"/>
    </row>
    <row r="906" spans="2:7" ht="14.25" customHeight="1" x14ac:dyDescent="0.3">
      <c r="B906" s="478"/>
      <c r="C906" s="479"/>
      <c r="E906" s="480"/>
      <c r="G906" s="65"/>
    </row>
    <row r="907" spans="2:7" ht="14.25" customHeight="1" x14ac:dyDescent="0.3">
      <c r="B907" s="478"/>
      <c r="C907" s="479"/>
      <c r="E907" s="480"/>
      <c r="G907" s="65"/>
    </row>
    <row r="908" spans="2:7" ht="14.25" customHeight="1" x14ac:dyDescent="0.3">
      <c r="B908" s="478"/>
      <c r="C908" s="479"/>
      <c r="E908" s="480"/>
      <c r="G908" s="65"/>
    </row>
    <row r="909" spans="2:7" ht="14.25" customHeight="1" x14ac:dyDescent="0.3">
      <c r="B909" s="478"/>
      <c r="C909" s="479"/>
      <c r="E909" s="480"/>
      <c r="G909" s="65"/>
    </row>
    <row r="910" spans="2:7" ht="14.25" customHeight="1" x14ac:dyDescent="0.3">
      <c r="B910" s="478"/>
      <c r="C910" s="479"/>
      <c r="E910" s="480"/>
      <c r="G910" s="65"/>
    </row>
    <row r="911" spans="2:7" ht="14.25" customHeight="1" x14ac:dyDescent="0.3">
      <c r="B911" s="478"/>
      <c r="C911" s="479"/>
      <c r="E911" s="480"/>
      <c r="G911" s="65"/>
    </row>
    <row r="912" spans="2:7" ht="14.25" customHeight="1" x14ac:dyDescent="0.3">
      <c r="B912" s="478"/>
      <c r="C912" s="479"/>
      <c r="E912" s="480"/>
      <c r="G912" s="65"/>
    </row>
    <row r="913" spans="2:7" ht="14.25" customHeight="1" x14ac:dyDescent="0.3">
      <c r="B913" s="478"/>
      <c r="C913" s="479"/>
      <c r="E913" s="480"/>
      <c r="G913" s="65"/>
    </row>
    <row r="914" spans="2:7" ht="14.25" customHeight="1" x14ac:dyDescent="0.3">
      <c r="B914" s="478"/>
      <c r="C914" s="479"/>
      <c r="E914" s="480"/>
      <c r="G914" s="65"/>
    </row>
    <row r="915" spans="2:7" ht="14.25" customHeight="1" x14ac:dyDescent="0.3">
      <c r="B915" s="478"/>
      <c r="C915" s="479"/>
      <c r="E915" s="480"/>
      <c r="G915" s="65"/>
    </row>
    <row r="916" spans="2:7" ht="14.25" customHeight="1" x14ac:dyDescent="0.3">
      <c r="B916" s="478"/>
      <c r="C916" s="479"/>
      <c r="E916" s="480"/>
      <c r="G916" s="65"/>
    </row>
    <row r="917" spans="2:7" ht="14.25" customHeight="1" x14ac:dyDescent="0.3">
      <c r="B917" s="478"/>
      <c r="C917" s="479"/>
      <c r="E917" s="480"/>
      <c r="G917" s="65"/>
    </row>
    <row r="918" spans="2:7" ht="14.25" customHeight="1" x14ac:dyDescent="0.3">
      <c r="B918" s="478"/>
      <c r="C918" s="479"/>
      <c r="E918" s="480"/>
      <c r="G918" s="65"/>
    </row>
    <row r="919" spans="2:7" ht="14.25" customHeight="1" x14ac:dyDescent="0.3">
      <c r="B919" s="478"/>
      <c r="C919" s="479"/>
      <c r="E919" s="480"/>
      <c r="G919" s="65"/>
    </row>
    <row r="920" spans="2:7" ht="14.25" customHeight="1" x14ac:dyDescent="0.3">
      <c r="B920" s="478"/>
      <c r="C920" s="479"/>
      <c r="E920" s="480"/>
      <c r="G920" s="65"/>
    </row>
    <row r="921" spans="2:7" ht="14.25" customHeight="1" x14ac:dyDescent="0.3">
      <c r="B921" s="478"/>
      <c r="C921" s="479"/>
      <c r="E921" s="480"/>
      <c r="G921" s="65"/>
    </row>
    <row r="922" spans="2:7" ht="14.25" customHeight="1" x14ac:dyDescent="0.3">
      <c r="B922" s="478"/>
      <c r="C922" s="479"/>
      <c r="E922" s="480"/>
      <c r="G922" s="65"/>
    </row>
    <row r="923" spans="2:7" ht="14.25" customHeight="1" x14ac:dyDescent="0.3">
      <c r="B923" s="478"/>
      <c r="C923" s="479"/>
      <c r="E923" s="480"/>
      <c r="G923" s="65"/>
    </row>
    <row r="924" spans="2:7" ht="14.25" customHeight="1" x14ac:dyDescent="0.3">
      <c r="B924" s="478"/>
      <c r="C924" s="479"/>
      <c r="E924" s="480"/>
      <c r="G924" s="65"/>
    </row>
    <row r="925" spans="2:7" ht="14.25" customHeight="1" x14ac:dyDescent="0.3">
      <c r="B925" s="478"/>
      <c r="C925" s="479"/>
      <c r="E925" s="480"/>
      <c r="G925" s="65"/>
    </row>
    <row r="926" spans="2:7" ht="14.25" customHeight="1" x14ac:dyDescent="0.3">
      <c r="B926" s="478"/>
      <c r="C926" s="479"/>
      <c r="E926" s="480"/>
      <c r="G926" s="65"/>
    </row>
    <row r="927" spans="2:7" ht="14.25" customHeight="1" x14ac:dyDescent="0.3">
      <c r="B927" s="478"/>
      <c r="C927" s="479"/>
      <c r="E927" s="480"/>
      <c r="G927" s="65"/>
    </row>
    <row r="928" spans="2:7" ht="14.25" customHeight="1" x14ac:dyDescent="0.3">
      <c r="B928" s="478"/>
      <c r="C928" s="479"/>
      <c r="E928" s="480"/>
      <c r="G928" s="65"/>
    </row>
    <row r="929" spans="2:7" ht="14.25" customHeight="1" x14ac:dyDescent="0.3">
      <c r="B929" s="478"/>
      <c r="C929" s="479"/>
      <c r="E929" s="480"/>
      <c r="G929" s="65"/>
    </row>
    <row r="930" spans="2:7" ht="14.25" customHeight="1" x14ac:dyDescent="0.3">
      <c r="B930" s="478"/>
      <c r="C930" s="479"/>
      <c r="E930" s="480"/>
      <c r="G930" s="65"/>
    </row>
    <row r="931" spans="2:7" ht="14.25" customHeight="1" x14ac:dyDescent="0.3">
      <c r="B931" s="478"/>
      <c r="C931" s="479"/>
      <c r="E931" s="480"/>
      <c r="G931" s="65"/>
    </row>
    <row r="932" spans="2:7" ht="14.25" customHeight="1" x14ac:dyDescent="0.3">
      <c r="B932" s="478"/>
      <c r="C932" s="479"/>
      <c r="E932" s="480"/>
      <c r="G932" s="65"/>
    </row>
    <row r="933" spans="2:7" ht="14.25" customHeight="1" x14ac:dyDescent="0.3">
      <c r="B933" s="478"/>
      <c r="C933" s="479"/>
      <c r="E933" s="480"/>
      <c r="G933" s="65"/>
    </row>
    <row r="934" spans="2:7" ht="14.25" customHeight="1" x14ac:dyDescent="0.3">
      <c r="B934" s="478"/>
      <c r="C934" s="479"/>
      <c r="E934" s="480"/>
      <c r="G934" s="65"/>
    </row>
    <row r="935" spans="2:7" ht="14.25" customHeight="1" x14ac:dyDescent="0.3">
      <c r="B935" s="478"/>
      <c r="C935" s="479"/>
      <c r="E935" s="480"/>
      <c r="G935" s="65"/>
    </row>
    <row r="936" spans="2:7" ht="14.25" customHeight="1" x14ac:dyDescent="0.3">
      <c r="B936" s="478"/>
      <c r="C936" s="479"/>
      <c r="E936" s="480"/>
      <c r="G936" s="65"/>
    </row>
    <row r="937" spans="2:7" ht="14.25" customHeight="1" x14ac:dyDescent="0.3">
      <c r="B937" s="478"/>
      <c r="C937" s="479"/>
      <c r="E937" s="480"/>
      <c r="G937" s="65"/>
    </row>
    <row r="938" spans="2:7" ht="14.25" customHeight="1" x14ac:dyDescent="0.3">
      <c r="B938" s="478"/>
      <c r="C938" s="479"/>
      <c r="E938" s="480"/>
      <c r="G938" s="65"/>
    </row>
    <row r="939" spans="2:7" ht="14.25" customHeight="1" x14ac:dyDescent="0.3">
      <c r="B939" s="478"/>
      <c r="C939" s="479"/>
      <c r="E939" s="480"/>
      <c r="G939" s="65"/>
    </row>
    <row r="940" spans="2:7" ht="14.25" customHeight="1" x14ac:dyDescent="0.3">
      <c r="B940" s="478"/>
      <c r="C940" s="479"/>
      <c r="E940" s="480"/>
      <c r="G940" s="65"/>
    </row>
    <row r="941" spans="2:7" ht="14.25" customHeight="1" x14ac:dyDescent="0.3">
      <c r="B941" s="478"/>
      <c r="C941" s="479"/>
      <c r="E941" s="480"/>
      <c r="G941" s="65"/>
    </row>
    <row r="942" spans="2:7" ht="14.25" customHeight="1" x14ac:dyDescent="0.3">
      <c r="B942" s="478"/>
      <c r="C942" s="479"/>
      <c r="E942" s="480"/>
      <c r="G942" s="65"/>
    </row>
    <row r="943" spans="2:7" ht="14.25" customHeight="1" x14ac:dyDescent="0.3">
      <c r="B943" s="478"/>
      <c r="C943" s="479"/>
      <c r="E943" s="480"/>
      <c r="G943" s="65"/>
    </row>
    <row r="944" spans="2:7" ht="14.25" customHeight="1" x14ac:dyDescent="0.3">
      <c r="B944" s="478"/>
      <c r="C944" s="479"/>
      <c r="E944" s="480"/>
      <c r="G944" s="65"/>
    </row>
    <row r="945" spans="2:7" ht="14.25" customHeight="1" x14ac:dyDescent="0.3">
      <c r="B945" s="478"/>
      <c r="C945" s="479"/>
      <c r="E945" s="480"/>
      <c r="G945" s="65"/>
    </row>
    <row r="946" spans="2:7" ht="14.25" customHeight="1" x14ac:dyDescent="0.3">
      <c r="B946" s="478"/>
      <c r="C946" s="479"/>
      <c r="E946" s="480"/>
      <c r="G946" s="65"/>
    </row>
    <row r="947" spans="2:7" ht="14.25" customHeight="1" x14ac:dyDescent="0.3">
      <c r="B947" s="478"/>
      <c r="C947" s="479"/>
      <c r="E947" s="480"/>
      <c r="G947" s="65"/>
    </row>
    <row r="948" spans="2:7" ht="14.25" customHeight="1" x14ac:dyDescent="0.3">
      <c r="B948" s="478"/>
      <c r="C948" s="479"/>
      <c r="E948" s="480"/>
      <c r="G948" s="65"/>
    </row>
    <row r="949" spans="2:7" ht="14.25" customHeight="1" x14ac:dyDescent="0.3">
      <c r="B949" s="478"/>
      <c r="C949" s="479"/>
      <c r="E949" s="480"/>
      <c r="G949" s="65"/>
    </row>
    <row r="950" spans="2:7" ht="14.25" customHeight="1" x14ac:dyDescent="0.3">
      <c r="B950" s="478"/>
      <c r="C950" s="479"/>
      <c r="E950" s="480"/>
      <c r="G950" s="65"/>
    </row>
    <row r="951" spans="2:7" ht="14.25" customHeight="1" x14ac:dyDescent="0.3">
      <c r="B951" s="478"/>
      <c r="C951" s="479"/>
      <c r="E951" s="480"/>
      <c r="G951" s="65"/>
    </row>
    <row r="952" spans="2:7" ht="14.25" customHeight="1" x14ac:dyDescent="0.3">
      <c r="B952" s="478"/>
      <c r="C952" s="479"/>
      <c r="E952" s="480"/>
      <c r="G952" s="65"/>
    </row>
    <row r="953" spans="2:7" ht="14.25" customHeight="1" x14ac:dyDescent="0.3">
      <c r="B953" s="478"/>
      <c r="C953" s="479"/>
      <c r="E953" s="480"/>
      <c r="G953" s="65"/>
    </row>
    <row r="954" spans="2:7" ht="14.25" customHeight="1" x14ac:dyDescent="0.3">
      <c r="B954" s="478"/>
      <c r="C954" s="479"/>
      <c r="E954" s="480"/>
      <c r="G954" s="65"/>
    </row>
    <row r="955" spans="2:7" ht="14.25" customHeight="1" x14ac:dyDescent="0.3">
      <c r="B955" s="478"/>
      <c r="C955" s="479"/>
      <c r="E955" s="480"/>
      <c r="G955" s="65"/>
    </row>
    <row r="956" spans="2:7" ht="14.25" customHeight="1" x14ac:dyDescent="0.3">
      <c r="B956" s="478"/>
      <c r="C956" s="479"/>
      <c r="E956" s="480"/>
      <c r="G956" s="65"/>
    </row>
    <row r="957" spans="2:7" ht="14.25" customHeight="1" x14ac:dyDescent="0.3">
      <c r="B957" s="478"/>
      <c r="C957" s="479"/>
      <c r="E957" s="480"/>
      <c r="G957" s="65"/>
    </row>
    <row r="958" spans="2:7" ht="14.25" customHeight="1" x14ac:dyDescent="0.3">
      <c r="B958" s="478"/>
      <c r="C958" s="479"/>
      <c r="E958" s="480"/>
      <c r="G958" s="65"/>
    </row>
    <row r="959" spans="2:7" ht="14.25" customHeight="1" x14ac:dyDescent="0.3">
      <c r="B959" s="478"/>
      <c r="C959" s="479"/>
      <c r="E959" s="480"/>
      <c r="G959" s="65"/>
    </row>
    <row r="960" spans="2:7" ht="14.25" customHeight="1" x14ac:dyDescent="0.3">
      <c r="B960" s="478"/>
      <c r="C960" s="479"/>
      <c r="E960" s="480"/>
      <c r="G960" s="65"/>
    </row>
    <row r="961" spans="2:7" ht="14.25" customHeight="1" x14ac:dyDescent="0.3">
      <c r="B961" s="478"/>
      <c r="C961" s="479"/>
      <c r="E961" s="480"/>
      <c r="G961" s="65"/>
    </row>
    <row r="962" spans="2:7" ht="14.25" customHeight="1" x14ac:dyDescent="0.3">
      <c r="B962" s="478"/>
      <c r="C962" s="479"/>
      <c r="E962" s="480"/>
      <c r="G962" s="65"/>
    </row>
    <row r="963" spans="2:7" ht="14.25" customHeight="1" x14ac:dyDescent="0.3">
      <c r="B963" s="478"/>
      <c r="C963" s="479"/>
      <c r="E963" s="480"/>
      <c r="G963" s="65"/>
    </row>
    <row r="964" spans="2:7" ht="14.25" customHeight="1" x14ac:dyDescent="0.3">
      <c r="B964" s="478"/>
      <c r="C964" s="479"/>
      <c r="E964" s="480"/>
      <c r="G964" s="65"/>
    </row>
    <row r="965" spans="2:7" ht="14.25" customHeight="1" x14ac:dyDescent="0.3">
      <c r="B965" s="478"/>
      <c r="C965" s="479"/>
      <c r="E965" s="480"/>
      <c r="G965" s="65"/>
    </row>
    <row r="966" spans="2:7" ht="14.25" customHeight="1" x14ac:dyDescent="0.3">
      <c r="B966" s="478"/>
      <c r="C966" s="479"/>
      <c r="E966" s="480"/>
      <c r="G966" s="65"/>
    </row>
    <row r="967" spans="2:7" ht="14.25" customHeight="1" x14ac:dyDescent="0.3">
      <c r="B967" s="478"/>
      <c r="C967" s="479"/>
      <c r="E967" s="480"/>
      <c r="G967" s="65"/>
    </row>
    <row r="968" spans="2:7" ht="14.25" customHeight="1" x14ac:dyDescent="0.3">
      <c r="B968" s="478"/>
      <c r="C968" s="479"/>
      <c r="E968" s="480"/>
      <c r="G968" s="65"/>
    </row>
    <row r="969" spans="2:7" ht="14.25" customHeight="1" x14ac:dyDescent="0.3">
      <c r="B969" s="478"/>
      <c r="C969" s="479"/>
      <c r="E969" s="480"/>
      <c r="G969" s="65"/>
    </row>
    <row r="970" spans="2:7" ht="14.25" customHeight="1" x14ac:dyDescent="0.3">
      <c r="B970" s="478"/>
      <c r="C970" s="479"/>
      <c r="E970" s="480"/>
      <c r="G970" s="65"/>
    </row>
    <row r="971" spans="2:7" ht="14.25" customHeight="1" x14ac:dyDescent="0.3">
      <c r="B971" s="478"/>
      <c r="C971" s="479"/>
      <c r="E971" s="480"/>
      <c r="G971" s="65"/>
    </row>
    <row r="972" spans="2:7" ht="14.25" customHeight="1" x14ac:dyDescent="0.3">
      <c r="B972" s="478"/>
      <c r="C972" s="479"/>
      <c r="E972" s="480"/>
      <c r="G972" s="65"/>
    </row>
    <row r="973" spans="2:7" ht="14.25" customHeight="1" x14ac:dyDescent="0.3">
      <c r="B973" s="478"/>
      <c r="C973" s="479"/>
      <c r="E973" s="480"/>
      <c r="G973" s="65"/>
    </row>
    <row r="974" spans="2:7" ht="14.25" customHeight="1" x14ac:dyDescent="0.3">
      <c r="B974" s="478"/>
      <c r="C974" s="479"/>
      <c r="E974" s="480"/>
      <c r="G974" s="65"/>
    </row>
    <row r="975" spans="2:7" ht="14.25" customHeight="1" x14ac:dyDescent="0.3">
      <c r="B975" s="478"/>
      <c r="C975" s="479"/>
      <c r="E975" s="480"/>
      <c r="G975" s="65"/>
    </row>
    <row r="976" spans="2:7" ht="14.25" customHeight="1" x14ac:dyDescent="0.3">
      <c r="B976" s="478"/>
      <c r="C976" s="479"/>
      <c r="E976" s="480"/>
      <c r="G976" s="65"/>
    </row>
    <row r="977" spans="2:7" ht="14.25" customHeight="1" x14ac:dyDescent="0.3">
      <c r="B977" s="478"/>
      <c r="C977" s="479"/>
      <c r="E977" s="480"/>
      <c r="G977" s="65"/>
    </row>
    <row r="978" spans="2:7" ht="14.25" customHeight="1" x14ac:dyDescent="0.3">
      <c r="B978" s="478"/>
      <c r="C978" s="479"/>
      <c r="E978" s="480"/>
      <c r="G978" s="65"/>
    </row>
    <row r="979" spans="2:7" ht="14.25" customHeight="1" x14ac:dyDescent="0.3">
      <c r="B979" s="478"/>
      <c r="C979" s="479"/>
      <c r="E979" s="480"/>
      <c r="G979" s="65"/>
    </row>
    <row r="980" spans="2:7" ht="14.25" customHeight="1" x14ac:dyDescent="0.3">
      <c r="B980" s="478"/>
      <c r="C980" s="479"/>
      <c r="E980" s="480"/>
      <c r="G980" s="65"/>
    </row>
    <row r="981" spans="2:7" ht="14.25" customHeight="1" x14ac:dyDescent="0.3">
      <c r="B981" s="478"/>
      <c r="C981" s="479"/>
      <c r="E981" s="480"/>
      <c r="G981" s="65"/>
    </row>
    <row r="982" spans="2:7" ht="14.25" customHeight="1" x14ac:dyDescent="0.3">
      <c r="B982" s="478"/>
      <c r="C982" s="479"/>
      <c r="E982" s="480"/>
      <c r="G982" s="65"/>
    </row>
    <row r="983" spans="2:7" ht="14.25" customHeight="1" x14ac:dyDescent="0.3">
      <c r="B983" s="478"/>
      <c r="C983" s="479"/>
      <c r="E983" s="480"/>
      <c r="G983" s="65"/>
    </row>
    <row r="984" spans="2:7" ht="14.25" customHeight="1" x14ac:dyDescent="0.3">
      <c r="B984" s="478"/>
      <c r="C984" s="479"/>
      <c r="E984" s="480"/>
      <c r="G984" s="65"/>
    </row>
    <row r="985" spans="2:7" ht="14.25" customHeight="1" x14ac:dyDescent="0.3">
      <c r="B985" s="478"/>
      <c r="C985" s="479"/>
      <c r="E985" s="480"/>
      <c r="G985" s="65"/>
    </row>
    <row r="986" spans="2:7" ht="14.25" customHeight="1" x14ac:dyDescent="0.3">
      <c r="B986" s="478"/>
      <c r="C986" s="479"/>
      <c r="E986" s="480"/>
      <c r="G986" s="65"/>
    </row>
    <row r="987" spans="2:7" ht="14.25" customHeight="1" x14ac:dyDescent="0.3">
      <c r="B987" s="478"/>
      <c r="C987" s="479"/>
      <c r="E987" s="480"/>
      <c r="G987" s="65"/>
    </row>
    <row r="988" spans="2:7" ht="14.25" customHeight="1" x14ac:dyDescent="0.3">
      <c r="B988" s="478"/>
      <c r="C988" s="479"/>
      <c r="E988" s="480"/>
      <c r="G988" s="65"/>
    </row>
    <row r="989" spans="2:7" ht="14.25" customHeight="1" x14ac:dyDescent="0.3">
      <c r="B989" s="478"/>
      <c r="C989" s="479"/>
      <c r="E989" s="480"/>
      <c r="G989" s="65"/>
    </row>
    <row r="990" spans="2:7" ht="14.25" customHeight="1" x14ac:dyDescent="0.3">
      <c r="B990" s="478"/>
      <c r="C990" s="479"/>
      <c r="E990" s="480"/>
      <c r="G990" s="65"/>
    </row>
    <row r="991" spans="2:7" ht="14.25" customHeight="1" x14ac:dyDescent="0.3">
      <c r="B991" s="478"/>
      <c r="C991" s="479"/>
      <c r="E991" s="480"/>
      <c r="G991" s="65"/>
    </row>
    <row r="992" spans="2:7" ht="14.25" customHeight="1" x14ac:dyDescent="0.3">
      <c r="B992" s="478"/>
      <c r="C992" s="479"/>
      <c r="E992" s="480"/>
      <c r="G992" s="65"/>
    </row>
    <row r="993" spans="2:7" ht="14.25" customHeight="1" x14ac:dyDescent="0.3">
      <c r="B993" s="478"/>
      <c r="C993" s="479"/>
      <c r="E993" s="480"/>
      <c r="G993" s="65"/>
    </row>
    <row r="994" spans="2:7" ht="14.25" customHeight="1" x14ac:dyDescent="0.3">
      <c r="B994" s="478"/>
      <c r="C994" s="479"/>
      <c r="E994" s="480"/>
      <c r="G994" s="65"/>
    </row>
    <row r="995" spans="2:7" ht="14.25" customHeight="1" x14ac:dyDescent="0.3">
      <c r="B995" s="478"/>
      <c r="C995" s="479"/>
      <c r="E995" s="480"/>
      <c r="G995" s="65"/>
    </row>
    <row r="996" spans="2:7" ht="14.25" customHeight="1" x14ac:dyDescent="0.3">
      <c r="B996" s="478"/>
      <c r="C996" s="479"/>
      <c r="E996" s="480"/>
      <c r="G996" s="65"/>
    </row>
    <row r="997" spans="2:7" ht="14.25" customHeight="1" x14ac:dyDescent="0.3">
      <c r="B997" s="478"/>
      <c r="C997" s="479"/>
      <c r="E997" s="480"/>
      <c r="G997" s="65"/>
    </row>
    <row r="998" spans="2:7" ht="14.25" customHeight="1" x14ac:dyDescent="0.3">
      <c r="B998" s="478"/>
      <c r="C998" s="479"/>
      <c r="E998" s="480"/>
      <c r="G998" s="65"/>
    </row>
    <row r="999" spans="2:7" ht="14.25" customHeight="1" x14ac:dyDescent="0.3">
      <c r="B999" s="478"/>
      <c r="C999" s="479"/>
      <c r="E999" s="480"/>
      <c r="G999" s="65"/>
    </row>
    <row r="1000" spans="2:7" ht="14.25" customHeight="1" x14ac:dyDescent="0.3">
      <c r="B1000" s="478"/>
      <c r="C1000" s="479"/>
      <c r="E1000" s="480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84"/>
      <c r="C1" s="572" t="s">
        <v>787</v>
      </c>
      <c r="D1" s="573"/>
      <c r="E1" s="573"/>
      <c r="F1" s="573"/>
      <c r="G1" s="573"/>
      <c r="H1" s="574"/>
      <c r="I1" s="485"/>
      <c r="J1" s="485"/>
      <c r="K1" s="485"/>
      <c r="L1" s="485"/>
      <c r="M1" s="486"/>
      <c r="N1" s="486"/>
      <c r="O1" s="486"/>
      <c r="P1" s="486"/>
      <c r="R1" s="23"/>
      <c r="U1" s="11"/>
    </row>
    <row r="2" spans="1:26" ht="14.25" customHeight="1" x14ac:dyDescent="0.3">
      <c r="A2" s="487" t="s">
        <v>661</v>
      </c>
      <c r="B2" s="488" t="s">
        <v>776</v>
      </c>
      <c r="C2" s="489" t="s">
        <v>788</v>
      </c>
      <c r="D2" s="489" t="s">
        <v>789</v>
      </c>
      <c r="E2" s="489" t="s">
        <v>790</v>
      </c>
      <c r="F2" s="489" t="s">
        <v>791</v>
      </c>
      <c r="G2" s="489" t="s">
        <v>792</v>
      </c>
      <c r="H2" s="489" t="s">
        <v>793</v>
      </c>
      <c r="I2" s="490" t="s">
        <v>794</v>
      </c>
      <c r="J2" s="490" t="s">
        <v>795</v>
      </c>
      <c r="K2" s="490" t="s">
        <v>796</v>
      </c>
      <c r="L2" s="490" t="s">
        <v>797</v>
      </c>
      <c r="M2" s="491" t="s">
        <v>798</v>
      </c>
      <c r="N2" s="491" t="s">
        <v>799</v>
      </c>
      <c r="O2" s="491" t="s">
        <v>796</v>
      </c>
      <c r="P2" s="491" t="s">
        <v>797</v>
      </c>
      <c r="Q2" s="492"/>
      <c r="R2" s="493" t="s">
        <v>800</v>
      </c>
      <c r="S2" s="492"/>
      <c r="T2" s="492"/>
      <c r="U2" s="494"/>
      <c r="V2" s="492"/>
      <c r="W2" s="492"/>
      <c r="X2" s="492"/>
      <c r="Y2" s="492"/>
      <c r="Z2" s="492"/>
    </row>
    <row r="3" spans="1:26" ht="14.25" customHeight="1" x14ac:dyDescent="0.3">
      <c r="A3" s="495">
        <v>2020</v>
      </c>
      <c r="B3" s="496" t="s">
        <v>801</v>
      </c>
      <c r="C3" s="497">
        <v>19.149999999999999</v>
      </c>
      <c r="D3" s="497"/>
      <c r="E3" s="497"/>
      <c r="F3" s="497"/>
      <c r="G3" s="497"/>
      <c r="H3" s="497">
        <v>0</v>
      </c>
      <c r="I3" s="498">
        <v>12452.14</v>
      </c>
      <c r="J3" s="498">
        <v>12025.27</v>
      </c>
      <c r="K3" s="498">
        <v>45.04</v>
      </c>
      <c r="L3" s="498">
        <v>471.91</v>
      </c>
      <c r="M3" s="499">
        <v>0</v>
      </c>
      <c r="N3" s="499">
        <v>0</v>
      </c>
      <c r="O3" s="499">
        <v>0</v>
      </c>
      <c r="P3" s="500">
        <v>0</v>
      </c>
      <c r="R3" s="23"/>
      <c r="U3" s="11"/>
    </row>
    <row r="4" spans="1:26" ht="14.25" customHeight="1" x14ac:dyDescent="0.3">
      <c r="A4" s="501">
        <v>2020</v>
      </c>
      <c r="B4" s="47" t="s">
        <v>802</v>
      </c>
      <c r="C4" s="502">
        <v>0</v>
      </c>
      <c r="D4" s="502"/>
      <c r="E4" s="502"/>
      <c r="F4" s="502"/>
      <c r="G4" s="502"/>
      <c r="H4" s="502">
        <v>0</v>
      </c>
      <c r="I4" s="503">
        <v>3102.37</v>
      </c>
      <c r="J4" s="503">
        <v>2996.68</v>
      </c>
      <c r="K4" s="503">
        <v>4.3</v>
      </c>
      <c r="L4" s="503">
        <v>109.99</v>
      </c>
      <c r="M4" s="504">
        <v>0</v>
      </c>
      <c r="N4" s="504">
        <v>0</v>
      </c>
      <c r="O4" s="504">
        <v>0</v>
      </c>
      <c r="P4" s="505">
        <v>0</v>
      </c>
      <c r="R4" s="23"/>
      <c r="U4" s="11"/>
    </row>
    <row r="5" spans="1:26" ht="14.25" customHeight="1" x14ac:dyDescent="0.3">
      <c r="A5" s="501">
        <v>2020</v>
      </c>
      <c r="B5" s="47" t="s">
        <v>803</v>
      </c>
      <c r="C5" s="502">
        <v>0</v>
      </c>
      <c r="D5" s="502"/>
      <c r="E5" s="502"/>
      <c r="F5" s="502"/>
      <c r="G5" s="502"/>
      <c r="H5" s="502">
        <v>0</v>
      </c>
      <c r="I5" s="503">
        <v>6554.06</v>
      </c>
      <c r="J5" s="503">
        <v>6488.57</v>
      </c>
      <c r="K5" s="503">
        <v>2.2799999999999998</v>
      </c>
      <c r="L5" s="503">
        <v>67.77</v>
      </c>
      <c r="M5" s="504">
        <v>0</v>
      </c>
      <c r="N5" s="504">
        <v>0</v>
      </c>
      <c r="O5" s="504">
        <v>0</v>
      </c>
      <c r="P5" s="505">
        <v>0</v>
      </c>
      <c r="R5" s="23"/>
      <c r="U5" s="11"/>
    </row>
    <row r="6" spans="1:26" ht="14.25" customHeight="1" x14ac:dyDescent="0.3">
      <c r="A6" s="506">
        <v>2020</v>
      </c>
      <c r="B6" s="507" t="s">
        <v>68</v>
      </c>
      <c r="C6" s="508">
        <f t="shared" ref="C6:F6" si="0">SUM(C2:C5)</f>
        <v>19.149999999999999</v>
      </c>
      <c r="D6" s="508">
        <f t="shared" si="0"/>
        <v>0</v>
      </c>
      <c r="E6" s="508">
        <f t="shared" si="0"/>
        <v>0</v>
      </c>
      <c r="F6" s="508">
        <f t="shared" si="0"/>
        <v>0</v>
      </c>
      <c r="G6" s="508"/>
      <c r="H6" s="508">
        <f t="shared" ref="H6:P6" si="1">SUM(H2:H5)</f>
        <v>0</v>
      </c>
      <c r="I6" s="509">
        <f t="shared" si="1"/>
        <v>22108.57</v>
      </c>
      <c r="J6" s="509">
        <f t="shared" si="1"/>
        <v>21510.52</v>
      </c>
      <c r="K6" s="509">
        <f t="shared" si="1"/>
        <v>51.62</v>
      </c>
      <c r="L6" s="509">
        <f t="shared" si="1"/>
        <v>649.66999999999996</v>
      </c>
      <c r="M6" s="510">
        <f t="shared" si="1"/>
        <v>0</v>
      </c>
      <c r="N6" s="510">
        <f t="shared" si="1"/>
        <v>0</v>
      </c>
      <c r="O6" s="510">
        <f t="shared" si="1"/>
        <v>0</v>
      </c>
      <c r="P6" s="511">
        <f t="shared" si="1"/>
        <v>0</v>
      </c>
      <c r="Q6" s="492"/>
      <c r="R6" s="512">
        <f>L6+P6</f>
        <v>649.66999999999996</v>
      </c>
      <c r="S6" s="492"/>
      <c r="T6" s="492"/>
      <c r="U6" s="494"/>
      <c r="V6" s="492"/>
      <c r="W6" s="492"/>
      <c r="X6" s="492"/>
      <c r="Y6" s="492"/>
      <c r="Z6" s="492"/>
    </row>
    <row r="7" spans="1:26" ht="14.25" customHeight="1" x14ac:dyDescent="0.3">
      <c r="A7" s="484"/>
      <c r="C7" s="513"/>
      <c r="D7" s="513"/>
      <c r="E7" s="513"/>
      <c r="F7" s="513"/>
      <c r="G7" s="513"/>
      <c r="H7" s="513"/>
      <c r="I7" s="485"/>
      <c r="J7" s="485"/>
      <c r="K7" s="485"/>
      <c r="L7" s="485"/>
      <c r="M7" s="486"/>
      <c r="N7" s="486"/>
      <c r="O7" s="486"/>
      <c r="P7" s="486"/>
      <c r="R7" s="23"/>
      <c r="U7" s="11"/>
    </row>
    <row r="8" spans="1:26" ht="14.25" customHeight="1" x14ac:dyDescent="0.3">
      <c r="A8" s="495">
        <v>2021</v>
      </c>
      <c r="B8" s="496" t="s">
        <v>804</v>
      </c>
      <c r="C8" s="497">
        <v>45.14</v>
      </c>
      <c r="D8" s="497"/>
      <c r="E8" s="497"/>
      <c r="F8" s="497"/>
      <c r="G8" s="497"/>
      <c r="H8" s="497">
        <v>0.94</v>
      </c>
      <c r="I8" s="498">
        <v>75774.039999999994</v>
      </c>
      <c r="J8" s="498">
        <v>72656.539999999994</v>
      </c>
      <c r="K8" s="498">
        <v>395.57</v>
      </c>
      <c r="L8" s="498">
        <v>3513.07</v>
      </c>
      <c r="M8" s="499">
        <v>1617.32</v>
      </c>
      <c r="N8" s="499">
        <v>1052.6500000000001</v>
      </c>
      <c r="O8" s="499">
        <v>0</v>
      </c>
      <c r="P8" s="500">
        <v>564.66999999999996</v>
      </c>
      <c r="R8" s="23"/>
      <c r="U8" s="11"/>
    </row>
    <row r="9" spans="1:26" ht="14.25" customHeight="1" x14ac:dyDescent="0.3">
      <c r="A9" s="501">
        <v>2021</v>
      </c>
      <c r="B9" s="47" t="s">
        <v>802</v>
      </c>
      <c r="C9" s="502">
        <v>0</v>
      </c>
      <c r="D9" s="502"/>
      <c r="E9" s="502"/>
      <c r="F9" s="502"/>
      <c r="G9" s="502"/>
      <c r="H9" s="502">
        <v>0</v>
      </c>
      <c r="I9" s="503">
        <v>15051.2</v>
      </c>
      <c r="J9" s="503">
        <v>14175.95</v>
      </c>
      <c r="K9" s="503">
        <v>13.41</v>
      </c>
      <c r="L9" s="503">
        <v>888.66</v>
      </c>
      <c r="M9" s="504">
        <v>570.67999999999995</v>
      </c>
      <c r="N9" s="504">
        <v>339.23</v>
      </c>
      <c r="O9" s="504">
        <v>0</v>
      </c>
      <c r="P9" s="505">
        <v>231.45</v>
      </c>
      <c r="R9" s="23"/>
      <c r="U9" s="11"/>
    </row>
    <row r="10" spans="1:26" ht="14.25" customHeight="1" x14ac:dyDescent="0.3">
      <c r="A10" s="501">
        <v>2021</v>
      </c>
      <c r="B10" s="47" t="s">
        <v>803</v>
      </c>
      <c r="C10" s="502">
        <v>0</v>
      </c>
      <c r="D10" s="502"/>
      <c r="E10" s="502"/>
      <c r="F10" s="502"/>
      <c r="G10" s="502"/>
      <c r="H10" s="502">
        <v>0</v>
      </c>
      <c r="I10" s="503">
        <v>11202.69</v>
      </c>
      <c r="J10" s="503">
        <v>10564.64</v>
      </c>
      <c r="K10" s="503">
        <v>15.33</v>
      </c>
      <c r="L10" s="503">
        <v>653.38</v>
      </c>
      <c r="M10" s="504">
        <v>426.17</v>
      </c>
      <c r="N10" s="504">
        <v>253.66</v>
      </c>
      <c r="O10" s="504">
        <v>0</v>
      </c>
      <c r="P10" s="505">
        <v>172.51</v>
      </c>
      <c r="R10" s="23"/>
      <c r="U10" s="11"/>
    </row>
    <row r="11" spans="1:26" ht="14.25" customHeight="1" x14ac:dyDescent="0.3">
      <c r="A11" s="506">
        <v>2021</v>
      </c>
      <c r="B11" s="507" t="s">
        <v>68</v>
      </c>
      <c r="C11" s="508">
        <f t="shared" ref="C11:P11" si="2">SUM(C8:C10)</f>
        <v>45.14</v>
      </c>
      <c r="D11" s="508">
        <f t="shared" si="2"/>
        <v>0</v>
      </c>
      <c r="E11" s="508">
        <f t="shared" si="2"/>
        <v>0</v>
      </c>
      <c r="F11" s="508">
        <f t="shared" si="2"/>
        <v>0</v>
      </c>
      <c r="G11" s="508">
        <f t="shared" si="2"/>
        <v>0</v>
      </c>
      <c r="H11" s="508">
        <f t="shared" si="2"/>
        <v>0.94</v>
      </c>
      <c r="I11" s="509">
        <f t="shared" si="2"/>
        <v>102027.93</v>
      </c>
      <c r="J11" s="509">
        <f t="shared" si="2"/>
        <v>97397.12999999999</v>
      </c>
      <c r="K11" s="509">
        <f t="shared" si="2"/>
        <v>424.31</v>
      </c>
      <c r="L11" s="509">
        <f t="shared" si="2"/>
        <v>5055.1100000000006</v>
      </c>
      <c r="M11" s="510">
        <f t="shared" si="2"/>
        <v>2614.17</v>
      </c>
      <c r="N11" s="510">
        <f t="shared" si="2"/>
        <v>1645.5400000000002</v>
      </c>
      <c r="O11" s="510">
        <f t="shared" si="2"/>
        <v>0</v>
      </c>
      <c r="P11" s="511">
        <f t="shared" si="2"/>
        <v>968.62999999999988</v>
      </c>
      <c r="Q11" s="492"/>
      <c r="R11" s="512">
        <f>L11+P11</f>
        <v>6023.7400000000007</v>
      </c>
      <c r="S11" s="492"/>
      <c r="T11" s="492"/>
      <c r="U11" s="494"/>
      <c r="V11" s="492"/>
      <c r="W11" s="492"/>
      <c r="X11" s="492"/>
      <c r="Y11" s="492"/>
      <c r="Z11" s="492"/>
    </row>
    <row r="12" spans="1:26" ht="14.25" customHeight="1" x14ac:dyDescent="0.3">
      <c r="A12" s="484"/>
      <c r="C12" s="513"/>
      <c r="D12" s="513"/>
      <c r="E12" s="513"/>
      <c r="F12" s="513"/>
      <c r="G12" s="513"/>
      <c r="H12" s="513"/>
      <c r="I12" s="485"/>
      <c r="J12" s="485"/>
      <c r="K12" s="485"/>
      <c r="L12" s="485"/>
      <c r="M12" s="486"/>
      <c r="N12" s="486"/>
      <c r="O12" s="486"/>
      <c r="P12" s="486"/>
      <c r="R12" s="23"/>
      <c r="U12" s="11"/>
    </row>
    <row r="13" spans="1:26" ht="14.25" customHeight="1" x14ac:dyDescent="0.3">
      <c r="A13" s="495">
        <v>2022</v>
      </c>
      <c r="B13" s="496" t="s">
        <v>801</v>
      </c>
      <c r="C13" s="497">
        <v>220.65</v>
      </c>
      <c r="D13" s="497"/>
      <c r="E13" s="497"/>
      <c r="F13" s="497">
        <v>12.93</v>
      </c>
      <c r="G13" s="497">
        <v>0.32</v>
      </c>
      <c r="H13" s="497">
        <v>0</v>
      </c>
      <c r="I13" s="498">
        <v>94983.37</v>
      </c>
      <c r="J13" s="498">
        <v>112827.17</v>
      </c>
      <c r="K13" s="498">
        <v>1902.03</v>
      </c>
      <c r="L13" s="498">
        <v>-15941.77</v>
      </c>
      <c r="M13" s="499">
        <v>22406.02</v>
      </c>
      <c r="N13" s="499">
        <v>29089.68</v>
      </c>
      <c r="O13" s="499">
        <v>2107.16</v>
      </c>
      <c r="P13" s="500">
        <v>-4576.5</v>
      </c>
      <c r="R13" s="23"/>
      <c r="U13" s="11"/>
    </row>
    <row r="14" spans="1:26" ht="14.25" customHeight="1" x14ac:dyDescent="0.3">
      <c r="A14" s="501">
        <v>2022</v>
      </c>
      <c r="B14" s="47" t="s">
        <v>802</v>
      </c>
      <c r="C14" s="502">
        <v>22.14</v>
      </c>
      <c r="D14" s="502"/>
      <c r="E14" s="502"/>
      <c r="F14" s="502">
        <v>1.2</v>
      </c>
      <c r="G14" s="502">
        <v>0.03</v>
      </c>
      <c r="H14" s="502">
        <v>0</v>
      </c>
      <c r="I14" s="503">
        <v>10363.58</v>
      </c>
      <c r="J14" s="503">
        <v>12096.94</v>
      </c>
      <c r="K14" s="503">
        <v>194.48</v>
      </c>
      <c r="L14" s="503">
        <v>-1538.88</v>
      </c>
      <c r="M14" s="504">
        <v>2634.85</v>
      </c>
      <c r="N14" s="504">
        <v>3549.22</v>
      </c>
      <c r="O14" s="504">
        <v>228.25</v>
      </c>
      <c r="P14" s="505">
        <v>-686.12</v>
      </c>
      <c r="R14" s="23"/>
      <c r="U14" s="11"/>
    </row>
    <row r="15" spans="1:26" ht="14.25" customHeight="1" x14ac:dyDescent="0.3">
      <c r="A15" s="501">
        <v>2022</v>
      </c>
      <c r="B15" s="47" t="s">
        <v>803</v>
      </c>
      <c r="C15" s="502">
        <v>22.04</v>
      </c>
      <c r="D15" s="502"/>
      <c r="E15" s="502"/>
      <c r="F15" s="502">
        <v>1.23</v>
      </c>
      <c r="G15" s="502">
        <v>0.03</v>
      </c>
      <c r="H15" s="502">
        <v>0</v>
      </c>
      <c r="I15" s="503">
        <v>9690.0300000000007</v>
      </c>
      <c r="J15" s="503">
        <v>11200.65</v>
      </c>
      <c r="K15" s="503">
        <v>164.55</v>
      </c>
      <c r="L15" s="503">
        <v>-1346.07</v>
      </c>
      <c r="M15" s="504">
        <v>2439.35</v>
      </c>
      <c r="N15" s="504">
        <v>3222.21</v>
      </c>
      <c r="O15" s="504">
        <v>231.38</v>
      </c>
      <c r="P15" s="505">
        <v>-551.48</v>
      </c>
      <c r="R15" s="23"/>
      <c r="S15" s="484">
        <v>2022</v>
      </c>
      <c r="T15" s="484">
        <v>2023</v>
      </c>
      <c r="U15" s="484">
        <v>2024</v>
      </c>
    </row>
    <row r="16" spans="1:26" ht="14.25" customHeight="1" x14ac:dyDescent="0.3">
      <c r="A16" s="506">
        <v>2022</v>
      </c>
      <c r="B16" s="507" t="s">
        <v>68</v>
      </c>
      <c r="C16" s="508">
        <f t="shared" ref="C16:P16" si="3">SUM(C13:C15)</f>
        <v>264.83000000000004</v>
      </c>
      <c r="D16" s="508">
        <f t="shared" si="3"/>
        <v>0</v>
      </c>
      <c r="E16" s="508">
        <f t="shared" si="3"/>
        <v>0</v>
      </c>
      <c r="F16" s="508">
        <f t="shared" si="3"/>
        <v>15.36</v>
      </c>
      <c r="G16" s="508">
        <f t="shared" si="3"/>
        <v>0.38</v>
      </c>
      <c r="H16" s="508">
        <f t="shared" si="3"/>
        <v>0</v>
      </c>
      <c r="I16" s="509">
        <f t="shared" si="3"/>
        <v>115036.98</v>
      </c>
      <c r="J16" s="509">
        <f t="shared" si="3"/>
        <v>136124.76</v>
      </c>
      <c r="K16" s="509">
        <f t="shared" si="3"/>
        <v>2261.06</v>
      </c>
      <c r="L16" s="509">
        <f t="shared" si="3"/>
        <v>-18826.72</v>
      </c>
      <c r="M16" s="510">
        <f t="shared" si="3"/>
        <v>27480.219999999998</v>
      </c>
      <c r="N16" s="510">
        <f t="shared" si="3"/>
        <v>35861.11</v>
      </c>
      <c r="O16" s="510">
        <f t="shared" si="3"/>
        <v>2566.79</v>
      </c>
      <c r="P16" s="511">
        <f t="shared" si="3"/>
        <v>-5814.1</v>
      </c>
      <c r="Q16" s="492"/>
      <c r="R16" s="493">
        <f>L16+P16</f>
        <v>-24640.82</v>
      </c>
      <c r="S16" s="493">
        <v>3000</v>
      </c>
      <c r="T16" s="493">
        <v>1200.55</v>
      </c>
      <c r="U16" s="514">
        <v>3000</v>
      </c>
      <c r="V16" s="492"/>
      <c r="W16" s="492"/>
      <c r="X16" s="492"/>
      <c r="Y16" s="492"/>
      <c r="Z16" s="492"/>
    </row>
    <row r="17" spans="1:26" ht="14.25" customHeight="1" x14ac:dyDescent="0.3">
      <c r="A17" s="484"/>
      <c r="C17" s="513"/>
      <c r="D17" s="513"/>
      <c r="E17" s="513"/>
      <c r="F17" s="513"/>
      <c r="G17" s="513"/>
      <c r="H17" s="513"/>
      <c r="I17" s="485"/>
      <c r="J17" s="485"/>
      <c r="K17" s="485"/>
      <c r="L17" s="485"/>
      <c r="M17" s="486"/>
      <c r="N17" s="486"/>
      <c r="O17" s="486"/>
      <c r="P17" s="486"/>
      <c r="R17" s="23"/>
      <c r="U17" s="11"/>
    </row>
    <row r="18" spans="1:26" ht="14.25" customHeight="1" x14ac:dyDescent="0.3">
      <c r="A18" s="495">
        <v>2023</v>
      </c>
      <c r="B18" s="496" t="s">
        <v>801</v>
      </c>
      <c r="C18" s="497">
        <v>531.49</v>
      </c>
      <c r="D18" s="497"/>
      <c r="E18" s="497">
        <v>1.08</v>
      </c>
      <c r="F18" s="497">
        <v>1.38</v>
      </c>
      <c r="G18" s="497">
        <v>7.34</v>
      </c>
      <c r="H18" s="497">
        <v>1.65</v>
      </c>
      <c r="I18" s="498">
        <v>30169.67</v>
      </c>
      <c r="J18" s="498">
        <v>31517.34</v>
      </c>
      <c r="K18" s="498">
        <v>680.55</v>
      </c>
      <c r="L18" s="498">
        <v>-667.12</v>
      </c>
      <c r="M18" s="499">
        <v>4072.37</v>
      </c>
      <c r="N18" s="499">
        <v>5526.03</v>
      </c>
      <c r="O18" s="499">
        <v>451.77</v>
      </c>
      <c r="P18" s="500">
        <v>-1001.89</v>
      </c>
      <c r="R18" s="23"/>
      <c r="U18" s="11"/>
    </row>
    <row r="19" spans="1:26" ht="14.25" customHeight="1" x14ac:dyDescent="0.3">
      <c r="A19" s="501">
        <v>2023</v>
      </c>
      <c r="B19" s="47" t="s">
        <v>805</v>
      </c>
      <c r="C19" s="502">
        <v>366.19</v>
      </c>
      <c r="D19" s="502"/>
      <c r="E19" s="502"/>
      <c r="F19" s="502"/>
      <c r="G19" s="502">
        <v>3.11</v>
      </c>
      <c r="H19" s="502">
        <v>3.66</v>
      </c>
      <c r="I19" s="503">
        <v>3673.22</v>
      </c>
      <c r="J19" s="503">
        <v>3685.42</v>
      </c>
      <c r="K19" s="503">
        <v>10.91</v>
      </c>
      <c r="L19" s="503">
        <v>-1.29</v>
      </c>
      <c r="M19" s="504">
        <v>610.11</v>
      </c>
      <c r="N19" s="504">
        <v>701.93</v>
      </c>
      <c r="O19" s="504">
        <v>1.48</v>
      </c>
      <c r="P19" s="505">
        <v>-90.34</v>
      </c>
      <c r="R19" s="23"/>
      <c r="U19" s="11"/>
    </row>
    <row r="20" spans="1:26" ht="14.25" customHeight="1" x14ac:dyDescent="0.3">
      <c r="A20" s="501">
        <v>2023</v>
      </c>
      <c r="B20" s="47" t="s">
        <v>802</v>
      </c>
      <c r="C20" s="502">
        <v>36.15</v>
      </c>
      <c r="D20" s="502"/>
      <c r="E20" s="502">
        <v>0.1</v>
      </c>
      <c r="F20" s="502">
        <v>0.13</v>
      </c>
      <c r="G20" s="502">
        <v>0.64</v>
      </c>
      <c r="H20" s="502">
        <v>0.09</v>
      </c>
      <c r="I20" s="503">
        <v>6803.5</v>
      </c>
      <c r="J20" s="503">
        <v>6582.31</v>
      </c>
      <c r="K20" s="503">
        <v>50.59</v>
      </c>
      <c r="L20" s="503">
        <v>271.77999999999997</v>
      </c>
      <c r="M20" s="504">
        <v>830.72</v>
      </c>
      <c r="N20" s="504">
        <v>1041.3599999999999</v>
      </c>
      <c r="O20" s="504">
        <v>60.19</v>
      </c>
      <c r="P20" s="505">
        <v>-150.44999999999999</v>
      </c>
      <c r="R20" s="23"/>
      <c r="U20" s="11"/>
    </row>
    <row r="21" spans="1:26" ht="14.25" customHeight="1" x14ac:dyDescent="0.3">
      <c r="A21" s="501">
        <v>2023</v>
      </c>
      <c r="B21" s="47" t="s">
        <v>803</v>
      </c>
      <c r="C21" s="502">
        <v>56.85</v>
      </c>
      <c r="D21" s="502"/>
      <c r="E21" s="502">
        <v>0.11</v>
      </c>
      <c r="F21" s="502">
        <v>0.15</v>
      </c>
      <c r="G21" s="502">
        <v>0.77</v>
      </c>
      <c r="H21" s="502">
        <v>0.18</v>
      </c>
      <c r="I21" s="503">
        <v>2976.71</v>
      </c>
      <c r="J21" s="503">
        <v>3097.87</v>
      </c>
      <c r="K21" s="503">
        <v>58.34</v>
      </c>
      <c r="L21" s="503">
        <v>-62.82</v>
      </c>
      <c r="M21" s="504">
        <v>441.52</v>
      </c>
      <c r="N21" s="504">
        <v>587.78</v>
      </c>
      <c r="O21" s="504">
        <v>48.94</v>
      </c>
      <c r="P21" s="505">
        <v>-97.32</v>
      </c>
      <c r="R21" s="23"/>
      <c r="S21" s="484">
        <v>2023</v>
      </c>
      <c r="U21" s="11"/>
    </row>
    <row r="22" spans="1:26" ht="14.25" customHeight="1" x14ac:dyDescent="0.3">
      <c r="A22" s="506">
        <v>2023</v>
      </c>
      <c r="B22" s="507" t="s">
        <v>68</v>
      </c>
      <c r="C22" s="508">
        <f>SUM(C18:C21)</f>
        <v>990.68000000000006</v>
      </c>
      <c r="D22" s="508"/>
      <c r="E22" s="508">
        <f t="shared" ref="E22:P22" si="4">SUM(E18:E21)</f>
        <v>1.2900000000000003</v>
      </c>
      <c r="F22" s="508">
        <f t="shared" si="4"/>
        <v>1.6599999999999997</v>
      </c>
      <c r="G22" s="508">
        <f t="shared" si="4"/>
        <v>11.86</v>
      </c>
      <c r="H22" s="508">
        <f t="shared" si="4"/>
        <v>5.58</v>
      </c>
      <c r="I22" s="509">
        <f t="shared" si="4"/>
        <v>43623.1</v>
      </c>
      <c r="J22" s="509">
        <f t="shared" si="4"/>
        <v>44882.94</v>
      </c>
      <c r="K22" s="509">
        <f t="shared" si="4"/>
        <v>800.39</v>
      </c>
      <c r="L22" s="509">
        <f t="shared" si="4"/>
        <v>-459.45</v>
      </c>
      <c r="M22" s="510">
        <f t="shared" si="4"/>
        <v>5954.7199999999993</v>
      </c>
      <c r="N22" s="510">
        <f t="shared" si="4"/>
        <v>7857.0999999999995</v>
      </c>
      <c r="O22" s="510">
        <f t="shared" si="4"/>
        <v>562.38000000000011</v>
      </c>
      <c r="P22" s="511">
        <f t="shared" si="4"/>
        <v>-1340</v>
      </c>
      <c r="Q22" s="492"/>
      <c r="R22" s="512">
        <f>L22+P22</f>
        <v>-1799.45</v>
      </c>
      <c r="S22" s="512">
        <v>1799.45</v>
      </c>
      <c r="T22" s="492"/>
      <c r="U22" s="494"/>
      <c r="V22" s="492"/>
      <c r="W22" s="492"/>
      <c r="X22" s="492"/>
      <c r="Y22" s="492"/>
      <c r="Z22" s="492"/>
    </row>
    <row r="23" spans="1:26" ht="14.25" customHeight="1" x14ac:dyDescent="0.3">
      <c r="A23" s="484"/>
      <c r="C23" s="513"/>
      <c r="D23" s="513"/>
      <c r="E23" s="513"/>
      <c r="F23" s="513"/>
      <c r="G23" s="513"/>
      <c r="H23" s="513"/>
      <c r="I23" s="485"/>
      <c r="J23" s="485"/>
      <c r="K23" s="485"/>
      <c r="L23" s="485"/>
      <c r="M23" s="486"/>
      <c r="N23" s="486"/>
      <c r="O23" s="486"/>
      <c r="P23" s="486"/>
      <c r="R23" s="23"/>
      <c r="U23" s="11"/>
    </row>
    <row r="24" spans="1:26" ht="14.25" customHeight="1" x14ac:dyDescent="0.3">
      <c r="A24" s="515">
        <v>2024</v>
      </c>
      <c r="B24" s="516">
        <v>255006</v>
      </c>
      <c r="C24" s="517">
        <v>1017.8</v>
      </c>
      <c r="D24" s="517">
        <v>0.73</v>
      </c>
      <c r="E24" s="517">
        <v>0</v>
      </c>
      <c r="F24" s="517">
        <v>0</v>
      </c>
      <c r="G24" s="517">
        <v>15.21</v>
      </c>
      <c r="H24" s="517">
        <v>0.88</v>
      </c>
      <c r="I24" s="518">
        <v>14079.67</v>
      </c>
      <c r="J24" s="518">
        <v>13840.06</v>
      </c>
      <c r="K24" s="518">
        <v>106.57</v>
      </c>
      <c r="L24" s="518">
        <v>346.18</v>
      </c>
      <c r="M24" s="519">
        <v>31521.56</v>
      </c>
      <c r="N24" s="519">
        <v>25753.85</v>
      </c>
      <c r="O24" s="519">
        <v>4.93</v>
      </c>
      <c r="P24" s="520">
        <v>5772.64</v>
      </c>
      <c r="Q24" s="492"/>
      <c r="R24" s="493">
        <f>L24+P24</f>
        <v>6118.8200000000006</v>
      </c>
      <c r="S24" s="492"/>
      <c r="T24" s="492"/>
      <c r="U24" s="494"/>
      <c r="V24" s="492"/>
      <c r="W24" s="492"/>
      <c r="X24" s="492"/>
      <c r="Y24" s="492"/>
      <c r="Z24" s="492"/>
    </row>
    <row r="25" spans="1:26" ht="14.25" customHeight="1" x14ac:dyDescent="0.3">
      <c r="A25" s="484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84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84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84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84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84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84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84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84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84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84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84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84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84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84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84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84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84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84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84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84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84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84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84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84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84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84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84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84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84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84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84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84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84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84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84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84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84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84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84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84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84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84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84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84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84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84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84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84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84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84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84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84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84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84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84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84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84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84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84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84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84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84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84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84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84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84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84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84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84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84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84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84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84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84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84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84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84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84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84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84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84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84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84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84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84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84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84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84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84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84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84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84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84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84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84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84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84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84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84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84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84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84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84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84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84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84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84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84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84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84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84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84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84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84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84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84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84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84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84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84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84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84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84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84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84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84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84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84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84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84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84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84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84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84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84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84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84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84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84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84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84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84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84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84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84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84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84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84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84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84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84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84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84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84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84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84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84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84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84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84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84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84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84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84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84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84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84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84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84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84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84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84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84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84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84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84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84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84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84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84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84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84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84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84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84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84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84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84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84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84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84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84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84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84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84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84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84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84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84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84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84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84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84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84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84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84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84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84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84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84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84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84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84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84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84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84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84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84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84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84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84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84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84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84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84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84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84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84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84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84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84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84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84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84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84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84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84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84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84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84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84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84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84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84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84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84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84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84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84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84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84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84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84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84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84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84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84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84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84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84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84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84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84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84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84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84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84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84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84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84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84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84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84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84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84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84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84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84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84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84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84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84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84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84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84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84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84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84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84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84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84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84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84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84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84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84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84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84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84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84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84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84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84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84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84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84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84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84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84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84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84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84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84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84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84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84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84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84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84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84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84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84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84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84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84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84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84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84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84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84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84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84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84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84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84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84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84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84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84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84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84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84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84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84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84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84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84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84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84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84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84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84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84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84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84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84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84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84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84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84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84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84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84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84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84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84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84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84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84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84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84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84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84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84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84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84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84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84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84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84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84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84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84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84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84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84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84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84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84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84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84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84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84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84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84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84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84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84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84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84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84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84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84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84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84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84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84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84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84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84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84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84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84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84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84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84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84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84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84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84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84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84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84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84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84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84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84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84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84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84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84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84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84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84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84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84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84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84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84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84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84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84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84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84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84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84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84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84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84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84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84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84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84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84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84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84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84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84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84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84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84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84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84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84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84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84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84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84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84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84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84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84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84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84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84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84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84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84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84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84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84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84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84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84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84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84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84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84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84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84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84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84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84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84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84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84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84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84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84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84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84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84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84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84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84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84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84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84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84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84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84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84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84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84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84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84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84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84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84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84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84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84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84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84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84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84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84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84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84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84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84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84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84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84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84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84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84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84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84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84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84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84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84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84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84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84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84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84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84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84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84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84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84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84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84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84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84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84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84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84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84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84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84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84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84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84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84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84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84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84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84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84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84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84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84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84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84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84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84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84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84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84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84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84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84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84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84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84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84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84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84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84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84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84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84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84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84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84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84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84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84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84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84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84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84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84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84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84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84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84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84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84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84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84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84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84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84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84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84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84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84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84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84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84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84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84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84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84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84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84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84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84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84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84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84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84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84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84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84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84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84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84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84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84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84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84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84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84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84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84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84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84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84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84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84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84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84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84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84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84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84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84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84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84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84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84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84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84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84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84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84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84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84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84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84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84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84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84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84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84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84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84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84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84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84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84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84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84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84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84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84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84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84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84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84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84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84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84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84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84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84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84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84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84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84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84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84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84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84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84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84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84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84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84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84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84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84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84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84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84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84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84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84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84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84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84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84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84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84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84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84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84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84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84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84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84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84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84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84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84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84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84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84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84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84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84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84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84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84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84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84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84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84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84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84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84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84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84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84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84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84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84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84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84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84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84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84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84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84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84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84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84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84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84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84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84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84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84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84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84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84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84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84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84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84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84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84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84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84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84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84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84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84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84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84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84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84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84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84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84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84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84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84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84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84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84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84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84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84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84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84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84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84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84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84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84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84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84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84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84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84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84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84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84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84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84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84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84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84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84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84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84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84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84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84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84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84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84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84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84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84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84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84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84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84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84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84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84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84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84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84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84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84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84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84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84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84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84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84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84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84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84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84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84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84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84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84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84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84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84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84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84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84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84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84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84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84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84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84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84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84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84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84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84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84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84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84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84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84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84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84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84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84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84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84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84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84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84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84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84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84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84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84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84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84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84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84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84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84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84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84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84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84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84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84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84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84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84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84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84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84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84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84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84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84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84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84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84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84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84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84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84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84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84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84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84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84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84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84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84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84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84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84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84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84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84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84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84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84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84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84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84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84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84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84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84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84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84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84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84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84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84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84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84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84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84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84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84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84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84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84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84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84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84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84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2026-06-30T10:42:05Z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